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1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1.xml"/>
  <Override ContentType="application/vnd.openxmlformats-officedocument.drawingml.chart+xml" PartName="/xl/charts/chart22.xml"/>
  <Override ContentType="application/vnd.openxmlformats-officedocument.drawingml.chart+xml" PartName="/xl/charts/chart23.xml"/>
  <Override ContentType="application/vnd.openxmlformats-officedocument.drawingml.chart+xml" PartName="/xl/charts/chart24.xml"/>
  <Override ContentType="application/vnd.openxmlformats-officedocument.drawingml.chart+xml" PartName="/xl/charts/chart25.xml"/>
  <Override ContentType="application/vnd.openxmlformats-officedocument.drawingml.chart+xml" PartName="/xl/charts/chart26.xml"/>
  <Override ContentType="application/vnd.openxmlformats-officedocument.drawingml.chart+xml" PartName="/xl/charts/chart27.xml"/>
  <Override ContentType="application/vnd.openxmlformats-officedocument.drawingml.chart+xml" PartName="/xl/charts/chart28.xml"/>
  <Override ContentType="application/vnd.openxmlformats-officedocument.drawingml.chart+xml" PartName="/xl/charts/chart29.xml"/>
  <Override ContentType="application/vnd.openxmlformats-officedocument.drawingml.chart+xml" PartName="/xl/charts/chart3.xml"/>
  <Override ContentType="application/vnd.openxmlformats-officedocument.drawingml.chart+xml" PartName="/xl/charts/chart30.xml"/>
  <Override ContentType="application/vnd.openxmlformats-officedocument.drawingml.chart+xml" PartName="/xl/charts/chart31.xml"/>
  <Override ContentType="application/vnd.openxmlformats-officedocument.drawingml.chart+xml" PartName="/xl/charts/chart32.xml"/>
  <Override ContentType="application/vnd.openxmlformats-officedocument.drawingml.chart+xml" PartName="/xl/charts/chart33.xml"/>
  <Override ContentType="application/vnd.openxmlformats-officedocument.drawingml.chart+xml" PartName="/xl/charts/chart34.xml"/>
  <Override ContentType="application/vnd.openxmlformats-officedocument.drawingml.chart+xml" PartName="/xl/charts/chart35.xml"/>
  <Override ContentType="application/vnd.openxmlformats-officedocument.drawingml.chart+xml" PartName="/xl/charts/chart36.xml"/>
  <Override ContentType="application/vnd.openxmlformats-officedocument.drawingml.chart+xml" PartName="/xl/charts/chart37.xml"/>
  <Override ContentType="application/vnd.openxmlformats-officedocument.drawingml.chart+xml" PartName="/xl/charts/chart38.xml"/>
  <Override ContentType="application/vnd.openxmlformats-officedocument.drawingml.chart+xml" PartName="/xl/charts/chart39.xml"/>
  <Override ContentType="application/vnd.openxmlformats-officedocument.drawingml.chart+xml" PartName="/xl/charts/chart4.xml"/>
  <Override ContentType="application/vnd.openxmlformats-officedocument.drawingml.chart+xml" PartName="/xl/charts/chart40.xml"/>
  <Override ContentType="application/vnd.openxmlformats-officedocument.drawingml.chart+xml" PartName="/xl/charts/chart41.xml"/>
  <Override ContentType="application/vnd.openxmlformats-officedocument.drawingml.chart+xml" PartName="/xl/charts/chart42.xml"/>
  <Override ContentType="application/vnd.openxmlformats-officedocument.drawingml.chart+xml" PartName="/xl/charts/chart43.xml"/>
  <Override ContentType="application/vnd.openxmlformats-officedocument.drawingml.chart+xml" PartName="/xl/charts/chart44.xml"/>
  <Override ContentType="application/vnd.openxmlformats-officedocument.drawingml.chart+xml" PartName="/xl/charts/chart45.xml"/>
  <Override ContentType="application/vnd.openxmlformats-officedocument.drawingml.chart+xml" PartName="/xl/charts/chart46.xml"/>
  <Override ContentType="application/vnd.openxmlformats-officedocument.drawingml.chart+xml" PartName="/xl/charts/chart47.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hartsheet+xml" PartName="/xl/chartsheets/sheet1.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ml.chartshapes+xml" PartName="/xl/drawings/drawing10.xml"/>
  <Override ContentType="application/vnd.openxmlformats-officedocument.drawing+xml" PartName="/xl/drawings/drawing11.xml"/>
  <Override ContentType="application/vnd.openxmlformats-officedocument.drawingml.chartshapes+xml" PartName="/xl/drawings/drawing12.xml"/>
  <Override ContentType="application/vnd.openxmlformats-officedocument.drawingml.chartshapes+xml" PartName="/xl/drawings/drawing13.xml"/>
  <Override ContentType="application/vnd.openxmlformats-officedocument.drawing+xml" PartName="/xl/drawings/drawing14.xml"/>
  <Override ContentType="application/vnd.openxmlformats-officedocument.drawingml.chartshapes+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ml.chartshapes+xml" PartName="/xl/drawings/drawing18.xml"/>
  <Override ContentType="application/vnd.openxmlformats-officedocument.drawingml.chartshapes+xml" PartName="/xl/drawings/drawing19.xml"/>
  <Override ContentType="application/vnd.openxmlformats-officedocument.drawing+xml" PartName="/xl/drawings/drawing2.xml"/>
  <Override ContentType="application/vnd.openxmlformats-officedocument.drawing+xml" PartName="/xl/drawings/drawing20.xml"/>
  <Override ContentType="application/vnd.openxmlformats-officedocument.drawingml.chartshapes+xml" PartName="/xl/drawings/drawing21.xml"/>
  <Override ContentType="application/vnd.openxmlformats-officedocument.drawingml.chartshapes+xml" PartName="/xl/drawings/drawing22.xml"/>
  <Override ContentType="application/vnd.openxmlformats-officedocument.drawing+xml" PartName="/xl/drawings/drawing23.xml"/>
  <Override ContentType="application/vnd.openxmlformats-officedocument.drawingml.chartshapes+xml" PartName="/xl/drawings/drawing24.xml"/>
  <Override ContentType="application/vnd.openxmlformats-officedocument.drawingml.chartshapes+xml" PartName="/xl/drawings/drawing25.xml"/>
  <Override ContentType="application/vnd.openxmlformats-officedocument.drawingml.chartshapes+xml" PartName="/xl/drawings/drawing26.xml"/>
  <Override ContentType="application/vnd.openxmlformats-officedocument.drawing+xml" PartName="/xl/drawings/drawing27.xml"/>
  <Override ContentType="application/vnd.openxmlformats-officedocument.drawing+xml" PartName="/xl/drawings/drawing28.xml"/>
  <Override ContentType="application/vnd.openxmlformats-officedocument.drawing+xml" PartName="/xl/drawings/drawing3.xml"/>
  <Override ContentType="application/vnd.openxmlformats-officedocument.drawingml.chartshapes+xml" PartName="/xl/drawings/drawing4.xml"/>
  <Override ContentType="application/vnd.openxmlformats-officedocument.drawingml.chartshapes+xml" PartName="/xl/drawings/drawing5.xml"/>
  <Override ContentType="application/vnd.openxmlformats-officedocument.drawingml.chartshapes+xml" PartName="/xl/drawings/drawing6.xml"/>
  <Override ContentType="application/vnd.openxmlformats-officedocument.drawingml.chartshapes+xml" PartName="/xl/drawings/drawing7.xml"/>
  <Override ContentType="application/vnd.openxmlformats-officedocument.drawingml.chartshapes+xml" PartName="/xl/drawings/drawing8.xml"/>
  <Override ContentType="application/vnd.openxmlformats-officedocument.drawingml.chartshapes+xml" PartName="/xl/drawings/drawing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bookViews>
    <workbookView xWindow="165" yWindow="1260" windowWidth="15255" windowHeight="8070" firstSheet="1" activeTab="1"/>
  </bookViews>
  <sheets>
    <sheet name="__FDSCACHE__" sheetId="58419" state="veryHidden" r:id="rId1"/>
    <sheet name="ImportantDisclosures" sheetId="58517" r:id="rId2"/>
    <sheet name="SheetVisibilityStatus" sheetId="58521" state="veryHidden" r:id="rId3"/>
    <sheet name="CircularReferenceAlert" sheetId="58520" r:id="rId4"/>
    <sheet name="Hilton" sheetId="6" state="veryHidden" r:id="rId5"/>
    <sheet name="EBITDA Val" sheetId="58483" state="veryHidden" r:id="rId6"/>
    <sheet name="QTR Rooms" sheetId="58411" state="veryHidden" r:id="rId7"/>
    <sheet name="RevPAR" sheetId="58438" state="veryHidden" r:id="rId8"/>
    <sheet name="PT Impact" sheetId="58477" state="veryHidden" r:id="rId9"/>
    <sheet name="Owned Assets Spun Out" sheetId="58511" state="veryHidden" r:id="rId10"/>
    <sheet name="Timeshare Assets Spun Out" sheetId="58512" state="veryHidden" r:id="rId11"/>
    <sheet name="Exhibits 3" sheetId="58502" state="veryHidden" r:id="rId12"/>
    <sheet name="Owned Hotels Spinoff" sheetId="58513" state="veryHidden" r:id="rId13"/>
    <sheet name="2Q15" sheetId="58501" state="veryHidden" r:id="rId14"/>
    <sheet name="Exhibits2" sheetId="58481" state="veryHidden" r:id="rId15"/>
    <sheet name="Price per key" sheetId="58480" state="veryHidden" r:id="rId16"/>
    <sheet name="Price per key - REIT" sheetId="58510" state="veryHidden" r:id="rId17"/>
    <sheet name="Waldorf" sheetId="58493" state="veryHidden" r:id="rId18"/>
    <sheet name="3Q14" sheetId="58499" state="veryHidden" r:id="rId19"/>
    <sheet name="2Q14" sheetId="58498" state="veryHidden" r:id="rId20"/>
    <sheet name="MW-Cache" sheetId="58415" state="veryHidden" r:id="rId21"/>
    <sheet name="RevPAR_Comp" sheetId="58471" state="veryHidden" r:id="rId22"/>
    <sheet name="Exhibits" sheetId="58479" state="veryHidden" r:id="rId23"/>
    <sheet name="Chart1" sheetId="58488" state="veryHidden" r:id="rId24"/>
    <sheet name="Bear_to_Bull_Data" sheetId="58489" state="veryHidden" r:id="rId25"/>
    <sheet name="CompSheetOutput" sheetId="58482" state="veryHidden" r:id="rId26"/>
    <sheet name="OLD Valuation" sheetId="58470" state="veryHidden" r:id="rId27"/>
    <sheet name="IndexInformation" sheetId="58518" state="veryHidden" r:id="rId28"/>
    <sheet name="ModPubIndex" sheetId="58519" state="veryHidden" r:id="rId29"/>
    <sheet name="Model Instructions" sheetId="58410" state="veryHidden" r:id="rId30"/>
    <sheet name="Model_Template" sheetId="58407" state="veryHidden" r:id="rId31"/>
    <sheet name="mStartup" sheetId="40568" state="veryHidden" r:id=""/>
  </sheets>
  <definedNames>
    <definedName name="__FDS_HYPERLINK_TOGGLE_STATE__" hidden="1">"ON"</definedName>
    <definedName name="__FDS_UNIQUE_RANGE_ID_GENERATOR_COUNTER" localSheetId="19" hidden="1">9</definedName>
    <definedName name="__FDS_UNIQUE_RANGE_ID_GENERATOR_COUNTER" localSheetId="25" hidden="1">9</definedName>
    <definedName name="__FDS_UNIQUE_RANGE_ID_GENERATOR_COUNTER" hidden="1">1</definedName>
    <definedName name="_1__FDSAUDITLINK__" localSheetId="19"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4"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5"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5"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15"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16"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8"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hidden="1">{"fdsup://Directions/FactSet Auditing Viewer?action=AUDIT_VALUE&amp;DB=129&amp;ID1=G6774310&amp;VALUEID=01001&amp;SDATE=200904&amp;PERIODTYPE=QTR_STD&amp;window=popup_no_bar&amp;width=385&amp;height=120&amp;START_MAXIMIZED=FALSE&amp;creator=factset&amp;display_string=Audit"}</definedName>
    <definedName name="_2__FDSAUDITLINK__" localSheetId="19"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4"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5"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5"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15"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16"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8"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hidden="1">{"fdsup://Directions/FactSet Auditing Viewer?action=AUDIT_VALUE&amp;DB=129&amp;ID1=36790510&amp;VALUEID=01001&amp;SDATE=201002&amp;PERIODTYPE=QTR_STD&amp;SCFT=3&amp;window=popup_no_bar&amp;width=385&amp;height=120&amp;START_MAXIMIZED=FALSE&amp;creator=factset&amp;display_string=Audit"}</definedName>
    <definedName name="_2017">Hilton!$AJ:$AJ</definedName>
    <definedName name="_2018">Hilton!$AO:$AO</definedName>
    <definedName name="_2Q16">Hilton!$AB:$AB</definedName>
    <definedName name="_3__FDSAUDITLINK__" localSheetId="19"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4"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5"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5"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15"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16"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8"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hidden="1">{"fdsup://Directions/FactSet Auditing Viewer?action=AUDIT_VALUE&amp;DB=129&amp;ID1=98310W10&amp;VALUEID=01001&amp;SDATE=201002&amp;PERIODTYPE=QTR_STD&amp;SCFT=3&amp;window=popup_no_bar&amp;width=385&amp;height=120&amp;START_MAXIMIZED=FALSE&amp;creator=factset&amp;display_string=Audit"}</definedName>
    <definedName name="_4__FDSAUDITLINK__" localSheetId="19"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4"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5"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5"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15"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16"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8"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hidden="1">{"fdsup://Directions/FactSet Auditing Viewer?action=AUDIT_VALUE&amp;DB=129&amp;ID1=16990510&amp;VALUEID=01001&amp;SDATE=201002&amp;PERIODTYPE=QTR_STD&amp;SCFT=3&amp;window=popup_no_bar&amp;width=385&amp;height=120&amp;START_MAXIMIZED=FALSE&amp;creator=factset&amp;display_string=Audit"}</definedName>
    <definedName name="_5__FDSAUDITLINK__" localSheetId="19"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4"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5"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5"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15"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16"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8"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hidden="1">{"fdsup://Directions/FactSet Auditing Viewer?action=AUDIT_VALUE&amp;DB=129&amp;ID1=36790510&amp;VALUEID=01001&amp;SDATE=201002&amp;PERIODTYPE=QTR_STD&amp;SCFT=3&amp;window=popup_no_bar&amp;width=385&amp;height=120&amp;START_MAXIMIZED=FALSE&amp;creator=factset&amp;display_string=Audit"}</definedName>
    <definedName name="_6__FDSAUDITLINK__" localSheetId="19"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4"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5"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5"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15"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16"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8"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hidden="1">{"fdsup://Directions/FactSet Auditing Viewer?action=AUDIT_VALUE&amp;DB=129&amp;ID1=98310W10&amp;VALUEID=01001&amp;SDATE=201002&amp;PERIODTYPE=QTR_STD&amp;SCFT=3&amp;window=popup_no_bar&amp;width=385&amp;height=120&amp;START_MAXIMIZED=FALSE&amp;creator=factset&amp;display_string=Audit"}</definedName>
    <definedName name="_7__FDSAUDITLINK__" localSheetId="19"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4"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5"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5"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5"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6"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8"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hidden="1">{"fdsup://Directions/FactSet Auditing Viewer?action=AUDIT_VALUE&amp;DB=129&amp;ID1=16990510&amp;VALUEID=01001&amp;SDATE=201002&amp;PERIODTYPE=QTR_STD&amp;SCFT=3&amp;window=popup_no_bar&amp;width=385&amp;height=120&amp;START_MAXIMIZED=FALSE&amp;creator=factset&amp;display_string=Audit"}</definedName>
    <definedName name="_8__FDSAUDITLINK__" localSheetId="19"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4"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5"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5"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5"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6"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8"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hidden="1">{"fdsup://Directions/FactSet Auditing Viewer?action=AUDIT_VALUE&amp;DB=129&amp;ID1=85590A40&amp;VALUEID=01001&amp;SDATE=201002&amp;PERIODTYPE=QTR_STD&amp;SCFT=3&amp;window=popup_no_bar&amp;width=385&amp;height=120&amp;START_MAXIMIZED=FALSE&amp;creator=factset&amp;display_string=Audit"}</definedName>
    <definedName name="_bdm.01DB72EDABE14D438B2D6B9D2F86AA87.edm" localSheetId="4" hidden="1">Hilton!$A$8:$E$76</definedName>
    <definedName name="_bdm.230468E898BF4833B30A1FB83E2ACBAD.edm" localSheetId="4" hidden="1">Hilton!$A$548:$K$597</definedName>
    <definedName name="_bdm.2659BB7F94324D54B6FCB87240511EA8.edm" localSheetId="4" hidden="1">Hilton!$A$487:$K$545</definedName>
    <definedName name="_bdm.28E45948EB7E4B66898A6366BB0B9088.edm" localSheetId="4" hidden="1">Hilton!$A$8:$K$76</definedName>
    <definedName name="_bdm.295100C1D54D45EA9AF60D067443A6E2.edm" localSheetId="4" hidden="1">Hilton!$A$151:$A$177</definedName>
    <definedName name="_bdm.35E0604D89114E86B323266AE0FA2029.edm" localSheetId="4" hidden="1">Hilton!$A$487:$A$545</definedName>
    <definedName name="_bdm.39EA29B666E846059DCFC7DBACB71CAF.edm" localSheetId="4" hidden="1">Hilton!$A$487:$A$545</definedName>
    <definedName name="_bdm.3BD6B8DD6EF54EEEA0379C1FAF77DD4C.edm" localSheetId="4" hidden="1">Hilton!$A$8:$K$76</definedName>
    <definedName name="_bdm.414AF37BC3314748A33466B5EA970D90.edm" localSheetId="4" hidden="1">Hilton!$A$8:$K$125</definedName>
    <definedName name="_bdm.4512502932A04135A4385188AC495F6A.edm" localSheetId="4" hidden="1">Hilton!$A$8:$A$76</definedName>
    <definedName name="_bdm.45B10D73E70140B9B46A96CACD458D60.edm" localSheetId="4" hidden="1">Hilton!$A$8:$A$76</definedName>
    <definedName name="_bdm.5001488A43DD4D5E8967673D00D80AE3.edm" localSheetId="4" hidden="1">Hilton!$A$151:$K$178</definedName>
    <definedName name="_bdm.65E527C23D9D4F5BB8AFF8CDF6C0FA2C.edm" localSheetId="4" hidden="1">Hilton!$A$2:$K$92</definedName>
    <definedName name="_bdm.6DAEB8804DE8484AAA510EA2807781E3.edm" localSheetId="4" hidden="1">Hilton!$A$548:$A$595</definedName>
    <definedName name="_bdm.6E8BF8AA3BAE47349CB3E8C6530C9C77.edm" localSheetId="4" hidden="1">Hilton!$A$151:$A$177</definedName>
    <definedName name="_bdm.8D571411E26947C084E31677C4FD939C.edm" localSheetId="4" hidden="1">Hilton!$A$151:$K$178</definedName>
    <definedName name="_bdm.8EED877C662B4FDEA2FE78E8E1B98D59.edm" localSheetId="4" hidden="1">Hilton!$A$548:$A$595</definedName>
    <definedName name="_bdm.A51B4B6372944D3CA6DD8CA6780EBD11.edm" hidden="1">Hilton!$1:$1048576</definedName>
    <definedName name="_bdm.CC23F11E676A409CA3FFCC73560744F6.edm" localSheetId="4" hidden="1">Hilton!$A$8:$A$76</definedName>
    <definedName name="_bdm.CEB0AB33E432404EB3F4C7067F2F72BF.edm" localSheetId="4" hidden="1">Hilton!$A$151:$K$178</definedName>
    <definedName name="_bdm.E714841B9FE64DD89D941248A0832E6C.edm" localSheetId="4" hidden="1">Hilton!$A$8:$K$92</definedName>
    <definedName name="_bdm.E9CE8B040D79461CA31692471224C331.edm" localSheetId="4" hidden="1">Hilton!$A$548:$K$597</definedName>
    <definedName name="_bdm.F23395C0942742F6A9F5DF0FB561308B.edm" localSheetId="4" hidden="1">Hilton!$A$487:$E$545</definedName>
    <definedName name="_bdm.F3637789D0E84392AAFF42C14BCFA6B7.edm" localSheetId="4" hidden="1">Hilton!$A$487:$K$545</definedName>
    <definedName name="_bdm.F874A112D823423D99D22080A0C963BF.edm" localSheetId="4" hidden="1">Hilton!$A$151:$E$177</definedName>
    <definedName name="_bdm.FB2A74F164CA4A5B9C9EF828E56CE0AB.edm" localSheetId="4" hidden="1">Hilton!$A$548:$E$595</definedName>
    <definedName name="_bdm.FD402DB2939A4010BB28DC09F4D907F5.edm" localSheetId="4" hidden="1">Hilton!$A$8:$K$125</definedName>
    <definedName name="_DCF2" localSheetId="19">{"Client Name or Project Name"}</definedName>
    <definedName name="_DCF2" localSheetId="24">{"Client Name or Project Name"}</definedName>
    <definedName name="_DCF2" localSheetId="25">{"Client Name or Project Name"}</definedName>
    <definedName name="_DCF2" localSheetId="5">{"Client Name or Project Name"}</definedName>
    <definedName name="_DCF2" localSheetId="15">{"Client Name or Project Name"}</definedName>
    <definedName name="_DCF2" localSheetId="16">{"Client Name or Project Name"}</definedName>
    <definedName name="_DCF2" localSheetId="8">{"Client Name or Project Name"}</definedName>
    <definedName name="_DCF2">{"Client Name or Project Name"}</definedName>
    <definedName name="_xlnm._FilterDatabase" localSheetId="30" hidden="1">Model_Template!$A$1:$CD$774</definedName>
    <definedName name="_xlnm._FilterDatabase" localSheetId="15" hidden="1">'Price per key'!$A$4:$P$57</definedName>
    <definedName name="_xlnm._FilterDatabase" localSheetId="16" hidden="1">'Price per key - REIT'!$A$2:$Q$67</definedName>
    <definedName name="AdditionalInstructions" localSheetId="27">IndexInformation!$B$42</definedName>
    <definedName name="AdditionalInstructions">#N/A</definedName>
    <definedName name="Address" localSheetId="1">ImportantDisclosures!$A$2:$A$2</definedName>
    <definedName name="ANA" localSheetId="28">ModPubIndex!$A$7</definedName>
    <definedName name="Authors" localSheetId="1">ImportantDisclosures!$A$7</definedName>
    <definedName name="Authors" localSheetId="27">IndexInformation!$B$18</definedName>
    <definedName name="BRO" localSheetId="28">ModPubIndex!$A$1</definedName>
    <definedName name="Buttons" localSheetId="3">CircularReferenceAlert!$B$13:$B$15</definedName>
    <definedName name="CopyrightStamp">ImportantDisclosures!$A$27</definedName>
    <definedName name="COU" localSheetId="28">ModPubIndex!$A$5</definedName>
    <definedName name="CQEnd" localSheetId="27">IndexInformation!$B$31</definedName>
    <definedName name="Currency" localSheetId="27">IndexInformation!$B$24</definedName>
    <definedName name="CurrentStockPrice" localSheetId="27">IndexInformation!$B$23</definedName>
    <definedName name="CurrQtrEPS" localSheetId="27">IndexInformation!$B$29</definedName>
    <definedName name="CurrYearEPS" localSheetId="27">IndexInformation!$B$11</definedName>
    <definedName name="CurrYearTotalRevenue" localSheetId="27">IndexInformation!$B$10</definedName>
    <definedName name="CurrYearTotalRevenueActual" localSheetId="27">IndexInformation!$B$32</definedName>
    <definedName name="CUSIP" localSheetId="27">IndexInformation!$B$20</definedName>
    <definedName name="CYEnd" localSheetId="27">IndexInformation!$B$30</definedName>
    <definedName name="Date" localSheetId="1">ImportantDisclosures!$A$8</definedName>
    <definedName name="Deleted" localSheetId="27">IndexInformation!$B$27</definedName>
    <definedName name="Description" localSheetId="27">IndexInformation!$B$7</definedName>
    <definedName name="Discipline" localSheetId="27">IndexInformation!$B$3</definedName>
    <definedName name="DISCIPLINE" localSheetId="28">ModPubIndex!$A$12</definedName>
    <definedName name="DisclosuresText">ImportantDisclosures!$A$22</definedName>
    <definedName name="Distribution" localSheetId="27">IndexInformation!$B$26</definedName>
    <definedName name="DistTable" localSheetId="1">ImportantDisclosures!#REF!</definedName>
    <definedName name="DistTablePreamble" localSheetId="1">ImportantDisclosures!#REF!</definedName>
    <definedName name="dividend">Hilton!$80:$80</definedName>
    <definedName name="DOCDAT" localSheetId="28">ModPubIndex!$A$2</definedName>
    <definedName name="DOCTIME" localSheetId="28">ModPubIndex!$A$3</definedName>
    <definedName name="DocType" localSheetId="27">IndexInformation!$B$5</definedName>
    <definedName name="EMAIL_ALERT" localSheetId="28">ModPubIndex!$A$10</definedName>
    <definedName name="EmailAlert" localSheetId="27">IndexInformation!$B$28</definedName>
    <definedName name="ｆ" hidden="1">"iQShowAnnual"</definedName>
    <definedName name="FiveYearGrowthRate" localSheetId="27">IndexInformation!$B$16</definedName>
    <definedName name="FollowingYearEPS" localSheetId="27">IndexInformation!$B$15</definedName>
    <definedName name="FollowingYearTotalRevenue" localSheetId="27">IndexInformation!$B$14</definedName>
    <definedName name="FollowingYearTotalRevenueActual" localSheetId="27">IndexInformation!$B$34</definedName>
    <definedName name="HL" localSheetId="28">ModPubIndex!$A$8</definedName>
    <definedName name="IND" localSheetId="28">ModPubIndex!$A$9</definedName>
    <definedName name="Industry" localSheetId="1">ImportantDisclosures!$A$12</definedName>
    <definedName name="IndustryId" localSheetId="27">IndexInformation!$B$40</definedName>
    <definedName name="IndustryId">1500004839</definedName>
    <definedName name="IndustryRating" localSheetId="1">ImportantDisclosures!$A$13</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PENSE_CODE_">"019802400"</definedName>
    <definedName name="IQ_EXTRA_ACC_ITEMS_BR" hidden="1">"c412"</definedName>
    <definedName name="IQ_FH" hidden="1">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41541.7844907407</definedName>
    <definedName name="IQ_NET_DEBT_ISSUED_BR" hidden="1">"c753"</definedName>
    <definedName name="IQ_NET_INT_INC_BR" hidden="1">"c765"</definedName>
    <definedName name="IQ_NTM" hidden="1">6000</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KeepVersions" localSheetId="27">IndexInformation!$B$8</definedName>
    <definedName name="LanguageCode" localSheetId="27">IndexInformation!$B$38</definedName>
    <definedName name="LanguageCode">"en-US"</definedName>
    <definedName name="LastCell" localSheetId="1">ImportantDisclosures!$A$22</definedName>
    <definedName name="Linking_1">'2Q15'!$A$5:$K$55</definedName>
    <definedName name="Linking_10">'Exhibits 3'!$X$132:$AA$138</definedName>
    <definedName name="Linking_11">'Exhibits 3'!$AB$141:$AD$147</definedName>
    <definedName name="Linking_12">Hilton!$A$5:$AO$74</definedName>
    <definedName name="Linking_13">Hilton!$A$104:$AO$140</definedName>
    <definedName name="Linking_14">Hilton!$A$487:$AO$545</definedName>
    <definedName name="Linking_15">Hilton!$A$151:$AO$179</definedName>
    <definedName name="Linking_16">Hilton!$A$548:$AO$597</definedName>
    <definedName name="Linking_17">'Owned Assets Spun Out'!$N$227:$Q$257</definedName>
    <definedName name="Linking_18">Hilton!$A$1:$AO$74</definedName>
    <definedName name="Linking_19">Hilton!$A$104:$AO$132</definedName>
    <definedName name="Linking_2">Hilton!$A$5:$AJ$74</definedName>
    <definedName name="Linking_20">Hilton!$A$1:$AO$72</definedName>
    <definedName name="Linking_21">'Exhibits 3'!$AE$150:$AH$156</definedName>
    <definedName name="Linking_22">'Exhibits 3'!$AI$157:$AK$163</definedName>
    <definedName name="Linking_23">'Exhibits 3'!$AE$149:$AH$156</definedName>
    <definedName name="Linking_24">'Exhibits 3'!$CL$351</definedName>
    <definedName name="Linking_25">Hilton!$A$5:$AQ$75</definedName>
    <definedName name="Linking_26">Hilton!$A$104:$AQ$140</definedName>
    <definedName name="Linking_27">Hilton!$A$487:$AQ$545</definedName>
    <definedName name="Linking_28">Hilton!$A$151:$AQ$179</definedName>
    <definedName name="Linking_29">Hilton!$A$548:$AQ$657</definedName>
    <definedName name="Linking_3">Hilton!$A$104:$AJ$128</definedName>
    <definedName name="Linking_30">Hilton!$A$548:$AQ$597</definedName>
    <definedName name="Linking_31">'Exhibits 3'!$GW$631:$GX$650</definedName>
    <definedName name="Linking_32">'Exhibits 3'!$HU$692:$HV$703</definedName>
    <definedName name="Linking_33">'Exhibits 3'!$IH$746:$IK$763</definedName>
    <definedName name="Linking_35">'Exhibits 3'!$IH$739:$IK$763</definedName>
    <definedName name="Linking_36">'Exhibits 3'!$JF$817:$JK$820</definedName>
    <definedName name="Linking_37">'EBITDA Val'!$B$2:$H$15</definedName>
    <definedName name="Linking_38">Exhibits2!$HN$505:$HU$509</definedName>
    <definedName name="Linking_39">'Exhibits 3'!$JO$841:$JY$851</definedName>
    <definedName name="Linking_4">Hilton!$A$487:$AJ$545</definedName>
    <definedName name="Linking_40">'Exhibits 3'!$JL$822:$JM$840</definedName>
    <definedName name="Linking_41">Hilton!$A$1:$AQ$75</definedName>
    <definedName name="Linking_42">Hilton!$A$1:$AQ$95</definedName>
    <definedName name="Linking_43">Hilton!$A$104:$AQ$150</definedName>
    <definedName name="Linking_44">#N/A</definedName>
    <definedName name="Linking_45">'EBITDA Val'!$B$3:$I$15</definedName>
    <definedName name="Linking_5">Hilton!$A$151:$AJ$179</definedName>
    <definedName name="Linking_6">Hilton!$A$548:$AJ$597</definedName>
    <definedName name="Linking_7">Hilton!$A$104:$AJ$140</definedName>
    <definedName name="Linking_8">Exhibits2!$HN$505:$HT$509</definedName>
    <definedName name="Linking_9">'Exhibits 3'!$U$123:$W$129</definedName>
    <definedName name="Linking_Range_10">Hilton!$A$8:$P$84</definedName>
    <definedName name="Linking_Range_100">Exhibits2!$DL$247:$DN$265</definedName>
    <definedName name="Linking_Range_101">Exhibits2!$EC$309:$ES$316</definedName>
    <definedName name="Linking_Range_102">Exhibits!$AK$114:$AS$146</definedName>
    <definedName name="Linking_Range_103">Exhibits!$IQ$712:$IV$722</definedName>
    <definedName name="Linking_Range_104">Exhibits2!$FA$339:$FD$339</definedName>
    <definedName name="Linking_Range_108">'Price per key'!$P$166:$Q$173</definedName>
    <definedName name="Linking_Range_109">'EBITDA Val'!$B$4:$H$17</definedName>
    <definedName name="Linking_Range_110">Exhibits2!$FF$351:$FJ$364</definedName>
    <definedName name="Linking_Range_111">Exhibits2!$FL$370:$FP$383</definedName>
    <definedName name="Linking_Range_112">Exhibits2!$FF$351:$FI$364</definedName>
    <definedName name="Linking_Range_113">Exhibits2!$FR$390:$GA$404</definedName>
    <definedName name="Linking_Range_114">Exhibits2!$FF$351:$FJ$366</definedName>
    <definedName name="Linking_Range_115">Exhibits2!$FL$370:$FP$385</definedName>
    <definedName name="Linking_Range_116">Exhibits2!$GH$423:$GM$430</definedName>
    <definedName name="Linking_Range_117">'EBITDA Val'!$B$3:$H$15</definedName>
    <definedName name="Linking_Range_118" localSheetId="16">'Price per key - REIT'!$A$2:$G$69</definedName>
    <definedName name="Linking_Range_118">'Price per key'!$A$4:$G$59</definedName>
    <definedName name="Linking_Range_119" localSheetId="16">'Price per key - REIT'!$A$71:$G$79</definedName>
    <definedName name="Linking_Range_119">'Price per key'!$A$61:$G$140</definedName>
    <definedName name="Linking_Range_12">Hilton!$A$8:$P$72</definedName>
    <definedName name="Linking_Range_120">Exhibits2!$FR$390:$GB$405</definedName>
    <definedName name="Linking_Range_121">Exhibits2!$FR$390:$GC$405</definedName>
    <definedName name="Linking_Range_122">Exhibits2!$FF$351:$FI$366</definedName>
    <definedName name="Linking_Range_123">Hilton!$A$5:$AE$74</definedName>
    <definedName name="Linking_Range_124">Hilton!$A$151:$AE$179</definedName>
    <definedName name="Linking_Range_125">Waldorf!$AW$341:$AX$359</definedName>
    <definedName name="Linking_Range_126">Waldorf!$AQ$320:$AV$339</definedName>
    <definedName name="Linking_Range_127">Waldorf!$BD$408:$BF$417</definedName>
    <definedName name="Linking_Range_128">Waldorf!$AY$378:$AZ$395</definedName>
    <definedName name="Linking_Range_129">Waldorf!$AW$362:$AX$375</definedName>
    <definedName name="Linking_Range_13">Hilton!$A$2:$P$72</definedName>
    <definedName name="Linking_Range_130">'2Q14'!$A$4:$K$55</definedName>
    <definedName name="Linking_Range_131">Exhibits2!$HN$505:$HR$515</definedName>
    <definedName name="Linking_Range_132">Exhibits2!$HN$505:$HT$515</definedName>
    <definedName name="Linking_Range_14">Hilton!$A$2:$P$102</definedName>
    <definedName name="Linking_Range_15">Hilton!$A$2:$Z$128</definedName>
    <definedName name="Linking_Range_16">Hilton!$A$5:$U$127</definedName>
    <definedName name="Linking_Range_17">Hilton!$A$5:$Z$127</definedName>
    <definedName name="Linking_Range_31">Hilton!$A$2:$U$73</definedName>
    <definedName name="Linking_Range_32">Hilton!$A$2:$U$127</definedName>
    <definedName name="Linking_Range_33">Hilton!$A$151:$Z$178</definedName>
    <definedName name="Linking_Range_34">Hilton!$A$487:$Z$545</definedName>
    <definedName name="Linking_Range_35">Hilton!$A$151:$U$178</definedName>
    <definedName name="Linking_Range_36">Hilton!$A$487:$U$545</definedName>
    <definedName name="Linking_Range_37">Hilton!$A$548:$U$597</definedName>
    <definedName name="Linking_Range_48" localSheetId="19">'2Q14'!$A$4:$K$42</definedName>
    <definedName name="Linking_Range_49" localSheetId="19">'2Q14'!$A$5:$K$42</definedName>
    <definedName name="Linking_Range_51" localSheetId="15">'Price per key'!$A$3:$L$145</definedName>
    <definedName name="Linking_Range_51" localSheetId="16">'Price per key - REIT'!$A$1:$M$85</definedName>
    <definedName name="Linking_Range_52" localSheetId="15">'Price per key'!$A$4:$L$145</definedName>
    <definedName name="Linking_Range_52" localSheetId="16">'Price per key - REIT'!$A$2:$M$85</definedName>
    <definedName name="Linking_Range_61">Hilton!$A$5:$U$68</definedName>
    <definedName name="Linking_Range_62">Hilton!$A$104:$U$140</definedName>
    <definedName name="Linking_Range_63">Hilton!$A$487:$T$545</definedName>
    <definedName name="Linking_Range_64">Hilton!$A$151:$U$171</definedName>
    <definedName name="Linking_Range_65">Hilton!$AS$151:$AZ$171</definedName>
    <definedName name="Linking_Range_66">Exhibits!$BD$167:$BJ$174</definedName>
    <definedName name="Linking_Range_67">Exhibits!$CB$232:$CG$237</definedName>
    <definedName name="Linking_Range_68">Exhibits!$CJ$242:$CM$245</definedName>
    <definedName name="Linking_Range_69">Exhibits!$CO$249:$CS$252</definedName>
    <definedName name="Linking_Range_70">Exhibits!$CO$249:$CR$260</definedName>
    <definedName name="Linking_Range_71">Exhibits!$DO$341:$DQ$344</definedName>
    <definedName name="Linking_Range_72">Exhibits!$EZ$462:$FD$479</definedName>
    <definedName name="Linking_Range_73">Exhibits!$EZ$462:$FE$479</definedName>
    <definedName name="Linking_Range_74">Exhibits!$HL$599:$HR$613</definedName>
    <definedName name="Linking_Range_75">Exhibits!$HS$615:$HZ$642</definedName>
    <definedName name="Linking_Range_76">Hilton!$AS$104:$AZ$127</definedName>
    <definedName name="Linking_Range_77">Exhibits!$IA$645:$IH$667</definedName>
    <definedName name="Linking_Range_78">Exhibits!$II$669:$IP$697</definedName>
    <definedName name="Linking_Range_79">Exhibits!$IQ$712:$IV$722</definedName>
    <definedName name="Linking_Range_80">Exhibits2!$A$1:$H$11</definedName>
    <definedName name="Linking_Range_81">Exhibits!$IQ$712:$IV$716</definedName>
    <definedName name="Linking_Range_82">Exhibits!$IQ$718:$IV$722</definedName>
    <definedName name="Linking_Range_83">Hilton!$A$5:$AE$73</definedName>
    <definedName name="Linking_Range_84">Hilton!$A$104:$AE$140</definedName>
    <definedName name="Linking_Range_85">Hilton!$A$487:$AE$545</definedName>
    <definedName name="Linking_Range_86">Hilton!$A$548:$AE$597</definedName>
    <definedName name="Linking_Range_87">Hilton!$A$151:$AE$178</definedName>
    <definedName name="Linking_Range_88">'OLD Valuation'!$U$47:$X$62</definedName>
    <definedName name="Linking_Range_89">'OLD Valuation'!$AD$47:$AG$62</definedName>
    <definedName name="Linking_Range_90">Exhibits!$EZ$462:$FE$480</definedName>
    <definedName name="Linking_Range_91">Exhibits2!$AC$47:$AM$61</definedName>
    <definedName name="Linking_Range_92">Exhibits!$CO$249:$CR$263</definedName>
    <definedName name="Linking_Range_93">Exhibits2!$AY$132:$BD$133</definedName>
    <definedName name="Linking_Range_94">Exhibits2!$CH$188:$CQ$204</definedName>
    <definedName name="Linking_Range_95">Exhibits2!$CH$188:$CP$204</definedName>
    <definedName name="Linking_Range_96">Exhibits2!$CV$210:$DD$228</definedName>
    <definedName name="Linking_Range_97">Exhibits2!$DO$274:$DU$291</definedName>
    <definedName name="Linking_Range_98">Exhibits2!$DL$247:$DN$272</definedName>
    <definedName name="Linking_Range_99">Exhibits2!$DL$247:$DN$260</definedName>
    <definedName name="Linking_Text_2">'EBITDA Val'!$J$7</definedName>
    <definedName name="MacroVersion" localSheetId="27">IndexInformation!$B$1</definedName>
    <definedName name="MaxChange" localSheetId="3">CircularReferenceAlert!$B$9</definedName>
    <definedName name="MaxIterations" localSheetId="3">CircularReferenceAlert!$B$8</definedName>
    <definedName name="ModelPrice" localSheetId="1">ImportantDisclosures!$A$14</definedName>
    <definedName name="Multiplier" localSheetId="27">IndexInformation!$B$35</definedName>
    <definedName name="NextYearEPS" localSheetId="27">IndexInformation!$B$13</definedName>
    <definedName name="NextYearTotalRevenue" localSheetId="27">IndexInformation!$B$12</definedName>
    <definedName name="NextYearTotalRevenueActual" localSheetId="27">IndexInformation!$B$33</definedName>
    <definedName name="ObjectType" localSheetId="27">IndexInformation!$B$37</definedName>
    <definedName name="ObjectType">"excel"</definedName>
    <definedName name="PANA" localSheetId="28">ModPubIndex!$A$11</definedName>
    <definedName name="PathName" localSheetId="27">IndexInformation!$B$25</definedName>
    <definedName name="_xlnm.Print_Area" localSheetId="4">Hilton!$A$1:$Z$695</definedName>
    <definedName name="_xlnm.Print_Area">#REF!</definedName>
    <definedName name="_xlnm.Print_Titles">#REF!</definedName>
    <definedName name="PRODUCT" localSheetId="28">ModPubIndex!$A$6</definedName>
    <definedName name="ProjectName" localSheetId="19">{"Client Name or Project Name"}</definedName>
    <definedName name="ProjectName" localSheetId="24">{"Client Name or Project Name"}</definedName>
    <definedName name="ProjectName" localSheetId="25">{"Client Name or Project Name"}</definedName>
    <definedName name="ProjectName" localSheetId="5">{"Client Name or Project Name"}</definedName>
    <definedName name="ProjectName" localSheetId="29">{"Client Name or Project Name"}</definedName>
    <definedName name="ProjectName" localSheetId="15">{"Client Name or Project Name"}</definedName>
    <definedName name="ProjectName" localSheetId="16">{"Client Name or Project Name"}</definedName>
    <definedName name="ProjectName" localSheetId="8">{"Client Name or Project Name"}</definedName>
    <definedName name="ProjectName">{"Client Name or Project Name"}</definedName>
    <definedName name="projectname2" localSheetId="19">{"Client Name or Project Name"}</definedName>
    <definedName name="ProjectName2" localSheetId="24">{"Client Name or Project Name"}</definedName>
    <definedName name="projectname2" localSheetId="25">{"Client Name or Project Name"}</definedName>
    <definedName name="ProjectName2" localSheetId="5">{"Client Name or Project Name"}</definedName>
    <definedName name="ProjectName2" localSheetId="15">{"Client Name or Project Name"}</definedName>
    <definedName name="ProjectName2" localSheetId="16">{"Client Name or Project Name"}</definedName>
    <definedName name="ProjectName2" localSheetId="8">{"Client Name or Project Name"}</definedName>
    <definedName name="ProjectName2">{"Client Name or Project Name"}</definedName>
    <definedName name="PSYM" localSheetId="28">ModPubIndex!$A$4</definedName>
    <definedName name="PublishDate" localSheetId="27">IndexInformation!$B$2</definedName>
    <definedName name="Rating" localSheetId="27">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searchTopic" localSheetId="27">IndexInformation!$B$4</definedName>
    <definedName name="revsheet" localSheetId="19">{"Client Name or Project Name"}</definedName>
    <definedName name="revsheet" localSheetId="24">{"Client Name or Project Name"}</definedName>
    <definedName name="revsheet" localSheetId="25">{"Client Name or Project Name"}</definedName>
    <definedName name="revsheet" localSheetId="5">{"Client Name or Project Name"}</definedName>
    <definedName name="revsheet" localSheetId="15">{"Client Name or Project Name"}</definedName>
    <definedName name="revsheet" localSheetId="16">{"Client Name or Project Name"}</definedName>
    <definedName name="revsheet" localSheetId="8">{"Client Name or Project Name"}</definedName>
    <definedName name="revsheet">{"Client Name or Project Name"}</definedName>
    <definedName name="RIC" localSheetId="27">IndexInformation!$B$21</definedName>
    <definedName name="SECSettlement" localSheetId="1">ImportantDisclosures!#REF!</definedName>
    <definedName name="SEDOL" localSheetId="27">IndexInformation!$B$22</definedName>
    <definedName name="solver_cvg" localSheetId="4" hidden="1">0.001</definedName>
    <definedName name="solver_drv" localSheetId="4" hidden="1">1</definedName>
    <definedName name="solver_est" localSheetId="4" hidden="1">1</definedName>
    <definedName name="solver_itr" localSheetId="4" hidden="1">100</definedName>
    <definedName name="solver_lin" localSheetId="4" hidden="1">2</definedName>
    <definedName name="solver_neg" localSheetId="4" hidden="1">2</definedName>
    <definedName name="solver_num" localSheetId="4" hidden="1">0</definedName>
    <definedName name="solver_nwt" localSheetId="4" hidden="1">1</definedName>
    <definedName name="solver_pre" localSheetId="4" hidden="1">0.000001</definedName>
    <definedName name="solver_scl" localSheetId="4" hidden="1">2</definedName>
    <definedName name="solver_sho" localSheetId="4" hidden="1">2</definedName>
    <definedName name="solver_tim" localSheetId="4" hidden="1">100</definedName>
    <definedName name="solver_tol" localSheetId="4" hidden="1">0.05</definedName>
    <definedName name="solver_typ" localSheetId="4" hidden="1">3</definedName>
    <definedName name="solver_val" localSheetId="4" hidden="1">-0.28</definedName>
    <definedName name="SourceDefined" localSheetId="1">ImportantDisclosures!$A$19</definedName>
    <definedName name="StockRating" localSheetId="1">ImportantDisclosures!$A$11</definedName>
    <definedName name="SubjectCode" localSheetId="27">IndexInformation!$B$6</definedName>
    <definedName name="SubmitterUserId" localSheetId="27">IndexInformation!$B$39</definedName>
    <definedName name="SubmitterUserId">"savinmar"</definedName>
    <definedName name="SUPPRESSED" localSheetId="28">ModPubIndex!$A$13</definedName>
    <definedName name="TargetPrice" localSheetId="1">ImportantDisclosures!$A$15</definedName>
    <definedName name="TemplateRegion" localSheetId="27">IndexInformation!$B$36</definedName>
    <definedName name="TemplateRegion">"NorthAmerica"</definedName>
    <definedName name="Ticker" localSheetId="1">ImportantDisclosures!$A$10</definedName>
    <definedName name="TickerRegion" localSheetId="27">IndexInformation!$B$41</definedName>
    <definedName name="TickerRegion">1</definedName>
    <definedName name="Tickers" localSheetId="27">IndexInformation!$B$19</definedName>
    <definedName name="UpdateReason" localSheetId="27">IndexInformation!$B$17</definedName>
    <definedName name="USRegDisclosures" localSheetId="1">ImportantDisclosures!#REF!</definedName>
  </definedNames>
  <calcPr calcId="145621" calcMode="autoNoTable" iterate="1"/>
</workbook>
</file>

<file path=xl/calcChain.xml><?xml version="1.0" encoding="utf-8"?>
<calcChain xmlns="http://schemas.openxmlformats.org/spreadsheetml/2006/main">
  <c r="AK51" i="6" l="1"/>
  <c r="AK261" i="6" l="1"/>
  <c r="AH452" i="6"/>
  <c r="AG452" i="6"/>
  <c r="AF452" i="6"/>
  <c r="AI452" i="6"/>
  <c r="AJ452" i="6"/>
  <c r="AG946" i="58411"/>
  <c r="AG945" i="58411"/>
  <c r="AG944" i="58411"/>
  <c r="AM261" i="6"/>
  <c r="AN261" i="6"/>
  <c r="AL261" i="6"/>
  <c r="AN242" i="6"/>
  <c r="AM242" i="6"/>
  <c r="AL242" i="6"/>
  <c r="AK242" i="6"/>
  <c r="AF265" i="6"/>
  <c r="AF260" i="6"/>
  <c r="AF257" i="6"/>
  <c r="AF250" i="6"/>
  <c r="AG265" i="6"/>
  <c r="AG260" i="6"/>
  <c r="AG257" i="6"/>
  <c r="AG250" i="6"/>
  <c r="AI260" i="6"/>
  <c r="AI257" i="6"/>
  <c r="AI250" i="6"/>
  <c r="AH260" i="6"/>
  <c r="AH257" i="6"/>
  <c r="AH250" i="6"/>
  <c r="AJ257" i="6"/>
  <c r="AJ250" i="6"/>
  <c r="AH265" i="6"/>
  <c r="AJ265" i="6"/>
  <c r="AI265" i="6"/>
  <c r="AL512" i="6"/>
  <c r="AM512" i="6"/>
  <c r="AN512" i="6"/>
  <c r="AK512" i="6"/>
  <c r="AQ120" i="6"/>
  <c r="AP120" i="6"/>
  <c r="AK409" i="6"/>
  <c r="AK34" i="6" l="1"/>
  <c r="AF124" i="6"/>
  <c r="AG124" i="6"/>
  <c r="AH124" i="6"/>
  <c r="AJ122" i="6"/>
  <c r="AI123" i="6"/>
  <c r="AG122" i="6"/>
  <c r="AH122" i="6"/>
  <c r="AI122" i="6"/>
  <c r="AF122" i="6"/>
  <c r="AJ123" i="6"/>
  <c r="AH123" i="6"/>
  <c r="AG123" i="6"/>
  <c r="AF123" i="6"/>
  <c r="AR60" i="6" l="1"/>
  <c r="AL409" i="6"/>
  <c r="AM409" i="6"/>
  <c r="AN409" i="6"/>
  <c r="AK112" i="6"/>
  <c r="AN116" i="6" l="1"/>
  <c r="AM116" i="6"/>
  <c r="AL116" i="6"/>
  <c r="AN115" i="6"/>
  <c r="AM115" i="6"/>
  <c r="AL115" i="6"/>
  <c r="AN45" i="6"/>
  <c r="AM45" i="6"/>
  <c r="AL45" i="6"/>
  <c r="AK355" i="6"/>
  <c r="AK282" i="6"/>
  <c r="AJ302" i="6"/>
  <c r="AI302" i="6"/>
  <c r="AH302" i="6"/>
  <c r="AG302" i="6"/>
  <c r="AF302" i="6"/>
  <c r="AJ301" i="6"/>
  <c r="AJ300" i="6"/>
  <c r="AI300" i="6"/>
  <c r="AH300" i="6"/>
  <c r="AG300" i="6"/>
  <c r="AF300" i="6"/>
  <c r="AJ299" i="6"/>
  <c r="AI299" i="6"/>
  <c r="AH299" i="6"/>
  <c r="AG299" i="6"/>
  <c r="AF299" i="6"/>
  <c r="AJ298" i="6"/>
  <c r="AI298" i="6"/>
  <c r="AH298" i="6"/>
  <c r="AG298" i="6"/>
  <c r="AF298" i="6"/>
  <c r="AJ297" i="6"/>
  <c r="AI297" i="6"/>
  <c r="AH297" i="6"/>
  <c r="AG297" i="6"/>
  <c r="AF297" i="6"/>
  <c r="AJ296" i="6"/>
  <c r="AI296" i="6"/>
  <c r="AH296" i="6"/>
  <c r="AG296" i="6"/>
  <c r="AF296" i="6"/>
  <c r="AO413" i="6"/>
  <c r="AO412" i="6"/>
  <c r="AG414" i="6"/>
  <c r="AH414" i="6"/>
  <c r="AI414" i="6"/>
  <c r="AF414" i="6"/>
  <c r="AJ413" i="6"/>
  <c r="AJ412" i="6"/>
  <c r="AI377" i="6"/>
  <c r="AN371" i="6" s="1"/>
  <c r="AN377" i="6" s="1"/>
  <c r="AH377" i="6"/>
  <c r="AM371" i="6" s="1"/>
  <c r="AM377" i="6" s="1"/>
  <c r="AG377" i="6"/>
  <c r="AL371" i="6" s="1"/>
  <c r="AL377" i="6" s="1"/>
  <c r="AF377" i="6"/>
  <c r="AK371" i="6" s="1"/>
  <c r="AK377" i="6" s="1"/>
  <c r="AO376" i="6"/>
  <c r="AJ376" i="6"/>
  <c r="AO359" i="6"/>
  <c r="AJ359" i="6"/>
  <c r="AI360" i="6"/>
  <c r="AH360" i="6"/>
  <c r="AG360" i="6"/>
  <c r="AF360" i="6"/>
  <c r="AI691" i="6"/>
  <c r="AF945" i="58411"/>
  <c r="AG15" i="58438"/>
  <c r="AF15" i="58438"/>
  <c r="AF84" i="58438"/>
  <c r="AF83" i="58438"/>
  <c r="AF82" i="58438"/>
  <c r="AF323" i="58438"/>
  <c r="AF322" i="58438"/>
  <c r="AF321" i="58438"/>
  <c r="AF320" i="58438"/>
  <c r="AF319" i="58438"/>
  <c r="AF318" i="58438"/>
  <c r="AF317" i="58438"/>
  <c r="AF316" i="58438"/>
  <c r="AG309" i="58438"/>
  <c r="AG310" i="58438" s="1"/>
  <c r="AG306" i="58438"/>
  <c r="AG307" i="58438" s="1"/>
  <c r="AF309" i="58438"/>
  <c r="AF310" i="58438" s="1"/>
  <c r="AF307" i="58438"/>
  <c r="AF306" i="58438"/>
  <c r="AF304" i="58438"/>
  <c r="AG297" i="58438"/>
  <c r="AG296" i="58438"/>
  <c r="AG295" i="58438"/>
  <c r="AF297" i="58438"/>
  <c r="AF296" i="58438"/>
  <c r="AF295" i="58438"/>
  <c r="AG281" i="58438"/>
  <c r="AG280" i="58438"/>
  <c r="AG279" i="58438"/>
  <c r="AF281" i="58438"/>
  <c r="AF280" i="58438"/>
  <c r="AF279" i="58438"/>
  <c r="AG265" i="58438"/>
  <c r="AG264" i="58438"/>
  <c r="AG263" i="58438"/>
  <c r="AF265" i="58438"/>
  <c r="AF264" i="58438"/>
  <c r="AF263" i="58438"/>
  <c r="AG249" i="58438"/>
  <c r="AG248" i="58438"/>
  <c r="AG247" i="58438"/>
  <c r="AF249" i="58438"/>
  <c r="AF248" i="58438"/>
  <c r="AF247" i="58438"/>
  <c r="AG230" i="58438"/>
  <c r="AG229" i="58438"/>
  <c r="AG228" i="58438"/>
  <c r="AF230" i="58438"/>
  <c r="AF229" i="58438"/>
  <c r="AF228" i="58438"/>
  <c r="AG78" i="58438"/>
  <c r="AG77" i="58438"/>
  <c r="AG76" i="58438"/>
  <c r="AF78" i="58438"/>
  <c r="AF77" i="58438"/>
  <c r="AF76" i="58438"/>
  <c r="AF839" i="58411"/>
  <c r="AF840" i="58411"/>
  <c r="AF822" i="58411"/>
  <c r="AF772" i="58411"/>
  <c r="AG772" i="58411"/>
  <c r="AF438" i="58411"/>
  <c r="AF70" i="58411"/>
  <c r="AI470" i="6"/>
  <c r="AI469" i="6"/>
  <c r="AI468" i="6"/>
  <c r="AI455" i="6"/>
  <c r="AI451" i="6"/>
  <c r="AI372" i="6"/>
  <c r="AI256" i="6"/>
  <c r="AI261" i="6" s="1"/>
  <c r="AI249" i="6"/>
  <c r="AI248" i="6" s="1"/>
  <c r="AS123" i="6"/>
  <c r="AS122" i="6"/>
  <c r="AI64" i="6" l="1"/>
  <c r="AI16" i="6"/>
  <c r="AA156" i="6" l="1"/>
  <c r="V156" i="6"/>
  <c r="L44" i="58483" l="1"/>
  <c r="L21" i="58483"/>
  <c r="L18" i="58483"/>
  <c r="L32" i="58483"/>
  <c r="L42" i="58483"/>
  <c r="L37" i="58483"/>
  <c r="L43" i="58483" l="1"/>
  <c r="L33" i="58483"/>
  <c r="H1" i="58483"/>
  <c r="L47" i="58483"/>
  <c r="I16" i="58483"/>
  <c r="L20" i="58483" l="1"/>
  <c r="L22" i="58483" s="1"/>
  <c r="H16" i="58483"/>
  <c r="L46" i="58483"/>
  <c r="JK819" i="58502"/>
  <c r="L51" i="58483" l="1"/>
  <c r="L48" i="58483"/>
  <c r="L49" i="58483"/>
  <c r="AH691" i="6"/>
  <c r="AH689" i="6"/>
  <c r="AH688" i="6"/>
  <c r="AH687" i="6"/>
  <c r="AH686" i="6"/>
  <c r="AH685" i="6"/>
  <c r="AH684" i="6"/>
  <c r="AH615" i="6"/>
  <c r="AH605" i="6"/>
  <c r="AH602" i="6"/>
  <c r="AH624" i="6" s="1"/>
  <c r="AH660" i="6" s="1"/>
  <c r="AH595" i="6"/>
  <c r="AH587" i="6"/>
  <c r="AH579" i="6"/>
  <c r="AH548" i="6"/>
  <c r="AH492" i="6"/>
  <c r="AH491" i="6"/>
  <c r="AH690" i="6" l="1"/>
  <c r="AB52" i="58470" l="1"/>
  <c r="AB50" i="58470"/>
  <c r="AF47" i="58470"/>
  <c r="W47" i="58470"/>
  <c r="M38" i="58470"/>
  <c r="N38" i="58470" s="1"/>
  <c r="F20" i="58470"/>
  <c r="D40" i="58482"/>
  <c r="D39" i="58482"/>
  <c r="D38" i="58482"/>
  <c r="M37" i="58482"/>
  <c r="L37" i="58482"/>
  <c r="K37" i="58482"/>
  <c r="J37" i="58482"/>
  <c r="I37" i="58482"/>
  <c r="H37" i="58482"/>
  <c r="G37" i="58482"/>
  <c r="F37" i="58482"/>
  <c r="E37" i="58482"/>
  <c r="B23" i="58482"/>
  <c r="B19" i="58482"/>
  <c r="F16" i="58482"/>
  <c r="B16" i="58482"/>
  <c r="IQ721" i="58479"/>
  <c r="IS712" i="58479"/>
  <c r="IS718" i="58479" s="1"/>
  <c r="IQ715" i="58479"/>
  <c r="IK693" i="58479"/>
  <c r="IJ693" i="58479"/>
  <c r="IC662" i="58479"/>
  <c r="IB662" i="58479"/>
  <c r="IH652" i="58479"/>
  <c r="IG652" i="58479"/>
  <c r="IE652" i="58479"/>
  <c r="ID652" i="58479"/>
  <c r="IC652" i="58479"/>
  <c r="IB652" i="58479"/>
  <c r="IB651" i="58479"/>
  <c r="HU622" i="58479"/>
  <c r="HT622" i="58479"/>
  <c r="HU619" i="58479"/>
  <c r="HT619" i="58479"/>
  <c r="HU618" i="58479"/>
  <c r="HT618" i="58479"/>
  <c r="HU617" i="58479"/>
  <c r="HT617" i="58479"/>
  <c r="HN613" i="58479"/>
  <c r="HM613" i="58479"/>
  <c r="HR607" i="58479"/>
  <c r="HQ607" i="58479"/>
  <c r="HP607" i="58479"/>
  <c r="HO607" i="58479"/>
  <c r="HN607" i="58479"/>
  <c r="HM607" i="58479"/>
  <c r="HL607" i="58479"/>
  <c r="HR606" i="58479"/>
  <c r="HQ606" i="58479"/>
  <c r="HP606" i="58479"/>
  <c r="HO606" i="58479"/>
  <c r="HN606" i="58479"/>
  <c r="HM606" i="58479"/>
  <c r="HL606" i="58479"/>
  <c r="HR605" i="58479"/>
  <c r="HQ605" i="58479"/>
  <c r="HP605" i="58479"/>
  <c r="HO605" i="58479"/>
  <c r="HN605" i="58479"/>
  <c r="HM605" i="58479"/>
  <c r="HL605" i="58479"/>
  <c r="HR604" i="58479"/>
  <c r="HQ604" i="58479"/>
  <c r="HP604" i="58479"/>
  <c r="HO604" i="58479"/>
  <c r="HN604" i="58479"/>
  <c r="HM604" i="58479"/>
  <c r="HL604" i="58479"/>
  <c r="HR603" i="58479"/>
  <c r="HQ603" i="58479"/>
  <c r="HP603" i="58479"/>
  <c r="HO603" i="58479"/>
  <c r="HN603" i="58479"/>
  <c r="HM603" i="58479"/>
  <c r="HL603" i="58479"/>
  <c r="HR602" i="58479"/>
  <c r="HQ602" i="58479"/>
  <c r="HP602" i="58479"/>
  <c r="HO602" i="58479"/>
  <c r="HN602" i="58479"/>
  <c r="HM602" i="58479"/>
  <c r="HL602" i="58479"/>
  <c r="HR601" i="58479"/>
  <c r="HR609" i="58479" s="1"/>
  <c r="HQ601" i="58479"/>
  <c r="HP601" i="58479"/>
  <c r="HO601" i="58479"/>
  <c r="HN601" i="58479"/>
  <c r="HM601" i="58479"/>
  <c r="HL601" i="58479"/>
  <c r="HR599" i="58479"/>
  <c r="HQ599" i="58479"/>
  <c r="HP599" i="58479"/>
  <c r="HO599" i="58479"/>
  <c r="HN599" i="58479"/>
  <c r="HM599" i="58479"/>
  <c r="GJ529" i="58479"/>
  <c r="GI529" i="58479"/>
  <c r="GH529" i="58479"/>
  <c r="GG529" i="58479"/>
  <c r="GF529" i="58479"/>
  <c r="GE529" i="58479"/>
  <c r="GD529" i="58479"/>
  <c r="FQ493" i="58479"/>
  <c r="FP493" i="58479"/>
  <c r="FO493" i="58479"/>
  <c r="FN493" i="58479"/>
  <c r="FM493" i="58479"/>
  <c r="FL493" i="58479"/>
  <c r="FI489" i="58479"/>
  <c r="FI485" i="58479"/>
  <c r="FI483" i="58479"/>
  <c r="FD479" i="58479"/>
  <c r="FC479" i="58479"/>
  <c r="FD478" i="58479"/>
  <c r="FC478" i="58479"/>
  <c r="FD477" i="58479"/>
  <c r="FC477" i="58479"/>
  <c r="FD476" i="58479"/>
  <c r="FC476" i="58479"/>
  <c r="FD475" i="58479"/>
  <c r="FC475" i="58479"/>
  <c r="FD474" i="58479"/>
  <c r="FC474" i="58479"/>
  <c r="FD473" i="58479"/>
  <c r="FC473" i="58479"/>
  <c r="FD472" i="58479"/>
  <c r="FC472" i="58479"/>
  <c r="FD471" i="58479"/>
  <c r="FC471" i="58479"/>
  <c r="FC470" i="58479"/>
  <c r="FC469" i="58479"/>
  <c r="FC468" i="58479"/>
  <c r="FC467" i="58479"/>
  <c r="FC466" i="58479"/>
  <c r="FC465" i="58479"/>
  <c r="FC464" i="58479"/>
  <c r="FC463" i="58479"/>
  <c r="FD469" i="58479"/>
  <c r="FD468" i="58479"/>
  <c r="FD467" i="58479"/>
  <c r="FD466" i="58479"/>
  <c r="FD465" i="58479"/>
  <c r="FD464" i="58479"/>
  <c r="FD463" i="58479"/>
  <c r="EO426" i="58479"/>
  <c r="DS351" i="58479"/>
  <c r="DU351" i="58479" s="1"/>
  <c r="DS350" i="58479"/>
  <c r="DU350" i="58479" s="1"/>
  <c r="DS349" i="58479"/>
  <c r="DU349" i="58479" s="1"/>
  <c r="DS348" i="58479"/>
  <c r="DU348" i="58479" s="1"/>
  <c r="DS347" i="58479"/>
  <c r="DU347" i="58479" s="1"/>
  <c r="DT347" i="58479"/>
  <c r="CS257" i="58479"/>
  <c r="CR257" i="58479"/>
  <c r="CQ257" i="58479"/>
  <c r="CP257" i="58479"/>
  <c r="CM243" i="58479"/>
  <c r="CK243" i="58479"/>
  <c r="CH233" i="58479"/>
  <c r="CG233" i="58479"/>
  <c r="CF233" i="58479"/>
  <c r="CE233" i="58479"/>
  <c r="CD233" i="58479"/>
  <c r="CC233" i="58479"/>
  <c r="BX198" i="58479"/>
  <c r="BW198" i="58479"/>
  <c r="BV198" i="58479"/>
  <c r="BU198" i="58479"/>
  <c r="BT198" i="58479"/>
  <c r="BS198" i="58479"/>
  <c r="BR198" i="58479"/>
  <c r="BQ198" i="58479"/>
  <c r="BP198" i="58479"/>
  <c r="BX197" i="58479"/>
  <c r="BW197" i="58479"/>
  <c r="BV197" i="58479"/>
  <c r="BU197" i="58479"/>
  <c r="BT197" i="58479"/>
  <c r="BS197" i="58479"/>
  <c r="BR197" i="58479"/>
  <c r="BQ197" i="58479"/>
  <c r="BP197" i="58479"/>
  <c r="BL187" i="58479"/>
  <c r="BM181" i="58479" s="1"/>
  <c r="BL185" i="58479"/>
  <c r="BM183" i="58479"/>
  <c r="BM182" i="58479"/>
  <c r="BM193" i="58479" s="1"/>
  <c r="BI172" i="58479" s="1"/>
  <c r="BM180" i="58479"/>
  <c r="BM179" i="58479"/>
  <c r="BM192" i="58479" s="1"/>
  <c r="BI171" i="58479" s="1"/>
  <c r="BM178" i="58479"/>
  <c r="BI169" i="58479"/>
  <c r="BF171" i="58479"/>
  <c r="BF170" i="58479"/>
  <c r="BF169" i="58479"/>
  <c r="BF174" i="58479" s="1"/>
  <c r="BF168" i="58479"/>
  <c r="R62" i="58479"/>
  <c r="Q62" i="58479"/>
  <c r="Q60" i="58479"/>
  <c r="Q64" i="58479" s="1"/>
  <c r="R58" i="58479"/>
  <c r="R57" i="58479"/>
  <c r="R56" i="58479"/>
  <c r="R55" i="58479"/>
  <c r="Q57" i="58479"/>
  <c r="Q65" i="58479" s="1"/>
  <c r="B17" i="58479"/>
  <c r="B13" i="58479"/>
  <c r="B12" i="58479"/>
  <c r="B11" i="58479"/>
  <c r="B10" i="58479"/>
  <c r="B9" i="58479"/>
  <c r="B8" i="58479"/>
  <c r="B7" i="58479"/>
  <c r="B6" i="58479"/>
  <c r="B5" i="58479"/>
  <c r="B4" i="58479"/>
  <c r="B15" i="58479" s="1"/>
  <c r="B19" i="58479" s="1"/>
  <c r="R30" i="58471"/>
  <c r="Q30" i="58471"/>
  <c r="P30" i="58471"/>
  <c r="O30" i="58471"/>
  <c r="N30" i="58471"/>
  <c r="M30" i="58471"/>
  <c r="L30" i="58471"/>
  <c r="K30" i="58471"/>
  <c r="J30" i="58471"/>
  <c r="I30" i="58471"/>
  <c r="H30" i="58471"/>
  <c r="G30" i="58471"/>
  <c r="F30" i="58471"/>
  <c r="E30" i="58471"/>
  <c r="D30" i="58471"/>
  <c r="C30" i="58471"/>
  <c r="B30" i="58471"/>
  <c r="R19" i="58471"/>
  <c r="Q19" i="58471"/>
  <c r="P19" i="58471"/>
  <c r="O19" i="58471"/>
  <c r="N19" i="58471"/>
  <c r="M19" i="58471"/>
  <c r="L19" i="58471"/>
  <c r="K19" i="58471"/>
  <c r="J19" i="58471"/>
  <c r="I19" i="58471"/>
  <c r="H19" i="58471"/>
  <c r="G19" i="58471"/>
  <c r="F19" i="58471"/>
  <c r="E19" i="58471"/>
  <c r="D19" i="58471"/>
  <c r="C19" i="58471"/>
  <c r="B19" i="58471"/>
  <c r="N9" i="58471"/>
  <c r="M9" i="58471"/>
  <c r="L9" i="58471"/>
  <c r="K9" i="58471"/>
  <c r="J9" i="58471"/>
  <c r="I9" i="58471"/>
  <c r="H9" i="58471"/>
  <c r="G9" i="58471"/>
  <c r="F9" i="58471"/>
  <c r="E9" i="58471"/>
  <c r="D9" i="58471"/>
  <c r="C9" i="58471"/>
  <c r="B9" i="58471"/>
  <c r="R8" i="58471"/>
  <c r="N8" i="58471"/>
  <c r="M8" i="58471"/>
  <c r="L8" i="58471"/>
  <c r="K8" i="58471"/>
  <c r="J8" i="58471"/>
  <c r="I8" i="58471"/>
  <c r="H8" i="58471"/>
  <c r="F8" i="58471"/>
  <c r="E8" i="58471"/>
  <c r="D8" i="58471"/>
  <c r="C8" i="58471"/>
  <c r="R7" i="58471"/>
  <c r="Q7" i="58471"/>
  <c r="N7" i="58471"/>
  <c r="M7" i="58471"/>
  <c r="L7" i="58471"/>
  <c r="K7" i="58471"/>
  <c r="J7" i="58471"/>
  <c r="I7" i="58471"/>
  <c r="H7" i="58471"/>
  <c r="F7" i="58471"/>
  <c r="E7" i="58471"/>
  <c r="D7" i="58471"/>
  <c r="C7" i="58471"/>
  <c r="R6" i="58471"/>
  <c r="Q6" i="58471"/>
  <c r="N6" i="58471"/>
  <c r="M6" i="58471"/>
  <c r="L6" i="58471"/>
  <c r="K6" i="58471"/>
  <c r="J6" i="58471"/>
  <c r="I6" i="58471"/>
  <c r="H6" i="58471"/>
  <c r="F6" i="58471"/>
  <c r="E6" i="58471"/>
  <c r="D6" i="58471"/>
  <c r="C6" i="58471"/>
  <c r="R5" i="58471"/>
  <c r="Q5" i="58471"/>
  <c r="K5" i="58471"/>
  <c r="J5" i="58471"/>
  <c r="I5" i="58471"/>
  <c r="H5" i="58471"/>
  <c r="F5" i="58471"/>
  <c r="E5" i="58471"/>
  <c r="D5" i="58471"/>
  <c r="C5" i="58471"/>
  <c r="R4" i="58471"/>
  <c r="N4" i="58471"/>
  <c r="M4" i="58471"/>
  <c r="L4" i="58471"/>
  <c r="K4" i="58471"/>
  <c r="J4" i="58471"/>
  <c r="I4" i="58471"/>
  <c r="H4" i="58471"/>
  <c r="G4" i="58471"/>
  <c r="F4" i="58471"/>
  <c r="E4" i="58471"/>
  <c r="D4" i="58471"/>
  <c r="C4" i="58471"/>
  <c r="B4" i="58471"/>
  <c r="H49" i="58498"/>
  <c r="H55" i="58498" s="1"/>
  <c r="K51" i="58498"/>
  <c r="D53" i="58498"/>
  <c r="C53" i="58498"/>
  <c r="D52" i="58498"/>
  <c r="C52" i="58498"/>
  <c r="K52" i="58498" s="1"/>
  <c r="D48" i="58498"/>
  <c r="C48" i="58498"/>
  <c r="K48" i="58498" s="1"/>
  <c r="D45" i="58498"/>
  <c r="C45" i="58498"/>
  <c r="C39" i="58498"/>
  <c r="J39" i="58498" s="1"/>
  <c r="K36" i="58498"/>
  <c r="K33" i="58498"/>
  <c r="D33" i="58498"/>
  <c r="G33" i="58498" s="1"/>
  <c r="C33" i="58498"/>
  <c r="C32" i="58498"/>
  <c r="J32" i="58498" s="1"/>
  <c r="D31" i="58498"/>
  <c r="C31" i="58498"/>
  <c r="D28" i="58498"/>
  <c r="C28" i="58498"/>
  <c r="J28" i="58498" s="1"/>
  <c r="D27" i="58498"/>
  <c r="C27" i="58498"/>
  <c r="K27" i="58498" s="1"/>
  <c r="D26" i="58498"/>
  <c r="C26" i="58498"/>
  <c r="J26" i="58498" s="1"/>
  <c r="D25" i="58498"/>
  <c r="C25" i="58498"/>
  <c r="J25" i="58498" s="1"/>
  <c r="H21" i="58498"/>
  <c r="D20" i="58498"/>
  <c r="C20" i="58498"/>
  <c r="D18" i="58498"/>
  <c r="C18" i="58498"/>
  <c r="D17" i="58498"/>
  <c r="C17" i="58498"/>
  <c r="K17" i="58498" s="1"/>
  <c r="D16" i="58498"/>
  <c r="C16" i="58498"/>
  <c r="H13" i="58498"/>
  <c r="H23" i="58498" s="1"/>
  <c r="D12" i="58498"/>
  <c r="C12" i="58498"/>
  <c r="J12" i="58498" s="1"/>
  <c r="D11" i="58498"/>
  <c r="C11" i="58498"/>
  <c r="J11" i="58498" s="1"/>
  <c r="D10" i="58498"/>
  <c r="C10" i="58498"/>
  <c r="J10" i="58498" s="1"/>
  <c r="D9" i="58498"/>
  <c r="C9" i="58498"/>
  <c r="H49" i="58499"/>
  <c r="H55" i="58499" s="1"/>
  <c r="K54" i="58499"/>
  <c r="K51" i="58499"/>
  <c r="D53" i="58499"/>
  <c r="C53" i="58499"/>
  <c r="D52" i="58499"/>
  <c r="C52" i="58499"/>
  <c r="K52" i="58499" s="1"/>
  <c r="D48" i="58499"/>
  <c r="C48" i="58499"/>
  <c r="K48" i="58499" s="1"/>
  <c r="D45" i="58499"/>
  <c r="C45" i="58499"/>
  <c r="C39" i="58499"/>
  <c r="K36" i="58499"/>
  <c r="K33" i="58499"/>
  <c r="D33" i="58499"/>
  <c r="G33" i="58499" s="1"/>
  <c r="C33" i="58499"/>
  <c r="J33" i="58499" s="1"/>
  <c r="C32" i="58499"/>
  <c r="K32" i="58499" s="1"/>
  <c r="D31" i="58499"/>
  <c r="C31" i="58499"/>
  <c r="K31" i="58499" s="1"/>
  <c r="D28" i="58499"/>
  <c r="C28" i="58499"/>
  <c r="D27" i="58499"/>
  <c r="C27" i="58499"/>
  <c r="K27" i="58499" s="1"/>
  <c r="D26" i="58499"/>
  <c r="C26" i="58499"/>
  <c r="D25" i="58499"/>
  <c r="C25" i="58499"/>
  <c r="J25" i="58499" s="1"/>
  <c r="H21" i="58499"/>
  <c r="D20" i="58499"/>
  <c r="C20" i="58499"/>
  <c r="D18" i="58499"/>
  <c r="C18" i="58499"/>
  <c r="D17" i="58499"/>
  <c r="C17" i="58499"/>
  <c r="J17" i="58499" s="1"/>
  <c r="D16" i="58499"/>
  <c r="C16" i="58499"/>
  <c r="H13" i="58499"/>
  <c r="D12" i="58499"/>
  <c r="C12" i="58499"/>
  <c r="J12" i="58499" s="1"/>
  <c r="D11" i="58499"/>
  <c r="C11" i="58499"/>
  <c r="K11" i="58499" s="1"/>
  <c r="D10" i="58499"/>
  <c r="C10" i="58499"/>
  <c r="J10" i="58499" s="1"/>
  <c r="D9" i="58499"/>
  <c r="C9" i="58499"/>
  <c r="K9" i="58499" s="1"/>
  <c r="BE414" i="58493"/>
  <c r="BE417" i="58493" s="1"/>
  <c r="AX345" i="58493" s="1"/>
  <c r="BE411" i="58493"/>
  <c r="BF409" i="58493"/>
  <c r="BF411" i="58493" s="1"/>
  <c r="BF414" i="58493" s="1"/>
  <c r="BF417" i="58493" s="1"/>
  <c r="AX365" i="58493" s="1"/>
  <c r="BB404" i="58493"/>
  <c r="BB405" i="58493" s="1"/>
  <c r="BB406" i="58493" s="1"/>
  <c r="BB403" i="58493"/>
  <c r="BB402" i="58493"/>
  <c r="BC400" i="58493"/>
  <c r="BH393" i="58493"/>
  <c r="AZ382" i="58493"/>
  <c r="AZ381" i="58493"/>
  <c r="AT336" i="58493"/>
  <c r="AS331" i="58493"/>
  <c r="AT327" i="58493"/>
  <c r="AS324" i="58493"/>
  <c r="AL302" i="58493"/>
  <c r="AL295" i="58493"/>
  <c r="AL297" i="58493" s="1"/>
  <c r="AL300" i="58493" s="1"/>
  <c r="Y287" i="58493"/>
  <c r="AG285" i="58493"/>
  <c r="AD285" i="58493"/>
  <c r="AA285" i="58493"/>
  <c r="AA286" i="58493" s="1"/>
  <c r="Z285" i="58493"/>
  <c r="Z287" i="58493" s="1"/>
  <c r="W275" i="58493"/>
  <c r="T246" i="58493"/>
  <c r="T248" i="58493" s="1"/>
  <c r="P237" i="58493"/>
  <c r="AS334" i="58493" s="1"/>
  <c r="P235" i="58493"/>
  <c r="P234" i="58493"/>
  <c r="P233" i="58493"/>
  <c r="P232" i="58493"/>
  <c r="P231" i="58493"/>
  <c r="P230" i="58493"/>
  <c r="P229" i="58493"/>
  <c r="P228" i="58493"/>
  <c r="P227" i="58493"/>
  <c r="P226" i="58493"/>
  <c r="P225" i="58493"/>
  <c r="P224" i="58493"/>
  <c r="P238" i="58493" s="1"/>
  <c r="P223" i="58493"/>
  <c r="P219" i="58493"/>
  <c r="AS333" i="58493" s="1"/>
  <c r="P217" i="58493"/>
  <c r="P216" i="58493"/>
  <c r="P215" i="58493"/>
  <c r="P214" i="58493"/>
  <c r="P213" i="58493"/>
  <c r="P212" i="58493"/>
  <c r="P220" i="58493" s="1"/>
  <c r="P207" i="58493"/>
  <c r="AS323" i="58493" s="1"/>
  <c r="AS327" i="58493" s="1"/>
  <c r="AN306" i="58493" s="1"/>
  <c r="P205" i="58493"/>
  <c r="P204" i="58493"/>
  <c r="P203" i="58493"/>
  <c r="P202" i="58493"/>
  <c r="P201" i="58493"/>
  <c r="P208" i="58493" s="1"/>
  <c r="P197" i="58493"/>
  <c r="P195" i="58493"/>
  <c r="P194" i="58493"/>
  <c r="P193" i="58493"/>
  <c r="P192" i="58493"/>
  <c r="P191" i="58493"/>
  <c r="P190" i="58493"/>
  <c r="P198" i="58493" s="1"/>
  <c r="P186" i="58493"/>
  <c r="AS330" i="58493" s="1"/>
  <c r="P184" i="58493"/>
  <c r="P183" i="58493"/>
  <c r="P182" i="58493"/>
  <c r="P181" i="58493"/>
  <c r="P187" i="58493" s="1"/>
  <c r="P177" i="58493"/>
  <c r="AS339" i="58493" s="1"/>
  <c r="AL306" i="58493" s="1"/>
  <c r="P175" i="58493"/>
  <c r="P174" i="58493"/>
  <c r="P173" i="58493"/>
  <c r="P172" i="58493"/>
  <c r="P171" i="58493"/>
  <c r="P170" i="58493"/>
  <c r="P169" i="58493"/>
  <c r="P178" i="58493" s="1"/>
  <c r="P165" i="58493"/>
  <c r="AS332" i="58493" s="1"/>
  <c r="P163" i="58493"/>
  <c r="P162" i="58493"/>
  <c r="P161" i="58493"/>
  <c r="P160" i="58493"/>
  <c r="P159" i="58493"/>
  <c r="P158" i="58493"/>
  <c r="P157" i="58493"/>
  <c r="P156" i="58493"/>
  <c r="P155" i="58493"/>
  <c r="P154" i="58493"/>
  <c r="P153" i="58493"/>
  <c r="P152" i="58493"/>
  <c r="P151" i="58493"/>
  <c r="P150" i="58493"/>
  <c r="P149" i="58493"/>
  <c r="P148" i="58493"/>
  <c r="P147" i="58493"/>
  <c r="P146" i="58493"/>
  <c r="P145" i="58493"/>
  <c r="P144" i="58493"/>
  <c r="P143" i="58493"/>
  <c r="P142" i="58493"/>
  <c r="P141" i="58493"/>
  <c r="P140" i="58493"/>
  <c r="P139" i="58493"/>
  <c r="P138" i="58493"/>
  <c r="P137" i="58493"/>
  <c r="P136" i="58493"/>
  <c r="P135" i="58493"/>
  <c r="P134" i="58493"/>
  <c r="P133" i="58493"/>
  <c r="P132" i="58493"/>
  <c r="P131" i="58493"/>
  <c r="P130" i="58493"/>
  <c r="P129" i="58493"/>
  <c r="P128" i="58493"/>
  <c r="P127" i="58493"/>
  <c r="P126" i="58493"/>
  <c r="P125" i="58493"/>
  <c r="P124" i="58493"/>
  <c r="P123" i="58493"/>
  <c r="P122" i="58493"/>
  <c r="P121" i="58493"/>
  <c r="P120" i="58493"/>
  <c r="P119" i="58493"/>
  <c r="P118" i="58493"/>
  <c r="P117" i="58493"/>
  <c r="P166" i="58493" s="1"/>
  <c r="P116" i="58493"/>
  <c r="P115" i="58493"/>
  <c r="P114" i="58493"/>
  <c r="P111" i="58493"/>
  <c r="P110" i="58493"/>
  <c r="P106" i="58493"/>
  <c r="P104" i="58493"/>
  <c r="P103" i="58493"/>
  <c r="P102" i="58493"/>
  <c r="P101" i="58493"/>
  <c r="P100" i="58493"/>
  <c r="P99" i="58493"/>
  <c r="P98" i="58493"/>
  <c r="P97" i="58493"/>
  <c r="P96" i="58493"/>
  <c r="P95" i="58493"/>
  <c r="P94" i="58493"/>
  <c r="P93" i="58493"/>
  <c r="P92" i="58493"/>
  <c r="P91" i="58493"/>
  <c r="P90" i="58493"/>
  <c r="P89" i="58493"/>
  <c r="P107" i="58493" s="1"/>
  <c r="G84" i="58493"/>
  <c r="I84" i="58493" s="1"/>
  <c r="G83" i="58493"/>
  <c r="G82" i="58493"/>
  <c r="G81" i="58493"/>
  <c r="G80" i="58493"/>
  <c r="I80" i="58493" s="1"/>
  <c r="G79" i="58493"/>
  <c r="G78" i="58493"/>
  <c r="G77" i="58493"/>
  <c r="G76" i="58493"/>
  <c r="I76" i="58493" s="1"/>
  <c r="G75" i="58493"/>
  <c r="G74" i="58493"/>
  <c r="G73" i="58493"/>
  <c r="G72" i="58493"/>
  <c r="I72" i="58493" s="1"/>
  <c r="G71" i="58493"/>
  <c r="G70" i="58493"/>
  <c r="G69" i="58493"/>
  <c r="G68" i="58493"/>
  <c r="I68" i="58493" s="1"/>
  <c r="G67" i="58493"/>
  <c r="G66" i="58493"/>
  <c r="G65" i="58493"/>
  <c r="G64" i="58493"/>
  <c r="I64" i="58493" s="1"/>
  <c r="G63" i="58493"/>
  <c r="G62" i="58493"/>
  <c r="G61" i="58493"/>
  <c r="G60" i="58493"/>
  <c r="I60" i="58493" s="1"/>
  <c r="G59" i="58493"/>
  <c r="G58" i="58493"/>
  <c r="G57" i="58493"/>
  <c r="G56" i="58493"/>
  <c r="I56" i="58493" s="1"/>
  <c r="G55" i="58493"/>
  <c r="G54" i="58493"/>
  <c r="G53" i="58493"/>
  <c r="G52" i="58493"/>
  <c r="I52" i="58493" s="1"/>
  <c r="G51" i="58493"/>
  <c r="G50" i="58493"/>
  <c r="G49" i="58493"/>
  <c r="G48" i="58493"/>
  <c r="I48" i="58493" s="1"/>
  <c r="G47" i="58493"/>
  <c r="G46" i="58493"/>
  <c r="G45" i="58493"/>
  <c r="G44" i="58493"/>
  <c r="I44" i="58493" s="1"/>
  <c r="G43" i="58493"/>
  <c r="G42" i="58493"/>
  <c r="G41" i="58493"/>
  <c r="G40" i="58493"/>
  <c r="I40" i="58493" s="1"/>
  <c r="G39" i="58493"/>
  <c r="G38" i="58493"/>
  <c r="G37" i="58493"/>
  <c r="G36" i="58493"/>
  <c r="I36" i="58493" s="1"/>
  <c r="G35" i="58493"/>
  <c r="G34" i="58493"/>
  <c r="G33" i="58493"/>
  <c r="G32" i="58493"/>
  <c r="I32" i="58493" s="1"/>
  <c r="G31" i="58493"/>
  <c r="G30" i="58493"/>
  <c r="G29" i="58493"/>
  <c r="G28" i="58493"/>
  <c r="I28" i="58493" s="1"/>
  <c r="G27" i="58493"/>
  <c r="G26" i="58493"/>
  <c r="G25" i="58493"/>
  <c r="G24" i="58493"/>
  <c r="I24" i="58493" s="1"/>
  <c r="G23" i="58493"/>
  <c r="G22" i="58493"/>
  <c r="G21" i="58493"/>
  <c r="G20" i="58493"/>
  <c r="I20" i="58493" s="1"/>
  <c r="G19" i="58493"/>
  <c r="G18" i="58493"/>
  <c r="G17" i="58493"/>
  <c r="G16" i="58493"/>
  <c r="I16" i="58493" s="1"/>
  <c r="G15" i="58493"/>
  <c r="G14" i="58493"/>
  <c r="G13" i="58493"/>
  <c r="G12" i="58493"/>
  <c r="I12" i="58493" s="1"/>
  <c r="G11" i="58493"/>
  <c r="G10" i="58493"/>
  <c r="G9" i="58493"/>
  <c r="G8" i="58493"/>
  <c r="I8" i="58493" s="1"/>
  <c r="G7" i="58493"/>
  <c r="G6" i="58493"/>
  <c r="G5" i="58493"/>
  <c r="G4" i="58493"/>
  <c r="I4" i="58493" s="1"/>
  <c r="G3" i="58493"/>
  <c r="H84" i="58493"/>
  <c r="I83" i="58493"/>
  <c r="H83" i="58493"/>
  <c r="I82" i="58493"/>
  <c r="H82" i="58493"/>
  <c r="I81" i="58493"/>
  <c r="H81" i="58493"/>
  <c r="H80" i="58493"/>
  <c r="I79" i="58493"/>
  <c r="H79" i="58493"/>
  <c r="I78" i="58493"/>
  <c r="H78" i="58493"/>
  <c r="I77" i="58493"/>
  <c r="H77" i="58493"/>
  <c r="H76" i="58493"/>
  <c r="I75" i="58493"/>
  <c r="H75" i="58493"/>
  <c r="I74" i="58493"/>
  <c r="H74" i="58493"/>
  <c r="I73" i="58493"/>
  <c r="H73" i="58493"/>
  <c r="H72" i="58493"/>
  <c r="I71" i="58493"/>
  <c r="H71" i="58493"/>
  <c r="I70" i="58493"/>
  <c r="H70" i="58493"/>
  <c r="I69" i="58493"/>
  <c r="H69" i="58493"/>
  <c r="H68" i="58493"/>
  <c r="I67" i="58493"/>
  <c r="H67" i="58493"/>
  <c r="I66" i="58493"/>
  <c r="H66" i="58493"/>
  <c r="I65" i="58493"/>
  <c r="H65" i="58493"/>
  <c r="H64" i="58493"/>
  <c r="I63" i="58493"/>
  <c r="H63" i="58493"/>
  <c r="I62" i="58493"/>
  <c r="H62" i="58493"/>
  <c r="I61" i="58493"/>
  <c r="H61" i="58493"/>
  <c r="H60" i="58493"/>
  <c r="I59" i="58493"/>
  <c r="H59" i="58493"/>
  <c r="I58" i="58493"/>
  <c r="H58" i="58493"/>
  <c r="I57" i="58493"/>
  <c r="H57" i="58493"/>
  <c r="H56" i="58493"/>
  <c r="I55" i="58493"/>
  <c r="H55" i="58493"/>
  <c r="I54" i="58493"/>
  <c r="H54" i="58493"/>
  <c r="I53" i="58493"/>
  <c r="H53" i="58493"/>
  <c r="H52" i="58493"/>
  <c r="I51" i="58493"/>
  <c r="H51" i="58493"/>
  <c r="I50" i="58493"/>
  <c r="H50" i="58493"/>
  <c r="I49" i="58493"/>
  <c r="H49" i="58493"/>
  <c r="H48" i="58493"/>
  <c r="I47" i="58493"/>
  <c r="H47" i="58493"/>
  <c r="I46" i="58493"/>
  <c r="H46" i="58493"/>
  <c r="I45" i="58493"/>
  <c r="H45" i="58493"/>
  <c r="H44" i="58493"/>
  <c r="I43" i="58493"/>
  <c r="H43" i="58493"/>
  <c r="I42" i="58493"/>
  <c r="H42" i="58493"/>
  <c r="I41" i="58493"/>
  <c r="H41" i="58493"/>
  <c r="H40" i="58493"/>
  <c r="I39" i="58493"/>
  <c r="H39" i="58493"/>
  <c r="I38" i="58493"/>
  <c r="H38" i="58493"/>
  <c r="I37" i="58493"/>
  <c r="H37" i="58493"/>
  <c r="H36" i="58493"/>
  <c r="I35" i="58493"/>
  <c r="H35" i="58493"/>
  <c r="I34" i="58493"/>
  <c r="H34" i="58493"/>
  <c r="I33" i="58493"/>
  <c r="H33" i="58493"/>
  <c r="H32" i="58493"/>
  <c r="I31" i="58493"/>
  <c r="H31" i="58493"/>
  <c r="I30" i="58493"/>
  <c r="H30" i="58493"/>
  <c r="I29" i="58493"/>
  <c r="H29" i="58493"/>
  <c r="H28" i="58493"/>
  <c r="I27" i="58493"/>
  <c r="H27" i="58493"/>
  <c r="I26" i="58493"/>
  <c r="H26" i="58493"/>
  <c r="I25" i="58493"/>
  <c r="H25" i="58493"/>
  <c r="H24" i="58493"/>
  <c r="I23" i="58493"/>
  <c r="H23" i="58493"/>
  <c r="I22" i="58493"/>
  <c r="H22" i="58493"/>
  <c r="I21" i="58493"/>
  <c r="H21" i="58493"/>
  <c r="H20" i="58493"/>
  <c r="I19" i="58493"/>
  <c r="H19" i="58493"/>
  <c r="I18" i="58493"/>
  <c r="H18" i="58493"/>
  <c r="I17" i="58493"/>
  <c r="H17" i="58493"/>
  <c r="H16" i="58493"/>
  <c r="I15" i="58493"/>
  <c r="H15" i="58493"/>
  <c r="I14" i="58493"/>
  <c r="H14" i="58493"/>
  <c r="I13" i="58493"/>
  <c r="H13" i="58493"/>
  <c r="H12" i="58493"/>
  <c r="I11" i="58493"/>
  <c r="H11" i="58493"/>
  <c r="I10" i="58493"/>
  <c r="H10" i="58493"/>
  <c r="I9" i="58493"/>
  <c r="H9" i="58493"/>
  <c r="H8" i="58493"/>
  <c r="I7" i="58493"/>
  <c r="H7" i="58493"/>
  <c r="I6" i="58493"/>
  <c r="H6" i="58493"/>
  <c r="I5" i="58493"/>
  <c r="H5" i="58493"/>
  <c r="H4" i="58493"/>
  <c r="I3" i="58493"/>
  <c r="I85" i="58493" s="1"/>
  <c r="AP313" i="58493" s="1"/>
  <c r="H3" i="58493"/>
  <c r="H85" i="58493" s="1"/>
  <c r="G79" i="58510"/>
  <c r="D79" i="58510"/>
  <c r="G77" i="58510"/>
  <c r="G76" i="58510"/>
  <c r="G75" i="58510"/>
  <c r="G74" i="58510"/>
  <c r="G73" i="58510"/>
  <c r="G72" i="58510"/>
  <c r="G71" i="58510"/>
  <c r="G70" i="58510"/>
  <c r="G69" i="58510"/>
  <c r="G68" i="58510"/>
  <c r="G67" i="58510"/>
  <c r="G66" i="58510"/>
  <c r="G65" i="58510"/>
  <c r="G64" i="58510"/>
  <c r="G63" i="58510"/>
  <c r="G62" i="58510"/>
  <c r="G61" i="58510"/>
  <c r="G60" i="58510"/>
  <c r="G59" i="58510"/>
  <c r="G58" i="58510"/>
  <c r="F72" i="58510"/>
  <c r="F71" i="58510"/>
  <c r="J64" i="58510"/>
  <c r="F64" i="58510"/>
  <c r="F63" i="58510"/>
  <c r="F62" i="58510"/>
  <c r="J57" i="58510"/>
  <c r="D54" i="58510"/>
  <c r="G52" i="58510"/>
  <c r="G51" i="58510"/>
  <c r="G50" i="58510"/>
  <c r="G49" i="58510"/>
  <c r="G48" i="58510"/>
  <c r="G47" i="58510"/>
  <c r="G46" i="58510"/>
  <c r="G45" i="58510"/>
  <c r="G44" i="58510"/>
  <c r="G43" i="58510"/>
  <c r="G42" i="58510"/>
  <c r="G41" i="58510"/>
  <c r="G40" i="58510"/>
  <c r="G39" i="58510"/>
  <c r="G54" i="58510" s="1"/>
  <c r="F54" i="58510" s="1"/>
  <c r="G38" i="58510"/>
  <c r="G37" i="58510"/>
  <c r="G36" i="58510"/>
  <c r="G35" i="58510"/>
  <c r="G34" i="58510"/>
  <c r="G33" i="58510"/>
  <c r="G32" i="58510"/>
  <c r="G31" i="58510"/>
  <c r="G30" i="58510"/>
  <c r="G29" i="58510"/>
  <c r="G28" i="58510"/>
  <c r="G27" i="58510"/>
  <c r="G26" i="58510"/>
  <c r="G25" i="58510"/>
  <c r="G24" i="58510"/>
  <c r="G23" i="58510"/>
  <c r="G22" i="58510"/>
  <c r="G21" i="58510"/>
  <c r="G20" i="58510"/>
  <c r="G19" i="58510"/>
  <c r="G18" i="58510"/>
  <c r="G17" i="58510"/>
  <c r="G16" i="58510"/>
  <c r="G15" i="58510"/>
  <c r="G14" i="58510"/>
  <c r="G13" i="58510"/>
  <c r="G12" i="58510"/>
  <c r="G11" i="58510"/>
  <c r="G10" i="58510"/>
  <c r="G9" i="58510"/>
  <c r="G8" i="58510"/>
  <c r="G7" i="58510"/>
  <c r="G6" i="58510"/>
  <c r="G5" i="58510"/>
  <c r="G4" i="58510"/>
  <c r="D39" i="58510"/>
  <c r="D27" i="58510"/>
  <c r="D16" i="58510"/>
  <c r="F153" i="58480"/>
  <c r="D140" i="58480"/>
  <c r="G138" i="58480"/>
  <c r="F138" i="58480"/>
  <c r="G137" i="58480"/>
  <c r="F137" i="58480"/>
  <c r="G136" i="58480"/>
  <c r="F136" i="58480"/>
  <c r="G135" i="58480"/>
  <c r="F135" i="58480"/>
  <c r="G134" i="58480"/>
  <c r="F134" i="58480"/>
  <c r="G133" i="58480"/>
  <c r="F133" i="58480"/>
  <c r="G132" i="58480"/>
  <c r="F132" i="58480"/>
  <c r="G131" i="58480"/>
  <c r="F131" i="58480"/>
  <c r="G130" i="58480"/>
  <c r="F130" i="58480"/>
  <c r="G129" i="58480"/>
  <c r="F129" i="58480"/>
  <c r="G128" i="58480"/>
  <c r="F128" i="58480"/>
  <c r="G127" i="58480"/>
  <c r="F127" i="58480"/>
  <c r="G126" i="58480"/>
  <c r="F126" i="58480"/>
  <c r="G125" i="58480"/>
  <c r="F125" i="58480"/>
  <c r="G124" i="58480"/>
  <c r="F124" i="58480"/>
  <c r="G123" i="58480"/>
  <c r="F123" i="58480"/>
  <c r="G122" i="58480"/>
  <c r="F122" i="58480"/>
  <c r="G121" i="58480"/>
  <c r="F121" i="58480"/>
  <c r="G120" i="58480"/>
  <c r="F120" i="58480"/>
  <c r="G119" i="58480"/>
  <c r="F119" i="58480"/>
  <c r="G118" i="58480"/>
  <c r="F118" i="58480"/>
  <c r="G117" i="58480"/>
  <c r="F117" i="58480"/>
  <c r="G116" i="58480"/>
  <c r="F116" i="58480"/>
  <c r="G115" i="58480"/>
  <c r="F115" i="58480"/>
  <c r="G114" i="58480"/>
  <c r="F114" i="58480"/>
  <c r="G113" i="58480"/>
  <c r="F113" i="58480"/>
  <c r="G112" i="58480"/>
  <c r="F112" i="58480"/>
  <c r="G111" i="58480"/>
  <c r="F111" i="58480"/>
  <c r="G110" i="58480"/>
  <c r="F110" i="58480"/>
  <c r="G109" i="58480"/>
  <c r="F109" i="58480"/>
  <c r="G108" i="58480"/>
  <c r="F108" i="58480"/>
  <c r="G107" i="58480"/>
  <c r="F107" i="58480"/>
  <c r="G106" i="58480"/>
  <c r="F106" i="58480"/>
  <c r="G105" i="58480"/>
  <c r="F105" i="58480"/>
  <c r="G104" i="58480"/>
  <c r="F104" i="58480"/>
  <c r="G103" i="58480"/>
  <c r="F103" i="58480"/>
  <c r="G102" i="58480"/>
  <c r="F102" i="58480"/>
  <c r="G101" i="58480"/>
  <c r="F101" i="58480"/>
  <c r="G100" i="58480"/>
  <c r="F100" i="58480"/>
  <c r="G99" i="58480"/>
  <c r="F99" i="58480"/>
  <c r="G98" i="58480"/>
  <c r="F98" i="58480"/>
  <c r="G97" i="58480"/>
  <c r="F97" i="58480"/>
  <c r="G96" i="58480"/>
  <c r="F96" i="58480"/>
  <c r="G95" i="58480"/>
  <c r="F95" i="58480"/>
  <c r="G94" i="58480"/>
  <c r="F94" i="58480"/>
  <c r="G93" i="58480"/>
  <c r="F93" i="58480"/>
  <c r="G92" i="58480"/>
  <c r="F92" i="58480"/>
  <c r="G91" i="58480"/>
  <c r="F91" i="58480"/>
  <c r="G90" i="58480"/>
  <c r="F90" i="58480"/>
  <c r="G89" i="58480"/>
  <c r="F89" i="58480"/>
  <c r="G88" i="58480"/>
  <c r="F88" i="58480"/>
  <c r="G87" i="58480"/>
  <c r="F87" i="58480"/>
  <c r="G86" i="58480"/>
  <c r="F86" i="58480"/>
  <c r="G85" i="58480"/>
  <c r="F85" i="58480"/>
  <c r="G84" i="58480"/>
  <c r="F84" i="58480"/>
  <c r="G83" i="58480"/>
  <c r="F83" i="58480"/>
  <c r="G82" i="58480"/>
  <c r="F82" i="58480"/>
  <c r="G81" i="58480"/>
  <c r="F81" i="58480"/>
  <c r="G80" i="58480"/>
  <c r="F80" i="58480"/>
  <c r="G79" i="58480"/>
  <c r="F79" i="58480"/>
  <c r="G78" i="58480"/>
  <c r="F78" i="58480"/>
  <c r="G77" i="58480"/>
  <c r="F77" i="58480"/>
  <c r="G76" i="58480"/>
  <c r="F76" i="58480"/>
  <c r="G75" i="58480"/>
  <c r="F75" i="58480"/>
  <c r="G74" i="58480"/>
  <c r="F74" i="58480"/>
  <c r="G73" i="58480"/>
  <c r="F73" i="58480"/>
  <c r="G72" i="58480"/>
  <c r="F72" i="58480"/>
  <c r="G71" i="58480"/>
  <c r="F71" i="58480"/>
  <c r="G70" i="58480"/>
  <c r="F70" i="58480"/>
  <c r="G69" i="58480"/>
  <c r="F69" i="58480"/>
  <c r="G68" i="58480"/>
  <c r="F68" i="58480"/>
  <c r="G67" i="58480"/>
  <c r="F67" i="58480"/>
  <c r="G66" i="58480"/>
  <c r="F66" i="58480"/>
  <c r="G65" i="58480"/>
  <c r="F65" i="58480"/>
  <c r="G64" i="58480"/>
  <c r="F64" i="58480"/>
  <c r="G63" i="58480"/>
  <c r="G140" i="58480" s="1"/>
  <c r="F63" i="58480"/>
  <c r="G59" i="58480"/>
  <c r="F59" i="58480" s="1"/>
  <c r="D59" i="58480"/>
  <c r="G57" i="58480"/>
  <c r="G56" i="58480"/>
  <c r="G55" i="58480"/>
  <c r="G54" i="58480"/>
  <c r="G53" i="58480"/>
  <c r="G52" i="58480"/>
  <c r="G51" i="58480"/>
  <c r="G50" i="58480"/>
  <c r="G49" i="58480"/>
  <c r="G48" i="58480"/>
  <c r="G47" i="58480"/>
  <c r="G46" i="58480"/>
  <c r="G45" i="58480"/>
  <c r="G44" i="58480"/>
  <c r="G43" i="58480"/>
  <c r="G42" i="58480"/>
  <c r="G41" i="58480"/>
  <c r="G40" i="58480"/>
  <c r="G39" i="58480"/>
  <c r="G38" i="58480"/>
  <c r="G37" i="58480"/>
  <c r="G36" i="58480"/>
  <c r="G35" i="58480"/>
  <c r="G34" i="58480"/>
  <c r="G33" i="58480"/>
  <c r="G32" i="58480"/>
  <c r="G31" i="58480"/>
  <c r="G30" i="58480"/>
  <c r="G29" i="58480"/>
  <c r="G28" i="58480"/>
  <c r="G27" i="58480"/>
  <c r="G26" i="58480"/>
  <c r="G25" i="58480"/>
  <c r="G24" i="58480"/>
  <c r="G23" i="58480"/>
  <c r="G22" i="58480"/>
  <c r="G21" i="58480"/>
  <c r="G20" i="58480"/>
  <c r="G19" i="58480"/>
  <c r="G18" i="58480"/>
  <c r="G17" i="58480"/>
  <c r="G16" i="58480"/>
  <c r="G15" i="58480"/>
  <c r="G14" i="58480"/>
  <c r="G13" i="58480"/>
  <c r="G12" i="58480"/>
  <c r="G11" i="58480"/>
  <c r="G10" i="58480"/>
  <c r="G9" i="58480"/>
  <c r="G8" i="58480"/>
  <c r="G7" i="58480"/>
  <c r="G6" i="58480"/>
  <c r="N13" i="58480"/>
  <c r="N11" i="58480"/>
  <c r="N10" i="58480"/>
  <c r="N9" i="58480"/>
  <c r="N8" i="58480"/>
  <c r="N14" i="58480" s="1"/>
  <c r="N7" i="58480"/>
  <c r="N6" i="58480"/>
  <c r="I11" i="58480"/>
  <c r="F2" i="58480"/>
  <c r="E2" i="58480"/>
  <c r="D2" i="58480"/>
  <c r="F1" i="58480"/>
  <c r="E1" i="58480"/>
  <c r="D1" i="58480"/>
  <c r="II603" i="58481"/>
  <c r="IH603" i="58481"/>
  <c r="IG603" i="58481"/>
  <c r="IF603" i="58481"/>
  <c r="IN593" i="58481"/>
  <c r="IO593" i="58481" s="1"/>
  <c r="IL592" i="58481"/>
  <c r="IN592" i="58481" s="1"/>
  <c r="II589" i="58481"/>
  <c r="II588" i="58481"/>
  <c r="IH588" i="58481"/>
  <c r="IG588" i="58481"/>
  <c r="II585" i="58481"/>
  <c r="IH585" i="58481"/>
  <c r="IH589" i="58481" s="1"/>
  <c r="IG585" i="58481"/>
  <c r="IG589" i="58481" s="1"/>
  <c r="II569" i="58481"/>
  <c r="IH569" i="58481"/>
  <c r="IG569" i="58481"/>
  <c r="IF569" i="58481"/>
  <c r="IC547" i="58481"/>
  <c r="G12" i="58499" l="1"/>
  <c r="F31" i="58498"/>
  <c r="F33" i="58498"/>
  <c r="F53" i="58498"/>
  <c r="G16" i="58498"/>
  <c r="G18" i="58498"/>
  <c r="G20" i="58498"/>
  <c r="HT621" i="58479"/>
  <c r="F16" i="58499"/>
  <c r="F45" i="58498"/>
  <c r="F45" i="58499"/>
  <c r="G26" i="58498"/>
  <c r="F18" i="58499"/>
  <c r="F20" i="58499"/>
  <c r="G45" i="58498"/>
  <c r="G52" i="58498"/>
  <c r="G31" i="58499"/>
  <c r="G45" i="58499"/>
  <c r="G17" i="58498"/>
  <c r="G9" i="58499"/>
  <c r="G18" i="58499"/>
  <c r="G20" i="58499"/>
  <c r="J39" i="58499"/>
  <c r="F53" i="58499"/>
  <c r="D13" i="58498"/>
  <c r="G11" i="58498"/>
  <c r="F16" i="58498"/>
  <c r="F18" i="58498"/>
  <c r="F20" i="58498"/>
  <c r="G25" i="58498"/>
  <c r="G27" i="58498"/>
  <c r="G11" i="58499"/>
  <c r="IJ569" i="58481"/>
  <c r="G10" i="58499"/>
  <c r="G26" i="58499"/>
  <c r="G28" i="58499"/>
  <c r="J20" i="58499"/>
  <c r="F26" i="58499"/>
  <c r="F28" i="58499"/>
  <c r="J27" i="58499"/>
  <c r="K53" i="58499"/>
  <c r="C13" i="58498"/>
  <c r="J13" i="58498" s="1"/>
  <c r="G9" i="58498"/>
  <c r="HU624" i="58479"/>
  <c r="K10" i="58499"/>
  <c r="G48" i="58499"/>
  <c r="K45" i="58499"/>
  <c r="G28" i="58498"/>
  <c r="G31" i="58498"/>
  <c r="K12" i="58499"/>
  <c r="J16" i="58499"/>
  <c r="F25" i="58499"/>
  <c r="K9" i="58498"/>
  <c r="F26" i="58498"/>
  <c r="K31" i="58498"/>
  <c r="G48" i="58498"/>
  <c r="J52" i="58498"/>
  <c r="G17" i="58499"/>
  <c r="J18" i="58499"/>
  <c r="G25" i="58499"/>
  <c r="G27" i="58499"/>
  <c r="F27" i="58499"/>
  <c r="J32" i="58499"/>
  <c r="G52" i="58499"/>
  <c r="G10" i="58498"/>
  <c r="G12" i="58498"/>
  <c r="K11" i="58498"/>
  <c r="J17" i="58498"/>
  <c r="F28" i="58498"/>
  <c r="J48" i="58498"/>
  <c r="HU621" i="58479"/>
  <c r="HT624" i="58479"/>
  <c r="O38" i="58470"/>
  <c r="D6" i="58479"/>
  <c r="D10" i="58479"/>
  <c r="BM191" i="58479"/>
  <c r="BI170" i="58479" s="1"/>
  <c r="D7" i="58479"/>
  <c r="D11" i="58479"/>
  <c r="D8" i="58479"/>
  <c r="D12" i="58479"/>
  <c r="D5" i="58479"/>
  <c r="D9" i="58479"/>
  <c r="D13" i="58479"/>
  <c r="Q63" i="58479"/>
  <c r="Q67" i="58479" s="1"/>
  <c r="D4" i="58479"/>
  <c r="R60" i="58479"/>
  <c r="R63" i="58479" s="1"/>
  <c r="BM177" i="58479"/>
  <c r="IC663" i="58479"/>
  <c r="H29" i="58498"/>
  <c r="K10" i="58498"/>
  <c r="K12" i="58498"/>
  <c r="F17" i="58498"/>
  <c r="J16" i="58498"/>
  <c r="J18" i="58498"/>
  <c r="J20" i="58498"/>
  <c r="F25" i="58498"/>
  <c r="F27" i="58498"/>
  <c r="K26" i="58498"/>
  <c r="J27" i="58498"/>
  <c r="K32" i="58498"/>
  <c r="K39" i="58498"/>
  <c r="J45" i="58498"/>
  <c r="J53" i="58498"/>
  <c r="F9" i="58498"/>
  <c r="F11" i="58498"/>
  <c r="J9" i="58498"/>
  <c r="K16" i="58498"/>
  <c r="K18" i="58498"/>
  <c r="K20" i="58498"/>
  <c r="J31" i="58498"/>
  <c r="J33" i="58498"/>
  <c r="K45" i="58498"/>
  <c r="K53" i="58498"/>
  <c r="F48" i="58498"/>
  <c r="F52" i="58498"/>
  <c r="F10" i="58498"/>
  <c r="F12" i="58498"/>
  <c r="C13" i="58499"/>
  <c r="F10" i="58499"/>
  <c r="F12" i="58499"/>
  <c r="G16" i="58499"/>
  <c r="K17" i="58499"/>
  <c r="H23" i="58499"/>
  <c r="J26" i="58499"/>
  <c r="F31" i="58499"/>
  <c r="F33" i="58499"/>
  <c r="J45" i="58499"/>
  <c r="J53" i="58499"/>
  <c r="D13" i="58499"/>
  <c r="F17" i="58499"/>
  <c r="K26" i="58499"/>
  <c r="F48" i="58499"/>
  <c r="F52" i="58499"/>
  <c r="F9" i="58499"/>
  <c r="F11" i="58499"/>
  <c r="J9" i="58499"/>
  <c r="J11" i="58499"/>
  <c r="K16" i="58499"/>
  <c r="K18" i="58499"/>
  <c r="K20" i="58499"/>
  <c r="J28" i="58499"/>
  <c r="J31" i="58499"/>
  <c r="K39" i="58499"/>
  <c r="J48" i="58499"/>
  <c r="J52" i="58499"/>
  <c r="AB286" i="58493"/>
  <c r="AC286" i="58493"/>
  <c r="AE286" i="58493" s="1"/>
  <c r="AF286" i="58493" s="1"/>
  <c r="AP312" i="58493"/>
  <c r="AP315" i="58493" s="1"/>
  <c r="AL303" i="58493"/>
  <c r="AL308" i="58493"/>
  <c r="AC285" i="58493"/>
  <c r="AC287" i="58493" s="1"/>
  <c r="T252" i="58493"/>
  <c r="AS336" i="58493"/>
  <c r="AM306" i="58493" s="1"/>
  <c r="AM308" i="58493" s="1"/>
  <c r="AN308" i="58493"/>
  <c r="H86" i="58493"/>
  <c r="I86" i="58493"/>
  <c r="AA287" i="58493"/>
  <c r="AB287" i="58493" s="1"/>
  <c r="AB285" i="58493"/>
  <c r="G81" i="58510"/>
  <c r="G84" i="58510" s="1"/>
  <c r="G88" i="58510" s="1"/>
  <c r="F79" i="58510"/>
  <c r="F140" i="58480"/>
  <c r="G142" i="58480"/>
  <c r="IP592" i="58481"/>
  <c r="IO592" i="58481"/>
  <c r="IQ592" i="58481" s="1"/>
  <c r="HO503" i="58481"/>
  <c r="GM441" i="58481"/>
  <c r="GL441" i="58481"/>
  <c r="GK441" i="58481"/>
  <c r="GL435" i="58481"/>
  <c r="GM430" i="58481"/>
  <c r="GL429" i="58481"/>
  <c r="GL430" i="58481" s="1"/>
  <c r="GJ425" i="58481"/>
  <c r="FT391" i="58481"/>
  <c r="FY390" i="58481"/>
  <c r="FZ390" i="58481" s="1"/>
  <c r="FX390" i="58481"/>
  <c r="FI368" i="58481"/>
  <c r="FH368" i="58481"/>
  <c r="FG368" i="58481"/>
  <c r="FG358" i="58481" s="1"/>
  <c r="FG360" i="58481" s="1"/>
  <c r="FJ366" i="58481"/>
  <c r="FJ364" i="58481"/>
  <c r="FI358" i="58481"/>
  <c r="FI360" i="58481" s="1"/>
  <c r="FH358" i="58481"/>
  <c r="FH360" i="58481" s="1"/>
  <c r="FI355" i="58481"/>
  <c r="FH355" i="58481"/>
  <c r="FG355" i="58481"/>
  <c r="DS284" i="58481"/>
  <c r="DQ284" i="58481"/>
  <c r="DP284" i="58481"/>
  <c r="DT282" i="58481"/>
  <c r="DS282" i="58481"/>
  <c r="DR282" i="58481"/>
  <c r="DQ282" i="58481"/>
  <c r="DP282" i="58481"/>
  <c r="DO282" i="58481"/>
  <c r="DT281" i="58481"/>
  <c r="DS281" i="58481"/>
  <c r="DR281" i="58481"/>
  <c r="DQ281" i="58481"/>
  <c r="DP281" i="58481"/>
  <c r="DO281" i="58481"/>
  <c r="DT280" i="58481"/>
  <c r="DS280" i="58481"/>
  <c r="DR280" i="58481"/>
  <c r="DQ280" i="58481"/>
  <c r="DP280" i="58481"/>
  <c r="DO280" i="58481"/>
  <c r="DT279" i="58481"/>
  <c r="DS279" i="58481"/>
  <c r="DR279" i="58481"/>
  <c r="DQ279" i="58481"/>
  <c r="DP279" i="58481"/>
  <c r="DO279" i="58481"/>
  <c r="DT278" i="58481"/>
  <c r="DS278" i="58481"/>
  <c r="DR278" i="58481"/>
  <c r="DQ278" i="58481"/>
  <c r="DP278" i="58481"/>
  <c r="DO278" i="58481"/>
  <c r="DT277" i="58481"/>
  <c r="DS277" i="58481"/>
  <c r="DR277" i="58481"/>
  <c r="DQ277" i="58481"/>
  <c r="DP277" i="58481"/>
  <c r="DO277" i="58481"/>
  <c r="DT276" i="58481"/>
  <c r="DS276" i="58481"/>
  <c r="DR276" i="58481"/>
  <c r="DQ276" i="58481"/>
  <c r="DP276" i="58481"/>
  <c r="DO276" i="58481"/>
  <c r="DQ275" i="58481"/>
  <c r="DP275" i="58481"/>
  <c r="DU274" i="58481"/>
  <c r="DT274" i="58481"/>
  <c r="DS274" i="58481"/>
  <c r="DR274" i="58481"/>
  <c r="DQ274" i="58481"/>
  <c r="DP274" i="58481"/>
  <c r="DO274" i="58481"/>
  <c r="DJ236" i="58481"/>
  <c r="DD228" i="58481"/>
  <c r="DC228" i="58481"/>
  <c r="DB228" i="58481"/>
  <c r="DA228" i="58481"/>
  <c r="CZ228" i="58481"/>
  <c r="CY228" i="58481"/>
  <c r="CX228" i="58481"/>
  <c r="DA226" i="58481"/>
  <c r="CZ226" i="58481"/>
  <c r="CY226" i="58481"/>
  <c r="CX226" i="58481"/>
  <c r="DA224" i="58481"/>
  <c r="CZ224" i="58481"/>
  <c r="CY224" i="58481"/>
  <c r="CX224" i="58481"/>
  <c r="DA222" i="58481"/>
  <c r="CZ222" i="58481"/>
  <c r="CY222" i="58481"/>
  <c r="CX222" i="58481"/>
  <c r="DA220" i="58481"/>
  <c r="CZ220" i="58481"/>
  <c r="CY220" i="58481"/>
  <c r="CX220" i="58481"/>
  <c r="DA218" i="58481"/>
  <c r="CZ218" i="58481"/>
  <c r="CY218" i="58481"/>
  <c r="CX218" i="58481"/>
  <c r="DA216" i="58481"/>
  <c r="CZ216" i="58481"/>
  <c r="CY216" i="58481"/>
  <c r="CX216" i="58481"/>
  <c r="DA214" i="58481"/>
  <c r="CZ214" i="58481"/>
  <c r="CY214" i="58481"/>
  <c r="CX214" i="58481"/>
  <c r="DA212" i="58481"/>
  <c r="CZ212" i="58481"/>
  <c r="CY212" i="58481"/>
  <c r="CX212" i="58481"/>
  <c r="DD227" i="58481"/>
  <c r="DC227" i="58481"/>
  <c r="DB227" i="58481"/>
  <c r="DD226" i="58481"/>
  <c r="DC226" i="58481"/>
  <c r="DB226" i="58481"/>
  <c r="DD225" i="58481"/>
  <c r="DC225" i="58481"/>
  <c r="DB225" i="58481"/>
  <c r="DD224" i="58481"/>
  <c r="DC224" i="58481"/>
  <c r="DB224" i="58481"/>
  <c r="DD223" i="58481"/>
  <c r="DC223" i="58481"/>
  <c r="DB223" i="58481"/>
  <c r="DD222" i="58481"/>
  <c r="DC222" i="58481"/>
  <c r="DB222" i="58481"/>
  <c r="DD221" i="58481"/>
  <c r="DC221" i="58481"/>
  <c r="DB221" i="58481"/>
  <c r="DD220" i="58481"/>
  <c r="DC220" i="58481"/>
  <c r="DB220" i="58481"/>
  <c r="DD219" i="58481"/>
  <c r="DC219" i="58481"/>
  <c r="DB219" i="58481"/>
  <c r="DD218" i="58481"/>
  <c r="DC218" i="58481"/>
  <c r="DB218" i="58481"/>
  <c r="DD217" i="58481"/>
  <c r="DC217" i="58481"/>
  <c r="DB217" i="58481"/>
  <c r="DD216" i="58481"/>
  <c r="DC216" i="58481"/>
  <c r="DB216" i="58481"/>
  <c r="DD215" i="58481"/>
  <c r="DC215" i="58481"/>
  <c r="DB215" i="58481"/>
  <c r="DD214" i="58481"/>
  <c r="DC214" i="58481"/>
  <c r="DB214" i="58481"/>
  <c r="DD213" i="58481"/>
  <c r="DC213" i="58481"/>
  <c r="DB213" i="58481"/>
  <c r="DD212" i="58481"/>
  <c r="DC212" i="58481"/>
  <c r="DB212" i="58481"/>
  <c r="DD211" i="58481"/>
  <c r="DC211" i="58481"/>
  <c r="DB211" i="58481"/>
  <c r="CT204" i="58481"/>
  <c r="CS204" i="58481"/>
  <c r="CR204" i="58481"/>
  <c r="CQ204" i="58481"/>
  <c r="CN204" i="58481"/>
  <c r="CM204" i="58481"/>
  <c r="CL204" i="58481"/>
  <c r="CK204" i="58481"/>
  <c r="CJ204" i="58481"/>
  <c r="CP203" i="58481"/>
  <c r="CO203" i="58481"/>
  <c r="CT202" i="58481"/>
  <c r="CS202" i="58481"/>
  <c r="CR202" i="58481"/>
  <c r="CQ202" i="58481"/>
  <c r="CN202" i="58481"/>
  <c r="CM202" i="58481"/>
  <c r="CL202" i="58481"/>
  <c r="CK202" i="58481"/>
  <c r="CJ202" i="58481"/>
  <c r="CP201" i="58481"/>
  <c r="CO201" i="58481"/>
  <c r="CT200" i="58481"/>
  <c r="CS200" i="58481"/>
  <c r="CR200" i="58481"/>
  <c r="CQ200" i="58481"/>
  <c r="CN200" i="58481"/>
  <c r="CM200" i="58481"/>
  <c r="CL200" i="58481"/>
  <c r="CK200" i="58481"/>
  <c r="CJ200" i="58481"/>
  <c r="CP199" i="58481"/>
  <c r="CO199" i="58481"/>
  <c r="CT198" i="58481"/>
  <c r="CS198" i="58481"/>
  <c r="CR198" i="58481"/>
  <c r="CQ198" i="58481"/>
  <c r="CN198" i="58481"/>
  <c r="CM198" i="58481"/>
  <c r="CL198" i="58481"/>
  <c r="CK198" i="58481"/>
  <c r="CJ198" i="58481"/>
  <c r="CP197" i="58481"/>
  <c r="CO197" i="58481"/>
  <c r="CT196" i="58481"/>
  <c r="CS196" i="58481"/>
  <c r="CR196" i="58481"/>
  <c r="CQ196" i="58481"/>
  <c r="CN196" i="58481"/>
  <c r="CM196" i="58481"/>
  <c r="CL196" i="58481"/>
  <c r="CK196" i="58481"/>
  <c r="CJ196" i="58481"/>
  <c r="CP195" i="58481"/>
  <c r="CO195" i="58481"/>
  <c r="CT194" i="58481"/>
  <c r="CS194" i="58481"/>
  <c r="CR194" i="58481"/>
  <c r="CQ194" i="58481"/>
  <c r="CN194" i="58481"/>
  <c r="CM194" i="58481"/>
  <c r="CL194" i="58481"/>
  <c r="CK194" i="58481"/>
  <c r="CJ194" i="58481"/>
  <c r="CP193" i="58481"/>
  <c r="CO193" i="58481"/>
  <c r="CT192" i="58481"/>
  <c r="CS192" i="58481"/>
  <c r="CR192" i="58481"/>
  <c r="CQ192" i="58481"/>
  <c r="CN192" i="58481"/>
  <c r="CM192" i="58481"/>
  <c r="CL192" i="58481"/>
  <c r="CK192" i="58481"/>
  <c r="CJ192" i="58481"/>
  <c r="CP191" i="58481"/>
  <c r="CO191" i="58481"/>
  <c r="CN190" i="58481"/>
  <c r="CM190" i="58481"/>
  <c r="CL190" i="58481"/>
  <c r="CK190" i="58481"/>
  <c r="CJ190" i="58481"/>
  <c r="CT190" i="58481"/>
  <c r="CS190" i="58481"/>
  <c r="CR190" i="58481"/>
  <c r="CQ190" i="58481"/>
  <c r="CP189" i="58481"/>
  <c r="CO189" i="58481"/>
  <c r="CQ189" i="58481" s="1"/>
  <c r="CR189" i="58481" s="1"/>
  <c r="CS189" i="58481" s="1"/>
  <c r="CT189" i="58481" s="1"/>
  <c r="CE186" i="58481"/>
  <c r="CE185" i="58481"/>
  <c r="CE184" i="58481"/>
  <c r="CE183" i="58481"/>
  <c r="CE182" i="58481"/>
  <c r="CF182" i="58481"/>
  <c r="CF181" i="58481"/>
  <c r="CC179" i="58481"/>
  <c r="CC180" i="58481" s="1"/>
  <c r="CC177" i="58481"/>
  <c r="CC175" i="58481"/>
  <c r="CC172" i="58481"/>
  <c r="BA139" i="58481"/>
  <c r="BA138" i="58481"/>
  <c r="BA140" i="58481" s="1"/>
  <c r="BA141" i="58481" s="1"/>
  <c r="BB140" i="58481"/>
  <c r="BB139" i="58481"/>
  <c r="BB138" i="58481"/>
  <c r="AP85" i="58481"/>
  <c r="AO85" i="58481"/>
  <c r="AN85" i="58481"/>
  <c r="AM85" i="58481"/>
  <c r="AL85" i="58481"/>
  <c r="AK85" i="58481"/>
  <c r="AJ85" i="58481"/>
  <c r="AI85" i="58481"/>
  <c r="AH85" i="58481"/>
  <c r="AG85" i="58481"/>
  <c r="AF85" i="58481"/>
  <c r="AE85" i="58481"/>
  <c r="AD85" i="58481"/>
  <c r="AP84" i="58481"/>
  <c r="AO84" i="58481"/>
  <c r="AN84" i="58481"/>
  <c r="AM84" i="58481"/>
  <c r="AL84" i="58481"/>
  <c r="AK84" i="58481"/>
  <c r="AJ84" i="58481"/>
  <c r="AI84" i="58481"/>
  <c r="AH84" i="58481"/>
  <c r="AG84" i="58481"/>
  <c r="AF84" i="58481"/>
  <c r="AE84" i="58481"/>
  <c r="AD84" i="58481"/>
  <c r="AP83" i="58481"/>
  <c r="AP88" i="58481" s="1"/>
  <c r="AL83" i="58481"/>
  <c r="AL88" i="58481" s="1"/>
  <c r="AH83" i="58481"/>
  <c r="AH88" i="58481" s="1"/>
  <c r="AD83" i="58481"/>
  <c r="AD88" i="58481" s="1"/>
  <c r="AP65" i="58481"/>
  <c r="AO65" i="58481"/>
  <c r="AN65" i="58481"/>
  <c r="AM65" i="58481"/>
  <c r="AL65" i="58481"/>
  <c r="AK65" i="58481"/>
  <c r="AJ65" i="58481"/>
  <c r="AI65" i="58481"/>
  <c r="AH65" i="58481"/>
  <c r="AG65" i="58481"/>
  <c r="AF65" i="58481"/>
  <c r="AE65" i="58481"/>
  <c r="AD65" i="58481"/>
  <c r="AP51" i="58481"/>
  <c r="AN51" i="58481"/>
  <c r="AM51" i="58481"/>
  <c r="AP48" i="58481"/>
  <c r="AO48" i="58481"/>
  <c r="AO83" i="58481" s="1"/>
  <c r="AN48" i="58481"/>
  <c r="AN83" i="58481" s="1"/>
  <c r="AM48" i="58481"/>
  <c r="AM83" i="58481" s="1"/>
  <c r="AL48" i="58481"/>
  <c r="AK48" i="58481"/>
  <c r="AK83" i="58481" s="1"/>
  <c r="AJ48" i="58481"/>
  <c r="AJ83" i="58481" s="1"/>
  <c r="AI48" i="58481"/>
  <c r="AI83" i="58481" s="1"/>
  <c r="AH48" i="58481"/>
  <c r="AG48" i="58481"/>
  <c r="AG83" i="58481" s="1"/>
  <c r="AF48" i="58481"/>
  <c r="AF83" i="58481" s="1"/>
  <c r="AE48" i="58481"/>
  <c r="AE83" i="58481" s="1"/>
  <c r="AD48" i="58481"/>
  <c r="L24" i="58481"/>
  <c r="L23" i="58481"/>
  <c r="L21" i="58481"/>
  <c r="N20" i="58481"/>
  <c r="M20" i="58481"/>
  <c r="N19" i="58481"/>
  <c r="M19" i="58481"/>
  <c r="C10" i="58481"/>
  <c r="B10" i="58481"/>
  <c r="H55" i="58501"/>
  <c r="H49" i="58501"/>
  <c r="K51" i="58501"/>
  <c r="D53" i="58501"/>
  <c r="C53" i="58501"/>
  <c r="D52" i="58501"/>
  <c r="C52" i="58501"/>
  <c r="K52" i="58501" s="1"/>
  <c r="D48" i="58501"/>
  <c r="C48" i="58501"/>
  <c r="D45" i="58501"/>
  <c r="C45" i="58501"/>
  <c r="D39" i="58501"/>
  <c r="C39" i="58501"/>
  <c r="K36" i="58501"/>
  <c r="K33" i="58501"/>
  <c r="D33" i="58501"/>
  <c r="G33" i="58501" s="1"/>
  <c r="C33" i="58501"/>
  <c r="D32" i="58501"/>
  <c r="C32" i="58501"/>
  <c r="J32" i="58501" s="1"/>
  <c r="D31" i="58501"/>
  <c r="C31" i="58501"/>
  <c r="D28" i="58501"/>
  <c r="D27" i="58501"/>
  <c r="C27" i="58501"/>
  <c r="J27" i="58501" s="1"/>
  <c r="D26" i="58501"/>
  <c r="C26" i="58501"/>
  <c r="K26" i="58501" s="1"/>
  <c r="D25" i="58501"/>
  <c r="C25" i="58501"/>
  <c r="H23" i="58501"/>
  <c r="H29" i="58501" s="1"/>
  <c r="H21" i="58501"/>
  <c r="D20" i="58501"/>
  <c r="C20" i="58501"/>
  <c r="D18" i="58501"/>
  <c r="C18" i="58501"/>
  <c r="F18" i="58501" s="1"/>
  <c r="D17" i="58501"/>
  <c r="C17" i="58501"/>
  <c r="J17" i="58501" s="1"/>
  <c r="D16" i="58501"/>
  <c r="C16" i="58501"/>
  <c r="F16" i="58501" s="1"/>
  <c r="H13" i="58501"/>
  <c r="D12" i="58501"/>
  <c r="C12" i="58501"/>
  <c r="K12" i="58501" s="1"/>
  <c r="D11" i="58501"/>
  <c r="C11" i="58501"/>
  <c r="K11" i="58501" s="1"/>
  <c r="D10" i="58501"/>
  <c r="C10" i="58501"/>
  <c r="K10" i="58501" s="1"/>
  <c r="D9" i="58501"/>
  <c r="C9" i="58501"/>
  <c r="K9" i="58501" s="1"/>
  <c r="D92" i="58513"/>
  <c r="M92" i="58513" s="1"/>
  <c r="D91" i="58513"/>
  <c r="M91" i="58513" s="1"/>
  <c r="D90" i="58513"/>
  <c r="M90" i="58513" s="1"/>
  <c r="D89" i="58513"/>
  <c r="M89" i="58513" s="1"/>
  <c r="D88" i="58513"/>
  <c r="M88" i="58513" s="1"/>
  <c r="D87" i="58513"/>
  <c r="M87" i="58513" s="1"/>
  <c r="D86" i="58513"/>
  <c r="M86" i="58513" s="1"/>
  <c r="E85" i="58513"/>
  <c r="O85" i="58513" s="1"/>
  <c r="D85" i="58513"/>
  <c r="M85" i="58513" s="1"/>
  <c r="D78" i="58513"/>
  <c r="D70" i="58513"/>
  <c r="D64" i="58513"/>
  <c r="D45" i="58513"/>
  <c r="L33" i="58513"/>
  <c r="E90" i="58513" s="1"/>
  <c r="O90" i="58513" s="1"/>
  <c r="H32" i="58513"/>
  <c r="E92" i="58513" s="1"/>
  <c r="O92" i="58513" s="1"/>
  <c r="D32" i="58513"/>
  <c r="E96" i="58513" s="1"/>
  <c r="L25" i="58513"/>
  <c r="E88" i="58513" s="1"/>
  <c r="O88" i="58513" s="1"/>
  <c r="H23" i="58513"/>
  <c r="E91" i="58513" s="1"/>
  <c r="O91" i="58513" s="1"/>
  <c r="L17" i="58513"/>
  <c r="E87" i="58513" s="1"/>
  <c r="O87" i="58513" s="1"/>
  <c r="H17" i="58513"/>
  <c r="E86" i="58513" s="1"/>
  <c r="O86" i="58513" s="1"/>
  <c r="KA858" i="58502"/>
  <c r="JP848" i="58502"/>
  <c r="JP849" i="58502" s="1"/>
  <c r="JP850" i="58502" s="1"/>
  <c r="JP851" i="58502" s="1"/>
  <c r="JP846" i="58502"/>
  <c r="JP845" i="58502"/>
  <c r="JP844" i="58502" s="1"/>
  <c r="JP843" i="58502" s="1"/>
  <c r="JW842" i="58502"/>
  <c r="JX842" i="58502" s="1"/>
  <c r="JY842" i="58502" s="1"/>
  <c r="JV842" i="58502"/>
  <c r="JT842" i="58502"/>
  <c r="JS842" i="58502" s="1"/>
  <c r="JR842" i="58502" s="1"/>
  <c r="JQ842" i="58502" s="1"/>
  <c r="JM834" i="58502"/>
  <c r="JM833" i="58502"/>
  <c r="JM828" i="58502"/>
  <c r="JM826" i="58502"/>
  <c r="JM825" i="58502"/>
  <c r="JI820" i="58502"/>
  <c r="JK820" i="58502" s="1"/>
  <c r="JI819" i="58502"/>
  <c r="JI818" i="58502"/>
  <c r="JK818" i="58502" s="1"/>
  <c r="JG820" i="58502"/>
  <c r="JF820" i="58502"/>
  <c r="JF819" i="58502"/>
  <c r="IY794" i="58502"/>
  <c r="JA794" i="58502" s="1"/>
  <c r="IS770" i="58502"/>
  <c r="IS769" i="58502"/>
  <c r="IQ769" i="58502"/>
  <c r="IU769" i="58502" s="1"/>
  <c r="II757" i="58502"/>
  <c r="IK757" i="58502" s="1"/>
  <c r="II752" i="58502"/>
  <c r="IK752" i="58502" s="1"/>
  <c r="IM744" i="58502"/>
  <c r="IK743" i="58502"/>
  <c r="II742" i="58502"/>
  <c r="II744" i="58502" s="1"/>
  <c r="II738" i="58502"/>
  <c r="II737" i="58502"/>
  <c r="IC715" i="58502"/>
  <c r="IB715" i="58502"/>
  <c r="IC712" i="58502"/>
  <c r="HY706" i="58502"/>
  <c r="HV698" i="58502"/>
  <c r="HV696" i="58502"/>
  <c r="HV697" i="58502" s="1"/>
  <c r="HV702" i="58502" s="1"/>
  <c r="HV703" i="58502" s="1"/>
  <c r="HV695" i="58502"/>
  <c r="HV700" i="58502" s="1"/>
  <c r="HV701" i="58502" s="1"/>
  <c r="GX648" i="58502"/>
  <c r="GX647" i="58502"/>
  <c r="GX645" i="58502"/>
  <c r="GX638" i="58502"/>
  <c r="GX646" i="58502" s="1"/>
  <c r="GX637" i="58502"/>
  <c r="GX636" i="58502"/>
  <c r="GX640" i="58502" s="1"/>
  <c r="GI613" i="58502"/>
  <c r="GC597" i="58502"/>
  <c r="HQ508" i="58481"/>
  <c r="HT508" i="58481"/>
  <c r="HU508" i="58481"/>
  <c r="F31" i="58501" l="1"/>
  <c r="F39" i="58501"/>
  <c r="F20" i="58501"/>
  <c r="F25" i="58501"/>
  <c r="K13" i="58498"/>
  <c r="F13" i="58498"/>
  <c r="F48" i="58501"/>
  <c r="F53" i="58501"/>
  <c r="G13" i="58498"/>
  <c r="F45" i="58501"/>
  <c r="C11" i="58481"/>
  <c r="G17" i="58501"/>
  <c r="G26" i="58501"/>
  <c r="G52" i="58501"/>
  <c r="G20" i="58501"/>
  <c r="G45" i="58501"/>
  <c r="G9" i="58501"/>
  <c r="G11" i="58501"/>
  <c r="G18" i="58501"/>
  <c r="G25" i="58501"/>
  <c r="G27" i="58501"/>
  <c r="G31" i="58501"/>
  <c r="G32" i="58501"/>
  <c r="K39" i="58501"/>
  <c r="G48" i="58501"/>
  <c r="F33" i="58501"/>
  <c r="G10" i="58501"/>
  <c r="G12" i="58501"/>
  <c r="F32" i="58501"/>
  <c r="G39" i="58501"/>
  <c r="C13" i="58501"/>
  <c r="J13" i="58501" s="1"/>
  <c r="F10" i="58501"/>
  <c r="F12" i="58501"/>
  <c r="J10" i="58501"/>
  <c r="J12" i="58501"/>
  <c r="G16" i="58501"/>
  <c r="K17" i="58501"/>
  <c r="K27" i="58501"/>
  <c r="K32" i="58501"/>
  <c r="J39" i="58501"/>
  <c r="J48" i="58501"/>
  <c r="J53" i="58501"/>
  <c r="D13" i="58501"/>
  <c r="F17" i="58501"/>
  <c r="J16" i="58501"/>
  <c r="J18" i="58501"/>
  <c r="J20" i="58501"/>
  <c r="F26" i="58501"/>
  <c r="J25" i="58501"/>
  <c r="J31" i="58501"/>
  <c r="J33" i="58501"/>
  <c r="K48" i="58501"/>
  <c r="K53" i="58501"/>
  <c r="F52" i="58501"/>
  <c r="HU625" i="58479"/>
  <c r="F9" i="58501"/>
  <c r="F11" i="58501"/>
  <c r="J9" i="58501"/>
  <c r="J11" i="58501"/>
  <c r="K16" i="58501"/>
  <c r="K18" i="58501"/>
  <c r="K20" i="58501"/>
  <c r="J26" i="58501"/>
  <c r="K31" i="58501"/>
  <c r="J45" i="58501"/>
  <c r="J52" i="58501"/>
  <c r="F27" i="58501"/>
  <c r="K45" i="58501"/>
  <c r="KE879" i="58502"/>
  <c r="KA860" i="58502" s="1"/>
  <c r="GJ617" i="58502"/>
  <c r="P38" i="58470"/>
  <c r="BM185" i="58479"/>
  <c r="BM189" i="58479"/>
  <c r="R64" i="58479"/>
  <c r="R65" i="58479"/>
  <c r="R67" i="58479" s="1"/>
  <c r="D15" i="58479"/>
  <c r="H34" i="58498"/>
  <c r="G13" i="58499"/>
  <c r="J13" i="58499"/>
  <c r="F13" i="58499"/>
  <c r="H29" i="58499"/>
  <c r="K13" i="58499"/>
  <c r="AP318" i="58493"/>
  <c r="AP317" i="58493"/>
  <c r="T257" i="58493"/>
  <c r="T259" i="58493" s="1"/>
  <c r="V262" i="58493" s="1"/>
  <c r="V265" i="58493" s="1"/>
  <c r="V267" i="58493" s="1"/>
  <c r="V263" i="58493"/>
  <c r="T256" i="58493"/>
  <c r="AX356" i="58493" s="1"/>
  <c r="T250" i="58493"/>
  <c r="AX364" i="58493"/>
  <c r="AN309" i="58493"/>
  <c r="AI286" i="58493"/>
  <c r="AJ286" i="58493" s="1"/>
  <c r="AH286" i="58493"/>
  <c r="AL309" i="58493"/>
  <c r="AX343" i="58493"/>
  <c r="AM309" i="58493"/>
  <c r="AX350" i="58493"/>
  <c r="AZ387" i="58493" s="1"/>
  <c r="AZ389" i="58493" s="1"/>
  <c r="AX369" i="58493"/>
  <c r="Q166" i="58480"/>
  <c r="HW519" i="58481"/>
  <c r="AM88" i="58481"/>
  <c r="AM87" i="58481"/>
  <c r="FI366" i="58481"/>
  <c r="FI364" i="58481"/>
  <c r="AF88" i="58481"/>
  <c r="AF87" i="58481"/>
  <c r="AG87" i="58481"/>
  <c r="AG88" i="58481"/>
  <c r="AK87" i="58481"/>
  <c r="AK88" i="58481"/>
  <c r="AO87" i="58481"/>
  <c r="AO88" i="58481"/>
  <c r="AE88" i="58481"/>
  <c r="AE87" i="58481"/>
  <c r="AN88" i="58481"/>
  <c r="AN87" i="58481"/>
  <c r="FH366" i="58481"/>
  <c r="FH364" i="58481"/>
  <c r="FG366" i="58481"/>
  <c r="FG364" i="58481"/>
  <c r="GA390" i="58481"/>
  <c r="GB390" i="58481" s="1"/>
  <c r="GC390" i="58481" s="1"/>
  <c r="AI88" i="58481"/>
  <c r="AI87" i="58481"/>
  <c r="AJ88" i="58481"/>
  <c r="AJ87" i="58481"/>
  <c r="AD87" i="58481"/>
  <c r="AH87" i="58481"/>
  <c r="AL87" i="58481"/>
  <c r="AP87" i="58481"/>
  <c r="H34" i="58501"/>
  <c r="D93" i="58513"/>
  <c r="E89" i="58513"/>
  <c r="O89" i="58513" s="1"/>
  <c r="E93" i="58513"/>
  <c r="JM836" i="58502"/>
  <c r="JM839" i="58502" s="1"/>
  <c r="JM840" i="58502" s="1"/>
  <c r="JP842" i="58502" s="1"/>
  <c r="IK748" i="58502"/>
  <c r="II748" i="58502"/>
  <c r="GX639" i="58502"/>
  <c r="GX644" i="58502"/>
  <c r="JC794" i="58502"/>
  <c r="JA795" i="58502"/>
  <c r="HF664" i="58502"/>
  <c r="HF662" i="58502"/>
  <c r="HI662" i="58502" s="1"/>
  <c r="HY707" i="58502"/>
  <c r="HY709" i="58502" s="1"/>
  <c r="HF663" i="58502"/>
  <c r="IQ770" i="58502"/>
  <c r="IU770" i="58502" s="1"/>
  <c r="GJ612" i="58502"/>
  <c r="GJ614" i="58502"/>
  <c r="GJ616" i="58502"/>
  <c r="IY795" i="58502"/>
  <c r="KD879" i="58502"/>
  <c r="GJ613" i="58502"/>
  <c r="GJ615" i="58502"/>
  <c r="IC713" i="58502"/>
  <c r="IC714" i="58502"/>
  <c r="IK745" i="58502"/>
  <c r="FX599" i="58502"/>
  <c r="FY599" i="58502"/>
  <c r="HR508" i="58481"/>
  <c r="HP508" i="58481"/>
  <c r="HS508" i="58481"/>
  <c r="K13" i="58501" l="1"/>
  <c r="F13" i="58501"/>
  <c r="G13" i="58501"/>
  <c r="KA861" i="58502"/>
  <c r="KA863" i="58502" s="1"/>
  <c r="Q38" i="58470"/>
  <c r="BM194" i="58479"/>
  <c r="BI168" i="58479"/>
  <c r="BI174" i="58479" s="1"/>
  <c r="H37" i="58498"/>
  <c r="H34" i="58499"/>
  <c r="AE287" i="58493"/>
  <c r="AE285" i="58493"/>
  <c r="AF285" i="58493" s="1"/>
  <c r="H37" i="58501"/>
  <c r="FZ599" i="58502"/>
  <c r="GA599" i="58502" s="1"/>
  <c r="ID715" i="58502"/>
  <c r="GX650" i="58502"/>
  <c r="GX649" i="58502"/>
  <c r="HB653" i="58502"/>
  <c r="HB655" i="58502" s="1"/>
  <c r="HB657" i="58502" s="1"/>
  <c r="HK663" i="58502"/>
  <c r="JC795" i="58502"/>
  <c r="HK664" i="58502"/>
  <c r="HI664" i="58502"/>
  <c r="HJ664" i="58502" s="1"/>
  <c r="HG664" i="58502"/>
  <c r="HG663" i="58502"/>
  <c r="HI663" i="58502"/>
  <c r="HJ663" i="58502" s="1"/>
  <c r="FY598" i="58502"/>
  <c r="FX598" i="58502"/>
  <c r="KA868" i="58502" l="1"/>
  <c r="KA869" i="58502" s="1"/>
  <c r="KA864" i="58502"/>
  <c r="R38" i="58470"/>
  <c r="H40" i="58498"/>
  <c r="H37" i="58499"/>
  <c r="AI285" i="58493"/>
  <c r="AH285" i="58493"/>
  <c r="AH287" i="58493" s="1"/>
  <c r="AF287" i="58493"/>
  <c r="AD287" i="58493"/>
  <c r="H40" i="58501"/>
  <c r="FZ598" i="58502"/>
  <c r="GA598" i="58502" s="1"/>
  <c r="FX597" i="58502"/>
  <c r="FY597" i="58502"/>
  <c r="S38" i="58470" l="1"/>
  <c r="H40" i="58499"/>
  <c r="V272" i="58493"/>
  <c r="AG287" i="58493"/>
  <c r="AI287" i="58493"/>
  <c r="AJ287" i="58493" s="1"/>
  <c r="V271" i="58493"/>
  <c r="AJ285" i="58493"/>
  <c r="FZ597" i="58502"/>
  <c r="GA597" i="58502" s="1"/>
  <c r="FS588" i="58502"/>
  <c r="FS587" i="58502"/>
  <c r="FE558" i="58502"/>
  <c r="FI558" i="58502"/>
  <c r="FI557" i="58502"/>
  <c r="FI560" i="58502" s="1"/>
  <c r="FH554" i="58502"/>
  <c r="FH550" i="58502"/>
  <c r="FH549" i="58502"/>
  <c r="FH552" i="58502" s="1"/>
  <c r="FE550" i="58502"/>
  <c r="FE549" i="58502"/>
  <c r="FE557" i="58502" s="1"/>
  <c r="FE560" i="58502" s="1"/>
  <c r="FE545" i="58502"/>
  <c r="FH543" i="58502"/>
  <c r="FH542" i="58502"/>
  <c r="FH545" i="58502" s="1"/>
  <c r="FE542" i="58502"/>
  <c r="FH540" i="58502"/>
  <c r="FH539" i="58502"/>
  <c r="FE536" i="58502"/>
  <c r="FH533" i="58502"/>
  <c r="FH557" i="58502" s="1"/>
  <c r="EW506" i="58502"/>
  <c r="EW505" i="58502"/>
  <c r="EW504" i="58502"/>
  <c r="EW503" i="58502"/>
  <c r="EW502" i="58502"/>
  <c r="EW501" i="58502"/>
  <c r="EW500" i="58502"/>
  <c r="DW422" i="58502"/>
  <c r="DM396" i="58502"/>
  <c r="DL396" i="58502"/>
  <c r="DK396" i="58502"/>
  <c r="DJ396" i="58502"/>
  <c r="DM387" i="58502"/>
  <c r="DM378" i="58502"/>
  <c r="DM369" i="58502"/>
  <c r="CN323" i="58502"/>
  <c r="CN313" i="58502"/>
  <c r="CN330" i="58502" s="1"/>
  <c r="CO311" i="58502"/>
  <c r="CO310" i="58502"/>
  <c r="CN331" i="58502" s="1"/>
  <c r="CN308" i="58502"/>
  <c r="CL342" i="58502" s="1"/>
  <c r="CN305" i="58502"/>
  <c r="CR307" i="58502"/>
  <c r="CN303" i="58502"/>
  <c r="CL341" i="58502" s="1"/>
  <c r="CN301" i="58502"/>
  <c r="CR301" i="58502"/>
  <c r="CR302" i="58502" s="1"/>
  <c r="CN298" i="58502"/>
  <c r="CJ282" i="58502"/>
  <c r="CR311" i="58502" s="1"/>
  <c r="CR312" i="58502" s="1"/>
  <c r="CC282" i="58502"/>
  <c r="CF280" i="58502"/>
  <c r="CG279" i="58502"/>
  <c r="CH278" i="58502"/>
  <c r="CD276" i="58502"/>
  <c r="CC276" i="58502"/>
  <c r="CG280" i="58502" s="1"/>
  <c r="CB276" i="58502"/>
  <c r="CJ273" i="58502"/>
  <c r="CR306" i="58502" s="1"/>
  <c r="CB273" i="58502"/>
  <c r="CN306" i="58502" s="1"/>
  <c r="CF270" i="58502"/>
  <c r="CK267" i="58502"/>
  <c r="CB267" i="58502"/>
  <c r="CF273" i="58502" s="1"/>
  <c r="CN307" i="58502" s="1"/>
  <c r="CK264" i="58502"/>
  <c r="CS301" i="58502" s="1"/>
  <c r="CJ264" i="58502"/>
  <c r="CF264" i="58502"/>
  <c r="CN302" i="58502" s="1"/>
  <c r="CB264" i="58502"/>
  <c r="CF262" i="58502"/>
  <c r="CF261" i="58502"/>
  <c r="CF260" i="58502"/>
  <c r="CK258" i="58502"/>
  <c r="CS300" i="58502" s="1"/>
  <c r="CF253" i="58502"/>
  <c r="CD253" i="58502"/>
  <c r="CC253" i="58502"/>
  <c r="CB253" i="58502"/>
  <c r="CD252" i="58502"/>
  <c r="CC252" i="58502"/>
  <c r="CB252" i="58502"/>
  <c r="CD251" i="58502"/>
  <c r="CC251" i="58502"/>
  <c r="CB251" i="58502"/>
  <c r="CB249" i="58502"/>
  <c r="BZ243" i="58502"/>
  <c r="BZ237" i="58502"/>
  <c r="BY237" i="58502"/>
  <c r="BY243" i="58502" s="1"/>
  <c r="BX237" i="58502"/>
  <c r="BX243" i="58502" s="1"/>
  <c r="BZ236" i="58502"/>
  <c r="BY236" i="58502"/>
  <c r="BY242" i="58502" s="1"/>
  <c r="BY245" i="58502" s="1"/>
  <c r="BX236" i="58502"/>
  <c r="BP203" i="58502"/>
  <c r="BQ203" i="58502" s="1"/>
  <c r="BQ212" i="58502" s="1"/>
  <c r="BC185" i="58502"/>
  <c r="AQ173" i="58502"/>
  <c r="AR172" i="58502"/>
  <c r="AR171" i="58502"/>
  <c r="AR170" i="58502"/>
  <c r="AR169" i="58502"/>
  <c r="AR167" i="58502"/>
  <c r="AH153" i="58502"/>
  <c r="AG153" i="58502"/>
  <c r="AF153" i="58502"/>
  <c r="Z133" i="58502"/>
  <c r="R122" i="58502"/>
  <c r="Q122" i="58502"/>
  <c r="P122" i="58502"/>
  <c r="T121" i="58502"/>
  <c r="S121" i="58502"/>
  <c r="T122" i="58502" s="1"/>
  <c r="T119" i="58502"/>
  <c r="S119" i="58502"/>
  <c r="R119" i="58502"/>
  <c r="Q119" i="58502"/>
  <c r="P119" i="58502"/>
  <c r="T115" i="58502"/>
  <c r="S115" i="58502"/>
  <c r="R115" i="58502"/>
  <c r="Q115" i="58502"/>
  <c r="P115" i="58502"/>
  <c r="T112" i="58502"/>
  <c r="S112" i="58502"/>
  <c r="R112" i="58502"/>
  <c r="Q112" i="58502"/>
  <c r="P112" i="58502"/>
  <c r="T109" i="58502"/>
  <c r="S109" i="58502"/>
  <c r="R109" i="58502"/>
  <c r="Q109" i="58502"/>
  <c r="P109" i="58502"/>
  <c r="T105" i="58502"/>
  <c r="S105" i="58502"/>
  <c r="R105" i="58502"/>
  <c r="Q105" i="58502"/>
  <c r="P105" i="58502"/>
  <c r="T102" i="58502"/>
  <c r="S102" i="58502"/>
  <c r="R102" i="58502"/>
  <c r="Q102" i="58502"/>
  <c r="P102" i="58502"/>
  <c r="T99" i="58502"/>
  <c r="S99" i="58502"/>
  <c r="R99" i="58502"/>
  <c r="Q99" i="58502"/>
  <c r="P99" i="58502"/>
  <c r="P94" i="58502"/>
  <c r="Q94" i="58502" s="1"/>
  <c r="R94" i="58502" s="1"/>
  <c r="S94" i="58502" s="1"/>
  <c r="T94" i="58502" s="1"/>
  <c r="O94" i="58502"/>
  <c r="K92" i="58502"/>
  <c r="K91" i="58502"/>
  <c r="K90" i="58502"/>
  <c r="K89" i="58502"/>
  <c r="K87" i="58502"/>
  <c r="I92" i="58502"/>
  <c r="I91" i="58502"/>
  <c r="I90" i="58502"/>
  <c r="I89" i="58502"/>
  <c r="I88" i="58502"/>
  <c r="I87" i="58502"/>
  <c r="B33" i="58502"/>
  <c r="B39" i="58502" s="1"/>
  <c r="B32" i="58502"/>
  <c r="B38" i="58502" s="1"/>
  <c r="B31" i="58502"/>
  <c r="B30" i="58502"/>
  <c r="B36" i="58502" s="1"/>
  <c r="B27" i="58502"/>
  <c r="B26" i="58502"/>
  <c r="B25" i="58502"/>
  <c r="B24" i="58502"/>
  <c r="B50" i="58502" s="1"/>
  <c r="C21" i="58502"/>
  <c r="C39" i="58502" s="1"/>
  <c r="B21" i="58502"/>
  <c r="C20" i="58502"/>
  <c r="C38" i="58502" s="1"/>
  <c r="B20" i="58502"/>
  <c r="C19" i="58502"/>
  <c r="C37" i="58502" s="1"/>
  <c r="B19" i="58502"/>
  <c r="B37" i="58502" s="1"/>
  <c r="C18" i="58502"/>
  <c r="B18" i="58502"/>
  <c r="C17" i="58502"/>
  <c r="C36" i="58502" s="1"/>
  <c r="B17" i="58502"/>
  <c r="C14" i="58502"/>
  <c r="C53" i="58502" s="1"/>
  <c r="B14" i="58502"/>
  <c r="B53" i="58502" s="1"/>
  <c r="C13" i="58502"/>
  <c r="C52" i="58502" s="1"/>
  <c r="B13" i="58502"/>
  <c r="B52" i="58502" s="1"/>
  <c r="C12" i="58502"/>
  <c r="C51" i="58502" s="1"/>
  <c r="B12" i="58502"/>
  <c r="B51" i="58502" s="1"/>
  <c r="C11" i="58502"/>
  <c r="B11" i="58502"/>
  <c r="C10" i="58502"/>
  <c r="C50" i="58502" s="1"/>
  <c r="B10" i="58502"/>
  <c r="G190" i="58512"/>
  <c r="D190" i="58512"/>
  <c r="B190" i="58512"/>
  <c r="H188" i="58512"/>
  <c r="G188" i="58512"/>
  <c r="D188" i="58512"/>
  <c r="C188" i="58512"/>
  <c r="C190" i="58512" s="1"/>
  <c r="B188" i="58512"/>
  <c r="H186" i="58512"/>
  <c r="H185" i="58512"/>
  <c r="H184" i="58512"/>
  <c r="M185" i="58512"/>
  <c r="L185" i="58512"/>
  <c r="K185" i="58512"/>
  <c r="J185" i="58512"/>
  <c r="M184" i="58512"/>
  <c r="L184" i="58512"/>
  <c r="K184" i="58512"/>
  <c r="J184" i="58512"/>
  <c r="H181" i="58512"/>
  <c r="H190" i="58512" s="1"/>
  <c r="G181" i="58512"/>
  <c r="D181" i="58512"/>
  <c r="C181" i="58512"/>
  <c r="B181" i="58512"/>
  <c r="H179" i="58512"/>
  <c r="H178" i="58512"/>
  <c r="H177" i="58512"/>
  <c r="H175" i="58512"/>
  <c r="H174" i="58512"/>
  <c r="H173" i="58512"/>
  <c r="M179" i="58512"/>
  <c r="L179" i="58512"/>
  <c r="K179" i="58512"/>
  <c r="J179" i="58512"/>
  <c r="M178" i="58512"/>
  <c r="L178" i="58512"/>
  <c r="K178" i="58512"/>
  <c r="J178" i="58512"/>
  <c r="J177" i="58512"/>
  <c r="K177" i="58512" s="1"/>
  <c r="M175" i="58512"/>
  <c r="L175" i="58512"/>
  <c r="K175" i="58512"/>
  <c r="J175" i="58512"/>
  <c r="M174" i="58512"/>
  <c r="L174" i="58512"/>
  <c r="K174" i="58512"/>
  <c r="J174" i="58512"/>
  <c r="H170" i="58512"/>
  <c r="G170" i="58512"/>
  <c r="D170" i="58512"/>
  <c r="C170" i="58512"/>
  <c r="B170" i="58512"/>
  <c r="H168" i="58512"/>
  <c r="H167" i="58512"/>
  <c r="H166" i="58512"/>
  <c r="H165" i="58512"/>
  <c r="H164" i="58512"/>
  <c r="H163" i="58512"/>
  <c r="H162" i="58512"/>
  <c r="H161" i="58512"/>
  <c r="L168" i="58512"/>
  <c r="M168" i="58512" s="1"/>
  <c r="K168" i="58512"/>
  <c r="J168" i="58512"/>
  <c r="L167" i="58512"/>
  <c r="M167" i="58512" s="1"/>
  <c r="K167" i="58512"/>
  <c r="J167" i="58512"/>
  <c r="L165" i="58512"/>
  <c r="M165" i="58512" s="1"/>
  <c r="K165" i="58512"/>
  <c r="J165" i="58512"/>
  <c r="K164" i="58512"/>
  <c r="L164" i="58512" s="1"/>
  <c r="M164" i="58512" s="1"/>
  <c r="J164" i="58512"/>
  <c r="K163" i="58512"/>
  <c r="L163" i="58512" s="1"/>
  <c r="J163" i="58512"/>
  <c r="L162" i="58512"/>
  <c r="M162" i="58512" s="1"/>
  <c r="K162" i="58512"/>
  <c r="J162" i="58512"/>
  <c r="H156" i="58512"/>
  <c r="H155" i="58512"/>
  <c r="H153" i="58512"/>
  <c r="G149" i="58512"/>
  <c r="F149" i="58512"/>
  <c r="D149" i="58512"/>
  <c r="C149" i="58512"/>
  <c r="B149" i="58512"/>
  <c r="I147" i="58512"/>
  <c r="I144" i="58512"/>
  <c r="H144" i="58512"/>
  <c r="G144" i="58512"/>
  <c r="F144" i="58512"/>
  <c r="D144" i="58512"/>
  <c r="C144" i="58512"/>
  <c r="B144" i="58512"/>
  <c r="J142" i="58512"/>
  <c r="K142" i="58512" s="1"/>
  <c r="I142" i="58512"/>
  <c r="H142" i="58512"/>
  <c r="I141" i="58512"/>
  <c r="H141" i="58512"/>
  <c r="I140" i="58512"/>
  <c r="H140" i="58512"/>
  <c r="I139" i="58512"/>
  <c r="H139" i="58512"/>
  <c r="I138" i="58512"/>
  <c r="H138" i="58512"/>
  <c r="I137" i="58512"/>
  <c r="H137" i="58512"/>
  <c r="K135" i="58512"/>
  <c r="L135" i="58512" s="1"/>
  <c r="J135" i="58512"/>
  <c r="I135" i="58512"/>
  <c r="H135" i="58512"/>
  <c r="J134" i="58512"/>
  <c r="I134" i="58512"/>
  <c r="H134" i="58512"/>
  <c r="H132" i="58512"/>
  <c r="G132" i="58512"/>
  <c r="F132" i="58512"/>
  <c r="D132" i="58512"/>
  <c r="C132" i="58512"/>
  <c r="B132" i="58512"/>
  <c r="K130" i="58512"/>
  <c r="L130" i="58512" s="1"/>
  <c r="M130" i="58512" s="1"/>
  <c r="J130" i="58512"/>
  <c r="I130" i="58512"/>
  <c r="H130" i="58512"/>
  <c r="I129" i="58512"/>
  <c r="I132" i="58512" s="1"/>
  <c r="H129" i="58512"/>
  <c r="M128" i="58512"/>
  <c r="L128" i="58512"/>
  <c r="K128" i="58512"/>
  <c r="I128" i="58512"/>
  <c r="H128" i="58512"/>
  <c r="H124" i="58512"/>
  <c r="H123" i="58512"/>
  <c r="H122" i="58512"/>
  <c r="H121" i="58512"/>
  <c r="H120" i="58512"/>
  <c r="H119" i="58512"/>
  <c r="H118" i="58512"/>
  <c r="H117" i="58512"/>
  <c r="H116" i="58512"/>
  <c r="H115" i="58512"/>
  <c r="H114" i="58512"/>
  <c r="H113" i="58512"/>
  <c r="H112" i="58512"/>
  <c r="H111" i="58512"/>
  <c r="H110" i="58512"/>
  <c r="H109" i="58512"/>
  <c r="H108" i="58512"/>
  <c r="J121" i="58512"/>
  <c r="K121" i="58512" s="1"/>
  <c r="L121" i="58512" s="1"/>
  <c r="M121" i="58512" s="1"/>
  <c r="I121" i="58512"/>
  <c r="K117" i="58512"/>
  <c r="L117" i="58512" s="1"/>
  <c r="M117" i="58512" s="1"/>
  <c r="J117" i="58512"/>
  <c r="I117" i="58512"/>
  <c r="L116" i="58512"/>
  <c r="M116" i="58512" s="1"/>
  <c r="K116" i="58512"/>
  <c r="J116" i="58512"/>
  <c r="I116" i="58512"/>
  <c r="I110" i="58512"/>
  <c r="J110" i="58512" s="1"/>
  <c r="K110" i="58512" s="1"/>
  <c r="L110" i="58512" s="1"/>
  <c r="M110" i="58512" s="1"/>
  <c r="J109" i="58512"/>
  <c r="K109" i="58512" s="1"/>
  <c r="L109" i="58512" s="1"/>
  <c r="M109" i="58512" s="1"/>
  <c r="I109" i="58512"/>
  <c r="H102" i="58512"/>
  <c r="H100" i="58512"/>
  <c r="H99" i="58512"/>
  <c r="G101" i="58512"/>
  <c r="F101" i="58512"/>
  <c r="C101" i="58512"/>
  <c r="B101" i="58512"/>
  <c r="F98" i="58512"/>
  <c r="F104" i="58512" s="1"/>
  <c r="H96" i="58512"/>
  <c r="H95" i="58512"/>
  <c r="H94" i="58512"/>
  <c r="H93" i="58512"/>
  <c r="F91" i="58512"/>
  <c r="D91" i="58512"/>
  <c r="D98" i="58512" s="1"/>
  <c r="D104" i="58512" s="1"/>
  <c r="H89" i="58512"/>
  <c r="H88" i="58512"/>
  <c r="H87" i="58512"/>
  <c r="H91" i="58512" s="1"/>
  <c r="H98" i="58512" s="1"/>
  <c r="G87" i="58512"/>
  <c r="G91" i="58512" s="1"/>
  <c r="G98" i="58512" s="1"/>
  <c r="G104" i="58512" s="1"/>
  <c r="F87" i="58512"/>
  <c r="D87" i="58512"/>
  <c r="C87" i="58512"/>
  <c r="C91" i="58512" s="1"/>
  <c r="C98" i="58512" s="1"/>
  <c r="C104" i="58512" s="1"/>
  <c r="B87" i="58512"/>
  <c r="B91" i="58512" s="1"/>
  <c r="B98" i="58512" s="1"/>
  <c r="B104" i="58512" s="1"/>
  <c r="H85" i="58512"/>
  <c r="H84" i="58512"/>
  <c r="M66" i="58512"/>
  <c r="L66" i="58512"/>
  <c r="K66" i="58512"/>
  <c r="J66" i="58512"/>
  <c r="G66" i="58512"/>
  <c r="F66" i="58512"/>
  <c r="E66" i="58512"/>
  <c r="D66" i="58512"/>
  <c r="H66" i="58512" s="1"/>
  <c r="C66" i="58512"/>
  <c r="B66" i="58512"/>
  <c r="E63" i="58512"/>
  <c r="E62" i="58512"/>
  <c r="E61" i="58512"/>
  <c r="E60" i="58512"/>
  <c r="M61" i="58512"/>
  <c r="L61" i="58512"/>
  <c r="K61" i="58512"/>
  <c r="I63" i="58512"/>
  <c r="H63" i="58512"/>
  <c r="I62" i="58512"/>
  <c r="H62" i="58512"/>
  <c r="I61" i="58512"/>
  <c r="I66" i="58512" s="1"/>
  <c r="H61" i="58512"/>
  <c r="I60" i="58512"/>
  <c r="H60" i="58512"/>
  <c r="H57" i="58512"/>
  <c r="I57" i="58512" s="1"/>
  <c r="E57" i="58512"/>
  <c r="E56" i="58512"/>
  <c r="E55" i="58512"/>
  <c r="E54" i="58512"/>
  <c r="G56" i="58512"/>
  <c r="F56" i="58512"/>
  <c r="H56" i="58512" s="1"/>
  <c r="D56" i="58512"/>
  <c r="D55" i="58512"/>
  <c r="D54" i="58512"/>
  <c r="H54" i="58512" s="1"/>
  <c r="G55" i="58512"/>
  <c r="F55" i="58512"/>
  <c r="H55" i="58512" s="1"/>
  <c r="G54" i="58512"/>
  <c r="F54" i="58512"/>
  <c r="C55" i="58512"/>
  <c r="B55" i="58512"/>
  <c r="C54" i="58512"/>
  <c r="B54" i="58512"/>
  <c r="M50" i="58512"/>
  <c r="L50" i="58512"/>
  <c r="K50" i="58512"/>
  <c r="J50" i="58512"/>
  <c r="H36" i="58512"/>
  <c r="H101" i="58512" s="1"/>
  <c r="G35" i="58512"/>
  <c r="I33" i="58512"/>
  <c r="H33" i="58512"/>
  <c r="I32" i="58512"/>
  <c r="H32" i="58512"/>
  <c r="I31" i="58512"/>
  <c r="I56" i="58512" s="1"/>
  <c r="H31" i="58512"/>
  <c r="I30" i="58512"/>
  <c r="H30" i="58512"/>
  <c r="G27" i="58512"/>
  <c r="G28" i="58512" s="1"/>
  <c r="I27" i="58512"/>
  <c r="F27" i="58512"/>
  <c r="E27" i="58512"/>
  <c r="D27" i="58512"/>
  <c r="C27" i="58512"/>
  <c r="B27" i="58512"/>
  <c r="H25" i="58512"/>
  <c r="I24" i="58512"/>
  <c r="H24" i="58512"/>
  <c r="H23" i="58512"/>
  <c r="I22" i="58512"/>
  <c r="H22" i="58512"/>
  <c r="H21" i="58512"/>
  <c r="I20" i="58512"/>
  <c r="H20" i="58512"/>
  <c r="H19" i="58512"/>
  <c r="I18" i="58512"/>
  <c r="H18" i="58512"/>
  <c r="H17" i="58512"/>
  <c r="H27" i="58512" s="1"/>
  <c r="G12" i="58512"/>
  <c r="H12" i="58512"/>
  <c r="F12" i="58512"/>
  <c r="F35" i="58512" s="1"/>
  <c r="E12" i="58512"/>
  <c r="E35" i="58512" s="1"/>
  <c r="E37" i="58512" s="1"/>
  <c r="D12" i="58512"/>
  <c r="D35" i="58512" s="1"/>
  <c r="C12" i="58512"/>
  <c r="C35" i="58512" s="1"/>
  <c r="B12" i="58512"/>
  <c r="B35" i="58512" s="1"/>
  <c r="H10" i="58512"/>
  <c r="H9" i="58512"/>
  <c r="H8" i="58512"/>
  <c r="H7" i="58512"/>
  <c r="H6" i="58512"/>
  <c r="H5" i="58512"/>
  <c r="T38" i="58470" l="1"/>
  <c r="J40" i="58499"/>
  <c r="K40" i="58499"/>
  <c r="V274" i="58493"/>
  <c r="V275" i="58493"/>
  <c r="V277" i="58493" s="1"/>
  <c r="E37" i="58502"/>
  <c r="D37" i="58502"/>
  <c r="E36" i="58502"/>
  <c r="D36" i="58502"/>
  <c r="C40" i="58502"/>
  <c r="B54" i="58502"/>
  <c r="B40" i="58502"/>
  <c r="D52" i="58502"/>
  <c r="E52" i="58502"/>
  <c r="E39" i="58502"/>
  <c r="D39" i="58502"/>
  <c r="E50" i="58502"/>
  <c r="D50" i="58502"/>
  <c r="C54" i="58502"/>
  <c r="E51" i="58502"/>
  <c r="D51" i="58502"/>
  <c r="E53" i="58502"/>
  <c r="D53" i="58502"/>
  <c r="D38" i="58502"/>
  <c r="E38" i="58502"/>
  <c r="CS302" i="58502"/>
  <c r="CL343" i="58502"/>
  <c r="FE561" i="58502"/>
  <c r="FE552" i="58502"/>
  <c r="BX242" i="58502"/>
  <c r="BX245" i="58502" s="1"/>
  <c r="S122" i="58502"/>
  <c r="BR203" i="58502"/>
  <c r="BR212" i="58502" s="1"/>
  <c r="BP212" i="58502"/>
  <c r="CS305" i="58502"/>
  <c r="CK273" i="58502"/>
  <c r="CS306" i="58502" s="1"/>
  <c r="CL344" i="58502"/>
  <c r="CN343" i="58502"/>
  <c r="CN332" i="58502"/>
  <c r="FJ557" i="58502"/>
  <c r="CF282" i="58502"/>
  <c r="CN312" i="58502" s="1"/>
  <c r="BZ242" i="58502"/>
  <c r="BZ245" i="58502" s="1"/>
  <c r="CH280" i="58502"/>
  <c r="CD282" i="58502"/>
  <c r="CP310" i="58502"/>
  <c r="CH279" i="58502"/>
  <c r="CB255" i="58502"/>
  <c r="CN296" i="58502" s="1"/>
  <c r="CF271" i="58502"/>
  <c r="CG278" i="58502"/>
  <c r="CB282" i="58502"/>
  <c r="CN311" i="58502" s="1"/>
  <c r="CG282" i="58502"/>
  <c r="CO312" i="58502" s="1"/>
  <c r="CF252" i="58502"/>
  <c r="CF269" i="58502"/>
  <c r="CF279" i="58502"/>
  <c r="CN295" i="58502"/>
  <c r="CN310" i="58502"/>
  <c r="CN316" i="58502"/>
  <c r="CM343" i="58502"/>
  <c r="CM346" i="58502" s="1"/>
  <c r="CF251" i="58502"/>
  <c r="CF278" i="58502"/>
  <c r="C39" i="58512"/>
  <c r="C37" i="58512"/>
  <c r="C83" i="58512"/>
  <c r="B39" i="58512"/>
  <c r="B37" i="58512"/>
  <c r="B83" i="58512"/>
  <c r="F83" i="58512"/>
  <c r="F39" i="58512"/>
  <c r="F37" i="58512"/>
  <c r="G13" i="58512"/>
  <c r="H104" i="58512"/>
  <c r="L177" i="58512"/>
  <c r="H35" i="58512"/>
  <c r="H37" i="58512" s="1"/>
  <c r="I37" i="58512" s="1"/>
  <c r="J37" i="58512" s="1"/>
  <c r="K37" i="58512" s="1"/>
  <c r="L37" i="58512" s="1"/>
  <c r="M37" i="58512" s="1"/>
  <c r="G39" i="58512"/>
  <c r="G37" i="58512"/>
  <c r="G83" i="58512"/>
  <c r="E39" i="58512"/>
  <c r="E53" i="58512" s="1"/>
  <c r="E59" i="58512" s="1"/>
  <c r="E65" i="58512" s="1"/>
  <c r="E68" i="58512" s="1"/>
  <c r="M135" i="58512"/>
  <c r="D83" i="58512"/>
  <c r="D39" i="58512"/>
  <c r="D37" i="58512"/>
  <c r="I12" i="58512"/>
  <c r="J27" i="58512"/>
  <c r="K27" i="58512" s="1"/>
  <c r="L27" i="58512" s="1"/>
  <c r="M27" i="58512" s="1"/>
  <c r="I25" i="58512"/>
  <c r="I23" i="58512"/>
  <c r="I21" i="58512"/>
  <c r="I19" i="58512"/>
  <c r="I17" i="58512"/>
  <c r="L142" i="58512"/>
  <c r="M142" i="58512" s="1"/>
  <c r="K144" i="58512"/>
  <c r="M163" i="58512"/>
  <c r="J144" i="58512"/>
  <c r="J173" i="58512"/>
  <c r="J129" i="58512"/>
  <c r="V280" i="58493" l="1"/>
  <c r="AX342" i="58493" s="1"/>
  <c r="AX363" i="58493"/>
  <c r="AX367" i="58493" s="1"/>
  <c r="V281" i="58493"/>
  <c r="AX371" i="58493"/>
  <c r="AX344" i="58493"/>
  <c r="CO343" i="58502"/>
  <c r="CN333" i="58502"/>
  <c r="CP311" i="58502"/>
  <c r="CH282" i="58502"/>
  <c r="CP312" i="58502" s="1"/>
  <c r="E54" i="58502"/>
  <c r="D54" i="58502"/>
  <c r="E40" i="58502"/>
  <c r="D40" i="58502"/>
  <c r="CF255" i="58502"/>
  <c r="CN297" i="58502" s="1"/>
  <c r="CS307" i="58502"/>
  <c r="K173" i="58512"/>
  <c r="I35" i="58512"/>
  <c r="J12" i="58512"/>
  <c r="I10" i="58512"/>
  <c r="I8" i="58512"/>
  <c r="I6" i="58512"/>
  <c r="I9" i="58512"/>
  <c r="I7" i="58512"/>
  <c r="I5" i="58512"/>
  <c r="M144" i="58512"/>
  <c r="M177" i="58512"/>
  <c r="F107" i="58512"/>
  <c r="F126" i="58512" s="1"/>
  <c r="F53" i="58512"/>
  <c r="F59" i="58512" s="1"/>
  <c r="F65" i="58512" s="1"/>
  <c r="F68" i="58512" s="1"/>
  <c r="B107" i="58512"/>
  <c r="B126" i="58512" s="1"/>
  <c r="B53" i="58512"/>
  <c r="B59" i="58512" s="1"/>
  <c r="B65" i="58512" s="1"/>
  <c r="B68" i="58512" s="1"/>
  <c r="I54" i="58512"/>
  <c r="J23" i="58512"/>
  <c r="I108" i="58512"/>
  <c r="L144" i="58512"/>
  <c r="D107" i="58512"/>
  <c r="D126" i="58512" s="1"/>
  <c r="D53" i="58512"/>
  <c r="G107" i="58512"/>
  <c r="G126" i="58512" s="1"/>
  <c r="G53" i="58512"/>
  <c r="G59" i="58512" s="1"/>
  <c r="G65" i="58512" s="1"/>
  <c r="G68" i="58512" s="1"/>
  <c r="J132" i="58512"/>
  <c r="K129" i="58512"/>
  <c r="H83" i="58512"/>
  <c r="H39" i="58512"/>
  <c r="H107" i="58512" s="1"/>
  <c r="H126" i="58512" s="1"/>
  <c r="C107" i="58512"/>
  <c r="C126" i="58512" s="1"/>
  <c r="C53" i="58512"/>
  <c r="C59" i="58512" s="1"/>
  <c r="C65" i="58512" s="1"/>
  <c r="C68" i="58512" s="1"/>
  <c r="AX374" i="58493" l="1"/>
  <c r="AX347" i="58493"/>
  <c r="AZ379" i="58493"/>
  <c r="AZ391" i="58493" s="1"/>
  <c r="CN334" i="58502"/>
  <c r="CP343" i="58502"/>
  <c r="CO346" i="58502"/>
  <c r="K12" i="58512"/>
  <c r="I39" i="58512"/>
  <c r="I36" i="58512"/>
  <c r="I55" i="58512" s="1"/>
  <c r="C69" i="58512"/>
  <c r="K132" i="58512"/>
  <c r="L129" i="58512"/>
  <c r="H53" i="58512"/>
  <c r="D59" i="58512"/>
  <c r="J108" i="58512"/>
  <c r="J166" i="58512" s="1"/>
  <c r="J54" i="58512"/>
  <c r="K23" i="58512"/>
  <c r="L173" i="58512"/>
  <c r="AZ395" i="58493" l="1"/>
  <c r="AX351" i="58493" s="1"/>
  <c r="BB394" i="58493"/>
  <c r="AX353" i="58493"/>
  <c r="AX348" i="58493"/>
  <c r="K108" i="58512"/>
  <c r="K54" i="58512"/>
  <c r="L23" i="58512"/>
  <c r="L132" i="58512"/>
  <c r="M129" i="58512"/>
  <c r="M132" i="58512" s="1"/>
  <c r="I107" i="58512"/>
  <c r="I53" i="58512"/>
  <c r="I59" i="58512" s="1"/>
  <c r="I65" i="58512" s="1"/>
  <c r="M173" i="58512"/>
  <c r="K166" i="58512"/>
  <c r="L12" i="58512"/>
  <c r="D65" i="58512"/>
  <c r="D68" i="58512" s="1"/>
  <c r="D69" i="58512" s="1"/>
  <c r="H59" i="58512"/>
  <c r="H65" i="58512" s="1"/>
  <c r="H68" i="58512" s="1"/>
  <c r="BF394" i="58493" l="1"/>
  <c r="BE394" i="58493"/>
  <c r="BH394" i="58493"/>
  <c r="BD394" i="58493"/>
  <c r="BG394" i="58493"/>
  <c r="I75" i="58512"/>
  <c r="I72" i="58512"/>
  <c r="I176" i="58512" s="1"/>
  <c r="I68" i="58512"/>
  <c r="I69" i="58512" s="1"/>
  <c r="L108" i="58512"/>
  <c r="L166" i="58512" s="1"/>
  <c r="L54" i="58512"/>
  <c r="M23" i="58512"/>
  <c r="M12" i="58512"/>
  <c r="P246" i="58511"/>
  <c r="Q246" i="58511" s="1"/>
  <c r="O237" i="58511"/>
  <c r="Q230" i="58511"/>
  <c r="P230" i="58511"/>
  <c r="P228" i="58511"/>
  <c r="G209" i="58511"/>
  <c r="G211" i="58511" s="1"/>
  <c r="G212" i="58511" s="1"/>
  <c r="D209" i="58511"/>
  <c r="D211" i="58511" s="1"/>
  <c r="C209" i="58511"/>
  <c r="C211" i="58511" s="1"/>
  <c r="L206" i="58511"/>
  <c r="M206" i="58511" s="1"/>
  <c r="K206" i="58511"/>
  <c r="J206" i="58511"/>
  <c r="I203" i="58511"/>
  <c r="G203" i="58511"/>
  <c r="D203" i="58511"/>
  <c r="C203" i="58511"/>
  <c r="J201" i="58511"/>
  <c r="K201" i="58511" s="1"/>
  <c r="L201" i="58511" s="1"/>
  <c r="M201" i="58511" s="1"/>
  <c r="J200" i="58511"/>
  <c r="K200" i="58511" s="1"/>
  <c r="L200" i="58511" s="1"/>
  <c r="M200" i="58511" s="1"/>
  <c r="K199" i="58511"/>
  <c r="L199" i="58511" s="1"/>
  <c r="M199" i="58511" s="1"/>
  <c r="J199" i="58511"/>
  <c r="M198" i="58511"/>
  <c r="K198" i="58511"/>
  <c r="L198" i="58511" s="1"/>
  <c r="J198" i="58511"/>
  <c r="K197" i="58511"/>
  <c r="L197" i="58511" s="1"/>
  <c r="M197" i="58511" s="1"/>
  <c r="J197" i="58511"/>
  <c r="J196" i="58511"/>
  <c r="K196" i="58511" s="1"/>
  <c r="G194" i="58511"/>
  <c r="D194" i="58511"/>
  <c r="C194" i="58511"/>
  <c r="J191" i="58511"/>
  <c r="K191" i="58511" s="1"/>
  <c r="L191" i="58511" s="1"/>
  <c r="M191" i="58511" s="1"/>
  <c r="M190" i="58511"/>
  <c r="J190" i="58511"/>
  <c r="K190" i="58511" s="1"/>
  <c r="L190" i="58511" s="1"/>
  <c r="J189" i="58511"/>
  <c r="K189" i="58511" s="1"/>
  <c r="L189" i="58511" s="1"/>
  <c r="M189" i="58511" s="1"/>
  <c r="M188" i="58511"/>
  <c r="J188" i="58511"/>
  <c r="K188" i="58511" s="1"/>
  <c r="L188" i="58511" s="1"/>
  <c r="J186" i="58511"/>
  <c r="K186" i="58511" s="1"/>
  <c r="L186" i="58511" s="1"/>
  <c r="M186" i="58511" s="1"/>
  <c r="J184" i="58511"/>
  <c r="K184" i="58511" s="1"/>
  <c r="L184" i="58511" s="1"/>
  <c r="M184" i="58511" s="1"/>
  <c r="I178" i="58511"/>
  <c r="H178" i="58511"/>
  <c r="H176" i="58511"/>
  <c r="I176" i="58511" s="1"/>
  <c r="H175" i="58511"/>
  <c r="H174" i="58511"/>
  <c r="G174" i="58511"/>
  <c r="F174" i="58511"/>
  <c r="D174" i="58511"/>
  <c r="C174" i="58511"/>
  <c r="B174" i="58511"/>
  <c r="M172" i="58511"/>
  <c r="L172" i="58511"/>
  <c r="J172" i="58511"/>
  <c r="I172" i="58511"/>
  <c r="H172" i="58511"/>
  <c r="K172" i="58511" s="1"/>
  <c r="J171" i="58511"/>
  <c r="H171" i="58511"/>
  <c r="I171" i="58511" s="1"/>
  <c r="H170" i="58511"/>
  <c r="I170" i="58511" s="1"/>
  <c r="K169" i="58511"/>
  <c r="L169" i="58511" s="1"/>
  <c r="M169" i="58511" s="1"/>
  <c r="I169" i="58511"/>
  <c r="H169" i="58511"/>
  <c r="H167" i="58511"/>
  <c r="I167" i="58511" s="1"/>
  <c r="J167" i="58511" s="1"/>
  <c r="K167" i="58511" s="1"/>
  <c r="L167" i="58511" s="1"/>
  <c r="M167" i="58511" s="1"/>
  <c r="I166" i="58511"/>
  <c r="H166" i="58511"/>
  <c r="H165" i="58511"/>
  <c r="I165" i="58511" s="1"/>
  <c r="J165" i="58511" s="1"/>
  <c r="K165" i="58511" s="1"/>
  <c r="L165" i="58511" s="1"/>
  <c r="M165" i="58511" s="1"/>
  <c r="M164" i="58511"/>
  <c r="I164" i="58511"/>
  <c r="J164" i="58511" s="1"/>
  <c r="K164" i="58511" s="1"/>
  <c r="L164" i="58511" s="1"/>
  <c r="H164" i="58511"/>
  <c r="H163" i="58511"/>
  <c r="I163" i="58511" s="1"/>
  <c r="H162" i="58511"/>
  <c r="H161" i="58511"/>
  <c r="H160" i="58511"/>
  <c r="G159" i="58511"/>
  <c r="F159" i="58511"/>
  <c r="D159" i="58511"/>
  <c r="C159" i="58511"/>
  <c r="B159" i="58511"/>
  <c r="H157" i="58511"/>
  <c r="H156" i="58511"/>
  <c r="I156" i="58511" s="1"/>
  <c r="H155" i="58511"/>
  <c r="I155" i="58511" s="1"/>
  <c r="J155" i="58511" s="1"/>
  <c r="H154" i="58511"/>
  <c r="H153" i="58511"/>
  <c r="H152" i="58511"/>
  <c r="I152" i="58511" s="1"/>
  <c r="J152" i="58511" s="1"/>
  <c r="H151" i="58511"/>
  <c r="H159" i="58511" s="1"/>
  <c r="J156" i="58511"/>
  <c r="K156" i="58511" s="1"/>
  <c r="L156" i="58511" s="1"/>
  <c r="M156" i="58511" s="1"/>
  <c r="K155" i="58511"/>
  <c r="L155" i="58511" s="1"/>
  <c r="M155" i="58511" s="1"/>
  <c r="I154" i="58511"/>
  <c r="I153" i="58511"/>
  <c r="J153" i="58511" s="1"/>
  <c r="K153" i="58511"/>
  <c r="L153" i="58511" s="1"/>
  <c r="M153" i="58511" s="1"/>
  <c r="K152" i="58511"/>
  <c r="L152" i="58511" s="1"/>
  <c r="M152" i="58511" s="1"/>
  <c r="K151" i="58511"/>
  <c r="J151" i="58511"/>
  <c r="D140" i="58511"/>
  <c r="C140" i="58511"/>
  <c r="B140" i="58511"/>
  <c r="H140" i="58511"/>
  <c r="I140" i="58511" s="1"/>
  <c r="H139" i="58511"/>
  <c r="I139" i="58511" s="1"/>
  <c r="L139" i="58511"/>
  <c r="M139" i="58511" s="1"/>
  <c r="K139" i="58511"/>
  <c r="H138" i="58511"/>
  <c r="I138" i="58511" s="1"/>
  <c r="J138" i="58511" s="1"/>
  <c r="K138" i="58511" s="1"/>
  <c r="L138" i="58511" s="1"/>
  <c r="M138" i="58511" s="1"/>
  <c r="I137" i="58511"/>
  <c r="J137" i="58511" s="1"/>
  <c r="H137" i="58511"/>
  <c r="H136" i="58511"/>
  <c r="H135" i="58511"/>
  <c r="H134" i="58511"/>
  <c r="H133" i="58511"/>
  <c r="H132" i="58511"/>
  <c r="H131" i="58511"/>
  <c r="H130" i="58511"/>
  <c r="I133" i="58511"/>
  <c r="J117" i="58511"/>
  <c r="H114" i="58511"/>
  <c r="H113" i="58511"/>
  <c r="H112" i="58511"/>
  <c r="H111" i="58511"/>
  <c r="J108" i="58511"/>
  <c r="K108" i="58511" s="1"/>
  <c r="L108" i="58511" s="1"/>
  <c r="M108" i="58511" s="1"/>
  <c r="I108" i="58511"/>
  <c r="H108" i="58511"/>
  <c r="I107" i="58511"/>
  <c r="J107" i="58511" s="1"/>
  <c r="H107" i="58511"/>
  <c r="H106" i="58511" s="1"/>
  <c r="I106" i="58511"/>
  <c r="G106" i="58511"/>
  <c r="G110" i="58511" s="1"/>
  <c r="G116" i="58511" s="1"/>
  <c r="F106" i="58511"/>
  <c r="F110" i="58511" s="1"/>
  <c r="F116" i="58511" s="1"/>
  <c r="D106" i="58511"/>
  <c r="D110" i="58511" s="1"/>
  <c r="D116" i="58511" s="1"/>
  <c r="C106" i="58511"/>
  <c r="C110" i="58511" s="1"/>
  <c r="C116" i="58511" s="1"/>
  <c r="B106" i="58511"/>
  <c r="B110" i="58511" s="1"/>
  <c r="B116" i="58511" s="1"/>
  <c r="H105" i="58511"/>
  <c r="H104" i="58511"/>
  <c r="H103" i="58511"/>
  <c r="H102" i="58511"/>
  <c r="H101" i="58511"/>
  <c r="I104" i="58511"/>
  <c r="I103" i="58511"/>
  <c r="I97" i="58511"/>
  <c r="J97" i="58511" s="1"/>
  <c r="K89" i="58511"/>
  <c r="J89" i="58511"/>
  <c r="I89" i="58511"/>
  <c r="H82" i="58511"/>
  <c r="M79" i="58511"/>
  <c r="L79" i="58511"/>
  <c r="K79" i="58511"/>
  <c r="J79" i="58511"/>
  <c r="I79" i="58511"/>
  <c r="G79" i="58511"/>
  <c r="F79" i="58511"/>
  <c r="E79" i="58511"/>
  <c r="D79" i="58511"/>
  <c r="H79" i="58511" s="1"/>
  <c r="C79" i="58511"/>
  <c r="B79" i="58511"/>
  <c r="I78" i="58511"/>
  <c r="G78" i="58511"/>
  <c r="F78" i="58511"/>
  <c r="E78" i="58511"/>
  <c r="D78" i="58511"/>
  <c r="H78" i="58511" s="1"/>
  <c r="C78" i="58511"/>
  <c r="B78" i="58511"/>
  <c r="I77" i="58511"/>
  <c r="J77" i="58511" s="1"/>
  <c r="K77" i="58511" s="1"/>
  <c r="L77" i="58511" s="1"/>
  <c r="M77" i="58511" s="1"/>
  <c r="H77" i="58511"/>
  <c r="H76" i="58511"/>
  <c r="H75" i="58511"/>
  <c r="H73" i="58511"/>
  <c r="I75" i="58511"/>
  <c r="I73" i="58511"/>
  <c r="J73" i="58511" s="1"/>
  <c r="K73" i="58511" s="1"/>
  <c r="L73" i="58511" s="1"/>
  <c r="M73" i="58511" s="1"/>
  <c r="G74" i="58511"/>
  <c r="I74" i="58511" s="1"/>
  <c r="F74" i="58511"/>
  <c r="E74" i="58511"/>
  <c r="D74" i="58511"/>
  <c r="H74" i="58511" s="1"/>
  <c r="C74" i="58511"/>
  <c r="B74" i="58511"/>
  <c r="M74" i="58511"/>
  <c r="L74" i="58511"/>
  <c r="K74" i="58511"/>
  <c r="J74" i="58511"/>
  <c r="G70" i="58511"/>
  <c r="F70" i="58511"/>
  <c r="E70" i="58511"/>
  <c r="D70" i="58511"/>
  <c r="H70" i="58511" s="1"/>
  <c r="C70" i="58511"/>
  <c r="B70" i="58511"/>
  <c r="G69" i="58511"/>
  <c r="F69" i="58511"/>
  <c r="E69" i="58511"/>
  <c r="D69" i="58511"/>
  <c r="H69" i="58511" s="1"/>
  <c r="C69" i="58511"/>
  <c r="B69" i="58511"/>
  <c r="G68" i="58511"/>
  <c r="F68" i="58511"/>
  <c r="E68" i="58511"/>
  <c r="D68" i="58511"/>
  <c r="H68" i="58511" s="1"/>
  <c r="C68" i="58511"/>
  <c r="B68" i="58511"/>
  <c r="G67" i="58511"/>
  <c r="F67" i="58511"/>
  <c r="E67" i="58511"/>
  <c r="D67" i="58511"/>
  <c r="H67" i="58511" s="1"/>
  <c r="C67" i="58511"/>
  <c r="B67" i="58511"/>
  <c r="E66" i="58511"/>
  <c r="I66" i="58511"/>
  <c r="J66" i="58511" s="1"/>
  <c r="K66" i="58511" s="1"/>
  <c r="L66" i="58511" s="1"/>
  <c r="M66" i="58511" s="1"/>
  <c r="H66" i="58511"/>
  <c r="J62" i="58511"/>
  <c r="K62" i="58511" s="1"/>
  <c r="L62" i="58511" s="1"/>
  <c r="M62" i="58511" s="1"/>
  <c r="H49" i="58511"/>
  <c r="J49" i="58511"/>
  <c r="K49" i="58511" s="1"/>
  <c r="L49" i="58511" s="1"/>
  <c r="M49" i="58511" s="1"/>
  <c r="L46" i="58511"/>
  <c r="M46" i="58511" s="1"/>
  <c r="I46" i="58511"/>
  <c r="J46" i="58511" s="1"/>
  <c r="K46" i="58511" s="1"/>
  <c r="H46" i="58511"/>
  <c r="K43" i="58511"/>
  <c r="L43" i="58511" s="1"/>
  <c r="M43" i="58511" s="1"/>
  <c r="J43" i="58511"/>
  <c r="I43" i="58511"/>
  <c r="H43" i="58511"/>
  <c r="H40" i="58511"/>
  <c r="H37" i="58511"/>
  <c r="H36" i="58511"/>
  <c r="H35" i="58511"/>
  <c r="H34" i="58511"/>
  <c r="H33" i="58511"/>
  <c r="H32" i="58511"/>
  <c r="J36" i="58511"/>
  <c r="K36" i="58511" s="1"/>
  <c r="L36" i="58511" s="1"/>
  <c r="M36" i="58511" s="1"/>
  <c r="I36" i="58511"/>
  <c r="I35" i="58511"/>
  <c r="J35" i="58511" s="1"/>
  <c r="J34" i="58511"/>
  <c r="K34" i="58511" s="1"/>
  <c r="L34" i="58511" s="1"/>
  <c r="M34" i="58511" s="1"/>
  <c r="I34" i="58511"/>
  <c r="K33" i="58511"/>
  <c r="K69" i="58511" s="1"/>
  <c r="J33" i="58511"/>
  <c r="J69" i="58511" s="1"/>
  <c r="I33" i="58511"/>
  <c r="I69" i="58511" s="1"/>
  <c r="J32" i="58511"/>
  <c r="J70" i="58511" s="1"/>
  <c r="I32" i="58511"/>
  <c r="I70" i="58511" s="1"/>
  <c r="E30" i="58511"/>
  <c r="E39" i="58511" s="1"/>
  <c r="H28" i="58511"/>
  <c r="G25" i="58511"/>
  <c r="G26" i="58511" s="1"/>
  <c r="D26" i="58511"/>
  <c r="I25" i="58511"/>
  <c r="J25" i="58511" s="1"/>
  <c r="K25" i="58511" s="1"/>
  <c r="L25" i="58511" s="1"/>
  <c r="M25" i="58511" s="1"/>
  <c r="F25" i="58511"/>
  <c r="E25" i="58511"/>
  <c r="E26" i="58511" s="1"/>
  <c r="D25" i="58511"/>
  <c r="C25" i="58511"/>
  <c r="B25" i="58511"/>
  <c r="C26" i="58511" s="1"/>
  <c r="H23" i="58511"/>
  <c r="H22" i="58511"/>
  <c r="H21" i="58511"/>
  <c r="H20" i="58511"/>
  <c r="H19" i="58511"/>
  <c r="H18" i="58511"/>
  <c r="H17" i="58511"/>
  <c r="H16" i="58511"/>
  <c r="H25" i="58511" s="1"/>
  <c r="J22" i="58511"/>
  <c r="K22" i="58511" s="1"/>
  <c r="I22" i="58511"/>
  <c r="G12" i="58511"/>
  <c r="G30" i="58511" s="1"/>
  <c r="G39" i="58511" s="1"/>
  <c r="E13" i="58511"/>
  <c r="I12" i="58511"/>
  <c r="I30" i="58511" s="1"/>
  <c r="I39" i="58511" s="1"/>
  <c r="F12" i="58511"/>
  <c r="G13" i="58511" s="1"/>
  <c r="E12" i="58511"/>
  <c r="D12" i="58511"/>
  <c r="D30" i="58511" s="1"/>
  <c r="C12" i="58511"/>
  <c r="C30" i="58511" s="1"/>
  <c r="C39" i="58511" s="1"/>
  <c r="B12" i="58511"/>
  <c r="B30" i="58511" s="1"/>
  <c r="B39" i="58511" s="1"/>
  <c r="G10" i="58511"/>
  <c r="H10" i="58511" s="1"/>
  <c r="I9" i="58511"/>
  <c r="H9" i="58511"/>
  <c r="H12" i="58511" s="1"/>
  <c r="G8" i="58511"/>
  <c r="H8" i="58511" s="1"/>
  <c r="I7" i="58511"/>
  <c r="H7" i="58511"/>
  <c r="G6" i="58511"/>
  <c r="H6" i="58511" s="1"/>
  <c r="I5" i="58511"/>
  <c r="H5" i="58511"/>
  <c r="B56" i="58477"/>
  <c r="B55" i="58477"/>
  <c r="N54" i="58477"/>
  <c r="D40" i="58477"/>
  <c r="C38" i="58477"/>
  <c r="C34" i="58477"/>
  <c r="D16" i="58477"/>
  <c r="C14" i="58477"/>
  <c r="C10" i="58477"/>
  <c r="AB485" i="58438"/>
  <c r="AA485" i="58438"/>
  <c r="Z485" i="58438"/>
  <c r="Y485" i="58438"/>
  <c r="X485" i="58438"/>
  <c r="W485" i="58438"/>
  <c r="V485" i="58438"/>
  <c r="U485" i="58438"/>
  <c r="T485" i="58438"/>
  <c r="S485" i="58438"/>
  <c r="R485" i="58438"/>
  <c r="Q485" i="58438"/>
  <c r="P485" i="58438"/>
  <c r="O485" i="58438"/>
  <c r="N485" i="58438"/>
  <c r="M485" i="58438"/>
  <c r="L485" i="58438"/>
  <c r="K485" i="58438"/>
  <c r="J485" i="58438"/>
  <c r="I485" i="58438"/>
  <c r="H485" i="58438"/>
  <c r="G485" i="58438"/>
  <c r="F485" i="58438"/>
  <c r="E485" i="58438"/>
  <c r="D485" i="58438"/>
  <c r="C485" i="58438"/>
  <c r="B485" i="58438"/>
  <c r="AB484" i="58438"/>
  <c r="AA484" i="58438"/>
  <c r="Z484" i="58438"/>
  <c r="Y484" i="58438"/>
  <c r="X484" i="58438"/>
  <c r="W484" i="58438"/>
  <c r="V484" i="58438"/>
  <c r="U484" i="58438"/>
  <c r="T484" i="58438"/>
  <c r="S484" i="58438"/>
  <c r="R484" i="58438"/>
  <c r="Q484" i="58438"/>
  <c r="P484" i="58438"/>
  <c r="O484" i="58438"/>
  <c r="N484" i="58438"/>
  <c r="M484" i="58438"/>
  <c r="L484" i="58438"/>
  <c r="K484" i="58438"/>
  <c r="J484" i="58438"/>
  <c r="I484" i="58438"/>
  <c r="H484" i="58438"/>
  <c r="G484" i="58438"/>
  <c r="F484" i="58438"/>
  <c r="E484" i="58438"/>
  <c r="D484" i="58438"/>
  <c r="C484" i="58438"/>
  <c r="B484" i="58438"/>
  <c r="AB483" i="58438"/>
  <c r="AA483" i="58438"/>
  <c r="Z483" i="58438"/>
  <c r="Y483" i="58438"/>
  <c r="X483" i="58438"/>
  <c r="W483" i="58438"/>
  <c r="V483" i="58438"/>
  <c r="U483" i="58438"/>
  <c r="T483" i="58438"/>
  <c r="S483" i="58438"/>
  <c r="R483" i="58438"/>
  <c r="Q483" i="58438"/>
  <c r="P483" i="58438"/>
  <c r="O483" i="58438"/>
  <c r="N483" i="58438"/>
  <c r="M483" i="58438"/>
  <c r="L483" i="58438"/>
  <c r="K483" i="58438"/>
  <c r="J483" i="58438"/>
  <c r="I483" i="58438"/>
  <c r="H483" i="58438"/>
  <c r="G483" i="58438"/>
  <c r="F483" i="58438"/>
  <c r="E483" i="58438"/>
  <c r="D483" i="58438"/>
  <c r="C483" i="58438"/>
  <c r="B483" i="58438"/>
  <c r="AB482" i="58438"/>
  <c r="AB487" i="58438" s="1"/>
  <c r="AA482" i="58438"/>
  <c r="AA487" i="58438" s="1"/>
  <c r="Z482" i="58438"/>
  <c r="Z487" i="58438" s="1"/>
  <c r="Y482" i="58438"/>
  <c r="Y487" i="58438" s="1"/>
  <c r="X482" i="58438"/>
  <c r="X487" i="58438" s="1"/>
  <c r="W482" i="58438"/>
  <c r="W487" i="58438" s="1"/>
  <c r="V482" i="58438"/>
  <c r="V487" i="58438" s="1"/>
  <c r="U482" i="58438"/>
  <c r="U487" i="58438" s="1"/>
  <c r="T482" i="58438"/>
  <c r="T487" i="58438" s="1"/>
  <c r="S482" i="58438"/>
  <c r="S487" i="58438" s="1"/>
  <c r="R482" i="58438"/>
  <c r="R487" i="58438" s="1"/>
  <c r="Q482" i="58438"/>
  <c r="Q487" i="58438" s="1"/>
  <c r="P482" i="58438"/>
  <c r="P487" i="58438" s="1"/>
  <c r="O482" i="58438"/>
  <c r="O487" i="58438" s="1"/>
  <c r="N482" i="58438"/>
  <c r="N487" i="58438" s="1"/>
  <c r="M482" i="58438"/>
  <c r="M487" i="58438" s="1"/>
  <c r="L482" i="58438"/>
  <c r="L487" i="58438" s="1"/>
  <c r="K482" i="58438"/>
  <c r="K487" i="58438" s="1"/>
  <c r="J482" i="58438"/>
  <c r="J487" i="58438" s="1"/>
  <c r="I482" i="58438"/>
  <c r="I487" i="58438" s="1"/>
  <c r="H482" i="58438"/>
  <c r="H487" i="58438" s="1"/>
  <c r="G482" i="58438"/>
  <c r="G487" i="58438" s="1"/>
  <c r="F482" i="58438"/>
  <c r="F487" i="58438" s="1"/>
  <c r="E482" i="58438"/>
  <c r="E487" i="58438" s="1"/>
  <c r="D482" i="58438"/>
  <c r="D487" i="58438" s="1"/>
  <c r="C482" i="58438"/>
  <c r="C487" i="58438" s="1"/>
  <c r="B482" i="58438"/>
  <c r="B487" i="58438" s="1"/>
  <c r="AB475" i="58438"/>
  <c r="AA475" i="58438"/>
  <c r="Z475" i="58438"/>
  <c r="Y475" i="58438"/>
  <c r="X475" i="58438"/>
  <c r="W475" i="58438"/>
  <c r="V475" i="58438"/>
  <c r="U475" i="58438"/>
  <c r="T475" i="58438"/>
  <c r="S475" i="58438"/>
  <c r="R475" i="58438"/>
  <c r="Q475" i="58438"/>
  <c r="P475" i="58438"/>
  <c r="O475" i="58438"/>
  <c r="N475" i="58438"/>
  <c r="M475" i="58438"/>
  <c r="L475" i="58438"/>
  <c r="K475" i="58438"/>
  <c r="J475" i="58438"/>
  <c r="I475" i="58438"/>
  <c r="H475" i="58438"/>
  <c r="G475" i="58438"/>
  <c r="F475" i="58438"/>
  <c r="E475" i="58438"/>
  <c r="D475" i="58438"/>
  <c r="C475" i="58438"/>
  <c r="B475" i="58438"/>
  <c r="C470" i="58438"/>
  <c r="AN470" i="58438"/>
  <c r="AM470" i="58438"/>
  <c r="AE470" i="58438"/>
  <c r="AD470" i="58438"/>
  <c r="AC470" i="58438"/>
  <c r="AB470" i="58438"/>
  <c r="AA470" i="58438"/>
  <c r="Z470" i="58438"/>
  <c r="Y470" i="58438"/>
  <c r="X470" i="58438"/>
  <c r="W470" i="58438"/>
  <c r="V470" i="58438"/>
  <c r="U470" i="58438"/>
  <c r="T470" i="58438"/>
  <c r="S470" i="58438"/>
  <c r="R470" i="58438"/>
  <c r="Q470" i="58438"/>
  <c r="P470" i="58438"/>
  <c r="O470" i="58438"/>
  <c r="N470" i="58438"/>
  <c r="M470" i="58438"/>
  <c r="L470" i="58438"/>
  <c r="K470" i="58438"/>
  <c r="J470" i="58438"/>
  <c r="I470" i="58438"/>
  <c r="H470" i="58438"/>
  <c r="C465" i="58438"/>
  <c r="AE465" i="58438"/>
  <c r="AD465" i="58438"/>
  <c r="AB465" i="58438"/>
  <c r="AA465" i="58438"/>
  <c r="Z465" i="58438"/>
  <c r="Y465" i="58438"/>
  <c r="X465" i="58438"/>
  <c r="W465" i="58438"/>
  <c r="V465" i="58438"/>
  <c r="U465" i="58438"/>
  <c r="T465" i="58438"/>
  <c r="S465" i="58438"/>
  <c r="R465" i="58438"/>
  <c r="Q465" i="58438"/>
  <c r="P465" i="58438"/>
  <c r="O465" i="58438"/>
  <c r="N465" i="58438"/>
  <c r="M465" i="58438"/>
  <c r="L465" i="58438"/>
  <c r="K465" i="58438"/>
  <c r="J465" i="58438"/>
  <c r="I465" i="58438"/>
  <c r="H465" i="58438"/>
  <c r="AN464" i="58438"/>
  <c r="AM464" i="58438"/>
  <c r="AK464" i="58438"/>
  <c r="AJ464" i="58438"/>
  <c r="AI464" i="58438"/>
  <c r="AH464" i="58438"/>
  <c r="AF464" i="58438"/>
  <c r="C460" i="58438"/>
  <c r="AN460" i="58438"/>
  <c r="AM460" i="58438"/>
  <c r="AE460" i="58438"/>
  <c r="AB460" i="58438"/>
  <c r="AA460" i="58438"/>
  <c r="Z460" i="58438"/>
  <c r="Y460" i="58438"/>
  <c r="X460" i="58438"/>
  <c r="W460" i="58438"/>
  <c r="V460" i="58438"/>
  <c r="U460" i="58438"/>
  <c r="T460" i="58438"/>
  <c r="S460" i="58438"/>
  <c r="R460" i="58438"/>
  <c r="Q460" i="58438"/>
  <c r="P460" i="58438"/>
  <c r="O460" i="58438"/>
  <c r="N460" i="58438"/>
  <c r="M460" i="58438"/>
  <c r="L460" i="58438"/>
  <c r="K460" i="58438"/>
  <c r="J460" i="58438"/>
  <c r="I460" i="58438"/>
  <c r="H460" i="58438"/>
  <c r="C455" i="58438"/>
  <c r="AB455" i="58438"/>
  <c r="AA455" i="58438"/>
  <c r="Z455" i="58438"/>
  <c r="Y455" i="58438"/>
  <c r="X455" i="58438"/>
  <c r="W455" i="58438"/>
  <c r="V455" i="58438"/>
  <c r="U455" i="58438"/>
  <c r="T455" i="58438"/>
  <c r="S455" i="58438"/>
  <c r="R455" i="58438"/>
  <c r="Q455" i="58438"/>
  <c r="P455" i="58438"/>
  <c r="O455" i="58438"/>
  <c r="N455" i="58438"/>
  <c r="M455" i="58438"/>
  <c r="L455" i="58438"/>
  <c r="K455" i="58438"/>
  <c r="J455" i="58438"/>
  <c r="I455" i="58438"/>
  <c r="H455" i="58438"/>
  <c r="AN454" i="58438"/>
  <c r="AM454" i="58438"/>
  <c r="AK454" i="58438"/>
  <c r="AJ454" i="58438"/>
  <c r="AI454" i="58438"/>
  <c r="AH454" i="58438"/>
  <c r="AF454" i="58438"/>
  <c r="C423" i="58438"/>
  <c r="C422" i="58438"/>
  <c r="C421" i="58438"/>
  <c r="C420" i="58438"/>
  <c r="C424" i="58438" s="1"/>
  <c r="B423" i="58438"/>
  <c r="B422" i="58438"/>
  <c r="B421" i="58438"/>
  <c r="B420" i="58438"/>
  <c r="AD425" i="58438"/>
  <c r="AE424" i="58438"/>
  <c r="S424" i="58438"/>
  <c r="O424" i="58438"/>
  <c r="AE423" i="58438"/>
  <c r="AD423" i="58438"/>
  <c r="AC423" i="58438"/>
  <c r="AB423" i="58438"/>
  <c r="AA423" i="58438"/>
  <c r="Z423" i="58438"/>
  <c r="Y423" i="58438"/>
  <c r="X423" i="58438"/>
  <c r="W423" i="58438"/>
  <c r="V423" i="58438"/>
  <c r="U423" i="58438"/>
  <c r="T423" i="58438"/>
  <c r="S423" i="58438"/>
  <c r="R423" i="58438"/>
  <c r="Q423" i="58438"/>
  <c r="P423" i="58438"/>
  <c r="O423" i="58438"/>
  <c r="N423" i="58438"/>
  <c r="M423" i="58438"/>
  <c r="L423" i="58438"/>
  <c r="K423" i="58438"/>
  <c r="J423" i="58438"/>
  <c r="I423" i="58438"/>
  <c r="H423" i="58438"/>
  <c r="AE422" i="58438"/>
  <c r="AD422" i="58438"/>
  <c r="AC422" i="58438"/>
  <c r="AB422" i="58438"/>
  <c r="AA422" i="58438"/>
  <c r="Z422" i="58438"/>
  <c r="Y422" i="58438"/>
  <c r="X422" i="58438"/>
  <c r="W422" i="58438"/>
  <c r="V422" i="58438"/>
  <c r="U422" i="58438"/>
  <c r="T422" i="58438"/>
  <c r="S422" i="58438"/>
  <c r="R422" i="58438"/>
  <c r="Q422" i="58438"/>
  <c r="P422" i="58438"/>
  <c r="O422" i="58438"/>
  <c r="N422" i="58438"/>
  <c r="M422" i="58438"/>
  <c r="L422" i="58438"/>
  <c r="K422" i="58438"/>
  <c r="J422" i="58438"/>
  <c r="I422" i="58438"/>
  <c r="H422" i="58438"/>
  <c r="AE421" i="58438"/>
  <c r="AD421" i="58438"/>
  <c r="AC421" i="58438"/>
  <c r="AB421" i="58438"/>
  <c r="AA421" i="58438"/>
  <c r="Z421" i="58438"/>
  <c r="Y421" i="58438"/>
  <c r="X421" i="58438"/>
  <c r="W421" i="58438"/>
  <c r="V421" i="58438"/>
  <c r="U421" i="58438"/>
  <c r="T421" i="58438"/>
  <c r="S421" i="58438"/>
  <c r="R421" i="58438"/>
  <c r="Q421" i="58438"/>
  <c r="P421" i="58438"/>
  <c r="O421" i="58438"/>
  <c r="N421" i="58438"/>
  <c r="M421" i="58438"/>
  <c r="L421" i="58438"/>
  <c r="K421" i="58438"/>
  <c r="J421" i="58438"/>
  <c r="I421" i="58438"/>
  <c r="H421" i="58438"/>
  <c r="AE420" i="58438"/>
  <c r="AD420" i="58438"/>
  <c r="AD424" i="58438" s="1"/>
  <c r="AC420" i="58438"/>
  <c r="AC424" i="58438" s="1"/>
  <c r="AB420" i="58438"/>
  <c r="AA420" i="58438"/>
  <c r="AA424" i="58438" s="1"/>
  <c r="Z420" i="58438"/>
  <c r="Z424" i="58438" s="1"/>
  <c r="Y420" i="58438"/>
  <c r="Y424" i="58438" s="1"/>
  <c r="X420" i="58438"/>
  <c r="W420" i="58438"/>
  <c r="W424" i="58438" s="1"/>
  <c r="V420" i="58438"/>
  <c r="V424" i="58438" s="1"/>
  <c r="U420" i="58438"/>
  <c r="U424" i="58438" s="1"/>
  <c r="T420" i="58438"/>
  <c r="S420" i="58438"/>
  <c r="R420" i="58438"/>
  <c r="R424" i="58438" s="1"/>
  <c r="Q420" i="58438"/>
  <c r="Q424" i="58438" s="1"/>
  <c r="P420" i="58438"/>
  <c r="O420" i="58438"/>
  <c r="N420" i="58438"/>
  <c r="N424" i="58438" s="1"/>
  <c r="M420" i="58438"/>
  <c r="M424" i="58438" s="1"/>
  <c r="L420" i="58438"/>
  <c r="K420" i="58438"/>
  <c r="K424" i="58438" s="1"/>
  <c r="J420" i="58438"/>
  <c r="J424" i="58438" s="1"/>
  <c r="J425" i="58438" s="1"/>
  <c r="I420" i="58438"/>
  <c r="I424" i="58438" s="1"/>
  <c r="I425" i="58438" s="1"/>
  <c r="H420" i="58438"/>
  <c r="G423" i="58438"/>
  <c r="F423" i="58438"/>
  <c r="E423" i="58438"/>
  <c r="D423" i="58438"/>
  <c r="G422" i="58438"/>
  <c r="F422" i="58438"/>
  <c r="E422" i="58438"/>
  <c r="D422" i="58438"/>
  <c r="G421" i="58438"/>
  <c r="F421" i="58438"/>
  <c r="E421" i="58438"/>
  <c r="D421" i="58438"/>
  <c r="G420" i="58438"/>
  <c r="G424" i="58438" s="1"/>
  <c r="F420" i="58438"/>
  <c r="F424" i="58438" s="1"/>
  <c r="E420" i="58438"/>
  <c r="E424" i="58438" s="1"/>
  <c r="D420" i="58438"/>
  <c r="D424" i="58438" s="1"/>
  <c r="C390" i="58438"/>
  <c r="C389" i="58438"/>
  <c r="C388" i="58438"/>
  <c r="C387" i="58438"/>
  <c r="C391" i="58438" s="1"/>
  <c r="B390" i="58438"/>
  <c r="B389" i="58438"/>
  <c r="B388" i="58438"/>
  <c r="B387" i="58438"/>
  <c r="Y391" i="58438"/>
  <c r="I391" i="58438"/>
  <c r="AE390" i="58438"/>
  <c r="AD390" i="58438"/>
  <c r="AC390" i="58438"/>
  <c r="AB390" i="58438"/>
  <c r="AA390" i="58438"/>
  <c r="Z390" i="58438"/>
  <c r="Y390" i="58438"/>
  <c r="X390" i="58438"/>
  <c r="W390" i="58438"/>
  <c r="V390" i="58438"/>
  <c r="U390" i="58438"/>
  <c r="T390" i="58438"/>
  <c r="S390" i="58438"/>
  <c r="R390" i="58438"/>
  <c r="Q390" i="58438"/>
  <c r="P390" i="58438"/>
  <c r="O390" i="58438"/>
  <c r="N390" i="58438"/>
  <c r="M390" i="58438"/>
  <c r="L390" i="58438"/>
  <c r="K390" i="58438"/>
  <c r="J390" i="58438"/>
  <c r="I390" i="58438"/>
  <c r="H390" i="58438"/>
  <c r="AE389" i="58438"/>
  <c r="AB389" i="58438"/>
  <c r="AA389" i="58438"/>
  <c r="Z389" i="58438"/>
  <c r="Y389" i="58438"/>
  <c r="X389" i="58438"/>
  <c r="W389" i="58438"/>
  <c r="V389" i="58438"/>
  <c r="U389" i="58438"/>
  <c r="T389" i="58438"/>
  <c r="S389" i="58438"/>
  <c r="R389" i="58438"/>
  <c r="Q389" i="58438"/>
  <c r="P389" i="58438"/>
  <c r="O389" i="58438"/>
  <c r="N389" i="58438"/>
  <c r="M389" i="58438"/>
  <c r="L389" i="58438"/>
  <c r="K389" i="58438"/>
  <c r="J389" i="58438"/>
  <c r="I389" i="58438"/>
  <c r="H389" i="58438"/>
  <c r="AE388" i="58438"/>
  <c r="AB388" i="58438"/>
  <c r="AB391" i="58438" s="1"/>
  <c r="AA388" i="58438"/>
  <c r="Z388" i="58438"/>
  <c r="Y388" i="58438"/>
  <c r="X388" i="58438"/>
  <c r="W388" i="58438"/>
  <c r="V388" i="58438"/>
  <c r="U388" i="58438"/>
  <c r="T388" i="58438"/>
  <c r="S388" i="58438"/>
  <c r="R388" i="58438"/>
  <c r="Q388" i="58438"/>
  <c r="P388" i="58438"/>
  <c r="O388" i="58438"/>
  <c r="N388" i="58438"/>
  <c r="M388" i="58438"/>
  <c r="L388" i="58438"/>
  <c r="K388" i="58438"/>
  <c r="J388" i="58438"/>
  <c r="I388" i="58438"/>
  <c r="H388" i="58438"/>
  <c r="AE387" i="58438"/>
  <c r="AB387" i="58438"/>
  <c r="AA387" i="58438"/>
  <c r="Z387" i="58438"/>
  <c r="Y387" i="58438"/>
  <c r="X387" i="58438"/>
  <c r="X391" i="58438" s="1"/>
  <c r="W387" i="58438"/>
  <c r="V387" i="58438"/>
  <c r="U387" i="58438"/>
  <c r="T387" i="58438"/>
  <c r="S387" i="58438"/>
  <c r="R387" i="58438"/>
  <c r="Q387" i="58438"/>
  <c r="P387" i="58438"/>
  <c r="P391" i="58438" s="1"/>
  <c r="O387" i="58438"/>
  <c r="N387" i="58438"/>
  <c r="M387" i="58438"/>
  <c r="M391" i="58438" s="1"/>
  <c r="L387" i="58438"/>
  <c r="K387" i="58438"/>
  <c r="J387" i="58438"/>
  <c r="I387" i="58438"/>
  <c r="H387" i="58438"/>
  <c r="H391" i="58438" s="1"/>
  <c r="H392" i="58438" s="1"/>
  <c r="G390" i="58438"/>
  <c r="F390" i="58438"/>
  <c r="E390" i="58438"/>
  <c r="D390" i="58438"/>
  <c r="G389" i="58438"/>
  <c r="F389" i="58438"/>
  <c r="E389" i="58438"/>
  <c r="D389" i="58438"/>
  <c r="G388" i="58438"/>
  <c r="F388" i="58438"/>
  <c r="E388" i="58438"/>
  <c r="D388" i="58438"/>
  <c r="G387" i="58438"/>
  <c r="G391" i="58438" s="1"/>
  <c r="F387" i="58438"/>
  <c r="F391" i="58438" s="1"/>
  <c r="E387" i="58438"/>
  <c r="E391" i="58438" s="1"/>
  <c r="D387" i="58438"/>
  <c r="D391" i="58438" s="1"/>
  <c r="Y350" i="58438"/>
  <c r="X350" i="58438"/>
  <c r="W350" i="58438"/>
  <c r="V350" i="58438"/>
  <c r="U350" i="58438"/>
  <c r="T350" i="58438"/>
  <c r="S350" i="58438"/>
  <c r="R350" i="58438"/>
  <c r="Q350" i="58438"/>
  <c r="C347" i="58438"/>
  <c r="C348" i="58438" s="1"/>
  <c r="C345" i="58438"/>
  <c r="C343" i="58438"/>
  <c r="C344" i="58438" s="1"/>
  <c r="C342" i="58438"/>
  <c r="C341" i="58438"/>
  <c r="G347" i="58438"/>
  <c r="F347" i="58438"/>
  <c r="E347" i="58438"/>
  <c r="D347" i="58438"/>
  <c r="B347" i="58438"/>
  <c r="G345" i="58438"/>
  <c r="G320" i="58438" s="1"/>
  <c r="F345" i="58438"/>
  <c r="E345" i="58438"/>
  <c r="D345" i="58438"/>
  <c r="B345" i="58438"/>
  <c r="B320" i="58438" s="1"/>
  <c r="W348" i="58438"/>
  <c r="V348" i="58438"/>
  <c r="S348" i="58438"/>
  <c r="O348" i="58438"/>
  <c r="N348" i="58438"/>
  <c r="J348" i="58438"/>
  <c r="Y347" i="58438"/>
  <c r="X347" i="58438"/>
  <c r="X348" i="58438" s="1"/>
  <c r="W347" i="58438"/>
  <c r="V347" i="58438"/>
  <c r="U347" i="58438"/>
  <c r="T347" i="58438"/>
  <c r="S347" i="58438"/>
  <c r="R347" i="58438"/>
  <c r="Q347" i="58438"/>
  <c r="P347" i="58438"/>
  <c r="O347" i="58438"/>
  <c r="N347" i="58438"/>
  <c r="L347" i="58438"/>
  <c r="K347" i="58438"/>
  <c r="J347" i="58438"/>
  <c r="I347" i="58438"/>
  <c r="I348" i="58438" s="1"/>
  <c r="W346" i="58438"/>
  <c r="V346" i="58438"/>
  <c r="S346" i="58438"/>
  <c r="O346" i="58438"/>
  <c r="N346" i="58438"/>
  <c r="K346" i="58438"/>
  <c r="J346" i="58438"/>
  <c r="Y345" i="58438"/>
  <c r="Y346" i="58438" s="1"/>
  <c r="X345" i="58438"/>
  <c r="X346" i="58438" s="1"/>
  <c r="W345" i="58438"/>
  <c r="V345" i="58438"/>
  <c r="U345" i="58438"/>
  <c r="U346" i="58438" s="1"/>
  <c r="T345" i="58438"/>
  <c r="T346" i="58438" s="1"/>
  <c r="S345" i="58438"/>
  <c r="R345" i="58438"/>
  <c r="Q345" i="58438"/>
  <c r="P345" i="58438"/>
  <c r="P346" i="58438" s="1"/>
  <c r="O345" i="58438"/>
  <c r="N345" i="58438"/>
  <c r="L345" i="58438"/>
  <c r="L346" i="58438" s="1"/>
  <c r="K345" i="58438"/>
  <c r="J345" i="58438"/>
  <c r="I345" i="58438"/>
  <c r="I346" i="58438" s="1"/>
  <c r="W344" i="58438"/>
  <c r="V344" i="58438"/>
  <c r="S344" i="58438"/>
  <c r="O344" i="58438"/>
  <c r="N344" i="58438"/>
  <c r="K344" i="58438"/>
  <c r="J344" i="58438"/>
  <c r="Y343" i="58438"/>
  <c r="X343" i="58438"/>
  <c r="X344" i="58438" s="1"/>
  <c r="W343" i="58438"/>
  <c r="V343" i="58438"/>
  <c r="U343" i="58438"/>
  <c r="T343" i="58438"/>
  <c r="S343" i="58438"/>
  <c r="R343" i="58438"/>
  <c r="Q343" i="58438"/>
  <c r="P343" i="58438"/>
  <c r="O343" i="58438"/>
  <c r="N343" i="58438"/>
  <c r="L343" i="58438"/>
  <c r="K343" i="58438"/>
  <c r="J343" i="58438"/>
  <c r="I343" i="58438"/>
  <c r="I344" i="58438" s="1"/>
  <c r="G343" i="58438"/>
  <c r="F343" i="58438"/>
  <c r="E343" i="58438"/>
  <c r="D343" i="58438"/>
  <c r="D318" i="58438" s="1"/>
  <c r="B343" i="58438"/>
  <c r="I342" i="58438"/>
  <c r="K341" i="58438"/>
  <c r="J341" i="58438"/>
  <c r="I341" i="58438"/>
  <c r="G341" i="58438"/>
  <c r="F341" i="58438"/>
  <c r="E341" i="58438"/>
  <c r="D341" i="58438"/>
  <c r="B341" i="58438"/>
  <c r="Y338" i="58438"/>
  <c r="X338" i="58438"/>
  <c r="W338" i="58438"/>
  <c r="V338" i="58438"/>
  <c r="U338" i="58438"/>
  <c r="T338" i="58438"/>
  <c r="S338" i="58438"/>
  <c r="R338" i="58438"/>
  <c r="Q338" i="58438"/>
  <c r="C335" i="58438"/>
  <c r="C333" i="58438"/>
  <c r="C334" i="58438" s="1"/>
  <c r="C331" i="58438"/>
  <c r="C332" i="58438" s="1"/>
  <c r="C329" i="58438"/>
  <c r="G335" i="58438"/>
  <c r="L336" i="58438" s="1"/>
  <c r="F335" i="58438"/>
  <c r="E335" i="58438"/>
  <c r="D335" i="58438"/>
  <c r="B335" i="58438"/>
  <c r="G333" i="58438"/>
  <c r="F333" i="58438"/>
  <c r="E333" i="58438"/>
  <c r="D333" i="58438"/>
  <c r="B333" i="58438"/>
  <c r="X336" i="58438"/>
  <c r="W336" i="58438"/>
  <c r="T336" i="58438"/>
  <c r="S336" i="58438"/>
  <c r="P336" i="58438"/>
  <c r="O336" i="58438"/>
  <c r="K336" i="58438"/>
  <c r="Y335" i="58438"/>
  <c r="Y336" i="58438" s="1"/>
  <c r="X335" i="58438"/>
  <c r="W335" i="58438"/>
  <c r="V335" i="58438"/>
  <c r="U335" i="58438"/>
  <c r="T335" i="58438"/>
  <c r="S335" i="58438"/>
  <c r="R335" i="58438"/>
  <c r="Q335" i="58438"/>
  <c r="P335" i="58438"/>
  <c r="O335" i="58438"/>
  <c r="N335" i="58438"/>
  <c r="L335" i="58438"/>
  <c r="K335" i="58438"/>
  <c r="J335" i="58438"/>
  <c r="J336" i="58438" s="1"/>
  <c r="I335" i="58438"/>
  <c r="X334" i="58438"/>
  <c r="W334" i="58438"/>
  <c r="T334" i="58438"/>
  <c r="S334" i="58438"/>
  <c r="P334" i="58438"/>
  <c r="O334" i="58438"/>
  <c r="L334" i="58438"/>
  <c r="K334" i="58438"/>
  <c r="Y333" i="58438"/>
  <c r="Y334" i="58438" s="1"/>
  <c r="X333" i="58438"/>
  <c r="W333" i="58438"/>
  <c r="V333" i="58438"/>
  <c r="U333" i="58438"/>
  <c r="T333" i="58438"/>
  <c r="S333" i="58438"/>
  <c r="R333" i="58438"/>
  <c r="Q333" i="58438"/>
  <c r="P333" i="58438"/>
  <c r="O333" i="58438"/>
  <c r="N333" i="58438"/>
  <c r="L333" i="58438"/>
  <c r="K333" i="58438"/>
  <c r="J333" i="58438"/>
  <c r="J334" i="58438" s="1"/>
  <c r="I333" i="58438"/>
  <c r="X332" i="58438"/>
  <c r="W332" i="58438"/>
  <c r="T332" i="58438"/>
  <c r="S332" i="58438"/>
  <c r="P332" i="58438"/>
  <c r="O332" i="58438"/>
  <c r="L332" i="58438"/>
  <c r="K332" i="58438"/>
  <c r="Y331" i="58438"/>
  <c r="Y332" i="58438" s="1"/>
  <c r="X331" i="58438"/>
  <c r="W331" i="58438"/>
  <c r="V331" i="58438"/>
  <c r="V332" i="58438" s="1"/>
  <c r="U331" i="58438"/>
  <c r="U332" i="58438" s="1"/>
  <c r="T331" i="58438"/>
  <c r="S331" i="58438"/>
  <c r="R331" i="58438"/>
  <c r="Q331" i="58438"/>
  <c r="Q332" i="58438" s="1"/>
  <c r="P331" i="58438"/>
  <c r="O331" i="58438"/>
  <c r="N331" i="58438"/>
  <c r="N332" i="58438" s="1"/>
  <c r="L331" i="58438"/>
  <c r="K331" i="58438"/>
  <c r="J331" i="58438"/>
  <c r="I331" i="58438"/>
  <c r="I332" i="58438" s="1"/>
  <c r="G331" i="58438"/>
  <c r="F331" i="58438"/>
  <c r="E331" i="58438"/>
  <c r="E318" i="58438" s="1"/>
  <c r="D331" i="58438"/>
  <c r="B331" i="58438"/>
  <c r="J330" i="58438"/>
  <c r="K329" i="58438"/>
  <c r="J329" i="58438"/>
  <c r="J316" i="58438" s="1"/>
  <c r="I329" i="58438"/>
  <c r="G329" i="58438"/>
  <c r="F329" i="58438"/>
  <c r="E329" i="58438"/>
  <c r="D329" i="58438"/>
  <c r="B329" i="58438"/>
  <c r="C320" i="58438"/>
  <c r="C318" i="58438"/>
  <c r="C316" i="58438"/>
  <c r="U325" i="58438"/>
  <c r="U234" i="58438" s="1"/>
  <c r="Q325" i="58438"/>
  <c r="Q234" i="58438" s="1"/>
  <c r="V324" i="58438"/>
  <c r="U324" i="58438"/>
  <c r="T324" i="58438"/>
  <c r="T325" i="58438" s="1"/>
  <c r="T234" i="58438" s="1"/>
  <c r="S324" i="58438"/>
  <c r="Q324" i="58438"/>
  <c r="P324" i="58438"/>
  <c r="O324" i="58438"/>
  <c r="N324" i="58438"/>
  <c r="L324" i="58438"/>
  <c r="AL323" i="58438"/>
  <c r="AL321" i="58438"/>
  <c r="AL319" i="58438"/>
  <c r="AL317" i="58438"/>
  <c r="AG319" i="58438"/>
  <c r="AE323" i="58438"/>
  <c r="AG323" i="58438" s="1"/>
  <c r="AD323" i="58438"/>
  <c r="AC323" i="58438"/>
  <c r="AA323" i="58438"/>
  <c r="AA322" i="58438" s="1"/>
  <c r="W323" i="58438"/>
  <c r="S323" i="58438"/>
  <c r="O323" i="58438"/>
  <c r="K323" i="58438"/>
  <c r="AE322" i="58438"/>
  <c r="AJ322" i="58438" s="1"/>
  <c r="AD322" i="58438"/>
  <c r="AC322" i="58438"/>
  <c r="V322" i="58438"/>
  <c r="S322" i="58438"/>
  <c r="O322" i="58438"/>
  <c r="N322" i="58438"/>
  <c r="K322" i="58438"/>
  <c r="J322" i="58438"/>
  <c r="G322" i="58438"/>
  <c r="E322" i="58438"/>
  <c r="D322" i="58438"/>
  <c r="B322" i="58438"/>
  <c r="AE321" i="58438"/>
  <c r="AD321" i="58438"/>
  <c r="AC321" i="58438"/>
  <c r="AG321" i="58438" s="1"/>
  <c r="AA321" i="58438"/>
  <c r="P321" i="58438"/>
  <c r="AE320" i="58438"/>
  <c r="AD320" i="58438"/>
  <c r="AC320" i="58438"/>
  <c r="V320" i="58438"/>
  <c r="T320" i="58438"/>
  <c r="S320" i="58438"/>
  <c r="P320" i="58438"/>
  <c r="O320" i="58438"/>
  <c r="N320" i="58438"/>
  <c r="L320" i="58438"/>
  <c r="K320" i="58438"/>
  <c r="J320" i="58438"/>
  <c r="F320" i="58438"/>
  <c r="E320" i="58438"/>
  <c r="D320" i="58438"/>
  <c r="AE319" i="58438"/>
  <c r="AD319" i="58438"/>
  <c r="AC319" i="58438"/>
  <c r="AA319" i="58438"/>
  <c r="Y319" i="58438"/>
  <c r="U319" i="58438"/>
  <c r="Q319" i="58438"/>
  <c r="I319" i="58438"/>
  <c r="AE318" i="58438"/>
  <c r="AD318" i="58438"/>
  <c r="AC318" i="58438"/>
  <c r="V318" i="58438"/>
  <c r="U318" i="58438"/>
  <c r="S318" i="58438"/>
  <c r="Q318" i="58438"/>
  <c r="O318" i="58438"/>
  <c r="N318" i="58438"/>
  <c r="K318" i="58438"/>
  <c r="J318" i="58438"/>
  <c r="I318" i="58438"/>
  <c r="G318" i="58438"/>
  <c r="F318" i="58438"/>
  <c r="B318" i="58438"/>
  <c r="AE317" i="58438"/>
  <c r="AD317" i="58438"/>
  <c r="AC317" i="58438"/>
  <c r="AB317" i="58438"/>
  <c r="W317" i="58438"/>
  <c r="R317" i="58438"/>
  <c r="AE316" i="58438"/>
  <c r="AD316" i="58438"/>
  <c r="AC316" i="58438"/>
  <c r="L316" i="58438"/>
  <c r="K316" i="58438"/>
  <c r="I316" i="58438"/>
  <c r="G316" i="58438"/>
  <c r="E316" i="58438"/>
  <c r="D316" i="58438"/>
  <c r="B316" i="58438"/>
  <c r="C309" i="58438"/>
  <c r="AE310" i="58438"/>
  <c r="S310" i="58438"/>
  <c r="O310" i="58438"/>
  <c r="AE309" i="58438"/>
  <c r="AD309" i="58438"/>
  <c r="AD310" i="58438" s="1"/>
  <c r="AC309" i="58438"/>
  <c r="AC310" i="58438" s="1"/>
  <c r="AB309" i="58438"/>
  <c r="AA309" i="58438"/>
  <c r="AA310" i="58438" s="1"/>
  <c r="Z309" i="58438"/>
  <c r="Z310" i="58438" s="1"/>
  <c r="Y309" i="58438"/>
  <c r="Y310" i="58438" s="1"/>
  <c r="X309" i="58438"/>
  <c r="W309" i="58438"/>
  <c r="W310" i="58438" s="1"/>
  <c r="V309" i="58438"/>
  <c r="V310" i="58438" s="1"/>
  <c r="U309" i="58438"/>
  <c r="U310" i="58438" s="1"/>
  <c r="T309" i="58438"/>
  <c r="S309" i="58438"/>
  <c r="R309" i="58438"/>
  <c r="Q309" i="58438"/>
  <c r="Q310" i="58438" s="1"/>
  <c r="P309" i="58438"/>
  <c r="O309" i="58438"/>
  <c r="O303" i="58438" s="1"/>
  <c r="N309" i="58438"/>
  <c r="N310" i="58438" s="1"/>
  <c r="L309" i="58438"/>
  <c r="K309" i="58438"/>
  <c r="K303" i="58438" s="1"/>
  <c r="J309" i="58438"/>
  <c r="J310" i="58438" s="1"/>
  <c r="I309" i="58438"/>
  <c r="I310" i="58438" s="1"/>
  <c r="G309" i="58438"/>
  <c r="G303" i="58438" s="1"/>
  <c r="F309" i="58438"/>
  <c r="E309" i="58438"/>
  <c r="D309" i="58438"/>
  <c r="B309" i="58438"/>
  <c r="B303" i="58438" s="1"/>
  <c r="C306" i="58438"/>
  <c r="C307" i="58438" s="1"/>
  <c r="AD307" i="58438"/>
  <c r="Z307" i="58438"/>
  <c r="V307" i="58438"/>
  <c r="N307" i="58438"/>
  <c r="AE306" i="58438"/>
  <c r="AE307" i="58438" s="1"/>
  <c r="AD306" i="58438"/>
  <c r="AC306" i="58438"/>
  <c r="AC307" i="58438" s="1"/>
  <c r="AB306" i="58438"/>
  <c r="AB307" i="58438" s="1"/>
  <c r="AA306" i="58438"/>
  <c r="AA307" i="58438" s="1"/>
  <c r="Z306" i="58438"/>
  <c r="Y306" i="58438"/>
  <c r="Y307" i="58438" s="1"/>
  <c r="X306" i="58438"/>
  <c r="X307" i="58438" s="1"/>
  <c r="W306" i="58438"/>
  <c r="W307" i="58438" s="1"/>
  <c r="V306" i="58438"/>
  <c r="U306" i="58438"/>
  <c r="U307" i="58438" s="1"/>
  <c r="T306" i="58438"/>
  <c r="T307" i="58438" s="1"/>
  <c r="S306" i="58438"/>
  <c r="S307" i="58438" s="1"/>
  <c r="R306" i="58438"/>
  <c r="Q306" i="58438"/>
  <c r="Q307" i="58438" s="1"/>
  <c r="P306" i="58438"/>
  <c r="P307" i="58438" s="1"/>
  <c r="O306" i="58438"/>
  <c r="N306" i="58438"/>
  <c r="N303" i="58438" s="1"/>
  <c r="L306" i="58438"/>
  <c r="L307" i="58438" s="1"/>
  <c r="K306" i="58438"/>
  <c r="J306" i="58438"/>
  <c r="I306" i="58438"/>
  <c r="I307" i="58438" s="1"/>
  <c r="G306" i="58438"/>
  <c r="F306" i="58438"/>
  <c r="F303" i="58438" s="1"/>
  <c r="E306" i="58438"/>
  <c r="D306" i="58438"/>
  <c r="B306" i="58438"/>
  <c r="AL304" i="58438"/>
  <c r="AE304" i="58438"/>
  <c r="AD304" i="58438"/>
  <c r="AC304" i="58438"/>
  <c r="AA304" i="58438"/>
  <c r="Z304" i="58438"/>
  <c r="Y304" i="58438"/>
  <c r="X304" i="58438"/>
  <c r="W304" i="58438"/>
  <c r="V304" i="58438"/>
  <c r="U304" i="58438"/>
  <c r="T304" i="58438"/>
  <c r="S304" i="58438"/>
  <c r="R304" i="58438"/>
  <c r="Q304" i="58438"/>
  <c r="P304" i="58438"/>
  <c r="O304" i="58438"/>
  <c r="N304" i="58438"/>
  <c r="M304" i="58438"/>
  <c r="L304" i="58438"/>
  <c r="K304" i="58438"/>
  <c r="J304" i="58438"/>
  <c r="I304" i="58438"/>
  <c r="H304" i="58438"/>
  <c r="G304" i="58438"/>
  <c r="G478" i="58438" s="1"/>
  <c r="G479" i="58438" s="1"/>
  <c r="C304" i="58438"/>
  <c r="B304" i="58438"/>
  <c r="B478" i="58438" s="1"/>
  <c r="B479" i="58438" s="1"/>
  <c r="U303" i="58438"/>
  <c r="Q303" i="58438"/>
  <c r="P303" i="58438"/>
  <c r="L303" i="58438"/>
  <c r="I303" i="58438"/>
  <c r="E303" i="58438"/>
  <c r="D303" i="58438"/>
  <c r="C303" i="58438"/>
  <c r="AE297" i="58438"/>
  <c r="AD297" i="58438"/>
  <c r="AC297" i="58438"/>
  <c r="AB297" i="58438"/>
  <c r="AA297" i="58438"/>
  <c r="Z297" i="58438"/>
  <c r="Y297" i="58438"/>
  <c r="X297" i="58438"/>
  <c r="W297" i="58438"/>
  <c r="V297" i="58438"/>
  <c r="U297" i="58438"/>
  <c r="T297" i="58438"/>
  <c r="S297" i="58438"/>
  <c r="R297" i="58438"/>
  <c r="Q297" i="58438"/>
  <c r="P297" i="58438"/>
  <c r="O297" i="58438"/>
  <c r="N297" i="58438"/>
  <c r="L297" i="58438"/>
  <c r="K297" i="58438"/>
  <c r="J297" i="58438"/>
  <c r="I297" i="58438"/>
  <c r="H297" i="58438"/>
  <c r="G297" i="58438"/>
  <c r="F297" i="58438"/>
  <c r="E297" i="58438"/>
  <c r="D297" i="58438"/>
  <c r="C297" i="58438"/>
  <c r="B297" i="58438"/>
  <c r="AE296" i="58438"/>
  <c r="AD296" i="58438"/>
  <c r="AC296" i="58438"/>
  <c r="AB296" i="58438"/>
  <c r="AA296" i="58438"/>
  <c r="Z296" i="58438"/>
  <c r="Y296" i="58438"/>
  <c r="X296" i="58438"/>
  <c r="X286" i="58438" s="1"/>
  <c r="W296" i="58438"/>
  <c r="V296" i="58438"/>
  <c r="U296" i="58438"/>
  <c r="T296" i="58438"/>
  <c r="T286" i="58438" s="1"/>
  <c r="S296" i="58438"/>
  <c r="R296" i="58438"/>
  <c r="Q296" i="58438"/>
  <c r="P296" i="58438"/>
  <c r="P286" i="58438" s="1"/>
  <c r="O296" i="58438"/>
  <c r="N296" i="58438"/>
  <c r="L296" i="58438"/>
  <c r="L286" i="58438" s="1"/>
  <c r="K296" i="58438"/>
  <c r="J296" i="58438"/>
  <c r="I296" i="58438"/>
  <c r="H296" i="58438"/>
  <c r="G296" i="58438"/>
  <c r="F296" i="58438"/>
  <c r="E296" i="58438"/>
  <c r="D296" i="58438"/>
  <c r="D286" i="58438" s="1"/>
  <c r="C296" i="58438"/>
  <c r="B296" i="58438"/>
  <c r="AJ295" i="58438"/>
  <c r="AI295" i="58438"/>
  <c r="AH295" i="58438"/>
  <c r="AK295" i="58438"/>
  <c r="AE295" i="58438"/>
  <c r="AD295" i="58438"/>
  <c r="AC295" i="58438"/>
  <c r="AB295" i="58438"/>
  <c r="AA295" i="58438"/>
  <c r="Z295" i="58438"/>
  <c r="Y295" i="58438"/>
  <c r="X295" i="58438"/>
  <c r="W295" i="58438"/>
  <c r="V295" i="58438"/>
  <c r="U295" i="58438"/>
  <c r="T295" i="58438"/>
  <c r="S295" i="58438"/>
  <c r="R295" i="58438"/>
  <c r="Q295" i="58438"/>
  <c r="P295" i="58438"/>
  <c r="O295" i="58438"/>
  <c r="N295" i="58438"/>
  <c r="L295" i="58438"/>
  <c r="K295" i="58438"/>
  <c r="J295" i="58438"/>
  <c r="I295" i="58438"/>
  <c r="H295" i="58438"/>
  <c r="G295" i="58438"/>
  <c r="F295" i="58438"/>
  <c r="E295" i="58438"/>
  <c r="D295" i="58438"/>
  <c r="C295" i="58438"/>
  <c r="B295" i="58438"/>
  <c r="AN285" i="58438"/>
  <c r="AM285" i="58438"/>
  <c r="AK285" i="58438"/>
  <c r="AJ285" i="58438"/>
  <c r="AI285" i="58438"/>
  <c r="AI290" i="58438" s="1"/>
  <c r="AH285" i="58438"/>
  <c r="AH290" i="58438" s="1"/>
  <c r="Z287" i="58438"/>
  <c r="Y287" i="58438"/>
  <c r="X287" i="58438"/>
  <c r="W287" i="58438"/>
  <c r="V287" i="58438"/>
  <c r="U287" i="58438"/>
  <c r="T287" i="58438"/>
  <c r="S287" i="58438"/>
  <c r="R287" i="58438"/>
  <c r="Q287" i="58438"/>
  <c r="P287" i="58438"/>
  <c r="O287" i="58438"/>
  <c r="N287" i="58438"/>
  <c r="L287" i="58438"/>
  <c r="K287" i="58438"/>
  <c r="J287" i="58438"/>
  <c r="I287" i="58438"/>
  <c r="G287" i="58438"/>
  <c r="F287" i="58438"/>
  <c r="E287" i="58438"/>
  <c r="D287" i="58438"/>
  <c r="C287" i="58438"/>
  <c r="B287" i="58438"/>
  <c r="Z286" i="58438"/>
  <c r="Y286" i="58438"/>
  <c r="W286" i="58438"/>
  <c r="V286" i="58438"/>
  <c r="U286" i="58438"/>
  <c r="S286" i="58438"/>
  <c r="R286" i="58438"/>
  <c r="Q286" i="58438"/>
  <c r="O286" i="58438"/>
  <c r="N286" i="58438"/>
  <c r="K286" i="58438"/>
  <c r="J286" i="58438"/>
  <c r="I286" i="58438"/>
  <c r="G286" i="58438"/>
  <c r="F286" i="58438"/>
  <c r="E286" i="58438"/>
  <c r="C286" i="58438"/>
  <c r="B286" i="58438"/>
  <c r="Z285" i="58438"/>
  <c r="Z323" i="58438" s="1"/>
  <c r="Y285" i="58438"/>
  <c r="Y323" i="58438" s="1"/>
  <c r="X285" i="58438"/>
  <c r="X323" i="58438" s="1"/>
  <c r="AB323" i="58438" s="1"/>
  <c r="W285" i="58438"/>
  <c r="V285" i="58438"/>
  <c r="V323" i="58438" s="1"/>
  <c r="U285" i="58438"/>
  <c r="U323" i="58438" s="1"/>
  <c r="T285" i="58438"/>
  <c r="T323" i="58438" s="1"/>
  <c r="S285" i="58438"/>
  <c r="R285" i="58438"/>
  <c r="Q285" i="58438"/>
  <c r="Q323" i="58438" s="1"/>
  <c r="P285" i="58438"/>
  <c r="P323" i="58438" s="1"/>
  <c r="O285" i="58438"/>
  <c r="N285" i="58438"/>
  <c r="N323" i="58438" s="1"/>
  <c r="L285" i="58438"/>
  <c r="L323" i="58438" s="1"/>
  <c r="K285" i="58438"/>
  <c r="J285" i="58438"/>
  <c r="J323" i="58438" s="1"/>
  <c r="I285" i="58438"/>
  <c r="I323" i="58438" s="1"/>
  <c r="G285" i="58438"/>
  <c r="F285" i="58438"/>
  <c r="E285" i="58438"/>
  <c r="D285" i="58438"/>
  <c r="C285" i="58438"/>
  <c r="B285" i="58438"/>
  <c r="AE281" i="58438"/>
  <c r="AD281" i="58438"/>
  <c r="AC281" i="58438"/>
  <c r="AB281" i="58438"/>
  <c r="AA281" i="58438"/>
  <c r="Z281" i="58438"/>
  <c r="Y281" i="58438"/>
  <c r="X281" i="58438"/>
  <c r="W281" i="58438"/>
  <c r="V281" i="58438"/>
  <c r="U281" i="58438"/>
  <c r="T281" i="58438"/>
  <c r="S281" i="58438"/>
  <c r="R281" i="58438"/>
  <c r="Q281" i="58438"/>
  <c r="P281" i="58438"/>
  <c r="O281" i="58438"/>
  <c r="N281" i="58438"/>
  <c r="L281" i="58438"/>
  <c r="K281" i="58438"/>
  <c r="J281" i="58438"/>
  <c r="I281" i="58438"/>
  <c r="H281" i="58438"/>
  <c r="G281" i="58438"/>
  <c r="F281" i="58438"/>
  <c r="E281" i="58438"/>
  <c r="D281" i="58438"/>
  <c r="C281" i="58438"/>
  <c r="B281" i="58438"/>
  <c r="AE280" i="58438"/>
  <c r="AD280" i="58438"/>
  <c r="AC280" i="58438"/>
  <c r="AB280" i="58438"/>
  <c r="AA280" i="58438"/>
  <c r="Z280" i="58438"/>
  <c r="Y280" i="58438"/>
  <c r="X280" i="58438"/>
  <c r="X270" i="58438" s="1"/>
  <c r="W280" i="58438"/>
  <c r="V280" i="58438"/>
  <c r="U280" i="58438"/>
  <c r="T280" i="58438"/>
  <c r="T270" i="58438" s="1"/>
  <c r="S280" i="58438"/>
  <c r="R280" i="58438"/>
  <c r="Q280" i="58438"/>
  <c r="P280" i="58438"/>
  <c r="P270" i="58438" s="1"/>
  <c r="O280" i="58438"/>
  <c r="N280" i="58438"/>
  <c r="L280" i="58438"/>
  <c r="L270" i="58438" s="1"/>
  <c r="K280" i="58438"/>
  <c r="J280" i="58438"/>
  <c r="I280" i="58438"/>
  <c r="H280" i="58438"/>
  <c r="G280" i="58438"/>
  <c r="F280" i="58438"/>
  <c r="E280" i="58438"/>
  <c r="D280" i="58438"/>
  <c r="D270" i="58438" s="1"/>
  <c r="C280" i="58438"/>
  <c r="B280" i="58438"/>
  <c r="AJ279" i="58438"/>
  <c r="AI279" i="58438"/>
  <c r="AH279" i="58438"/>
  <c r="AK279" i="58438"/>
  <c r="AE279" i="58438"/>
  <c r="AD279" i="58438"/>
  <c r="AC279" i="58438"/>
  <c r="AB279" i="58438"/>
  <c r="AA279" i="58438"/>
  <c r="Z279" i="58438"/>
  <c r="Y279" i="58438"/>
  <c r="X279" i="58438"/>
  <c r="W279" i="58438"/>
  <c r="V279" i="58438"/>
  <c r="U279" i="58438"/>
  <c r="T279" i="58438"/>
  <c r="S279" i="58438"/>
  <c r="R279" i="58438"/>
  <c r="Q279" i="58438"/>
  <c r="P279" i="58438"/>
  <c r="O279" i="58438"/>
  <c r="N279" i="58438"/>
  <c r="L279" i="58438"/>
  <c r="K279" i="58438"/>
  <c r="J279" i="58438"/>
  <c r="I279" i="58438"/>
  <c r="H279" i="58438"/>
  <c r="G279" i="58438"/>
  <c r="F279" i="58438"/>
  <c r="E279" i="58438"/>
  <c r="D279" i="58438"/>
  <c r="C279" i="58438"/>
  <c r="B279" i="58438"/>
  <c r="AN269" i="58438"/>
  <c r="AM269" i="58438"/>
  <c r="AK269" i="58438"/>
  <c r="AJ269" i="58438"/>
  <c r="AI269" i="58438"/>
  <c r="AI274" i="58438" s="1"/>
  <c r="AI37" i="58438" s="1"/>
  <c r="AH269" i="58438"/>
  <c r="AH274" i="58438" s="1"/>
  <c r="Z271" i="58438"/>
  <c r="Y271" i="58438"/>
  <c r="X271" i="58438"/>
  <c r="W271" i="58438"/>
  <c r="V271" i="58438"/>
  <c r="U271" i="58438"/>
  <c r="T271" i="58438"/>
  <c r="S271" i="58438"/>
  <c r="R271" i="58438"/>
  <c r="Q271" i="58438"/>
  <c r="P271" i="58438"/>
  <c r="O271" i="58438"/>
  <c r="N271" i="58438"/>
  <c r="L271" i="58438"/>
  <c r="K271" i="58438"/>
  <c r="J271" i="58438"/>
  <c r="I271" i="58438"/>
  <c r="G271" i="58438"/>
  <c r="F271" i="58438"/>
  <c r="E271" i="58438"/>
  <c r="D271" i="58438"/>
  <c r="C271" i="58438"/>
  <c r="B271" i="58438"/>
  <c r="Z270" i="58438"/>
  <c r="Y270" i="58438"/>
  <c r="W270" i="58438"/>
  <c r="V270" i="58438"/>
  <c r="U270" i="58438"/>
  <c r="S270" i="58438"/>
  <c r="R270" i="58438"/>
  <c r="Q270" i="58438"/>
  <c r="O270" i="58438"/>
  <c r="N270" i="58438"/>
  <c r="K270" i="58438"/>
  <c r="J270" i="58438"/>
  <c r="I270" i="58438"/>
  <c r="G270" i="58438"/>
  <c r="F270" i="58438"/>
  <c r="E270" i="58438"/>
  <c r="C270" i="58438"/>
  <c r="B270" i="58438"/>
  <c r="Z269" i="58438"/>
  <c r="Z321" i="58438" s="1"/>
  <c r="Y269" i="58438"/>
  <c r="Y321" i="58438" s="1"/>
  <c r="X269" i="58438"/>
  <c r="X321" i="58438" s="1"/>
  <c r="X320" i="58438" s="1"/>
  <c r="W269" i="58438"/>
  <c r="V269" i="58438"/>
  <c r="V321" i="58438" s="1"/>
  <c r="U269" i="58438"/>
  <c r="U321" i="58438" s="1"/>
  <c r="T269" i="58438"/>
  <c r="T321" i="58438" s="1"/>
  <c r="S269" i="58438"/>
  <c r="S321" i="58438" s="1"/>
  <c r="W321" i="58438" s="1"/>
  <c r="R269" i="58438"/>
  <c r="Q269" i="58438"/>
  <c r="Q321" i="58438" s="1"/>
  <c r="P269" i="58438"/>
  <c r="O269" i="58438"/>
  <c r="O321" i="58438" s="1"/>
  <c r="N269" i="58438"/>
  <c r="N321" i="58438" s="1"/>
  <c r="L269" i="58438"/>
  <c r="L321" i="58438" s="1"/>
  <c r="K269" i="58438"/>
  <c r="K321" i="58438" s="1"/>
  <c r="J269" i="58438"/>
  <c r="J321" i="58438" s="1"/>
  <c r="I269" i="58438"/>
  <c r="I321" i="58438" s="1"/>
  <c r="G269" i="58438"/>
  <c r="F269" i="58438"/>
  <c r="E269" i="58438"/>
  <c r="D269" i="58438"/>
  <c r="C269" i="58438"/>
  <c r="B269" i="58438"/>
  <c r="AE265" i="58438"/>
  <c r="AD265" i="58438"/>
  <c r="AC265" i="58438"/>
  <c r="AB265" i="58438"/>
  <c r="AA265" i="58438"/>
  <c r="Z265" i="58438"/>
  <c r="Z255" i="58438" s="1"/>
  <c r="Y265" i="58438"/>
  <c r="X265" i="58438"/>
  <c r="W265" i="58438"/>
  <c r="V265" i="58438"/>
  <c r="V255" i="58438" s="1"/>
  <c r="U265" i="58438"/>
  <c r="T265" i="58438"/>
  <c r="S265" i="58438"/>
  <c r="R265" i="58438"/>
  <c r="R255" i="58438" s="1"/>
  <c r="Q265" i="58438"/>
  <c r="P265" i="58438"/>
  <c r="O265" i="58438"/>
  <c r="N265" i="58438"/>
  <c r="N255" i="58438" s="1"/>
  <c r="L265" i="58438"/>
  <c r="K265" i="58438"/>
  <c r="J265" i="58438"/>
  <c r="J255" i="58438" s="1"/>
  <c r="I265" i="58438"/>
  <c r="H265" i="58438"/>
  <c r="G265" i="58438"/>
  <c r="F265" i="58438"/>
  <c r="F255" i="58438" s="1"/>
  <c r="E265" i="58438"/>
  <c r="D265" i="58438"/>
  <c r="C265" i="58438"/>
  <c r="B265" i="58438"/>
  <c r="B255" i="58438" s="1"/>
  <c r="AE264" i="58438"/>
  <c r="AD264" i="58438"/>
  <c r="AC264" i="58438"/>
  <c r="AB264" i="58438"/>
  <c r="AA264" i="58438"/>
  <c r="Z264" i="58438"/>
  <c r="Y264" i="58438"/>
  <c r="X264" i="58438"/>
  <c r="X254" i="58438" s="1"/>
  <c r="W264" i="58438"/>
  <c r="V264" i="58438"/>
  <c r="U264" i="58438"/>
  <c r="T264" i="58438"/>
  <c r="T254" i="58438" s="1"/>
  <c r="S264" i="58438"/>
  <c r="R264" i="58438"/>
  <c r="Q264" i="58438"/>
  <c r="P264" i="58438"/>
  <c r="P254" i="58438" s="1"/>
  <c r="O264" i="58438"/>
  <c r="N264" i="58438"/>
  <c r="L264" i="58438"/>
  <c r="L254" i="58438" s="1"/>
  <c r="K264" i="58438"/>
  <c r="J264" i="58438"/>
  <c r="I264" i="58438"/>
  <c r="H264" i="58438"/>
  <c r="G264" i="58438"/>
  <c r="F264" i="58438"/>
  <c r="E264" i="58438"/>
  <c r="D264" i="58438"/>
  <c r="D254" i="58438" s="1"/>
  <c r="C264" i="58438"/>
  <c r="B264" i="58438"/>
  <c r="AJ263" i="58438"/>
  <c r="AI263" i="58438"/>
  <c r="AH263" i="58438"/>
  <c r="AE263" i="58438"/>
  <c r="AD263" i="58438"/>
  <c r="AC263" i="58438"/>
  <c r="AB263" i="58438"/>
  <c r="AA263" i="58438"/>
  <c r="Z263" i="58438"/>
  <c r="Y263" i="58438"/>
  <c r="X263" i="58438"/>
  <c r="W263" i="58438"/>
  <c r="W253" i="58438" s="1"/>
  <c r="V263" i="58438"/>
  <c r="U263" i="58438"/>
  <c r="T263" i="58438"/>
  <c r="S263" i="58438"/>
  <c r="S253" i="58438" s="1"/>
  <c r="S319" i="58438" s="1"/>
  <c r="R263" i="58438"/>
  <c r="Q263" i="58438"/>
  <c r="P263" i="58438"/>
  <c r="O263" i="58438"/>
  <c r="O253" i="58438" s="1"/>
  <c r="O319" i="58438" s="1"/>
  <c r="N263" i="58438"/>
  <c r="L263" i="58438"/>
  <c r="K263" i="58438"/>
  <c r="K253" i="58438" s="1"/>
  <c r="K319" i="58438" s="1"/>
  <c r="J263" i="58438"/>
  <c r="I263" i="58438"/>
  <c r="H263" i="58438"/>
  <c r="G263" i="58438"/>
  <c r="G253" i="58438" s="1"/>
  <c r="F263" i="58438"/>
  <c r="E263" i="58438"/>
  <c r="D263" i="58438"/>
  <c r="C263" i="58438"/>
  <c r="C253" i="58438" s="1"/>
  <c r="B263" i="58438"/>
  <c r="AN253" i="58438"/>
  <c r="AM253" i="58438"/>
  <c r="AK253" i="58438"/>
  <c r="AJ253" i="58438"/>
  <c r="AJ258" i="58438" s="1"/>
  <c r="AJ36" i="58438" s="1"/>
  <c r="AI253" i="58438"/>
  <c r="AH253" i="58438"/>
  <c r="AH258" i="58438" s="1"/>
  <c r="Y255" i="58438"/>
  <c r="X255" i="58438"/>
  <c r="W255" i="58438"/>
  <c r="U255" i="58438"/>
  <c r="T255" i="58438"/>
  <c r="S255" i="58438"/>
  <c r="Q255" i="58438"/>
  <c r="P255" i="58438"/>
  <c r="O255" i="58438"/>
  <c r="L255" i="58438"/>
  <c r="K255" i="58438"/>
  <c r="I255" i="58438"/>
  <c r="G255" i="58438"/>
  <c r="E255" i="58438"/>
  <c r="D255" i="58438"/>
  <c r="C255" i="58438"/>
  <c r="Z254" i="58438"/>
  <c r="Y254" i="58438"/>
  <c r="W254" i="58438"/>
  <c r="V254" i="58438"/>
  <c r="U254" i="58438"/>
  <c r="S254" i="58438"/>
  <c r="R254" i="58438"/>
  <c r="Q254" i="58438"/>
  <c r="O254" i="58438"/>
  <c r="N254" i="58438"/>
  <c r="K254" i="58438"/>
  <c r="J254" i="58438"/>
  <c r="I254" i="58438"/>
  <c r="G254" i="58438"/>
  <c r="F254" i="58438"/>
  <c r="E254" i="58438"/>
  <c r="C254" i="58438"/>
  <c r="B254" i="58438"/>
  <c r="Z253" i="58438"/>
  <c r="Z319" i="58438" s="1"/>
  <c r="Y253" i="58438"/>
  <c r="X253" i="58438"/>
  <c r="X319" i="58438" s="1"/>
  <c r="V253" i="58438"/>
  <c r="V319" i="58438" s="1"/>
  <c r="U253" i="58438"/>
  <c r="T253" i="58438"/>
  <c r="T319" i="58438" s="1"/>
  <c r="R253" i="58438"/>
  <c r="Q253" i="58438"/>
  <c r="P253" i="58438"/>
  <c r="P319" i="58438" s="1"/>
  <c r="N253" i="58438"/>
  <c r="N319" i="58438" s="1"/>
  <c r="L253" i="58438"/>
  <c r="L319" i="58438" s="1"/>
  <c r="J253" i="58438"/>
  <c r="J319" i="58438" s="1"/>
  <c r="I253" i="58438"/>
  <c r="F253" i="58438"/>
  <c r="E253" i="58438"/>
  <c r="D253" i="58438"/>
  <c r="B253" i="58438"/>
  <c r="AE249" i="58438"/>
  <c r="AD249" i="58438"/>
  <c r="AC249" i="58438"/>
  <c r="AE248" i="58438"/>
  <c r="AD248" i="58438"/>
  <c r="AC248" i="58438"/>
  <c r="K249" i="58438"/>
  <c r="J249" i="58438"/>
  <c r="J239" i="58438" s="1"/>
  <c r="I249" i="58438"/>
  <c r="H249" i="58438"/>
  <c r="G249" i="58438"/>
  <c r="F249" i="58438"/>
  <c r="F239" i="58438" s="1"/>
  <c r="E249" i="58438"/>
  <c r="D249" i="58438"/>
  <c r="C249" i="58438"/>
  <c r="B249" i="58438"/>
  <c r="B239" i="58438" s="1"/>
  <c r="K248" i="58438"/>
  <c r="J248" i="58438"/>
  <c r="I248" i="58438"/>
  <c r="H248" i="58438"/>
  <c r="G248" i="58438"/>
  <c r="F248" i="58438"/>
  <c r="E248" i="58438"/>
  <c r="D248" i="58438"/>
  <c r="D238" i="58438" s="1"/>
  <c r="C248" i="58438"/>
  <c r="B248" i="58438"/>
  <c r="AJ247" i="58438"/>
  <c r="AI247" i="58438"/>
  <c r="AH247" i="58438"/>
  <c r="AE247" i="58438"/>
  <c r="AD247" i="58438"/>
  <c r="AC247" i="58438"/>
  <c r="S247" i="58438"/>
  <c r="P247" i="58438"/>
  <c r="O247" i="58438"/>
  <c r="N247" i="58438"/>
  <c r="L247" i="58438"/>
  <c r="K247" i="58438"/>
  <c r="K237" i="58438" s="1"/>
  <c r="K317" i="58438" s="1"/>
  <c r="J247" i="58438"/>
  <c r="I247" i="58438"/>
  <c r="H247" i="58438"/>
  <c r="G247" i="58438"/>
  <c r="G237" i="58438" s="1"/>
  <c r="F247" i="58438"/>
  <c r="E247" i="58438"/>
  <c r="D247" i="58438"/>
  <c r="C247" i="58438"/>
  <c r="C237" i="58438" s="1"/>
  <c r="B247" i="58438"/>
  <c r="N242" i="58438"/>
  <c r="S242" i="58438" s="1"/>
  <c r="K239" i="58438"/>
  <c r="I239" i="58438"/>
  <c r="G239" i="58438"/>
  <c r="E239" i="58438"/>
  <c r="D239" i="58438"/>
  <c r="C239" i="58438"/>
  <c r="K238" i="58438"/>
  <c r="J238" i="58438"/>
  <c r="I238" i="58438"/>
  <c r="G238" i="58438"/>
  <c r="F238" i="58438"/>
  <c r="E238" i="58438"/>
  <c r="C238" i="58438"/>
  <c r="B238" i="58438"/>
  <c r="AN237" i="58438"/>
  <c r="AM237" i="58438"/>
  <c r="AK237" i="58438"/>
  <c r="AJ237" i="58438"/>
  <c r="AJ242" i="58438" s="1"/>
  <c r="AJ35" i="58438" s="1"/>
  <c r="AI237" i="58438"/>
  <c r="AH237" i="58438"/>
  <c r="AH242" i="58438" s="1"/>
  <c r="AA237" i="58438"/>
  <c r="Z237" i="58438"/>
  <c r="Y237" i="58438"/>
  <c r="X237" i="58438"/>
  <c r="V237" i="58438"/>
  <c r="U237" i="58438"/>
  <c r="T237" i="58438"/>
  <c r="S237" i="58438"/>
  <c r="Q237" i="58438"/>
  <c r="P237" i="58438"/>
  <c r="P242" i="58438" s="1"/>
  <c r="O237" i="58438"/>
  <c r="O242" i="58438" s="1"/>
  <c r="N237" i="58438"/>
  <c r="L237" i="58438"/>
  <c r="L242" i="58438" s="1"/>
  <c r="J237" i="58438"/>
  <c r="J317" i="58438" s="1"/>
  <c r="I237" i="58438"/>
  <c r="I317" i="58438" s="1"/>
  <c r="F237" i="58438"/>
  <c r="E237" i="58438"/>
  <c r="D237" i="58438"/>
  <c r="B237" i="58438"/>
  <c r="AE230" i="58438"/>
  <c r="AD230" i="58438"/>
  <c r="AC230" i="58438"/>
  <c r="AB230" i="58438"/>
  <c r="AA230" i="58438"/>
  <c r="Z230" i="58438"/>
  <c r="Y230" i="58438"/>
  <c r="X230" i="58438"/>
  <c r="W230" i="58438"/>
  <c r="V230" i="58438"/>
  <c r="U230" i="58438"/>
  <c r="T230" i="58438"/>
  <c r="S230" i="58438"/>
  <c r="R230" i="58438"/>
  <c r="Q230" i="58438"/>
  <c r="P230" i="58438"/>
  <c r="O230" i="58438"/>
  <c r="N230" i="58438"/>
  <c r="L230" i="58438"/>
  <c r="K230" i="58438"/>
  <c r="J230" i="58438"/>
  <c r="I230" i="58438"/>
  <c r="H230" i="58438"/>
  <c r="G230" i="58438"/>
  <c r="G220" i="58438" s="1"/>
  <c r="F230" i="58438"/>
  <c r="E230" i="58438"/>
  <c r="D230" i="58438"/>
  <c r="C230" i="58438"/>
  <c r="B230" i="58438"/>
  <c r="AE229" i="58438"/>
  <c r="AD229" i="58438"/>
  <c r="AC229" i="58438"/>
  <c r="AB229" i="58438"/>
  <c r="AA229" i="58438"/>
  <c r="Z229" i="58438"/>
  <c r="Y229" i="58438"/>
  <c r="X229" i="58438"/>
  <c r="W229" i="58438"/>
  <c r="V229" i="58438"/>
  <c r="U229" i="58438"/>
  <c r="T229" i="58438"/>
  <c r="S229" i="58438"/>
  <c r="R229" i="58438"/>
  <c r="Q229" i="58438"/>
  <c r="P229" i="58438"/>
  <c r="O229" i="58438"/>
  <c r="N229" i="58438"/>
  <c r="L229" i="58438"/>
  <c r="K229" i="58438"/>
  <c r="J229" i="58438"/>
  <c r="I229" i="58438"/>
  <c r="H229" i="58438"/>
  <c r="G229" i="58438"/>
  <c r="F229" i="58438"/>
  <c r="E229" i="58438"/>
  <c r="E219" i="58438" s="1"/>
  <c r="D229" i="58438"/>
  <c r="C229" i="58438"/>
  <c r="B229" i="58438"/>
  <c r="AJ228" i="58438"/>
  <c r="AI228" i="58438"/>
  <c r="AH228" i="58438"/>
  <c r="AE228" i="58438"/>
  <c r="AD228" i="58438"/>
  <c r="AC228" i="58438"/>
  <c r="AB228" i="58438"/>
  <c r="AA228" i="58438"/>
  <c r="Z228" i="58438"/>
  <c r="Y228" i="58438"/>
  <c r="X228" i="58438"/>
  <c r="W228" i="58438"/>
  <c r="V228" i="58438"/>
  <c r="U228" i="58438"/>
  <c r="T228" i="58438"/>
  <c r="S228" i="58438"/>
  <c r="R228" i="58438"/>
  <c r="Q228" i="58438"/>
  <c r="P228" i="58438"/>
  <c r="O228" i="58438"/>
  <c r="N228" i="58438"/>
  <c r="L228" i="58438"/>
  <c r="K228" i="58438"/>
  <c r="J228" i="58438"/>
  <c r="I228" i="58438"/>
  <c r="H228" i="58438"/>
  <c r="G228" i="58438"/>
  <c r="F228" i="58438"/>
  <c r="E228" i="58438"/>
  <c r="D228" i="58438"/>
  <c r="C228" i="58438"/>
  <c r="B228" i="58438"/>
  <c r="AN218" i="58438"/>
  <c r="AM218" i="58438"/>
  <c r="AK218" i="58438"/>
  <c r="AJ218" i="58438"/>
  <c r="AJ223" i="58438" s="1"/>
  <c r="AI218" i="58438"/>
  <c r="AI223" i="58438" s="1"/>
  <c r="AI34" i="58438" s="1"/>
  <c r="AH218" i="58438"/>
  <c r="AH223" i="58438" s="1"/>
  <c r="F220" i="58438"/>
  <c r="E220" i="58438"/>
  <c r="D220" i="58438"/>
  <c r="G219" i="58438"/>
  <c r="F219" i="58438"/>
  <c r="D219" i="58438"/>
  <c r="G218" i="58438"/>
  <c r="F218" i="58438"/>
  <c r="F304" i="58438" s="1"/>
  <c r="F478" i="58438" s="1"/>
  <c r="F479" i="58438" s="1"/>
  <c r="E218" i="58438"/>
  <c r="E304" i="58438" s="1"/>
  <c r="E478" i="58438" s="1"/>
  <c r="E479" i="58438" s="1"/>
  <c r="D218" i="58438"/>
  <c r="D304" i="58438" s="1"/>
  <c r="D478" i="58438" s="1"/>
  <c r="D479" i="58438" s="1"/>
  <c r="K210" i="58438"/>
  <c r="J210" i="58438"/>
  <c r="I210" i="58438"/>
  <c r="I200" i="58438" s="1"/>
  <c r="K209" i="58438"/>
  <c r="J209" i="58438"/>
  <c r="I209" i="58438"/>
  <c r="K208" i="58438"/>
  <c r="K198" i="58438" s="1"/>
  <c r="J208" i="58438"/>
  <c r="I208" i="58438"/>
  <c r="F205" i="58438"/>
  <c r="E205" i="58438"/>
  <c r="D205" i="58438"/>
  <c r="E204" i="58438"/>
  <c r="D204" i="58438"/>
  <c r="F203" i="58438"/>
  <c r="D203" i="58438"/>
  <c r="K200" i="58438"/>
  <c r="J200" i="58438"/>
  <c r="J199" i="58438"/>
  <c r="I199" i="58438"/>
  <c r="I198" i="58438"/>
  <c r="K194" i="58438"/>
  <c r="J194" i="58438"/>
  <c r="I194" i="58438"/>
  <c r="K193" i="58438"/>
  <c r="K183" i="58438" s="1"/>
  <c r="J193" i="58438"/>
  <c r="I193" i="58438"/>
  <c r="K192" i="58438"/>
  <c r="J192" i="58438"/>
  <c r="J182" i="58438" s="1"/>
  <c r="I192" i="58438"/>
  <c r="E189" i="58438"/>
  <c r="D189" i="58438"/>
  <c r="F188" i="58438"/>
  <c r="D188" i="58438"/>
  <c r="F187" i="58438"/>
  <c r="E187" i="58438"/>
  <c r="J184" i="58438"/>
  <c r="I184" i="58438"/>
  <c r="I183" i="58438"/>
  <c r="K182" i="58438"/>
  <c r="K178" i="58438"/>
  <c r="K168" i="58438" s="1"/>
  <c r="J178" i="58438"/>
  <c r="I178" i="58438"/>
  <c r="K177" i="58438"/>
  <c r="J177" i="58438"/>
  <c r="J167" i="58438" s="1"/>
  <c r="I177" i="58438"/>
  <c r="K176" i="58438"/>
  <c r="J176" i="58438"/>
  <c r="I176" i="58438"/>
  <c r="I166" i="58438" s="1"/>
  <c r="F173" i="58438"/>
  <c r="D173" i="58438"/>
  <c r="F172" i="58438"/>
  <c r="E172" i="58438"/>
  <c r="F171" i="58438"/>
  <c r="E171" i="58438"/>
  <c r="D171" i="58438"/>
  <c r="I168" i="58438"/>
  <c r="K167" i="58438"/>
  <c r="K166" i="58438"/>
  <c r="J166" i="58438"/>
  <c r="K160" i="58438"/>
  <c r="J160" i="58438"/>
  <c r="I160" i="58438"/>
  <c r="I150" i="58438" s="1"/>
  <c r="K159" i="58438"/>
  <c r="J159" i="58438"/>
  <c r="I159" i="58438"/>
  <c r="K158" i="58438"/>
  <c r="K148" i="58438" s="1"/>
  <c r="J158" i="58438"/>
  <c r="I158" i="58438"/>
  <c r="F155" i="58438"/>
  <c r="E155" i="58438"/>
  <c r="D155" i="58438"/>
  <c r="E154" i="58438"/>
  <c r="D154" i="58438"/>
  <c r="F153" i="58438"/>
  <c r="D153" i="58438"/>
  <c r="K150" i="58438"/>
  <c r="J150" i="58438"/>
  <c r="J149" i="58438"/>
  <c r="I149" i="58438"/>
  <c r="I148" i="58438"/>
  <c r="K144" i="58438"/>
  <c r="J144" i="58438"/>
  <c r="I144" i="58438"/>
  <c r="K143" i="58438"/>
  <c r="K133" i="58438" s="1"/>
  <c r="J143" i="58438"/>
  <c r="I143" i="58438"/>
  <c r="K142" i="58438"/>
  <c r="J142" i="58438"/>
  <c r="J132" i="58438" s="1"/>
  <c r="I142" i="58438"/>
  <c r="E139" i="58438"/>
  <c r="D139" i="58438"/>
  <c r="F138" i="58438"/>
  <c r="D138" i="58438"/>
  <c r="F137" i="58438"/>
  <c r="E137" i="58438"/>
  <c r="J134" i="58438"/>
  <c r="I134" i="58438"/>
  <c r="I133" i="58438"/>
  <c r="K132" i="58438"/>
  <c r="K128" i="58438"/>
  <c r="K118" i="58438" s="1"/>
  <c r="J128" i="58438"/>
  <c r="I128" i="58438"/>
  <c r="K127" i="58438"/>
  <c r="J127" i="58438"/>
  <c r="J117" i="58438" s="1"/>
  <c r="I127" i="58438"/>
  <c r="K126" i="58438"/>
  <c r="J126" i="58438"/>
  <c r="I126" i="58438"/>
  <c r="I116" i="58438" s="1"/>
  <c r="F123" i="58438"/>
  <c r="D123" i="58438"/>
  <c r="F122" i="58438"/>
  <c r="E122" i="58438"/>
  <c r="F121" i="58438"/>
  <c r="E121" i="58438"/>
  <c r="D121" i="58438"/>
  <c r="I118" i="58438"/>
  <c r="K117" i="58438"/>
  <c r="K116" i="58438"/>
  <c r="J116" i="58438"/>
  <c r="AB112" i="58438"/>
  <c r="AA112" i="58438"/>
  <c r="Z112" i="58438"/>
  <c r="Y112" i="58438"/>
  <c r="X112" i="58438"/>
  <c r="W112" i="58438"/>
  <c r="V112" i="58438"/>
  <c r="U112" i="58438"/>
  <c r="T112" i="58438"/>
  <c r="S112" i="58438"/>
  <c r="R112" i="58438"/>
  <c r="Q112" i="58438"/>
  <c r="P112" i="58438"/>
  <c r="O112" i="58438"/>
  <c r="N112" i="58438"/>
  <c r="M112" i="58438"/>
  <c r="L112" i="58438"/>
  <c r="K112" i="58438"/>
  <c r="J112" i="58438"/>
  <c r="I112" i="58438"/>
  <c r="H112" i="58438"/>
  <c r="G112" i="58438"/>
  <c r="F112" i="58438"/>
  <c r="E112" i="58438"/>
  <c r="D112" i="58438"/>
  <c r="C112" i="58438"/>
  <c r="B112" i="58438"/>
  <c r="AF110" i="58438"/>
  <c r="AE110" i="58438"/>
  <c r="AD110" i="58438"/>
  <c r="AC110" i="58438"/>
  <c r="AB110" i="58438"/>
  <c r="AA110" i="58438"/>
  <c r="Z110" i="58438"/>
  <c r="Y110" i="58438"/>
  <c r="X110" i="58438"/>
  <c r="X100" i="58438" s="1"/>
  <c r="W110" i="58438"/>
  <c r="V110" i="58438"/>
  <c r="U110" i="58438"/>
  <c r="T110" i="58438"/>
  <c r="T100" i="58438" s="1"/>
  <c r="S110" i="58438"/>
  <c r="R110" i="58438"/>
  <c r="Q110" i="58438"/>
  <c r="P110" i="58438"/>
  <c r="P100" i="58438" s="1"/>
  <c r="O110" i="58438"/>
  <c r="N110" i="58438"/>
  <c r="L110" i="58438"/>
  <c r="L100" i="58438" s="1"/>
  <c r="K110" i="58438"/>
  <c r="J110" i="58438"/>
  <c r="I110" i="58438"/>
  <c r="AF109" i="58438"/>
  <c r="AE109" i="58438"/>
  <c r="AD109" i="58438"/>
  <c r="AC109" i="58438"/>
  <c r="AB109" i="58438"/>
  <c r="AA109" i="58438"/>
  <c r="Z109" i="58438"/>
  <c r="Y109" i="58438"/>
  <c r="X109" i="58438"/>
  <c r="X99" i="58438" s="1"/>
  <c r="W109" i="58438"/>
  <c r="V109" i="58438"/>
  <c r="U109" i="58438"/>
  <c r="T109" i="58438"/>
  <c r="T99" i="58438" s="1"/>
  <c r="S109" i="58438"/>
  <c r="R109" i="58438"/>
  <c r="Q109" i="58438"/>
  <c r="P109" i="58438"/>
  <c r="P99" i="58438" s="1"/>
  <c r="O109" i="58438"/>
  <c r="N109" i="58438"/>
  <c r="L109" i="58438"/>
  <c r="L99" i="58438" s="1"/>
  <c r="K109" i="58438"/>
  <c r="J109" i="58438"/>
  <c r="I109" i="58438"/>
  <c r="AE108" i="58438"/>
  <c r="AD108" i="58438"/>
  <c r="AC108" i="58438"/>
  <c r="AB108" i="58438"/>
  <c r="AA108" i="58438"/>
  <c r="Z108" i="58438"/>
  <c r="Y108" i="58438"/>
  <c r="X108" i="58438"/>
  <c r="X98" i="58438" s="1"/>
  <c r="W108" i="58438"/>
  <c r="V108" i="58438"/>
  <c r="U108" i="58438"/>
  <c r="T108" i="58438"/>
  <c r="T98" i="58438" s="1"/>
  <c r="S108" i="58438"/>
  <c r="R108" i="58438"/>
  <c r="Q108" i="58438"/>
  <c r="P108" i="58438"/>
  <c r="P98" i="58438" s="1"/>
  <c r="O108" i="58438"/>
  <c r="N108" i="58438"/>
  <c r="L108" i="58438"/>
  <c r="L98" i="58438" s="1"/>
  <c r="K108" i="58438"/>
  <c r="J108" i="58438"/>
  <c r="I108" i="58438"/>
  <c r="D103" i="58438" s="1"/>
  <c r="F105" i="58438"/>
  <c r="E105" i="58438"/>
  <c r="D105" i="58438"/>
  <c r="F104" i="58438"/>
  <c r="E104" i="58438"/>
  <c r="D104" i="58438"/>
  <c r="G103" i="58438"/>
  <c r="F103" i="58438"/>
  <c r="E103" i="58438"/>
  <c r="Z100" i="58438"/>
  <c r="Y100" i="58438"/>
  <c r="W100" i="58438"/>
  <c r="V100" i="58438"/>
  <c r="U100" i="58438"/>
  <c r="S100" i="58438"/>
  <c r="R100" i="58438"/>
  <c r="Q100" i="58438"/>
  <c r="O100" i="58438"/>
  <c r="N100" i="58438"/>
  <c r="K100" i="58438"/>
  <c r="J100" i="58438"/>
  <c r="I100" i="58438"/>
  <c r="Z99" i="58438"/>
  <c r="Y99" i="58438"/>
  <c r="W99" i="58438"/>
  <c r="V99" i="58438"/>
  <c r="U99" i="58438"/>
  <c r="S99" i="58438"/>
  <c r="R99" i="58438"/>
  <c r="Q99" i="58438"/>
  <c r="O99" i="58438"/>
  <c r="N99" i="58438"/>
  <c r="K99" i="58438"/>
  <c r="J99" i="58438"/>
  <c r="I99" i="58438"/>
  <c r="Z98" i="58438"/>
  <c r="Y98" i="58438"/>
  <c r="W98" i="58438"/>
  <c r="V98" i="58438"/>
  <c r="U98" i="58438"/>
  <c r="S98" i="58438"/>
  <c r="R98" i="58438"/>
  <c r="Q98" i="58438"/>
  <c r="O98" i="58438"/>
  <c r="N98" i="58438"/>
  <c r="K98" i="58438"/>
  <c r="J98" i="58438"/>
  <c r="I98" i="58438"/>
  <c r="AB96" i="58438"/>
  <c r="AA96" i="58438"/>
  <c r="Z96" i="58438"/>
  <c r="Y96" i="58438"/>
  <c r="X96" i="58438"/>
  <c r="W96" i="58438"/>
  <c r="V96" i="58438"/>
  <c r="U96" i="58438"/>
  <c r="T96" i="58438"/>
  <c r="S96" i="58438"/>
  <c r="R96" i="58438"/>
  <c r="Q96" i="58438"/>
  <c r="P96" i="58438"/>
  <c r="O96" i="58438"/>
  <c r="N96" i="58438"/>
  <c r="M96" i="58438"/>
  <c r="L96" i="58438"/>
  <c r="K96" i="58438"/>
  <c r="J96" i="58438"/>
  <c r="I96" i="58438"/>
  <c r="H96" i="58438"/>
  <c r="G96" i="58438"/>
  <c r="F96" i="58438"/>
  <c r="E96" i="58438"/>
  <c r="D96" i="58438"/>
  <c r="C96" i="58438"/>
  <c r="B96" i="58438"/>
  <c r="AF94" i="58438"/>
  <c r="AE94" i="58438"/>
  <c r="AD94" i="58438"/>
  <c r="AC94" i="58438"/>
  <c r="AB94" i="58438"/>
  <c r="AA94" i="58438"/>
  <c r="Z94" i="58438"/>
  <c r="Y94" i="58438"/>
  <c r="X94" i="58438"/>
  <c r="X84" i="58438" s="1"/>
  <c r="W94" i="58438"/>
  <c r="V94" i="58438"/>
  <c r="U94" i="58438"/>
  <c r="T94" i="58438"/>
  <c r="T84" i="58438" s="1"/>
  <c r="S94" i="58438"/>
  <c r="R94" i="58438"/>
  <c r="Q94" i="58438"/>
  <c r="P94" i="58438"/>
  <c r="P84" i="58438" s="1"/>
  <c r="O94" i="58438"/>
  <c r="N94" i="58438"/>
  <c r="L94" i="58438"/>
  <c r="L84" i="58438" s="1"/>
  <c r="K94" i="58438"/>
  <c r="J94" i="58438"/>
  <c r="I94" i="58438"/>
  <c r="AJ93" i="58438"/>
  <c r="AF93" i="58438"/>
  <c r="AE93" i="58438"/>
  <c r="AD93" i="58438"/>
  <c r="AC93" i="58438"/>
  <c r="AB93" i="58438"/>
  <c r="AA93" i="58438"/>
  <c r="Z93" i="58438"/>
  <c r="Y93" i="58438"/>
  <c r="X93" i="58438"/>
  <c r="W93" i="58438"/>
  <c r="V93" i="58438"/>
  <c r="U93" i="58438"/>
  <c r="T93" i="58438"/>
  <c r="S93" i="58438"/>
  <c r="R93" i="58438"/>
  <c r="Q93" i="58438"/>
  <c r="P93" i="58438"/>
  <c r="O93" i="58438"/>
  <c r="N93" i="58438"/>
  <c r="L93" i="58438"/>
  <c r="K93" i="58438"/>
  <c r="J93" i="58438"/>
  <c r="I93" i="58438"/>
  <c r="AF92" i="58438"/>
  <c r="AE92" i="58438"/>
  <c r="AD92" i="58438"/>
  <c r="AC92" i="58438"/>
  <c r="AB92" i="58438"/>
  <c r="AA92" i="58438"/>
  <c r="Z92" i="58438"/>
  <c r="Y92" i="58438"/>
  <c r="X92" i="58438"/>
  <c r="X82" i="58438" s="1"/>
  <c r="AB82" i="58438" s="1"/>
  <c r="W92" i="58438"/>
  <c r="V92" i="58438"/>
  <c r="U92" i="58438"/>
  <c r="T92" i="58438"/>
  <c r="T82" i="58438" s="1"/>
  <c r="S92" i="58438"/>
  <c r="R92" i="58438"/>
  <c r="Q92" i="58438"/>
  <c r="P92" i="58438"/>
  <c r="P82" i="58438" s="1"/>
  <c r="O92" i="58438"/>
  <c r="N92" i="58438"/>
  <c r="L92" i="58438"/>
  <c r="L82" i="58438" s="1"/>
  <c r="K92" i="58438"/>
  <c r="J92" i="58438"/>
  <c r="I92" i="58438"/>
  <c r="F89" i="58438"/>
  <c r="E89" i="58438"/>
  <c r="D89" i="58438"/>
  <c r="F88" i="58438"/>
  <c r="E88" i="58438"/>
  <c r="D88" i="58438"/>
  <c r="AC89" i="58438"/>
  <c r="AH94" i="58438" s="1"/>
  <c r="AH89" i="58438" s="1"/>
  <c r="AD88" i="58438"/>
  <c r="AE87" i="58438"/>
  <c r="AJ92" i="58438" s="1"/>
  <c r="G87" i="58438"/>
  <c r="F87" i="58438"/>
  <c r="E87" i="58438"/>
  <c r="D87" i="58438"/>
  <c r="AL84" i="58438"/>
  <c r="AL83" i="58438"/>
  <c r="AE84" i="58438"/>
  <c r="AE89" i="58438" s="1"/>
  <c r="AJ94" i="58438" s="1"/>
  <c r="AD84" i="58438"/>
  <c r="AD89" i="58438" s="1"/>
  <c r="AI94" i="58438" s="1"/>
  <c r="AC84" i="58438"/>
  <c r="AE83" i="58438"/>
  <c r="AE88" i="58438" s="1"/>
  <c r="AD83" i="58438"/>
  <c r="AC83" i="58438"/>
  <c r="AG83" i="58438" s="1"/>
  <c r="AE82" i="58438"/>
  <c r="AD82" i="58438"/>
  <c r="AC82" i="58438"/>
  <c r="Z84" i="58438"/>
  <c r="Y84" i="58438"/>
  <c r="V84" i="58438"/>
  <c r="U84" i="58438"/>
  <c r="S84" i="58438"/>
  <c r="R84" i="58438"/>
  <c r="Q84" i="58438"/>
  <c r="O84" i="58438"/>
  <c r="N84" i="58438"/>
  <c r="K84" i="58438"/>
  <c r="J84" i="58438"/>
  <c r="I84" i="58438"/>
  <c r="Z83" i="58438"/>
  <c r="Y83" i="58438"/>
  <c r="X83" i="58438"/>
  <c r="V83" i="58438"/>
  <c r="U83" i="58438"/>
  <c r="T83" i="58438"/>
  <c r="S83" i="58438"/>
  <c r="W83" i="58438" s="1"/>
  <c r="R83" i="58438"/>
  <c r="Q83" i="58438"/>
  <c r="P83" i="58438"/>
  <c r="O83" i="58438"/>
  <c r="N83" i="58438"/>
  <c r="L83" i="58438"/>
  <c r="K83" i="58438"/>
  <c r="J83" i="58438"/>
  <c r="I83" i="58438"/>
  <c r="Z82" i="58438"/>
  <c r="Y82" i="58438"/>
  <c r="V82" i="58438"/>
  <c r="U82" i="58438"/>
  <c r="S82" i="58438"/>
  <c r="R82" i="58438"/>
  <c r="Q82" i="58438"/>
  <c r="O82" i="58438"/>
  <c r="N82" i="58438"/>
  <c r="K82" i="58438"/>
  <c r="J82" i="58438"/>
  <c r="I82" i="58438"/>
  <c r="AE78" i="58438"/>
  <c r="AD78" i="58438"/>
  <c r="AB78" i="58438"/>
  <c r="AA78" i="58438"/>
  <c r="Z78" i="58438"/>
  <c r="Z67" i="58438" s="1"/>
  <c r="Y78" i="58438"/>
  <c r="X78" i="58438"/>
  <c r="W78" i="58438"/>
  <c r="V78" i="58438"/>
  <c r="V67" i="58438" s="1"/>
  <c r="U78" i="58438"/>
  <c r="T78" i="58438"/>
  <c r="S78" i="58438"/>
  <c r="R78" i="58438"/>
  <c r="R67" i="58438" s="1"/>
  <c r="Q78" i="58438"/>
  <c r="P78" i="58438"/>
  <c r="O78" i="58438"/>
  <c r="N78" i="58438"/>
  <c r="N67" i="58438" s="1"/>
  <c r="L78" i="58438"/>
  <c r="K78" i="58438"/>
  <c r="J78" i="58438"/>
  <c r="I78" i="58438"/>
  <c r="AE77" i="58438"/>
  <c r="AD77" i="58438"/>
  <c r="AB77" i="58438"/>
  <c r="AA77" i="58438"/>
  <c r="Z77" i="58438"/>
  <c r="Z66" i="58438" s="1"/>
  <c r="Y77" i="58438"/>
  <c r="X77" i="58438"/>
  <c r="W77" i="58438"/>
  <c r="V77" i="58438"/>
  <c r="V66" i="58438" s="1"/>
  <c r="W66" i="58438" s="1"/>
  <c r="U77" i="58438"/>
  <c r="T77" i="58438"/>
  <c r="S77" i="58438"/>
  <c r="R77" i="58438"/>
  <c r="R66" i="58438" s="1"/>
  <c r="Q77" i="58438"/>
  <c r="P77" i="58438"/>
  <c r="O77" i="58438"/>
  <c r="N77" i="58438"/>
  <c r="N66" i="58438" s="1"/>
  <c r="L77" i="58438"/>
  <c r="K77" i="58438"/>
  <c r="J77" i="58438"/>
  <c r="I77" i="58438"/>
  <c r="AE76" i="58438"/>
  <c r="AD76" i="58438"/>
  <c r="AB76" i="58438"/>
  <c r="AA76" i="58438"/>
  <c r="Z76" i="58438"/>
  <c r="Z65" i="58438" s="1"/>
  <c r="Y76" i="58438"/>
  <c r="X76" i="58438"/>
  <c r="W76" i="58438"/>
  <c r="V76" i="58438"/>
  <c r="V65" i="58438" s="1"/>
  <c r="U76" i="58438"/>
  <c r="T76" i="58438"/>
  <c r="S76" i="58438"/>
  <c r="R76" i="58438"/>
  <c r="R65" i="58438" s="1"/>
  <c r="Q76" i="58438"/>
  <c r="P76" i="58438"/>
  <c r="O76" i="58438"/>
  <c r="N76" i="58438"/>
  <c r="N65" i="58438" s="1"/>
  <c r="L76" i="58438"/>
  <c r="K76" i="58438"/>
  <c r="J76" i="58438"/>
  <c r="I76" i="58438"/>
  <c r="G73" i="58438"/>
  <c r="F73" i="58438"/>
  <c r="D73" i="58438"/>
  <c r="G72" i="58438"/>
  <c r="G71" i="58438" s="1"/>
  <c r="F72" i="58438"/>
  <c r="D72" i="58438"/>
  <c r="F71" i="58438"/>
  <c r="D71" i="58438"/>
  <c r="Y67" i="58438"/>
  <c r="X67" i="58438"/>
  <c r="U67" i="58438"/>
  <c r="T67" i="58438"/>
  <c r="S67" i="58438"/>
  <c r="W67" i="58438" s="1"/>
  <c r="Q67" i="58438"/>
  <c r="P67" i="58438"/>
  <c r="O67" i="58438"/>
  <c r="L67" i="58438"/>
  <c r="K67" i="58438"/>
  <c r="I67" i="58438"/>
  <c r="Y66" i="58438"/>
  <c r="X66" i="58438"/>
  <c r="U66" i="58438"/>
  <c r="T66" i="58438"/>
  <c r="S66" i="58438"/>
  <c r="Q66" i="58438"/>
  <c r="P66" i="58438"/>
  <c r="O66" i="58438"/>
  <c r="L66" i="58438"/>
  <c r="K66" i="58438"/>
  <c r="I66" i="58438"/>
  <c r="Y65" i="58438"/>
  <c r="X65" i="58438"/>
  <c r="U65" i="58438"/>
  <c r="T65" i="58438"/>
  <c r="S65" i="58438"/>
  <c r="W65" i="58438" s="1"/>
  <c r="Q65" i="58438"/>
  <c r="P65" i="58438"/>
  <c r="O65" i="58438"/>
  <c r="L65" i="58438"/>
  <c r="K65" i="58438"/>
  <c r="I65" i="58438"/>
  <c r="AN59" i="58438"/>
  <c r="AM59" i="58438"/>
  <c r="AK59" i="58438"/>
  <c r="AJ59" i="58438"/>
  <c r="AI59" i="58438"/>
  <c r="AH59" i="58438"/>
  <c r="AF59" i="58438"/>
  <c r="G59" i="58438"/>
  <c r="F59" i="58438"/>
  <c r="E59" i="58438"/>
  <c r="D59" i="58438"/>
  <c r="B59" i="58438"/>
  <c r="G58" i="58438"/>
  <c r="F58" i="58438"/>
  <c r="E58" i="58438"/>
  <c r="D58" i="58438"/>
  <c r="B58" i="58438"/>
  <c r="AN57" i="58438"/>
  <c r="AM57" i="58438"/>
  <c r="AK57" i="58438"/>
  <c r="AJ57" i="58438"/>
  <c r="AI57" i="58438"/>
  <c r="AH57" i="58438"/>
  <c r="AF57" i="58438"/>
  <c r="G57" i="58438"/>
  <c r="F57" i="58438"/>
  <c r="E57" i="58438"/>
  <c r="D57" i="58438"/>
  <c r="B57" i="58438"/>
  <c r="AI38" i="58438"/>
  <c r="AF38" i="58438"/>
  <c r="AE38" i="58438"/>
  <c r="AD38" i="58438"/>
  <c r="AC38" i="58438"/>
  <c r="AB38" i="58438"/>
  <c r="AA38" i="58438"/>
  <c r="Z38" i="58438"/>
  <c r="Y38" i="58438"/>
  <c r="X38" i="58438"/>
  <c r="W38" i="58438"/>
  <c r="V38" i="58438"/>
  <c r="U38" i="58438"/>
  <c r="T38" i="58438"/>
  <c r="S38" i="58438"/>
  <c r="R38" i="58438"/>
  <c r="Q38" i="58438"/>
  <c r="P38" i="58438"/>
  <c r="O38" i="58438"/>
  <c r="N38" i="58438"/>
  <c r="L38" i="58438"/>
  <c r="K38" i="58438"/>
  <c r="J38" i="58438"/>
  <c r="I38" i="58438"/>
  <c r="G38" i="58438"/>
  <c r="F38" i="58438"/>
  <c r="E38" i="58438"/>
  <c r="D38" i="58438"/>
  <c r="C38" i="58438"/>
  <c r="B38" i="58438"/>
  <c r="AF37" i="58438"/>
  <c r="AE37" i="58438"/>
  <c r="AD37" i="58438"/>
  <c r="AC37" i="58438"/>
  <c r="AB37" i="58438"/>
  <c r="AA37" i="58438"/>
  <c r="Z37" i="58438"/>
  <c r="Y37" i="58438"/>
  <c r="X37" i="58438"/>
  <c r="W37" i="58438"/>
  <c r="V37" i="58438"/>
  <c r="U37" i="58438"/>
  <c r="T37" i="58438"/>
  <c r="S37" i="58438"/>
  <c r="R37" i="58438"/>
  <c r="Q37" i="58438"/>
  <c r="P37" i="58438"/>
  <c r="O37" i="58438"/>
  <c r="N37" i="58438"/>
  <c r="L37" i="58438"/>
  <c r="K37" i="58438"/>
  <c r="J37" i="58438"/>
  <c r="I37" i="58438"/>
  <c r="G37" i="58438"/>
  <c r="F37" i="58438"/>
  <c r="E37" i="58438"/>
  <c r="D37" i="58438"/>
  <c r="C37" i="58438"/>
  <c r="B37" i="58438"/>
  <c r="AH36" i="58438"/>
  <c r="AE36" i="58438"/>
  <c r="AD36" i="58438"/>
  <c r="AC36" i="58438"/>
  <c r="AB36" i="58438"/>
  <c r="AA36" i="58438"/>
  <c r="Z36" i="58438"/>
  <c r="Y36" i="58438"/>
  <c r="X36" i="58438"/>
  <c r="W36" i="58438"/>
  <c r="V36" i="58438"/>
  <c r="U36" i="58438"/>
  <c r="T36" i="58438"/>
  <c r="S36" i="58438"/>
  <c r="R36" i="58438"/>
  <c r="Q36" i="58438"/>
  <c r="P36" i="58438"/>
  <c r="O36" i="58438"/>
  <c r="N36" i="58438"/>
  <c r="L36" i="58438"/>
  <c r="K36" i="58438"/>
  <c r="J36" i="58438"/>
  <c r="I36" i="58438"/>
  <c r="G36" i="58438"/>
  <c r="F36" i="58438"/>
  <c r="E36" i="58438"/>
  <c r="D36" i="58438"/>
  <c r="C36" i="58438"/>
  <c r="B36" i="58438"/>
  <c r="AH35" i="58438"/>
  <c r="AE35" i="58438"/>
  <c r="AD35" i="58438"/>
  <c r="AC35" i="58438"/>
  <c r="S35" i="58438"/>
  <c r="P35" i="58438"/>
  <c r="O35" i="58438"/>
  <c r="N35" i="58438"/>
  <c r="L35" i="58438"/>
  <c r="K35" i="58438"/>
  <c r="J35" i="58438"/>
  <c r="I35" i="58438"/>
  <c r="G35" i="58438"/>
  <c r="F35" i="58438"/>
  <c r="E35" i="58438"/>
  <c r="D35" i="58438"/>
  <c r="C35" i="58438"/>
  <c r="B35" i="58438"/>
  <c r="AJ34" i="58438"/>
  <c r="AH34" i="58438"/>
  <c r="AE34" i="58438"/>
  <c r="AD34" i="58438"/>
  <c r="AC34" i="58438"/>
  <c r="AB34" i="58438"/>
  <c r="AA34" i="58438"/>
  <c r="Z34" i="58438"/>
  <c r="Y34" i="58438"/>
  <c r="X34" i="58438"/>
  <c r="W34" i="58438"/>
  <c r="V34" i="58438"/>
  <c r="U34" i="58438"/>
  <c r="T34" i="58438"/>
  <c r="S34" i="58438"/>
  <c r="R34" i="58438"/>
  <c r="Q34" i="58438"/>
  <c r="P34" i="58438"/>
  <c r="O34" i="58438"/>
  <c r="N34" i="58438"/>
  <c r="L34" i="58438"/>
  <c r="K34" i="58438"/>
  <c r="J34" i="58438"/>
  <c r="I34" i="58438"/>
  <c r="G34" i="58438"/>
  <c r="F34" i="58438"/>
  <c r="E34" i="58438"/>
  <c r="D34" i="58438"/>
  <c r="C34" i="58438"/>
  <c r="B34" i="58438"/>
  <c r="AE22" i="58438"/>
  <c r="AD22" i="58438"/>
  <c r="AC22" i="58438"/>
  <c r="AB22" i="58438"/>
  <c r="AA22" i="58438"/>
  <c r="Z22" i="58438"/>
  <c r="Y22" i="58438"/>
  <c r="X22" i="58438"/>
  <c r="W22" i="58438"/>
  <c r="V22" i="58438"/>
  <c r="U22" i="58438"/>
  <c r="T22" i="58438"/>
  <c r="S22" i="58438"/>
  <c r="R22" i="58438"/>
  <c r="Q22" i="58438"/>
  <c r="P22" i="58438"/>
  <c r="O22" i="58438"/>
  <c r="N22" i="58438"/>
  <c r="M22" i="58438"/>
  <c r="L22" i="58438"/>
  <c r="K22" i="58438"/>
  <c r="J22" i="58438"/>
  <c r="I22" i="58438"/>
  <c r="H22" i="58438"/>
  <c r="G22" i="58438"/>
  <c r="F22" i="58438"/>
  <c r="E22" i="58438"/>
  <c r="D22" i="58438"/>
  <c r="D30" i="58438" s="1"/>
  <c r="C22" i="58438"/>
  <c r="B22" i="58438"/>
  <c r="AD21" i="58438"/>
  <c r="AC21" i="58438"/>
  <c r="AB21" i="58438"/>
  <c r="AA21" i="58438"/>
  <c r="Z21" i="58438"/>
  <c r="Y21" i="58438"/>
  <c r="X21" i="58438"/>
  <c r="W21" i="58438"/>
  <c r="V21" i="58438"/>
  <c r="U21" i="58438"/>
  <c r="T21" i="58438"/>
  <c r="S21" i="58438"/>
  <c r="R21" i="58438"/>
  <c r="Q21" i="58438"/>
  <c r="P21" i="58438"/>
  <c r="O21" i="58438"/>
  <c r="N21" i="58438"/>
  <c r="M21" i="58438"/>
  <c r="L21" i="58438"/>
  <c r="K21" i="58438"/>
  <c r="J21" i="58438"/>
  <c r="I21" i="58438"/>
  <c r="H21" i="58438"/>
  <c r="G21" i="58438"/>
  <c r="F21" i="58438"/>
  <c r="E21" i="58438"/>
  <c r="D21" i="58438"/>
  <c r="D29" i="58438" s="1"/>
  <c r="C21" i="58438"/>
  <c r="C29" i="58438" s="1"/>
  <c r="B21" i="58438"/>
  <c r="AD20" i="58438"/>
  <c r="AC20" i="58438"/>
  <c r="AB20" i="58438"/>
  <c r="AA20" i="58438"/>
  <c r="Z20" i="58438"/>
  <c r="Y20" i="58438"/>
  <c r="X20" i="58438"/>
  <c r="W20" i="58438"/>
  <c r="V20" i="58438"/>
  <c r="U20" i="58438"/>
  <c r="T20" i="58438"/>
  <c r="S20" i="58438"/>
  <c r="R20" i="58438"/>
  <c r="Q20" i="58438"/>
  <c r="P20" i="58438"/>
  <c r="O20" i="58438"/>
  <c r="N20" i="58438"/>
  <c r="M20" i="58438"/>
  <c r="L20" i="58438"/>
  <c r="K20" i="58438"/>
  <c r="J20" i="58438"/>
  <c r="I20" i="58438"/>
  <c r="H20" i="58438"/>
  <c r="G20" i="58438"/>
  <c r="F20" i="58438"/>
  <c r="E20" i="58438"/>
  <c r="D20" i="58438"/>
  <c r="C20" i="58438"/>
  <c r="C28" i="58438" s="1"/>
  <c r="B20" i="58438"/>
  <c r="AE19" i="58438"/>
  <c r="AD19" i="58438"/>
  <c r="AC19" i="58438"/>
  <c r="AB19" i="58438"/>
  <c r="AA19" i="58438"/>
  <c r="Z19" i="58438"/>
  <c r="Y19" i="58438"/>
  <c r="X19" i="58438"/>
  <c r="W19" i="58438"/>
  <c r="V19" i="58438"/>
  <c r="U19" i="58438"/>
  <c r="T19" i="58438"/>
  <c r="S19" i="58438"/>
  <c r="R19" i="58438"/>
  <c r="Q19" i="58438"/>
  <c r="P19" i="58438"/>
  <c r="O19" i="58438"/>
  <c r="N19" i="58438"/>
  <c r="M19" i="58438"/>
  <c r="L19" i="58438"/>
  <c r="K19" i="58438"/>
  <c r="J19" i="58438"/>
  <c r="I19" i="58438"/>
  <c r="H19" i="58438"/>
  <c r="G19" i="58438"/>
  <c r="F19" i="58438"/>
  <c r="E19" i="58438"/>
  <c r="D19" i="58438"/>
  <c r="D23" i="58438" s="1"/>
  <c r="C19" i="58438"/>
  <c r="B19" i="58438"/>
  <c r="AB18" i="58438"/>
  <c r="AA18" i="58438"/>
  <c r="AA23" i="58438" s="1"/>
  <c r="Z18" i="58438"/>
  <c r="Y18" i="58438"/>
  <c r="Y23" i="58438" s="1"/>
  <c r="X18" i="58438"/>
  <c r="W18" i="58438"/>
  <c r="W23" i="58438" s="1"/>
  <c r="V18" i="58438"/>
  <c r="U18" i="58438"/>
  <c r="U23" i="58438" s="1"/>
  <c r="T18" i="58438"/>
  <c r="S18" i="58438"/>
  <c r="R18" i="58438"/>
  <c r="Q18" i="58438"/>
  <c r="Q23" i="58438" s="1"/>
  <c r="P18" i="58438"/>
  <c r="O18" i="58438"/>
  <c r="O23" i="58438" s="1"/>
  <c r="N18" i="58438"/>
  <c r="M18" i="58438"/>
  <c r="L18" i="58438"/>
  <c r="K18" i="58438"/>
  <c r="J18" i="58438"/>
  <c r="I18" i="58438"/>
  <c r="H18" i="58438"/>
  <c r="G18" i="58438"/>
  <c r="F18" i="58438"/>
  <c r="E18" i="58438"/>
  <c r="D18" i="58438"/>
  <c r="D26" i="58438" s="1"/>
  <c r="C18" i="58438"/>
  <c r="C23" i="58438" s="1"/>
  <c r="B18" i="58438"/>
  <c r="AE15" i="58438"/>
  <c r="AD15" i="58438"/>
  <c r="AC15" i="58438"/>
  <c r="AB15" i="58438"/>
  <c r="AA15" i="58438"/>
  <c r="Z15" i="58438"/>
  <c r="Y15" i="58438"/>
  <c r="X15" i="58438"/>
  <c r="W15" i="58438"/>
  <c r="V15" i="58438"/>
  <c r="U15" i="58438"/>
  <c r="T15" i="58438"/>
  <c r="S15" i="58438"/>
  <c r="R15" i="58438"/>
  <c r="Q15" i="58438"/>
  <c r="P15" i="58438"/>
  <c r="O15" i="58438"/>
  <c r="N15" i="58438"/>
  <c r="M15" i="58438"/>
  <c r="L15" i="58438"/>
  <c r="K15" i="58438"/>
  <c r="J15" i="58438"/>
  <c r="I15" i="58438"/>
  <c r="H15" i="58438"/>
  <c r="G15" i="58438"/>
  <c r="F15" i="58438"/>
  <c r="E15" i="58438"/>
  <c r="D15" i="58438"/>
  <c r="C15" i="58438"/>
  <c r="B15" i="58438"/>
  <c r="AN14" i="58438"/>
  <c r="AM14" i="58438"/>
  <c r="Q8" i="58471" s="1"/>
  <c r="AK14" i="58438"/>
  <c r="AJ14" i="58438"/>
  <c r="AI14" i="58438"/>
  <c r="AH14" i="58438"/>
  <c r="AF14" i="58438"/>
  <c r="AE14" i="58438"/>
  <c r="AD14" i="58438"/>
  <c r="AC14" i="58438"/>
  <c r="AB14" i="58438"/>
  <c r="AA14" i="58438"/>
  <c r="Z14" i="58438"/>
  <c r="Y14" i="58438"/>
  <c r="X14" i="58438"/>
  <c r="W14" i="58438"/>
  <c r="V14" i="58438"/>
  <c r="U14" i="58438"/>
  <c r="T14" i="58438"/>
  <c r="S14" i="58438"/>
  <c r="R14" i="58438"/>
  <c r="Q14" i="58438"/>
  <c r="P14" i="58438"/>
  <c r="O14" i="58438"/>
  <c r="N14" i="58438"/>
  <c r="L14" i="58438"/>
  <c r="K14" i="58438"/>
  <c r="J14" i="58438"/>
  <c r="I14" i="58438"/>
  <c r="G14" i="58438"/>
  <c r="F14" i="58438"/>
  <c r="E14" i="58438"/>
  <c r="D14" i="58438"/>
  <c r="C14" i="58438"/>
  <c r="B14" i="58438"/>
  <c r="AN13" i="58438"/>
  <c r="AM13" i="58438"/>
  <c r="AK13" i="58438"/>
  <c r="AJ13" i="58438"/>
  <c r="AI13" i="58438"/>
  <c r="AH13" i="58438"/>
  <c r="AF13" i="58438"/>
  <c r="AE13" i="58438"/>
  <c r="AD13" i="58438"/>
  <c r="AC13" i="58438"/>
  <c r="AB13" i="58438"/>
  <c r="AA13" i="58438"/>
  <c r="Z13" i="58438"/>
  <c r="Y13" i="58438"/>
  <c r="X13" i="58438"/>
  <c r="W13" i="58438"/>
  <c r="V13" i="58438"/>
  <c r="U13" i="58438"/>
  <c r="T13" i="58438"/>
  <c r="S13" i="58438"/>
  <c r="R13" i="58438"/>
  <c r="Q13" i="58438"/>
  <c r="P13" i="58438"/>
  <c r="O13" i="58438"/>
  <c r="N13" i="58438"/>
  <c r="L13" i="58438"/>
  <c r="K13" i="58438"/>
  <c r="J13" i="58438"/>
  <c r="I13" i="58438"/>
  <c r="G13" i="58438"/>
  <c r="F13" i="58438"/>
  <c r="E13" i="58438"/>
  <c r="D13" i="58438"/>
  <c r="C13" i="58438"/>
  <c r="B13" i="58438"/>
  <c r="AN12" i="58438"/>
  <c r="AM12" i="58438"/>
  <c r="AK12" i="58438"/>
  <c r="AJ12" i="58438"/>
  <c r="AI12" i="58438"/>
  <c r="AH12" i="58438"/>
  <c r="AF12" i="58438"/>
  <c r="AE12" i="58438"/>
  <c r="AD12" i="58438"/>
  <c r="AC12" i="58438"/>
  <c r="AB12" i="58438"/>
  <c r="AA12" i="58438"/>
  <c r="Z12" i="58438"/>
  <c r="Y12" i="58438"/>
  <c r="X12" i="58438"/>
  <c r="W12" i="58438"/>
  <c r="V12" i="58438"/>
  <c r="U12" i="58438"/>
  <c r="T12" i="58438"/>
  <c r="S12" i="58438"/>
  <c r="R12" i="58438"/>
  <c r="Q12" i="58438"/>
  <c r="P12" i="58438"/>
  <c r="O12" i="58438"/>
  <c r="N12" i="58438"/>
  <c r="L12" i="58438"/>
  <c r="K12" i="58438"/>
  <c r="J12" i="58438"/>
  <c r="I12" i="58438"/>
  <c r="G12" i="58438"/>
  <c r="F12" i="58438"/>
  <c r="E12" i="58438"/>
  <c r="D12" i="58438"/>
  <c r="C12" i="58438"/>
  <c r="B12" i="58438"/>
  <c r="AN11" i="58438"/>
  <c r="AM11" i="58438"/>
  <c r="AK11" i="58438"/>
  <c r="AI11" i="58438"/>
  <c r="AH11" i="58438"/>
  <c r="AF11" i="58438"/>
  <c r="AE11" i="58438"/>
  <c r="AD11" i="58438"/>
  <c r="AC11" i="58438"/>
  <c r="AA11" i="58438"/>
  <c r="Z11" i="58438"/>
  <c r="Y11" i="58438"/>
  <c r="X11" i="58438"/>
  <c r="V11" i="58438"/>
  <c r="U11" i="58438"/>
  <c r="T11" i="58438"/>
  <c r="S11" i="58438"/>
  <c r="Q11" i="58438"/>
  <c r="P11" i="58438"/>
  <c r="O11" i="58438"/>
  <c r="N11" i="58438"/>
  <c r="L11" i="58438"/>
  <c r="K11" i="58438"/>
  <c r="J11" i="58438"/>
  <c r="I11" i="58438"/>
  <c r="G11" i="58438"/>
  <c r="F11" i="58438"/>
  <c r="E11" i="58438"/>
  <c r="D11" i="58438"/>
  <c r="C11" i="58438"/>
  <c r="B11" i="58438"/>
  <c r="AN10" i="58438"/>
  <c r="AM10" i="58438"/>
  <c r="AK10" i="58438"/>
  <c r="AJ10" i="58438"/>
  <c r="AI10" i="58438"/>
  <c r="AH10" i="58438"/>
  <c r="AE10" i="58438"/>
  <c r="AD10" i="58438"/>
  <c r="AC10" i="58438"/>
  <c r="AB10" i="58438"/>
  <c r="AB474" i="58438" s="1"/>
  <c r="AB476" i="58438" s="1"/>
  <c r="AA10" i="58438"/>
  <c r="AA474" i="58438" s="1"/>
  <c r="AA476" i="58438" s="1"/>
  <c r="Z10" i="58438"/>
  <c r="Z474" i="58438" s="1"/>
  <c r="Z476" i="58438" s="1"/>
  <c r="Y10" i="58438"/>
  <c r="Y474" i="58438" s="1"/>
  <c r="Y476" i="58438" s="1"/>
  <c r="X10" i="58438"/>
  <c r="X474" i="58438" s="1"/>
  <c r="X476" i="58438" s="1"/>
  <c r="W10" i="58438"/>
  <c r="W474" i="58438" s="1"/>
  <c r="W476" i="58438" s="1"/>
  <c r="V10" i="58438"/>
  <c r="V474" i="58438" s="1"/>
  <c r="V476" i="58438" s="1"/>
  <c r="U10" i="58438"/>
  <c r="U474" i="58438" s="1"/>
  <c r="U476" i="58438" s="1"/>
  <c r="T10" i="58438"/>
  <c r="T474" i="58438" s="1"/>
  <c r="T476" i="58438" s="1"/>
  <c r="S10" i="58438"/>
  <c r="S474" i="58438" s="1"/>
  <c r="S476" i="58438" s="1"/>
  <c r="R10" i="58438"/>
  <c r="R474" i="58438" s="1"/>
  <c r="R476" i="58438" s="1"/>
  <c r="Q10" i="58438"/>
  <c r="Q474" i="58438" s="1"/>
  <c r="Q476" i="58438" s="1"/>
  <c r="P10" i="58438"/>
  <c r="P474" i="58438" s="1"/>
  <c r="P476" i="58438" s="1"/>
  <c r="O10" i="58438"/>
  <c r="O474" i="58438" s="1"/>
  <c r="O476" i="58438" s="1"/>
  <c r="N10" i="58438"/>
  <c r="N474" i="58438" s="1"/>
  <c r="N476" i="58438" s="1"/>
  <c r="M10" i="58438"/>
  <c r="M474" i="58438" s="1"/>
  <c r="M476" i="58438" s="1"/>
  <c r="L10" i="58438"/>
  <c r="L474" i="58438" s="1"/>
  <c r="L476" i="58438" s="1"/>
  <c r="K10" i="58438"/>
  <c r="K474" i="58438" s="1"/>
  <c r="K476" i="58438" s="1"/>
  <c r="J10" i="58438"/>
  <c r="J474" i="58438" s="1"/>
  <c r="J476" i="58438" s="1"/>
  <c r="I10" i="58438"/>
  <c r="I474" i="58438" s="1"/>
  <c r="I476" i="58438" s="1"/>
  <c r="H10" i="58438"/>
  <c r="H474" i="58438" s="1"/>
  <c r="H476" i="58438" s="1"/>
  <c r="G10" i="58438"/>
  <c r="G474" i="58438" s="1"/>
  <c r="G476" i="58438" s="1"/>
  <c r="F10" i="58438"/>
  <c r="F474" i="58438" s="1"/>
  <c r="F476" i="58438" s="1"/>
  <c r="E10" i="58438"/>
  <c r="E474" i="58438" s="1"/>
  <c r="E476" i="58438" s="1"/>
  <c r="D10" i="58438"/>
  <c r="D474" i="58438" s="1"/>
  <c r="D476" i="58438" s="1"/>
  <c r="C10" i="58438"/>
  <c r="C474" i="58438" s="1"/>
  <c r="C476" i="58438" s="1"/>
  <c r="B10" i="58438"/>
  <c r="B474" i="58438" s="1"/>
  <c r="B476" i="58438" s="1"/>
  <c r="AH7" i="58438"/>
  <c r="B5" i="58438"/>
  <c r="B404" i="58438" s="1"/>
  <c r="A5" i="58438"/>
  <c r="AN4" i="58438"/>
  <c r="AN7" i="58438" s="1"/>
  <c r="AM4" i="58438"/>
  <c r="AL4" i="58438"/>
  <c r="AL213" i="58438" s="1"/>
  <c r="AK4" i="58438"/>
  <c r="AK7" i="58438" s="1"/>
  <c r="AJ4" i="58438"/>
  <c r="AJ7" i="58438" s="1"/>
  <c r="AI4" i="58438"/>
  <c r="AI7" i="58438" s="1"/>
  <c r="AH4" i="58438"/>
  <c r="AG4" i="58438"/>
  <c r="AG7" i="58438" s="1"/>
  <c r="AF4" i="58438"/>
  <c r="AF7" i="58438" s="1"/>
  <c r="AE4" i="58438"/>
  <c r="AE7" i="58438" s="1"/>
  <c r="AD4" i="58438"/>
  <c r="AD163" i="58438" s="1"/>
  <c r="AC4" i="58438"/>
  <c r="AC7" i="58438" s="1"/>
  <c r="AB4" i="58438"/>
  <c r="AB7" i="58438" s="1"/>
  <c r="AA4" i="58438"/>
  <c r="AA313" i="58438" s="1"/>
  <c r="Z4" i="58438"/>
  <c r="Z7" i="58438" s="1"/>
  <c r="Y4" i="58438"/>
  <c r="Y62" i="58438" s="1"/>
  <c r="X4" i="58438"/>
  <c r="X7" i="58438" s="1"/>
  <c r="W4" i="58438"/>
  <c r="W353" i="58438" s="1"/>
  <c r="V4" i="58438"/>
  <c r="V113" i="58438" s="1"/>
  <c r="U4" i="58438"/>
  <c r="U7" i="58438" s="1"/>
  <c r="T4" i="58438"/>
  <c r="T7" i="58438" s="1"/>
  <c r="S4" i="58438"/>
  <c r="R4" i="58438"/>
  <c r="R7" i="58438" s="1"/>
  <c r="Q4" i="58438"/>
  <c r="Q7" i="58438" s="1"/>
  <c r="P4" i="58438"/>
  <c r="P7" i="58438" s="1"/>
  <c r="O4" i="58438"/>
  <c r="O7" i="58438" s="1"/>
  <c r="N4" i="58438"/>
  <c r="N7" i="58438" s="1"/>
  <c r="M4" i="58438"/>
  <c r="M7" i="58438" s="1"/>
  <c r="L4" i="58438"/>
  <c r="L7" i="58438" s="1"/>
  <c r="K4" i="58438"/>
  <c r="J4" i="58438"/>
  <c r="BW196" i="58479" s="1"/>
  <c r="I4" i="58438"/>
  <c r="H4" i="58438"/>
  <c r="BU196" i="58479" s="1"/>
  <c r="G4" i="58438"/>
  <c r="BT196" i="58479" s="1"/>
  <c r="F4" i="58438"/>
  <c r="BS196" i="58479" s="1"/>
  <c r="E4" i="58438"/>
  <c r="D4" i="58438"/>
  <c r="BQ196" i="58479" s="1"/>
  <c r="C4" i="58438"/>
  <c r="B4" i="58438"/>
  <c r="B7" i="58438" s="1"/>
  <c r="AN3" i="58438"/>
  <c r="AM3" i="58438"/>
  <c r="AL3" i="58438"/>
  <c r="AK3" i="58438"/>
  <c r="AJ3" i="58438"/>
  <c r="AI3" i="58438"/>
  <c r="AH3" i="58438"/>
  <c r="AG3" i="58438"/>
  <c r="AF3" i="58438"/>
  <c r="AE3" i="58438"/>
  <c r="AD3" i="58438"/>
  <c r="AC3" i="58438"/>
  <c r="AB3" i="58438"/>
  <c r="AA3" i="58438"/>
  <c r="Z3" i="58438"/>
  <c r="Y3" i="58438"/>
  <c r="X3" i="58438"/>
  <c r="W3" i="58438"/>
  <c r="V3" i="58438"/>
  <c r="U3" i="58438"/>
  <c r="T3" i="58438"/>
  <c r="S3" i="58438"/>
  <c r="Q3" i="58438"/>
  <c r="P3" i="58438"/>
  <c r="O3" i="58438"/>
  <c r="N3" i="58438"/>
  <c r="L3" i="58438"/>
  <c r="K3" i="58438"/>
  <c r="J3" i="58438"/>
  <c r="I3" i="58438"/>
  <c r="G3" i="58438"/>
  <c r="F3" i="58438"/>
  <c r="E3" i="58438"/>
  <c r="D3" i="58438"/>
  <c r="C3" i="58438"/>
  <c r="B3" i="58438"/>
  <c r="AD948" i="58411"/>
  <c r="AC948" i="58411"/>
  <c r="Y948" i="58411"/>
  <c r="X948" i="58411"/>
  <c r="AD946" i="58411"/>
  <c r="AC946" i="58411"/>
  <c r="V946" i="58411"/>
  <c r="AA946" i="58411"/>
  <c r="Z946" i="58411"/>
  <c r="Y946" i="58411"/>
  <c r="X946" i="58411"/>
  <c r="AE907" i="58411"/>
  <c r="L907" i="58411"/>
  <c r="G907" i="58411"/>
  <c r="D907" i="58411"/>
  <c r="D909" i="58411" s="1"/>
  <c r="T906" i="58411"/>
  <c r="K905" i="58411"/>
  <c r="C904" i="58411"/>
  <c r="C905" i="58411" s="1"/>
  <c r="AE904" i="58411"/>
  <c r="AA904" i="58411"/>
  <c r="Z904" i="58411"/>
  <c r="Z906" i="58411" s="1"/>
  <c r="Y904" i="58411"/>
  <c r="Y905" i="58411" s="1"/>
  <c r="X904" i="58411"/>
  <c r="X905" i="58411" s="1"/>
  <c r="V904" i="58411"/>
  <c r="AA905" i="58411" s="1"/>
  <c r="U904" i="58411"/>
  <c r="T904" i="58411"/>
  <c r="T905" i="58411" s="1"/>
  <c r="S904" i="58411"/>
  <c r="Q904" i="58411"/>
  <c r="P904" i="58411"/>
  <c r="P906" i="58411" s="1"/>
  <c r="O904" i="58411"/>
  <c r="N904" i="58411"/>
  <c r="O906" i="58411" s="1"/>
  <c r="L904" i="58411"/>
  <c r="L905" i="58411" s="1"/>
  <c r="K904" i="58411"/>
  <c r="J904" i="58411"/>
  <c r="O905" i="58411" s="1"/>
  <c r="I904" i="58411"/>
  <c r="I905" i="58411" s="1"/>
  <c r="G904" i="58411"/>
  <c r="F904" i="58411"/>
  <c r="E904" i="58411"/>
  <c r="E906" i="58411" s="1"/>
  <c r="D904" i="58411"/>
  <c r="B904" i="58411"/>
  <c r="AA903" i="58411"/>
  <c r="V903" i="58411"/>
  <c r="P903" i="58411"/>
  <c r="L903" i="58411"/>
  <c r="K903" i="58411"/>
  <c r="G903" i="58411"/>
  <c r="F903" i="58411"/>
  <c r="V902" i="58411"/>
  <c r="Q902" i="58411"/>
  <c r="N902" i="58411"/>
  <c r="I902" i="58411"/>
  <c r="C901" i="58411"/>
  <c r="C902" i="58411" s="1"/>
  <c r="AE901" i="58411"/>
  <c r="AE902" i="58411" s="1"/>
  <c r="AA901" i="58411"/>
  <c r="AA902" i="58411" s="1"/>
  <c r="Z901" i="58411"/>
  <c r="Y901" i="58411"/>
  <c r="X901" i="58411"/>
  <c r="V901" i="58411"/>
  <c r="U901" i="58411"/>
  <c r="Z902" i="58411" s="1"/>
  <c r="T901" i="58411"/>
  <c r="T907" i="58411" s="1"/>
  <c r="S901" i="58411"/>
  <c r="Q901" i="58411"/>
  <c r="Q903" i="58411" s="1"/>
  <c r="P901" i="58411"/>
  <c r="P902" i="58411" s="1"/>
  <c r="O901" i="58411"/>
  <c r="O902" i="58411" s="1"/>
  <c r="N901" i="58411"/>
  <c r="L901" i="58411"/>
  <c r="L902" i="58411" s="1"/>
  <c r="K901" i="58411"/>
  <c r="K902" i="58411" s="1"/>
  <c r="J901" i="58411"/>
  <c r="J903" i="58411" s="1"/>
  <c r="I901" i="58411"/>
  <c r="G901" i="58411"/>
  <c r="F901" i="58411"/>
  <c r="E901" i="58411"/>
  <c r="D901" i="58411"/>
  <c r="B901" i="58411"/>
  <c r="E900" i="58411"/>
  <c r="D900" i="58411"/>
  <c r="L899" i="58411"/>
  <c r="C899" i="58411"/>
  <c r="C898" i="58411"/>
  <c r="C907" i="58411" s="1"/>
  <c r="C908" i="58411" s="1"/>
  <c r="AE898" i="58411"/>
  <c r="AA898" i="58411"/>
  <c r="Z898" i="58411"/>
  <c r="Y898" i="58411"/>
  <c r="X898" i="58411"/>
  <c r="V898" i="58411"/>
  <c r="U898" i="58411"/>
  <c r="T898" i="58411"/>
  <c r="S898" i="58411"/>
  <c r="X899" i="58411" s="1"/>
  <c r="Q898" i="58411"/>
  <c r="P898" i="58411"/>
  <c r="O898" i="58411"/>
  <c r="O907" i="58411" s="1"/>
  <c r="N898" i="58411"/>
  <c r="L898" i="58411"/>
  <c r="K898" i="58411"/>
  <c r="K907" i="58411" s="1"/>
  <c r="J898" i="58411"/>
  <c r="J900" i="58411" s="1"/>
  <c r="I898" i="58411"/>
  <c r="I907" i="58411" s="1"/>
  <c r="I908" i="58411" s="1"/>
  <c r="G898" i="58411"/>
  <c r="F898" i="58411"/>
  <c r="E898" i="58411"/>
  <c r="E907" i="58411" s="1"/>
  <c r="E909" i="58411" s="1"/>
  <c r="D898" i="58411"/>
  <c r="B898" i="58411"/>
  <c r="B907" i="58411" s="1"/>
  <c r="AE891" i="58411"/>
  <c r="T893" i="58411"/>
  <c r="P893" i="58411"/>
  <c r="C891" i="58411"/>
  <c r="AD891" i="58411"/>
  <c r="AD892" i="58411" s="1"/>
  <c r="AC891" i="58411"/>
  <c r="AA891" i="58411"/>
  <c r="Z891" i="58411"/>
  <c r="AE892" i="58411" s="1"/>
  <c r="Y891" i="58411"/>
  <c r="X891" i="58411"/>
  <c r="V891" i="58411"/>
  <c r="AA892" i="58411" s="1"/>
  <c r="U891" i="58411"/>
  <c r="U892" i="58411" s="1"/>
  <c r="T891" i="58411"/>
  <c r="T892" i="58411" s="1"/>
  <c r="S891" i="58411"/>
  <c r="Q891" i="58411"/>
  <c r="P891" i="58411"/>
  <c r="P892" i="58411" s="1"/>
  <c r="O891" i="58411"/>
  <c r="N891" i="58411"/>
  <c r="O893" i="58411" s="1"/>
  <c r="L891" i="58411"/>
  <c r="K891" i="58411"/>
  <c r="J891" i="58411"/>
  <c r="K893" i="58411" s="1"/>
  <c r="I891" i="58411"/>
  <c r="G891" i="58411"/>
  <c r="F891" i="58411"/>
  <c r="F893" i="58411" s="1"/>
  <c r="E891" i="58411"/>
  <c r="E893" i="58411" s="1"/>
  <c r="D891" i="58411"/>
  <c r="D893" i="58411" s="1"/>
  <c r="B891" i="58411"/>
  <c r="C892" i="58411" s="1"/>
  <c r="AE876" i="58411"/>
  <c r="AE875" i="58411"/>
  <c r="AE872" i="58411"/>
  <c r="AE873" i="58411" s="1"/>
  <c r="AE869" i="58411"/>
  <c r="AA877" i="58411"/>
  <c r="V877" i="58411"/>
  <c r="C875" i="58411"/>
  <c r="D877" i="58411" s="1"/>
  <c r="Y876" i="58411"/>
  <c r="X876" i="58411"/>
  <c r="T876" i="58411"/>
  <c r="I876" i="58411"/>
  <c r="AA875" i="58411"/>
  <c r="AA876" i="58411" s="1"/>
  <c r="Z875" i="58411"/>
  <c r="Z877" i="58411" s="1"/>
  <c r="Y875" i="58411"/>
  <c r="Y877" i="58411" s="1"/>
  <c r="X875" i="58411"/>
  <c r="V875" i="58411"/>
  <c r="V876" i="58411" s="1"/>
  <c r="U875" i="58411"/>
  <c r="Z876" i="58411" s="1"/>
  <c r="T875" i="58411"/>
  <c r="S875" i="58411"/>
  <c r="S876" i="58411" s="1"/>
  <c r="Q875" i="58411"/>
  <c r="P875" i="58411"/>
  <c r="P877" i="58411" s="1"/>
  <c r="O875" i="58411"/>
  <c r="N875" i="58411"/>
  <c r="N876" i="58411" s="1"/>
  <c r="L875" i="58411"/>
  <c r="L877" i="58411" s="1"/>
  <c r="K875" i="58411"/>
  <c r="J875" i="58411"/>
  <c r="J877" i="58411" s="1"/>
  <c r="I875" i="58411"/>
  <c r="B875" i="58411"/>
  <c r="T874" i="58411"/>
  <c r="G875" i="58411"/>
  <c r="F875" i="58411"/>
  <c r="E875" i="58411"/>
  <c r="E877" i="58411" s="1"/>
  <c r="D875" i="58411"/>
  <c r="E874" i="58411"/>
  <c r="C872" i="58411"/>
  <c r="C873" i="58411" s="1"/>
  <c r="AA872" i="58411"/>
  <c r="Z872" i="58411"/>
  <c r="Z874" i="58411" s="1"/>
  <c r="Y872" i="58411"/>
  <c r="Y874" i="58411" s="1"/>
  <c r="X872" i="58411"/>
  <c r="V872" i="58411"/>
  <c r="V874" i="58411" s="1"/>
  <c r="U872" i="58411"/>
  <c r="U874" i="58411" s="1"/>
  <c r="T872" i="58411"/>
  <c r="S872" i="58411"/>
  <c r="X873" i="58411" s="1"/>
  <c r="Q872" i="58411"/>
  <c r="Q874" i="58411" s="1"/>
  <c r="P872" i="58411"/>
  <c r="O872" i="58411"/>
  <c r="T873" i="58411" s="1"/>
  <c r="N872" i="58411"/>
  <c r="L872" i="58411"/>
  <c r="K872" i="58411"/>
  <c r="P873" i="58411" s="1"/>
  <c r="J872" i="58411"/>
  <c r="K874" i="58411" s="1"/>
  <c r="I872" i="58411"/>
  <c r="B872" i="58411"/>
  <c r="U871" i="58411"/>
  <c r="Q871" i="58411"/>
  <c r="G872" i="58411"/>
  <c r="G874" i="58411" s="1"/>
  <c r="F872" i="58411"/>
  <c r="F874" i="58411" s="1"/>
  <c r="E872" i="58411"/>
  <c r="D872" i="58411"/>
  <c r="D874" i="58411" s="1"/>
  <c r="C869" i="58411"/>
  <c r="AA869" i="58411"/>
  <c r="Z869" i="58411"/>
  <c r="Y869" i="58411"/>
  <c r="Y878" i="58411" s="1"/>
  <c r="X869" i="58411"/>
  <c r="X878" i="58411" s="1"/>
  <c r="V869" i="58411"/>
  <c r="U869" i="58411"/>
  <c r="T869" i="58411"/>
  <c r="T878" i="58411" s="1"/>
  <c r="S869" i="58411"/>
  <c r="Q869" i="58411"/>
  <c r="Q878" i="58411" s="1"/>
  <c r="P869" i="58411"/>
  <c r="P878" i="58411" s="1"/>
  <c r="O869" i="58411"/>
  <c r="N869" i="58411"/>
  <c r="L869" i="58411"/>
  <c r="L878" i="58411" s="1"/>
  <c r="K869" i="58411"/>
  <c r="J869" i="58411"/>
  <c r="I869" i="58411"/>
  <c r="I878" i="58411" s="1"/>
  <c r="G869" i="58411"/>
  <c r="F869" i="58411"/>
  <c r="E869" i="58411"/>
  <c r="D869" i="58411"/>
  <c r="D871" i="58411" s="1"/>
  <c r="B869" i="58411"/>
  <c r="B878" i="58411" s="1"/>
  <c r="D857" i="58411"/>
  <c r="B854" i="58411"/>
  <c r="AA852" i="58411"/>
  <c r="Z852" i="58411"/>
  <c r="Y852" i="58411"/>
  <c r="C851" i="58411"/>
  <c r="C852" i="58411" s="1"/>
  <c r="AA851" i="58411"/>
  <c r="Z851" i="58411"/>
  <c r="Y851" i="58411"/>
  <c r="Z853" i="58411" s="1"/>
  <c r="X851" i="58411"/>
  <c r="V851" i="58411"/>
  <c r="U851" i="58411"/>
  <c r="U853" i="58411" s="1"/>
  <c r="T851" i="58411"/>
  <c r="T857" i="58411" s="1"/>
  <c r="N851" i="58411"/>
  <c r="L851" i="58411"/>
  <c r="K851" i="58411"/>
  <c r="J851" i="58411"/>
  <c r="J852" i="58411" s="1"/>
  <c r="I851" i="58411"/>
  <c r="G851" i="58411"/>
  <c r="F851" i="58411"/>
  <c r="K852" i="58411" s="1"/>
  <c r="E851" i="58411"/>
  <c r="E853" i="58411" s="1"/>
  <c r="D851" i="58411"/>
  <c r="D853" i="58411" s="1"/>
  <c r="B851" i="58411"/>
  <c r="L850" i="58411"/>
  <c r="C848" i="58411"/>
  <c r="C849" i="58411" s="1"/>
  <c r="AA848" i="58411"/>
  <c r="Z848" i="58411"/>
  <c r="AA850" i="58411" s="1"/>
  <c r="Y848" i="58411"/>
  <c r="Z850" i="58411" s="1"/>
  <c r="X848" i="58411"/>
  <c r="V848" i="58411"/>
  <c r="V850" i="58411" s="1"/>
  <c r="U848" i="58411"/>
  <c r="U850" i="58411" s="1"/>
  <c r="T848" i="58411"/>
  <c r="Q848" i="58411"/>
  <c r="V849" i="58411" s="1"/>
  <c r="P848" i="58411"/>
  <c r="N848" i="58411"/>
  <c r="L848" i="58411"/>
  <c r="K848" i="58411"/>
  <c r="P849" i="58411" s="1"/>
  <c r="J848" i="58411"/>
  <c r="J850" i="58411" s="1"/>
  <c r="I848" i="58411"/>
  <c r="I849" i="58411" s="1"/>
  <c r="G848" i="58411"/>
  <c r="L849" i="58411" s="1"/>
  <c r="F848" i="58411"/>
  <c r="G850" i="58411" s="1"/>
  <c r="E848" i="58411"/>
  <c r="J849" i="58411" s="1"/>
  <c r="D848" i="58411"/>
  <c r="B848" i="58411"/>
  <c r="U847" i="58411"/>
  <c r="Q847" i="58411"/>
  <c r="C845" i="58411"/>
  <c r="C846" i="58411" s="1"/>
  <c r="Y846" i="58411"/>
  <c r="U846" i="58411"/>
  <c r="Q846" i="58411"/>
  <c r="I846" i="58411"/>
  <c r="AE845" i="58411"/>
  <c r="AE846" i="58411" s="1"/>
  <c r="AA845" i="58411"/>
  <c r="Z845" i="58411"/>
  <c r="Y845" i="58411"/>
  <c r="V845" i="58411"/>
  <c r="U845" i="58411"/>
  <c r="T845" i="58411"/>
  <c r="T847" i="58411" s="1"/>
  <c r="S845" i="58411"/>
  <c r="Q845" i="58411"/>
  <c r="P845" i="58411"/>
  <c r="P846" i="58411" s="1"/>
  <c r="N845" i="58411"/>
  <c r="L845" i="58411"/>
  <c r="L857" i="58411" s="1"/>
  <c r="K845" i="58411"/>
  <c r="J845" i="58411"/>
  <c r="I845" i="58411"/>
  <c r="G845" i="58411"/>
  <c r="G857" i="58411" s="1"/>
  <c r="F845" i="58411"/>
  <c r="E845" i="58411"/>
  <c r="D845" i="58411"/>
  <c r="D847" i="58411" s="1"/>
  <c r="B845" i="58411"/>
  <c r="B857" i="58411" s="1"/>
  <c r="C836" i="58411"/>
  <c r="B836" i="58411"/>
  <c r="AE836" i="58411"/>
  <c r="AD836" i="58411"/>
  <c r="AC836" i="58411"/>
  <c r="AA836" i="58411"/>
  <c r="Z836" i="58411"/>
  <c r="Y836" i="58411"/>
  <c r="X836" i="58411"/>
  <c r="V836" i="58411"/>
  <c r="U836" i="58411"/>
  <c r="T836" i="58411"/>
  <c r="S836" i="58411"/>
  <c r="Q836" i="58411"/>
  <c r="P836" i="58411"/>
  <c r="O836" i="58411"/>
  <c r="N836" i="58411"/>
  <c r="L836" i="58411"/>
  <c r="K836" i="58411"/>
  <c r="J836" i="58411"/>
  <c r="I836" i="58411"/>
  <c r="G836" i="58411"/>
  <c r="F836" i="58411"/>
  <c r="E836" i="58411"/>
  <c r="D836" i="58411"/>
  <c r="AB833" i="58411"/>
  <c r="AC833" i="58411" s="1"/>
  <c r="AD833" i="58411" s="1"/>
  <c r="AA833" i="58411"/>
  <c r="Z833" i="58411"/>
  <c r="W833" i="58411"/>
  <c r="S833" i="58411"/>
  <c r="Q833" i="58411"/>
  <c r="R833" i="58411" s="1"/>
  <c r="M833" i="58411"/>
  <c r="H833" i="58411"/>
  <c r="AA832" i="58411"/>
  <c r="Z832" i="58411"/>
  <c r="Y832" i="58411"/>
  <c r="X832" i="58411"/>
  <c r="V832" i="58411"/>
  <c r="U832" i="58411"/>
  <c r="T832" i="58411"/>
  <c r="S832" i="58411"/>
  <c r="Q832" i="58411"/>
  <c r="P832" i="58411"/>
  <c r="O832" i="58411"/>
  <c r="N832" i="58411"/>
  <c r="L832" i="58411"/>
  <c r="K832" i="58411"/>
  <c r="J832" i="58411"/>
  <c r="I832" i="58411"/>
  <c r="G832" i="58411"/>
  <c r="F832" i="58411"/>
  <c r="E832" i="58411"/>
  <c r="D832" i="58411"/>
  <c r="C832" i="58411"/>
  <c r="B832" i="58411"/>
  <c r="A832" i="58411"/>
  <c r="AE828" i="58411"/>
  <c r="AE827" i="58411"/>
  <c r="AE826" i="58411"/>
  <c r="AE825" i="58411"/>
  <c r="AE824" i="58411"/>
  <c r="AE823" i="58411"/>
  <c r="A829" i="58411"/>
  <c r="A828" i="58411"/>
  <c r="A827" i="58411"/>
  <c r="A826" i="58411"/>
  <c r="A825" i="58411"/>
  <c r="AA829" i="58411"/>
  <c r="Z829" i="58411"/>
  <c r="Y829" i="58411"/>
  <c r="X829" i="58411"/>
  <c r="V829" i="58411"/>
  <c r="U829" i="58411"/>
  <c r="T829" i="58411"/>
  <c r="S829" i="58411"/>
  <c r="Q829" i="58411"/>
  <c r="P829" i="58411"/>
  <c r="O829" i="58411"/>
  <c r="N829" i="58411"/>
  <c r="L829" i="58411"/>
  <c r="K829" i="58411"/>
  <c r="J829" i="58411"/>
  <c r="I829" i="58411"/>
  <c r="G829" i="58411"/>
  <c r="F829" i="58411"/>
  <c r="E829" i="58411"/>
  <c r="D829" i="58411"/>
  <c r="C829" i="58411"/>
  <c r="B829" i="58411"/>
  <c r="AA828" i="58411"/>
  <c r="Z828" i="58411"/>
  <c r="Y828" i="58411"/>
  <c r="X828" i="58411"/>
  <c r="V828" i="58411"/>
  <c r="U828" i="58411"/>
  <c r="T828" i="58411"/>
  <c r="S828" i="58411"/>
  <c r="Q828" i="58411"/>
  <c r="P828" i="58411"/>
  <c r="O828" i="58411"/>
  <c r="N828" i="58411"/>
  <c r="L828" i="58411"/>
  <c r="K828" i="58411"/>
  <c r="J828" i="58411"/>
  <c r="I828" i="58411"/>
  <c r="G828" i="58411"/>
  <c r="F828" i="58411"/>
  <c r="E828" i="58411"/>
  <c r="D828" i="58411"/>
  <c r="C828" i="58411"/>
  <c r="B828" i="58411"/>
  <c r="AA827" i="58411"/>
  <c r="Z827" i="58411"/>
  <c r="Y827" i="58411"/>
  <c r="X827" i="58411"/>
  <c r="V827" i="58411"/>
  <c r="U827" i="58411"/>
  <c r="T827" i="58411"/>
  <c r="S827" i="58411"/>
  <c r="Q827" i="58411"/>
  <c r="P827" i="58411"/>
  <c r="O827" i="58411"/>
  <c r="N827" i="58411"/>
  <c r="L827" i="58411"/>
  <c r="K827" i="58411"/>
  <c r="J827" i="58411"/>
  <c r="I827" i="58411"/>
  <c r="G827" i="58411"/>
  <c r="F827" i="58411"/>
  <c r="E827" i="58411"/>
  <c r="D827" i="58411"/>
  <c r="C827" i="58411"/>
  <c r="B827" i="58411"/>
  <c r="AA826" i="58411"/>
  <c r="Z826" i="58411"/>
  <c r="Y826" i="58411"/>
  <c r="X826" i="58411"/>
  <c r="V826" i="58411"/>
  <c r="U826" i="58411"/>
  <c r="T826" i="58411"/>
  <c r="S826" i="58411"/>
  <c r="Q826" i="58411"/>
  <c r="P826" i="58411"/>
  <c r="O826" i="58411"/>
  <c r="N826" i="58411"/>
  <c r="L826" i="58411"/>
  <c r="K826" i="58411"/>
  <c r="J826" i="58411"/>
  <c r="I826" i="58411"/>
  <c r="G826" i="58411"/>
  <c r="F826" i="58411"/>
  <c r="E826" i="58411"/>
  <c r="D826" i="58411"/>
  <c r="C826" i="58411"/>
  <c r="B826" i="58411"/>
  <c r="AA825" i="58411"/>
  <c r="Z825" i="58411"/>
  <c r="Y825" i="58411"/>
  <c r="X825" i="58411"/>
  <c r="V825" i="58411"/>
  <c r="U825" i="58411"/>
  <c r="T825" i="58411"/>
  <c r="S825" i="58411"/>
  <c r="Q825" i="58411"/>
  <c r="P825" i="58411"/>
  <c r="O825" i="58411"/>
  <c r="N825" i="58411"/>
  <c r="L825" i="58411"/>
  <c r="K825" i="58411"/>
  <c r="J825" i="58411"/>
  <c r="I825" i="58411"/>
  <c r="G825" i="58411"/>
  <c r="F825" i="58411"/>
  <c r="E825" i="58411"/>
  <c r="D825" i="58411"/>
  <c r="C825" i="58411"/>
  <c r="B825" i="58411"/>
  <c r="AA824" i="58411"/>
  <c r="Z824" i="58411"/>
  <c r="Y824" i="58411"/>
  <c r="X824" i="58411"/>
  <c r="V824" i="58411"/>
  <c r="U824" i="58411"/>
  <c r="T824" i="58411"/>
  <c r="Q824" i="58411"/>
  <c r="P824" i="58411"/>
  <c r="AG833" i="58411"/>
  <c r="AH833" i="58411" s="1"/>
  <c r="AI833" i="58411" s="1"/>
  <c r="AJ833" i="58411" s="1"/>
  <c r="AK833" i="58411" s="1"/>
  <c r="AL833" i="58411" s="1"/>
  <c r="AM833" i="58411" s="1"/>
  <c r="AN833" i="58411" s="1"/>
  <c r="AA823" i="58411"/>
  <c r="Z823" i="58411"/>
  <c r="Y823" i="58411"/>
  <c r="X823" i="58411"/>
  <c r="V823" i="58411"/>
  <c r="U823" i="58411"/>
  <c r="T823" i="58411"/>
  <c r="S823" i="58411"/>
  <c r="Q823" i="58411"/>
  <c r="P823" i="58411"/>
  <c r="O823" i="58411"/>
  <c r="N823" i="58411"/>
  <c r="L823" i="58411"/>
  <c r="K823" i="58411"/>
  <c r="J823" i="58411"/>
  <c r="I823" i="58411"/>
  <c r="G823" i="58411"/>
  <c r="F823" i="58411"/>
  <c r="E823" i="58411"/>
  <c r="D823" i="58411"/>
  <c r="C823" i="58411"/>
  <c r="B823" i="58411"/>
  <c r="A823" i="58411"/>
  <c r="AE822" i="58411"/>
  <c r="AA822" i="58411"/>
  <c r="AE821" i="58411"/>
  <c r="AA821" i="58411"/>
  <c r="AE820" i="58411"/>
  <c r="AA820" i="58411"/>
  <c r="AA834" i="58411" s="1"/>
  <c r="Z821" i="58411"/>
  <c r="Y821" i="58411"/>
  <c r="X821" i="58411"/>
  <c r="V821" i="58411"/>
  <c r="U821" i="58411"/>
  <c r="T821" i="58411"/>
  <c r="S821" i="58411"/>
  <c r="Q821" i="58411"/>
  <c r="P821" i="58411"/>
  <c r="O821" i="58411"/>
  <c r="N821" i="58411"/>
  <c r="L821" i="58411"/>
  <c r="K821" i="58411"/>
  <c r="J821" i="58411"/>
  <c r="I821" i="58411"/>
  <c r="G821" i="58411"/>
  <c r="F821" i="58411"/>
  <c r="E821" i="58411"/>
  <c r="D821" i="58411"/>
  <c r="C821" i="58411"/>
  <c r="B821" i="58411"/>
  <c r="A821" i="58411"/>
  <c r="Z820" i="58411"/>
  <c r="Z834" i="58411" s="1"/>
  <c r="Y820" i="58411"/>
  <c r="X820" i="58411"/>
  <c r="X834" i="58411" s="1"/>
  <c r="V820" i="58411"/>
  <c r="V834" i="58411" s="1"/>
  <c r="U820" i="58411"/>
  <c r="T820" i="58411"/>
  <c r="T834" i="58411" s="1"/>
  <c r="S820" i="58411"/>
  <c r="Q820" i="58411"/>
  <c r="P820" i="58411"/>
  <c r="P834" i="58411" s="1"/>
  <c r="O820" i="58411"/>
  <c r="O834" i="58411" s="1"/>
  <c r="N820" i="58411"/>
  <c r="N834" i="58411" s="1"/>
  <c r="L820" i="58411"/>
  <c r="L834" i="58411" s="1"/>
  <c r="K820" i="58411"/>
  <c r="K834" i="58411" s="1"/>
  <c r="J820" i="58411"/>
  <c r="J834" i="58411" s="1"/>
  <c r="I820" i="58411"/>
  <c r="G820" i="58411"/>
  <c r="G834" i="58411" s="1"/>
  <c r="F820" i="58411"/>
  <c r="F834" i="58411" s="1"/>
  <c r="E820" i="58411"/>
  <c r="D820" i="58411"/>
  <c r="D834" i="58411" s="1"/>
  <c r="C820" i="58411"/>
  <c r="C834" i="58411" s="1"/>
  <c r="B820" i="58411"/>
  <c r="B834" i="58411" s="1"/>
  <c r="A820" i="58411"/>
  <c r="AG816" i="58411"/>
  <c r="AB816" i="58411"/>
  <c r="W816" i="58411"/>
  <c r="R816" i="58411"/>
  <c r="R891" i="58411" s="1"/>
  <c r="M816" i="58411"/>
  <c r="M891" i="58411" s="1"/>
  <c r="H816" i="58411"/>
  <c r="AB813" i="58411"/>
  <c r="AC813" i="58411" s="1"/>
  <c r="AD813" i="58411" s="1"/>
  <c r="W813" i="58411"/>
  <c r="R813" i="58411"/>
  <c r="M813" i="58411"/>
  <c r="H813" i="58411"/>
  <c r="AE812" i="58411"/>
  <c r="AA812" i="58411"/>
  <c r="Z812" i="58411"/>
  <c r="Y812" i="58411"/>
  <c r="X812" i="58411"/>
  <c r="V812" i="58411"/>
  <c r="U812" i="58411"/>
  <c r="T812" i="58411"/>
  <c r="S812" i="58411"/>
  <c r="Q812" i="58411"/>
  <c r="P812" i="58411"/>
  <c r="O812" i="58411"/>
  <c r="N812" i="58411"/>
  <c r="L812" i="58411"/>
  <c r="K812" i="58411"/>
  <c r="J812" i="58411"/>
  <c r="I812" i="58411"/>
  <c r="G812" i="58411"/>
  <c r="F812" i="58411"/>
  <c r="E812" i="58411"/>
  <c r="D812" i="58411"/>
  <c r="C812" i="58411"/>
  <c r="B812" i="58411"/>
  <c r="A812" i="58411"/>
  <c r="A809" i="58411"/>
  <c r="A808" i="58411"/>
  <c r="A807" i="58411"/>
  <c r="A806" i="58411"/>
  <c r="A805" i="58411"/>
  <c r="A803" i="58411"/>
  <c r="AA809" i="58411"/>
  <c r="Z809" i="58411"/>
  <c r="Y809" i="58411"/>
  <c r="X809" i="58411"/>
  <c r="V809" i="58411"/>
  <c r="U809" i="58411"/>
  <c r="T809" i="58411"/>
  <c r="S809" i="58411"/>
  <c r="Q809" i="58411"/>
  <c r="P809" i="58411"/>
  <c r="O809" i="58411"/>
  <c r="N809" i="58411"/>
  <c r="L809" i="58411"/>
  <c r="K809" i="58411"/>
  <c r="J809" i="58411"/>
  <c r="I809" i="58411"/>
  <c r="G809" i="58411"/>
  <c r="F809" i="58411"/>
  <c r="E809" i="58411"/>
  <c r="D809" i="58411"/>
  <c r="C809" i="58411"/>
  <c r="B809" i="58411"/>
  <c r="AA808" i="58411"/>
  <c r="Z808" i="58411"/>
  <c r="Y808" i="58411"/>
  <c r="X808" i="58411"/>
  <c r="V808" i="58411"/>
  <c r="U808" i="58411"/>
  <c r="T808" i="58411"/>
  <c r="S808" i="58411"/>
  <c r="Q808" i="58411"/>
  <c r="P808" i="58411"/>
  <c r="O808" i="58411"/>
  <c r="N808" i="58411"/>
  <c r="L808" i="58411"/>
  <c r="K808" i="58411"/>
  <c r="J808" i="58411"/>
  <c r="I808" i="58411"/>
  <c r="G808" i="58411"/>
  <c r="F808" i="58411"/>
  <c r="E808" i="58411"/>
  <c r="D808" i="58411"/>
  <c r="C808" i="58411"/>
  <c r="B808" i="58411"/>
  <c r="AA807" i="58411"/>
  <c r="Z807" i="58411"/>
  <c r="Y807" i="58411"/>
  <c r="X807" i="58411"/>
  <c r="V807" i="58411"/>
  <c r="U807" i="58411"/>
  <c r="T807" i="58411"/>
  <c r="S807" i="58411"/>
  <c r="Q807" i="58411"/>
  <c r="P807" i="58411"/>
  <c r="O807" i="58411"/>
  <c r="N807" i="58411"/>
  <c r="L807" i="58411"/>
  <c r="K807" i="58411"/>
  <c r="J807" i="58411"/>
  <c r="I807" i="58411"/>
  <c r="G807" i="58411"/>
  <c r="F807" i="58411"/>
  <c r="E807" i="58411"/>
  <c r="D807" i="58411"/>
  <c r="C807" i="58411"/>
  <c r="B807" i="58411"/>
  <c r="AA806" i="58411"/>
  <c r="Z806" i="58411"/>
  <c r="Y806" i="58411"/>
  <c r="X806" i="58411"/>
  <c r="V806" i="58411"/>
  <c r="U806" i="58411"/>
  <c r="T806" i="58411"/>
  <c r="S806" i="58411"/>
  <c r="Q806" i="58411"/>
  <c r="P806" i="58411"/>
  <c r="O806" i="58411"/>
  <c r="N806" i="58411"/>
  <c r="L806" i="58411"/>
  <c r="K806" i="58411"/>
  <c r="J806" i="58411"/>
  <c r="I806" i="58411"/>
  <c r="G806" i="58411"/>
  <c r="F806" i="58411"/>
  <c r="E806" i="58411"/>
  <c r="D806" i="58411"/>
  <c r="C806" i="58411"/>
  <c r="B806" i="58411"/>
  <c r="AA805" i="58411"/>
  <c r="Z805" i="58411"/>
  <c r="Y805" i="58411"/>
  <c r="X805" i="58411"/>
  <c r="V805" i="58411"/>
  <c r="U805" i="58411"/>
  <c r="T805" i="58411"/>
  <c r="S805" i="58411"/>
  <c r="Q805" i="58411"/>
  <c r="P805" i="58411"/>
  <c r="O805" i="58411"/>
  <c r="N805" i="58411"/>
  <c r="L805" i="58411"/>
  <c r="K805" i="58411"/>
  <c r="J805" i="58411"/>
  <c r="I805" i="58411"/>
  <c r="G805" i="58411"/>
  <c r="F805" i="58411"/>
  <c r="E805" i="58411"/>
  <c r="D805" i="58411"/>
  <c r="C805" i="58411"/>
  <c r="B805" i="58411"/>
  <c r="AA804" i="58411"/>
  <c r="Z804" i="58411"/>
  <c r="Y804" i="58411"/>
  <c r="X804" i="58411"/>
  <c r="V804" i="58411"/>
  <c r="U804" i="58411"/>
  <c r="T804" i="58411"/>
  <c r="Q804" i="58411"/>
  <c r="AA803" i="58411"/>
  <c r="Z803" i="58411"/>
  <c r="Y803" i="58411"/>
  <c r="X803" i="58411"/>
  <c r="V803" i="58411"/>
  <c r="U803" i="58411"/>
  <c r="T803" i="58411"/>
  <c r="S803" i="58411"/>
  <c r="Q803" i="58411"/>
  <c r="P803" i="58411"/>
  <c r="O803" i="58411"/>
  <c r="N803" i="58411"/>
  <c r="L803" i="58411"/>
  <c r="K803" i="58411"/>
  <c r="J803" i="58411"/>
  <c r="I803" i="58411"/>
  <c r="G803" i="58411"/>
  <c r="F803" i="58411"/>
  <c r="E803" i="58411"/>
  <c r="D803" i="58411"/>
  <c r="C803" i="58411"/>
  <c r="B803" i="58411"/>
  <c r="AG813" i="58411"/>
  <c r="AH813" i="58411" s="1"/>
  <c r="AI813" i="58411" s="1"/>
  <c r="AJ813" i="58411" s="1"/>
  <c r="AK813" i="58411" s="1"/>
  <c r="AL813" i="58411" s="1"/>
  <c r="AM813" i="58411" s="1"/>
  <c r="AN813" i="58411" s="1"/>
  <c r="AE811" i="58411"/>
  <c r="AE810" i="58411"/>
  <c r="AE809" i="58411"/>
  <c r="AE808" i="58411"/>
  <c r="AE807" i="58411"/>
  <c r="AE806" i="58411"/>
  <c r="AE805" i="58411"/>
  <c r="AE804" i="58411"/>
  <c r="AE803" i="58411"/>
  <c r="AE801" i="58411"/>
  <c r="AE800" i="58411"/>
  <c r="AA802" i="58411"/>
  <c r="AA801" i="58411"/>
  <c r="AA800" i="58411"/>
  <c r="AA814" i="58411" s="1"/>
  <c r="AA817" i="58411" s="1"/>
  <c r="Z801" i="58411"/>
  <c r="Y801" i="58411"/>
  <c r="X801" i="58411"/>
  <c r="V801" i="58411"/>
  <c r="U801" i="58411"/>
  <c r="T801" i="58411"/>
  <c r="S801" i="58411"/>
  <c r="Q801" i="58411"/>
  <c r="P801" i="58411"/>
  <c r="O801" i="58411"/>
  <c r="N801" i="58411"/>
  <c r="L801" i="58411"/>
  <c r="K801" i="58411"/>
  <c r="J801" i="58411"/>
  <c r="I801" i="58411"/>
  <c r="G801" i="58411"/>
  <c r="F801" i="58411"/>
  <c r="E801" i="58411"/>
  <c r="D801" i="58411"/>
  <c r="C801" i="58411"/>
  <c r="B801" i="58411"/>
  <c r="A801" i="58411"/>
  <c r="Z800" i="58411"/>
  <c r="Y800" i="58411"/>
  <c r="Y814" i="58411" s="1"/>
  <c r="Y817" i="58411" s="1"/>
  <c r="X800" i="58411"/>
  <c r="X814" i="58411" s="1"/>
  <c r="X817" i="58411" s="1"/>
  <c r="V800" i="58411"/>
  <c r="U800" i="58411"/>
  <c r="U814" i="58411" s="1"/>
  <c r="U817" i="58411" s="1"/>
  <c r="T800" i="58411"/>
  <c r="T814" i="58411" s="1"/>
  <c r="T817" i="58411" s="1"/>
  <c r="S800" i="58411"/>
  <c r="Q800" i="58411"/>
  <c r="Q814" i="58411" s="1"/>
  <c r="Q817" i="58411" s="1"/>
  <c r="P800" i="58411"/>
  <c r="P814" i="58411" s="1"/>
  <c r="O800" i="58411"/>
  <c r="O814" i="58411" s="1"/>
  <c r="O817" i="58411" s="1"/>
  <c r="N800" i="58411"/>
  <c r="N814" i="58411" s="1"/>
  <c r="N817" i="58411" s="1"/>
  <c r="L800" i="58411"/>
  <c r="L814" i="58411" s="1"/>
  <c r="L817" i="58411" s="1"/>
  <c r="K800" i="58411"/>
  <c r="K814" i="58411" s="1"/>
  <c r="K817" i="58411" s="1"/>
  <c r="J800" i="58411"/>
  <c r="J814" i="58411" s="1"/>
  <c r="J817" i="58411" s="1"/>
  <c r="I800" i="58411"/>
  <c r="I814" i="58411" s="1"/>
  <c r="I817" i="58411" s="1"/>
  <c r="G800" i="58411"/>
  <c r="G814" i="58411" s="1"/>
  <c r="G817" i="58411" s="1"/>
  <c r="F800" i="58411"/>
  <c r="F814" i="58411" s="1"/>
  <c r="F817" i="58411" s="1"/>
  <c r="E800" i="58411"/>
  <c r="E814" i="58411" s="1"/>
  <c r="E817" i="58411" s="1"/>
  <c r="D800" i="58411"/>
  <c r="D814" i="58411" s="1"/>
  <c r="D817" i="58411" s="1"/>
  <c r="C800" i="58411"/>
  <c r="C814" i="58411" s="1"/>
  <c r="C817" i="58411" s="1"/>
  <c r="B800" i="58411"/>
  <c r="B814" i="58411" s="1"/>
  <c r="B817" i="58411" s="1"/>
  <c r="A800" i="58411"/>
  <c r="W793" i="58411"/>
  <c r="R793" i="58411"/>
  <c r="M793" i="58411"/>
  <c r="H793" i="58411"/>
  <c r="AA793" i="58411"/>
  <c r="AB793" i="58411" s="1"/>
  <c r="AC793" i="58411" s="1"/>
  <c r="AD793" i="58411" s="1"/>
  <c r="AE793" i="58411" s="1"/>
  <c r="AF793" i="58411" s="1"/>
  <c r="AG793" i="58411" s="1"/>
  <c r="AH793" i="58411" s="1"/>
  <c r="AI793" i="58411" s="1"/>
  <c r="AJ793" i="58411" s="1"/>
  <c r="AK793" i="58411" s="1"/>
  <c r="AL793" i="58411" s="1"/>
  <c r="AM793" i="58411" s="1"/>
  <c r="AN793" i="58411" s="1"/>
  <c r="AA792" i="58411"/>
  <c r="Z792" i="58411"/>
  <c r="Y792" i="58411"/>
  <c r="X792" i="58411"/>
  <c r="V792" i="58411"/>
  <c r="U792" i="58411"/>
  <c r="T792" i="58411"/>
  <c r="N792" i="58411"/>
  <c r="L792" i="58411"/>
  <c r="K792" i="58411"/>
  <c r="J792" i="58411"/>
  <c r="I792" i="58411"/>
  <c r="G792" i="58411"/>
  <c r="F792" i="58411"/>
  <c r="E792" i="58411"/>
  <c r="D792" i="58411"/>
  <c r="C792" i="58411"/>
  <c r="B792" i="58411"/>
  <c r="A792" i="58411"/>
  <c r="A789" i="58411"/>
  <c r="A788" i="58411"/>
  <c r="A787" i="58411"/>
  <c r="A786" i="58411"/>
  <c r="A785" i="58411"/>
  <c r="A784" i="58411"/>
  <c r="A783" i="58411"/>
  <c r="AA789" i="58411"/>
  <c r="Z789" i="58411"/>
  <c r="Y789" i="58411"/>
  <c r="X789" i="58411"/>
  <c r="V789" i="58411"/>
  <c r="U789" i="58411"/>
  <c r="T789" i="58411"/>
  <c r="N789" i="58411"/>
  <c r="L789" i="58411"/>
  <c r="K789" i="58411"/>
  <c r="J789" i="58411"/>
  <c r="I789" i="58411"/>
  <c r="G789" i="58411"/>
  <c r="F789" i="58411"/>
  <c r="E789" i="58411"/>
  <c r="D789" i="58411"/>
  <c r="C789" i="58411"/>
  <c r="B789" i="58411"/>
  <c r="AA788" i="58411"/>
  <c r="AA931" i="58411" s="1"/>
  <c r="Z788" i="58411"/>
  <c r="Z931" i="58411" s="1"/>
  <c r="Y788" i="58411"/>
  <c r="Y931" i="58411" s="1"/>
  <c r="X788" i="58411"/>
  <c r="X931" i="58411" s="1"/>
  <c r="V788" i="58411"/>
  <c r="V931" i="58411" s="1"/>
  <c r="U788" i="58411"/>
  <c r="U931" i="58411" s="1"/>
  <c r="T788" i="58411"/>
  <c r="T931" i="58411" s="1"/>
  <c r="N788" i="58411"/>
  <c r="N931" i="58411" s="1"/>
  <c r="L788" i="58411"/>
  <c r="L931" i="58411" s="1"/>
  <c r="K788" i="58411"/>
  <c r="K931" i="58411" s="1"/>
  <c r="J788" i="58411"/>
  <c r="J931" i="58411" s="1"/>
  <c r="I788" i="58411"/>
  <c r="G788" i="58411"/>
  <c r="G931" i="58411" s="1"/>
  <c r="F788" i="58411"/>
  <c r="F931" i="58411" s="1"/>
  <c r="E788" i="58411"/>
  <c r="D788" i="58411"/>
  <c r="D931" i="58411" s="1"/>
  <c r="C788" i="58411"/>
  <c r="C931" i="58411" s="1"/>
  <c r="B788" i="58411"/>
  <c r="B931" i="58411" s="1"/>
  <c r="AA787" i="58411"/>
  <c r="Z787" i="58411"/>
  <c r="Y787" i="58411"/>
  <c r="X787" i="58411"/>
  <c r="V787" i="58411"/>
  <c r="U787" i="58411"/>
  <c r="T787" i="58411"/>
  <c r="N787" i="58411"/>
  <c r="L787" i="58411"/>
  <c r="K787" i="58411"/>
  <c r="J787" i="58411"/>
  <c r="I787" i="58411"/>
  <c r="G787" i="58411"/>
  <c r="F787" i="58411"/>
  <c r="E787" i="58411"/>
  <c r="D787" i="58411"/>
  <c r="C787" i="58411"/>
  <c r="B787" i="58411"/>
  <c r="AA786" i="58411"/>
  <c r="Z786" i="58411"/>
  <c r="Y786" i="58411"/>
  <c r="X786" i="58411"/>
  <c r="V786" i="58411"/>
  <c r="U786" i="58411"/>
  <c r="T786" i="58411"/>
  <c r="N786" i="58411"/>
  <c r="L786" i="58411"/>
  <c r="K786" i="58411"/>
  <c r="J786" i="58411"/>
  <c r="I786" i="58411"/>
  <c r="G786" i="58411"/>
  <c r="F786" i="58411"/>
  <c r="E786" i="58411"/>
  <c r="D786" i="58411"/>
  <c r="C786" i="58411"/>
  <c r="B786" i="58411"/>
  <c r="AA785" i="58411"/>
  <c r="Z785" i="58411"/>
  <c r="Y785" i="58411"/>
  <c r="Y930" i="58411" s="1"/>
  <c r="X785" i="58411"/>
  <c r="X930" i="58411" s="1"/>
  <c r="V785" i="58411"/>
  <c r="U785" i="58411"/>
  <c r="U930" i="58411" s="1"/>
  <c r="T785" i="58411"/>
  <c r="T930" i="58411" s="1"/>
  <c r="N785" i="58411"/>
  <c r="L785" i="58411"/>
  <c r="L930" i="58411" s="1"/>
  <c r="K785" i="58411"/>
  <c r="J785" i="58411"/>
  <c r="I785" i="58411"/>
  <c r="I930" i="58411" s="1"/>
  <c r="G785" i="58411"/>
  <c r="F785" i="58411"/>
  <c r="E785" i="58411"/>
  <c r="E930" i="58411" s="1"/>
  <c r="D785" i="58411"/>
  <c r="D930" i="58411" s="1"/>
  <c r="C785" i="58411"/>
  <c r="B785" i="58411"/>
  <c r="AA784" i="58411"/>
  <c r="Z784" i="58411"/>
  <c r="Y784" i="58411"/>
  <c r="X784" i="58411"/>
  <c r="V784" i="58411"/>
  <c r="U784" i="58411"/>
  <c r="T784" i="58411"/>
  <c r="R784" i="58411"/>
  <c r="Q784" i="58411"/>
  <c r="AE783" i="58411"/>
  <c r="AA783" i="58411"/>
  <c r="AA929" i="58411" s="1"/>
  <c r="Z783" i="58411"/>
  <c r="Y783" i="58411"/>
  <c r="X783" i="58411"/>
  <c r="X929" i="58411" s="1"/>
  <c r="V783" i="58411"/>
  <c r="U783" i="58411"/>
  <c r="T783" i="58411"/>
  <c r="T929" i="58411" s="1"/>
  <c r="N783" i="58411"/>
  <c r="L783" i="58411"/>
  <c r="L929" i="58411" s="1"/>
  <c r="K783" i="58411"/>
  <c r="K929" i="58411" s="1"/>
  <c r="J783" i="58411"/>
  <c r="I783" i="58411"/>
  <c r="G783" i="58411"/>
  <c r="G929" i="58411" s="1"/>
  <c r="F783" i="58411"/>
  <c r="E783" i="58411"/>
  <c r="D783" i="58411"/>
  <c r="D929" i="58411" s="1"/>
  <c r="C783" i="58411"/>
  <c r="C929" i="58411" s="1"/>
  <c r="B783" i="58411"/>
  <c r="AE782" i="58411"/>
  <c r="AA782" i="58411"/>
  <c r="AE781" i="58411"/>
  <c r="AA781" i="58411"/>
  <c r="AE780" i="58411"/>
  <c r="AE928" i="58411" s="1"/>
  <c r="AA780" i="58411"/>
  <c r="AA928" i="58411" s="1"/>
  <c r="Z781" i="58411"/>
  <c r="Y781" i="58411"/>
  <c r="V781" i="58411"/>
  <c r="U781" i="58411"/>
  <c r="T781" i="58411"/>
  <c r="S781" i="58411"/>
  <c r="Q781" i="58411"/>
  <c r="P781" i="58411"/>
  <c r="N781" i="58411"/>
  <c r="L781" i="58411"/>
  <c r="K781" i="58411"/>
  <c r="J781" i="58411"/>
  <c r="I781" i="58411"/>
  <c r="G781" i="58411"/>
  <c r="F781" i="58411"/>
  <c r="E781" i="58411"/>
  <c r="D781" i="58411"/>
  <c r="C781" i="58411"/>
  <c r="B781" i="58411"/>
  <c r="A781" i="58411"/>
  <c r="Z780" i="58411"/>
  <c r="Y780" i="58411"/>
  <c r="X780" i="58411"/>
  <c r="V780" i="58411"/>
  <c r="U780" i="58411"/>
  <c r="T780" i="58411"/>
  <c r="S780" i="58411"/>
  <c r="Q780" i="58411"/>
  <c r="P780" i="58411"/>
  <c r="N780" i="58411"/>
  <c r="L780" i="58411"/>
  <c r="K780" i="58411"/>
  <c r="J780" i="58411"/>
  <c r="I780" i="58411"/>
  <c r="G780" i="58411"/>
  <c r="F780" i="58411"/>
  <c r="E780" i="58411"/>
  <c r="D780" i="58411"/>
  <c r="C780" i="58411"/>
  <c r="B780" i="58411"/>
  <c r="A780" i="58411"/>
  <c r="AD772" i="58411"/>
  <c r="AC772" i="58411"/>
  <c r="AE771" i="58411"/>
  <c r="AE769" i="58411"/>
  <c r="AA769" i="58411"/>
  <c r="Z769" i="58411"/>
  <c r="Y769" i="58411"/>
  <c r="X769" i="58411"/>
  <c r="V769" i="58411"/>
  <c r="U769" i="58411"/>
  <c r="T769" i="58411"/>
  <c r="S769" i="58411"/>
  <c r="Q769" i="58411"/>
  <c r="P769" i="58411"/>
  <c r="O769" i="58411"/>
  <c r="N769" i="58411"/>
  <c r="L769" i="58411"/>
  <c r="K769" i="58411"/>
  <c r="J769" i="58411"/>
  <c r="I769" i="58411"/>
  <c r="G769" i="58411"/>
  <c r="F769" i="58411"/>
  <c r="E769" i="58411"/>
  <c r="D769" i="58411"/>
  <c r="C769" i="58411"/>
  <c r="B769" i="58411"/>
  <c r="A769" i="58411"/>
  <c r="AE768" i="58411"/>
  <c r="AE767" i="58411"/>
  <c r="AE766" i="58411"/>
  <c r="AE765" i="58411"/>
  <c r="AE764" i="58411"/>
  <c r="AE763" i="58411"/>
  <c r="AE762" i="58411"/>
  <c r="AE761" i="58411"/>
  <c r="AE760" i="58411"/>
  <c r="AE759" i="58411"/>
  <c r="AE758" i="58411"/>
  <c r="AE757" i="58411"/>
  <c r="AE772" i="58411" s="1"/>
  <c r="A766" i="58411"/>
  <c r="A765" i="58411"/>
  <c r="A764" i="58411"/>
  <c r="A763" i="58411"/>
  <c r="A762" i="58411"/>
  <c r="A761" i="58411"/>
  <c r="A760" i="58411"/>
  <c r="AA766" i="58411"/>
  <c r="Z766" i="58411"/>
  <c r="Y766" i="58411"/>
  <c r="X766" i="58411"/>
  <c r="V766" i="58411"/>
  <c r="U766" i="58411"/>
  <c r="T766" i="58411"/>
  <c r="S766" i="58411"/>
  <c r="Q766" i="58411"/>
  <c r="P766" i="58411"/>
  <c r="O766" i="58411"/>
  <c r="N766" i="58411"/>
  <c r="L766" i="58411"/>
  <c r="K766" i="58411"/>
  <c r="J766" i="58411"/>
  <c r="I766" i="58411"/>
  <c r="G766" i="58411"/>
  <c r="F766" i="58411"/>
  <c r="E766" i="58411"/>
  <c r="D766" i="58411"/>
  <c r="C766" i="58411"/>
  <c r="B766" i="58411"/>
  <c r="AA765" i="58411"/>
  <c r="Z765" i="58411"/>
  <c r="Y765" i="58411"/>
  <c r="X765" i="58411"/>
  <c r="V765" i="58411"/>
  <c r="U765" i="58411"/>
  <c r="T765" i="58411"/>
  <c r="S765" i="58411"/>
  <c r="Q765" i="58411"/>
  <c r="P765" i="58411"/>
  <c r="O765" i="58411"/>
  <c r="N765" i="58411"/>
  <c r="L765" i="58411"/>
  <c r="K765" i="58411"/>
  <c r="J765" i="58411"/>
  <c r="I765" i="58411"/>
  <c r="G765" i="58411"/>
  <c r="F765" i="58411"/>
  <c r="E765" i="58411"/>
  <c r="D765" i="58411"/>
  <c r="C765" i="58411"/>
  <c r="B765" i="58411"/>
  <c r="AA764" i="58411"/>
  <c r="Z764" i="58411"/>
  <c r="Y764" i="58411"/>
  <c r="X764" i="58411"/>
  <c r="V764" i="58411"/>
  <c r="U764" i="58411"/>
  <c r="T764" i="58411"/>
  <c r="S764" i="58411"/>
  <c r="Q764" i="58411"/>
  <c r="P764" i="58411"/>
  <c r="O764" i="58411"/>
  <c r="N764" i="58411"/>
  <c r="L764" i="58411"/>
  <c r="K764" i="58411"/>
  <c r="J764" i="58411"/>
  <c r="I764" i="58411"/>
  <c r="G764" i="58411"/>
  <c r="F764" i="58411"/>
  <c r="E764" i="58411"/>
  <c r="D764" i="58411"/>
  <c r="C764" i="58411"/>
  <c r="B764" i="58411"/>
  <c r="AA763" i="58411"/>
  <c r="Z763" i="58411"/>
  <c r="Y763" i="58411"/>
  <c r="X763" i="58411"/>
  <c r="V763" i="58411"/>
  <c r="U763" i="58411"/>
  <c r="T763" i="58411"/>
  <c r="S763" i="58411"/>
  <c r="Q763" i="58411"/>
  <c r="P763" i="58411"/>
  <c r="O763" i="58411"/>
  <c r="N763" i="58411"/>
  <c r="L763" i="58411"/>
  <c r="K763" i="58411"/>
  <c r="J763" i="58411"/>
  <c r="I763" i="58411"/>
  <c r="G763" i="58411"/>
  <c r="F763" i="58411"/>
  <c r="E763" i="58411"/>
  <c r="D763" i="58411"/>
  <c r="C763" i="58411"/>
  <c r="B763" i="58411"/>
  <c r="AA762" i="58411"/>
  <c r="Z762" i="58411"/>
  <c r="Y762" i="58411"/>
  <c r="X762" i="58411"/>
  <c r="V762" i="58411"/>
  <c r="U762" i="58411"/>
  <c r="T762" i="58411"/>
  <c r="S762" i="58411"/>
  <c r="Q762" i="58411"/>
  <c r="P762" i="58411"/>
  <c r="O762" i="58411"/>
  <c r="N762" i="58411"/>
  <c r="L762" i="58411"/>
  <c r="K762" i="58411"/>
  <c r="J762" i="58411"/>
  <c r="I762" i="58411"/>
  <c r="G762" i="58411"/>
  <c r="F762" i="58411"/>
  <c r="E762" i="58411"/>
  <c r="D762" i="58411"/>
  <c r="C762" i="58411"/>
  <c r="B762" i="58411"/>
  <c r="AA761" i="58411"/>
  <c r="Z761" i="58411"/>
  <c r="Y761" i="58411"/>
  <c r="X761" i="58411"/>
  <c r="V761" i="58411"/>
  <c r="U761" i="58411"/>
  <c r="T761" i="58411"/>
  <c r="S761" i="58411"/>
  <c r="AA760" i="58411"/>
  <c r="Z760" i="58411"/>
  <c r="Y760" i="58411"/>
  <c r="X760" i="58411"/>
  <c r="V760" i="58411"/>
  <c r="U760" i="58411"/>
  <c r="T760" i="58411"/>
  <c r="S760" i="58411"/>
  <c r="Q760" i="58411"/>
  <c r="P760" i="58411"/>
  <c r="O760" i="58411"/>
  <c r="N760" i="58411"/>
  <c r="L760" i="58411"/>
  <c r="K760" i="58411"/>
  <c r="J760" i="58411"/>
  <c r="I760" i="58411"/>
  <c r="G760" i="58411"/>
  <c r="F760" i="58411"/>
  <c r="E760" i="58411"/>
  <c r="D760" i="58411"/>
  <c r="C760" i="58411"/>
  <c r="B760" i="58411"/>
  <c r="AA759" i="58411"/>
  <c r="AA758" i="58411"/>
  <c r="AA757" i="58411"/>
  <c r="AA772" i="58411" s="1"/>
  <c r="AA773" i="58411" s="1"/>
  <c r="AA774" i="58411" s="1"/>
  <c r="Z758" i="58411"/>
  <c r="Y758" i="58411"/>
  <c r="X758" i="58411"/>
  <c r="V758" i="58411"/>
  <c r="U758" i="58411"/>
  <c r="T758" i="58411"/>
  <c r="S758" i="58411"/>
  <c r="Q758" i="58411"/>
  <c r="P758" i="58411"/>
  <c r="O758" i="58411"/>
  <c r="N758" i="58411"/>
  <c r="L758" i="58411"/>
  <c r="K758" i="58411"/>
  <c r="J758" i="58411"/>
  <c r="I758" i="58411"/>
  <c r="G758" i="58411"/>
  <c r="F758" i="58411"/>
  <c r="E758" i="58411"/>
  <c r="D758" i="58411"/>
  <c r="C758" i="58411"/>
  <c r="B758" i="58411"/>
  <c r="A758" i="58411"/>
  <c r="Z757" i="58411"/>
  <c r="Z772" i="58411" s="1"/>
  <c r="Y757" i="58411"/>
  <c r="Y772" i="58411" s="1"/>
  <c r="X757" i="58411"/>
  <c r="X772" i="58411" s="1"/>
  <c r="V757" i="58411"/>
  <c r="V772" i="58411" s="1"/>
  <c r="U757" i="58411"/>
  <c r="U772" i="58411" s="1"/>
  <c r="T757" i="58411"/>
  <c r="T772" i="58411" s="1"/>
  <c r="S757" i="58411"/>
  <c r="S772" i="58411" s="1"/>
  <c r="Q757" i="58411"/>
  <c r="Q772" i="58411" s="1"/>
  <c r="P757" i="58411"/>
  <c r="P772" i="58411" s="1"/>
  <c r="O757" i="58411"/>
  <c r="O772" i="58411" s="1"/>
  <c r="N757" i="58411"/>
  <c r="N772" i="58411" s="1"/>
  <c r="L757" i="58411"/>
  <c r="L772" i="58411" s="1"/>
  <c r="K757" i="58411"/>
  <c r="K772" i="58411" s="1"/>
  <c r="J757" i="58411"/>
  <c r="J772" i="58411" s="1"/>
  <c r="I757" i="58411"/>
  <c r="I772" i="58411" s="1"/>
  <c r="G757" i="58411"/>
  <c r="G772" i="58411" s="1"/>
  <c r="F757" i="58411"/>
  <c r="F772" i="58411" s="1"/>
  <c r="E757" i="58411"/>
  <c r="E772" i="58411" s="1"/>
  <c r="D757" i="58411"/>
  <c r="D772" i="58411" s="1"/>
  <c r="C757" i="58411"/>
  <c r="C772" i="58411" s="1"/>
  <c r="B757" i="58411"/>
  <c r="B772" i="58411" s="1"/>
  <c r="A757" i="58411"/>
  <c r="AE754" i="58411"/>
  <c r="AA754" i="58411"/>
  <c r="Z754" i="58411"/>
  <c r="Y754" i="58411"/>
  <c r="X754" i="58411"/>
  <c r="V754" i="58411"/>
  <c r="U754" i="58411"/>
  <c r="T754" i="58411"/>
  <c r="S754" i="58411"/>
  <c r="Q754" i="58411"/>
  <c r="P754" i="58411"/>
  <c r="O754" i="58411"/>
  <c r="N754" i="58411"/>
  <c r="L754" i="58411"/>
  <c r="K754" i="58411"/>
  <c r="J754" i="58411"/>
  <c r="I754" i="58411"/>
  <c r="G754" i="58411"/>
  <c r="F754" i="58411"/>
  <c r="E754" i="58411"/>
  <c r="D754" i="58411"/>
  <c r="C754" i="58411"/>
  <c r="B754" i="58411"/>
  <c r="AD753" i="58411"/>
  <c r="AC753" i="58411"/>
  <c r="AB753" i="58411"/>
  <c r="W753" i="58411"/>
  <c r="R753" i="58411"/>
  <c r="M753" i="58411"/>
  <c r="H753" i="58411"/>
  <c r="A753" i="58411"/>
  <c r="W750" i="58411"/>
  <c r="W749" i="58411"/>
  <c r="W748" i="58411"/>
  <c r="W764" i="58411" s="1"/>
  <c r="W747" i="58411"/>
  <c r="W746" i="58411"/>
  <c r="W745" i="58411"/>
  <c r="W744" i="58411"/>
  <c r="W760" i="58411" s="1"/>
  <c r="R750" i="58411"/>
  <c r="R749" i="58411"/>
  <c r="R748" i="58411"/>
  <c r="R747" i="58411"/>
  <c r="R763" i="58411" s="1"/>
  <c r="R746" i="58411"/>
  <c r="M750" i="58411"/>
  <c r="M749" i="58411"/>
  <c r="M748" i="58411"/>
  <c r="M764" i="58411" s="1"/>
  <c r="M747" i="58411"/>
  <c r="M746" i="58411"/>
  <c r="H750" i="58411"/>
  <c r="H749" i="58411"/>
  <c r="H765" i="58411" s="1"/>
  <c r="H748" i="58411"/>
  <c r="H747" i="58411"/>
  <c r="H746" i="58411"/>
  <c r="A749" i="58411"/>
  <c r="A748" i="58411"/>
  <c r="A747" i="58411"/>
  <c r="A746" i="58411"/>
  <c r="A745" i="58411"/>
  <c r="A744" i="58411"/>
  <c r="R744" i="58411"/>
  <c r="M744" i="58411"/>
  <c r="M754" i="58411" s="1"/>
  <c r="H744" i="58411"/>
  <c r="W742" i="58411"/>
  <c r="W741" i="58411"/>
  <c r="R742" i="58411"/>
  <c r="R741" i="58411"/>
  <c r="M742" i="58411"/>
  <c r="M741" i="58411"/>
  <c r="H742" i="58411"/>
  <c r="H741" i="58411"/>
  <c r="A742" i="58411"/>
  <c r="A741" i="58411"/>
  <c r="AF753" i="58411"/>
  <c r="AF769" i="58411" s="1"/>
  <c r="AF752" i="58411"/>
  <c r="AG752" i="58411" s="1"/>
  <c r="AH752" i="58411" s="1"/>
  <c r="AI752" i="58411" s="1"/>
  <c r="AJ752" i="58411" s="1"/>
  <c r="AK752" i="58411" s="1"/>
  <c r="AL752" i="58411" s="1"/>
  <c r="AM752" i="58411" s="1"/>
  <c r="AN752" i="58411" s="1"/>
  <c r="AG751" i="58411"/>
  <c r="AH751" i="58411" s="1"/>
  <c r="AI751" i="58411" s="1"/>
  <c r="AJ751" i="58411" s="1"/>
  <c r="AK751" i="58411" s="1"/>
  <c r="AL751" i="58411" s="1"/>
  <c r="AM751" i="58411" s="1"/>
  <c r="AN751" i="58411" s="1"/>
  <c r="AF751" i="58411"/>
  <c r="AH750" i="58411"/>
  <c r="AG750" i="58411"/>
  <c r="AF750" i="58411"/>
  <c r="AF748" i="58411"/>
  <c r="AG747" i="58411"/>
  <c r="AF747" i="58411"/>
  <c r="AG746" i="58411"/>
  <c r="AH746" i="58411" s="1"/>
  <c r="AF745" i="58411"/>
  <c r="AG743" i="58411"/>
  <c r="AF743" i="58411"/>
  <c r="AG742" i="58411"/>
  <c r="AH742" i="58411" s="1"/>
  <c r="AF741" i="58411"/>
  <c r="AD750" i="58411"/>
  <c r="AC750" i="58411"/>
  <c r="AB750" i="58411"/>
  <c r="AC749" i="58411"/>
  <c r="AD749" i="58411" s="1"/>
  <c r="AB749" i="58411"/>
  <c r="AB748" i="58411"/>
  <c r="AB747" i="58411"/>
  <c r="AD746" i="58411"/>
  <c r="AC746" i="58411"/>
  <c r="AB746" i="58411"/>
  <c r="AD745" i="58411"/>
  <c r="AC745" i="58411"/>
  <c r="AB745" i="58411"/>
  <c r="AB744" i="58411"/>
  <c r="AB743" i="58411"/>
  <c r="AD742" i="58411"/>
  <c r="AC742" i="58411"/>
  <c r="AB742" i="58411"/>
  <c r="AB758" i="58411" s="1"/>
  <c r="AC741" i="58411"/>
  <c r="AD741" i="58411" s="1"/>
  <c r="AB741" i="58411"/>
  <c r="AE738" i="58411"/>
  <c r="AA738" i="58411"/>
  <c r="Z738" i="58411"/>
  <c r="Y738" i="58411"/>
  <c r="X738" i="58411"/>
  <c r="V738" i="58411"/>
  <c r="U738" i="58411"/>
  <c r="T738" i="58411"/>
  <c r="S738" i="58411"/>
  <c r="Q738" i="58411"/>
  <c r="P738" i="58411"/>
  <c r="O738" i="58411"/>
  <c r="N738" i="58411"/>
  <c r="L738" i="58411"/>
  <c r="K738" i="58411"/>
  <c r="J738" i="58411"/>
  <c r="I738" i="58411"/>
  <c r="G738" i="58411"/>
  <c r="F738" i="58411"/>
  <c r="E738" i="58411"/>
  <c r="D738" i="58411"/>
  <c r="C738" i="58411"/>
  <c r="B738" i="58411"/>
  <c r="AB737" i="58411"/>
  <c r="AC737" i="58411" s="1"/>
  <c r="AD737" i="58411" s="1"/>
  <c r="W737" i="58411"/>
  <c r="R737" i="58411"/>
  <c r="M737" i="58411"/>
  <c r="H737" i="58411"/>
  <c r="A737" i="58411"/>
  <c r="W734" i="58411"/>
  <c r="W733" i="58411"/>
  <c r="W732" i="58411"/>
  <c r="W731" i="58411"/>
  <c r="W730" i="58411"/>
  <c r="W729" i="58411"/>
  <c r="W728" i="58411"/>
  <c r="R734" i="58411"/>
  <c r="R733" i="58411"/>
  <c r="R732" i="58411"/>
  <c r="R731" i="58411"/>
  <c r="R730" i="58411"/>
  <c r="M734" i="58411"/>
  <c r="M733" i="58411"/>
  <c r="M732" i="58411"/>
  <c r="M731" i="58411"/>
  <c r="M730" i="58411"/>
  <c r="H734" i="58411"/>
  <c r="H733" i="58411"/>
  <c r="H732" i="58411"/>
  <c r="H731" i="58411"/>
  <c r="H730" i="58411"/>
  <c r="A733" i="58411"/>
  <c r="A732" i="58411"/>
  <c r="A731" i="58411"/>
  <c r="A730" i="58411"/>
  <c r="A729" i="58411"/>
  <c r="A728" i="58411"/>
  <c r="R728" i="58411"/>
  <c r="M728" i="58411"/>
  <c r="H728" i="58411"/>
  <c r="W726" i="58411"/>
  <c r="W758" i="58411" s="1"/>
  <c r="W725" i="58411"/>
  <c r="W738" i="58411" s="1"/>
  <c r="R726" i="58411"/>
  <c r="R725" i="58411"/>
  <c r="M726" i="58411"/>
  <c r="M725" i="58411"/>
  <c r="H726" i="58411"/>
  <c r="H725" i="58411"/>
  <c r="A726" i="58411"/>
  <c r="A725" i="58411"/>
  <c r="AG737" i="58411"/>
  <c r="AH737" i="58411" s="1"/>
  <c r="AI737" i="58411" s="1"/>
  <c r="AJ737" i="58411" s="1"/>
  <c r="AK737" i="58411" s="1"/>
  <c r="AL737" i="58411" s="1"/>
  <c r="AM737" i="58411" s="1"/>
  <c r="AN737" i="58411" s="1"/>
  <c r="AF737" i="58411"/>
  <c r="AH736" i="58411"/>
  <c r="AI736" i="58411" s="1"/>
  <c r="AJ736" i="58411" s="1"/>
  <c r="AK736" i="58411" s="1"/>
  <c r="AL736" i="58411" s="1"/>
  <c r="AM736" i="58411" s="1"/>
  <c r="AN736" i="58411" s="1"/>
  <c r="AG736" i="58411"/>
  <c r="AF736" i="58411"/>
  <c r="AH735" i="58411"/>
  <c r="AI735" i="58411" s="1"/>
  <c r="AJ735" i="58411" s="1"/>
  <c r="AK735" i="58411" s="1"/>
  <c r="AL735" i="58411" s="1"/>
  <c r="AM735" i="58411" s="1"/>
  <c r="AN735" i="58411" s="1"/>
  <c r="AG735" i="58411"/>
  <c r="AF735" i="58411"/>
  <c r="AI734" i="58411"/>
  <c r="AJ734" i="58411" s="1"/>
  <c r="AK734" i="58411" s="1"/>
  <c r="AL734" i="58411" s="1"/>
  <c r="AM734" i="58411" s="1"/>
  <c r="AN734" i="58411" s="1"/>
  <c r="AF734" i="58411"/>
  <c r="AG734" i="58411" s="1"/>
  <c r="AH734" i="58411" s="1"/>
  <c r="AF733" i="58411"/>
  <c r="AG733" i="58411" s="1"/>
  <c r="AH733" i="58411" s="1"/>
  <c r="AI733" i="58411" s="1"/>
  <c r="AJ733" i="58411" s="1"/>
  <c r="AK733" i="58411" s="1"/>
  <c r="AL733" i="58411" s="1"/>
  <c r="AM733" i="58411" s="1"/>
  <c r="AN733" i="58411" s="1"/>
  <c r="AG732" i="58411"/>
  <c r="AH732" i="58411" s="1"/>
  <c r="AI732" i="58411" s="1"/>
  <c r="AJ732" i="58411" s="1"/>
  <c r="AK732" i="58411" s="1"/>
  <c r="AL732" i="58411" s="1"/>
  <c r="AM732" i="58411" s="1"/>
  <c r="AN732" i="58411" s="1"/>
  <c r="AH731" i="58411"/>
  <c r="AI731" i="58411" s="1"/>
  <c r="AJ731" i="58411" s="1"/>
  <c r="AK731" i="58411" s="1"/>
  <c r="AL731" i="58411" s="1"/>
  <c r="AM731" i="58411" s="1"/>
  <c r="AN731" i="58411" s="1"/>
  <c r="AG731" i="58411"/>
  <c r="AF731" i="58411"/>
  <c r="AG730" i="58411"/>
  <c r="AH730" i="58411" s="1"/>
  <c r="AI730" i="58411" s="1"/>
  <c r="AJ730" i="58411" s="1"/>
  <c r="AK730" i="58411" s="1"/>
  <c r="AL730" i="58411" s="1"/>
  <c r="AM730" i="58411" s="1"/>
  <c r="AN730" i="58411" s="1"/>
  <c r="AG729" i="58411"/>
  <c r="AH729" i="58411" s="1"/>
  <c r="AI729" i="58411" s="1"/>
  <c r="AJ729" i="58411" s="1"/>
  <c r="AK729" i="58411" s="1"/>
  <c r="AL729" i="58411" s="1"/>
  <c r="AM729" i="58411" s="1"/>
  <c r="AN729" i="58411" s="1"/>
  <c r="AG728" i="58411"/>
  <c r="AH728" i="58411" s="1"/>
  <c r="AI728" i="58411" s="1"/>
  <c r="AJ728" i="58411" s="1"/>
  <c r="AK728" i="58411" s="1"/>
  <c r="AL728" i="58411" s="1"/>
  <c r="AM728" i="58411" s="1"/>
  <c r="AN728" i="58411" s="1"/>
  <c r="AH727" i="58411"/>
  <c r="AI727" i="58411" s="1"/>
  <c r="AJ727" i="58411" s="1"/>
  <c r="AK727" i="58411" s="1"/>
  <c r="AL727" i="58411" s="1"/>
  <c r="AM727" i="58411" s="1"/>
  <c r="AN727" i="58411" s="1"/>
  <c r="AG727" i="58411"/>
  <c r="AF727" i="58411"/>
  <c r="AG726" i="58411"/>
  <c r="AH726" i="58411" s="1"/>
  <c r="AI726" i="58411" s="1"/>
  <c r="AJ726" i="58411" s="1"/>
  <c r="AK726" i="58411" s="1"/>
  <c r="AL726" i="58411" s="1"/>
  <c r="AM726" i="58411" s="1"/>
  <c r="AN726" i="58411" s="1"/>
  <c r="AF738" i="58411"/>
  <c r="AF390" i="58438" s="1"/>
  <c r="AB734" i="58411"/>
  <c r="AC734" i="58411" s="1"/>
  <c r="AD734" i="58411" s="1"/>
  <c r="AD733" i="58411"/>
  <c r="AC733" i="58411"/>
  <c r="AB733" i="58411"/>
  <c r="AB732" i="58411"/>
  <c r="AC732" i="58411" s="1"/>
  <c r="AD732" i="58411" s="1"/>
  <c r="AC731" i="58411"/>
  <c r="AD731" i="58411" s="1"/>
  <c r="AB731" i="58411"/>
  <c r="AB730" i="58411"/>
  <c r="AC730" i="58411" s="1"/>
  <c r="AD730" i="58411" s="1"/>
  <c r="AD729" i="58411"/>
  <c r="AC729" i="58411"/>
  <c r="AB729" i="58411"/>
  <c r="AC728" i="58411"/>
  <c r="AD728" i="58411" s="1"/>
  <c r="AB728" i="58411"/>
  <c r="AB727" i="58411"/>
  <c r="AC727" i="58411" s="1"/>
  <c r="AD727" i="58411" s="1"/>
  <c r="AD726" i="58411"/>
  <c r="AB726" i="58411"/>
  <c r="AC726" i="58411" s="1"/>
  <c r="AC725" i="58411"/>
  <c r="AB725" i="58411"/>
  <c r="AB738" i="58411" s="1"/>
  <c r="AE722" i="58411"/>
  <c r="AA722" i="58411"/>
  <c r="Z722" i="58411"/>
  <c r="Y722" i="58411"/>
  <c r="X722" i="58411"/>
  <c r="V722" i="58411"/>
  <c r="U722" i="58411"/>
  <c r="T722" i="58411"/>
  <c r="S722" i="58411"/>
  <c r="Q722" i="58411"/>
  <c r="P722" i="58411"/>
  <c r="O722" i="58411"/>
  <c r="N722" i="58411"/>
  <c r="L722" i="58411"/>
  <c r="K722" i="58411"/>
  <c r="J722" i="58411"/>
  <c r="I722" i="58411"/>
  <c r="G722" i="58411"/>
  <c r="F722" i="58411"/>
  <c r="E722" i="58411"/>
  <c r="D722" i="58411"/>
  <c r="C722" i="58411"/>
  <c r="B722" i="58411"/>
  <c r="AH721" i="58411"/>
  <c r="AI721" i="58411" s="1"/>
  <c r="AJ721" i="58411" s="1"/>
  <c r="AK721" i="58411" s="1"/>
  <c r="AL721" i="58411" s="1"/>
  <c r="AM721" i="58411" s="1"/>
  <c r="AN721" i="58411" s="1"/>
  <c r="AG721" i="58411"/>
  <c r="AF721" i="58411"/>
  <c r="AC721" i="58411"/>
  <c r="AD721" i="58411" s="1"/>
  <c r="AB721" i="58411"/>
  <c r="W721" i="58411"/>
  <c r="R721" i="58411"/>
  <c r="M721" i="58411"/>
  <c r="H721" i="58411"/>
  <c r="W718" i="58411"/>
  <c r="W717" i="58411"/>
  <c r="W716" i="58411"/>
  <c r="W715" i="58411"/>
  <c r="W714" i="58411"/>
  <c r="W713" i="58411"/>
  <c r="W722" i="58411" s="1"/>
  <c r="W712" i="58411"/>
  <c r="R718" i="58411"/>
  <c r="R717" i="58411"/>
  <c r="R716" i="58411"/>
  <c r="R715" i="58411"/>
  <c r="R714" i="58411"/>
  <c r="M718" i="58411"/>
  <c r="M717" i="58411"/>
  <c r="M716" i="58411"/>
  <c r="M715" i="58411"/>
  <c r="M714" i="58411"/>
  <c r="H718" i="58411"/>
  <c r="H717" i="58411"/>
  <c r="H716" i="58411"/>
  <c r="H715" i="58411"/>
  <c r="H714" i="58411"/>
  <c r="A713" i="58411"/>
  <c r="R712" i="58411"/>
  <c r="M712" i="58411"/>
  <c r="H712" i="58411"/>
  <c r="W710" i="58411"/>
  <c r="W709" i="58411"/>
  <c r="R710" i="58411"/>
  <c r="R709" i="58411"/>
  <c r="R722" i="58411" s="1"/>
  <c r="M710" i="58411"/>
  <c r="M709" i="58411"/>
  <c r="H710" i="58411"/>
  <c r="H709" i="58411"/>
  <c r="H722" i="58411" s="1"/>
  <c r="AG718" i="58411"/>
  <c r="AH718" i="58411" s="1"/>
  <c r="AI718" i="58411" s="1"/>
  <c r="AJ718" i="58411" s="1"/>
  <c r="AK718" i="58411" s="1"/>
  <c r="AL718" i="58411" s="1"/>
  <c r="AM718" i="58411" s="1"/>
  <c r="AN718" i="58411" s="1"/>
  <c r="AF718" i="58411"/>
  <c r="AF717" i="58411"/>
  <c r="AG717" i="58411" s="1"/>
  <c r="AH717" i="58411" s="1"/>
  <c r="AI717" i="58411" s="1"/>
  <c r="AJ717" i="58411" s="1"/>
  <c r="AK717" i="58411" s="1"/>
  <c r="AL717" i="58411" s="1"/>
  <c r="AM717" i="58411" s="1"/>
  <c r="AN717" i="58411" s="1"/>
  <c r="AF716" i="58411"/>
  <c r="AG716" i="58411" s="1"/>
  <c r="AH716" i="58411" s="1"/>
  <c r="AI716" i="58411" s="1"/>
  <c r="AJ716" i="58411" s="1"/>
  <c r="AK716" i="58411" s="1"/>
  <c r="AL716" i="58411" s="1"/>
  <c r="AM716" i="58411" s="1"/>
  <c r="AN716" i="58411" s="1"/>
  <c r="AF715" i="58411"/>
  <c r="AG715" i="58411" s="1"/>
  <c r="AH715" i="58411" s="1"/>
  <c r="AI715" i="58411" s="1"/>
  <c r="AJ715" i="58411" s="1"/>
  <c r="AK715" i="58411" s="1"/>
  <c r="AL715" i="58411" s="1"/>
  <c r="AM715" i="58411" s="1"/>
  <c r="AN715" i="58411" s="1"/>
  <c r="AG714" i="58411"/>
  <c r="AH714" i="58411" s="1"/>
  <c r="AI714" i="58411" s="1"/>
  <c r="AJ714" i="58411" s="1"/>
  <c r="AK714" i="58411" s="1"/>
  <c r="AL714" i="58411" s="1"/>
  <c r="AM714" i="58411" s="1"/>
  <c r="AN714" i="58411" s="1"/>
  <c r="AF714" i="58411"/>
  <c r="AF713" i="58411"/>
  <c r="AG713" i="58411" s="1"/>
  <c r="AH713" i="58411" s="1"/>
  <c r="AI713" i="58411" s="1"/>
  <c r="AJ713" i="58411" s="1"/>
  <c r="AK713" i="58411" s="1"/>
  <c r="AL713" i="58411" s="1"/>
  <c r="AM713" i="58411" s="1"/>
  <c r="AN713" i="58411" s="1"/>
  <c r="AG712" i="58411"/>
  <c r="AH712" i="58411" s="1"/>
  <c r="AI712" i="58411" s="1"/>
  <c r="AJ712" i="58411" s="1"/>
  <c r="AK712" i="58411" s="1"/>
  <c r="AL712" i="58411" s="1"/>
  <c r="AM712" i="58411" s="1"/>
  <c r="AN712" i="58411" s="1"/>
  <c r="AF711" i="58411"/>
  <c r="AG711" i="58411" s="1"/>
  <c r="AH711" i="58411" s="1"/>
  <c r="AI711" i="58411" s="1"/>
  <c r="AJ711" i="58411" s="1"/>
  <c r="AK711" i="58411" s="1"/>
  <c r="AL711" i="58411" s="1"/>
  <c r="AM711" i="58411" s="1"/>
  <c r="AN711" i="58411" s="1"/>
  <c r="AG710" i="58411"/>
  <c r="AH710" i="58411" s="1"/>
  <c r="AI710" i="58411" s="1"/>
  <c r="AJ710" i="58411" s="1"/>
  <c r="AK710" i="58411" s="1"/>
  <c r="AL710" i="58411" s="1"/>
  <c r="AM710" i="58411" s="1"/>
  <c r="AN710" i="58411" s="1"/>
  <c r="AF709" i="58411"/>
  <c r="AF722" i="58411" s="1"/>
  <c r="AC718" i="58411"/>
  <c r="AD718" i="58411" s="1"/>
  <c r="AB718" i="58411"/>
  <c r="AB717" i="58411"/>
  <c r="AC717" i="58411" s="1"/>
  <c r="AD717" i="58411" s="1"/>
  <c r="AB716" i="58411"/>
  <c r="AC716" i="58411" s="1"/>
  <c r="AD716" i="58411" s="1"/>
  <c r="AB715" i="58411"/>
  <c r="AC715" i="58411" s="1"/>
  <c r="AD715" i="58411" s="1"/>
  <c r="AC714" i="58411"/>
  <c r="AD714" i="58411" s="1"/>
  <c r="AB714" i="58411"/>
  <c r="AB713" i="58411"/>
  <c r="AC713" i="58411" s="1"/>
  <c r="AD713" i="58411" s="1"/>
  <c r="AB712" i="58411"/>
  <c r="AC712" i="58411" s="1"/>
  <c r="AD712" i="58411" s="1"/>
  <c r="AB711" i="58411"/>
  <c r="AC711" i="58411" s="1"/>
  <c r="AD711" i="58411" s="1"/>
  <c r="AC710" i="58411"/>
  <c r="AD710" i="58411" s="1"/>
  <c r="AB710" i="58411"/>
  <c r="AB709" i="58411"/>
  <c r="AB722" i="58411" s="1"/>
  <c r="AN706" i="58411"/>
  <c r="AN777" i="58411" s="1"/>
  <c r="AN842" i="58411" s="1"/>
  <c r="AM706" i="58411"/>
  <c r="AM777" i="58411" s="1"/>
  <c r="AM842" i="58411" s="1"/>
  <c r="AL706" i="58411"/>
  <c r="AL777" i="58411" s="1"/>
  <c r="AL842" i="58411" s="1"/>
  <c r="AK706" i="58411"/>
  <c r="AK777" i="58411" s="1"/>
  <c r="AK842" i="58411" s="1"/>
  <c r="AJ706" i="58411"/>
  <c r="AJ777" i="58411" s="1"/>
  <c r="AJ842" i="58411" s="1"/>
  <c r="AI706" i="58411"/>
  <c r="AI777" i="58411" s="1"/>
  <c r="AI842" i="58411" s="1"/>
  <c r="AH706" i="58411"/>
  <c r="AH777" i="58411" s="1"/>
  <c r="AH842" i="58411" s="1"/>
  <c r="AG706" i="58411"/>
  <c r="AG777" i="58411" s="1"/>
  <c r="AG842" i="58411" s="1"/>
  <c r="AF706" i="58411"/>
  <c r="AF777" i="58411" s="1"/>
  <c r="AF842" i="58411" s="1"/>
  <c r="AE706" i="58411"/>
  <c r="AE777" i="58411" s="1"/>
  <c r="AE842" i="58411" s="1"/>
  <c r="AD706" i="58411"/>
  <c r="AD777" i="58411" s="1"/>
  <c r="AD842" i="58411" s="1"/>
  <c r="AC706" i="58411"/>
  <c r="AC777" i="58411" s="1"/>
  <c r="AC842" i="58411" s="1"/>
  <c r="AB706" i="58411"/>
  <c r="AB777" i="58411" s="1"/>
  <c r="AB842" i="58411" s="1"/>
  <c r="AA706" i="58411"/>
  <c r="AA777" i="58411" s="1"/>
  <c r="AA842" i="58411" s="1"/>
  <c r="Z706" i="58411"/>
  <c r="Z777" i="58411" s="1"/>
  <c r="Z842" i="58411" s="1"/>
  <c r="Y706" i="58411"/>
  <c r="Y777" i="58411" s="1"/>
  <c r="Y842" i="58411" s="1"/>
  <c r="X706" i="58411"/>
  <c r="X777" i="58411" s="1"/>
  <c r="X842" i="58411" s="1"/>
  <c r="W706" i="58411"/>
  <c r="W777" i="58411" s="1"/>
  <c r="W842" i="58411" s="1"/>
  <c r="V706" i="58411"/>
  <c r="V777" i="58411" s="1"/>
  <c r="V842" i="58411" s="1"/>
  <c r="U706" i="58411"/>
  <c r="U777" i="58411" s="1"/>
  <c r="U842" i="58411" s="1"/>
  <c r="T706" i="58411"/>
  <c r="T777" i="58411" s="1"/>
  <c r="T842" i="58411" s="1"/>
  <c r="S706" i="58411"/>
  <c r="S777" i="58411" s="1"/>
  <c r="S842" i="58411" s="1"/>
  <c r="R706" i="58411"/>
  <c r="R777" i="58411" s="1"/>
  <c r="R842" i="58411" s="1"/>
  <c r="Q706" i="58411"/>
  <c r="Q777" i="58411" s="1"/>
  <c r="Q842" i="58411" s="1"/>
  <c r="P706" i="58411"/>
  <c r="P777" i="58411" s="1"/>
  <c r="P842" i="58411" s="1"/>
  <c r="O706" i="58411"/>
  <c r="O777" i="58411" s="1"/>
  <c r="O842" i="58411" s="1"/>
  <c r="N706" i="58411"/>
  <c r="N777" i="58411" s="1"/>
  <c r="N842" i="58411" s="1"/>
  <c r="M706" i="58411"/>
  <c r="M777" i="58411" s="1"/>
  <c r="M842" i="58411" s="1"/>
  <c r="L706" i="58411"/>
  <c r="L777" i="58411" s="1"/>
  <c r="L842" i="58411" s="1"/>
  <c r="K706" i="58411"/>
  <c r="K777" i="58411" s="1"/>
  <c r="K842" i="58411" s="1"/>
  <c r="J706" i="58411"/>
  <c r="J777" i="58411" s="1"/>
  <c r="J842" i="58411" s="1"/>
  <c r="I706" i="58411"/>
  <c r="I777" i="58411" s="1"/>
  <c r="I842" i="58411" s="1"/>
  <c r="H706" i="58411"/>
  <c r="H777" i="58411" s="1"/>
  <c r="H842" i="58411" s="1"/>
  <c r="G706" i="58411"/>
  <c r="G777" i="58411" s="1"/>
  <c r="G842" i="58411" s="1"/>
  <c r="F706" i="58411"/>
  <c r="F777" i="58411" s="1"/>
  <c r="F842" i="58411" s="1"/>
  <c r="E706" i="58411"/>
  <c r="E777" i="58411" s="1"/>
  <c r="E842" i="58411" s="1"/>
  <c r="D706" i="58411"/>
  <c r="D777" i="58411" s="1"/>
  <c r="D842" i="58411" s="1"/>
  <c r="C706" i="58411"/>
  <c r="C777" i="58411" s="1"/>
  <c r="C842" i="58411" s="1"/>
  <c r="B706" i="58411"/>
  <c r="B777" i="58411" s="1"/>
  <c r="B842" i="58411" s="1"/>
  <c r="AD701" i="58411"/>
  <c r="AC701" i="58411"/>
  <c r="AC702" i="58411" s="1"/>
  <c r="AC703" i="58411" s="1"/>
  <c r="AN700" i="58411"/>
  <c r="AM700" i="58411"/>
  <c r="AL700" i="58411"/>
  <c r="AK700" i="58411"/>
  <c r="AJ700" i="58411"/>
  <c r="AI700" i="58411"/>
  <c r="AH700" i="58411"/>
  <c r="AG700" i="58411"/>
  <c r="AF700" i="58411"/>
  <c r="AE700" i="58411"/>
  <c r="AD700" i="58411"/>
  <c r="AA698" i="58411"/>
  <c r="Z698" i="58411"/>
  <c r="Y698" i="58411"/>
  <c r="X698" i="58411"/>
  <c r="V698" i="58411"/>
  <c r="U698" i="58411"/>
  <c r="T698" i="58411"/>
  <c r="S698" i="58411"/>
  <c r="Q698" i="58411"/>
  <c r="P698" i="58411"/>
  <c r="O698" i="58411"/>
  <c r="N698" i="58411"/>
  <c r="L698" i="58411"/>
  <c r="K698" i="58411"/>
  <c r="J698" i="58411"/>
  <c r="I698" i="58411"/>
  <c r="G698" i="58411"/>
  <c r="F698" i="58411"/>
  <c r="E698" i="58411"/>
  <c r="D698" i="58411"/>
  <c r="C698" i="58411"/>
  <c r="B698" i="58411"/>
  <c r="A698" i="58411"/>
  <c r="AA697" i="58411"/>
  <c r="Z697" i="58411"/>
  <c r="Y697" i="58411"/>
  <c r="X697" i="58411"/>
  <c r="V697" i="58411"/>
  <c r="U697" i="58411"/>
  <c r="T697" i="58411"/>
  <c r="S697" i="58411"/>
  <c r="Q697" i="58411"/>
  <c r="P697" i="58411"/>
  <c r="O697" i="58411"/>
  <c r="N697" i="58411"/>
  <c r="L697" i="58411"/>
  <c r="K697" i="58411"/>
  <c r="J697" i="58411"/>
  <c r="I697" i="58411"/>
  <c r="G697" i="58411"/>
  <c r="F697" i="58411"/>
  <c r="E697" i="58411"/>
  <c r="D697" i="58411"/>
  <c r="C697" i="58411"/>
  <c r="B697" i="58411"/>
  <c r="AA696" i="58411"/>
  <c r="Z696" i="58411"/>
  <c r="Y696" i="58411"/>
  <c r="X696" i="58411"/>
  <c r="V696" i="58411"/>
  <c r="U696" i="58411"/>
  <c r="T696" i="58411"/>
  <c r="S696" i="58411"/>
  <c r="Q696" i="58411"/>
  <c r="P696" i="58411"/>
  <c r="O696" i="58411"/>
  <c r="N696" i="58411"/>
  <c r="L696" i="58411"/>
  <c r="K696" i="58411"/>
  <c r="J696" i="58411"/>
  <c r="I696" i="58411"/>
  <c r="G696" i="58411"/>
  <c r="F696" i="58411"/>
  <c r="E696" i="58411"/>
  <c r="D696" i="58411"/>
  <c r="C696" i="58411"/>
  <c r="B696" i="58411"/>
  <c r="AA695" i="58411"/>
  <c r="Z695" i="58411"/>
  <c r="Y695" i="58411"/>
  <c r="X695" i="58411"/>
  <c r="V695" i="58411"/>
  <c r="U695" i="58411"/>
  <c r="T695" i="58411"/>
  <c r="S695" i="58411"/>
  <c r="Q695" i="58411"/>
  <c r="P695" i="58411"/>
  <c r="O695" i="58411"/>
  <c r="N695" i="58411"/>
  <c r="L695" i="58411"/>
  <c r="K695" i="58411"/>
  <c r="J695" i="58411"/>
  <c r="I695" i="58411"/>
  <c r="G695" i="58411"/>
  <c r="F695" i="58411"/>
  <c r="E695" i="58411"/>
  <c r="D695" i="58411"/>
  <c r="C695" i="58411"/>
  <c r="B695" i="58411"/>
  <c r="A695" i="58411"/>
  <c r="AA694" i="58411"/>
  <c r="Z694" i="58411"/>
  <c r="Y694" i="58411"/>
  <c r="X694" i="58411"/>
  <c r="V694" i="58411"/>
  <c r="U694" i="58411"/>
  <c r="T694" i="58411"/>
  <c r="S694" i="58411"/>
  <c r="Q694" i="58411"/>
  <c r="P694" i="58411"/>
  <c r="O694" i="58411"/>
  <c r="N694" i="58411"/>
  <c r="L694" i="58411"/>
  <c r="K694" i="58411"/>
  <c r="J694" i="58411"/>
  <c r="I694" i="58411"/>
  <c r="G694" i="58411"/>
  <c r="F694" i="58411"/>
  <c r="E694" i="58411"/>
  <c r="D694" i="58411"/>
  <c r="C694" i="58411"/>
  <c r="B694" i="58411"/>
  <c r="A694" i="58411"/>
  <c r="AA693" i="58411"/>
  <c r="Z693" i="58411"/>
  <c r="Y693" i="58411"/>
  <c r="X693" i="58411"/>
  <c r="V693" i="58411"/>
  <c r="U693" i="58411"/>
  <c r="T693" i="58411"/>
  <c r="S693" i="58411"/>
  <c r="Q693" i="58411"/>
  <c r="P693" i="58411"/>
  <c r="O693" i="58411"/>
  <c r="N693" i="58411"/>
  <c r="L693" i="58411"/>
  <c r="K693" i="58411"/>
  <c r="J693" i="58411"/>
  <c r="I693" i="58411"/>
  <c r="G693" i="58411"/>
  <c r="F693" i="58411"/>
  <c r="E693" i="58411"/>
  <c r="D693" i="58411"/>
  <c r="C693" i="58411"/>
  <c r="B693" i="58411"/>
  <c r="A693" i="58411"/>
  <c r="AA692" i="58411"/>
  <c r="Z692" i="58411"/>
  <c r="Y692" i="58411"/>
  <c r="X692" i="58411"/>
  <c r="V692" i="58411"/>
  <c r="U692" i="58411"/>
  <c r="T692" i="58411"/>
  <c r="S692" i="58411"/>
  <c r="Q692" i="58411"/>
  <c r="P692" i="58411"/>
  <c r="O692" i="58411"/>
  <c r="N692" i="58411"/>
  <c r="L692" i="58411"/>
  <c r="K692" i="58411"/>
  <c r="J692" i="58411"/>
  <c r="I692" i="58411"/>
  <c r="G692" i="58411"/>
  <c r="F692" i="58411"/>
  <c r="E692" i="58411"/>
  <c r="D692" i="58411"/>
  <c r="C692" i="58411"/>
  <c r="B692" i="58411"/>
  <c r="A692" i="58411"/>
  <c r="AA691" i="58411"/>
  <c r="Z691" i="58411"/>
  <c r="Y691" i="58411"/>
  <c r="X691" i="58411"/>
  <c r="V691" i="58411"/>
  <c r="U691" i="58411"/>
  <c r="T691" i="58411"/>
  <c r="S691" i="58411"/>
  <c r="Q691" i="58411"/>
  <c r="P691" i="58411"/>
  <c r="O691" i="58411"/>
  <c r="N691" i="58411"/>
  <c r="L691" i="58411"/>
  <c r="K691" i="58411"/>
  <c r="J691" i="58411"/>
  <c r="I691" i="58411"/>
  <c r="G691" i="58411"/>
  <c r="F691" i="58411"/>
  <c r="E691" i="58411"/>
  <c r="D691" i="58411"/>
  <c r="C691" i="58411"/>
  <c r="B691" i="58411"/>
  <c r="A691" i="58411"/>
  <c r="A690" i="58411"/>
  <c r="A689" i="58411"/>
  <c r="AA690" i="58411"/>
  <c r="Z690" i="58411"/>
  <c r="Y690" i="58411"/>
  <c r="X690" i="58411"/>
  <c r="V690" i="58411"/>
  <c r="U690" i="58411"/>
  <c r="T690" i="58411"/>
  <c r="S690" i="58411"/>
  <c r="AA689" i="58411"/>
  <c r="Z689" i="58411"/>
  <c r="Y689" i="58411"/>
  <c r="X689" i="58411"/>
  <c r="V689" i="58411"/>
  <c r="U689" i="58411"/>
  <c r="T689" i="58411"/>
  <c r="S689" i="58411"/>
  <c r="Q689" i="58411"/>
  <c r="P689" i="58411"/>
  <c r="O689" i="58411"/>
  <c r="N689" i="58411"/>
  <c r="L689" i="58411"/>
  <c r="K689" i="58411"/>
  <c r="J689" i="58411"/>
  <c r="I689" i="58411"/>
  <c r="G689" i="58411"/>
  <c r="F689" i="58411"/>
  <c r="E689" i="58411"/>
  <c r="D689" i="58411"/>
  <c r="C689" i="58411"/>
  <c r="B689" i="58411"/>
  <c r="AG699" i="58411"/>
  <c r="AH699" i="58411" s="1"/>
  <c r="AI699" i="58411" s="1"/>
  <c r="AJ699" i="58411" s="1"/>
  <c r="AK699" i="58411" s="1"/>
  <c r="AL699" i="58411" s="1"/>
  <c r="AM699" i="58411" s="1"/>
  <c r="AN699" i="58411" s="1"/>
  <c r="AE698" i="58411"/>
  <c r="AE697" i="58411"/>
  <c r="AE696" i="58411"/>
  <c r="AE695" i="58411"/>
  <c r="AE694" i="58411"/>
  <c r="AE693" i="58411"/>
  <c r="AE692" i="58411"/>
  <c r="AE691" i="58411"/>
  <c r="AE690" i="58411"/>
  <c r="AE689" i="58411"/>
  <c r="AE688" i="58411"/>
  <c r="AE687" i="58411"/>
  <c r="AE686" i="58411"/>
  <c r="AE701" i="58411" s="1"/>
  <c r="AE21" i="58438" s="1"/>
  <c r="AA688" i="58411"/>
  <c r="AA687" i="58411"/>
  <c r="AA686" i="58411"/>
  <c r="AA701" i="58411" s="1"/>
  <c r="Z687" i="58411"/>
  <c r="Y687" i="58411"/>
  <c r="X687" i="58411"/>
  <c r="V687" i="58411"/>
  <c r="U687" i="58411"/>
  <c r="T687" i="58411"/>
  <c r="S687" i="58411"/>
  <c r="Q687" i="58411"/>
  <c r="P687" i="58411"/>
  <c r="N687" i="58411"/>
  <c r="L687" i="58411"/>
  <c r="K687" i="58411"/>
  <c r="J687" i="58411"/>
  <c r="I687" i="58411"/>
  <c r="G687" i="58411"/>
  <c r="F687" i="58411"/>
  <c r="E687" i="58411"/>
  <c r="D687" i="58411"/>
  <c r="C687" i="58411"/>
  <c r="B687" i="58411"/>
  <c r="A687" i="58411"/>
  <c r="Z686" i="58411"/>
  <c r="Z701" i="58411" s="1"/>
  <c r="Y686" i="58411"/>
  <c r="Y701" i="58411" s="1"/>
  <c r="X686" i="58411"/>
  <c r="X701" i="58411" s="1"/>
  <c r="V686" i="58411"/>
  <c r="V701" i="58411" s="1"/>
  <c r="U686" i="58411"/>
  <c r="U701" i="58411" s="1"/>
  <c r="T686" i="58411"/>
  <c r="T701" i="58411" s="1"/>
  <c r="S686" i="58411"/>
  <c r="S701" i="58411" s="1"/>
  <c r="Q686" i="58411"/>
  <c r="Q701" i="58411" s="1"/>
  <c r="P686" i="58411"/>
  <c r="P701" i="58411" s="1"/>
  <c r="O686" i="58411"/>
  <c r="N686" i="58411"/>
  <c r="N701" i="58411" s="1"/>
  <c r="L686" i="58411"/>
  <c r="L701" i="58411" s="1"/>
  <c r="K686" i="58411"/>
  <c r="K701" i="58411" s="1"/>
  <c r="J686" i="58411"/>
  <c r="J701" i="58411" s="1"/>
  <c r="I686" i="58411"/>
  <c r="I701" i="58411" s="1"/>
  <c r="G686" i="58411"/>
  <c r="G701" i="58411" s="1"/>
  <c r="F686" i="58411"/>
  <c r="F701" i="58411" s="1"/>
  <c r="E686" i="58411"/>
  <c r="E701" i="58411" s="1"/>
  <c r="D686" i="58411"/>
  <c r="D701" i="58411" s="1"/>
  <c r="C686" i="58411"/>
  <c r="C701" i="58411" s="1"/>
  <c r="B686" i="58411"/>
  <c r="B701" i="58411" s="1"/>
  <c r="A686" i="58411"/>
  <c r="AE683" i="58411"/>
  <c r="AA683" i="58411"/>
  <c r="Z683" i="58411"/>
  <c r="Y683" i="58411"/>
  <c r="X683" i="58411"/>
  <c r="V683" i="58411"/>
  <c r="U683" i="58411"/>
  <c r="T683" i="58411"/>
  <c r="S683" i="58411"/>
  <c r="Q683" i="58411"/>
  <c r="P683" i="58411"/>
  <c r="O683" i="58411"/>
  <c r="N683" i="58411"/>
  <c r="L683" i="58411"/>
  <c r="K683" i="58411"/>
  <c r="J683" i="58411"/>
  <c r="I683" i="58411"/>
  <c r="G683" i="58411"/>
  <c r="F683" i="58411"/>
  <c r="E683" i="58411"/>
  <c r="D683" i="58411"/>
  <c r="C683" i="58411"/>
  <c r="B683" i="58411"/>
  <c r="W682" i="58411"/>
  <c r="W698" i="58411" s="1"/>
  <c r="W681" i="58411"/>
  <c r="W697" i="58411" s="1"/>
  <c r="W680" i="58411"/>
  <c r="W696" i="58411" s="1"/>
  <c r="W679" i="58411"/>
  <c r="W695" i="58411" s="1"/>
  <c r="W678" i="58411"/>
  <c r="W694" i="58411" s="1"/>
  <c r="W677" i="58411"/>
  <c r="W693" i="58411" s="1"/>
  <c r="W676" i="58411"/>
  <c r="W692" i="58411" s="1"/>
  <c r="W675" i="58411"/>
  <c r="W691" i="58411" s="1"/>
  <c r="W674" i="58411"/>
  <c r="W690" i="58411" s="1"/>
  <c r="W673" i="58411"/>
  <c r="W689" i="58411" s="1"/>
  <c r="R682" i="58411"/>
  <c r="R698" i="58411" s="1"/>
  <c r="R681" i="58411"/>
  <c r="R697" i="58411" s="1"/>
  <c r="R680" i="58411"/>
  <c r="R696" i="58411" s="1"/>
  <c r="R679" i="58411"/>
  <c r="R695" i="58411" s="1"/>
  <c r="R678" i="58411"/>
  <c r="R694" i="58411" s="1"/>
  <c r="R677" i="58411"/>
  <c r="R693" i="58411" s="1"/>
  <c r="R676" i="58411"/>
  <c r="R692" i="58411" s="1"/>
  <c r="R675" i="58411"/>
  <c r="R691" i="58411" s="1"/>
  <c r="M682" i="58411"/>
  <c r="M698" i="58411" s="1"/>
  <c r="M681" i="58411"/>
  <c r="M697" i="58411" s="1"/>
  <c r="M680" i="58411"/>
  <c r="M696" i="58411" s="1"/>
  <c r="M679" i="58411"/>
  <c r="M695" i="58411" s="1"/>
  <c r="M678" i="58411"/>
  <c r="M694" i="58411" s="1"/>
  <c r="M677" i="58411"/>
  <c r="M693" i="58411" s="1"/>
  <c r="M676" i="58411"/>
  <c r="M692" i="58411" s="1"/>
  <c r="M675" i="58411"/>
  <c r="M691" i="58411" s="1"/>
  <c r="H682" i="58411"/>
  <c r="H698" i="58411" s="1"/>
  <c r="H681" i="58411"/>
  <c r="H697" i="58411" s="1"/>
  <c r="H680" i="58411"/>
  <c r="H696" i="58411" s="1"/>
  <c r="H679" i="58411"/>
  <c r="H695" i="58411" s="1"/>
  <c r="H678" i="58411"/>
  <c r="H694" i="58411" s="1"/>
  <c r="H677" i="58411"/>
  <c r="H693" i="58411" s="1"/>
  <c r="H676" i="58411"/>
  <c r="H692" i="58411" s="1"/>
  <c r="H675" i="58411"/>
  <c r="H691" i="58411" s="1"/>
  <c r="A682" i="58411"/>
  <c r="A678" i="58411"/>
  <c r="A677" i="58411"/>
  <c r="A676" i="58411"/>
  <c r="A675" i="58411"/>
  <c r="A674" i="58411"/>
  <c r="A673" i="58411"/>
  <c r="R673" i="58411"/>
  <c r="R689" i="58411" s="1"/>
  <c r="M673" i="58411"/>
  <c r="M689" i="58411" s="1"/>
  <c r="H673" i="58411"/>
  <c r="H689" i="58411" s="1"/>
  <c r="W671" i="58411"/>
  <c r="W687" i="58411" s="1"/>
  <c r="W670" i="58411"/>
  <c r="R671" i="58411"/>
  <c r="R670" i="58411"/>
  <c r="R686" i="58411" s="1"/>
  <c r="M671" i="58411"/>
  <c r="M687" i="58411" s="1"/>
  <c r="M670" i="58411"/>
  <c r="M686" i="58411" s="1"/>
  <c r="H671" i="58411"/>
  <c r="H687" i="58411" s="1"/>
  <c r="H670" i="58411"/>
  <c r="H686" i="58411" s="1"/>
  <c r="A671" i="58411"/>
  <c r="A670" i="58411"/>
  <c r="AH682" i="58411"/>
  <c r="AI682" i="58411" s="1"/>
  <c r="AG682" i="58411"/>
  <c r="AG698" i="58411" s="1"/>
  <c r="AF682" i="58411"/>
  <c r="AF698" i="58411" s="1"/>
  <c r="AF681" i="58411"/>
  <c r="AG681" i="58411" s="1"/>
  <c r="AF680" i="58411"/>
  <c r="AF696" i="58411" s="1"/>
  <c r="AG679" i="58411"/>
  <c r="AH679" i="58411" s="1"/>
  <c r="AF679" i="58411"/>
  <c r="AF695" i="58411" s="1"/>
  <c r="AH678" i="58411"/>
  <c r="AI678" i="58411" s="1"/>
  <c r="AG678" i="58411"/>
  <c r="AG694" i="58411" s="1"/>
  <c r="AF678" i="58411"/>
  <c r="AF694" i="58411" s="1"/>
  <c r="AF677" i="58411"/>
  <c r="AG677" i="58411" s="1"/>
  <c r="AF676" i="58411"/>
  <c r="AF692" i="58411" s="1"/>
  <c r="AG675" i="58411"/>
  <c r="AH675" i="58411" s="1"/>
  <c r="AF691" i="58411"/>
  <c r="AH674" i="58411"/>
  <c r="AI674" i="58411" s="1"/>
  <c r="AG674" i="58411"/>
  <c r="AF674" i="58411"/>
  <c r="AF690" i="58411" s="1"/>
  <c r="AG673" i="58411"/>
  <c r="AF672" i="58411"/>
  <c r="AF688" i="58411" s="1"/>
  <c r="AG671" i="58411"/>
  <c r="AH671" i="58411" s="1"/>
  <c r="AF671" i="58411"/>
  <c r="AF687" i="58411" s="1"/>
  <c r="AH670" i="58411"/>
  <c r="AI670" i="58411" s="1"/>
  <c r="AG670" i="58411"/>
  <c r="AF670" i="58411"/>
  <c r="AF686" i="58411" s="1"/>
  <c r="AC682" i="58411"/>
  <c r="AD682" i="58411" s="1"/>
  <c r="AB682" i="58411"/>
  <c r="AB698" i="58411" s="1"/>
  <c r="AB681" i="58411"/>
  <c r="AB697" i="58411" s="1"/>
  <c r="AB680" i="58411"/>
  <c r="AB696" i="58411" s="1"/>
  <c r="AD679" i="58411"/>
  <c r="AC679" i="58411"/>
  <c r="AB679" i="58411"/>
  <c r="AB695" i="58411" s="1"/>
  <c r="AC678" i="58411"/>
  <c r="AD678" i="58411" s="1"/>
  <c r="AB678" i="58411"/>
  <c r="AB694" i="58411" s="1"/>
  <c r="AB677" i="58411"/>
  <c r="AB693" i="58411" s="1"/>
  <c r="AB676" i="58411"/>
  <c r="AB692" i="58411" s="1"/>
  <c r="AD675" i="58411"/>
  <c r="AC675" i="58411"/>
  <c r="AB675" i="58411"/>
  <c r="AB691" i="58411" s="1"/>
  <c r="AC674" i="58411"/>
  <c r="AD674" i="58411" s="1"/>
  <c r="AB674" i="58411"/>
  <c r="AB690" i="58411" s="1"/>
  <c r="AB673" i="58411"/>
  <c r="AB689" i="58411" s="1"/>
  <c r="AB672" i="58411"/>
  <c r="AC672" i="58411" s="1"/>
  <c r="AD672" i="58411" s="1"/>
  <c r="AD671" i="58411"/>
  <c r="AC671" i="58411"/>
  <c r="AB671" i="58411"/>
  <c r="AB687" i="58411" s="1"/>
  <c r="AC670" i="58411"/>
  <c r="AB670" i="58411"/>
  <c r="AB683" i="58411" s="1"/>
  <c r="AE667" i="58411"/>
  <c r="AA667" i="58411"/>
  <c r="Z667" i="58411"/>
  <c r="Y667" i="58411"/>
  <c r="X667" i="58411"/>
  <c r="V667" i="58411"/>
  <c r="U667" i="58411"/>
  <c r="T667" i="58411"/>
  <c r="S667" i="58411"/>
  <c r="Q667" i="58411"/>
  <c r="P667" i="58411"/>
  <c r="O667" i="58411"/>
  <c r="N667" i="58411"/>
  <c r="L667" i="58411"/>
  <c r="K667" i="58411"/>
  <c r="J667" i="58411"/>
  <c r="I667" i="58411"/>
  <c r="G667" i="58411"/>
  <c r="F667" i="58411"/>
  <c r="E667" i="58411"/>
  <c r="D667" i="58411"/>
  <c r="C667" i="58411"/>
  <c r="B667" i="58411"/>
  <c r="W666" i="58411"/>
  <c r="W665" i="58411"/>
  <c r="W664" i="58411"/>
  <c r="W663" i="58411"/>
  <c r="W662" i="58411"/>
  <c r="W661" i="58411"/>
  <c r="W660" i="58411"/>
  <c r="W659" i="58411"/>
  <c r="W658" i="58411"/>
  <c r="W657" i="58411"/>
  <c r="R666" i="58411"/>
  <c r="R665" i="58411"/>
  <c r="R664" i="58411"/>
  <c r="R663" i="58411"/>
  <c r="R662" i="58411"/>
  <c r="R661" i="58411"/>
  <c r="R660" i="58411"/>
  <c r="R659" i="58411"/>
  <c r="M666" i="58411"/>
  <c r="M665" i="58411"/>
  <c r="M664" i="58411"/>
  <c r="M663" i="58411"/>
  <c r="M662" i="58411"/>
  <c r="M661" i="58411"/>
  <c r="M660" i="58411"/>
  <c r="M659" i="58411"/>
  <c r="H666" i="58411"/>
  <c r="H665" i="58411"/>
  <c r="H664" i="58411"/>
  <c r="H663" i="58411"/>
  <c r="H662" i="58411"/>
  <c r="H661" i="58411"/>
  <c r="H660" i="58411"/>
  <c r="H659" i="58411"/>
  <c r="A666" i="58411"/>
  <c r="A662" i="58411"/>
  <c r="A661" i="58411"/>
  <c r="A660" i="58411"/>
  <c r="A659" i="58411"/>
  <c r="A658" i="58411"/>
  <c r="A657" i="58411"/>
  <c r="R657" i="58411"/>
  <c r="R667" i="58411" s="1"/>
  <c r="M657" i="58411"/>
  <c r="H657" i="58411"/>
  <c r="W655" i="58411"/>
  <c r="W654" i="58411"/>
  <c r="W667" i="58411" s="1"/>
  <c r="R655" i="58411"/>
  <c r="R687" i="58411" s="1"/>
  <c r="R654" i="58411"/>
  <c r="M655" i="58411"/>
  <c r="M654" i="58411"/>
  <c r="M667" i="58411" s="1"/>
  <c r="H655" i="58411"/>
  <c r="H654" i="58411"/>
  <c r="H667" i="58411" s="1"/>
  <c r="A655" i="58411"/>
  <c r="A654" i="58411"/>
  <c r="AG666" i="58411"/>
  <c r="AH666" i="58411" s="1"/>
  <c r="AI666" i="58411" s="1"/>
  <c r="AJ666" i="58411" s="1"/>
  <c r="AK666" i="58411" s="1"/>
  <c r="AL666" i="58411" s="1"/>
  <c r="AM666" i="58411" s="1"/>
  <c r="AN666" i="58411" s="1"/>
  <c r="AF666" i="58411"/>
  <c r="AF665" i="58411"/>
  <c r="AG665" i="58411" s="1"/>
  <c r="AH665" i="58411" s="1"/>
  <c r="AI665" i="58411" s="1"/>
  <c r="AJ665" i="58411" s="1"/>
  <c r="AK665" i="58411" s="1"/>
  <c r="AL665" i="58411" s="1"/>
  <c r="AM665" i="58411" s="1"/>
  <c r="AN665" i="58411" s="1"/>
  <c r="AF664" i="58411"/>
  <c r="AG664" i="58411" s="1"/>
  <c r="AH664" i="58411" s="1"/>
  <c r="AI664" i="58411" s="1"/>
  <c r="AJ664" i="58411" s="1"/>
  <c r="AK664" i="58411" s="1"/>
  <c r="AL664" i="58411" s="1"/>
  <c r="AM664" i="58411" s="1"/>
  <c r="AN664" i="58411" s="1"/>
  <c r="AF663" i="58411"/>
  <c r="AG663" i="58411" s="1"/>
  <c r="AH663" i="58411" s="1"/>
  <c r="AI663" i="58411" s="1"/>
  <c r="AJ663" i="58411" s="1"/>
  <c r="AK663" i="58411" s="1"/>
  <c r="AL663" i="58411" s="1"/>
  <c r="AM663" i="58411" s="1"/>
  <c r="AN663" i="58411" s="1"/>
  <c r="AG662" i="58411"/>
  <c r="AH662" i="58411" s="1"/>
  <c r="AI662" i="58411" s="1"/>
  <c r="AJ662" i="58411" s="1"/>
  <c r="AK662" i="58411" s="1"/>
  <c r="AL662" i="58411" s="1"/>
  <c r="AM662" i="58411" s="1"/>
  <c r="AN662" i="58411" s="1"/>
  <c r="AF662" i="58411"/>
  <c r="AG661" i="58411"/>
  <c r="AH661" i="58411" s="1"/>
  <c r="AI661" i="58411" s="1"/>
  <c r="AJ661" i="58411" s="1"/>
  <c r="AK661" i="58411" s="1"/>
  <c r="AL661" i="58411" s="1"/>
  <c r="AM661" i="58411" s="1"/>
  <c r="AN661" i="58411" s="1"/>
  <c r="AF660" i="58411"/>
  <c r="AG660" i="58411" s="1"/>
  <c r="AH660" i="58411" s="1"/>
  <c r="AI660" i="58411" s="1"/>
  <c r="AJ660" i="58411" s="1"/>
  <c r="AK660" i="58411" s="1"/>
  <c r="AL660" i="58411" s="1"/>
  <c r="AM660" i="58411" s="1"/>
  <c r="AN660" i="58411" s="1"/>
  <c r="AG659" i="58411"/>
  <c r="AH659" i="58411" s="1"/>
  <c r="AI659" i="58411" s="1"/>
  <c r="AJ659" i="58411" s="1"/>
  <c r="AK659" i="58411" s="1"/>
  <c r="AL659" i="58411" s="1"/>
  <c r="AM659" i="58411" s="1"/>
  <c r="AN659" i="58411" s="1"/>
  <c r="AG658" i="58411"/>
  <c r="AH658" i="58411" s="1"/>
  <c r="AI658" i="58411" s="1"/>
  <c r="AJ658" i="58411" s="1"/>
  <c r="AK658" i="58411" s="1"/>
  <c r="AL658" i="58411" s="1"/>
  <c r="AM658" i="58411" s="1"/>
  <c r="AN658" i="58411" s="1"/>
  <c r="AG657" i="58411"/>
  <c r="AH657" i="58411" s="1"/>
  <c r="AI657" i="58411" s="1"/>
  <c r="AJ657" i="58411" s="1"/>
  <c r="AK657" i="58411" s="1"/>
  <c r="AL657" i="58411" s="1"/>
  <c r="AM657" i="58411" s="1"/>
  <c r="AN657" i="58411" s="1"/>
  <c r="AF656" i="58411"/>
  <c r="AG656" i="58411" s="1"/>
  <c r="AH656" i="58411" s="1"/>
  <c r="AI656" i="58411" s="1"/>
  <c r="AJ656" i="58411" s="1"/>
  <c r="AK656" i="58411" s="1"/>
  <c r="AL656" i="58411" s="1"/>
  <c r="AM656" i="58411" s="1"/>
  <c r="AN656" i="58411" s="1"/>
  <c r="AG655" i="58411"/>
  <c r="AH655" i="58411" s="1"/>
  <c r="AI655" i="58411" s="1"/>
  <c r="AJ655" i="58411" s="1"/>
  <c r="AK655" i="58411" s="1"/>
  <c r="AL655" i="58411" s="1"/>
  <c r="AM655" i="58411" s="1"/>
  <c r="AN655" i="58411" s="1"/>
  <c r="AG654" i="58411"/>
  <c r="AH654" i="58411" s="1"/>
  <c r="AF667" i="58411"/>
  <c r="AF389" i="58438" s="1"/>
  <c r="AB666" i="58411"/>
  <c r="AC666" i="58411" s="1"/>
  <c r="AD666" i="58411" s="1"/>
  <c r="AB665" i="58411"/>
  <c r="AC665" i="58411" s="1"/>
  <c r="AD665" i="58411" s="1"/>
  <c r="AD664" i="58411"/>
  <c r="AC664" i="58411"/>
  <c r="AB664" i="58411"/>
  <c r="AC663" i="58411"/>
  <c r="AD663" i="58411" s="1"/>
  <c r="AB663" i="58411"/>
  <c r="AB662" i="58411"/>
  <c r="AC662" i="58411" s="1"/>
  <c r="AD662" i="58411" s="1"/>
  <c r="AB661" i="58411"/>
  <c r="AC661" i="58411" s="1"/>
  <c r="AD661" i="58411" s="1"/>
  <c r="AD660" i="58411"/>
  <c r="AC660" i="58411"/>
  <c r="AB660" i="58411"/>
  <c r="AC659" i="58411"/>
  <c r="AD659" i="58411" s="1"/>
  <c r="AB659" i="58411"/>
  <c r="AB658" i="58411"/>
  <c r="AC658" i="58411" s="1"/>
  <c r="AD658" i="58411" s="1"/>
  <c r="AB657" i="58411"/>
  <c r="AC657" i="58411" s="1"/>
  <c r="AD657" i="58411" s="1"/>
  <c r="AD656" i="58411"/>
  <c r="AC656" i="58411"/>
  <c r="AB656" i="58411"/>
  <c r="AC655" i="58411"/>
  <c r="AD655" i="58411" s="1"/>
  <c r="AB655" i="58411"/>
  <c r="AB654" i="58411"/>
  <c r="AB667" i="58411" s="1"/>
  <c r="AE651" i="58411"/>
  <c r="AA651" i="58411"/>
  <c r="Z651" i="58411"/>
  <c r="Y651" i="58411"/>
  <c r="X651" i="58411"/>
  <c r="V651" i="58411"/>
  <c r="U651" i="58411"/>
  <c r="T651" i="58411"/>
  <c r="S651" i="58411"/>
  <c r="Q651" i="58411"/>
  <c r="P651" i="58411"/>
  <c r="N651" i="58411"/>
  <c r="L651" i="58411"/>
  <c r="K651" i="58411"/>
  <c r="J651" i="58411"/>
  <c r="I651" i="58411"/>
  <c r="G651" i="58411"/>
  <c r="F651" i="58411"/>
  <c r="E651" i="58411"/>
  <c r="D651" i="58411"/>
  <c r="C651" i="58411"/>
  <c r="B651" i="58411"/>
  <c r="W650" i="58411"/>
  <c r="W649" i="58411"/>
  <c r="W648" i="58411"/>
  <c r="W647" i="58411"/>
  <c r="W646" i="58411"/>
  <c r="W645" i="58411"/>
  <c r="W644" i="58411"/>
  <c r="W643" i="58411"/>
  <c r="W642" i="58411"/>
  <c r="W641" i="58411"/>
  <c r="R650" i="58411"/>
  <c r="R649" i="58411"/>
  <c r="R648" i="58411"/>
  <c r="R647" i="58411"/>
  <c r="R646" i="58411"/>
  <c r="R645" i="58411"/>
  <c r="R644" i="58411"/>
  <c r="R643" i="58411"/>
  <c r="M650" i="58411"/>
  <c r="M649" i="58411"/>
  <c r="M648" i="58411"/>
  <c r="M647" i="58411"/>
  <c r="M646" i="58411"/>
  <c r="M645" i="58411"/>
  <c r="M644" i="58411"/>
  <c r="M651" i="58411" s="1"/>
  <c r="M643" i="58411"/>
  <c r="H650" i="58411"/>
  <c r="H649" i="58411"/>
  <c r="H648" i="58411"/>
  <c r="H647" i="58411"/>
  <c r="H646" i="58411"/>
  <c r="H645" i="58411"/>
  <c r="H644" i="58411"/>
  <c r="H643" i="58411"/>
  <c r="A642" i="58411"/>
  <c r="R641" i="58411"/>
  <c r="M641" i="58411"/>
  <c r="H641" i="58411"/>
  <c r="W639" i="58411"/>
  <c r="W638" i="58411"/>
  <c r="W651" i="58411" s="1"/>
  <c r="R639" i="58411"/>
  <c r="R638" i="58411"/>
  <c r="R651" i="58411" s="1"/>
  <c r="O639" i="58411"/>
  <c r="O781" i="58411" s="1"/>
  <c r="M639" i="58411"/>
  <c r="M638" i="58411"/>
  <c r="H639" i="58411"/>
  <c r="H638" i="58411"/>
  <c r="H651" i="58411" s="1"/>
  <c r="AG650" i="58411"/>
  <c r="AH650" i="58411" s="1"/>
  <c r="AI650" i="58411" s="1"/>
  <c r="AJ650" i="58411" s="1"/>
  <c r="AK650" i="58411" s="1"/>
  <c r="AL650" i="58411" s="1"/>
  <c r="AM650" i="58411" s="1"/>
  <c r="AN650" i="58411" s="1"/>
  <c r="AF650" i="58411"/>
  <c r="AH649" i="58411"/>
  <c r="AI649" i="58411" s="1"/>
  <c r="AJ649" i="58411" s="1"/>
  <c r="AK649" i="58411" s="1"/>
  <c r="AL649" i="58411" s="1"/>
  <c r="AM649" i="58411" s="1"/>
  <c r="AN649" i="58411" s="1"/>
  <c r="AG649" i="58411"/>
  <c r="AF649" i="58411"/>
  <c r="AF648" i="58411"/>
  <c r="AG648" i="58411" s="1"/>
  <c r="AH648" i="58411" s="1"/>
  <c r="AI648" i="58411" s="1"/>
  <c r="AJ648" i="58411" s="1"/>
  <c r="AK648" i="58411" s="1"/>
  <c r="AL648" i="58411" s="1"/>
  <c r="AM648" i="58411" s="1"/>
  <c r="AN648" i="58411" s="1"/>
  <c r="AF647" i="58411"/>
  <c r="AG647" i="58411" s="1"/>
  <c r="AH647" i="58411" s="1"/>
  <c r="AI647" i="58411" s="1"/>
  <c r="AJ647" i="58411" s="1"/>
  <c r="AK647" i="58411" s="1"/>
  <c r="AL647" i="58411" s="1"/>
  <c r="AM647" i="58411" s="1"/>
  <c r="AN647" i="58411" s="1"/>
  <c r="AG646" i="58411"/>
  <c r="AH646" i="58411" s="1"/>
  <c r="AI646" i="58411" s="1"/>
  <c r="AJ646" i="58411" s="1"/>
  <c r="AK646" i="58411" s="1"/>
  <c r="AL646" i="58411" s="1"/>
  <c r="AM646" i="58411" s="1"/>
  <c r="AN646" i="58411" s="1"/>
  <c r="AF646" i="58411"/>
  <c r="AH645" i="58411"/>
  <c r="AI645" i="58411" s="1"/>
  <c r="AJ645" i="58411" s="1"/>
  <c r="AK645" i="58411" s="1"/>
  <c r="AL645" i="58411" s="1"/>
  <c r="AM645" i="58411" s="1"/>
  <c r="AN645" i="58411" s="1"/>
  <c r="AG645" i="58411"/>
  <c r="AF645" i="58411"/>
  <c r="AF644" i="58411"/>
  <c r="AG644" i="58411" s="1"/>
  <c r="AH644" i="58411" s="1"/>
  <c r="AI644" i="58411" s="1"/>
  <c r="AJ644" i="58411" s="1"/>
  <c r="AK644" i="58411" s="1"/>
  <c r="AL644" i="58411" s="1"/>
  <c r="AM644" i="58411" s="1"/>
  <c r="AN644" i="58411" s="1"/>
  <c r="AF643" i="58411"/>
  <c r="AG643" i="58411" s="1"/>
  <c r="AH643" i="58411" s="1"/>
  <c r="AI643" i="58411" s="1"/>
  <c r="AJ643" i="58411" s="1"/>
  <c r="AK643" i="58411" s="1"/>
  <c r="AL643" i="58411" s="1"/>
  <c r="AM643" i="58411" s="1"/>
  <c r="AN643" i="58411" s="1"/>
  <c r="AG642" i="58411"/>
  <c r="AH642" i="58411" s="1"/>
  <c r="AI642" i="58411" s="1"/>
  <c r="AJ642" i="58411" s="1"/>
  <c r="AK642" i="58411" s="1"/>
  <c r="AL642" i="58411" s="1"/>
  <c r="AM642" i="58411" s="1"/>
  <c r="AN642" i="58411" s="1"/>
  <c r="AF642" i="58411"/>
  <c r="AG641" i="58411"/>
  <c r="AH641" i="58411" s="1"/>
  <c r="AI641" i="58411" s="1"/>
  <c r="AJ641" i="58411" s="1"/>
  <c r="AK641" i="58411" s="1"/>
  <c r="AL641" i="58411" s="1"/>
  <c r="AM641" i="58411" s="1"/>
  <c r="AN641" i="58411" s="1"/>
  <c r="AF640" i="58411"/>
  <c r="AG640" i="58411" s="1"/>
  <c r="AH640" i="58411" s="1"/>
  <c r="AI640" i="58411" s="1"/>
  <c r="AJ640" i="58411" s="1"/>
  <c r="AK640" i="58411" s="1"/>
  <c r="AL640" i="58411" s="1"/>
  <c r="AM640" i="58411" s="1"/>
  <c r="AN640" i="58411" s="1"/>
  <c r="AG639" i="58411"/>
  <c r="AH639" i="58411" s="1"/>
  <c r="AI639" i="58411" s="1"/>
  <c r="AJ639" i="58411" s="1"/>
  <c r="AK639" i="58411" s="1"/>
  <c r="AL639" i="58411" s="1"/>
  <c r="AM639" i="58411" s="1"/>
  <c r="AN639" i="58411" s="1"/>
  <c r="AG638" i="58411"/>
  <c r="AH638" i="58411" s="1"/>
  <c r="AF638" i="58411"/>
  <c r="AF651" i="58411" s="1"/>
  <c r="AB650" i="58411"/>
  <c r="AC650" i="58411" s="1"/>
  <c r="AD650" i="58411" s="1"/>
  <c r="AB649" i="58411"/>
  <c r="AC649" i="58411" s="1"/>
  <c r="AD649" i="58411" s="1"/>
  <c r="AD648" i="58411"/>
  <c r="AC648" i="58411"/>
  <c r="AB648" i="58411"/>
  <c r="AC647" i="58411"/>
  <c r="AD647" i="58411" s="1"/>
  <c r="AB647" i="58411"/>
  <c r="AB646" i="58411"/>
  <c r="AC646" i="58411" s="1"/>
  <c r="AD646" i="58411" s="1"/>
  <c r="AB645" i="58411"/>
  <c r="AC645" i="58411" s="1"/>
  <c r="AD645" i="58411" s="1"/>
  <c r="AD644" i="58411"/>
  <c r="AC644" i="58411"/>
  <c r="AB644" i="58411"/>
  <c r="AC643" i="58411"/>
  <c r="AD643" i="58411" s="1"/>
  <c r="AB643" i="58411"/>
  <c r="AB642" i="58411"/>
  <c r="AC642" i="58411" s="1"/>
  <c r="AD642" i="58411" s="1"/>
  <c r="AB641" i="58411"/>
  <c r="AC641" i="58411" s="1"/>
  <c r="AD641" i="58411" s="1"/>
  <c r="AD640" i="58411"/>
  <c r="AC640" i="58411"/>
  <c r="AB640" i="58411"/>
  <c r="AC639" i="58411"/>
  <c r="AD639" i="58411" s="1"/>
  <c r="AB639" i="58411"/>
  <c r="AB638" i="58411"/>
  <c r="AC638" i="58411" s="1"/>
  <c r="AN635" i="58411"/>
  <c r="AM635" i="58411"/>
  <c r="AL635" i="58411"/>
  <c r="AK635" i="58411"/>
  <c r="AJ635" i="58411"/>
  <c r="AI635" i="58411"/>
  <c r="AH635" i="58411"/>
  <c r="AG635" i="58411"/>
  <c r="AF635" i="58411"/>
  <c r="AE635" i="58411"/>
  <c r="AD635" i="58411"/>
  <c r="AC635" i="58411"/>
  <c r="AB635" i="58411"/>
  <c r="AA635" i="58411"/>
  <c r="Z635" i="58411"/>
  <c r="Y635" i="58411"/>
  <c r="X635" i="58411"/>
  <c r="W635" i="58411"/>
  <c r="V635" i="58411"/>
  <c r="U635" i="58411"/>
  <c r="T635" i="58411"/>
  <c r="S635" i="58411"/>
  <c r="R635" i="58411"/>
  <c r="Q635" i="58411"/>
  <c r="P635" i="58411"/>
  <c r="O635" i="58411"/>
  <c r="N635" i="58411"/>
  <c r="M635" i="58411"/>
  <c r="L635" i="58411"/>
  <c r="K635" i="58411"/>
  <c r="J635" i="58411"/>
  <c r="I635" i="58411"/>
  <c r="H635" i="58411"/>
  <c r="G635" i="58411"/>
  <c r="F635" i="58411"/>
  <c r="E635" i="58411"/>
  <c r="D635" i="58411"/>
  <c r="C635" i="58411"/>
  <c r="B635" i="58411"/>
  <c r="AD630" i="58411"/>
  <c r="AD631" i="58411" s="1"/>
  <c r="AD632" i="58411" s="1"/>
  <c r="AC630" i="58411"/>
  <c r="AA627" i="58411"/>
  <c r="Z627" i="58411"/>
  <c r="Y627" i="58411"/>
  <c r="X627" i="58411"/>
  <c r="V627" i="58411"/>
  <c r="U627" i="58411"/>
  <c r="T627" i="58411"/>
  <c r="N627" i="58411"/>
  <c r="L627" i="58411"/>
  <c r="K627" i="58411"/>
  <c r="J627" i="58411"/>
  <c r="I627" i="58411"/>
  <c r="G627" i="58411"/>
  <c r="F627" i="58411"/>
  <c r="E627" i="58411"/>
  <c r="D627" i="58411"/>
  <c r="C627" i="58411"/>
  <c r="B627" i="58411"/>
  <c r="A627" i="58411"/>
  <c r="A624" i="58411"/>
  <c r="A623" i="58411"/>
  <c r="A622" i="58411"/>
  <c r="A621" i="58411"/>
  <c r="A620" i="58411"/>
  <c r="A619" i="58411"/>
  <c r="A618" i="58411"/>
  <c r="AA624" i="58411"/>
  <c r="Z624" i="58411"/>
  <c r="Y624" i="58411"/>
  <c r="X624" i="58411"/>
  <c r="V624" i="58411"/>
  <c r="U624" i="58411"/>
  <c r="T624" i="58411"/>
  <c r="N624" i="58411"/>
  <c r="L624" i="58411"/>
  <c r="K624" i="58411"/>
  <c r="J624" i="58411"/>
  <c r="I624" i="58411"/>
  <c r="G624" i="58411"/>
  <c r="F624" i="58411"/>
  <c r="E624" i="58411"/>
  <c r="D624" i="58411"/>
  <c r="C624" i="58411"/>
  <c r="B624" i="58411"/>
  <c r="AA623" i="58411"/>
  <c r="Z623" i="58411"/>
  <c r="Y623" i="58411"/>
  <c r="X623" i="58411"/>
  <c r="V623" i="58411"/>
  <c r="U623" i="58411"/>
  <c r="T623" i="58411"/>
  <c r="N623" i="58411"/>
  <c r="L623" i="58411"/>
  <c r="K623" i="58411"/>
  <c r="J623" i="58411"/>
  <c r="I623" i="58411"/>
  <c r="G623" i="58411"/>
  <c r="F623" i="58411"/>
  <c r="E623" i="58411"/>
  <c r="D623" i="58411"/>
  <c r="C623" i="58411"/>
  <c r="B623" i="58411"/>
  <c r="AA622" i="58411"/>
  <c r="Z622" i="58411"/>
  <c r="Y622" i="58411"/>
  <c r="X622" i="58411"/>
  <c r="V622" i="58411"/>
  <c r="U622" i="58411"/>
  <c r="T622" i="58411"/>
  <c r="N622" i="58411"/>
  <c r="L622" i="58411"/>
  <c r="K622" i="58411"/>
  <c r="J622" i="58411"/>
  <c r="I622" i="58411"/>
  <c r="G622" i="58411"/>
  <c r="F622" i="58411"/>
  <c r="E622" i="58411"/>
  <c r="D622" i="58411"/>
  <c r="C622" i="58411"/>
  <c r="B622" i="58411"/>
  <c r="AA621" i="58411"/>
  <c r="Z621" i="58411"/>
  <c r="Y621" i="58411"/>
  <c r="X621" i="58411"/>
  <c r="V621" i="58411"/>
  <c r="U621" i="58411"/>
  <c r="T621" i="58411"/>
  <c r="N621" i="58411"/>
  <c r="L621" i="58411"/>
  <c r="K621" i="58411"/>
  <c r="J621" i="58411"/>
  <c r="I621" i="58411"/>
  <c r="G621" i="58411"/>
  <c r="F621" i="58411"/>
  <c r="E621" i="58411"/>
  <c r="D621" i="58411"/>
  <c r="C621" i="58411"/>
  <c r="B621" i="58411"/>
  <c r="AA620" i="58411"/>
  <c r="Z620" i="58411"/>
  <c r="Y620" i="58411"/>
  <c r="X620" i="58411"/>
  <c r="V620" i="58411"/>
  <c r="U620" i="58411"/>
  <c r="T620" i="58411"/>
  <c r="N620" i="58411"/>
  <c r="L620" i="58411"/>
  <c r="K620" i="58411"/>
  <c r="J620" i="58411"/>
  <c r="I620" i="58411"/>
  <c r="G620" i="58411"/>
  <c r="F620" i="58411"/>
  <c r="E620" i="58411"/>
  <c r="D620" i="58411"/>
  <c r="C620" i="58411"/>
  <c r="B620" i="58411"/>
  <c r="AA619" i="58411"/>
  <c r="Z619" i="58411"/>
  <c r="Y619" i="58411"/>
  <c r="X619" i="58411"/>
  <c r="V619" i="58411"/>
  <c r="U619" i="58411"/>
  <c r="T619" i="58411"/>
  <c r="R619" i="58411"/>
  <c r="AA618" i="58411"/>
  <c r="Z618" i="58411"/>
  <c r="Y618" i="58411"/>
  <c r="X618" i="58411"/>
  <c r="V618" i="58411"/>
  <c r="U618" i="58411"/>
  <c r="T618" i="58411"/>
  <c r="S618" i="58411"/>
  <c r="Q618" i="58411"/>
  <c r="P618" i="58411"/>
  <c r="O618" i="58411"/>
  <c r="N618" i="58411"/>
  <c r="L618" i="58411"/>
  <c r="K618" i="58411"/>
  <c r="J618" i="58411"/>
  <c r="I618" i="58411"/>
  <c r="G618" i="58411"/>
  <c r="F618" i="58411"/>
  <c r="E618" i="58411"/>
  <c r="D618" i="58411"/>
  <c r="C618" i="58411"/>
  <c r="B618" i="58411"/>
  <c r="AG629" i="58411"/>
  <c r="AH629" i="58411" s="1"/>
  <c r="AI629" i="58411" s="1"/>
  <c r="AJ629" i="58411" s="1"/>
  <c r="AK629" i="58411" s="1"/>
  <c r="AL629" i="58411" s="1"/>
  <c r="AM629" i="58411" s="1"/>
  <c r="AN629" i="58411" s="1"/>
  <c r="AG628" i="58411"/>
  <c r="AH628" i="58411" s="1"/>
  <c r="AI628" i="58411" s="1"/>
  <c r="AJ628" i="58411" s="1"/>
  <c r="AK628" i="58411" s="1"/>
  <c r="AL628" i="58411" s="1"/>
  <c r="AM628" i="58411" s="1"/>
  <c r="AN628" i="58411" s="1"/>
  <c r="AE623" i="58411"/>
  <c r="AE622" i="58411"/>
  <c r="AE621" i="58411"/>
  <c r="AE620" i="58411"/>
  <c r="AE619" i="58411"/>
  <c r="AE618" i="58411"/>
  <c r="AE617" i="58411"/>
  <c r="AE616" i="58411"/>
  <c r="AE615" i="58411"/>
  <c r="AA617" i="58411"/>
  <c r="AA616" i="58411"/>
  <c r="AA615" i="58411"/>
  <c r="AA630" i="58411" s="1"/>
  <c r="AA631" i="58411" s="1"/>
  <c r="AA632" i="58411" s="1"/>
  <c r="Z616" i="58411"/>
  <c r="Y616" i="58411"/>
  <c r="X616" i="58411"/>
  <c r="V616" i="58411"/>
  <c r="U616" i="58411"/>
  <c r="T616" i="58411"/>
  <c r="S616" i="58411"/>
  <c r="Q616" i="58411"/>
  <c r="P616" i="58411"/>
  <c r="O616" i="58411"/>
  <c r="N616" i="58411"/>
  <c r="L616" i="58411"/>
  <c r="K616" i="58411"/>
  <c r="J616" i="58411"/>
  <c r="I616" i="58411"/>
  <c r="G616" i="58411"/>
  <c r="F616" i="58411"/>
  <c r="E616" i="58411"/>
  <c r="D616" i="58411"/>
  <c r="C616" i="58411"/>
  <c r="B616" i="58411"/>
  <c r="A616" i="58411"/>
  <c r="Z615" i="58411"/>
  <c r="Z630" i="58411" s="1"/>
  <c r="Y615" i="58411"/>
  <c r="Y630" i="58411" s="1"/>
  <c r="X615" i="58411"/>
  <c r="X630" i="58411" s="1"/>
  <c r="V615" i="58411"/>
  <c r="V630" i="58411" s="1"/>
  <c r="U615" i="58411"/>
  <c r="U630" i="58411" s="1"/>
  <c r="T615" i="58411"/>
  <c r="T630" i="58411" s="1"/>
  <c r="S615" i="58411"/>
  <c r="Q615" i="58411"/>
  <c r="P615" i="58411"/>
  <c r="O615" i="58411"/>
  <c r="N615" i="58411"/>
  <c r="N630" i="58411" s="1"/>
  <c r="L615" i="58411"/>
  <c r="L630" i="58411" s="1"/>
  <c r="K615" i="58411"/>
  <c r="J615" i="58411"/>
  <c r="J630" i="58411" s="1"/>
  <c r="I615" i="58411"/>
  <c r="I630" i="58411" s="1"/>
  <c r="G615" i="58411"/>
  <c r="G630" i="58411" s="1"/>
  <c r="F615" i="58411"/>
  <c r="F630" i="58411" s="1"/>
  <c r="E615" i="58411"/>
  <c r="E630" i="58411" s="1"/>
  <c r="D615" i="58411"/>
  <c r="D630" i="58411" s="1"/>
  <c r="C615" i="58411"/>
  <c r="C630" i="58411" s="1"/>
  <c r="C631" i="58411" s="1"/>
  <c r="C632" i="58411" s="1"/>
  <c r="B615" i="58411"/>
  <c r="B630" i="58411" s="1"/>
  <c r="A615" i="58411"/>
  <c r="AA612" i="58411"/>
  <c r="Z612" i="58411"/>
  <c r="Y612" i="58411"/>
  <c r="X612" i="58411"/>
  <c r="V612" i="58411"/>
  <c r="U612" i="58411"/>
  <c r="T612" i="58411"/>
  <c r="Q612" i="58411"/>
  <c r="P612" i="58411"/>
  <c r="O612" i="58411"/>
  <c r="N612" i="58411"/>
  <c r="L612" i="58411"/>
  <c r="K612" i="58411"/>
  <c r="J612" i="58411"/>
  <c r="I612" i="58411"/>
  <c r="G612" i="58411"/>
  <c r="F612" i="58411"/>
  <c r="E612" i="58411"/>
  <c r="D612" i="58411"/>
  <c r="C612" i="58411"/>
  <c r="B612" i="58411"/>
  <c r="AC611" i="58411"/>
  <c r="AD611" i="58411" s="1"/>
  <c r="AE611" i="58411" s="1"/>
  <c r="AB611" i="58411"/>
  <c r="W611" i="58411"/>
  <c r="R611" i="58411"/>
  <c r="M611" i="58411"/>
  <c r="H611" i="58411"/>
  <c r="A611" i="58411"/>
  <c r="AC610" i="58411"/>
  <c r="AD610" i="58411" s="1"/>
  <c r="AE610" i="58411" s="1"/>
  <c r="AC609" i="58411"/>
  <c r="AD609" i="58411" s="1"/>
  <c r="AE609" i="58411" s="1"/>
  <c r="AC608" i="58411"/>
  <c r="AD608" i="58411" s="1"/>
  <c r="AE608" i="58411" s="1"/>
  <c r="AB608" i="58411"/>
  <c r="AB607" i="58411"/>
  <c r="AB606" i="58411"/>
  <c r="AC606" i="58411" s="1"/>
  <c r="AD606" i="58411" s="1"/>
  <c r="AB605" i="58411"/>
  <c r="AB604" i="58411"/>
  <c r="AB603" i="58411"/>
  <c r="AB602" i="58411"/>
  <c r="AC602" i="58411" s="1"/>
  <c r="AD602" i="58411" s="1"/>
  <c r="AB601" i="58411"/>
  <c r="AB600" i="58411"/>
  <c r="AB599" i="58411"/>
  <c r="W608" i="58411"/>
  <c r="W607" i="58411"/>
  <c r="W606" i="58411"/>
  <c r="W605" i="58411"/>
  <c r="W604" i="58411"/>
  <c r="W603" i="58411"/>
  <c r="W602" i="58411"/>
  <c r="R608" i="58411"/>
  <c r="R607" i="58411"/>
  <c r="R606" i="58411"/>
  <c r="R605" i="58411"/>
  <c r="R604" i="58411"/>
  <c r="M608" i="58411"/>
  <c r="M607" i="58411"/>
  <c r="M606" i="58411"/>
  <c r="M605" i="58411"/>
  <c r="M604" i="58411"/>
  <c r="H608" i="58411"/>
  <c r="H607" i="58411"/>
  <c r="H606" i="58411"/>
  <c r="H605" i="58411"/>
  <c r="H604" i="58411"/>
  <c r="A607" i="58411"/>
  <c r="A606" i="58411"/>
  <c r="A605" i="58411"/>
  <c r="A604" i="58411"/>
  <c r="A603" i="58411"/>
  <c r="A602" i="58411"/>
  <c r="S603" i="58411"/>
  <c r="R602" i="58411"/>
  <c r="M602" i="58411"/>
  <c r="H602" i="58411"/>
  <c r="W600" i="58411"/>
  <c r="W616" i="58411" s="1"/>
  <c r="W599" i="58411"/>
  <c r="R600" i="58411"/>
  <c r="R599" i="58411"/>
  <c r="R612" i="58411" s="1"/>
  <c r="M600" i="58411"/>
  <c r="M599" i="58411"/>
  <c r="M612" i="58411" s="1"/>
  <c r="H600" i="58411"/>
  <c r="H599" i="58411"/>
  <c r="H612" i="58411" s="1"/>
  <c r="A600" i="58411"/>
  <c r="A599" i="58411"/>
  <c r="AG607" i="58411"/>
  <c r="AH607" i="58411" s="1"/>
  <c r="AG606" i="58411"/>
  <c r="AF605" i="58411"/>
  <c r="AG603" i="58411"/>
  <c r="AH603" i="58411" s="1"/>
  <c r="AG602" i="58411"/>
  <c r="AG599" i="58411"/>
  <c r="AH599" i="58411" s="1"/>
  <c r="AF599" i="58411"/>
  <c r="AC607" i="58411"/>
  <c r="AD607" i="58411" s="1"/>
  <c r="AC605" i="58411"/>
  <c r="AD605" i="58411" s="1"/>
  <c r="AD604" i="58411"/>
  <c r="AC604" i="58411"/>
  <c r="AC603" i="58411"/>
  <c r="AD603" i="58411" s="1"/>
  <c r="AC601" i="58411"/>
  <c r="AD601" i="58411" s="1"/>
  <c r="AD600" i="58411"/>
  <c r="AC600" i="58411"/>
  <c r="AC599" i="58411"/>
  <c r="AD599" i="58411" s="1"/>
  <c r="AE596" i="58411"/>
  <c r="AA596" i="58411"/>
  <c r="Z596" i="58411"/>
  <c r="Y596" i="58411"/>
  <c r="X596" i="58411"/>
  <c r="V596" i="58411"/>
  <c r="U596" i="58411"/>
  <c r="T596" i="58411"/>
  <c r="Q596" i="58411"/>
  <c r="P596" i="58411"/>
  <c r="O596" i="58411"/>
  <c r="N596" i="58411"/>
  <c r="L596" i="58411"/>
  <c r="K596" i="58411"/>
  <c r="J596" i="58411"/>
  <c r="I596" i="58411"/>
  <c r="G596" i="58411"/>
  <c r="F596" i="58411"/>
  <c r="E596" i="58411"/>
  <c r="D596" i="58411"/>
  <c r="C596" i="58411"/>
  <c r="B596" i="58411"/>
  <c r="AC595" i="58411"/>
  <c r="AD595" i="58411" s="1"/>
  <c r="AB595" i="58411"/>
  <c r="W595" i="58411"/>
  <c r="R595" i="58411"/>
  <c r="M595" i="58411"/>
  <c r="H595" i="58411"/>
  <c r="A595" i="58411"/>
  <c r="AB592" i="58411"/>
  <c r="AB591" i="58411"/>
  <c r="AC591" i="58411" s="1"/>
  <c r="AD591" i="58411" s="1"/>
  <c r="AB590" i="58411"/>
  <c r="AB589" i="58411"/>
  <c r="AC589" i="58411" s="1"/>
  <c r="AD589" i="58411" s="1"/>
  <c r="AB588" i="58411"/>
  <c r="AB587" i="58411"/>
  <c r="AC587" i="58411" s="1"/>
  <c r="AD587" i="58411" s="1"/>
  <c r="AB586" i="58411"/>
  <c r="AB585" i="58411"/>
  <c r="AB596" i="58411" s="1"/>
  <c r="AB584" i="58411"/>
  <c r="AB583" i="58411"/>
  <c r="AC583" i="58411" s="1"/>
  <c r="W592" i="58411"/>
  <c r="W591" i="58411"/>
  <c r="W590" i="58411"/>
  <c r="W589" i="58411"/>
  <c r="W588" i="58411"/>
  <c r="W587" i="58411"/>
  <c r="W586" i="58411"/>
  <c r="R592" i="58411"/>
  <c r="R591" i="58411"/>
  <c r="R590" i="58411"/>
  <c r="R589" i="58411"/>
  <c r="R588" i="58411"/>
  <c r="M592" i="58411"/>
  <c r="M591" i="58411"/>
  <c r="M590" i="58411"/>
  <c r="M589" i="58411"/>
  <c r="M588" i="58411"/>
  <c r="H592" i="58411"/>
  <c r="H591" i="58411"/>
  <c r="H590" i="58411"/>
  <c r="H589" i="58411"/>
  <c r="H588" i="58411"/>
  <c r="H596" i="58411" s="1"/>
  <c r="A591" i="58411"/>
  <c r="A590" i="58411"/>
  <c r="A589" i="58411"/>
  <c r="A588" i="58411"/>
  <c r="A587" i="58411"/>
  <c r="A586" i="58411"/>
  <c r="S587" i="58411"/>
  <c r="S804" i="58411" s="1"/>
  <c r="R586" i="58411"/>
  <c r="M586" i="58411"/>
  <c r="H586" i="58411"/>
  <c r="W584" i="58411"/>
  <c r="W583" i="58411"/>
  <c r="W596" i="58411" s="1"/>
  <c r="R584" i="58411"/>
  <c r="R583" i="58411"/>
  <c r="R596" i="58411" s="1"/>
  <c r="M584" i="58411"/>
  <c r="M583" i="58411"/>
  <c r="M596" i="58411" s="1"/>
  <c r="H584" i="58411"/>
  <c r="H583" i="58411"/>
  <c r="A584" i="58411"/>
  <c r="A583" i="58411"/>
  <c r="AG595" i="58411"/>
  <c r="AH595" i="58411" s="1"/>
  <c r="AI595" i="58411" s="1"/>
  <c r="AJ595" i="58411" s="1"/>
  <c r="AK595" i="58411" s="1"/>
  <c r="AL595" i="58411" s="1"/>
  <c r="AM595" i="58411" s="1"/>
  <c r="AN595" i="58411" s="1"/>
  <c r="AF595" i="58411"/>
  <c r="AF594" i="58411"/>
  <c r="AG594" i="58411" s="1"/>
  <c r="AH594" i="58411" s="1"/>
  <c r="AI594" i="58411" s="1"/>
  <c r="AJ594" i="58411" s="1"/>
  <c r="AK594" i="58411" s="1"/>
  <c r="AL594" i="58411" s="1"/>
  <c r="AM594" i="58411" s="1"/>
  <c r="AN594" i="58411" s="1"/>
  <c r="AF593" i="58411"/>
  <c r="AG593" i="58411" s="1"/>
  <c r="AH593" i="58411" s="1"/>
  <c r="AI593" i="58411" s="1"/>
  <c r="AJ593" i="58411" s="1"/>
  <c r="AK593" i="58411" s="1"/>
  <c r="AL593" i="58411" s="1"/>
  <c r="AM593" i="58411" s="1"/>
  <c r="AN593" i="58411" s="1"/>
  <c r="AF592" i="58411"/>
  <c r="AG592" i="58411" s="1"/>
  <c r="AH592" i="58411" s="1"/>
  <c r="AI592" i="58411" s="1"/>
  <c r="AJ592" i="58411" s="1"/>
  <c r="AK592" i="58411" s="1"/>
  <c r="AL592" i="58411" s="1"/>
  <c r="AM592" i="58411" s="1"/>
  <c r="AN592" i="58411" s="1"/>
  <c r="AG591" i="58411"/>
  <c r="AH591" i="58411" s="1"/>
  <c r="AI591" i="58411" s="1"/>
  <c r="AJ591" i="58411" s="1"/>
  <c r="AK591" i="58411" s="1"/>
  <c r="AL591" i="58411" s="1"/>
  <c r="AM591" i="58411" s="1"/>
  <c r="AN591" i="58411" s="1"/>
  <c r="AG590" i="58411"/>
  <c r="AH590" i="58411" s="1"/>
  <c r="AI590" i="58411" s="1"/>
  <c r="AJ590" i="58411" s="1"/>
  <c r="AK590" i="58411" s="1"/>
  <c r="AL590" i="58411" s="1"/>
  <c r="AM590" i="58411" s="1"/>
  <c r="AN590" i="58411" s="1"/>
  <c r="AF589" i="58411"/>
  <c r="AG589" i="58411" s="1"/>
  <c r="AH589" i="58411" s="1"/>
  <c r="AI589" i="58411" s="1"/>
  <c r="AJ589" i="58411" s="1"/>
  <c r="AK589" i="58411" s="1"/>
  <c r="AL589" i="58411" s="1"/>
  <c r="AM589" i="58411" s="1"/>
  <c r="AN589" i="58411" s="1"/>
  <c r="AG588" i="58411"/>
  <c r="AH588" i="58411" s="1"/>
  <c r="AI588" i="58411" s="1"/>
  <c r="AJ588" i="58411" s="1"/>
  <c r="AK588" i="58411" s="1"/>
  <c r="AL588" i="58411" s="1"/>
  <c r="AM588" i="58411" s="1"/>
  <c r="AN588" i="58411" s="1"/>
  <c r="AG587" i="58411"/>
  <c r="AH587" i="58411" s="1"/>
  <c r="AI587" i="58411" s="1"/>
  <c r="AJ587" i="58411" s="1"/>
  <c r="AK587" i="58411" s="1"/>
  <c r="AL587" i="58411" s="1"/>
  <c r="AM587" i="58411" s="1"/>
  <c r="AN587" i="58411" s="1"/>
  <c r="AG586" i="58411"/>
  <c r="AH586" i="58411" s="1"/>
  <c r="AI586" i="58411" s="1"/>
  <c r="AJ586" i="58411" s="1"/>
  <c r="AK586" i="58411" s="1"/>
  <c r="AL586" i="58411" s="1"/>
  <c r="AM586" i="58411" s="1"/>
  <c r="AN586" i="58411" s="1"/>
  <c r="AF585" i="58411"/>
  <c r="AG585" i="58411" s="1"/>
  <c r="AH585" i="58411" s="1"/>
  <c r="AI585" i="58411" s="1"/>
  <c r="AJ585" i="58411" s="1"/>
  <c r="AK585" i="58411" s="1"/>
  <c r="AL585" i="58411" s="1"/>
  <c r="AM585" i="58411" s="1"/>
  <c r="AN585" i="58411" s="1"/>
  <c r="AG584" i="58411"/>
  <c r="AH584" i="58411" s="1"/>
  <c r="AI584" i="58411" s="1"/>
  <c r="AJ584" i="58411" s="1"/>
  <c r="AK584" i="58411" s="1"/>
  <c r="AL584" i="58411" s="1"/>
  <c r="AM584" i="58411" s="1"/>
  <c r="AN584" i="58411" s="1"/>
  <c r="AG583" i="58411"/>
  <c r="AC594" i="58411"/>
  <c r="AD594" i="58411" s="1"/>
  <c r="AD593" i="58411"/>
  <c r="AC593" i="58411"/>
  <c r="AC592" i="58411"/>
  <c r="AD592" i="58411" s="1"/>
  <c r="AC590" i="58411"/>
  <c r="AD590" i="58411" s="1"/>
  <c r="AC588" i="58411"/>
  <c r="AD588" i="58411" s="1"/>
  <c r="AC586" i="58411"/>
  <c r="AD586" i="58411" s="1"/>
  <c r="AC584" i="58411"/>
  <c r="AD584" i="58411" s="1"/>
  <c r="AE580" i="58411"/>
  <c r="AA580" i="58411"/>
  <c r="Z580" i="58411"/>
  <c r="Y580" i="58411"/>
  <c r="X580" i="58411"/>
  <c r="V580" i="58411"/>
  <c r="U580" i="58411"/>
  <c r="T580" i="58411"/>
  <c r="N580" i="58411"/>
  <c r="L580" i="58411"/>
  <c r="K580" i="58411"/>
  <c r="J580" i="58411"/>
  <c r="I580" i="58411"/>
  <c r="G580" i="58411"/>
  <c r="F580" i="58411"/>
  <c r="E580" i="58411"/>
  <c r="D580" i="58411"/>
  <c r="C580" i="58411"/>
  <c r="B580" i="58411"/>
  <c r="AB579" i="58411"/>
  <c r="AC579" i="58411" s="1"/>
  <c r="AD579" i="58411" s="1"/>
  <c r="W579" i="58411"/>
  <c r="P579" i="58411"/>
  <c r="O579" i="58411"/>
  <c r="M579" i="58411"/>
  <c r="H579" i="58411"/>
  <c r="W576" i="58411"/>
  <c r="W575" i="58411"/>
  <c r="W574" i="58411"/>
  <c r="W573" i="58411"/>
  <c r="W572" i="58411"/>
  <c r="W571" i="58411"/>
  <c r="W570" i="58411"/>
  <c r="W580" i="58411" s="1"/>
  <c r="M576" i="58411"/>
  <c r="M575" i="58411"/>
  <c r="M574" i="58411"/>
  <c r="M573" i="58411"/>
  <c r="M572" i="58411"/>
  <c r="H576" i="58411"/>
  <c r="H575" i="58411"/>
  <c r="H574" i="58411"/>
  <c r="H573" i="58411"/>
  <c r="H572" i="58411"/>
  <c r="O576" i="58411"/>
  <c r="O575" i="58411"/>
  <c r="O623" i="58411" s="1"/>
  <c r="P574" i="58411"/>
  <c r="P622" i="58411" s="1"/>
  <c r="O574" i="58411"/>
  <c r="O622" i="58411" s="1"/>
  <c r="O573" i="58411"/>
  <c r="P573" i="58411" s="1"/>
  <c r="O572" i="58411"/>
  <c r="O620" i="58411" s="1"/>
  <c r="S571" i="58411"/>
  <c r="S784" i="58411" s="1"/>
  <c r="A571" i="58411"/>
  <c r="R570" i="58411"/>
  <c r="M570" i="58411"/>
  <c r="H570" i="58411"/>
  <c r="W568" i="58411"/>
  <c r="W567" i="58411"/>
  <c r="R568" i="58411"/>
  <c r="R567" i="58411"/>
  <c r="M568" i="58411"/>
  <c r="M567" i="58411"/>
  <c r="M580" i="58411" s="1"/>
  <c r="H568" i="58411"/>
  <c r="H567" i="58411"/>
  <c r="H580" i="58411" s="1"/>
  <c r="AG579" i="58411"/>
  <c r="AH579" i="58411" s="1"/>
  <c r="AI579" i="58411" s="1"/>
  <c r="AJ579" i="58411" s="1"/>
  <c r="AK579" i="58411" s="1"/>
  <c r="AL579" i="58411" s="1"/>
  <c r="AM579" i="58411" s="1"/>
  <c r="AN579" i="58411" s="1"/>
  <c r="AF579" i="58411"/>
  <c r="AF578" i="58411"/>
  <c r="AG578" i="58411" s="1"/>
  <c r="AH578" i="58411" s="1"/>
  <c r="AI578" i="58411" s="1"/>
  <c r="AJ578" i="58411" s="1"/>
  <c r="AK578" i="58411" s="1"/>
  <c r="AL578" i="58411" s="1"/>
  <c r="AM578" i="58411" s="1"/>
  <c r="AN578" i="58411" s="1"/>
  <c r="AF577" i="58411"/>
  <c r="AG577" i="58411" s="1"/>
  <c r="AH577" i="58411" s="1"/>
  <c r="AI577" i="58411" s="1"/>
  <c r="AJ577" i="58411" s="1"/>
  <c r="AK577" i="58411" s="1"/>
  <c r="AL577" i="58411" s="1"/>
  <c r="AM577" i="58411" s="1"/>
  <c r="AN577" i="58411" s="1"/>
  <c r="AF576" i="58411"/>
  <c r="AG576" i="58411" s="1"/>
  <c r="AH576" i="58411" s="1"/>
  <c r="AI576" i="58411" s="1"/>
  <c r="AJ576" i="58411" s="1"/>
  <c r="AK576" i="58411" s="1"/>
  <c r="AL576" i="58411" s="1"/>
  <c r="AM576" i="58411" s="1"/>
  <c r="AN576" i="58411" s="1"/>
  <c r="AG575" i="58411"/>
  <c r="AH575" i="58411" s="1"/>
  <c r="AI575" i="58411" s="1"/>
  <c r="AJ575" i="58411" s="1"/>
  <c r="AK575" i="58411" s="1"/>
  <c r="AL575" i="58411" s="1"/>
  <c r="AM575" i="58411" s="1"/>
  <c r="AN575" i="58411" s="1"/>
  <c r="AF575" i="58411"/>
  <c r="AF574" i="58411"/>
  <c r="AG574" i="58411" s="1"/>
  <c r="AH574" i="58411" s="1"/>
  <c r="AI574" i="58411" s="1"/>
  <c r="AJ574" i="58411" s="1"/>
  <c r="AK574" i="58411" s="1"/>
  <c r="AL574" i="58411" s="1"/>
  <c r="AM574" i="58411" s="1"/>
  <c r="AN574" i="58411" s="1"/>
  <c r="AF573" i="58411"/>
  <c r="AG573" i="58411" s="1"/>
  <c r="AH573" i="58411" s="1"/>
  <c r="AI573" i="58411" s="1"/>
  <c r="AJ573" i="58411" s="1"/>
  <c r="AK573" i="58411" s="1"/>
  <c r="AL573" i="58411" s="1"/>
  <c r="AM573" i="58411" s="1"/>
  <c r="AN573" i="58411" s="1"/>
  <c r="AF572" i="58411"/>
  <c r="AG572" i="58411" s="1"/>
  <c r="AH572" i="58411" s="1"/>
  <c r="AI572" i="58411" s="1"/>
  <c r="AJ572" i="58411" s="1"/>
  <c r="AK572" i="58411" s="1"/>
  <c r="AL572" i="58411" s="1"/>
  <c r="AM572" i="58411" s="1"/>
  <c r="AN572" i="58411" s="1"/>
  <c r="AG571" i="58411"/>
  <c r="AH571" i="58411" s="1"/>
  <c r="AI571" i="58411" s="1"/>
  <c r="AJ571" i="58411" s="1"/>
  <c r="AK571" i="58411" s="1"/>
  <c r="AL571" i="58411" s="1"/>
  <c r="AM571" i="58411" s="1"/>
  <c r="AN571" i="58411" s="1"/>
  <c r="AF571" i="58411"/>
  <c r="AG570" i="58411"/>
  <c r="AH570" i="58411" s="1"/>
  <c r="AI570" i="58411" s="1"/>
  <c r="AJ570" i="58411" s="1"/>
  <c r="AK570" i="58411" s="1"/>
  <c r="AL570" i="58411" s="1"/>
  <c r="AM570" i="58411" s="1"/>
  <c r="AN570" i="58411" s="1"/>
  <c r="AF569" i="58411"/>
  <c r="AG569" i="58411" s="1"/>
  <c r="AH569" i="58411" s="1"/>
  <c r="AI569" i="58411" s="1"/>
  <c r="AJ569" i="58411" s="1"/>
  <c r="AK569" i="58411" s="1"/>
  <c r="AL569" i="58411" s="1"/>
  <c r="AM569" i="58411" s="1"/>
  <c r="AN569" i="58411" s="1"/>
  <c r="AF568" i="58411"/>
  <c r="AG568" i="58411" s="1"/>
  <c r="AH568" i="58411" s="1"/>
  <c r="AI568" i="58411" s="1"/>
  <c r="AJ568" i="58411" s="1"/>
  <c r="AK568" i="58411" s="1"/>
  <c r="AL568" i="58411" s="1"/>
  <c r="AM568" i="58411" s="1"/>
  <c r="AN568" i="58411" s="1"/>
  <c r="AG567" i="58411"/>
  <c r="AH567" i="58411" s="1"/>
  <c r="AF580" i="58411"/>
  <c r="AB576" i="58411"/>
  <c r="AC576" i="58411" s="1"/>
  <c r="AD576" i="58411" s="1"/>
  <c r="AB575" i="58411"/>
  <c r="AC575" i="58411" s="1"/>
  <c r="AD575" i="58411" s="1"/>
  <c r="AB574" i="58411"/>
  <c r="AC574" i="58411" s="1"/>
  <c r="AD574" i="58411" s="1"/>
  <c r="AC573" i="58411"/>
  <c r="AD573" i="58411" s="1"/>
  <c r="AB573" i="58411"/>
  <c r="AB572" i="58411"/>
  <c r="AC572" i="58411" s="1"/>
  <c r="AD572" i="58411" s="1"/>
  <c r="AB571" i="58411"/>
  <c r="AC571" i="58411" s="1"/>
  <c r="AD571" i="58411" s="1"/>
  <c r="AB570" i="58411"/>
  <c r="AC570" i="58411" s="1"/>
  <c r="AD570" i="58411" s="1"/>
  <c r="AC569" i="58411"/>
  <c r="AD569" i="58411" s="1"/>
  <c r="AB569" i="58411"/>
  <c r="AB568" i="58411"/>
  <c r="AC568" i="58411" s="1"/>
  <c r="AD568" i="58411" s="1"/>
  <c r="AB567" i="58411"/>
  <c r="AB580" i="58411" s="1"/>
  <c r="AN564" i="58411"/>
  <c r="AM564" i="58411"/>
  <c r="AL564" i="58411"/>
  <c r="AK564" i="58411"/>
  <c r="AJ564" i="58411"/>
  <c r="AI564" i="58411"/>
  <c r="AH564" i="58411"/>
  <c r="AG564" i="58411"/>
  <c r="AF564" i="58411"/>
  <c r="AE564" i="58411"/>
  <c r="AD564" i="58411"/>
  <c r="AC564" i="58411"/>
  <c r="AB564" i="58411"/>
  <c r="AA564" i="58411"/>
  <c r="Z564" i="58411"/>
  <c r="Y564" i="58411"/>
  <c r="X564" i="58411"/>
  <c r="W564" i="58411"/>
  <c r="V564" i="58411"/>
  <c r="U564" i="58411"/>
  <c r="T564" i="58411"/>
  <c r="S564" i="58411"/>
  <c r="R564" i="58411"/>
  <c r="Q564" i="58411"/>
  <c r="P564" i="58411"/>
  <c r="O564" i="58411"/>
  <c r="N564" i="58411"/>
  <c r="M564" i="58411"/>
  <c r="L564" i="58411"/>
  <c r="K564" i="58411"/>
  <c r="J564" i="58411"/>
  <c r="I564" i="58411"/>
  <c r="H564" i="58411"/>
  <c r="G564" i="58411"/>
  <c r="F564" i="58411"/>
  <c r="E564" i="58411"/>
  <c r="D564" i="58411"/>
  <c r="C564" i="58411"/>
  <c r="B564" i="58411"/>
  <c r="AC559" i="58411"/>
  <c r="AD558" i="58411"/>
  <c r="AE558" i="58411" s="1"/>
  <c r="AF558" i="58411" s="1"/>
  <c r="AG558" i="58411" s="1"/>
  <c r="AH558" i="58411" s="1"/>
  <c r="AI558" i="58411" s="1"/>
  <c r="AJ558" i="58411" s="1"/>
  <c r="AK558" i="58411" s="1"/>
  <c r="AL558" i="58411" s="1"/>
  <c r="AM558" i="58411" s="1"/>
  <c r="AN558" i="58411" s="1"/>
  <c r="AD557" i="58411"/>
  <c r="AD559" i="58411" s="1"/>
  <c r="AA556" i="58411"/>
  <c r="Z556" i="58411"/>
  <c r="Y556" i="58411"/>
  <c r="X556" i="58411"/>
  <c r="V556" i="58411"/>
  <c r="U556" i="58411"/>
  <c r="T556" i="58411"/>
  <c r="S556" i="58411"/>
  <c r="Q556" i="58411"/>
  <c r="P556" i="58411"/>
  <c r="O556" i="58411"/>
  <c r="N556" i="58411"/>
  <c r="L556" i="58411"/>
  <c r="K556" i="58411"/>
  <c r="J556" i="58411"/>
  <c r="I556" i="58411"/>
  <c r="G556" i="58411"/>
  <c r="F556" i="58411"/>
  <c r="E556" i="58411"/>
  <c r="D556" i="58411"/>
  <c r="C556" i="58411"/>
  <c r="B556" i="58411"/>
  <c r="A556" i="58411"/>
  <c r="A553" i="58411"/>
  <c r="A552" i="58411"/>
  <c r="A551" i="58411"/>
  <c r="A550" i="58411"/>
  <c r="A549" i="58411"/>
  <c r="A548" i="58411"/>
  <c r="A547" i="58411"/>
  <c r="AA553" i="58411"/>
  <c r="Z553" i="58411"/>
  <c r="Y553" i="58411"/>
  <c r="X553" i="58411"/>
  <c r="V553" i="58411"/>
  <c r="U553" i="58411"/>
  <c r="T553" i="58411"/>
  <c r="S553" i="58411"/>
  <c r="Q553" i="58411"/>
  <c r="P553" i="58411"/>
  <c r="O553" i="58411"/>
  <c r="N553" i="58411"/>
  <c r="L553" i="58411"/>
  <c r="K553" i="58411"/>
  <c r="J553" i="58411"/>
  <c r="I553" i="58411"/>
  <c r="G553" i="58411"/>
  <c r="F553" i="58411"/>
  <c r="E553" i="58411"/>
  <c r="D553" i="58411"/>
  <c r="C553" i="58411"/>
  <c r="B553" i="58411"/>
  <c r="AA552" i="58411"/>
  <c r="Z552" i="58411"/>
  <c r="Y552" i="58411"/>
  <c r="X552" i="58411"/>
  <c r="V552" i="58411"/>
  <c r="U552" i="58411"/>
  <c r="T552" i="58411"/>
  <c r="S552" i="58411"/>
  <c r="Q552" i="58411"/>
  <c r="P552" i="58411"/>
  <c r="O552" i="58411"/>
  <c r="N552" i="58411"/>
  <c r="L552" i="58411"/>
  <c r="K552" i="58411"/>
  <c r="J552" i="58411"/>
  <c r="I552" i="58411"/>
  <c r="G552" i="58411"/>
  <c r="F552" i="58411"/>
  <c r="E552" i="58411"/>
  <c r="D552" i="58411"/>
  <c r="C552" i="58411"/>
  <c r="B552" i="58411"/>
  <c r="AA551" i="58411"/>
  <c r="Z551" i="58411"/>
  <c r="Y551" i="58411"/>
  <c r="X551" i="58411"/>
  <c r="V551" i="58411"/>
  <c r="U551" i="58411"/>
  <c r="T551" i="58411"/>
  <c r="S551" i="58411"/>
  <c r="Q551" i="58411"/>
  <c r="P551" i="58411"/>
  <c r="O551" i="58411"/>
  <c r="N551" i="58411"/>
  <c r="L551" i="58411"/>
  <c r="K551" i="58411"/>
  <c r="J551" i="58411"/>
  <c r="I551" i="58411"/>
  <c r="G551" i="58411"/>
  <c r="F551" i="58411"/>
  <c r="E551" i="58411"/>
  <c r="D551" i="58411"/>
  <c r="C551" i="58411"/>
  <c r="B551" i="58411"/>
  <c r="AA550" i="58411"/>
  <c r="Z550" i="58411"/>
  <c r="Y550" i="58411"/>
  <c r="X550" i="58411"/>
  <c r="V550" i="58411"/>
  <c r="U550" i="58411"/>
  <c r="T550" i="58411"/>
  <c r="S550" i="58411"/>
  <c r="Q550" i="58411"/>
  <c r="P550" i="58411"/>
  <c r="O550" i="58411"/>
  <c r="N550" i="58411"/>
  <c r="L550" i="58411"/>
  <c r="K550" i="58411"/>
  <c r="J550" i="58411"/>
  <c r="I550" i="58411"/>
  <c r="G550" i="58411"/>
  <c r="F550" i="58411"/>
  <c r="E550" i="58411"/>
  <c r="D550" i="58411"/>
  <c r="C550" i="58411"/>
  <c r="B550" i="58411"/>
  <c r="AA549" i="58411"/>
  <c r="Z549" i="58411"/>
  <c r="Y549" i="58411"/>
  <c r="X549" i="58411"/>
  <c r="V549" i="58411"/>
  <c r="U549" i="58411"/>
  <c r="T549" i="58411"/>
  <c r="S549" i="58411"/>
  <c r="Q549" i="58411"/>
  <c r="P549" i="58411"/>
  <c r="O549" i="58411"/>
  <c r="N549" i="58411"/>
  <c r="L549" i="58411"/>
  <c r="K549" i="58411"/>
  <c r="J549" i="58411"/>
  <c r="I549" i="58411"/>
  <c r="G549" i="58411"/>
  <c r="F549" i="58411"/>
  <c r="E549" i="58411"/>
  <c r="D549" i="58411"/>
  <c r="C549" i="58411"/>
  <c r="B549" i="58411"/>
  <c r="AA548" i="58411"/>
  <c r="Z548" i="58411"/>
  <c r="Y548" i="58411"/>
  <c r="X548" i="58411"/>
  <c r="V548" i="58411"/>
  <c r="U548" i="58411"/>
  <c r="T548" i="58411"/>
  <c r="S548" i="58411"/>
  <c r="AA547" i="58411"/>
  <c r="Z547" i="58411"/>
  <c r="Y547" i="58411"/>
  <c r="X547" i="58411"/>
  <c r="V547" i="58411"/>
  <c r="U547" i="58411"/>
  <c r="T547" i="58411"/>
  <c r="N547" i="58411"/>
  <c r="L547" i="58411"/>
  <c r="K547" i="58411"/>
  <c r="J547" i="58411"/>
  <c r="I547" i="58411"/>
  <c r="G547" i="58411"/>
  <c r="F547" i="58411"/>
  <c r="E547" i="58411"/>
  <c r="D547" i="58411"/>
  <c r="C547" i="58411"/>
  <c r="B547" i="58411"/>
  <c r="AE556" i="58411"/>
  <c r="AE555" i="58411"/>
  <c r="AE554" i="58411"/>
  <c r="AE553" i="58411"/>
  <c r="AE552" i="58411"/>
  <c r="AE551" i="58411"/>
  <c r="AE550" i="58411"/>
  <c r="AE549" i="58411"/>
  <c r="AE548" i="58411"/>
  <c r="AE547" i="58411"/>
  <c r="AE545" i="58411"/>
  <c r="AE544" i="58411"/>
  <c r="AA546" i="58411"/>
  <c r="AA545" i="58411"/>
  <c r="AA544" i="58411"/>
  <c r="AA559" i="58411" s="1"/>
  <c r="AA560" i="58411" s="1"/>
  <c r="AA561" i="58411" s="1"/>
  <c r="Z545" i="58411"/>
  <c r="Y545" i="58411"/>
  <c r="X545" i="58411"/>
  <c r="V545" i="58411"/>
  <c r="U545" i="58411"/>
  <c r="T545" i="58411"/>
  <c r="S545" i="58411"/>
  <c r="Q545" i="58411"/>
  <c r="P545" i="58411"/>
  <c r="O545" i="58411"/>
  <c r="N545" i="58411"/>
  <c r="L545" i="58411"/>
  <c r="K545" i="58411"/>
  <c r="J545" i="58411"/>
  <c r="I545" i="58411"/>
  <c r="G545" i="58411"/>
  <c r="F545" i="58411"/>
  <c r="E545" i="58411"/>
  <c r="D545" i="58411"/>
  <c r="C545" i="58411"/>
  <c r="B545" i="58411"/>
  <c r="A545" i="58411"/>
  <c r="Z544" i="58411"/>
  <c r="Z559" i="58411" s="1"/>
  <c r="Y544" i="58411"/>
  <c r="Y559" i="58411" s="1"/>
  <c r="X544" i="58411"/>
  <c r="X559" i="58411" s="1"/>
  <c r="V544" i="58411"/>
  <c r="V559" i="58411" s="1"/>
  <c r="U544" i="58411"/>
  <c r="U559" i="58411" s="1"/>
  <c r="T544" i="58411"/>
  <c r="T559" i="58411" s="1"/>
  <c r="S544" i="58411"/>
  <c r="Q544" i="58411"/>
  <c r="P544" i="58411"/>
  <c r="O544" i="58411"/>
  <c r="N544" i="58411"/>
  <c r="N559" i="58411" s="1"/>
  <c r="L544" i="58411"/>
  <c r="L559" i="58411" s="1"/>
  <c r="K544" i="58411"/>
  <c r="K559" i="58411" s="1"/>
  <c r="J544" i="58411"/>
  <c r="J559" i="58411" s="1"/>
  <c r="I544" i="58411"/>
  <c r="I559" i="58411" s="1"/>
  <c r="G544" i="58411"/>
  <c r="G559" i="58411" s="1"/>
  <c r="F544" i="58411"/>
  <c r="F559" i="58411" s="1"/>
  <c r="E544" i="58411"/>
  <c r="E559" i="58411" s="1"/>
  <c r="D544" i="58411"/>
  <c r="D559" i="58411" s="1"/>
  <c r="C544" i="58411"/>
  <c r="C559" i="58411" s="1"/>
  <c r="B544" i="58411"/>
  <c r="B559" i="58411" s="1"/>
  <c r="A544" i="58411"/>
  <c r="AE541" i="58411"/>
  <c r="AA541" i="58411"/>
  <c r="AA911" i="58411" s="1"/>
  <c r="Z541" i="58411"/>
  <c r="Z911" i="58411" s="1"/>
  <c r="Y541" i="58411"/>
  <c r="Y911" i="58411" s="1"/>
  <c r="X541" i="58411"/>
  <c r="X911" i="58411" s="1"/>
  <c r="V541" i="58411"/>
  <c r="V911" i="58411" s="1"/>
  <c r="U541" i="58411"/>
  <c r="U911" i="58411" s="1"/>
  <c r="T541" i="58411"/>
  <c r="T911" i="58411" s="1"/>
  <c r="S541" i="58411"/>
  <c r="Q541" i="58411"/>
  <c r="Q911" i="58411" s="1"/>
  <c r="P541" i="58411"/>
  <c r="P911" i="58411" s="1"/>
  <c r="O541" i="58411"/>
  <c r="O911" i="58411" s="1"/>
  <c r="N541" i="58411"/>
  <c r="N911" i="58411" s="1"/>
  <c r="L541" i="58411"/>
  <c r="L911" i="58411" s="1"/>
  <c r="K541" i="58411"/>
  <c r="K911" i="58411" s="1"/>
  <c r="J541" i="58411"/>
  <c r="J911" i="58411" s="1"/>
  <c r="I541" i="58411"/>
  <c r="I911" i="58411" s="1"/>
  <c r="G541" i="58411"/>
  <c r="G911" i="58411" s="1"/>
  <c r="F541" i="58411"/>
  <c r="F911" i="58411" s="1"/>
  <c r="E541" i="58411"/>
  <c r="E911" i="58411" s="1"/>
  <c r="D541" i="58411"/>
  <c r="D911" i="58411" s="1"/>
  <c r="C541" i="58411"/>
  <c r="C911" i="58411" s="1"/>
  <c r="B541" i="58411"/>
  <c r="B911" i="58411" s="1"/>
  <c r="B915" i="58411" s="1"/>
  <c r="AD540" i="58411"/>
  <c r="AC540" i="58411"/>
  <c r="AB540" i="58411"/>
  <c r="AB556" i="58411" s="1"/>
  <c r="W540" i="58411"/>
  <c r="W556" i="58411" s="1"/>
  <c r="R540" i="58411"/>
  <c r="R556" i="58411" s="1"/>
  <c r="M540" i="58411"/>
  <c r="M556" i="58411" s="1"/>
  <c r="H540" i="58411"/>
  <c r="H556" i="58411" s="1"/>
  <c r="A540" i="58411"/>
  <c r="AB537" i="58411"/>
  <c r="AB553" i="58411" s="1"/>
  <c r="AB536" i="58411"/>
  <c r="AB552" i="58411" s="1"/>
  <c r="AB535" i="58411"/>
  <c r="AB534" i="58411"/>
  <c r="AB533" i="58411"/>
  <c r="AB549" i="58411" s="1"/>
  <c r="AB532" i="58411"/>
  <c r="AB548" i="58411" s="1"/>
  <c r="AB531" i="58411"/>
  <c r="AB530" i="58411"/>
  <c r="AB529" i="58411"/>
  <c r="AB545" i="58411" s="1"/>
  <c r="AB528" i="58411"/>
  <c r="AB544" i="58411" s="1"/>
  <c r="W537" i="58411"/>
  <c r="W553" i="58411" s="1"/>
  <c r="W536" i="58411"/>
  <c r="W552" i="58411" s="1"/>
  <c r="W535" i="58411"/>
  <c r="W534" i="58411"/>
  <c r="W550" i="58411" s="1"/>
  <c r="W533" i="58411"/>
  <c r="W549" i="58411" s="1"/>
  <c r="W532" i="58411"/>
  <c r="W548" i="58411" s="1"/>
  <c r="W531" i="58411"/>
  <c r="R537" i="58411"/>
  <c r="R536" i="58411"/>
  <c r="R552" i="58411" s="1"/>
  <c r="R535" i="58411"/>
  <c r="R551" i="58411" s="1"/>
  <c r="R534" i="58411"/>
  <c r="R550" i="58411" s="1"/>
  <c r="R533" i="58411"/>
  <c r="M537" i="58411"/>
  <c r="M536" i="58411"/>
  <c r="M552" i="58411" s="1"/>
  <c r="M535" i="58411"/>
  <c r="M551" i="58411" s="1"/>
  <c r="M534" i="58411"/>
  <c r="M550" i="58411" s="1"/>
  <c r="M533" i="58411"/>
  <c r="H537" i="58411"/>
  <c r="H536" i="58411"/>
  <c r="H552" i="58411" s="1"/>
  <c r="H535" i="58411"/>
  <c r="H551" i="58411" s="1"/>
  <c r="H534" i="58411"/>
  <c r="H550" i="58411" s="1"/>
  <c r="H533" i="58411"/>
  <c r="A536" i="58411"/>
  <c r="A535" i="58411"/>
  <c r="A534" i="58411"/>
  <c r="A533" i="58411"/>
  <c r="A532" i="58411"/>
  <c r="A531" i="58411"/>
  <c r="R531" i="58411"/>
  <c r="R541" i="58411" s="1"/>
  <c r="M531" i="58411"/>
  <c r="H531" i="58411"/>
  <c r="H547" i="58411" s="1"/>
  <c r="W529" i="58411"/>
  <c r="W545" i="58411" s="1"/>
  <c r="W528" i="58411"/>
  <c r="W544" i="58411" s="1"/>
  <c r="R529" i="58411"/>
  <c r="R528" i="58411"/>
  <c r="R544" i="58411" s="1"/>
  <c r="M529" i="58411"/>
  <c r="M545" i="58411" s="1"/>
  <c r="M528" i="58411"/>
  <c r="M544" i="58411" s="1"/>
  <c r="H529" i="58411"/>
  <c r="H528" i="58411"/>
  <c r="H544" i="58411" s="1"/>
  <c r="A529" i="58411"/>
  <c r="A528" i="58411"/>
  <c r="AG540" i="58411"/>
  <c r="AH540" i="58411" s="1"/>
  <c r="AF556" i="58411"/>
  <c r="AH539" i="58411"/>
  <c r="AI539" i="58411" s="1"/>
  <c r="AG539" i="58411"/>
  <c r="AF539" i="58411"/>
  <c r="AF555" i="58411" s="1"/>
  <c r="AF538" i="58411"/>
  <c r="AG538" i="58411" s="1"/>
  <c r="AF553" i="58411"/>
  <c r="AG536" i="58411"/>
  <c r="AH536" i="58411" s="1"/>
  <c r="AF552" i="58411"/>
  <c r="AG535" i="58411"/>
  <c r="AH535" i="58411" s="1"/>
  <c r="AI535" i="58411" s="1"/>
  <c r="AF551" i="58411"/>
  <c r="AG534" i="58411"/>
  <c r="AF549" i="58411"/>
  <c r="AG532" i="58411"/>
  <c r="AH532" i="58411" s="1"/>
  <c r="AF548" i="58411"/>
  <c r="AG531" i="58411"/>
  <c r="AH531" i="58411" s="1"/>
  <c r="AI531" i="58411" s="1"/>
  <c r="AF547" i="58411"/>
  <c r="AG530" i="58411"/>
  <c r="AF545" i="58411"/>
  <c r="AG528" i="58411"/>
  <c r="AH528" i="58411" s="1"/>
  <c r="AF544" i="58411"/>
  <c r="AC539" i="58411"/>
  <c r="AD539" i="58411" s="1"/>
  <c r="AD538" i="58411"/>
  <c r="AC538" i="58411"/>
  <c r="AC537" i="58411"/>
  <c r="AD537" i="58411" s="1"/>
  <c r="AD536" i="58411"/>
  <c r="AC536" i="58411"/>
  <c r="AC535" i="58411"/>
  <c r="AD535" i="58411" s="1"/>
  <c r="AD534" i="58411"/>
  <c r="AC534" i="58411"/>
  <c r="AC533" i="58411"/>
  <c r="AD533" i="58411" s="1"/>
  <c r="AD532" i="58411"/>
  <c r="AC532" i="58411"/>
  <c r="AC531" i="58411"/>
  <c r="AD531" i="58411" s="1"/>
  <c r="AD530" i="58411"/>
  <c r="AC530" i="58411"/>
  <c r="AC529" i="58411"/>
  <c r="AD529" i="58411" s="1"/>
  <c r="AD528" i="58411"/>
  <c r="AC528" i="58411"/>
  <c r="AA525" i="58411"/>
  <c r="AA882" i="58411" s="1"/>
  <c r="Z525" i="58411"/>
  <c r="Z882" i="58411" s="1"/>
  <c r="Y525" i="58411"/>
  <c r="Y882" i="58411" s="1"/>
  <c r="X525" i="58411"/>
  <c r="X882" i="58411" s="1"/>
  <c r="V525" i="58411"/>
  <c r="V882" i="58411" s="1"/>
  <c r="U525" i="58411"/>
  <c r="U882" i="58411" s="1"/>
  <c r="T525" i="58411"/>
  <c r="T882" i="58411" s="1"/>
  <c r="S525" i="58411"/>
  <c r="Q525" i="58411"/>
  <c r="Q882" i="58411" s="1"/>
  <c r="P525" i="58411"/>
  <c r="P882" i="58411" s="1"/>
  <c r="O525" i="58411"/>
  <c r="O882" i="58411" s="1"/>
  <c r="N525" i="58411"/>
  <c r="N882" i="58411" s="1"/>
  <c r="L525" i="58411"/>
  <c r="L882" i="58411" s="1"/>
  <c r="K525" i="58411"/>
  <c r="K882" i="58411" s="1"/>
  <c r="J525" i="58411"/>
  <c r="J882" i="58411" s="1"/>
  <c r="I525" i="58411"/>
  <c r="I882" i="58411" s="1"/>
  <c r="G525" i="58411"/>
  <c r="G882" i="58411" s="1"/>
  <c r="F525" i="58411"/>
  <c r="F882" i="58411" s="1"/>
  <c r="E525" i="58411"/>
  <c r="E882" i="58411" s="1"/>
  <c r="D525" i="58411"/>
  <c r="D882" i="58411" s="1"/>
  <c r="C525" i="58411"/>
  <c r="C882" i="58411" s="1"/>
  <c r="B525" i="58411"/>
  <c r="B882" i="58411" s="1"/>
  <c r="B886" i="58411" s="1"/>
  <c r="AD524" i="58411"/>
  <c r="AC524" i="58411"/>
  <c r="AB524" i="58411"/>
  <c r="W524" i="58411"/>
  <c r="R524" i="58411"/>
  <c r="M524" i="58411"/>
  <c r="H524" i="58411"/>
  <c r="A524" i="58411"/>
  <c r="AB521" i="58411"/>
  <c r="AB520" i="58411"/>
  <c r="AB519" i="58411"/>
  <c r="AB518" i="58411"/>
  <c r="AB517" i="58411"/>
  <c r="AB516" i="58411"/>
  <c r="AB515" i="58411"/>
  <c r="AB514" i="58411"/>
  <c r="AB513" i="58411"/>
  <c r="AB512" i="58411"/>
  <c r="AB525" i="58411" s="1"/>
  <c r="AB882" i="58411" s="1"/>
  <c r="W521" i="58411"/>
  <c r="W520" i="58411"/>
  <c r="W519" i="58411"/>
  <c r="W518" i="58411"/>
  <c r="W517" i="58411"/>
  <c r="W516" i="58411"/>
  <c r="W515" i="58411"/>
  <c r="W525" i="58411" s="1"/>
  <c r="W882" i="58411" s="1"/>
  <c r="R521" i="58411"/>
  <c r="R520" i="58411"/>
  <c r="R519" i="58411"/>
  <c r="R518" i="58411"/>
  <c r="R517" i="58411"/>
  <c r="M521" i="58411"/>
  <c r="M520" i="58411"/>
  <c r="M519" i="58411"/>
  <c r="M518" i="58411"/>
  <c r="M517" i="58411"/>
  <c r="H521" i="58411"/>
  <c r="H520" i="58411"/>
  <c r="H519" i="58411"/>
  <c r="H518" i="58411"/>
  <c r="H517" i="58411"/>
  <c r="A520" i="58411"/>
  <c r="A519" i="58411"/>
  <c r="A518" i="58411"/>
  <c r="A517" i="58411"/>
  <c r="A516" i="58411"/>
  <c r="A515" i="58411"/>
  <c r="AD523" i="58411"/>
  <c r="AC523" i="58411"/>
  <c r="AC522" i="58411"/>
  <c r="AD522" i="58411" s="1"/>
  <c r="AD521" i="58411"/>
  <c r="AC521" i="58411"/>
  <c r="AC520" i="58411"/>
  <c r="AD520" i="58411" s="1"/>
  <c r="AD519" i="58411"/>
  <c r="AC519" i="58411"/>
  <c r="AC518" i="58411"/>
  <c r="AD518" i="58411" s="1"/>
  <c r="AD517" i="58411"/>
  <c r="AC517" i="58411"/>
  <c r="AC516" i="58411"/>
  <c r="AD516" i="58411" s="1"/>
  <c r="AC515" i="58411"/>
  <c r="AD515" i="58411" s="1"/>
  <c r="R515" i="58411"/>
  <c r="M515" i="58411"/>
  <c r="H515" i="58411"/>
  <c r="AC514" i="58411"/>
  <c r="AD514" i="58411" s="1"/>
  <c r="AE514" i="58411" s="1"/>
  <c r="W513" i="58411"/>
  <c r="W512" i="58411"/>
  <c r="R513" i="58411"/>
  <c r="R512" i="58411"/>
  <c r="R525" i="58411" s="1"/>
  <c r="M513" i="58411"/>
  <c r="M512" i="58411"/>
  <c r="M525" i="58411" s="1"/>
  <c r="H513" i="58411"/>
  <c r="H512" i="58411"/>
  <c r="H525" i="58411" s="1"/>
  <c r="A513" i="58411"/>
  <c r="A512" i="58411"/>
  <c r="AG524" i="58411"/>
  <c r="AH524" i="58411" s="1"/>
  <c r="AI524" i="58411" s="1"/>
  <c r="AJ524" i="58411" s="1"/>
  <c r="AK524" i="58411" s="1"/>
  <c r="AL524" i="58411" s="1"/>
  <c r="AM524" i="58411" s="1"/>
  <c r="AN524" i="58411" s="1"/>
  <c r="AF523" i="58411"/>
  <c r="AG523" i="58411" s="1"/>
  <c r="AH523" i="58411" s="1"/>
  <c r="AI523" i="58411" s="1"/>
  <c r="AJ523" i="58411" s="1"/>
  <c r="AK523" i="58411" s="1"/>
  <c r="AL523" i="58411" s="1"/>
  <c r="AM523" i="58411" s="1"/>
  <c r="AN523" i="58411" s="1"/>
  <c r="AG522" i="58411"/>
  <c r="AH522" i="58411" s="1"/>
  <c r="AI522" i="58411" s="1"/>
  <c r="AJ522" i="58411" s="1"/>
  <c r="AK522" i="58411" s="1"/>
  <c r="AL522" i="58411" s="1"/>
  <c r="AM522" i="58411" s="1"/>
  <c r="AN522" i="58411" s="1"/>
  <c r="AF522" i="58411"/>
  <c r="AH521" i="58411"/>
  <c r="AI521" i="58411" s="1"/>
  <c r="AJ521" i="58411" s="1"/>
  <c r="AK521" i="58411" s="1"/>
  <c r="AL521" i="58411" s="1"/>
  <c r="AM521" i="58411" s="1"/>
  <c r="AN521" i="58411" s="1"/>
  <c r="AG521" i="58411"/>
  <c r="AF521" i="58411"/>
  <c r="AG520" i="58411"/>
  <c r="AH520" i="58411" s="1"/>
  <c r="AI520" i="58411" s="1"/>
  <c r="AJ520" i="58411" s="1"/>
  <c r="AK520" i="58411" s="1"/>
  <c r="AL520" i="58411" s="1"/>
  <c r="AM520" i="58411" s="1"/>
  <c r="AN520" i="58411" s="1"/>
  <c r="AG519" i="58411"/>
  <c r="AH519" i="58411" s="1"/>
  <c r="AI519" i="58411" s="1"/>
  <c r="AJ519" i="58411" s="1"/>
  <c r="AK519" i="58411" s="1"/>
  <c r="AL519" i="58411" s="1"/>
  <c r="AM519" i="58411" s="1"/>
  <c r="AN519" i="58411" s="1"/>
  <c r="AG518" i="58411"/>
  <c r="AH518" i="58411" s="1"/>
  <c r="AI518" i="58411" s="1"/>
  <c r="AJ518" i="58411" s="1"/>
  <c r="AK518" i="58411" s="1"/>
  <c r="AL518" i="58411" s="1"/>
  <c r="AM518" i="58411" s="1"/>
  <c r="AN518" i="58411" s="1"/>
  <c r="AG517" i="58411"/>
  <c r="AH517" i="58411" s="1"/>
  <c r="AI517" i="58411" s="1"/>
  <c r="AJ517" i="58411" s="1"/>
  <c r="AK517" i="58411" s="1"/>
  <c r="AL517" i="58411" s="1"/>
  <c r="AM517" i="58411" s="1"/>
  <c r="AN517" i="58411" s="1"/>
  <c r="AF516" i="58411"/>
  <c r="AG516" i="58411" s="1"/>
  <c r="AH516" i="58411" s="1"/>
  <c r="AI516" i="58411" s="1"/>
  <c r="AJ516" i="58411" s="1"/>
  <c r="AK516" i="58411" s="1"/>
  <c r="AL516" i="58411" s="1"/>
  <c r="AM516" i="58411" s="1"/>
  <c r="AN516" i="58411" s="1"/>
  <c r="AG515" i="58411"/>
  <c r="AH515" i="58411" s="1"/>
  <c r="AI515" i="58411" s="1"/>
  <c r="AJ515" i="58411" s="1"/>
  <c r="AK515" i="58411" s="1"/>
  <c r="AL515" i="58411" s="1"/>
  <c r="AM515" i="58411" s="1"/>
  <c r="AN515" i="58411" s="1"/>
  <c r="AG513" i="58411"/>
  <c r="AH513" i="58411" s="1"/>
  <c r="AI513" i="58411" s="1"/>
  <c r="AJ513" i="58411" s="1"/>
  <c r="AK513" i="58411" s="1"/>
  <c r="AL513" i="58411" s="1"/>
  <c r="AM513" i="58411" s="1"/>
  <c r="AN513" i="58411" s="1"/>
  <c r="AD513" i="58411"/>
  <c r="AC513" i="58411"/>
  <c r="AC512" i="58411"/>
  <c r="AD512" i="58411" s="1"/>
  <c r="AE509" i="58411"/>
  <c r="AE860" i="58411" s="1"/>
  <c r="AA509" i="58411"/>
  <c r="AA860" i="58411" s="1"/>
  <c r="Z509" i="58411"/>
  <c r="Z860" i="58411" s="1"/>
  <c r="Y509" i="58411"/>
  <c r="Y860" i="58411" s="1"/>
  <c r="X509" i="58411"/>
  <c r="X860" i="58411" s="1"/>
  <c r="V509" i="58411"/>
  <c r="V860" i="58411" s="1"/>
  <c r="U509" i="58411"/>
  <c r="U860" i="58411" s="1"/>
  <c r="T509" i="58411"/>
  <c r="T860" i="58411" s="1"/>
  <c r="N509" i="58411"/>
  <c r="N860" i="58411" s="1"/>
  <c r="L509" i="58411"/>
  <c r="L860" i="58411" s="1"/>
  <c r="K509" i="58411"/>
  <c r="K860" i="58411" s="1"/>
  <c r="J509" i="58411"/>
  <c r="J860" i="58411" s="1"/>
  <c r="I509" i="58411"/>
  <c r="I860" i="58411" s="1"/>
  <c r="G509" i="58411"/>
  <c r="G860" i="58411" s="1"/>
  <c r="F509" i="58411"/>
  <c r="F860" i="58411" s="1"/>
  <c r="E509" i="58411"/>
  <c r="E860" i="58411" s="1"/>
  <c r="D509" i="58411"/>
  <c r="D860" i="58411" s="1"/>
  <c r="C509" i="58411"/>
  <c r="C860" i="58411" s="1"/>
  <c r="B509" i="58411"/>
  <c r="B860" i="58411" s="1"/>
  <c r="B863" i="58411" s="1"/>
  <c r="W508" i="58411"/>
  <c r="W507" i="58411"/>
  <c r="W506" i="58411"/>
  <c r="W505" i="58411"/>
  <c r="W504" i="58411"/>
  <c r="W503" i="58411"/>
  <c r="W502" i="58411"/>
  <c r="W501" i="58411"/>
  <c r="W500" i="58411"/>
  <c r="W499" i="58411"/>
  <c r="R508" i="58411"/>
  <c r="R507" i="58411"/>
  <c r="R506" i="58411"/>
  <c r="R505" i="58411"/>
  <c r="R504" i="58411"/>
  <c r="R503" i="58411"/>
  <c r="R502" i="58411"/>
  <c r="R501" i="58411"/>
  <c r="M508" i="58411"/>
  <c r="M507" i="58411"/>
  <c r="M506" i="58411"/>
  <c r="M505" i="58411"/>
  <c r="M504" i="58411"/>
  <c r="M503" i="58411"/>
  <c r="M502" i="58411"/>
  <c r="M501" i="58411"/>
  <c r="H508" i="58411"/>
  <c r="H507" i="58411"/>
  <c r="H506" i="58411"/>
  <c r="H505" i="58411"/>
  <c r="H504" i="58411"/>
  <c r="H503" i="58411"/>
  <c r="H502" i="58411"/>
  <c r="H501" i="58411"/>
  <c r="H509" i="58411" s="1"/>
  <c r="H860" i="58411" s="1"/>
  <c r="O499" i="58411"/>
  <c r="O783" i="58411" s="1"/>
  <c r="M499" i="58411"/>
  <c r="H499" i="58411"/>
  <c r="W497" i="58411"/>
  <c r="W496" i="58411"/>
  <c r="R497" i="58411"/>
  <c r="R496" i="58411"/>
  <c r="M497" i="58411"/>
  <c r="M496" i="58411"/>
  <c r="H497" i="58411"/>
  <c r="H496" i="58411"/>
  <c r="AF508" i="58411"/>
  <c r="AG508" i="58411" s="1"/>
  <c r="AH508" i="58411" s="1"/>
  <c r="AI508" i="58411" s="1"/>
  <c r="AJ508" i="58411" s="1"/>
  <c r="AK508" i="58411" s="1"/>
  <c r="AL508" i="58411" s="1"/>
  <c r="AM508" i="58411" s="1"/>
  <c r="AN508" i="58411" s="1"/>
  <c r="AF507" i="58411"/>
  <c r="AG507" i="58411" s="1"/>
  <c r="AH507" i="58411" s="1"/>
  <c r="AI507" i="58411" s="1"/>
  <c r="AJ507" i="58411" s="1"/>
  <c r="AK507" i="58411" s="1"/>
  <c r="AL507" i="58411" s="1"/>
  <c r="AM507" i="58411" s="1"/>
  <c r="AN507" i="58411" s="1"/>
  <c r="AJ506" i="58411"/>
  <c r="AK506" i="58411" s="1"/>
  <c r="AL506" i="58411" s="1"/>
  <c r="AM506" i="58411" s="1"/>
  <c r="AN506" i="58411" s="1"/>
  <c r="AF506" i="58411"/>
  <c r="AG506" i="58411" s="1"/>
  <c r="AH506" i="58411" s="1"/>
  <c r="AI506" i="58411" s="1"/>
  <c r="AG505" i="58411"/>
  <c r="AH505" i="58411" s="1"/>
  <c r="AI505" i="58411" s="1"/>
  <c r="AJ505" i="58411" s="1"/>
  <c r="AK505" i="58411" s="1"/>
  <c r="AL505" i="58411" s="1"/>
  <c r="AM505" i="58411" s="1"/>
  <c r="AN505" i="58411" s="1"/>
  <c r="AF505" i="58411"/>
  <c r="AH504" i="58411"/>
  <c r="AI504" i="58411" s="1"/>
  <c r="AJ504" i="58411" s="1"/>
  <c r="AK504" i="58411" s="1"/>
  <c r="AL504" i="58411" s="1"/>
  <c r="AM504" i="58411" s="1"/>
  <c r="AN504" i="58411" s="1"/>
  <c r="AG504" i="58411"/>
  <c r="AF504" i="58411"/>
  <c r="AF503" i="58411"/>
  <c r="AG503" i="58411" s="1"/>
  <c r="AH503" i="58411" s="1"/>
  <c r="AI503" i="58411" s="1"/>
  <c r="AJ503" i="58411" s="1"/>
  <c r="AK503" i="58411" s="1"/>
  <c r="AL503" i="58411" s="1"/>
  <c r="AM503" i="58411" s="1"/>
  <c r="AN503" i="58411" s="1"/>
  <c r="AF502" i="58411"/>
  <c r="AG502" i="58411" s="1"/>
  <c r="AH502" i="58411" s="1"/>
  <c r="AI502" i="58411" s="1"/>
  <c r="AJ502" i="58411" s="1"/>
  <c r="AK502" i="58411" s="1"/>
  <c r="AL502" i="58411" s="1"/>
  <c r="AM502" i="58411" s="1"/>
  <c r="AN502" i="58411" s="1"/>
  <c r="AG501" i="58411"/>
  <c r="AH501" i="58411" s="1"/>
  <c r="AI501" i="58411" s="1"/>
  <c r="AJ501" i="58411" s="1"/>
  <c r="AK501" i="58411" s="1"/>
  <c r="AL501" i="58411" s="1"/>
  <c r="AM501" i="58411" s="1"/>
  <c r="AN501" i="58411" s="1"/>
  <c r="AF501" i="58411"/>
  <c r="AH500" i="58411"/>
  <c r="AI500" i="58411" s="1"/>
  <c r="AJ500" i="58411" s="1"/>
  <c r="AK500" i="58411" s="1"/>
  <c r="AL500" i="58411" s="1"/>
  <c r="AM500" i="58411" s="1"/>
  <c r="AN500" i="58411" s="1"/>
  <c r="AG500" i="58411"/>
  <c r="AF500" i="58411"/>
  <c r="AG499" i="58411"/>
  <c r="AH499" i="58411" s="1"/>
  <c r="AI499" i="58411" s="1"/>
  <c r="AJ499" i="58411" s="1"/>
  <c r="AK499" i="58411" s="1"/>
  <c r="AL499" i="58411" s="1"/>
  <c r="AM499" i="58411" s="1"/>
  <c r="AN499" i="58411" s="1"/>
  <c r="AF498" i="58411"/>
  <c r="AG498" i="58411" s="1"/>
  <c r="AH498" i="58411" s="1"/>
  <c r="AI498" i="58411" s="1"/>
  <c r="AJ498" i="58411" s="1"/>
  <c r="AK498" i="58411" s="1"/>
  <c r="AL498" i="58411" s="1"/>
  <c r="AM498" i="58411" s="1"/>
  <c r="AN498" i="58411" s="1"/>
  <c r="AK497" i="58411"/>
  <c r="AL497" i="58411" s="1"/>
  <c r="AM497" i="58411" s="1"/>
  <c r="AN497" i="58411" s="1"/>
  <c r="AG497" i="58411"/>
  <c r="AH497" i="58411" s="1"/>
  <c r="AI497" i="58411" s="1"/>
  <c r="AJ497" i="58411" s="1"/>
  <c r="AF497" i="58411"/>
  <c r="AH496" i="58411"/>
  <c r="AG496" i="58411"/>
  <c r="AF496" i="58411"/>
  <c r="AC508" i="58411"/>
  <c r="AD508" i="58411" s="1"/>
  <c r="AB508" i="58411"/>
  <c r="AC507" i="58411"/>
  <c r="AD507" i="58411" s="1"/>
  <c r="AB507" i="58411"/>
  <c r="AD506" i="58411"/>
  <c r="AC506" i="58411"/>
  <c r="AB506" i="58411"/>
  <c r="AD505" i="58411"/>
  <c r="AC505" i="58411"/>
  <c r="AB505" i="58411"/>
  <c r="AC504" i="58411"/>
  <c r="AD504" i="58411" s="1"/>
  <c r="AB504" i="58411"/>
  <c r="AC503" i="58411"/>
  <c r="AD503" i="58411" s="1"/>
  <c r="AB503" i="58411"/>
  <c r="AD502" i="58411"/>
  <c r="AC502" i="58411"/>
  <c r="AB502" i="58411"/>
  <c r="AD501" i="58411"/>
  <c r="AC501" i="58411"/>
  <c r="AB501" i="58411"/>
  <c r="AC500" i="58411"/>
  <c r="AD500" i="58411" s="1"/>
  <c r="AB500" i="58411"/>
  <c r="AC499" i="58411"/>
  <c r="AD499" i="58411" s="1"/>
  <c r="AB499" i="58411"/>
  <c r="AB498" i="58411"/>
  <c r="AC498" i="58411" s="1"/>
  <c r="AD498" i="58411" s="1"/>
  <c r="AD497" i="58411"/>
  <c r="AC497" i="58411"/>
  <c r="AB497" i="58411"/>
  <c r="AD496" i="58411"/>
  <c r="AC496" i="58411"/>
  <c r="AB496" i="58411"/>
  <c r="AN493" i="58411"/>
  <c r="AM493" i="58411"/>
  <c r="AL493" i="58411"/>
  <c r="AK493" i="58411"/>
  <c r="AJ493" i="58411"/>
  <c r="AI493" i="58411"/>
  <c r="AH493" i="58411"/>
  <c r="AG493" i="58411"/>
  <c r="AF493" i="58411"/>
  <c r="AE493" i="58411"/>
  <c r="AD493" i="58411"/>
  <c r="AC493" i="58411"/>
  <c r="AB493" i="58411"/>
  <c r="AA493" i="58411"/>
  <c r="Z493" i="58411"/>
  <c r="Y493" i="58411"/>
  <c r="X493" i="58411"/>
  <c r="W493" i="58411"/>
  <c r="V493" i="58411"/>
  <c r="U493" i="58411"/>
  <c r="T493" i="58411"/>
  <c r="S493" i="58411"/>
  <c r="R493" i="58411"/>
  <c r="Q493" i="58411"/>
  <c r="P493" i="58411"/>
  <c r="O493" i="58411"/>
  <c r="N493" i="58411"/>
  <c r="M493" i="58411"/>
  <c r="L493" i="58411"/>
  <c r="K493" i="58411"/>
  <c r="J493" i="58411"/>
  <c r="I493" i="58411"/>
  <c r="H493" i="58411"/>
  <c r="G493" i="58411"/>
  <c r="F493" i="58411"/>
  <c r="E493" i="58411"/>
  <c r="D493" i="58411"/>
  <c r="C493" i="58411"/>
  <c r="B493" i="58411"/>
  <c r="AD488" i="58411"/>
  <c r="AC488" i="58411"/>
  <c r="AE486" i="58411"/>
  <c r="AE476" i="58411"/>
  <c r="AE474" i="58411"/>
  <c r="AE473" i="58411"/>
  <c r="AA485" i="58411"/>
  <c r="Z485" i="58411"/>
  <c r="Y485" i="58411"/>
  <c r="X485" i="58411"/>
  <c r="V485" i="58411"/>
  <c r="U485" i="58411"/>
  <c r="T485" i="58411"/>
  <c r="S485" i="58411"/>
  <c r="Q485" i="58411"/>
  <c r="P485" i="58411"/>
  <c r="O485" i="58411"/>
  <c r="N485" i="58411"/>
  <c r="L485" i="58411"/>
  <c r="K485" i="58411"/>
  <c r="J485" i="58411"/>
  <c r="I485" i="58411"/>
  <c r="G485" i="58411"/>
  <c r="F485" i="58411"/>
  <c r="E485" i="58411"/>
  <c r="D485" i="58411"/>
  <c r="C485" i="58411"/>
  <c r="B485" i="58411"/>
  <c r="A485" i="58411"/>
  <c r="A482" i="58411"/>
  <c r="A481" i="58411"/>
  <c r="A480" i="58411"/>
  <c r="A479" i="58411"/>
  <c r="A478" i="58411"/>
  <c r="AA482" i="58411"/>
  <c r="Z482" i="58411"/>
  <c r="Y482" i="58411"/>
  <c r="X482" i="58411"/>
  <c r="V482" i="58411"/>
  <c r="U482" i="58411"/>
  <c r="T482" i="58411"/>
  <c r="S482" i="58411"/>
  <c r="Q482" i="58411"/>
  <c r="P482" i="58411"/>
  <c r="O482" i="58411"/>
  <c r="N482" i="58411"/>
  <c r="L482" i="58411"/>
  <c r="K482" i="58411"/>
  <c r="J482" i="58411"/>
  <c r="I482" i="58411"/>
  <c r="G482" i="58411"/>
  <c r="F482" i="58411"/>
  <c r="E482" i="58411"/>
  <c r="D482" i="58411"/>
  <c r="C482" i="58411"/>
  <c r="B482" i="58411"/>
  <c r="AA481" i="58411"/>
  <c r="Z481" i="58411"/>
  <c r="Y481" i="58411"/>
  <c r="X481" i="58411"/>
  <c r="V481" i="58411"/>
  <c r="U481" i="58411"/>
  <c r="T481" i="58411"/>
  <c r="N481" i="58411"/>
  <c r="L481" i="58411"/>
  <c r="K481" i="58411"/>
  <c r="J481" i="58411"/>
  <c r="I481" i="58411"/>
  <c r="G481" i="58411"/>
  <c r="F481" i="58411"/>
  <c r="E481" i="58411"/>
  <c r="D481" i="58411"/>
  <c r="C481" i="58411"/>
  <c r="B481" i="58411"/>
  <c r="AA480" i="58411"/>
  <c r="Z480" i="58411"/>
  <c r="Y480" i="58411"/>
  <c r="X480" i="58411"/>
  <c r="V480" i="58411"/>
  <c r="U480" i="58411"/>
  <c r="T480" i="58411"/>
  <c r="N480" i="58411"/>
  <c r="L480" i="58411"/>
  <c r="K480" i="58411"/>
  <c r="J480" i="58411"/>
  <c r="I480" i="58411"/>
  <c r="G480" i="58411"/>
  <c r="F480" i="58411"/>
  <c r="E480" i="58411"/>
  <c r="D480" i="58411"/>
  <c r="C480" i="58411"/>
  <c r="B480" i="58411"/>
  <c r="AA479" i="58411"/>
  <c r="Z479" i="58411"/>
  <c r="Y479" i="58411"/>
  <c r="X479" i="58411"/>
  <c r="V479" i="58411"/>
  <c r="U479" i="58411"/>
  <c r="T479" i="58411"/>
  <c r="Q479" i="58411"/>
  <c r="P479" i="58411"/>
  <c r="O479" i="58411"/>
  <c r="N479" i="58411"/>
  <c r="L479" i="58411"/>
  <c r="K479" i="58411"/>
  <c r="J479" i="58411"/>
  <c r="I479" i="58411"/>
  <c r="G479" i="58411"/>
  <c r="F479" i="58411"/>
  <c r="E479" i="58411"/>
  <c r="D479" i="58411"/>
  <c r="C479" i="58411"/>
  <c r="B479" i="58411"/>
  <c r="AA478" i="58411"/>
  <c r="Z478" i="58411"/>
  <c r="Y478" i="58411"/>
  <c r="X478" i="58411"/>
  <c r="V478" i="58411"/>
  <c r="U478" i="58411"/>
  <c r="T478" i="58411"/>
  <c r="Q478" i="58411"/>
  <c r="P478" i="58411"/>
  <c r="N478" i="58411"/>
  <c r="L478" i="58411"/>
  <c r="K478" i="58411"/>
  <c r="J478" i="58411"/>
  <c r="I478" i="58411"/>
  <c r="G478" i="58411"/>
  <c r="F478" i="58411"/>
  <c r="E478" i="58411"/>
  <c r="D478" i="58411"/>
  <c r="C478" i="58411"/>
  <c r="B478" i="58411"/>
  <c r="AA477" i="58411"/>
  <c r="Z477" i="58411"/>
  <c r="Y477" i="58411"/>
  <c r="X477" i="58411"/>
  <c r="V477" i="58411"/>
  <c r="U477" i="58411"/>
  <c r="T477" i="58411"/>
  <c r="S477" i="58411"/>
  <c r="Q477" i="58411"/>
  <c r="P477" i="58411"/>
  <c r="AA476" i="58411"/>
  <c r="Z476" i="58411"/>
  <c r="Y476" i="58411"/>
  <c r="X476" i="58411"/>
  <c r="V476" i="58411"/>
  <c r="U476" i="58411"/>
  <c r="T476" i="58411"/>
  <c r="S476" i="58411"/>
  <c r="Q476" i="58411"/>
  <c r="P476" i="58411"/>
  <c r="O476" i="58411"/>
  <c r="N476" i="58411"/>
  <c r="L476" i="58411"/>
  <c r="K476" i="58411"/>
  <c r="J476" i="58411"/>
  <c r="I476" i="58411"/>
  <c r="G476" i="58411"/>
  <c r="F476" i="58411"/>
  <c r="E476" i="58411"/>
  <c r="D476" i="58411"/>
  <c r="C476" i="58411"/>
  <c r="B476" i="58411"/>
  <c r="A476" i="58411"/>
  <c r="AG487" i="58411"/>
  <c r="AH487" i="58411" s="1"/>
  <c r="AI487" i="58411" s="1"/>
  <c r="AJ487" i="58411" s="1"/>
  <c r="AK487" i="58411" s="1"/>
  <c r="AL487" i="58411" s="1"/>
  <c r="AM487" i="58411" s="1"/>
  <c r="AN487" i="58411" s="1"/>
  <c r="AG486" i="58411"/>
  <c r="AH486" i="58411" s="1"/>
  <c r="AI486" i="58411" s="1"/>
  <c r="AJ486" i="58411" s="1"/>
  <c r="AK486" i="58411" s="1"/>
  <c r="AL486" i="58411" s="1"/>
  <c r="AM486" i="58411" s="1"/>
  <c r="AN486" i="58411" s="1"/>
  <c r="AA475" i="58411"/>
  <c r="AA474" i="58411"/>
  <c r="AA473" i="58411"/>
  <c r="AA488" i="58411" s="1"/>
  <c r="AA489" i="58411" s="1"/>
  <c r="AA490" i="58411" s="1"/>
  <c r="Z474" i="58411"/>
  <c r="Y474" i="58411"/>
  <c r="V474" i="58411"/>
  <c r="U474" i="58411"/>
  <c r="T474" i="58411"/>
  <c r="S474" i="58411"/>
  <c r="Q474" i="58411"/>
  <c r="P474" i="58411"/>
  <c r="O474" i="58411"/>
  <c r="N474" i="58411"/>
  <c r="L474" i="58411"/>
  <c r="K474" i="58411"/>
  <c r="J474" i="58411"/>
  <c r="I474" i="58411"/>
  <c r="G474" i="58411"/>
  <c r="F474" i="58411"/>
  <c r="E474" i="58411"/>
  <c r="D474" i="58411"/>
  <c r="C474" i="58411"/>
  <c r="B474" i="58411"/>
  <c r="A474" i="58411"/>
  <c r="Z473" i="58411"/>
  <c r="Z488" i="58411" s="1"/>
  <c r="Y473" i="58411"/>
  <c r="Y488" i="58411" s="1"/>
  <c r="X473" i="58411"/>
  <c r="V473" i="58411"/>
  <c r="V488" i="58411" s="1"/>
  <c r="U473" i="58411"/>
  <c r="U488" i="58411" s="1"/>
  <c r="T473" i="58411"/>
  <c r="T488" i="58411" s="1"/>
  <c r="S473" i="58411"/>
  <c r="Q473" i="58411"/>
  <c r="P473" i="58411"/>
  <c r="N473" i="58411"/>
  <c r="N488" i="58411" s="1"/>
  <c r="L473" i="58411"/>
  <c r="L488" i="58411" s="1"/>
  <c r="K473" i="58411"/>
  <c r="K488" i="58411" s="1"/>
  <c r="J473" i="58411"/>
  <c r="J488" i="58411" s="1"/>
  <c r="I473" i="58411"/>
  <c r="I488" i="58411" s="1"/>
  <c r="G473" i="58411"/>
  <c r="G488" i="58411" s="1"/>
  <c r="F473" i="58411"/>
  <c r="F488" i="58411" s="1"/>
  <c r="E473" i="58411"/>
  <c r="E488" i="58411" s="1"/>
  <c r="D473" i="58411"/>
  <c r="D488" i="58411" s="1"/>
  <c r="C473" i="58411"/>
  <c r="C488" i="58411" s="1"/>
  <c r="C489" i="58411" s="1"/>
  <c r="C490" i="58411" s="1"/>
  <c r="B473" i="58411"/>
  <c r="B488" i="58411" s="1"/>
  <c r="A473" i="58411"/>
  <c r="AE470" i="58411"/>
  <c r="AA470" i="58411"/>
  <c r="Z470" i="58411"/>
  <c r="Y470" i="58411"/>
  <c r="X470" i="58411"/>
  <c r="V470" i="58411"/>
  <c r="U470" i="58411"/>
  <c r="T470" i="58411"/>
  <c r="S470" i="58411"/>
  <c r="Q470" i="58411"/>
  <c r="P470" i="58411"/>
  <c r="O470" i="58411"/>
  <c r="N470" i="58411"/>
  <c r="L470" i="58411"/>
  <c r="K470" i="58411"/>
  <c r="J470" i="58411"/>
  <c r="I470" i="58411"/>
  <c r="G470" i="58411"/>
  <c r="F470" i="58411"/>
  <c r="E470" i="58411"/>
  <c r="D470" i="58411"/>
  <c r="C470" i="58411"/>
  <c r="B470" i="58411"/>
  <c r="AC469" i="58411"/>
  <c r="AC832" i="58411" s="1"/>
  <c r="AB469" i="58411"/>
  <c r="AB832" i="58411" s="1"/>
  <c r="W469" i="58411"/>
  <c r="W832" i="58411" s="1"/>
  <c r="R469" i="58411"/>
  <c r="R832" i="58411" s="1"/>
  <c r="M469" i="58411"/>
  <c r="M832" i="58411" s="1"/>
  <c r="H469" i="58411"/>
  <c r="H832" i="58411" s="1"/>
  <c r="A469" i="58411"/>
  <c r="AB466" i="58411"/>
  <c r="AB829" i="58411" s="1"/>
  <c r="AB465" i="58411"/>
  <c r="AB828" i="58411" s="1"/>
  <c r="AB464" i="58411"/>
  <c r="AB480" i="58411" s="1"/>
  <c r="AB463" i="58411"/>
  <c r="AB826" i="58411" s="1"/>
  <c r="AB462" i="58411"/>
  <c r="AB825" i="58411" s="1"/>
  <c r="AB461" i="58411"/>
  <c r="AB824" i="58411" s="1"/>
  <c r="AB460" i="58411"/>
  <c r="AB459" i="58411"/>
  <c r="AB822" i="58411" s="1"/>
  <c r="AB458" i="58411"/>
  <c r="AB821" i="58411" s="1"/>
  <c r="AB457" i="58411"/>
  <c r="W466" i="58411"/>
  <c r="W829" i="58411" s="1"/>
  <c r="W465" i="58411"/>
  <c r="W828" i="58411" s="1"/>
  <c r="W464" i="58411"/>
  <c r="W463" i="58411"/>
  <c r="W826" i="58411" s="1"/>
  <c r="W462" i="58411"/>
  <c r="W825" i="58411" s="1"/>
  <c r="W461" i="58411"/>
  <c r="W824" i="58411" s="1"/>
  <c r="W460" i="58411"/>
  <c r="R466" i="58411"/>
  <c r="R829" i="58411" s="1"/>
  <c r="R465" i="58411"/>
  <c r="R828" i="58411" s="1"/>
  <c r="R464" i="58411"/>
  <c r="R463" i="58411"/>
  <c r="R826" i="58411" s="1"/>
  <c r="R462" i="58411"/>
  <c r="R825" i="58411" s="1"/>
  <c r="R461" i="58411"/>
  <c r="R824" i="58411" s="1"/>
  <c r="R460" i="58411"/>
  <c r="R476" i="58411" s="1"/>
  <c r="M466" i="58411"/>
  <c r="M829" i="58411" s="1"/>
  <c r="M465" i="58411"/>
  <c r="M828" i="58411" s="1"/>
  <c r="M464" i="58411"/>
  <c r="M480" i="58411" s="1"/>
  <c r="M463" i="58411"/>
  <c r="M826" i="58411" s="1"/>
  <c r="M462" i="58411"/>
  <c r="M825" i="58411" s="1"/>
  <c r="H466" i="58411"/>
  <c r="H829" i="58411" s="1"/>
  <c r="H465" i="58411"/>
  <c r="H828" i="58411" s="1"/>
  <c r="H464" i="58411"/>
  <c r="H480" i="58411" s="1"/>
  <c r="H463" i="58411"/>
  <c r="H826" i="58411" s="1"/>
  <c r="H462" i="58411"/>
  <c r="H825" i="58411" s="1"/>
  <c r="A465" i="58411"/>
  <c r="A464" i="58411"/>
  <c r="A463" i="58411"/>
  <c r="A462" i="58411"/>
  <c r="M460" i="58411"/>
  <c r="H460" i="58411"/>
  <c r="A460" i="58411"/>
  <c r="W458" i="58411"/>
  <c r="W821" i="58411" s="1"/>
  <c r="W457" i="58411"/>
  <c r="W473" i="58411" s="1"/>
  <c r="R458" i="58411"/>
  <c r="R821" i="58411" s="1"/>
  <c r="R457" i="58411"/>
  <c r="M458" i="58411"/>
  <c r="M821" i="58411" s="1"/>
  <c r="M457" i="58411"/>
  <c r="H458" i="58411"/>
  <c r="H821" i="58411" s="1"/>
  <c r="H457" i="58411"/>
  <c r="A458" i="58411"/>
  <c r="A457" i="58411"/>
  <c r="AG468" i="58411"/>
  <c r="AF828" i="58411"/>
  <c r="AG464" i="58411"/>
  <c r="AF826" i="58411"/>
  <c r="AF825" i="58411"/>
  <c r="AF824" i="58411"/>
  <c r="AG460" i="58411"/>
  <c r="AF459" i="58411"/>
  <c r="AF821" i="58411"/>
  <c r="AF457" i="58411"/>
  <c r="AF473" i="58411" s="1"/>
  <c r="AC468" i="58411"/>
  <c r="AD468" i="58411" s="1"/>
  <c r="AC467" i="58411"/>
  <c r="AD467" i="58411" s="1"/>
  <c r="AC466" i="58411"/>
  <c r="AC829" i="58411" s="1"/>
  <c r="AC465" i="58411"/>
  <c r="AC828" i="58411" s="1"/>
  <c r="AC464" i="58411"/>
  <c r="AD464" i="58411" s="1"/>
  <c r="AC463" i="58411"/>
  <c r="AC462" i="58411"/>
  <c r="AC825" i="58411" s="1"/>
  <c r="AC461" i="58411"/>
  <c r="AC824" i="58411" s="1"/>
  <c r="AC460" i="58411"/>
  <c r="AD460" i="58411" s="1"/>
  <c r="AC459" i="58411"/>
  <c r="AC458" i="58411"/>
  <c r="AC821" i="58411" s="1"/>
  <c r="AC457" i="58411"/>
  <c r="AA454" i="58411"/>
  <c r="Z454" i="58411"/>
  <c r="Y454" i="58411"/>
  <c r="X454" i="58411"/>
  <c r="V454" i="58411"/>
  <c r="U454" i="58411"/>
  <c r="T454" i="58411"/>
  <c r="S454" i="58411"/>
  <c r="Q454" i="58411"/>
  <c r="P454" i="58411"/>
  <c r="O454" i="58411"/>
  <c r="N454" i="58411"/>
  <c r="L454" i="58411"/>
  <c r="K454" i="58411"/>
  <c r="J454" i="58411"/>
  <c r="I454" i="58411"/>
  <c r="G454" i="58411"/>
  <c r="F454" i="58411"/>
  <c r="E454" i="58411"/>
  <c r="D454" i="58411"/>
  <c r="C454" i="58411"/>
  <c r="B454" i="58411"/>
  <c r="AD453" i="58411"/>
  <c r="AD812" i="58411" s="1"/>
  <c r="AC453" i="58411"/>
  <c r="AC812" i="58411" s="1"/>
  <c r="AB453" i="58411"/>
  <c r="AB812" i="58411" s="1"/>
  <c r="W453" i="58411"/>
  <c r="W812" i="58411" s="1"/>
  <c r="R453" i="58411"/>
  <c r="R812" i="58411" s="1"/>
  <c r="M453" i="58411"/>
  <c r="M812" i="58411" s="1"/>
  <c r="H453" i="58411"/>
  <c r="H812" i="58411" s="1"/>
  <c r="A453" i="58411"/>
  <c r="AB450" i="58411"/>
  <c r="AB809" i="58411" s="1"/>
  <c r="AB449" i="58411"/>
  <c r="AB808" i="58411" s="1"/>
  <c r="AB448" i="58411"/>
  <c r="AB447" i="58411"/>
  <c r="AB806" i="58411" s="1"/>
  <c r="AB446" i="58411"/>
  <c r="AB805" i="58411" s="1"/>
  <c r="AB445" i="58411"/>
  <c r="AB804" i="58411" s="1"/>
  <c r="AB444" i="58411"/>
  <c r="AB443" i="58411"/>
  <c r="AB802" i="58411" s="1"/>
  <c r="AB442" i="58411"/>
  <c r="AB801" i="58411" s="1"/>
  <c r="AB441" i="58411"/>
  <c r="AB454" i="58411" s="1"/>
  <c r="W450" i="58411"/>
  <c r="W809" i="58411" s="1"/>
  <c r="W449" i="58411"/>
  <c r="W808" i="58411" s="1"/>
  <c r="W448" i="58411"/>
  <c r="W447" i="58411"/>
  <c r="W806" i="58411" s="1"/>
  <c r="W446" i="58411"/>
  <c r="W805" i="58411" s="1"/>
  <c r="W445" i="58411"/>
  <c r="W804" i="58411" s="1"/>
  <c r="W444" i="58411"/>
  <c r="W476" i="58411" s="1"/>
  <c r="R450" i="58411"/>
  <c r="R809" i="58411" s="1"/>
  <c r="R449" i="58411"/>
  <c r="R808" i="58411" s="1"/>
  <c r="R448" i="58411"/>
  <c r="R447" i="58411"/>
  <c r="R806" i="58411" s="1"/>
  <c r="R446" i="58411"/>
  <c r="R805" i="58411" s="1"/>
  <c r="R445" i="58411"/>
  <c r="R804" i="58411" s="1"/>
  <c r="R444" i="58411"/>
  <c r="M450" i="58411"/>
  <c r="M809" i="58411" s="1"/>
  <c r="M449" i="58411"/>
  <c r="M808" i="58411" s="1"/>
  <c r="M448" i="58411"/>
  <c r="M447" i="58411"/>
  <c r="M806" i="58411" s="1"/>
  <c r="M446" i="58411"/>
  <c r="M805" i="58411" s="1"/>
  <c r="H450" i="58411"/>
  <c r="H809" i="58411" s="1"/>
  <c r="H449" i="58411"/>
  <c r="H808" i="58411" s="1"/>
  <c r="H448" i="58411"/>
  <c r="H447" i="58411"/>
  <c r="H806" i="58411" s="1"/>
  <c r="H446" i="58411"/>
  <c r="H805" i="58411" s="1"/>
  <c r="A449" i="58411"/>
  <c r="A448" i="58411"/>
  <c r="A447" i="58411"/>
  <c r="A446" i="58411"/>
  <c r="A444" i="58411"/>
  <c r="AD452" i="58411"/>
  <c r="AD811" i="58411" s="1"/>
  <c r="AC452" i="58411"/>
  <c r="AD451" i="58411"/>
  <c r="AD810" i="58411" s="1"/>
  <c r="AC451" i="58411"/>
  <c r="AD450" i="58411"/>
  <c r="AD809" i="58411" s="1"/>
  <c r="AC450" i="58411"/>
  <c r="AC809" i="58411" s="1"/>
  <c r="AC449" i="58411"/>
  <c r="AC808" i="58411" s="1"/>
  <c r="AC448" i="58411"/>
  <c r="AC447" i="58411"/>
  <c r="AC806" i="58411" s="1"/>
  <c r="AC446" i="58411"/>
  <c r="AC805" i="58411" s="1"/>
  <c r="AD445" i="58411"/>
  <c r="AD804" i="58411" s="1"/>
  <c r="AC445" i="58411"/>
  <c r="AC804" i="58411" s="1"/>
  <c r="AC444" i="58411"/>
  <c r="M444" i="58411"/>
  <c r="H444" i="58411"/>
  <c r="AC443" i="58411"/>
  <c r="W442" i="58411"/>
  <c r="W801" i="58411" s="1"/>
  <c r="W441" i="58411"/>
  <c r="R442" i="58411"/>
  <c r="R801" i="58411" s="1"/>
  <c r="R441" i="58411"/>
  <c r="M442" i="58411"/>
  <c r="M801" i="58411" s="1"/>
  <c r="M441" i="58411"/>
  <c r="H442" i="58411"/>
  <c r="H801" i="58411" s="1"/>
  <c r="H441" i="58411"/>
  <c r="H454" i="58411" s="1"/>
  <c r="A442" i="58411"/>
  <c r="A441" i="58411"/>
  <c r="AF812" i="58411"/>
  <c r="AF452" i="58411"/>
  <c r="AF811" i="58411" s="1"/>
  <c r="AG451" i="58411"/>
  <c r="AG810" i="58411" s="1"/>
  <c r="AF451" i="58411"/>
  <c r="AF810" i="58411" s="1"/>
  <c r="AF450" i="58411"/>
  <c r="AF809" i="58411" s="1"/>
  <c r="AF808" i="58411"/>
  <c r="AG447" i="58411"/>
  <c r="AG806" i="58411" s="1"/>
  <c r="AF806" i="58411"/>
  <c r="AF805" i="58411"/>
  <c r="AF804" i="58411"/>
  <c r="AF801" i="58411"/>
  <c r="AD442" i="58411"/>
  <c r="AD801" i="58411" s="1"/>
  <c r="AC442" i="58411"/>
  <c r="AC801" i="58411" s="1"/>
  <c r="AC441" i="58411"/>
  <c r="AC454" i="58411" s="1"/>
  <c r="AA438" i="58411"/>
  <c r="Z438" i="58411"/>
  <c r="Y438" i="58411"/>
  <c r="V438" i="58411"/>
  <c r="U438" i="58411"/>
  <c r="T438" i="58411"/>
  <c r="N438" i="58411"/>
  <c r="L438" i="58411"/>
  <c r="K438" i="58411"/>
  <c r="J438" i="58411"/>
  <c r="I438" i="58411"/>
  <c r="G438" i="58411"/>
  <c r="F438" i="58411"/>
  <c r="E438" i="58411"/>
  <c r="D438" i="58411"/>
  <c r="C438" i="58411"/>
  <c r="B438" i="58411"/>
  <c r="AC437" i="58411"/>
  <c r="AC792" i="58411" s="1"/>
  <c r="AB437" i="58411"/>
  <c r="AB792" i="58411" s="1"/>
  <c r="W437" i="58411"/>
  <c r="W792" i="58411" s="1"/>
  <c r="R437" i="58411"/>
  <c r="M437" i="58411"/>
  <c r="M792" i="58411" s="1"/>
  <c r="H437" i="58411"/>
  <c r="H792" i="58411" s="1"/>
  <c r="AB434" i="58411"/>
  <c r="AB789" i="58411" s="1"/>
  <c r="AB433" i="58411"/>
  <c r="AB788" i="58411" s="1"/>
  <c r="AB931" i="58411" s="1"/>
  <c r="AB432" i="58411"/>
  <c r="AB431" i="58411"/>
  <c r="AB786" i="58411" s="1"/>
  <c r="AB430" i="58411"/>
  <c r="AB785" i="58411" s="1"/>
  <c r="AB429" i="58411"/>
  <c r="AB784" i="58411" s="1"/>
  <c r="AB428" i="58411"/>
  <c r="AC428" i="58411" s="1"/>
  <c r="AB427" i="58411"/>
  <c r="AB782" i="58411" s="1"/>
  <c r="AB426" i="58411"/>
  <c r="AB781" i="58411" s="1"/>
  <c r="AB425" i="58411"/>
  <c r="W434" i="58411"/>
  <c r="W789" i="58411" s="1"/>
  <c r="W433" i="58411"/>
  <c r="W788" i="58411" s="1"/>
  <c r="W432" i="58411"/>
  <c r="W431" i="58411"/>
  <c r="W786" i="58411" s="1"/>
  <c r="W430" i="58411"/>
  <c r="W785" i="58411" s="1"/>
  <c r="W429" i="58411"/>
  <c r="W784" i="58411" s="1"/>
  <c r="W428" i="58411"/>
  <c r="R434" i="58411"/>
  <c r="R431" i="58411"/>
  <c r="R430" i="58411"/>
  <c r="M434" i="58411"/>
  <c r="M789" i="58411" s="1"/>
  <c r="M433" i="58411"/>
  <c r="M788" i="58411" s="1"/>
  <c r="M432" i="58411"/>
  <c r="M431" i="58411"/>
  <c r="M786" i="58411" s="1"/>
  <c r="M430" i="58411"/>
  <c r="M785" i="58411" s="1"/>
  <c r="H434" i="58411"/>
  <c r="H789" i="58411" s="1"/>
  <c r="H433" i="58411"/>
  <c r="H788" i="58411" s="1"/>
  <c r="H432" i="58411"/>
  <c r="H431" i="58411"/>
  <c r="H786" i="58411" s="1"/>
  <c r="H430" i="58411"/>
  <c r="H785" i="58411" s="1"/>
  <c r="S431" i="58411"/>
  <c r="S479" i="58411" s="1"/>
  <c r="S430" i="58411"/>
  <c r="O433" i="58411"/>
  <c r="O788" i="58411" s="1"/>
  <c r="O432" i="58411"/>
  <c r="O430" i="58411"/>
  <c r="AC436" i="58411"/>
  <c r="AD436" i="58411" s="1"/>
  <c r="AE436" i="58411" s="1"/>
  <c r="AC435" i="58411"/>
  <c r="AD435" i="58411" s="1"/>
  <c r="AE435" i="58411" s="1"/>
  <c r="AC434" i="58411"/>
  <c r="AC789" i="58411" s="1"/>
  <c r="AC433" i="58411"/>
  <c r="AC788" i="58411" s="1"/>
  <c r="AC432" i="58411"/>
  <c r="AC431" i="58411"/>
  <c r="AC786" i="58411" s="1"/>
  <c r="AC430" i="58411"/>
  <c r="AC785" i="58411" s="1"/>
  <c r="AC429" i="58411"/>
  <c r="AC784" i="58411" s="1"/>
  <c r="R428" i="58411"/>
  <c r="M428" i="58411"/>
  <c r="H428" i="58411"/>
  <c r="X426" i="58411"/>
  <c r="W426" i="58411"/>
  <c r="W781" i="58411" s="1"/>
  <c r="R426" i="58411"/>
  <c r="R781" i="58411" s="1"/>
  <c r="R425" i="58411"/>
  <c r="M426" i="58411"/>
  <c r="M781" i="58411" s="1"/>
  <c r="M425" i="58411"/>
  <c r="H426" i="58411"/>
  <c r="H781" i="58411" s="1"/>
  <c r="H425" i="58411"/>
  <c r="H438" i="58411" s="1"/>
  <c r="AF428" i="58411"/>
  <c r="AG427" i="58411"/>
  <c r="AG782" i="58411" s="1"/>
  <c r="AF427" i="58411"/>
  <c r="AF782" i="58411" s="1"/>
  <c r="AF426" i="58411"/>
  <c r="AF781" i="58411" s="1"/>
  <c r="AC427" i="58411"/>
  <c r="AC782" i="58411" s="1"/>
  <c r="AD426" i="58411"/>
  <c r="AD781" i="58411" s="1"/>
  <c r="AC426" i="58411"/>
  <c r="AC425" i="58411"/>
  <c r="W425" i="58411"/>
  <c r="W438" i="58411" s="1"/>
  <c r="O425" i="58411"/>
  <c r="AN422" i="58411"/>
  <c r="AM422" i="58411"/>
  <c r="AL422" i="58411"/>
  <c r="AK422" i="58411"/>
  <c r="AJ422" i="58411"/>
  <c r="AI422" i="58411"/>
  <c r="AH422" i="58411"/>
  <c r="AG422" i="58411"/>
  <c r="AF422" i="58411"/>
  <c r="AE422" i="58411"/>
  <c r="AD422" i="58411"/>
  <c r="AC422" i="58411"/>
  <c r="AB422" i="58411"/>
  <c r="AA422" i="58411"/>
  <c r="Z422" i="58411"/>
  <c r="Y422" i="58411"/>
  <c r="X422" i="58411"/>
  <c r="W422" i="58411"/>
  <c r="V422" i="58411"/>
  <c r="U422" i="58411"/>
  <c r="T422" i="58411"/>
  <c r="S422" i="58411"/>
  <c r="R422" i="58411"/>
  <c r="Q422" i="58411"/>
  <c r="P422" i="58411"/>
  <c r="O422" i="58411"/>
  <c r="N422" i="58411"/>
  <c r="M422" i="58411"/>
  <c r="L422" i="58411"/>
  <c r="K422" i="58411"/>
  <c r="J422" i="58411"/>
  <c r="I422" i="58411"/>
  <c r="H422" i="58411"/>
  <c r="G422" i="58411"/>
  <c r="F422" i="58411"/>
  <c r="E422" i="58411"/>
  <c r="D422" i="58411"/>
  <c r="C422" i="58411"/>
  <c r="B422" i="58411"/>
  <c r="W414" i="58411"/>
  <c r="W413" i="58411"/>
  <c r="M414" i="58411"/>
  <c r="M413" i="58411"/>
  <c r="H414" i="58411"/>
  <c r="H413" i="58411"/>
  <c r="R414" i="58411"/>
  <c r="Q414" i="58411"/>
  <c r="Q413" i="58411"/>
  <c r="R413" i="58411" s="1"/>
  <c r="AC414" i="58411"/>
  <c r="AD414" i="58411" s="1"/>
  <c r="AE414" i="58411" s="1"/>
  <c r="AF414" i="58411" s="1"/>
  <c r="AG414" i="58411" s="1"/>
  <c r="AH414" i="58411" s="1"/>
  <c r="AI414" i="58411" s="1"/>
  <c r="AJ414" i="58411" s="1"/>
  <c r="AK414" i="58411" s="1"/>
  <c r="AL414" i="58411" s="1"/>
  <c r="AM414" i="58411" s="1"/>
  <c r="AN414" i="58411" s="1"/>
  <c r="AB414" i="58411"/>
  <c r="AC413" i="58411"/>
  <c r="AD413" i="58411" s="1"/>
  <c r="AE413" i="58411" s="1"/>
  <c r="AF413" i="58411" s="1"/>
  <c r="AG413" i="58411" s="1"/>
  <c r="AH413" i="58411" s="1"/>
  <c r="AI413" i="58411" s="1"/>
  <c r="AJ413" i="58411" s="1"/>
  <c r="AK413" i="58411" s="1"/>
  <c r="AL413" i="58411" s="1"/>
  <c r="AM413" i="58411" s="1"/>
  <c r="AN413" i="58411" s="1"/>
  <c r="AB413" i="58411"/>
  <c r="AA412" i="58411"/>
  <c r="Z412" i="58411"/>
  <c r="Y412" i="58411"/>
  <c r="X412" i="58411"/>
  <c r="V412" i="58411"/>
  <c r="U412" i="58411"/>
  <c r="T412" i="58411"/>
  <c r="S412" i="58411"/>
  <c r="Q412" i="58411"/>
  <c r="P412" i="58411"/>
  <c r="O412" i="58411"/>
  <c r="N412" i="58411"/>
  <c r="L412" i="58411"/>
  <c r="K412" i="58411"/>
  <c r="J412" i="58411"/>
  <c r="I412" i="58411"/>
  <c r="G412" i="58411"/>
  <c r="F412" i="58411"/>
  <c r="E412" i="58411"/>
  <c r="D412" i="58411"/>
  <c r="C412" i="58411"/>
  <c r="B412" i="58411"/>
  <c r="A412" i="58411"/>
  <c r="A409" i="58411"/>
  <c r="A408" i="58411"/>
  <c r="A407" i="58411"/>
  <c r="A406" i="58411"/>
  <c r="A405" i="58411"/>
  <c r="AA409" i="58411"/>
  <c r="Z409" i="58411"/>
  <c r="Y409" i="58411"/>
  <c r="X409" i="58411"/>
  <c r="V409" i="58411"/>
  <c r="U409" i="58411"/>
  <c r="T409" i="58411"/>
  <c r="S409" i="58411"/>
  <c r="Q409" i="58411"/>
  <c r="P409" i="58411"/>
  <c r="O409" i="58411"/>
  <c r="N409" i="58411"/>
  <c r="L409" i="58411"/>
  <c r="K409" i="58411"/>
  <c r="J409" i="58411"/>
  <c r="I409" i="58411"/>
  <c r="G409" i="58411"/>
  <c r="F409" i="58411"/>
  <c r="E409" i="58411"/>
  <c r="D409" i="58411"/>
  <c r="C409" i="58411"/>
  <c r="B409" i="58411"/>
  <c r="AA408" i="58411"/>
  <c r="Z408" i="58411"/>
  <c r="Y408" i="58411"/>
  <c r="X408" i="58411"/>
  <c r="V408" i="58411"/>
  <c r="U408" i="58411"/>
  <c r="T408" i="58411"/>
  <c r="S408" i="58411"/>
  <c r="Q408" i="58411"/>
  <c r="P408" i="58411"/>
  <c r="O408" i="58411"/>
  <c r="N408" i="58411"/>
  <c r="L408" i="58411"/>
  <c r="K408" i="58411"/>
  <c r="J408" i="58411"/>
  <c r="I408" i="58411"/>
  <c r="G408" i="58411"/>
  <c r="F408" i="58411"/>
  <c r="E408" i="58411"/>
  <c r="D408" i="58411"/>
  <c r="C408" i="58411"/>
  <c r="B408" i="58411"/>
  <c r="AA407" i="58411"/>
  <c r="Z407" i="58411"/>
  <c r="Y407" i="58411"/>
  <c r="X407" i="58411"/>
  <c r="V407" i="58411"/>
  <c r="U407" i="58411"/>
  <c r="S407" i="58411"/>
  <c r="Q407" i="58411"/>
  <c r="P407" i="58411"/>
  <c r="O407" i="58411"/>
  <c r="N407" i="58411"/>
  <c r="L407" i="58411"/>
  <c r="K407" i="58411"/>
  <c r="J407" i="58411"/>
  <c r="I407" i="58411"/>
  <c r="G407" i="58411"/>
  <c r="F407" i="58411"/>
  <c r="E407" i="58411"/>
  <c r="D407" i="58411"/>
  <c r="C407" i="58411"/>
  <c r="B407" i="58411"/>
  <c r="AA406" i="58411"/>
  <c r="Z406" i="58411"/>
  <c r="Y406" i="58411"/>
  <c r="X406" i="58411"/>
  <c r="V406" i="58411"/>
  <c r="U406" i="58411"/>
  <c r="T406" i="58411"/>
  <c r="S406" i="58411"/>
  <c r="Q406" i="58411"/>
  <c r="P406" i="58411"/>
  <c r="O406" i="58411"/>
  <c r="N406" i="58411"/>
  <c r="L406" i="58411"/>
  <c r="K406" i="58411"/>
  <c r="J406" i="58411"/>
  <c r="I406" i="58411"/>
  <c r="G406" i="58411"/>
  <c r="F406" i="58411"/>
  <c r="E406" i="58411"/>
  <c r="D406" i="58411"/>
  <c r="C406" i="58411"/>
  <c r="B406" i="58411"/>
  <c r="AA405" i="58411"/>
  <c r="Z405" i="58411"/>
  <c r="Y405" i="58411"/>
  <c r="X405" i="58411"/>
  <c r="V405" i="58411"/>
  <c r="U405" i="58411"/>
  <c r="T405" i="58411"/>
  <c r="S405" i="58411"/>
  <c r="Q405" i="58411"/>
  <c r="P405" i="58411"/>
  <c r="O405" i="58411"/>
  <c r="N405" i="58411"/>
  <c r="L405" i="58411"/>
  <c r="K405" i="58411"/>
  <c r="J405" i="58411"/>
  <c r="I405" i="58411"/>
  <c r="G405" i="58411"/>
  <c r="F405" i="58411"/>
  <c r="E405" i="58411"/>
  <c r="D405" i="58411"/>
  <c r="C405" i="58411"/>
  <c r="B405" i="58411"/>
  <c r="AA404" i="58411"/>
  <c r="Z404" i="58411"/>
  <c r="Y404" i="58411"/>
  <c r="X404" i="58411"/>
  <c r="V404" i="58411"/>
  <c r="U404" i="58411"/>
  <c r="T404" i="58411"/>
  <c r="S404" i="58411"/>
  <c r="Q404" i="58411"/>
  <c r="P404" i="58411"/>
  <c r="AA403" i="58411"/>
  <c r="Z403" i="58411"/>
  <c r="Y403" i="58411"/>
  <c r="X403" i="58411"/>
  <c r="V403" i="58411"/>
  <c r="U403" i="58411"/>
  <c r="T403" i="58411"/>
  <c r="S403" i="58411"/>
  <c r="Q403" i="58411"/>
  <c r="P403" i="58411"/>
  <c r="O403" i="58411"/>
  <c r="N403" i="58411"/>
  <c r="L403" i="58411"/>
  <c r="K403" i="58411"/>
  <c r="J403" i="58411"/>
  <c r="I403" i="58411"/>
  <c r="G403" i="58411"/>
  <c r="F403" i="58411"/>
  <c r="E403" i="58411"/>
  <c r="D403" i="58411"/>
  <c r="C403" i="58411"/>
  <c r="B403" i="58411"/>
  <c r="A403" i="58411"/>
  <c r="AE408" i="58411"/>
  <c r="AE407" i="58411"/>
  <c r="AE405" i="58411"/>
  <c r="AE404" i="58411"/>
  <c r="AE403" i="58411"/>
  <c r="AE401" i="58411"/>
  <c r="AE400" i="58411"/>
  <c r="AA402" i="58411"/>
  <c r="AA401" i="58411"/>
  <c r="AA400" i="58411"/>
  <c r="AA415" i="58411" s="1"/>
  <c r="Z401" i="58411"/>
  <c r="Y401" i="58411"/>
  <c r="X401" i="58411"/>
  <c r="V401" i="58411"/>
  <c r="U401" i="58411"/>
  <c r="T401" i="58411"/>
  <c r="Q401" i="58411"/>
  <c r="P401" i="58411"/>
  <c r="O401" i="58411"/>
  <c r="N401" i="58411"/>
  <c r="L401" i="58411"/>
  <c r="K401" i="58411"/>
  <c r="J401" i="58411"/>
  <c r="I401" i="58411"/>
  <c r="G401" i="58411"/>
  <c r="F401" i="58411"/>
  <c r="E401" i="58411"/>
  <c r="D401" i="58411"/>
  <c r="C401" i="58411"/>
  <c r="B401" i="58411"/>
  <c r="A401" i="58411"/>
  <c r="Z400" i="58411"/>
  <c r="Z415" i="58411" s="1"/>
  <c r="Y400" i="58411"/>
  <c r="Y415" i="58411" s="1"/>
  <c r="X400" i="58411"/>
  <c r="X415" i="58411" s="1"/>
  <c r="V400" i="58411"/>
  <c r="V415" i="58411" s="1"/>
  <c r="U400" i="58411"/>
  <c r="U415" i="58411" s="1"/>
  <c r="T400" i="58411"/>
  <c r="T415" i="58411" s="1"/>
  <c r="Q400" i="58411"/>
  <c r="Q415" i="58411" s="1"/>
  <c r="P400" i="58411"/>
  <c r="P415" i="58411" s="1"/>
  <c r="O400" i="58411"/>
  <c r="O415" i="58411" s="1"/>
  <c r="N400" i="58411"/>
  <c r="N415" i="58411" s="1"/>
  <c r="L400" i="58411"/>
  <c r="L415" i="58411" s="1"/>
  <c r="K400" i="58411"/>
  <c r="K415" i="58411" s="1"/>
  <c r="J400" i="58411"/>
  <c r="J415" i="58411" s="1"/>
  <c r="I400" i="58411"/>
  <c r="I415" i="58411" s="1"/>
  <c r="G400" i="58411"/>
  <c r="G415" i="58411" s="1"/>
  <c r="F400" i="58411"/>
  <c r="F415" i="58411" s="1"/>
  <c r="E400" i="58411"/>
  <c r="E415" i="58411" s="1"/>
  <c r="D400" i="58411"/>
  <c r="D415" i="58411" s="1"/>
  <c r="C400" i="58411"/>
  <c r="C415" i="58411" s="1"/>
  <c r="B400" i="58411"/>
  <c r="B415" i="58411" s="1"/>
  <c r="A400" i="58411"/>
  <c r="AC396" i="58411"/>
  <c r="AD396" i="58411" s="1"/>
  <c r="AE396" i="58411" s="1"/>
  <c r="AF396" i="58411" s="1"/>
  <c r="AG396" i="58411" s="1"/>
  <c r="AH396" i="58411" s="1"/>
  <c r="AI396" i="58411" s="1"/>
  <c r="AJ396" i="58411" s="1"/>
  <c r="AK396" i="58411" s="1"/>
  <c r="AL396" i="58411" s="1"/>
  <c r="AM396" i="58411" s="1"/>
  <c r="AN396" i="58411" s="1"/>
  <c r="AA396" i="58411"/>
  <c r="AB396" i="58411" s="1"/>
  <c r="W396" i="58411"/>
  <c r="W395" i="58411"/>
  <c r="W393" i="58411"/>
  <c r="W392" i="58411"/>
  <c r="R396" i="58411"/>
  <c r="R395" i="58411"/>
  <c r="R393" i="58411"/>
  <c r="R392" i="58411"/>
  <c r="M396" i="58411"/>
  <c r="M395" i="58411"/>
  <c r="M393" i="58411"/>
  <c r="M392" i="58411"/>
  <c r="H396" i="58411"/>
  <c r="H395" i="58411"/>
  <c r="H393" i="58411"/>
  <c r="H392" i="58411"/>
  <c r="AA395" i="58411"/>
  <c r="AB395" i="58411" s="1"/>
  <c r="Q394" i="58411"/>
  <c r="P394" i="58411"/>
  <c r="O394" i="58411"/>
  <c r="N394" i="58411"/>
  <c r="Q393" i="58411"/>
  <c r="P393" i="58411"/>
  <c r="O393" i="58411"/>
  <c r="N393" i="58411"/>
  <c r="Q392" i="58411"/>
  <c r="P392" i="58411"/>
  <c r="O392" i="58411"/>
  <c r="N392" i="58411"/>
  <c r="Q391" i="58411"/>
  <c r="P391" i="58411"/>
  <c r="O391" i="58411"/>
  <c r="N391" i="58411"/>
  <c r="Q390" i="58411"/>
  <c r="P390" i="58411"/>
  <c r="O390" i="58411"/>
  <c r="N390" i="58411"/>
  <c r="Q389" i="58411"/>
  <c r="P389" i="58411"/>
  <c r="O389" i="58411"/>
  <c r="N389" i="58411"/>
  <c r="Q388" i="58411"/>
  <c r="P388" i="58411"/>
  <c r="O388" i="58411"/>
  <c r="N388" i="58411"/>
  <c r="Q387" i="58411"/>
  <c r="P387" i="58411"/>
  <c r="O387" i="58411"/>
  <c r="N387" i="58411"/>
  <c r="L394" i="58411"/>
  <c r="K394" i="58411"/>
  <c r="J394" i="58411"/>
  <c r="I394" i="58411"/>
  <c r="L393" i="58411"/>
  <c r="K393" i="58411"/>
  <c r="J393" i="58411"/>
  <c r="I393" i="58411"/>
  <c r="L392" i="58411"/>
  <c r="K392" i="58411"/>
  <c r="J392" i="58411"/>
  <c r="I392" i="58411"/>
  <c r="L391" i="58411"/>
  <c r="K391" i="58411"/>
  <c r="J391" i="58411"/>
  <c r="I391" i="58411"/>
  <c r="L390" i="58411"/>
  <c r="K390" i="58411"/>
  <c r="J390" i="58411"/>
  <c r="I390" i="58411"/>
  <c r="L389" i="58411"/>
  <c r="K389" i="58411"/>
  <c r="J389" i="58411"/>
  <c r="I389" i="58411"/>
  <c r="L388" i="58411"/>
  <c r="K388" i="58411"/>
  <c r="J388" i="58411"/>
  <c r="I388" i="58411"/>
  <c r="L387" i="58411"/>
  <c r="K387" i="58411"/>
  <c r="J387" i="58411"/>
  <c r="I387" i="58411"/>
  <c r="G394" i="58411"/>
  <c r="F394" i="58411"/>
  <c r="E394" i="58411"/>
  <c r="D394" i="58411"/>
  <c r="C394" i="58411"/>
  <c r="B394" i="58411"/>
  <c r="A394" i="58411"/>
  <c r="G393" i="58411"/>
  <c r="F393" i="58411"/>
  <c r="E393" i="58411"/>
  <c r="D393" i="58411"/>
  <c r="C393" i="58411"/>
  <c r="B393" i="58411"/>
  <c r="G392" i="58411"/>
  <c r="F392" i="58411"/>
  <c r="E392" i="58411"/>
  <c r="D392" i="58411"/>
  <c r="C392" i="58411"/>
  <c r="B392" i="58411"/>
  <c r="G391" i="58411"/>
  <c r="F391" i="58411"/>
  <c r="E391" i="58411"/>
  <c r="D391" i="58411"/>
  <c r="C391" i="58411"/>
  <c r="B391" i="58411"/>
  <c r="A391" i="58411"/>
  <c r="G390" i="58411"/>
  <c r="F390" i="58411"/>
  <c r="E390" i="58411"/>
  <c r="D390" i="58411"/>
  <c r="C390" i="58411"/>
  <c r="B390" i="58411"/>
  <c r="A390" i="58411"/>
  <c r="G389" i="58411"/>
  <c r="F389" i="58411"/>
  <c r="E389" i="58411"/>
  <c r="D389" i="58411"/>
  <c r="C389" i="58411"/>
  <c r="B389" i="58411"/>
  <c r="A389" i="58411"/>
  <c r="G388" i="58411"/>
  <c r="F388" i="58411"/>
  <c r="E388" i="58411"/>
  <c r="D388" i="58411"/>
  <c r="C388" i="58411"/>
  <c r="B388" i="58411"/>
  <c r="A388" i="58411"/>
  <c r="G387" i="58411"/>
  <c r="F387" i="58411"/>
  <c r="E387" i="58411"/>
  <c r="D387" i="58411"/>
  <c r="C387" i="58411"/>
  <c r="B387" i="58411"/>
  <c r="A387" i="58411"/>
  <c r="Q386" i="58411"/>
  <c r="Q385" i="58411"/>
  <c r="A385" i="58411"/>
  <c r="AA394" i="58411"/>
  <c r="Z394" i="58411"/>
  <c r="Y394" i="58411"/>
  <c r="X394" i="58411"/>
  <c r="AB393" i="58411"/>
  <c r="AA393" i="58411"/>
  <c r="Z393" i="58411"/>
  <c r="Y393" i="58411"/>
  <c r="X393" i="58411"/>
  <c r="AB392" i="58411"/>
  <c r="AA392" i="58411"/>
  <c r="Z392" i="58411"/>
  <c r="Y392" i="58411"/>
  <c r="X392" i="58411"/>
  <c r="AA391" i="58411"/>
  <c r="Z391" i="58411"/>
  <c r="Y391" i="58411"/>
  <c r="X391" i="58411"/>
  <c r="AA390" i="58411"/>
  <c r="Z390" i="58411"/>
  <c r="Y390" i="58411"/>
  <c r="X390" i="58411"/>
  <c r="AA389" i="58411"/>
  <c r="Z389" i="58411"/>
  <c r="Y389" i="58411"/>
  <c r="X389" i="58411"/>
  <c r="AA388" i="58411"/>
  <c r="Z388" i="58411"/>
  <c r="Y388" i="58411"/>
  <c r="X388" i="58411"/>
  <c r="AA387" i="58411"/>
  <c r="Z387" i="58411"/>
  <c r="Y387" i="58411"/>
  <c r="X387" i="58411"/>
  <c r="AA386" i="58411"/>
  <c r="Z386" i="58411"/>
  <c r="Y386" i="58411"/>
  <c r="X386" i="58411"/>
  <c r="AD385" i="58411"/>
  <c r="AA385" i="58411"/>
  <c r="Z385" i="58411"/>
  <c r="Y385" i="58411"/>
  <c r="X385" i="58411"/>
  <c r="V394" i="58411"/>
  <c r="U394" i="58411"/>
  <c r="T394" i="58411"/>
  <c r="S394" i="58411"/>
  <c r="V393" i="58411"/>
  <c r="U393" i="58411"/>
  <c r="T393" i="58411"/>
  <c r="S393" i="58411"/>
  <c r="V392" i="58411"/>
  <c r="U392" i="58411"/>
  <c r="T392" i="58411"/>
  <c r="S392" i="58411"/>
  <c r="V391" i="58411"/>
  <c r="U391" i="58411"/>
  <c r="T391" i="58411"/>
  <c r="S391" i="58411"/>
  <c r="V390" i="58411"/>
  <c r="U390" i="58411"/>
  <c r="T390" i="58411"/>
  <c r="S390" i="58411"/>
  <c r="V389" i="58411"/>
  <c r="U389" i="58411"/>
  <c r="T389" i="58411"/>
  <c r="S389" i="58411"/>
  <c r="V388" i="58411"/>
  <c r="U388" i="58411"/>
  <c r="T388" i="58411"/>
  <c r="S388" i="58411"/>
  <c r="V387" i="58411"/>
  <c r="U387" i="58411"/>
  <c r="T387" i="58411"/>
  <c r="S387" i="58411"/>
  <c r="V386" i="58411"/>
  <c r="U386" i="58411"/>
  <c r="T386" i="58411"/>
  <c r="S386" i="58411"/>
  <c r="V385" i="58411"/>
  <c r="U385" i="58411"/>
  <c r="T385" i="58411"/>
  <c r="S385" i="58411"/>
  <c r="P385" i="58411"/>
  <c r="O385" i="58411"/>
  <c r="N385" i="58411"/>
  <c r="L385" i="58411"/>
  <c r="K385" i="58411"/>
  <c r="J385" i="58411"/>
  <c r="I385" i="58411"/>
  <c r="G385" i="58411"/>
  <c r="F385" i="58411"/>
  <c r="E385" i="58411"/>
  <c r="D385" i="58411"/>
  <c r="C385" i="58411"/>
  <c r="B385" i="58411"/>
  <c r="AG395" i="58411"/>
  <c r="AH395" i="58411" s="1"/>
  <c r="AI395" i="58411" s="1"/>
  <c r="AJ395" i="58411" s="1"/>
  <c r="AK395" i="58411" s="1"/>
  <c r="AL395" i="58411" s="1"/>
  <c r="AM395" i="58411" s="1"/>
  <c r="AN395" i="58411" s="1"/>
  <c r="AE389" i="58411"/>
  <c r="AE387" i="58411"/>
  <c r="AE385" i="58411"/>
  <c r="AE382" i="58411"/>
  <c r="AA384" i="58411"/>
  <c r="AA383" i="58411"/>
  <c r="AA382" i="58411"/>
  <c r="AA397" i="58411" s="1"/>
  <c r="Z383" i="58411"/>
  <c r="Y383" i="58411"/>
  <c r="X383" i="58411"/>
  <c r="V383" i="58411"/>
  <c r="U383" i="58411"/>
  <c r="T383" i="58411"/>
  <c r="S383" i="58411"/>
  <c r="Q383" i="58411"/>
  <c r="P383" i="58411"/>
  <c r="O383" i="58411"/>
  <c r="N383" i="58411"/>
  <c r="L383" i="58411"/>
  <c r="K383" i="58411"/>
  <c r="J383" i="58411"/>
  <c r="I383" i="58411"/>
  <c r="G383" i="58411"/>
  <c r="F383" i="58411"/>
  <c r="E383" i="58411"/>
  <c r="D383" i="58411"/>
  <c r="C383" i="58411"/>
  <c r="B383" i="58411"/>
  <c r="A383" i="58411"/>
  <c r="Z382" i="58411"/>
  <c r="Y382" i="58411"/>
  <c r="X382" i="58411"/>
  <c r="X397" i="58411" s="1"/>
  <c r="V382" i="58411"/>
  <c r="U382" i="58411"/>
  <c r="T382" i="58411"/>
  <c r="T397" i="58411" s="1"/>
  <c r="S382" i="58411"/>
  <c r="S397" i="58411" s="1"/>
  <c r="Q382" i="58411"/>
  <c r="P382" i="58411"/>
  <c r="P397" i="58411" s="1"/>
  <c r="O382" i="58411"/>
  <c r="O397" i="58411" s="1"/>
  <c r="N382" i="58411"/>
  <c r="L382" i="58411"/>
  <c r="L397" i="58411" s="1"/>
  <c r="K382" i="58411"/>
  <c r="K397" i="58411" s="1"/>
  <c r="J382" i="58411"/>
  <c r="I382" i="58411"/>
  <c r="G382" i="58411"/>
  <c r="G397" i="58411" s="1"/>
  <c r="F382" i="58411"/>
  <c r="E382" i="58411"/>
  <c r="D382" i="58411"/>
  <c r="D397" i="58411" s="1"/>
  <c r="C382" i="58411"/>
  <c r="C397" i="58411" s="1"/>
  <c r="B382" i="58411"/>
  <c r="A382" i="58411"/>
  <c r="K379" i="58411"/>
  <c r="R378" i="58411"/>
  <c r="S378" i="58411" s="1"/>
  <c r="T378" i="58411" s="1"/>
  <c r="U378" i="58411" s="1"/>
  <c r="V378" i="58411" s="1"/>
  <c r="W378" i="58411" s="1"/>
  <c r="X378" i="58411" s="1"/>
  <c r="Y378" i="58411" s="1"/>
  <c r="Z378" i="58411" s="1"/>
  <c r="AA378" i="58411" s="1"/>
  <c r="AB378" i="58411" s="1"/>
  <c r="AC378" i="58411" s="1"/>
  <c r="AD378" i="58411" s="1"/>
  <c r="AE378" i="58411" s="1"/>
  <c r="AF378" i="58411" s="1"/>
  <c r="AG378" i="58411" s="1"/>
  <c r="AH378" i="58411" s="1"/>
  <c r="AI378" i="58411" s="1"/>
  <c r="AJ378" i="58411" s="1"/>
  <c r="AK378" i="58411" s="1"/>
  <c r="AL378" i="58411" s="1"/>
  <c r="AM378" i="58411" s="1"/>
  <c r="AN378" i="58411" s="1"/>
  <c r="M378" i="58411"/>
  <c r="M377" i="58411"/>
  <c r="H378" i="58411"/>
  <c r="H377" i="58411"/>
  <c r="AA377" i="58411"/>
  <c r="AB377" i="58411" s="1"/>
  <c r="Z377" i="58411"/>
  <c r="W377" i="58411"/>
  <c r="R377" i="58411"/>
  <c r="AA376" i="58411"/>
  <c r="Z376" i="58411"/>
  <c r="Y376" i="58411"/>
  <c r="U376" i="58411"/>
  <c r="T376" i="58411"/>
  <c r="S376" i="58411"/>
  <c r="Q376" i="58411"/>
  <c r="P376" i="58411"/>
  <c r="O376" i="58411"/>
  <c r="N376" i="58411"/>
  <c r="L376" i="58411"/>
  <c r="K376" i="58411"/>
  <c r="J376" i="58411"/>
  <c r="I376" i="58411"/>
  <c r="G376" i="58411"/>
  <c r="F376" i="58411"/>
  <c r="E376" i="58411"/>
  <c r="D376" i="58411"/>
  <c r="C376" i="58411"/>
  <c r="B376" i="58411"/>
  <c r="A376" i="58411"/>
  <c r="A373" i="58411"/>
  <c r="A372" i="58411"/>
  <c r="A371" i="58411"/>
  <c r="A370" i="58411"/>
  <c r="A369" i="58411"/>
  <c r="A368" i="58411"/>
  <c r="A367" i="58411"/>
  <c r="AA373" i="58411"/>
  <c r="Z373" i="58411"/>
  <c r="Y373" i="58411"/>
  <c r="X373" i="58411"/>
  <c r="U373" i="58411"/>
  <c r="T373" i="58411"/>
  <c r="S373" i="58411"/>
  <c r="Q373" i="58411"/>
  <c r="P373" i="58411"/>
  <c r="O373" i="58411"/>
  <c r="N373" i="58411"/>
  <c r="L373" i="58411"/>
  <c r="K373" i="58411"/>
  <c r="J373" i="58411"/>
  <c r="I373" i="58411"/>
  <c r="G373" i="58411"/>
  <c r="F373" i="58411"/>
  <c r="E373" i="58411"/>
  <c r="D373" i="58411"/>
  <c r="C373" i="58411"/>
  <c r="B373" i="58411"/>
  <c r="AA372" i="58411"/>
  <c r="Z372" i="58411"/>
  <c r="Y372" i="58411"/>
  <c r="X372" i="58411"/>
  <c r="W372" i="58411"/>
  <c r="U372" i="58411"/>
  <c r="T372" i="58411"/>
  <c r="S372" i="58411"/>
  <c r="Q372" i="58411"/>
  <c r="P372" i="58411"/>
  <c r="O372" i="58411"/>
  <c r="O379" i="58411" s="1"/>
  <c r="N372" i="58411"/>
  <c r="L372" i="58411"/>
  <c r="K372" i="58411"/>
  <c r="J372" i="58411"/>
  <c r="I372" i="58411"/>
  <c r="G372" i="58411"/>
  <c r="G379" i="58411" s="1"/>
  <c r="F372" i="58411"/>
  <c r="E372" i="58411"/>
  <c r="D372" i="58411"/>
  <c r="C372" i="58411"/>
  <c r="C379" i="58411" s="1"/>
  <c r="B372" i="58411"/>
  <c r="AA371" i="58411"/>
  <c r="Z371" i="58411"/>
  <c r="Y371" i="58411"/>
  <c r="X371" i="58411"/>
  <c r="U371" i="58411"/>
  <c r="T371" i="58411"/>
  <c r="S371" i="58411"/>
  <c r="Q371" i="58411"/>
  <c r="P371" i="58411"/>
  <c r="O371" i="58411"/>
  <c r="N371" i="58411"/>
  <c r="L371" i="58411"/>
  <c r="K371" i="58411"/>
  <c r="J371" i="58411"/>
  <c r="I371" i="58411"/>
  <c r="G371" i="58411"/>
  <c r="F371" i="58411"/>
  <c r="E371" i="58411"/>
  <c r="D371" i="58411"/>
  <c r="C371" i="58411"/>
  <c r="B371" i="58411"/>
  <c r="AA370" i="58411"/>
  <c r="Z370" i="58411"/>
  <c r="Y370" i="58411"/>
  <c r="X370" i="58411"/>
  <c r="U370" i="58411"/>
  <c r="T370" i="58411"/>
  <c r="S370" i="58411"/>
  <c r="Q370" i="58411"/>
  <c r="P370" i="58411"/>
  <c r="O370" i="58411"/>
  <c r="N370" i="58411"/>
  <c r="M370" i="58411"/>
  <c r="L370" i="58411"/>
  <c r="K370" i="58411"/>
  <c r="J370" i="58411"/>
  <c r="I370" i="58411"/>
  <c r="G370" i="58411"/>
  <c r="F370" i="58411"/>
  <c r="E370" i="58411"/>
  <c r="D370" i="58411"/>
  <c r="C370" i="58411"/>
  <c r="B370" i="58411"/>
  <c r="AA369" i="58411"/>
  <c r="Z369" i="58411"/>
  <c r="Y369" i="58411"/>
  <c r="X369" i="58411"/>
  <c r="U369" i="58411"/>
  <c r="T369" i="58411"/>
  <c r="S369" i="58411"/>
  <c r="Q369" i="58411"/>
  <c r="P369" i="58411"/>
  <c r="O369" i="58411"/>
  <c r="N369" i="58411"/>
  <c r="L369" i="58411"/>
  <c r="K369" i="58411"/>
  <c r="J369" i="58411"/>
  <c r="I369" i="58411"/>
  <c r="G369" i="58411"/>
  <c r="F369" i="58411"/>
  <c r="E369" i="58411"/>
  <c r="D369" i="58411"/>
  <c r="C369" i="58411"/>
  <c r="B369" i="58411"/>
  <c r="AA368" i="58411"/>
  <c r="Z368" i="58411"/>
  <c r="Y368" i="58411"/>
  <c r="X368" i="58411"/>
  <c r="U368" i="58411"/>
  <c r="T368" i="58411"/>
  <c r="S368" i="58411"/>
  <c r="S379" i="58411" s="1"/>
  <c r="AA367" i="58411"/>
  <c r="Z367" i="58411"/>
  <c r="Y367" i="58411"/>
  <c r="X367" i="58411"/>
  <c r="V367" i="58411"/>
  <c r="U367" i="58411"/>
  <c r="T367" i="58411"/>
  <c r="S367" i="58411"/>
  <c r="Q367" i="58411"/>
  <c r="P367" i="58411"/>
  <c r="O367" i="58411"/>
  <c r="N367" i="58411"/>
  <c r="L367" i="58411"/>
  <c r="K367" i="58411"/>
  <c r="J367" i="58411"/>
  <c r="I367" i="58411"/>
  <c r="G367" i="58411"/>
  <c r="F367" i="58411"/>
  <c r="E367" i="58411"/>
  <c r="D367" i="58411"/>
  <c r="C367" i="58411"/>
  <c r="B367" i="58411"/>
  <c r="AD377" i="58411"/>
  <c r="AE377" i="58411" s="1"/>
  <c r="AF377" i="58411" s="1"/>
  <c r="AG377" i="58411" s="1"/>
  <c r="AH377" i="58411" s="1"/>
  <c r="AI377" i="58411" s="1"/>
  <c r="AJ377" i="58411" s="1"/>
  <c r="AK377" i="58411" s="1"/>
  <c r="AL377" i="58411" s="1"/>
  <c r="AM377" i="58411" s="1"/>
  <c r="AN377" i="58411" s="1"/>
  <c r="AE367" i="58411"/>
  <c r="AE365" i="58411"/>
  <c r="AE364" i="58411"/>
  <c r="AA366" i="58411"/>
  <c r="AA365" i="58411"/>
  <c r="AA364" i="58411"/>
  <c r="Z365" i="58411"/>
  <c r="Y365" i="58411"/>
  <c r="X365" i="58411"/>
  <c r="V365" i="58411"/>
  <c r="U365" i="58411"/>
  <c r="T365" i="58411"/>
  <c r="S365" i="58411"/>
  <c r="Q365" i="58411"/>
  <c r="P365" i="58411"/>
  <c r="O365" i="58411"/>
  <c r="N365" i="58411"/>
  <c r="L365" i="58411"/>
  <c r="K365" i="58411"/>
  <c r="J365" i="58411"/>
  <c r="I365" i="58411"/>
  <c r="G365" i="58411"/>
  <c r="F365" i="58411"/>
  <c r="E365" i="58411"/>
  <c r="D365" i="58411"/>
  <c r="C365" i="58411"/>
  <c r="B365" i="58411"/>
  <c r="A365" i="58411"/>
  <c r="Z364" i="58411"/>
  <c r="Y364" i="58411"/>
  <c r="X364" i="58411"/>
  <c r="U364" i="58411"/>
  <c r="T364" i="58411"/>
  <c r="S364" i="58411"/>
  <c r="Q364" i="58411"/>
  <c r="Q379" i="58411" s="1"/>
  <c r="P364" i="58411"/>
  <c r="O364" i="58411"/>
  <c r="N364" i="58411"/>
  <c r="N379" i="58411" s="1"/>
  <c r="L364" i="58411"/>
  <c r="L379" i="58411" s="1"/>
  <c r="K364" i="58411"/>
  <c r="J364" i="58411"/>
  <c r="J379" i="58411" s="1"/>
  <c r="I364" i="58411"/>
  <c r="H364" i="58411"/>
  <c r="G364" i="58411"/>
  <c r="F364" i="58411"/>
  <c r="E364" i="58411"/>
  <c r="E379" i="58411" s="1"/>
  <c r="D364" i="58411"/>
  <c r="D379" i="58411" s="1"/>
  <c r="C364" i="58411"/>
  <c r="B364" i="58411"/>
  <c r="A364" i="58411"/>
  <c r="S357" i="58411"/>
  <c r="S358" i="58411" s="1"/>
  <c r="AD356" i="58411"/>
  <c r="AC356" i="58411"/>
  <c r="AA353" i="58411"/>
  <c r="Z353" i="58411"/>
  <c r="Y353" i="58411"/>
  <c r="X353" i="58411"/>
  <c r="V353" i="58411"/>
  <c r="U353" i="58411"/>
  <c r="T353" i="58411"/>
  <c r="S353" i="58411"/>
  <c r="R353" i="58411"/>
  <c r="Q353" i="58411"/>
  <c r="P353" i="58411"/>
  <c r="O353" i="58411"/>
  <c r="N353" i="58411"/>
  <c r="L353" i="58411"/>
  <c r="K353" i="58411"/>
  <c r="J353" i="58411"/>
  <c r="I353" i="58411"/>
  <c r="G353" i="58411"/>
  <c r="F353" i="58411"/>
  <c r="E353" i="58411"/>
  <c r="D353" i="58411"/>
  <c r="C353" i="58411"/>
  <c r="B353" i="58411"/>
  <c r="A353" i="58411"/>
  <c r="A350" i="58411"/>
  <c r="A349" i="58411"/>
  <c r="A348" i="58411"/>
  <c r="A347" i="58411"/>
  <c r="A346" i="58411"/>
  <c r="A345" i="58411"/>
  <c r="A344" i="58411"/>
  <c r="AA350" i="58411"/>
  <c r="Z350" i="58411"/>
  <c r="Y350" i="58411"/>
  <c r="X350" i="58411"/>
  <c r="W350" i="58411"/>
  <c r="V350" i="58411"/>
  <c r="U350" i="58411"/>
  <c r="T350" i="58411"/>
  <c r="S350" i="58411"/>
  <c r="Q350" i="58411"/>
  <c r="P350" i="58411"/>
  <c r="O350" i="58411"/>
  <c r="N350" i="58411"/>
  <c r="L350" i="58411"/>
  <c r="K350" i="58411"/>
  <c r="J350" i="58411"/>
  <c r="I350" i="58411"/>
  <c r="G350" i="58411"/>
  <c r="F350" i="58411"/>
  <c r="E350" i="58411"/>
  <c r="D350" i="58411"/>
  <c r="C350" i="58411"/>
  <c r="B350" i="58411"/>
  <c r="AA349" i="58411"/>
  <c r="Z349" i="58411"/>
  <c r="Y349" i="58411"/>
  <c r="X349" i="58411"/>
  <c r="V349" i="58411"/>
  <c r="U349" i="58411"/>
  <c r="T349" i="58411"/>
  <c r="S349" i="58411"/>
  <c r="R349" i="58411"/>
  <c r="Q349" i="58411"/>
  <c r="P349" i="58411"/>
  <c r="O349" i="58411"/>
  <c r="N349" i="58411"/>
  <c r="L349" i="58411"/>
  <c r="K349" i="58411"/>
  <c r="J349" i="58411"/>
  <c r="I349" i="58411"/>
  <c r="G349" i="58411"/>
  <c r="F349" i="58411"/>
  <c r="E349" i="58411"/>
  <c r="D349" i="58411"/>
  <c r="C349" i="58411"/>
  <c r="B349" i="58411"/>
  <c r="AA348" i="58411"/>
  <c r="Z348" i="58411"/>
  <c r="Y348" i="58411"/>
  <c r="X348" i="58411"/>
  <c r="V348" i="58411"/>
  <c r="U348" i="58411"/>
  <c r="T348" i="58411"/>
  <c r="S348" i="58411"/>
  <c r="Q348" i="58411"/>
  <c r="P348" i="58411"/>
  <c r="O348" i="58411"/>
  <c r="N348" i="58411"/>
  <c r="L348" i="58411"/>
  <c r="K348" i="58411"/>
  <c r="J348" i="58411"/>
  <c r="I348" i="58411"/>
  <c r="G348" i="58411"/>
  <c r="F348" i="58411"/>
  <c r="E348" i="58411"/>
  <c r="D348" i="58411"/>
  <c r="C348" i="58411"/>
  <c r="B348" i="58411"/>
  <c r="AB347" i="58411"/>
  <c r="AA347" i="58411"/>
  <c r="Z347" i="58411"/>
  <c r="Y347" i="58411"/>
  <c r="X347" i="58411"/>
  <c r="V347" i="58411"/>
  <c r="U347" i="58411"/>
  <c r="T347" i="58411"/>
  <c r="T356" i="58411" s="1"/>
  <c r="T357" i="58411" s="1"/>
  <c r="T358" i="58411" s="1"/>
  <c r="S347" i="58411"/>
  <c r="Q347" i="58411"/>
  <c r="P347" i="58411"/>
  <c r="O347" i="58411"/>
  <c r="N347" i="58411"/>
  <c r="L347" i="58411"/>
  <c r="L356" i="58411" s="1"/>
  <c r="L357" i="58411" s="1"/>
  <c r="L358" i="58411" s="1"/>
  <c r="K347" i="58411"/>
  <c r="J347" i="58411"/>
  <c r="I347" i="58411"/>
  <c r="H347" i="58411"/>
  <c r="G347" i="58411"/>
  <c r="F347" i="58411"/>
  <c r="E347" i="58411"/>
  <c r="D347" i="58411"/>
  <c r="C347" i="58411"/>
  <c r="B347" i="58411"/>
  <c r="AA346" i="58411"/>
  <c r="Z346" i="58411"/>
  <c r="Y346" i="58411"/>
  <c r="X346" i="58411"/>
  <c r="W346" i="58411"/>
  <c r="V346" i="58411"/>
  <c r="U346" i="58411"/>
  <c r="T346" i="58411"/>
  <c r="S346" i="58411"/>
  <c r="Q346" i="58411"/>
  <c r="P346" i="58411"/>
  <c r="O346" i="58411"/>
  <c r="N346" i="58411"/>
  <c r="L346" i="58411"/>
  <c r="K346" i="58411"/>
  <c r="J346" i="58411"/>
  <c r="I346" i="58411"/>
  <c r="G346" i="58411"/>
  <c r="F346" i="58411"/>
  <c r="E346" i="58411"/>
  <c r="D346" i="58411"/>
  <c r="C346" i="58411"/>
  <c r="B346" i="58411"/>
  <c r="AA345" i="58411"/>
  <c r="Z345" i="58411"/>
  <c r="Y345" i="58411"/>
  <c r="X345" i="58411"/>
  <c r="V345" i="58411"/>
  <c r="U345" i="58411"/>
  <c r="T345" i="58411"/>
  <c r="S345" i="58411"/>
  <c r="AB344" i="58411"/>
  <c r="AA344" i="58411"/>
  <c r="Z344" i="58411"/>
  <c r="Y344" i="58411"/>
  <c r="X344" i="58411"/>
  <c r="X356" i="58411" s="1"/>
  <c r="X357" i="58411" s="1"/>
  <c r="X358" i="58411" s="1"/>
  <c r="V344" i="58411"/>
  <c r="U344" i="58411"/>
  <c r="T344" i="58411"/>
  <c r="S344" i="58411"/>
  <c r="Q344" i="58411"/>
  <c r="P344" i="58411"/>
  <c r="P356" i="58411" s="1"/>
  <c r="O344" i="58411"/>
  <c r="N344" i="58411"/>
  <c r="L344" i="58411"/>
  <c r="K344" i="58411"/>
  <c r="J344" i="58411"/>
  <c r="I344" i="58411"/>
  <c r="G344" i="58411"/>
  <c r="F344" i="58411"/>
  <c r="E344" i="58411"/>
  <c r="D344" i="58411"/>
  <c r="D356" i="58411" s="1"/>
  <c r="C344" i="58411"/>
  <c r="B344" i="58411"/>
  <c r="AE355" i="58411"/>
  <c r="AF355" i="58411" s="1"/>
  <c r="AG355" i="58411" s="1"/>
  <c r="AH355" i="58411" s="1"/>
  <c r="AI355" i="58411" s="1"/>
  <c r="AJ355" i="58411" s="1"/>
  <c r="AK355" i="58411" s="1"/>
  <c r="AL355" i="58411" s="1"/>
  <c r="AM355" i="58411" s="1"/>
  <c r="AN355" i="58411" s="1"/>
  <c r="AG354" i="58411"/>
  <c r="AH354" i="58411" s="1"/>
  <c r="AI354" i="58411" s="1"/>
  <c r="AJ354" i="58411" s="1"/>
  <c r="AK354" i="58411" s="1"/>
  <c r="AL354" i="58411" s="1"/>
  <c r="AM354" i="58411" s="1"/>
  <c r="AN354" i="58411" s="1"/>
  <c r="AF354" i="58411"/>
  <c r="AE354" i="58411"/>
  <c r="AE348" i="58411"/>
  <c r="AE346" i="58411"/>
  <c r="AE345" i="58411"/>
  <c r="AE344" i="58411"/>
  <c r="AE342" i="58411"/>
  <c r="AE341" i="58411"/>
  <c r="AA343" i="58411"/>
  <c r="AA342" i="58411"/>
  <c r="AA341" i="58411"/>
  <c r="AA356" i="58411" s="1"/>
  <c r="AA357" i="58411" s="1"/>
  <c r="AA358" i="58411" s="1"/>
  <c r="Z342" i="58411"/>
  <c r="Y342" i="58411"/>
  <c r="X342" i="58411"/>
  <c r="V342" i="58411"/>
  <c r="U342" i="58411"/>
  <c r="T342" i="58411"/>
  <c r="S342" i="58411"/>
  <c r="Q342" i="58411"/>
  <c r="P342" i="58411"/>
  <c r="O342" i="58411"/>
  <c r="N342" i="58411"/>
  <c r="M342" i="58411"/>
  <c r="L342" i="58411"/>
  <c r="K342" i="58411"/>
  <c r="J342" i="58411"/>
  <c r="I342" i="58411"/>
  <c r="G342" i="58411"/>
  <c r="F342" i="58411"/>
  <c r="E342" i="58411"/>
  <c r="D342" i="58411"/>
  <c r="C342" i="58411"/>
  <c r="B342" i="58411"/>
  <c r="A342" i="58411"/>
  <c r="Z341" i="58411"/>
  <c r="Z356" i="58411" s="1"/>
  <c r="Z357" i="58411" s="1"/>
  <c r="Z358" i="58411" s="1"/>
  <c r="Y341" i="58411"/>
  <c r="X341" i="58411"/>
  <c r="W341" i="58411"/>
  <c r="V341" i="58411"/>
  <c r="V356" i="58411" s="1"/>
  <c r="V357" i="58411" s="1"/>
  <c r="V358" i="58411" s="1"/>
  <c r="U341" i="58411"/>
  <c r="U356" i="58411" s="1"/>
  <c r="T341" i="58411"/>
  <c r="S341" i="58411"/>
  <c r="S356" i="58411" s="1"/>
  <c r="Q341" i="58411"/>
  <c r="Q356" i="58411" s="1"/>
  <c r="P341" i="58411"/>
  <c r="O341" i="58411"/>
  <c r="O356" i="58411" s="1"/>
  <c r="N341" i="58411"/>
  <c r="N356" i="58411" s="1"/>
  <c r="L341" i="58411"/>
  <c r="K341" i="58411"/>
  <c r="J341" i="58411"/>
  <c r="I341" i="58411"/>
  <c r="G341" i="58411"/>
  <c r="G356" i="58411" s="1"/>
  <c r="F341" i="58411"/>
  <c r="E341" i="58411"/>
  <c r="D341" i="58411"/>
  <c r="C341" i="58411"/>
  <c r="C356" i="58411" s="1"/>
  <c r="B341" i="58411"/>
  <c r="A341" i="58411"/>
  <c r="AE338" i="58411"/>
  <c r="AA338" i="58411"/>
  <c r="Z338" i="58411"/>
  <c r="Y338" i="58411"/>
  <c r="X338" i="58411"/>
  <c r="V338" i="58411"/>
  <c r="U338" i="58411"/>
  <c r="T338" i="58411"/>
  <c r="S338" i="58411"/>
  <c r="Q338" i="58411"/>
  <c r="P338" i="58411"/>
  <c r="O338" i="58411"/>
  <c r="N338" i="58411"/>
  <c r="L338" i="58411"/>
  <c r="K338" i="58411"/>
  <c r="J338" i="58411"/>
  <c r="I338" i="58411"/>
  <c r="G338" i="58411"/>
  <c r="F338" i="58411"/>
  <c r="E338" i="58411"/>
  <c r="D338" i="58411"/>
  <c r="C338" i="58411"/>
  <c r="B338" i="58411"/>
  <c r="AC337" i="58411"/>
  <c r="AD337" i="58411" s="1"/>
  <c r="AB337" i="58411"/>
  <c r="AB353" i="58411" s="1"/>
  <c r="W337" i="58411"/>
  <c r="R337" i="58411"/>
  <c r="M337" i="58411"/>
  <c r="H337" i="58411"/>
  <c r="H353" i="58411" s="1"/>
  <c r="A337" i="58411"/>
  <c r="AB334" i="58411"/>
  <c r="AB350" i="58411" s="1"/>
  <c r="AB333" i="58411"/>
  <c r="AB332" i="58411"/>
  <c r="AB348" i="58411" s="1"/>
  <c r="AB331" i="58411"/>
  <c r="AB330" i="58411"/>
  <c r="AB346" i="58411" s="1"/>
  <c r="AB329" i="58411"/>
  <c r="AB328" i="58411"/>
  <c r="AB327" i="58411"/>
  <c r="AB326" i="58411"/>
  <c r="AB342" i="58411" s="1"/>
  <c r="AB325" i="58411"/>
  <c r="W334" i="58411"/>
  <c r="W333" i="58411"/>
  <c r="W349" i="58411" s="1"/>
  <c r="W332" i="58411"/>
  <c r="W348" i="58411" s="1"/>
  <c r="W331" i="58411"/>
  <c r="W330" i="58411"/>
  <c r="W329" i="58411"/>
  <c r="W345" i="58411" s="1"/>
  <c r="W328" i="58411"/>
  <c r="W344" i="58411" s="1"/>
  <c r="R334" i="58411"/>
  <c r="R333" i="58411"/>
  <c r="R332" i="58411"/>
  <c r="R348" i="58411" s="1"/>
  <c r="R331" i="58411"/>
  <c r="R347" i="58411" s="1"/>
  <c r="R330" i="58411"/>
  <c r="M334" i="58411"/>
  <c r="M350" i="58411" s="1"/>
  <c r="M333" i="58411"/>
  <c r="M349" i="58411" s="1"/>
  <c r="M332" i="58411"/>
  <c r="M348" i="58411" s="1"/>
  <c r="M331" i="58411"/>
  <c r="M330" i="58411"/>
  <c r="M346" i="58411" s="1"/>
  <c r="H334" i="58411"/>
  <c r="H350" i="58411" s="1"/>
  <c r="H333" i="58411"/>
  <c r="H349" i="58411" s="1"/>
  <c r="H332" i="58411"/>
  <c r="H331" i="58411"/>
  <c r="H330" i="58411"/>
  <c r="H346" i="58411" s="1"/>
  <c r="A333" i="58411"/>
  <c r="A332" i="58411"/>
  <c r="A331" i="58411"/>
  <c r="A330" i="58411"/>
  <c r="A329" i="58411"/>
  <c r="A328" i="58411"/>
  <c r="R328" i="58411"/>
  <c r="M328" i="58411"/>
  <c r="M344" i="58411" s="1"/>
  <c r="H328" i="58411"/>
  <c r="H344" i="58411" s="1"/>
  <c r="W326" i="58411"/>
  <c r="W342" i="58411" s="1"/>
  <c r="W325" i="58411"/>
  <c r="R326" i="58411"/>
  <c r="R342" i="58411" s="1"/>
  <c r="R325" i="58411"/>
  <c r="M326" i="58411"/>
  <c r="M325" i="58411"/>
  <c r="M341" i="58411" s="1"/>
  <c r="H326" i="58411"/>
  <c r="H342" i="58411" s="1"/>
  <c r="H325" i="58411"/>
  <c r="A326" i="58411"/>
  <c r="A325" i="58411"/>
  <c r="AF337" i="58411"/>
  <c r="AG337" i="58411" s="1"/>
  <c r="AF336" i="58411"/>
  <c r="AG335" i="58411"/>
  <c r="AF335" i="58411"/>
  <c r="AF334" i="58411"/>
  <c r="AG333" i="58411"/>
  <c r="AF332" i="58411"/>
  <c r="AG331" i="58411"/>
  <c r="AF331" i="58411"/>
  <c r="AG329" i="58411"/>
  <c r="AF329" i="58411"/>
  <c r="AF345" i="58411" s="1"/>
  <c r="AG327" i="58411"/>
  <c r="AF327" i="58411"/>
  <c r="AF342" i="58411"/>
  <c r="AG325" i="58411"/>
  <c r="AF325" i="58411"/>
  <c r="AF341" i="58411" s="1"/>
  <c r="AD336" i="58411"/>
  <c r="AC336" i="58411"/>
  <c r="AC335" i="58411"/>
  <c r="AD335" i="58411" s="1"/>
  <c r="AD334" i="58411"/>
  <c r="AC334" i="58411"/>
  <c r="AC333" i="58411"/>
  <c r="AD333" i="58411" s="1"/>
  <c r="AD332" i="58411"/>
  <c r="AC332" i="58411"/>
  <c r="AC331" i="58411"/>
  <c r="AD331" i="58411" s="1"/>
  <c r="AD330" i="58411"/>
  <c r="AC330" i="58411"/>
  <c r="AC329" i="58411"/>
  <c r="AD329" i="58411" s="1"/>
  <c r="AD328" i="58411"/>
  <c r="AC328" i="58411"/>
  <c r="AC327" i="58411"/>
  <c r="AD327" i="58411" s="1"/>
  <c r="AD326" i="58411"/>
  <c r="AC326" i="58411"/>
  <c r="AC325" i="58411"/>
  <c r="AC338" i="58411" s="1"/>
  <c r="AA322" i="58411"/>
  <c r="Z322" i="58411"/>
  <c r="Y322" i="58411"/>
  <c r="X322" i="58411"/>
  <c r="V322" i="58411"/>
  <c r="U322" i="58411"/>
  <c r="T322" i="58411"/>
  <c r="S322" i="58411"/>
  <c r="Q322" i="58411"/>
  <c r="P322" i="58411"/>
  <c r="O322" i="58411"/>
  <c r="N322" i="58411"/>
  <c r="L322" i="58411"/>
  <c r="K322" i="58411"/>
  <c r="J322" i="58411"/>
  <c r="I322" i="58411"/>
  <c r="H322" i="58411"/>
  <c r="G322" i="58411"/>
  <c r="F322" i="58411"/>
  <c r="E322" i="58411"/>
  <c r="D322" i="58411"/>
  <c r="C322" i="58411"/>
  <c r="B322" i="58411"/>
  <c r="AD321" i="58411"/>
  <c r="AC321" i="58411"/>
  <c r="AB321" i="58411"/>
  <c r="W321" i="58411"/>
  <c r="R321" i="58411"/>
  <c r="M321" i="58411"/>
  <c r="H321" i="58411"/>
  <c r="A321" i="58411"/>
  <c r="AB318" i="58411"/>
  <c r="AB317" i="58411"/>
  <c r="AB316" i="58411"/>
  <c r="AB315" i="58411"/>
  <c r="AB314" i="58411"/>
  <c r="AB313" i="58411"/>
  <c r="AB312" i="58411"/>
  <c r="AB311" i="58411"/>
  <c r="AB310" i="58411"/>
  <c r="AB309" i="58411"/>
  <c r="AB322" i="58411" s="1"/>
  <c r="W318" i="58411"/>
  <c r="W317" i="58411"/>
  <c r="W316" i="58411"/>
  <c r="W315" i="58411"/>
  <c r="W314" i="58411"/>
  <c r="W313" i="58411"/>
  <c r="W312" i="58411"/>
  <c r="R318" i="58411"/>
  <c r="R317" i="58411"/>
  <c r="R316" i="58411"/>
  <c r="R315" i="58411"/>
  <c r="R314" i="58411"/>
  <c r="M318" i="58411"/>
  <c r="M317" i="58411"/>
  <c r="M316" i="58411"/>
  <c r="M315" i="58411"/>
  <c r="M314" i="58411"/>
  <c r="H318" i="58411"/>
  <c r="H317" i="58411"/>
  <c r="H316" i="58411"/>
  <c r="H315" i="58411"/>
  <c r="H314" i="58411"/>
  <c r="AD320" i="58411"/>
  <c r="AC320" i="58411"/>
  <c r="AD319" i="58411"/>
  <c r="AC319" i="58411"/>
  <c r="AC318" i="58411"/>
  <c r="AD318" i="58411" s="1"/>
  <c r="AC317" i="58411"/>
  <c r="AD317" i="58411" s="1"/>
  <c r="A317" i="58411"/>
  <c r="A316" i="58411"/>
  <c r="A315" i="58411"/>
  <c r="A314" i="58411"/>
  <c r="A313" i="58411"/>
  <c r="A312" i="58411"/>
  <c r="AC316" i="58411"/>
  <c r="AD316" i="58411" s="1"/>
  <c r="AD315" i="58411"/>
  <c r="AC315" i="58411"/>
  <c r="AC314" i="58411"/>
  <c r="AC313" i="58411"/>
  <c r="AC312" i="58411"/>
  <c r="AC311" i="58411"/>
  <c r="AC310" i="58411"/>
  <c r="AC309" i="58411"/>
  <c r="AD313" i="58411"/>
  <c r="R312" i="58411"/>
  <c r="M312" i="58411"/>
  <c r="H312" i="58411"/>
  <c r="AD311" i="58411"/>
  <c r="W310" i="58411"/>
  <c r="W309" i="58411"/>
  <c r="W322" i="58411" s="1"/>
  <c r="R310" i="58411"/>
  <c r="R309" i="58411"/>
  <c r="R322" i="58411" s="1"/>
  <c r="M310" i="58411"/>
  <c r="M309" i="58411"/>
  <c r="M322" i="58411" s="1"/>
  <c r="H310" i="58411"/>
  <c r="H309" i="58411"/>
  <c r="A310" i="58411"/>
  <c r="A309" i="58411"/>
  <c r="AG316" i="58411"/>
  <c r="AH316" i="58411" s="1"/>
  <c r="AI316" i="58411" s="1"/>
  <c r="AJ316" i="58411" s="1"/>
  <c r="AK316" i="58411" s="1"/>
  <c r="AL316" i="58411" s="1"/>
  <c r="AM316" i="58411" s="1"/>
  <c r="AN316" i="58411" s="1"/>
  <c r="AG314" i="58411"/>
  <c r="AH314" i="58411" s="1"/>
  <c r="AI314" i="58411" s="1"/>
  <c r="AJ314" i="58411" s="1"/>
  <c r="AK314" i="58411" s="1"/>
  <c r="AL314" i="58411" s="1"/>
  <c r="AM314" i="58411" s="1"/>
  <c r="AN314" i="58411" s="1"/>
  <c r="AG313" i="58411"/>
  <c r="AH313" i="58411" s="1"/>
  <c r="AI313" i="58411" s="1"/>
  <c r="AJ313" i="58411" s="1"/>
  <c r="AK313" i="58411" s="1"/>
  <c r="AL313" i="58411" s="1"/>
  <c r="AM313" i="58411" s="1"/>
  <c r="AN313" i="58411" s="1"/>
  <c r="AG312" i="58411"/>
  <c r="AH312" i="58411" s="1"/>
  <c r="AI312" i="58411" s="1"/>
  <c r="AJ312" i="58411" s="1"/>
  <c r="AK312" i="58411" s="1"/>
  <c r="AL312" i="58411" s="1"/>
  <c r="AM312" i="58411" s="1"/>
  <c r="AN312" i="58411" s="1"/>
  <c r="AF311" i="58411"/>
  <c r="AG311" i="58411" s="1"/>
  <c r="AH311" i="58411" s="1"/>
  <c r="AI311" i="58411" s="1"/>
  <c r="AJ311" i="58411" s="1"/>
  <c r="AK311" i="58411" s="1"/>
  <c r="AL311" i="58411" s="1"/>
  <c r="AM311" i="58411" s="1"/>
  <c r="AN311" i="58411" s="1"/>
  <c r="AG310" i="58411"/>
  <c r="AH310" i="58411" s="1"/>
  <c r="AI310" i="58411" s="1"/>
  <c r="AJ310" i="58411" s="1"/>
  <c r="AK310" i="58411" s="1"/>
  <c r="AL310" i="58411" s="1"/>
  <c r="AM310" i="58411" s="1"/>
  <c r="AN310" i="58411" s="1"/>
  <c r="AG309" i="58411"/>
  <c r="AH309" i="58411" s="1"/>
  <c r="AD309" i="58411"/>
  <c r="AD322" i="58411" s="1"/>
  <c r="AA306" i="58411"/>
  <c r="Z306" i="58411"/>
  <c r="Y306" i="58411"/>
  <c r="X306" i="58411"/>
  <c r="V306" i="58411"/>
  <c r="U306" i="58411"/>
  <c r="T306" i="58411"/>
  <c r="S306" i="58411"/>
  <c r="Q306" i="58411"/>
  <c r="P306" i="58411"/>
  <c r="O306" i="58411"/>
  <c r="N306" i="58411"/>
  <c r="L306" i="58411"/>
  <c r="K306" i="58411"/>
  <c r="J306" i="58411"/>
  <c r="I306" i="58411"/>
  <c r="H306" i="58411"/>
  <c r="G306" i="58411"/>
  <c r="F306" i="58411"/>
  <c r="E306" i="58411"/>
  <c r="D306" i="58411"/>
  <c r="C306" i="58411"/>
  <c r="B306" i="58411"/>
  <c r="AC305" i="58411"/>
  <c r="AD305" i="58411" s="1"/>
  <c r="AB305" i="58411"/>
  <c r="W305" i="58411"/>
  <c r="R305" i="58411"/>
  <c r="M305" i="58411"/>
  <c r="H305" i="58411"/>
  <c r="AB302" i="58411"/>
  <c r="AB301" i="58411"/>
  <c r="AB300" i="58411"/>
  <c r="AB299" i="58411"/>
  <c r="AB298" i="58411"/>
  <c r="W302" i="58411"/>
  <c r="W301" i="58411"/>
  <c r="W300" i="58411"/>
  <c r="W299" i="58411"/>
  <c r="W298" i="58411"/>
  <c r="R302" i="58411"/>
  <c r="R301" i="58411"/>
  <c r="R300" i="58411"/>
  <c r="R299" i="58411"/>
  <c r="R298" i="58411"/>
  <c r="M302" i="58411"/>
  <c r="M301" i="58411"/>
  <c r="M300" i="58411"/>
  <c r="M299" i="58411"/>
  <c r="M298" i="58411"/>
  <c r="H302" i="58411"/>
  <c r="H301" i="58411"/>
  <c r="H300" i="58411"/>
  <c r="H299" i="58411"/>
  <c r="H298" i="58411"/>
  <c r="AG305" i="58411"/>
  <c r="AH305" i="58411" s="1"/>
  <c r="AI305" i="58411" s="1"/>
  <c r="AJ305" i="58411" s="1"/>
  <c r="AK305" i="58411" s="1"/>
  <c r="AL305" i="58411" s="1"/>
  <c r="AM305" i="58411" s="1"/>
  <c r="AN305" i="58411" s="1"/>
  <c r="AF305" i="58411"/>
  <c r="AH304" i="58411"/>
  <c r="AI304" i="58411" s="1"/>
  <c r="AJ304" i="58411" s="1"/>
  <c r="AK304" i="58411" s="1"/>
  <c r="AL304" i="58411" s="1"/>
  <c r="AM304" i="58411" s="1"/>
  <c r="AN304" i="58411" s="1"/>
  <c r="AG304" i="58411"/>
  <c r="AF304" i="58411"/>
  <c r="AF303" i="58411"/>
  <c r="AG303" i="58411" s="1"/>
  <c r="AH303" i="58411" s="1"/>
  <c r="AI303" i="58411" s="1"/>
  <c r="AJ303" i="58411" s="1"/>
  <c r="AK303" i="58411" s="1"/>
  <c r="AL303" i="58411" s="1"/>
  <c r="AM303" i="58411" s="1"/>
  <c r="AN303" i="58411" s="1"/>
  <c r="AF302" i="58411"/>
  <c r="AG302" i="58411" s="1"/>
  <c r="AH302" i="58411" s="1"/>
  <c r="AI302" i="58411" s="1"/>
  <c r="AJ302" i="58411" s="1"/>
  <c r="AK302" i="58411" s="1"/>
  <c r="AL302" i="58411" s="1"/>
  <c r="AM302" i="58411" s="1"/>
  <c r="AN302" i="58411" s="1"/>
  <c r="AG301" i="58411"/>
  <c r="AH301" i="58411" s="1"/>
  <c r="AI301" i="58411" s="1"/>
  <c r="AJ301" i="58411" s="1"/>
  <c r="AK301" i="58411" s="1"/>
  <c r="AL301" i="58411" s="1"/>
  <c r="AM301" i="58411" s="1"/>
  <c r="AN301" i="58411" s="1"/>
  <c r="AF301" i="58411"/>
  <c r="AH300" i="58411"/>
  <c r="AI300" i="58411" s="1"/>
  <c r="AJ300" i="58411" s="1"/>
  <c r="AK300" i="58411" s="1"/>
  <c r="AL300" i="58411" s="1"/>
  <c r="AM300" i="58411" s="1"/>
  <c r="AN300" i="58411" s="1"/>
  <c r="AG300" i="58411"/>
  <c r="AF300" i="58411"/>
  <c r="AF299" i="58411"/>
  <c r="AG299" i="58411" s="1"/>
  <c r="AH299" i="58411" s="1"/>
  <c r="AI299" i="58411" s="1"/>
  <c r="AJ299" i="58411" s="1"/>
  <c r="AK299" i="58411" s="1"/>
  <c r="AL299" i="58411" s="1"/>
  <c r="AM299" i="58411" s="1"/>
  <c r="AN299" i="58411" s="1"/>
  <c r="AF298" i="58411"/>
  <c r="AG298" i="58411" s="1"/>
  <c r="AH298" i="58411" s="1"/>
  <c r="AI298" i="58411" s="1"/>
  <c r="AJ298" i="58411" s="1"/>
  <c r="AK298" i="58411" s="1"/>
  <c r="AL298" i="58411" s="1"/>
  <c r="AM298" i="58411" s="1"/>
  <c r="AN298" i="58411" s="1"/>
  <c r="AD304" i="58411"/>
  <c r="AC304" i="58411"/>
  <c r="AC303" i="58411"/>
  <c r="AD303" i="58411" s="1"/>
  <c r="AD302" i="58411"/>
  <c r="AC302" i="58411"/>
  <c r="AC301" i="58411"/>
  <c r="AD301" i="58411" s="1"/>
  <c r="AD300" i="58411"/>
  <c r="AC300" i="58411"/>
  <c r="AC299" i="58411"/>
  <c r="AD299" i="58411" s="1"/>
  <c r="AD298" i="58411"/>
  <c r="AC298" i="58411"/>
  <c r="AC297" i="58411"/>
  <c r="AD297" i="58411" s="1"/>
  <c r="AD296" i="58411"/>
  <c r="AC296" i="58411"/>
  <c r="AB296" i="58411"/>
  <c r="AB295" i="58411"/>
  <c r="AC295" i="58411" s="1"/>
  <c r="AD295" i="58411" s="1"/>
  <c r="AE295" i="58411" s="1"/>
  <c r="AB294" i="58411"/>
  <c r="AB293" i="58411"/>
  <c r="W296" i="58411"/>
  <c r="R296" i="58411"/>
  <c r="M296" i="58411"/>
  <c r="H296" i="58411"/>
  <c r="W294" i="58411"/>
  <c r="W293" i="58411"/>
  <c r="W306" i="58411" s="1"/>
  <c r="R294" i="58411"/>
  <c r="R293" i="58411"/>
  <c r="M294" i="58411"/>
  <c r="M293" i="58411"/>
  <c r="M306" i="58411" s="1"/>
  <c r="H294" i="58411"/>
  <c r="H293" i="58411"/>
  <c r="AG296" i="58411"/>
  <c r="AH296" i="58411" s="1"/>
  <c r="AI296" i="58411" s="1"/>
  <c r="AJ296" i="58411" s="1"/>
  <c r="AK296" i="58411" s="1"/>
  <c r="AL296" i="58411" s="1"/>
  <c r="AM296" i="58411" s="1"/>
  <c r="AN296" i="58411" s="1"/>
  <c r="AG294" i="58411"/>
  <c r="AH294" i="58411" s="1"/>
  <c r="AI294" i="58411" s="1"/>
  <c r="AJ294" i="58411" s="1"/>
  <c r="AK294" i="58411" s="1"/>
  <c r="AL294" i="58411" s="1"/>
  <c r="AM294" i="58411" s="1"/>
  <c r="AN294" i="58411" s="1"/>
  <c r="AG293" i="58411"/>
  <c r="AF293" i="58411"/>
  <c r="AC294" i="58411"/>
  <c r="AD294" i="58411" s="1"/>
  <c r="AD293" i="58411"/>
  <c r="AC293" i="58411"/>
  <c r="AN290" i="58411"/>
  <c r="AN361" i="58411" s="1"/>
  <c r="AM290" i="58411"/>
  <c r="AM361" i="58411" s="1"/>
  <c r="AL290" i="58411"/>
  <c r="AL361" i="58411" s="1"/>
  <c r="AK290" i="58411"/>
  <c r="AK361" i="58411" s="1"/>
  <c r="AJ290" i="58411"/>
  <c r="AJ361" i="58411" s="1"/>
  <c r="AI290" i="58411"/>
  <c r="AI361" i="58411" s="1"/>
  <c r="AH290" i="58411"/>
  <c r="AH361" i="58411" s="1"/>
  <c r="AG290" i="58411"/>
  <c r="AG361" i="58411" s="1"/>
  <c r="AF290" i="58411"/>
  <c r="AF361" i="58411" s="1"/>
  <c r="AE290" i="58411"/>
  <c r="AE361" i="58411" s="1"/>
  <c r="AD290" i="58411"/>
  <c r="AD361" i="58411" s="1"/>
  <c r="AC290" i="58411"/>
  <c r="AC361" i="58411" s="1"/>
  <c r="AB290" i="58411"/>
  <c r="AB361" i="58411" s="1"/>
  <c r="AA290" i="58411"/>
  <c r="AA361" i="58411" s="1"/>
  <c r="Z290" i="58411"/>
  <c r="Z361" i="58411" s="1"/>
  <c r="Y290" i="58411"/>
  <c r="Y361" i="58411" s="1"/>
  <c r="X290" i="58411"/>
  <c r="X361" i="58411" s="1"/>
  <c r="W290" i="58411"/>
  <c r="W361" i="58411" s="1"/>
  <c r="V290" i="58411"/>
  <c r="V361" i="58411" s="1"/>
  <c r="U290" i="58411"/>
  <c r="U361" i="58411" s="1"/>
  <c r="T290" i="58411"/>
  <c r="T361" i="58411" s="1"/>
  <c r="S290" i="58411"/>
  <c r="S361" i="58411" s="1"/>
  <c r="R290" i="58411"/>
  <c r="R361" i="58411" s="1"/>
  <c r="Q290" i="58411"/>
  <c r="Q361" i="58411" s="1"/>
  <c r="P290" i="58411"/>
  <c r="P361" i="58411" s="1"/>
  <c r="O290" i="58411"/>
  <c r="O361" i="58411" s="1"/>
  <c r="N290" i="58411"/>
  <c r="N361" i="58411" s="1"/>
  <c r="M290" i="58411"/>
  <c r="M361" i="58411" s="1"/>
  <c r="L290" i="58411"/>
  <c r="L361" i="58411" s="1"/>
  <c r="K290" i="58411"/>
  <c r="K361" i="58411" s="1"/>
  <c r="J290" i="58411"/>
  <c r="J361" i="58411" s="1"/>
  <c r="I290" i="58411"/>
  <c r="I361" i="58411" s="1"/>
  <c r="H290" i="58411"/>
  <c r="H361" i="58411" s="1"/>
  <c r="G290" i="58411"/>
  <c r="G361" i="58411" s="1"/>
  <c r="F290" i="58411"/>
  <c r="F361" i="58411" s="1"/>
  <c r="E290" i="58411"/>
  <c r="E361" i="58411" s="1"/>
  <c r="D290" i="58411"/>
  <c r="D361" i="58411" s="1"/>
  <c r="C290" i="58411"/>
  <c r="C361" i="58411" s="1"/>
  <c r="B290" i="58411"/>
  <c r="B361" i="58411" s="1"/>
  <c r="AD285" i="58411"/>
  <c r="AD286" i="58411" s="1"/>
  <c r="AD287" i="58411" s="1"/>
  <c r="AC285" i="58411"/>
  <c r="AF284" i="58411"/>
  <c r="AG284" i="58411" s="1"/>
  <c r="AH284" i="58411" s="1"/>
  <c r="AI284" i="58411" s="1"/>
  <c r="AJ284" i="58411" s="1"/>
  <c r="AK284" i="58411" s="1"/>
  <c r="AL284" i="58411" s="1"/>
  <c r="AM284" i="58411" s="1"/>
  <c r="AN284" i="58411" s="1"/>
  <c r="AE284" i="58411"/>
  <c r="AD284" i="58411"/>
  <c r="AA282" i="58411"/>
  <c r="Z282" i="58411"/>
  <c r="Y282" i="58411"/>
  <c r="X282" i="58411"/>
  <c r="V282" i="58411"/>
  <c r="U282" i="58411"/>
  <c r="T282" i="58411"/>
  <c r="S282" i="58411"/>
  <c r="Q282" i="58411"/>
  <c r="P282" i="58411"/>
  <c r="O282" i="58411"/>
  <c r="N282" i="58411"/>
  <c r="L282" i="58411"/>
  <c r="K282" i="58411"/>
  <c r="J282" i="58411"/>
  <c r="I282" i="58411"/>
  <c r="G282" i="58411"/>
  <c r="F282" i="58411"/>
  <c r="E282" i="58411"/>
  <c r="D282" i="58411"/>
  <c r="C282" i="58411"/>
  <c r="B282" i="58411"/>
  <c r="A282" i="58411"/>
  <c r="A279" i="58411"/>
  <c r="A278" i="58411"/>
  <c r="A277" i="58411"/>
  <c r="A276" i="58411"/>
  <c r="A275" i="58411"/>
  <c r="A274" i="58411"/>
  <c r="A273" i="58411"/>
  <c r="AB279" i="58411"/>
  <c r="AA279" i="58411"/>
  <c r="Z279" i="58411"/>
  <c r="Y279" i="58411"/>
  <c r="X279" i="58411"/>
  <c r="V279" i="58411"/>
  <c r="U279" i="58411"/>
  <c r="T279" i="58411"/>
  <c r="S279" i="58411"/>
  <c r="Q279" i="58411"/>
  <c r="P279" i="58411"/>
  <c r="O279" i="58411"/>
  <c r="N279" i="58411"/>
  <c r="L279" i="58411"/>
  <c r="K279" i="58411"/>
  <c r="J279" i="58411"/>
  <c r="I279" i="58411"/>
  <c r="H279" i="58411"/>
  <c r="G279" i="58411"/>
  <c r="F279" i="58411"/>
  <c r="E279" i="58411"/>
  <c r="D279" i="58411"/>
  <c r="C279" i="58411"/>
  <c r="B279" i="58411"/>
  <c r="AA278" i="58411"/>
  <c r="Z278" i="58411"/>
  <c r="Y278" i="58411"/>
  <c r="X278" i="58411"/>
  <c r="W278" i="58411"/>
  <c r="V278" i="58411"/>
  <c r="U278" i="58411"/>
  <c r="T278" i="58411"/>
  <c r="S278" i="58411"/>
  <c r="Q278" i="58411"/>
  <c r="P278" i="58411"/>
  <c r="O278" i="58411"/>
  <c r="N278" i="58411"/>
  <c r="L278" i="58411"/>
  <c r="K278" i="58411"/>
  <c r="J278" i="58411"/>
  <c r="I278" i="58411"/>
  <c r="G278" i="58411"/>
  <c r="F278" i="58411"/>
  <c r="E278" i="58411"/>
  <c r="D278" i="58411"/>
  <c r="C278" i="58411"/>
  <c r="B278" i="58411"/>
  <c r="AA277" i="58411"/>
  <c r="Z277" i="58411"/>
  <c r="Y277" i="58411"/>
  <c r="X277" i="58411"/>
  <c r="V277" i="58411"/>
  <c r="V285" i="58411" s="1"/>
  <c r="U277" i="58411"/>
  <c r="T277" i="58411"/>
  <c r="S277" i="58411"/>
  <c r="R277" i="58411"/>
  <c r="Q277" i="58411"/>
  <c r="P277" i="58411"/>
  <c r="O277" i="58411"/>
  <c r="N277" i="58411"/>
  <c r="L277" i="58411"/>
  <c r="K277" i="58411"/>
  <c r="J277" i="58411"/>
  <c r="I277" i="58411"/>
  <c r="G277" i="58411"/>
  <c r="F277" i="58411"/>
  <c r="E277" i="58411"/>
  <c r="D277" i="58411"/>
  <c r="C277" i="58411"/>
  <c r="B277" i="58411"/>
  <c r="AA276" i="58411"/>
  <c r="Z276" i="58411"/>
  <c r="Y276" i="58411"/>
  <c r="X276" i="58411"/>
  <c r="V276" i="58411"/>
  <c r="U276" i="58411"/>
  <c r="T276" i="58411"/>
  <c r="S276" i="58411"/>
  <c r="Q276" i="58411"/>
  <c r="P276" i="58411"/>
  <c r="O276" i="58411"/>
  <c r="N276" i="58411"/>
  <c r="M276" i="58411"/>
  <c r="L276" i="58411"/>
  <c r="K276" i="58411"/>
  <c r="J276" i="58411"/>
  <c r="I276" i="58411"/>
  <c r="G276" i="58411"/>
  <c r="F276" i="58411"/>
  <c r="E276" i="58411"/>
  <c r="D276" i="58411"/>
  <c r="C276" i="58411"/>
  <c r="B276" i="58411"/>
  <c r="AB275" i="58411"/>
  <c r="AA275" i="58411"/>
  <c r="Z275" i="58411"/>
  <c r="Y275" i="58411"/>
  <c r="X275" i="58411"/>
  <c r="V275" i="58411"/>
  <c r="U275" i="58411"/>
  <c r="T275" i="58411"/>
  <c r="S275" i="58411"/>
  <c r="Q275" i="58411"/>
  <c r="P275" i="58411"/>
  <c r="O275" i="58411"/>
  <c r="N275" i="58411"/>
  <c r="L275" i="58411"/>
  <c r="K275" i="58411"/>
  <c r="J275" i="58411"/>
  <c r="I275" i="58411"/>
  <c r="H275" i="58411"/>
  <c r="G275" i="58411"/>
  <c r="F275" i="58411"/>
  <c r="E275" i="58411"/>
  <c r="D275" i="58411"/>
  <c r="C275" i="58411"/>
  <c r="B275" i="58411"/>
  <c r="AA274" i="58411"/>
  <c r="Z274" i="58411"/>
  <c r="Y274" i="58411"/>
  <c r="X274" i="58411"/>
  <c r="W274" i="58411"/>
  <c r="V274" i="58411"/>
  <c r="U274" i="58411"/>
  <c r="T274" i="58411"/>
  <c r="S274" i="58411"/>
  <c r="AA273" i="58411"/>
  <c r="Z273" i="58411"/>
  <c r="Y273" i="58411"/>
  <c r="X273" i="58411"/>
  <c r="V273" i="58411"/>
  <c r="U273" i="58411"/>
  <c r="T273" i="58411"/>
  <c r="S273" i="58411"/>
  <c r="Q273" i="58411"/>
  <c r="P273" i="58411"/>
  <c r="O273" i="58411"/>
  <c r="N273" i="58411"/>
  <c r="M273" i="58411"/>
  <c r="L273" i="58411"/>
  <c r="K273" i="58411"/>
  <c r="J273" i="58411"/>
  <c r="I273" i="58411"/>
  <c r="G273" i="58411"/>
  <c r="F273" i="58411"/>
  <c r="E273" i="58411"/>
  <c r="D273" i="58411"/>
  <c r="C273" i="58411"/>
  <c r="B273" i="58411"/>
  <c r="AF283" i="58411"/>
  <c r="AG283" i="58411" s="1"/>
  <c r="AH283" i="58411" s="1"/>
  <c r="AI283" i="58411" s="1"/>
  <c r="AJ283" i="58411" s="1"/>
  <c r="AK283" i="58411" s="1"/>
  <c r="AL283" i="58411" s="1"/>
  <c r="AM283" i="58411" s="1"/>
  <c r="AN283" i="58411" s="1"/>
  <c r="AE283" i="58411"/>
  <c r="AE273" i="58411"/>
  <c r="AE272" i="58411"/>
  <c r="AF271" i="58411"/>
  <c r="AE271" i="58411"/>
  <c r="AE270" i="58411"/>
  <c r="AB272" i="58411"/>
  <c r="AA272" i="58411"/>
  <c r="AA271" i="58411"/>
  <c r="AA270" i="58411"/>
  <c r="AA285" i="58411" s="1"/>
  <c r="Z271" i="58411"/>
  <c r="Y271" i="58411"/>
  <c r="X271" i="58411"/>
  <c r="V271" i="58411"/>
  <c r="U271" i="58411"/>
  <c r="T271" i="58411"/>
  <c r="S271" i="58411"/>
  <c r="Q271" i="58411"/>
  <c r="P271" i="58411"/>
  <c r="O271" i="58411"/>
  <c r="N271" i="58411"/>
  <c r="L271" i="58411"/>
  <c r="K271" i="58411"/>
  <c r="J271" i="58411"/>
  <c r="I271" i="58411"/>
  <c r="G271" i="58411"/>
  <c r="F271" i="58411"/>
  <c r="E271" i="58411"/>
  <c r="D271" i="58411"/>
  <c r="C271" i="58411"/>
  <c r="B271" i="58411"/>
  <c r="A271" i="58411"/>
  <c r="Z270" i="58411"/>
  <c r="Z285" i="58411" s="1"/>
  <c r="Y270" i="58411"/>
  <c r="Y285" i="58411" s="1"/>
  <c r="X270" i="58411"/>
  <c r="X285" i="58411" s="1"/>
  <c r="V270" i="58411"/>
  <c r="U270" i="58411"/>
  <c r="T270" i="58411"/>
  <c r="S270" i="58411"/>
  <c r="S285" i="58411" s="1"/>
  <c r="Q270" i="58411"/>
  <c r="P270" i="58411"/>
  <c r="O270" i="58411"/>
  <c r="O285" i="58411" s="1"/>
  <c r="N270" i="58411"/>
  <c r="N285" i="58411" s="1"/>
  <c r="L270" i="58411"/>
  <c r="K270" i="58411"/>
  <c r="K285" i="58411" s="1"/>
  <c r="J270" i="58411"/>
  <c r="J285" i="58411" s="1"/>
  <c r="J286" i="58411" s="1"/>
  <c r="J287" i="58411" s="1"/>
  <c r="I270" i="58411"/>
  <c r="G270" i="58411"/>
  <c r="G285" i="58411" s="1"/>
  <c r="F270" i="58411"/>
  <c r="F285" i="58411" s="1"/>
  <c r="E270" i="58411"/>
  <c r="E285" i="58411" s="1"/>
  <c r="D270" i="58411"/>
  <c r="C270" i="58411"/>
  <c r="C285" i="58411" s="1"/>
  <c r="B270" i="58411"/>
  <c r="B285" i="58411" s="1"/>
  <c r="A270" i="58411"/>
  <c r="AE267" i="58411"/>
  <c r="AA267" i="58411"/>
  <c r="Z267" i="58411"/>
  <c r="Y267" i="58411"/>
  <c r="X267" i="58411"/>
  <c r="V267" i="58411"/>
  <c r="U267" i="58411"/>
  <c r="T267" i="58411"/>
  <c r="S267" i="58411"/>
  <c r="Q267" i="58411"/>
  <c r="P267" i="58411"/>
  <c r="O267" i="58411"/>
  <c r="N267" i="58411"/>
  <c r="L267" i="58411"/>
  <c r="K267" i="58411"/>
  <c r="J267" i="58411"/>
  <c r="I267" i="58411"/>
  <c r="G267" i="58411"/>
  <c r="F267" i="58411"/>
  <c r="E267" i="58411"/>
  <c r="D267" i="58411"/>
  <c r="C267" i="58411"/>
  <c r="B267" i="58411"/>
  <c r="AD266" i="58411"/>
  <c r="AC266" i="58411"/>
  <c r="AB266" i="58411"/>
  <c r="AB282" i="58411" s="1"/>
  <c r="W266" i="58411"/>
  <c r="W282" i="58411" s="1"/>
  <c r="R266" i="58411"/>
  <c r="M266" i="58411"/>
  <c r="M282" i="58411" s="1"/>
  <c r="H266" i="58411"/>
  <c r="H282" i="58411" s="1"/>
  <c r="A266" i="58411"/>
  <c r="AB263" i="58411"/>
  <c r="AB262" i="58411"/>
  <c r="AB278" i="58411" s="1"/>
  <c r="AB261" i="58411"/>
  <c r="AB260" i="58411"/>
  <c r="AB276" i="58411" s="1"/>
  <c r="AB259" i="58411"/>
  <c r="AB258" i="58411"/>
  <c r="AB274" i="58411" s="1"/>
  <c r="AB257" i="58411"/>
  <c r="AB256" i="58411"/>
  <c r="AB255" i="58411"/>
  <c r="AB271" i="58411" s="1"/>
  <c r="AB254" i="58411"/>
  <c r="AB267" i="58411" s="1"/>
  <c r="W263" i="58411"/>
  <c r="W262" i="58411"/>
  <c r="W261" i="58411"/>
  <c r="W277" i="58411" s="1"/>
  <c r="W260" i="58411"/>
  <c r="W276" i="58411" s="1"/>
  <c r="W259" i="58411"/>
  <c r="W258" i="58411"/>
  <c r="W257" i="58411"/>
  <c r="W273" i="58411" s="1"/>
  <c r="R263" i="58411"/>
  <c r="R279" i="58411" s="1"/>
  <c r="R262" i="58411"/>
  <c r="R261" i="58411"/>
  <c r="R260" i="58411"/>
  <c r="R276" i="58411" s="1"/>
  <c r="R259" i="58411"/>
  <c r="R275" i="58411" s="1"/>
  <c r="M263" i="58411"/>
  <c r="M262" i="58411"/>
  <c r="M278" i="58411" s="1"/>
  <c r="M261" i="58411"/>
  <c r="M277" i="58411" s="1"/>
  <c r="M260" i="58411"/>
  <c r="M259" i="58411"/>
  <c r="H263" i="58411"/>
  <c r="H262" i="58411"/>
  <c r="H278" i="58411" s="1"/>
  <c r="H261" i="58411"/>
  <c r="H277" i="58411" s="1"/>
  <c r="H260" i="58411"/>
  <c r="H259" i="58411"/>
  <c r="A262" i="58411"/>
  <c r="A261" i="58411"/>
  <c r="A260" i="58411"/>
  <c r="A259" i="58411"/>
  <c r="A258" i="58411"/>
  <c r="A257" i="58411"/>
  <c r="R257" i="58411"/>
  <c r="R273" i="58411" s="1"/>
  <c r="M257" i="58411"/>
  <c r="H257" i="58411"/>
  <c r="H273" i="58411" s="1"/>
  <c r="W255" i="58411"/>
  <c r="W271" i="58411" s="1"/>
  <c r="W254" i="58411"/>
  <c r="W270" i="58411" s="1"/>
  <c r="R255" i="58411"/>
  <c r="R254" i="58411"/>
  <c r="M255" i="58411"/>
  <c r="M271" i="58411" s="1"/>
  <c r="M254" i="58411"/>
  <c r="M270" i="58411" s="1"/>
  <c r="H255" i="58411"/>
  <c r="H254" i="58411"/>
  <c r="H270" i="58411" s="1"/>
  <c r="A255" i="58411"/>
  <c r="A254" i="58411"/>
  <c r="AH266" i="58411"/>
  <c r="AI266" i="58411" s="1"/>
  <c r="AG266" i="58411"/>
  <c r="AF266" i="58411"/>
  <c r="AF265" i="58411"/>
  <c r="AG265" i="58411" s="1"/>
  <c r="AF264" i="58411"/>
  <c r="AG263" i="58411"/>
  <c r="AF263" i="58411"/>
  <c r="AH262" i="58411"/>
  <c r="AI262" i="58411" s="1"/>
  <c r="AG262" i="58411"/>
  <c r="AF262" i="58411"/>
  <c r="AF261" i="58411"/>
  <c r="AG261" i="58411" s="1"/>
  <c r="AF260" i="58411"/>
  <c r="AG259" i="58411"/>
  <c r="AH258" i="58411"/>
  <c r="AI258" i="58411" s="1"/>
  <c r="AG258" i="58411"/>
  <c r="AF258" i="58411"/>
  <c r="AG257" i="58411"/>
  <c r="AF256" i="58411"/>
  <c r="AG255" i="58411"/>
  <c r="AF255" i="58411"/>
  <c r="AH254" i="58411"/>
  <c r="AI254" i="58411" s="1"/>
  <c r="AG254" i="58411"/>
  <c r="AF254" i="58411"/>
  <c r="AC265" i="58411"/>
  <c r="AD265" i="58411" s="1"/>
  <c r="AD264" i="58411"/>
  <c r="AC264" i="58411"/>
  <c r="AC263" i="58411"/>
  <c r="AD263" i="58411" s="1"/>
  <c r="AD262" i="58411"/>
  <c r="AC262" i="58411"/>
  <c r="AC261" i="58411"/>
  <c r="AD261" i="58411" s="1"/>
  <c r="AD267" i="58411" s="1"/>
  <c r="AD260" i="58411"/>
  <c r="AC260" i="58411"/>
  <c r="AC259" i="58411"/>
  <c r="AD259" i="58411" s="1"/>
  <c r="AD258" i="58411"/>
  <c r="AC258" i="58411"/>
  <c r="AC257" i="58411"/>
  <c r="AD257" i="58411" s="1"/>
  <c r="AD256" i="58411"/>
  <c r="AC256" i="58411"/>
  <c r="AC255" i="58411"/>
  <c r="AD255" i="58411" s="1"/>
  <c r="AD254" i="58411"/>
  <c r="AC254" i="58411"/>
  <c r="AA251" i="58411"/>
  <c r="Z251" i="58411"/>
  <c r="Y251" i="58411"/>
  <c r="X251" i="58411"/>
  <c r="V251" i="58411"/>
  <c r="U251" i="58411"/>
  <c r="T251" i="58411"/>
  <c r="S251" i="58411"/>
  <c r="Q251" i="58411"/>
  <c r="P251" i="58411"/>
  <c r="O251" i="58411"/>
  <c r="N251" i="58411"/>
  <c r="L251" i="58411"/>
  <c r="K251" i="58411"/>
  <c r="J251" i="58411"/>
  <c r="I251" i="58411"/>
  <c r="G251" i="58411"/>
  <c r="F251" i="58411"/>
  <c r="E251" i="58411"/>
  <c r="D251" i="58411"/>
  <c r="C251" i="58411"/>
  <c r="B251" i="58411"/>
  <c r="AD250" i="58411"/>
  <c r="AC250" i="58411"/>
  <c r="AB250" i="58411"/>
  <c r="W250" i="58411"/>
  <c r="R250" i="58411"/>
  <c r="M250" i="58411"/>
  <c r="H250" i="58411"/>
  <c r="A250" i="58411"/>
  <c r="A249" i="58411"/>
  <c r="AB247" i="58411"/>
  <c r="AB246" i="58411"/>
  <c r="AB245" i="58411"/>
  <c r="AB244" i="58411"/>
  <c r="AB243" i="58411"/>
  <c r="AB242" i="58411"/>
  <c r="AB241" i="58411"/>
  <c r="AB240" i="58411"/>
  <c r="AB239" i="58411"/>
  <c r="AB238" i="58411"/>
  <c r="W247" i="58411"/>
  <c r="W246" i="58411"/>
  <c r="W245" i="58411"/>
  <c r="W244" i="58411"/>
  <c r="W243" i="58411"/>
  <c r="W251" i="58411" s="1"/>
  <c r="W242" i="58411"/>
  <c r="W241" i="58411"/>
  <c r="R247" i="58411"/>
  <c r="R246" i="58411"/>
  <c r="R245" i="58411"/>
  <c r="R244" i="58411"/>
  <c r="R243" i="58411"/>
  <c r="M247" i="58411"/>
  <c r="M246" i="58411"/>
  <c r="M245" i="58411"/>
  <c r="M244" i="58411"/>
  <c r="M243" i="58411"/>
  <c r="H247" i="58411"/>
  <c r="H246" i="58411"/>
  <c r="H245" i="58411"/>
  <c r="H244" i="58411"/>
  <c r="H243" i="58411"/>
  <c r="AD249" i="58411"/>
  <c r="AC249" i="58411"/>
  <c r="AD248" i="58411"/>
  <c r="AC248" i="58411"/>
  <c r="AD247" i="58411"/>
  <c r="AC247" i="58411"/>
  <c r="AD246" i="58411"/>
  <c r="AC246" i="58411"/>
  <c r="A246" i="58411"/>
  <c r="A245" i="58411"/>
  <c r="A244" i="58411"/>
  <c r="A243" i="58411"/>
  <c r="A242" i="58411"/>
  <c r="A241" i="58411"/>
  <c r="AD245" i="58411"/>
  <c r="AC245" i="58411"/>
  <c r="AC244" i="58411"/>
  <c r="AD244" i="58411" s="1"/>
  <c r="AD243" i="58411"/>
  <c r="AC243" i="58411"/>
  <c r="AC242" i="58411"/>
  <c r="AD242" i="58411" s="1"/>
  <c r="AC241" i="58411"/>
  <c r="AC240" i="58411"/>
  <c r="AD240" i="58411" s="1"/>
  <c r="AC239" i="58411"/>
  <c r="AC238" i="58411"/>
  <c r="AC251" i="58411" s="1"/>
  <c r="R241" i="58411"/>
  <c r="M241" i="58411"/>
  <c r="H241" i="58411"/>
  <c r="AD239" i="58411"/>
  <c r="AD238" i="58411"/>
  <c r="W239" i="58411"/>
  <c r="W238" i="58411"/>
  <c r="R239" i="58411"/>
  <c r="R238" i="58411"/>
  <c r="M239" i="58411"/>
  <c r="M238" i="58411"/>
  <c r="M251" i="58411" s="1"/>
  <c r="H239" i="58411"/>
  <c r="H271" i="58411" s="1"/>
  <c r="H238" i="58411"/>
  <c r="A239" i="58411"/>
  <c r="A238" i="58411"/>
  <c r="AG245" i="58411"/>
  <c r="AH245" i="58411" s="1"/>
  <c r="AI245" i="58411" s="1"/>
  <c r="AJ245" i="58411" s="1"/>
  <c r="AK245" i="58411" s="1"/>
  <c r="AL245" i="58411" s="1"/>
  <c r="AM245" i="58411" s="1"/>
  <c r="AN245" i="58411" s="1"/>
  <c r="AG244" i="58411"/>
  <c r="AH244" i="58411" s="1"/>
  <c r="AI244" i="58411" s="1"/>
  <c r="AJ244" i="58411" s="1"/>
  <c r="AK244" i="58411" s="1"/>
  <c r="AL244" i="58411" s="1"/>
  <c r="AM244" i="58411" s="1"/>
  <c r="AN244" i="58411" s="1"/>
  <c r="AF244" i="58411"/>
  <c r="AG243" i="58411"/>
  <c r="AH243" i="58411" s="1"/>
  <c r="AI243" i="58411" s="1"/>
  <c r="AJ243" i="58411" s="1"/>
  <c r="AK243" i="58411" s="1"/>
  <c r="AL243" i="58411" s="1"/>
  <c r="AM243" i="58411" s="1"/>
  <c r="AN243" i="58411" s="1"/>
  <c r="AG242" i="58411"/>
  <c r="AH242" i="58411" s="1"/>
  <c r="AG241" i="58411"/>
  <c r="AH241" i="58411" s="1"/>
  <c r="AI241" i="58411" s="1"/>
  <c r="AJ241" i="58411" s="1"/>
  <c r="AK241" i="58411" s="1"/>
  <c r="AL241" i="58411" s="1"/>
  <c r="AM241" i="58411" s="1"/>
  <c r="AN241" i="58411" s="1"/>
  <c r="AK240" i="58411"/>
  <c r="AL240" i="58411" s="1"/>
  <c r="AM240" i="58411" s="1"/>
  <c r="AN240" i="58411" s="1"/>
  <c r="AG240" i="58411"/>
  <c r="AH240" i="58411" s="1"/>
  <c r="AI240" i="58411" s="1"/>
  <c r="AJ240" i="58411" s="1"/>
  <c r="AF240" i="58411"/>
  <c r="AG239" i="58411"/>
  <c r="AH239" i="58411" s="1"/>
  <c r="AI239" i="58411" s="1"/>
  <c r="AJ239" i="58411" s="1"/>
  <c r="AK239" i="58411" s="1"/>
  <c r="AL239" i="58411" s="1"/>
  <c r="AM239" i="58411" s="1"/>
  <c r="AN239" i="58411" s="1"/>
  <c r="AG238" i="58411"/>
  <c r="AA235" i="58411"/>
  <c r="Z235" i="58411"/>
  <c r="Y235" i="58411"/>
  <c r="X235" i="58411"/>
  <c r="V235" i="58411"/>
  <c r="U235" i="58411"/>
  <c r="T235" i="58411"/>
  <c r="S235" i="58411"/>
  <c r="Q235" i="58411"/>
  <c r="P235" i="58411"/>
  <c r="O235" i="58411"/>
  <c r="N235" i="58411"/>
  <c r="L235" i="58411"/>
  <c r="K235" i="58411"/>
  <c r="J235" i="58411"/>
  <c r="I235" i="58411"/>
  <c r="G235" i="58411"/>
  <c r="F235" i="58411"/>
  <c r="E235" i="58411"/>
  <c r="D235" i="58411"/>
  <c r="C235" i="58411"/>
  <c r="B235" i="58411"/>
  <c r="AE234" i="58411"/>
  <c r="AF234" i="58411" s="1"/>
  <c r="AG234" i="58411" s="1"/>
  <c r="AH234" i="58411" s="1"/>
  <c r="AI234" i="58411" s="1"/>
  <c r="AJ234" i="58411" s="1"/>
  <c r="AK234" i="58411" s="1"/>
  <c r="AL234" i="58411" s="1"/>
  <c r="AM234" i="58411" s="1"/>
  <c r="AN234" i="58411" s="1"/>
  <c r="AD234" i="58411"/>
  <c r="AC234" i="58411"/>
  <c r="AB234" i="58411"/>
  <c r="W234" i="58411"/>
  <c r="R234" i="58411"/>
  <c r="M234" i="58411"/>
  <c r="H234" i="58411"/>
  <c r="AB231" i="58411"/>
  <c r="AB230" i="58411"/>
  <c r="AB229" i="58411"/>
  <c r="AB228" i="58411"/>
  <c r="AB227" i="58411"/>
  <c r="AB226" i="58411"/>
  <c r="AB225" i="58411"/>
  <c r="AB235" i="58411" s="1"/>
  <c r="AB224" i="58411"/>
  <c r="AB223" i="58411"/>
  <c r="AB222" i="58411"/>
  <c r="W231" i="58411"/>
  <c r="W230" i="58411"/>
  <c r="W229" i="58411"/>
  <c r="W228" i="58411"/>
  <c r="W227" i="58411"/>
  <c r="W226" i="58411"/>
  <c r="W225" i="58411"/>
  <c r="R231" i="58411"/>
  <c r="R230" i="58411"/>
  <c r="R229" i="58411"/>
  <c r="R228" i="58411"/>
  <c r="R227" i="58411"/>
  <c r="M231" i="58411"/>
  <c r="M230" i="58411"/>
  <c r="M229" i="58411"/>
  <c r="M228" i="58411"/>
  <c r="M227" i="58411"/>
  <c r="H231" i="58411"/>
  <c r="H230" i="58411"/>
  <c r="H229" i="58411"/>
  <c r="H228" i="58411"/>
  <c r="H227" i="58411"/>
  <c r="AD233" i="58411"/>
  <c r="AE233" i="58411" s="1"/>
  <c r="AC233" i="58411"/>
  <c r="AD232" i="58411"/>
  <c r="AE232" i="58411" s="1"/>
  <c r="AC232" i="58411"/>
  <c r="AD231" i="58411"/>
  <c r="AE231" i="58411" s="1"/>
  <c r="AC231" i="58411"/>
  <c r="AD230" i="58411"/>
  <c r="AE230" i="58411" s="1"/>
  <c r="AF230" i="58411" s="1"/>
  <c r="AG230" i="58411" s="1"/>
  <c r="AH230" i="58411" s="1"/>
  <c r="AI230" i="58411" s="1"/>
  <c r="AJ230" i="58411" s="1"/>
  <c r="AK230" i="58411" s="1"/>
  <c r="AL230" i="58411" s="1"/>
  <c r="AM230" i="58411" s="1"/>
  <c r="AN230" i="58411" s="1"/>
  <c r="AC230" i="58411"/>
  <c r="AD229" i="58411"/>
  <c r="AE229" i="58411" s="1"/>
  <c r="AC229" i="58411"/>
  <c r="AD228" i="58411"/>
  <c r="AE228" i="58411" s="1"/>
  <c r="AC228" i="58411"/>
  <c r="AD227" i="58411"/>
  <c r="AE227" i="58411" s="1"/>
  <c r="AC227" i="58411"/>
  <c r="AD226" i="58411"/>
  <c r="AE226" i="58411" s="1"/>
  <c r="AE368" i="58411" s="1"/>
  <c r="AC226" i="58411"/>
  <c r="R225" i="58411"/>
  <c r="M225" i="58411"/>
  <c r="H225" i="58411"/>
  <c r="W223" i="58411"/>
  <c r="W222" i="58411"/>
  <c r="W235" i="58411" s="1"/>
  <c r="R223" i="58411"/>
  <c r="R222" i="58411"/>
  <c r="R235" i="58411" s="1"/>
  <c r="M223" i="58411"/>
  <c r="M222" i="58411"/>
  <c r="M235" i="58411" s="1"/>
  <c r="H223" i="58411"/>
  <c r="H222" i="58411"/>
  <c r="H235" i="58411" s="1"/>
  <c r="AG225" i="58411"/>
  <c r="AH225" i="58411" s="1"/>
  <c r="AI225" i="58411" s="1"/>
  <c r="AJ225" i="58411" s="1"/>
  <c r="AK225" i="58411" s="1"/>
  <c r="AL225" i="58411" s="1"/>
  <c r="AM225" i="58411" s="1"/>
  <c r="AN225" i="58411" s="1"/>
  <c r="AH224" i="58411"/>
  <c r="AI224" i="58411" s="1"/>
  <c r="AJ224" i="58411" s="1"/>
  <c r="AK224" i="58411" s="1"/>
  <c r="AL224" i="58411" s="1"/>
  <c r="AM224" i="58411" s="1"/>
  <c r="AN224" i="58411" s="1"/>
  <c r="AG224" i="58411"/>
  <c r="AF224" i="58411"/>
  <c r="AG223" i="58411"/>
  <c r="AH223" i="58411" s="1"/>
  <c r="AI223" i="58411" s="1"/>
  <c r="AJ223" i="58411" s="1"/>
  <c r="AK223" i="58411" s="1"/>
  <c r="AL223" i="58411" s="1"/>
  <c r="AM223" i="58411" s="1"/>
  <c r="AN223" i="58411" s="1"/>
  <c r="AF222" i="58411"/>
  <c r="AG222" i="58411" s="1"/>
  <c r="AD225" i="58411"/>
  <c r="AC225" i="58411"/>
  <c r="AC224" i="58411"/>
  <c r="AD224" i="58411" s="1"/>
  <c r="AD223" i="58411"/>
  <c r="AC223" i="58411"/>
  <c r="AC222" i="58411"/>
  <c r="AN219" i="58411"/>
  <c r="AM219" i="58411"/>
  <c r="AL219" i="58411"/>
  <c r="AK219" i="58411"/>
  <c r="AJ219" i="58411"/>
  <c r="AI219" i="58411"/>
  <c r="AH219" i="58411"/>
  <c r="AG219" i="58411"/>
  <c r="AF219" i="58411"/>
  <c r="AE219" i="58411"/>
  <c r="AD219" i="58411"/>
  <c r="AC219" i="58411"/>
  <c r="AB219" i="58411"/>
  <c r="AA219" i="58411"/>
  <c r="Z219" i="58411"/>
  <c r="Y219" i="58411"/>
  <c r="X219" i="58411"/>
  <c r="W219" i="58411"/>
  <c r="V219" i="58411"/>
  <c r="U219" i="58411"/>
  <c r="T219" i="58411"/>
  <c r="S219" i="58411"/>
  <c r="R219" i="58411"/>
  <c r="Q219" i="58411"/>
  <c r="P219" i="58411"/>
  <c r="O219" i="58411"/>
  <c r="N219" i="58411"/>
  <c r="M219" i="58411"/>
  <c r="L219" i="58411"/>
  <c r="K219" i="58411"/>
  <c r="J219" i="58411"/>
  <c r="I219" i="58411"/>
  <c r="H219" i="58411"/>
  <c r="G219" i="58411"/>
  <c r="F219" i="58411"/>
  <c r="E219" i="58411"/>
  <c r="D219" i="58411"/>
  <c r="C219" i="58411"/>
  <c r="B219" i="58411"/>
  <c r="Q214" i="58411"/>
  <c r="AA213" i="58411"/>
  <c r="AB213" i="58411" s="1"/>
  <c r="X213" i="58411"/>
  <c r="Y213" i="58411" s="1"/>
  <c r="Z213" i="58411" s="1"/>
  <c r="X212" i="58411"/>
  <c r="Y212" i="58411" s="1"/>
  <c r="Z212" i="58411" s="1"/>
  <c r="AA212" i="58411" s="1"/>
  <c r="AB212" i="58411" s="1"/>
  <c r="AA211" i="58411"/>
  <c r="Z211" i="58411"/>
  <c r="Y211" i="58411"/>
  <c r="U211" i="58411"/>
  <c r="T211" i="58411"/>
  <c r="S211" i="58411"/>
  <c r="Q211" i="58411"/>
  <c r="P211" i="58411"/>
  <c r="O211" i="58411"/>
  <c r="N211" i="58411"/>
  <c r="L211" i="58411"/>
  <c r="K211" i="58411"/>
  <c r="J211" i="58411"/>
  <c r="I211" i="58411"/>
  <c r="G211" i="58411"/>
  <c r="F211" i="58411"/>
  <c r="E211" i="58411"/>
  <c r="D211" i="58411"/>
  <c r="C211" i="58411"/>
  <c r="B211" i="58411"/>
  <c r="A211" i="58411"/>
  <c r="A208" i="58411"/>
  <c r="A207" i="58411"/>
  <c r="A206" i="58411"/>
  <c r="A205" i="58411"/>
  <c r="A204" i="58411"/>
  <c r="A203" i="58411"/>
  <c r="A202" i="58411"/>
  <c r="AA208" i="58411"/>
  <c r="Z208" i="58411"/>
  <c r="Y208" i="58411"/>
  <c r="X208" i="58411"/>
  <c r="U208" i="58411"/>
  <c r="T208" i="58411"/>
  <c r="S208" i="58411"/>
  <c r="R208" i="58411"/>
  <c r="Q208" i="58411"/>
  <c r="P208" i="58411"/>
  <c r="O208" i="58411"/>
  <c r="N208" i="58411"/>
  <c r="L208" i="58411"/>
  <c r="K208" i="58411"/>
  <c r="J208" i="58411"/>
  <c r="I208" i="58411"/>
  <c r="G208" i="58411"/>
  <c r="F208" i="58411"/>
  <c r="E208" i="58411"/>
  <c r="D208" i="58411"/>
  <c r="C208" i="58411"/>
  <c r="B208" i="58411"/>
  <c r="AA207" i="58411"/>
  <c r="Z207" i="58411"/>
  <c r="Y207" i="58411"/>
  <c r="X207" i="58411"/>
  <c r="U207" i="58411"/>
  <c r="T207" i="58411"/>
  <c r="S207" i="58411"/>
  <c r="Q207" i="58411"/>
  <c r="P207" i="58411"/>
  <c r="O207" i="58411"/>
  <c r="N207" i="58411"/>
  <c r="L207" i="58411"/>
  <c r="K207" i="58411"/>
  <c r="J207" i="58411"/>
  <c r="I207" i="58411"/>
  <c r="I214" i="58411" s="1"/>
  <c r="G207" i="58411"/>
  <c r="F207" i="58411"/>
  <c r="E207" i="58411"/>
  <c r="E214" i="58411" s="1"/>
  <c r="D207" i="58411"/>
  <c r="C207" i="58411"/>
  <c r="B207" i="58411"/>
  <c r="AA206" i="58411"/>
  <c r="Z206" i="58411"/>
  <c r="Y206" i="58411"/>
  <c r="X206" i="58411"/>
  <c r="U206" i="58411"/>
  <c r="T206" i="58411"/>
  <c r="S206" i="58411"/>
  <c r="Q206" i="58411"/>
  <c r="P206" i="58411"/>
  <c r="O206" i="58411"/>
  <c r="N206" i="58411"/>
  <c r="L206" i="58411"/>
  <c r="K206" i="58411"/>
  <c r="J206" i="58411"/>
  <c r="I206" i="58411"/>
  <c r="G206" i="58411"/>
  <c r="F206" i="58411"/>
  <c r="E206" i="58411"/>
  <c r="D206" i="58411"/>
  <c r="C206" i="58411"/>
  <c r="B206" i="58411"/>
  <c r="AA205" i="58411"/>
  <c r="Z205" i="58411"/>
  <c r="Y205" i="58411"/>
  <c r="X205" i="58411"/>
  <c r="W205" i="58411"/>
  <c r="U205" i="58411"/>
  <c r="T205" i="58411"/>
  <c r="S205" i="58411"/>
  <c r="Q205" i="58411"/>
  <c r="P205" i="58411"/>
  <c r="O205" i="58411"/>
  <c r="N205" i="58411"/>
  <c r="L205" i="58411"/>
  <c r="K205" i="58411"/>
  <c r="J205" i="58411"/>
  <c r="I205" i="58411"/>
  <c r="G205" i="58411"/>
  <c r="F205" i="58411"/>
  <c r="E205" i="58411"/>
  <c r="D205" i="58411"/>
  <c r="C205" i="58411"/>
  <c r="B205" i="58411"/>
  <c r="AA204" i="58411"/>
  <c r="Z204" i="58411"/>
  <c r="Y204" i="58411"/>
  <c r="X204" i="58411"/>
  <c r="U204" i="58411"/>
  <c r="T204" i="58411"/>
  <c r="S204" i="58411"/>
  <c r="Q204" i="58411"/>
  <c r="P204" i="58411"/>
  <c r="O204" i="58411"/>
  <c r="N204" i="58411"/>
  <c r="L204" i="58411"/>
  <c r="K204" i="58411"/>
  <c r="J204" i="58411"/>
  <c r="I204" i="58411"/>
  <c r="G204" i="58411"/>
  <c r="F204" i="58411"/>
  <c r="E204" i="58411"/>
  <c r="D204" i="58411"/>
  <c r="C204" i="58411"/>
  <c r="B204" i="58411"/>
  <c r="AA203" i="58411"/>
  <c r="Z203" i="58411"/>
  <c r="Y203" i="58411"/>
  <c r="Y214" i="58411" s="1"/>
  <c r="Y215" i="58411" s="1"/>
  <c r="Y216" i="58411" s="1"/>
  <c r="X203" i="58411"/>
  <c r="U203" i="58411"/>
  <c r="U214" i="58411" s="1"/>
  <c r="U215" i="58411" s="1"/>
  <c r="U216" i="58411" s="1"/>
  <c r="T203" i="58411"/>
  <c r="S203" i="58411"/>
  <c r="AA202" i="58411"/>
  <c r="Z202" i="58411"/>
  <c r="Y202" i="58411"/>
  <c r="X202" i="58411"/>
  <c r="W202" i="58411"/>
  <c r="V202" i="58411"/>
  <c r="U202" i="58411"/>
  <c r="T202" i="58411"/>
  <c r="S202" i="58411"/>
  <c r="Q202" i="58411"/>
  <c r="P202" i="58411"/>
  <c r="O202" i="58411"/>
  <c r="N202" i="58411"/>
  <c r="L202" i="58411"/>
  <c r="K202" i="58411"/>
  <c r="J202" i="58411"/>
  <c r="I202" i="58411"/>
  <c r="G202" i="58411"/>
  <c r="F202" i="58411"/>
  <c r="E202" i="58411"/>
  <c r="D202" i="58411"/>
  <c r="C202" i="58411"/>
  <c r="B202" i="58411"/>
  <c r="AH213" i="58411"/>
  <c r="AI213" i="58411" s="1"/>
  <c r="AJ213" i="58411" s="1"/>
  <c r="AK213" i="58411" s="1"/>
  <c r="AL213" i="58411" s="1"/>
  <c r="AM213" i="58411" s="1"/>
  <c r="AN213" i="58411" s="1"/>
  <c r="AE213" i="58411"/>
  <c r="AF213" i="58411" s="1"/>
  <c r="AG213" i="58411" s="1"/>
  <c r="AF212" i="58411"/>
  <c r="AG212" i="58411" s="1"/>
  <c r="AH212" i="58411" s="1"/>
  <c r="AI212" i="58411" s="1"/>
  <c r="AJ212" i="58411" s="1"/>
  <c r="AK212" i="58411" s="1"/>
  <c r="AL212" i="58411" s="1"/>
  <c r="AM212" i="58411" s="1"/>
  <c r="AN212" i="58411" s="1"/>
  <c r="AE212" i="58411"/>
  <c r="AE207" i="58411"/>
  <c r="AE206" i="58411"/>
  <c r="AF204" i="58411"/>
  <c r="AE204" i="58411"/>
  <c r="AE203" i="58411"/>
  <c r="AE202" i="58411"/>
  <c r="AF200" i="58411"/>
  <c r="AE200" i="58411"/>
  <c r="AE199" i="58411"/>
  <c r="AB201" i="58411"/>
  <c r="AA201" i="58411"/>
  <c r="AA200" i="58411"/>
  <c r="AB199" i="58411"/>
  <c r="AA199" i="58411"/>
  <c r="Z200" i="58411"/>
  <c r="Y200" i="58411"/>
  <c r="X200" i="58411"/>
  <c r="U200" i="58411"/>
  <c r="T200" i="58411"/>
  <c r="S200" i="58411"/>
  <c r="Q200" i="58411"/>
  <c r="P200" i="58411"/>
  <c r="O200" i="58411"/>
  <c r="N200" i="58411"/>
  <c r="L200" i="58411"/>
  <c r="K200" i="58411"/>
  <c r="J200" i="58411"/>
  <c r="I200" i="58411"/>
  <c r="H200" i="58411"/>
  <c r="G200" i="58411"/>
  <c r="F200" i="58411"/>
  <c r="E200" i="58411"/>
  <c r="D200" i="58411"/>
  <c r="C200" i="58411"/>
  <c r="B200" i="58411"/>
  <c r="A200" i="58411"/>
  <c r="Z199" i="58411"/>
  <c r="Z214" i="58411" s="1"/>
  <c r="Y199" i="58411"/>
  <c r="X199" i="58411"/>
  <c r="U199" i="58411"/>
  <c r="T199" i="58411"/>
  <c r="T214" i="58411" s="1"/>
  <c r="S199" i="58411"/>
  <c r="Q199" i="58411"/>
  <c r="P199" i="58411"/>
  <c r="P214" i="58411" s="1"/>
  <c r="O199" i="58411"/>
  <c r="N199" i="58411"/>
  <c r="L199" i="58411"/>
  <c r="L214" i="58411" s="1"/>
  <c r="L215" i="58411" s="1"/>
  <c r="L216" i="58411" s="1"/>
  <c r="K199" i="58411"/>
  <c r="J199" i="58411"/>
  <c r="I199" i="58411"/>
  <c r="G199" i="58411"/>
  <c r="G214" i="58411" s="1"/>
  <c r="F199" i="58411"/>
  <c r="E199" i="58411"/>
  <c r="D199" i="58411"/>
  <c r="C199" i="58411"/>
  <c r="C214" i="58411" s="1"/>
  <c r="B199" i="58411"/>
  <c r="A199" i="58411"/>
  <c r="AA196" i="58411"/>
  <c r="Z196" i="58411"/>
  <c r="Y196" i="58411"/>
  <c r="X196" i="58411"/>
  <c r="V196" i="58411"/>
  <c r="U196" i="58411"/>
  <c r="T196" i="58411"/>
  <c r="S196" i="58411"/>
  <c r="Q196" i="58411"/>
  <c r="P196" i="58411"/>
  <c r="O196" i="58411"/>
  <c r="N196" i="58411"/>
  <c r="L196" i="58411"/>
  <c r="K196" i="58411"/>
  <c r="J196" i="58411"/>
  <c r="I196" i="58411"/>
  <c r="G196" i="58411"/>
  <c r="F196" i="58411"/>
  <c r="E196" i="58411"/>
  <c r="D196" i="58411"/>
  <c r="C196" i="58411"/>
  <c r="B196" i="58411"/>
  <c r="AC195" i="58411"/>
  <c r="AB195" i="58411"/>
  <c r="AB211" i="58411" s="1"/>
  <c r="W195" i="58411"/>
  <c r="R195" i="58411"/>
  <c r="R211" i="58411" s="1"/>
  <c r="M195" i="58411"/>
  <c r="M211" i="58411" s="1"/>
  <c r="H195" i="58411"/>
  <c r="H211" i="58411" s="1"/>
  <c r="A195" i="58411"/>
  <c r="AC194" i="58411"/>
  <c r="AC193" i="58411"/>
  <c r="AC192" i="58411"/>
  <c r="AB192" i="58411"/>
  <c r="AB208" i="58411" s="1"/>
  <c r="AB191" i="58411"/>
  <c r="AB207" i="58411" s="1"/>
  <c r="AB190" i="58411"/>
  <c r="AB189" i="58411"/>
  <c r="AB205" i="58411" s="1"/>
  <c r="AB188" i="58411"/>
  <c r="AB204" i="58411" s="1"/>
  <c r="AB187" i="58411"/>
  <c r="AB203" i="58411" s="1"/>
  <c r="AB186" i="58411"/>
  <c r="AB185" i="58411"/>
  <c r="AC185" i="58411" s="1"/>
  <c r="AD185" i="58411" s="1"/>
  <c r="AB184" i="58411"/>
  <c r="AB200" i="58411" s="1"/>
  <c r="AB183" i="58411"/>
  <c r="AB196" i="58411" s="1"/>
  <c r="W192" i="58411"/>
  <c r="W191" i="58411"/>
  <c r="W207" i="58411" s="1"/>
  <c r="W190" i="58411"/>
  <c r="W189" i="58411"/>
  <c r="W188" i="58411"/>
  <c r="W187" i="58411"/>
  <c r="W186" i="58411"/>
  <c r="R192" i="58411"/>
  <c r="R191" i="58411"/>
  <c r="R207" i="58411" s="1"/>
  <c r="R190" i="58411"/>
  <c r="R206" i="58411" s="1"/>
  <c r="R189" i="58411"/>
  <c r="R205" i="58411" s="1"/>
  <c r="R188" i="58411"/>
  <c r="M192" i="58411"/>
  <c r="M208" i="58411" s="1"/>
  <c r="M191" i="58411"/>
  <c r="M207" i="58411" s="1"/>
  <c r="M190" i="58411"/>
  <c r="M206" i="58411" s="1"/>
  <c r="M189" i="58411"/>
  <c r="M188" i="58411"/>
  <c r="M204" i="58411" s="1"/>
  <c r="H192" i="58411"/>
  <c r="H208" i="58411" s="1"/>
  <c r="H191" i="58411"/>
  <c r="H207" i="58411" s="1"/>
  <c r="H190" i="58411"/>
  <c r="H189" i="58411"/>
  <c r="H205" i="58411" s="1"/>
  <c r="H188" i="58411"/>
  <c r="H204" i="58411" s="1"/>
  <c r="A191" i="58411"/>
  <c r="A190" i="58411"/>
  <c r="A189" i="58411"/>
  <c r="A188" i="58411"/>
  <c r="A187" i="58411"/>
  <c r="A186" i="58411"/>
  <c r="AC191" i="58411"/>
  <c r="AD191" i="58411" s="1"/>
  <c r="AD190" i="58411"/>
  <c r="AC190" i="58411"/>
  <c r="AD189" i="58411"/>
  <c r="AE189" i="58411" s="1"/>
  <c r="AC189" i="58411"/>
  <c r="R186" i="58411"/>
  <c r="M186" i="58411"/>
  <c r="M202" i="58411" s="1"/>
  <c r="H186" i="58411"/>
  <c r="W184" i="58411"/>
  <c r="W200" i="58411" s="1"/>
  <c r="W183" i="58411"/>
  <c r="R184" i="58411"/>
  <c r="R200" i="58411" s="1"/>
  <c r="R183" i="58411"/>
  <c r="R196" i="58411" s="1"/>
  <c r="M184" i="58411"/>
  <c r="M183" i="58411"/>
  <c r="M199" i="58411" s="1"/>
  <c r="H184" i="58411"/>
  <c r="H183" i="58411"/>
  <c r="A184" i="58411"/>
  <c r="A183" i="58411"/>
  <c r="AG190" i="58411"/>
  <c r="AG188" i="58411"/>
  <c r="AH188" i="58411" s="1"/>
  <c r="AG186" i="58411"/>
  <c r="AG185" i="58411"/>
  <c r="AG184" i="58411"/>
  <c r="AH184" i="58411" s="1"/>
  <c r="AF183" i="58411"/>
  <c r="AD188" i="58411"/>
  <c r="AC188" i="58411"/>
  <c r="AC187" i="58411"/>
  <c r="AD187" i="58411" s="1"/>
  <c r="AD186" i="58411"/>
  <c r="AC186" i="58411"/>
  <c r="AD184" i="58411"/>
  <c r="AC184" i="58411"/>
  <c r="AC183" i="58411"/>
  <c r="AD183" i="58411" s="1"/>
  <c r="AB180" i="58411"/>
  <c r="AA180" i="58411"/>
  <c r="Z180" i="58411"/>
  <c r="Y180" i="58411"/>
  <c r="X180" i="58411"/>
  <c r="V180" i="58411"/>
  <c r="U180" i="58411"/>
  <c r="T180" i="58411"/>
  <c r="S180" i="58411"/>
  <c r="Q180" i="58411"/>
  <c r="P180" i="58411"/>
  <c r="O180" i="58411"/>
  <c r="N180" i="58411"/>
  <c r="L180" i="58411"/>
  <c r="K180" i="58411"/>
  <c r="J180" i="58411"/>
  <c r="I180" i="58411"/>
  <c r="G180" i="58411"/>
  <c r="F180" i="58411"/>
  <c r="E180" i="58411"/>
  <c r="D180" i="58411"/>
  <c r="C180" i="58411"/>
  <c r="B180" i="58411"/>
  <c r="AD179" i="58411"/>
  <c r="AC179" i="58411"/>
  <c r="AB179" i="58411"/>
  <c r="W179" i="58411"/>
  <c r="R179" i="58411"/>
  <c r="M179" i="58411"/>
  <c r="H179" i="58411"/>
  <c r="A179" i="58411"/>
  <c r="AD178" i="58411"/>
  <c r="AC178" i="58411"/>
  <c r="AD177" i="58411"/>
  <c r="AC177" i="58411"/>
  <c r="AD176" i="58411"/>
  <c r="AC176" i="58411"/>
  <c r="AB176" i="58411"/>
  <c r="AB175" i="58411"/>
  <c r="AB174" i="58411"/>
  <c r="AB173" i="58411"/>
  <c r="AB172" i="58411"/>
  <c r="AB171" i="58411"/>
  <c r="AB170" i="58411"/>
  <c r="AB169" i="58411"/>
  <c r="AB168" i="58411"/>
  <c r="AB167" i="58411"/>
  <c r="W176" i="58411"/>
  <c r="W175" i="58411"/>
  <c r="W174" i="58411"/>
  <c r="W173" i="58411"/>
  <c r="W172" i="58411"/>
  <c r="W171" i="58411"/>
  <c r="W170" i="58411"/>
  <c r="R176" i="58411"/>
  <c r="R175" i="58411"/>
  <c r="R174" i="58411"/>
  <c r="R173" i="58411"/>
  <c r="R172" i="58411"/>
  <c r="R204" i="58411" s="1"/>
  <c r="M176" i="58411"/>
  <c r="M175" i="58411"/>
  <c r="M174" i="58411"/>
  <c r="M173" i="58411"/>
  <c r="M172" i="58411"/>
  <c r="H176" i="58411"/>
  <c r="H175" i="58411"/>
  <c r="H174" i="58411"/>
  <c r="H173" i="58411"/>
  <c r="H172" i="58411"/>
  <c r="AC175" i="58411"/>
  <c r="AD175" i="58411" s="1"/>
  <c r="A175" i="58411"/>
  <c r="A174" i="58411"/>
  <c r="A173" i="58411"/>
  <c r="A172" i="58411"/>
  <c r="A171" i="58411"/>
  <c r="A170" i="58411"/>
  <c r="AC174" i="58411"/>
  <c r="AC173" i="58411"/>
  <c r="AD173" i="58411" s="1"/>
  <c r="AC172" i="58411"/>
  <c r="AC171" i="58411"/>
  <c r="AC170" i="58411"/>
  <c r="AC169" i="58411"/>
  <c r="AC168" i="58411"/>
  <c r="AC167" i="58411"/>
  <c r="AD172" i="58411"/>
  <c r="AD171" i="58411"/>
  <c r="R170" i="58411"/>
  <c r="M170" i="58411"/>
  <c r="M180" i="58411" s="1"/>
  <c r="H170" i="58411"/>
  <c r="H180" i="58411" s="1"/>
  <c r="AD168" i="58411"/>
  <c r="AD167" i="58411"/>
  <c r="W168" i="58411"/>
  <c r="W167" i="58411"/>
  <c r="W180" i="58411" s="1"/>
  <c r="R168" i="58411"/>
  <c r="R167" i="58411"/>
  <c r="R180" i="58411" s="1"/>
  <c r="M168" i="58411"/>
  <c r="M167" i="58411"/>
  <c r="H168" i="58411"/>
  <c r="H167" i="58411"/>
  <c r="A168" i="58411"/>
  <c r="A167" i="58411"/>
  <c r="AG175" i="58411"/>
  <c r="AH175" i="58411" s="1"/>
  <c r="AI175" i="58411" s="1"/>
  <c r="AJ175" i="58411" s="1"/>
  <c r="AK175" i="58411" s="1"/>
  <c r="AL175" i="58411" s="1"/>
  <c r="AM175" i="58411" s="1"/>
  <c r="AN175" i="58411" s="1"/>
  <c r="AG174" i="58411"/>
  <c r="AH174" i="58411" s="1"/>
  <c r="AI174" i="58411" s="1"/>
  <c r="AJ174" i="58411" s="1"/>
  <c r="AK174" i="58411" s="1"/>
  <c r="AL174" i="58411" s="1"/>
  <c r="AM174" i="58411" s="1"/>
  <c r="AN174" i="58411" s="1"/>
  <c r="AG173" i="58411"/>
  <c r="AH173" i="58411" s="1"/>
  <c r="AI173" i="58411" s="1"/>
  <c r="AJ173" i="58411" s="1"/>
  <c r="AK173" i="58411" s="1"/>
  <c r="AL173" i="58411" s="1"/>
  <c r="AM173" i="58411" s="1"/>
  <c r="AN173" i="58411" s="1"/>
  <c r="AF173" i="58411"/>
  <c r="AH172" i="58411"/>
  <c r="AI172" i="58411" s="1"/>
  <c r="AJ172" i="58411" s="1"/>
  <c r="AK172" i="58411" s="1"/>
  <c r="AL172" i="58411" s="1"/>
  <c r="AM172" i="58411" s="1"/>
  <c r="AN172" i="58411" s="1"/>
  <c r="AG172" i="58411"/>
  <c r="AG171" i="58411"/>
  <c r="AH171" i="58411" s="1"/>
  <c r="AI171" i="58411" s="1"/>
  <c r="AJ171" i="58411" s="1"/>
  <c r="AK171" i="58411" s="1"/>
  <c r="AL171" i="58411" s="1"/>
  <c r="AM171" i="58411" s="1"/>
  <c r="AN171" i="58411" s="1"/>
  <c r="AG170" i="58411"/>
  <c r="AH170" i="58411" s="1"/>
  <c r="AI170" i="58411" s="1"/>
  <c r="AJ170" i="58411" s="1"/>
  <c r="AK170" i="58411" s="1"/>
  <c r="AL170" i="58411" s="1"/>
  <c r="AM170" i="58411" s="1"/>
  <c r="AN170" i="58411" s="1"/>
  <c r="AG168" i="58411"/>
  <c r="AH168" i="58411" s="1"/>
  <c r="AI168" i="58411" s="1"/>
  <c r="AJ168" i="58411" s="1"/>
  <c r="AK168" i="58411" s="1"/>
  <c r="AL168" i="58411" s="1"/>
  <c r="AM168" i="58411" s="1"/>
  <c r="AN168" i="58411" s="1"/>
  <c r="AG167" i="58411"/>
  <c r="AE164" i="58411"/>
  <c r="AA164" i="58411"/>
  <c r="Z164" i="58411"/>
  <c r="Y164" i="58411"/>
  <c r="U164" i="58411"/>
  <c r="T164" i="58411"/>
  <c r="S164" i="58411"/>
  <c r="Q164" i="58411"/>
  <c r="P164" i="58411"/>
  <c r="O164" i="58411"/>
  <c r="N164" i="58411"/>
  <c r="L164" i="58411"/>
  <c r="K164" i="58411"/>
  <c r="J164" i="58411"/>
  <c r="I164" i="58411"/>
  <c r="G164" i="58411"/>
  <c r="F164" i="58411"/>
  <c r="E164" i="58411"/>
  <c r="D164" i="58411"/>
  <c r="C164" i="58411"/>
  <c r="B164" i="58411"/>
  <c r="AC163" i="58411"/>
  <c r="AD163" i="58411" s="1"/>
  <c r="AB163" i="58411"/>
  <c r="V163" i="58411"/>
  <c r="V376" i="58411" s="1"/>
  <c r="R163" i="58411"/>
  <c r="M163" i="58411"/>
  <c r="H163" i="58411"/>
  <c r="AB160" i="58411"/>
  <c r="AB159" i="58411"/>
  <c r="AB158" i="58411"/>
  <c r="AB206" i="58411" s="1"/>
  <c r="AB157" i="58411"/>
  <c r="AB156" i="58411"/>
  <c r="AB155" i="58411"/>
  <c r="AB154" i="58411"/>
  <c r="AB164" i="58411" s="1"/>
  <c r="AB153" i="58411"/>
  <c r="AB152" i="58411"/>
  <c r="AB151" i="58411"/>
  <c r="R160" i="58411"/>
  <c r="R159" i="58411"/>
  <c r="R158" i="58411"/>
  <c r="R157" i="58411"/>
  <c r="R156" i="58411"/>
  <c r="M160" i="58411"/>
  <c r="M159" i="58411"/>
  <c r="M158" i="58411"/>
  <c r="M157" i="58411"/>
  <c r="M156" i="58411"/>
  <c r="H160" i="58411"/>
  <c r="H159" i="58411"/>
  <c r="H158" i="58411"/>
  <c r="H206" i="58411" s="1"/>
  <c r="H157" i="58411"/>
  <c r="H156" i="58411"/>
  <c r="AC162" i="58411"/>
  <c r="AD162" i="58411" s="1"/>
  <c r="AD161" i="58411"/>
  <c r="AC161" i="58411"/>
  <c r="AC160" i="58411"/>
  <c r="AD160" i="58411" s="1"/>
  <c r="AD159" i="58411"/>
  <c r="AC159" i="58411"/>
  <c r="AC158" i="58411"/>
  <c r="AD158" i="58411" s="1"/>
  <c r="AD157" i="58411"/>
  <c r="AC157" i="58411"/>
  <c r="AC156" i="58411"/>
  <c r="AD156" i="58411" s="1"/>
  <c r="AD155" i="58411"/>
  <c r="AC155" i="58411"/>
  <c r="V160" i="58411"/>
  <c r="W159" i="58411"/>
  <c r="V159" i="58411"/>
  <c r="V207" i="58411" s="1"/>
  <c r="V158" i="58411"/>
  <c r="W157" i="58411"/>
  <c r="V157" i="58411"/>
  <c r="V370" i="58411" s="1"/>
  <c r="V156" i="58411"/>
  <c r="AC154" i="58411"/>
  <c r="AC153" i="58411"/>
  <c r="AC152" i="58411"/>
  <c r="AC151" i="58411"/>
  <c r="W154" i="58411"/>
  <c r="R154" i="58411"/>
  <c r="M154" i="58411"/>
  <c r="H154" i="58411"/>
  <c r="AD152" i="58411"/>
  <c r="AD151" i="58411"/>
  <c r="R152" i="58411"/>
  <c r="R151" i="58411"/>
  <c r="M152" i="58411"/>
  <c r="M151" i="58411"/>
  <c r="H152" i="58411"/>
  <c r="H151" i="58411"/>
  <c r="AJ163" i="58411"/>
  <c r="AK163" i="58411" s="1"/>
  <c r="AL163" i="58411" s="1"/>
  <c r="AM163" i="58411" s="1"/>
  <c r="AN163" i="58411" s="1"/>
  <c r="AF163" i="58411"/>
  <c r="AG163" i="58411" s="1"/>
  <c r="AH163" i="58411" s="1"/>
  <c r="AI163" i="58411" s="1"/>
  <c r="AG162" i="58411"/>
  <c r="AH162" i="58411" s="1"/>
  <c r="AI162" i="58411" s="1"/>
  <c r="AJ162" i="58411" s="1"/>
  <c r="AK162" i="58411" s="1"/>
  <c r="AL162" i="58411" s="1"/>
  <c r="AM162" i="58411" s="1"/>
  <c r="AN162" i="58411" s="1"/>
  <c r="AF162" i="58411"/>
  <c r="AL161" i="58411"/>
  <c r="AM161" i="58411" s="1"/>
  <c r="AN161" i="58411" s="1"/>
  <c r="AH161" i="58411"/>
  <c r="AI161" i="58411" s="1"/>
  <c r="AJ161" i="58411" s="1"/>
  <c r="AK161" i="58411" s="1"/>
  <c r="AG161" i="58411"/>
  <c r="AF161" i="58411"/>
  <c r="AF160" i="58411"/>
  <c r="AG160" i="58411" s="1"/>
  <c r="AH160" i="58411" s="1"/>
  <c r="AI160" i="58411" s="1"/>
  <c r="AJ160" i="58411" s="1"/>
  <c r="AK160" i="58411" s="1"/>
  <c r="AL160" i="58411" s="1"/>
  <c r="AM160" i="58411" s="1"/>
  <c r="AN160" i="58411" s="1"/>
  <c r="AN159" i="58411"/>
  <c r="AJ159" i="58411"/>
  <c r="AK159" i="58411" s="1"/>
  <c r="AL159" i="58411" s="1"/>
  <c r="AM159" i="58411" s="1"/>
  <c r="AF159" i="58411"/>
  <c r="AG159" i="58411" s="1"/>
  <c r="AH159" i="58411" s="1"/>
  <c r="AI159" i="58411" s="1"/>
  <c r="AG158" i="58411"/>
  <c r="AH158" i="58411" s="1"/>
  <c r="AI158" i="58411" s="1"/>
  <c r="AJ158" i="58411" s="1"/>
  <c r="AK158" i="58411" s="1"/>
  <c r="AL158" i="58411" s="1"/>
  <c r="AM158" i="58411" s="1"/>
  <c r="AN158" i="58411" s="1"/>
  <c r="AF158" i="58411"/>
  <c r="AH157" i="58411"/>
  <c r="AI157" i="58411" s="1"/>
  <c r="AJ157" i="58411" s="1"/>
  <c r="AK157" i="58411" s="1"/>
  <c r="AL157" i="58411" s="1"/>
  <c r="AM157" i="58411" s="1"/>
  <c r="AN157" i="58411" s="1"/>
  <c r="AG157" i="58411"/>
  <c r="AF157" i="58411"/>
  <c r="AF156" i="58411"/>
  <c r="AG156" i="58411" s="1"/>
  <c r="AH156" i="58411" s="1"/>
  <c r="AI156" i="58411" s="1"/>
  <c r="AJ156" i="58411" s="1"/>
  <c r="AK156" i="58411" s="1"/>
  <c r="AL156" i="58411" s="1"/>
  <c r="AM156" i="58411" s="1"/>
  <c r="AN156" i="58411" s="1"/>
  <c r="AF155" i="58411"/>
  <c r="AG155" i="58411" s="1"/>
  <c r="AH155" i="58411" s="1"/>
  <c r="AI155" i="58411" s="1"/>
  <c r="AJ155" i="58411" s="1"/>
  <c r="AK155" i="58411" s="1"/>
  <c r="AL155" i="58411" s="1"/>
  <c r="AM155" i="58411" s="1"/>
  <c r="AN155" i="58411" s="1"/>
  <c r="AG154" i="58411"/>
  <c r="AH154" i="58411" s="1"/>
  <c r="AI154" i="58411" s="1"/>
  <c r="AJ154" i="58411" s="1"/>
  <c r="AK154" i="58411" s="1"/>
  <c r="AL154" i="58411" s="1"/>
  <c r="AM154" i="58411" s="1"/>
  <c r="AN154" i="58411" s="1"/>
  <c r="AH153" i="58411"/>
  <c r="AI153" i="58411" s="1"/>
  <c r="AJ153" i="58411" s="1"/>
  <c r="AK153" i="58411" s="1"/>
  <c r="AL153" i="58411" s="1"/>
  <c r="AM153" i="58411" s="1"/>
  <c r="AN153" i="58411" s="1"/>
  <c r="AG153" i="58411"/>
  <c r="AF153" i="58411"/>
  <c r="AI152" i="58411"/>
  <c r="AJ152" i="58411" s="1"/>
  <c r="AK152" i="58411" s="1"/>
  <c r="AL152" i="58411" s="1"/>
  <c r="AM152" i="58411" s="1"/>
  <c r="AN152" i="58411" s="1"/>
  <c r="AF152" i="58411"/>
  <c r="AG152" i="58411" s="1"/>
  <c r="AH152" i="58411" s="1"/>
  <c r="AG151" i="58411"/>
  <c r="AF164" i="58411"/>
  <c r="W152" i="58411"/>
  <c r="V152" i="58411"/>
  <c r="V200" i="58411" s="1"/>
  <c r="W151" i="58411"/>
  <c r="V151" i="58411"/>
  <c r="AN148" i="58411"/>
  <c r="AM148" i="58411"/>
  <c r="AL148" i="58411"/>
  <c r="AK148" i="58411"/>
  <c r="AJ148" i="58411"/>
  <c r="AI148" i="58411"/>
  <c r="AH148" i="58411"/>
  <c r="AG148" i="58411"/>
  <c r="AF148" i="58411"/>
  <c r="AE148" i="58411"/>
  <c r="AD148" i="58411"/>
  <c r="AC148" i="58411"/>
  <c r="AB148" i="58411"/>
  <c r="AA148" i="58411"/>
  <c r="Z148" i="58411"/>
  <c r="Y148" i="58411"/>
  <c r="X148" i="58411"/>
  <c r="W148" i="58411"/>
  <c r="V148" i="58411"/>
  <c r="U148" i="58411"/>
  <c r="T148" i="58411"/>
  <c r="S148" i="58411"/>
  <c r="R148" i="58411"/>
  <c r="Q148" i="58411"/>
  <c r="P148" i="58411"/>
  <c r="O148" i="58411"/>
  <c r="N148" i="58411"/>
  <c r="M148" i="58411"/>
  <c r="L148" i="58411"/>
  <c r="K148" i="58411"/>
  <c r="J148" i="58411"/>
  <c r="I148" i="58411"/>
  <c r="H148" i="58411"/>
  <c r="G148" i="58411"/>
  <c r="F148" i="58411"/>
  <c r="E148" i="58411"/>
  <c r="D148" i="58411"/>
  <c r="C148" i="58411"/>
  <c r="B148" i="58411"/>
  <c r="AC143" i="58411"/>
  <c r="AC144" i="58411" s="1"/>
  <c r="AC145" i="58411" s="1"/>
  <c r="AE142" i="58411"/>
  <c r="AF142" i="58411" s="1"/>
  <c r="AG142" i="58411" s="1"/>
  <c r="AH142" i="58411" s="1"/>
  <c r="AI142" i="58411" s="1"/>
  <c r="AJ142" i="58411" s="1"/>
  <c r="AK142" i="58411" s="1"/>
  <c r="AL142" i="58411" s="1"/>
  <c r="AM142" i="58411" s="1"/>
  <c r="AN142" i="58411" s="1"/>
  <c r="AD142" i="58411"/>
  <c r="AD141" i="58411"/>
  <c r="AE141" i="58411" s="1"/>
  <c r="AF141" i="58411" s="1"/>
  <c r="AG141" i="58411" s="1"/>
  <c r="AH141" i="58411" s="1"/>
  <c r="AI141" i="58411" s="1"/>
  <c r="AJ141" i="58411" s="1"/>
  <c r="AK141" i="58411" s="1"/>
  <c r="AL141" i="58411" s="1"/>
  <c r="AM141" i="58411" s="1"/>
  <c r="AN141" i="58411" s="1"/>
  <c r="AA140" i="58411"/>
  <c r="Z140" i="58411"/>
  <c r="Y140" i="58411"/>
  <c r="X140" i="58411"/>
  <c r="V140" i="58411"/>
  <c r="U140" i="58411"/>
  <c r="T140" i="58411"/>
  <c r="S140" i="58411"/>
  <c r="Q140" i="58411"/>
  <c r="P140" i="58411"/>
  <c r="O140" i="58411"/>
  <c r="N140" i="58411"/>
  <c r="M140" i="58411"/>
  <c r="L140" i="58411"/>
  <c r="K140" i="58411"/>
  <c r="J140" i="58411"/>
  <c r="I140" i="58411"/>
  <c r="G140" i="58411"/>
  <c r="F140" i="58411"/>
  <c r="E140" i="58411"/>
  <c r="D140" i="58411"/>
  <c r="C140" i="58411"/>
  <c r="B140" i="58411"/>
  <c r="A140" i="58411"/>
  <c r="A137" i="58411"/>
  <c r="A136" i="58411"/>
  <c r="A135" i="58411"/>
  <c r="A134" i="58411"/>
  <c r="A133" i="58411"/>
  <c r="A132" i="58411"/>
  <c r="A131" i="58411"/>
  <c r="AA137" i="58411"/>
  <c r="Z137" i="58411"/>
  <c r="Y137" i="58411"/>
  <c r="X137" i="58411"/>
  <c r="V137" i="58411"/>
  <c r="U137" i="58411"/>
  <c r="T137" i="58411"/>
  <c r="S137" i="58411"/>
  <c r="Q137" i="58411"/>
  <c r="P137" i="58411"/>
  <c r="O137" i="58411"/>
  <c r="N137" i="58411"/>
  <c r="L137" i="58411"/>
  <c r="K137" i="58411"/>
  <c r="J137" i="58411"/>
  <c r="I137" i="58411"/>
  <c r="G137" i="58411"/>
  <c r="F137" i="58411"/>
  <c r="E137" i="58411"/>
  <c r="D137" i="58411"/>
  <c r="C137" i="58411"/>
  <c r="B137" i="58411"/>
  <c r="AA136" i="58411"/>
  <c r="Z136" i="58411"/>
  <c r="Y136" i="58411"/>
  <c r="X136" i="58411"/>
  <c r="V136" i="58411"/>
  <c r="U136" i="58411"/>
  <c r="T136" i="58411"/>
  <c r="S136" i="58411"/>
  <c r="Q136" i="58411"/>
  <c r="Q143" i="58411" s="1"/>
  <c r="P136" i="58411"/>
  <c r="O136" i="58411"/>
  <c r="N136" i="58411"/>
  <c r="M136" i="58411"/>
  <c r="L136" i="58411"/>
  <c r="K136" i="58411"/>
  <c r="J136" i="58411"/>
  <c r="I136" i="58411"/>
  <c r="I143" i="58411" s="1"/>
  <c r="G136" i="58411"/>
  <c r="F136" i="58411"/>
  <c r="E136" i="58411"/>
  <c r="E143" i="58411" s="1"/>
  <c r="D136" i="58411"/>
  <c r="C136" i="58411"/>
  <c r="B136" i="58411"/>
  <c r="AA135" i="58411"/>
  <c r="Z135" i="58411"/>
  <c r="Y135" i="58411"/>
  <c r="X135" i="58411"/>
  <c r="V135" i="58411"/>
  <c r="U135" i="58411"/>
  <c r="T135" i="58411"/>
  <c r="S135" i="58411"/>
  <c r="Q135" i="58411"/>
  <c r="P135" i="58411"/>
  <c r="O135" i="58411"/>
  <c r="N135" i="58411"/>
  <c r="L135" i="58411"/>
  <c r="K135" i="58411"/>
  <c r="J135" i="58411"/>
  <c r="I135" i="58411"/>
  <c r="G135" i="58411"/>
  <c r="F135" i="58411"/>
  <c r="E135" i="58411"/>
  <c r="D135" i="58411"/>
  <c r="C135" i="58411"/>
  <c r="B135" i="58411"/>
  <c r="AA134" i="58411"/>
  <c r="Z134" i="58411"/>
  <c r="Y134" i="58411"/>
  <c r="X134" i="58411"/>
  <c r="V134" i="58411"/>
  <c r="U134" i="58411"/>
  <c r="T134" i="58411"/>
  <c r="S134" i="58411"/>
  <c r="Q134" i="58411"/>
  <c r="P134" i="58411"/>
  <c r="O134" i="58411"/>
  <c r="N134" i="58411"/>
  <c r="L134" i="58411"/>
  <c r="K134" i="58411"/>
  <c r="J134" i="58411"/>
  <c r="I134" i="58411"/>
  <c r="G134" i="58411"/>
  <c r="F134" i="58411"/>
  <c r="E134" i="58411"/>
  <c r="D134" i="58411"/>
  <c r="C134" i="58411"/>
  <c r="B134" i="58411"/>
  <c r="AA133" i="58411"/>
  <c r="Z133" i="58411"/>
  <c r="Y133" i="58411"/>
  <c r="X133" i="58411"/>
  <c r="V133" i="58411"/>
  <c r="U133" i="58411"/>
  <c r="T133" i="58411"/>
  <c r="S133" i="58411"/>
  <c r="Q133" i="58411"/>
  <c r="P133" i="58411"/>
  <c r="O133" i="58411"/>
  <c r="N133" i="58411"/>
  <c r="L133" i="58411"/>
  <c r="K133" i="58411"/>
  <c r="J133" i="58411"/>
  <c r="I133" i="58411"/>
  <c r="G133" i="58411"/>
  <c r="F133" i="58411"/>
  <c r="E133" i="58411"/>
  <c r="D133" i="58411"/>
  <c r="C133" i="58411"/>
  <c r="B133" i="58411"/>
  <c r="AA132" i="58411"/>
  <c r="Z132" i="58411"/>
  <c r="Y132" i="58411"/>
  <c r="Y143" i="58411" s="1"/>
  <c r="X132" i="58411"/>
  <c r="V132" i="58411"/>
  <c r="U132" i="58411"/>
  <c r="U143" i="58411" s="1"/>
  <c r="U144" i="58411" s="1"/>
  <c r="U145" i="58411" s="1"/>
  <c r="T132" i="58411"/>
  <c r="S132" i="58411"/>
  <c r="AA131" i="58411"/>
  <c r="Z131" i="58411"/>
  <c r="Y131" i="58411"/>
  <c r="X131" i="58411"/>
  <c r="V131" i="58411"/>
  <c r="U131" i="58411"/>
  <c r="T131" i="58411"/>
  <c r="S131" i="58411"/>
  <c r="Q131" i="58411"/>
  <c r="P131" i="58411"/>
  <c r="O131" i="58411"/>
  <c r="N131" i="58411"/>
  <c r="L131" i="58411"/>
  <c r="K131" i="58411"/>
  <c r="J131" i="58411"/>
  <c r="I131" i="58411"/>
  <c r="G131" i="58411"/>
  <c r="F131" i="58411"/>
  <c r="E131" i="58411"/>
  <c r="D131" i="58411"/>
  <c r="C131" i="58411"/>
  <c r="B131" i="58411"/>
  <c r="AD130" i="58411"/>
  <c r="AD143" i="58411" s="1"/>
  <c r="AD144" i="58411" s="1"/>
  <c r="AD145" i="58411" s="1"/>
  <c r="AB130" i="58411"/>
  <c r="AE140" i="58411"/>
  <c r="AE136" i="58411"/>
  <c r="AE135" i="58411"/>
  <c r="AE134" i="58411"/>
  <c r="AF133" i="58411"/>
  <c r="AE133" i="58411"/>
  <c r="AE131" i="58411"/>
  <c r="AE128" i="58411"/>
  <c r="AA129" i="58411"/>
  <c r="Z129" i="58411"/>
  <c r="Y129" i="58411"/>
  <c r="X129" i="58411"/>
  <c r="X143" i="58411" s="1"/>
  <c r="V129" i="58411"/>
  <c r="U129" i="58411"/>
  <c r="T129" i="58411"/>
  <c r="T143" i="58411" s="1"/>
  <c r="S129" i="58411"/>
  <c r="Q129" i="58411"/>
  <c r="P129" i="58411"/>
  <c r="P143" i="58411" s="1"/>
  <c r="P144" i="58411" s="1"/>
  <c r="P145" i="58411" s="1"/>
  <c r="O129" i="58411"/>
  <c r="N129" i="58411"/>
  <c r="L129" i="58411"/>
  <c r="L143" i="58411" s="1"/>
  <c r="L144" i="58411" s="1"/>
  <c r="L145" i="58411" s="1"/>
  <c r="K129" i="58411"/>
  <c r="J129" i="58411"/>
  <c r="I129" i="58411"/>
  <c r="G129" i="58411"/>
  <c r="F129" i="58411"/>
  <c r="E129" i="58411"/>
  <c r="D129" i="58411"/>
  <c r="D143" i="58411" s="1"/>
  <c r="C129" i="58411"/>
  <c r="B129" i="58411"/>
  <c r="A129" i="58411"/>
  <c r="AA128" i="58411"/>
  <c r="AA143" i="58411" s="1"/>
  <c r="Z128" i="58411"/>
  <c r="Z143" i="58411" s="1"/>
  <c r="Y128" i="58411"/>
  <c r="X128" i="58411"/>
  <c r="V128" i="58411"/>
  <c r="V143" i="58411" s="1"/>
  <c r="V144" i="58411" s="1"/>
  <c r="V145" i="58411" s="1"/>
  <c r="U128" i="58411"/>
  <c r="T128" i="58411"/>
  <c r="S128" i="58411"/>
  <c r="S143" i="58411" s="1"/>
  <c r="Q128" i="58411"/>
  <c r="P128" i="58411"/>
  <c r="O128" i="58411"/>
  <c r="O143" i="58411" s="1"/>
  <c r="N128" i="58411"/>
  <c r="N143" i="58411" s="1"/>
  <c r="N144" i="58411" s="1"/>
  <c r="N145" i="58411" s="1"/>
  <c r="L128" i="58411"/>
  <c r="K128" i="58411"/>
  <c r="K143" i="58411" s="1"/>
  <c r="J128" i="58411"/>
  <c r="J143" i="58411" s="1"/>
  <c r="J144" i="58411" s="1"/>
  <c r="J145" i="58411" s="1"/>
  <c r="I128" i="58411"/>
  <c r="G128" i="58411"/>
  <c r="G143" i="58411" s="1"/>
  <c r="F128" i="58411"/>
  <c r="F143" i="58411" s="1"/>
  <c r="E128" i="58411"/>
  <c r="D128" i="58411"/>
  <c r="C128" i="58411"/>
  <c r="B128" i="58411"/>
  <c r="B143" i="58411" s="1"/>
  <c r="A128" i="58411"/>
  <c r="AA125" i="58411"/>
  <c r="Z125" i="58411"/>
  <c r="Y125" i="58411"/>
  <c r="X125" i="58411"/>
  <c r="V125" i="58411"/>
  <c r="U125" i="58411"/>
  <c r="T125" i="58411"/>
  <c r="S125" i="58411"/>
  <c r="Q125" i="58411"/>
  <c r="P125" i="58411"/>
  <c r="O125" i="58411"/>
  <c r="N125" i="58411"/>
  <c r="L125" i="58411"/>
  <c r="K125" i="58411"/>
  <c r="J125" i="58411"/>
  <c r="I125" i="58411"/>
  <c r="G125" i="58411"/>
  <c r="F125" i="58411"/>
  <c r="E125" i="58411"/>
  <c r="D125" i="58411"/>
  <c r="C125" i="58411"/>
  <c r="B125" i="58411"/>
  <c r="AD124" i="58411"/>
  <c r="AC124" i="58411"/>
  <c r="AB124" i="58411"/>
  <c r="AB140" i="58411" s="1"/>
  <c r="W124" i="58411"/>
  <c r="W140" i="58411" s="1"/>
  <c r="R124" i="58411"/>
  <c r="R140" i="58411" s="1"/>
  <c r="M124" i="58411"/>
  <c r="H124" i="58411"/>
  <c r="H140" i="58411" s="1"/>
  <c r="A124" i="58411"/>
  <c r="AD123" i="58411"/>
  <c r="AC123" i="58411"/>
  <c r="AC122" i="58411"/>
  <c r="AD122" i="58411" s="1"/>
  <c r="W121" i="58411"/>
  <c r="W137" i="58411" s="1"/>
  <c r="W120" i="58411"/>
  <c r="W136" i="58411" s="1"/>
  <c r="W119" i="58411"/>
  <c r="W135" i="58411" s="1"/>
  <c r="W118" i="58411"/>
  <c r="W134" i="58411" s="1"/>
  <c r="W117" i="58411"/>
  <c r="W133" i="58411" s="1"/>
  <c r="W116" i="58411"/>
  <c r="W132" i="58411" s="1"/>
  <c r="W115" i="58411"/>
  <c r="R121" i="58411"/>
  <c r="R137" i="58411" s="1"/>
  <c r="R120" i="58411"/>
  <c r="R136" i="58411" s="1"/>
  <c r="R119" i="58411"/>
  <c r="R135" i="58411" s="1"/>
  <c r="R118" i="58411"/>
  <c r="R134" i="58411" s="1"/>
  <c r="R117" i="58411"/>
  <c r="R133" i="58411" s="1"/>
  <c r="M121" i="58411"/>
  <c r="M137" i="58411" s="1"/>
  <c r="M120" i="58411"/>
  <c r="M119" i="58411"/>
  <c r="M135" i="58411" s="1"/>
  <c r="M118" i="58411"/>
  <c r="M134" i="58411" s="1"/>
  <c r="M117" i="58411"/>
  <c r="M133" i="58411" s="1"/>
  <c r="H121" i="58411"/>
  <c r="H137" i="58411" s="1"/>
  <c r="H120" i="58411"/>
  <c r="H136" i="58411" s="1"/>
  <c r="H119" i="58411"/>
  <c r="H135" i="58411" s="1"/>
  <c r="H118" i="58411"/>
  <c r="H134" i="58411" s="1"/>
  <c r="H117" i="58411"/>
  <c r="H133" i="58411" s="1"/>
  <c r="A120" i="58411"/>
  <c r="A119" i="58411"/>
  <c r="A118" i="58411"/>
  <c r="A117" i="58411"/>
  <c r="A116" i="58411"/>
  <c r="A115" i="58411"/>
  <c r="AD121" i="58411"/>
  <c r="AC121" i="58411"/>
  <c r="AB121" i="58411"/>
  <c r="AB137" i="58411" s="1"/>
  <c r="AD120" i="58411"/>
  <c r="AC120" i="58411"/>
  <c r="AB120" i="58411"/>
  <c r="AC119" i="58411"/>
  <c r="AD119" i="58411" s="1"/>
  <c r="AB119" i="58411"/>
  <c r="AC118" i="58411"/>
  <c r="AD118" i="58411" s="1"/>
  <c r="AB118" i="58411"/>
  <c r="AB134" i="58411" s="1"/>
  <c r="AD117" i="58411"/>
  <c r="AC117" i="58411"/>
  <c r="AB117" i="58411"/>
  <c r="AB133" i="58411" s="1"/>
  <c r="AD116" i="58411"/>
  <c r="AC116" i="58411"/>
  <c r="AB116" i="58411"/>
  <c r="AC115" i="58411"/>
  <c r="AD115" i="58411" s="1"/>
  <c r="AB115" i="58411"/>
  <c r="R115" i="58411"/>
  <c r="M115" i="58411"/>
  <c r="M131" i="58411" s="1"/>
  <c r="H115" i="58411"/>
  <c r="H131" i="58411" s="1"/>
  <c r="AB114" i="58411"/>
  <c r="AC114" i="58411" s="1"/>
  <c r="AD114" i="58411" s="1"/>
  <c r="AE114" i="58411" s="1"/>
  <c r="W113" i="58411"/>
  <c r="W125" i="58411" s="1"/>
  <c r="W112" i="58411"/>
  <c r="R113" i="58411"/>
  <c r="R112" i="58411"/>
  <c r="R128" i="58411" s="1"/>
  <c r="M113" i="58411"/>
  <c r="M129" i="58411" s="1"/>
  <c r="M112" i="58411"/>
  <c r="H113" i="58411"/>
  <c r="H129" i="58411" s="1"/>
  <c r="H112" i="58411"/>
  <c r="H128" i="58411" s="1"/>
  <c r="A113" i="58411"/>
  <c r="A112" i="58411"/>
  <c r="AF140" i="58411"/>
  <c r="AH121" i="58411"/>
  <c r="AG121" i="58411"/>
  <c r="AF136" i="58411"/>
  <c r="AG119" i="58411"/>
  <c r="AG118" i="58411"/>
  <c r="AH118" i="58411" s="1"/>
  <c r="AF134" i="58411"/>
  <c r="AG117" i="58411"/>
  <c r="AH117" i="58411" s="1"/>
  <c r="AF131" i="58411"/>
  <c r="AG113" i="58411"/>
  <c r="AH113" i="58411" s="1"/>
  <c r="AF128" i="58411"/>
  <c r="AD113" i="58411"/>
  <c r="AC113" i="58411"/>
  <c r="AB113" i="58411"/>
  <c r="AC112" i="58411"/>
  <c r="AD112" i="58411" s="1"/>
  <c r="AB112" i="58411"/>
  <c r="AB125" i="58411" s="1"/>
  <c r="AA109" i="58411"/>
  <c r="Z109" i="58411"/>
  <c r="Y109" i="58411"/>
  <c r="X109" i="58411"/>
  <c r="V109" i="58411"/>
  <c r="U109" i="58411"/>
  <c r="T109" i="58411"/>
  <c r="S109" i="58411"/>
  <c r="Q109" i="58411"/>
  <c r="P109" i="58411"/>
  <c r="O109" i="58411"/>
  <c r="N109" i="58411"/>
  <c r="L109" i="58411"/>
  <c r="K109" i="58411"/>
  <c r="J109" i="58411"/>
  <c r="I109" i="58411"/>
  <c r="G109" i="58411"/>
  <c r="F109" i="58411"/>
  <c r="E109" i="58411"/>
  <c r="D109" i="58411"/>
  <c r="C109" i="58411"/>
  <c r="B109" i="58411"/>
  <c r="AD108" i="58411"/>
  <c r="AC108" i="58411"/>
  <c r="AB108" i="58411"/>
  <c r="W108" i="58411"/>
  <c r="R108" i="58411"/>
  <c r="M108" i="58411"/>
  <c r="H108" i="58411"/>
  <c r="A108" i="58411"/>
  <c r="A107" i="58411"/>
  <c r="AD107" i="58411"/>
  <c r="AC107" i="58411"/>
  <c r="AC106" i="58411"/>
  <c r="AD106" i="58411" s="1"/>
  <c r="AC105" i="58411"/>
  <c r="AD105" i="58411" s="1"/>
  <c r="AB105" i="58411"/>
  <c r="AB104" i="58411"/>
  <c r="AB136" i="58411" s="1"/>
  <c r="AB103" i="58411"/>
  <c r="AB102" i="58411"/>
  <c r="AB101" i="58411"/>
  <c r="AB100" i="58411"/>
  <c r="AD100" i="58411" s="1"/>
  <c r="AE100" i="58411" s="1"/>
  <c r="AB99" i="58411"/>
  <c r="AB98" i="58411"/>
  <c r="AC98" i="58411" s="1"/>
  <c r="AB97" i="58411"/>
  <c r="AB129" i="58411" s="1"/>
  <c r="AB96" i="58411"/>
  <c r="AB109" i="58411" s="1"/>
  <c r="W105" i="58411"/>
  <c r="W104" i="58411"/>
  <c r="W103" i="58411"/>
  <c r="W102" i="58411"/>
  <c r="W101" i="58411"/>
  <c r="W100" i="58411"/>
  <c r="W99" i="58411"/>
  <c r="W131" i="58411" s="1"/>
  <c r="R105" i="58411"/>
  <c r="R104" i="58411"/>
  <c r="R103" i="58411"/>
  <c r="R102" i="58411"/>
  <c r="R109" i="58411" s="1"/>
  <c r="R101" i="58411"/>
  <c r="M105" i="58411"/>
  <c r="M104" i="58411"/>
  <c r="M103" i="58411"/>
  <c r="M102" i="58411"/>
  <c r="M101" i="58411"/>
  <c r="H105" i="58411"/>
  <c r="H104" i="58411"/>
  <c r="H103" i="58411"/>
  <c r="H102" i="58411"/>
  <c r="H101" i="58411"/>
  <c r="A104" i="58411"/>
  <c r="A103" i="58411"/>
  <c r="A102" i="58411"/>
  <c r="A101" i="58411"/>
  <c r="A100" i="58411"/>
  <c r="A99" i="58411"/>
  <c r="AC104" i="58411"/>
  <c r="AD104" i="58411" s="1"/>
  <c r="AD103" i="58411"/>
  <c r="AC103" i="58411"/>
  <c r="AC102" i="58411"/>
  <c r="AD102" i="58411" s="1"/>
  <c r="AD101" i="58411"/>
  <c r="AC101" i="58411"/>
  <c r="AC100" i="58411"/>
  <c r="AC99" i="58411"/>
  <c r="AC97" i="58411"/>
  <c r="AC96" i="58411"/>
  <c r="AD96" i="58411" s="1"/>
  <c r="R99" i="58411"/>
  <c r="R131" i="58411" s="1"/>
  <c r="M99" i="58411"/>
  <c r="H99" i="58411"/>
  <c r="W97" i="58411"/>
  <c r="W129" i="58411" s="1"/>
  <c r="W96" i="58411"/>
  <c r="W128" i="58411" s="1"/>
  <c r="R97" i="58411"/>
  <c r="R96" i="58411"/>
  <c r="M97" i="58411"/>
  <c r="M96" i="58411"/>
  <c r="M128" i="58411" s="1"/>
  <c r="H97" i="58411"/>
  <c r="H96" i="58411"/>
  <c r="H109" i="58411" s="1"/>
  <c r="A97" i="58411"/>
  <c r="A96" i="58411"/>
  <c r="AG108" i="58411"/>
  <c r="AH108" i="58411" s="1"/>
  <c r="AI108" i="58411" s="1"/>
  <c r="AJ108" i="58411" s="1"/>
  <c r="AK108" i="58411" s="1"/>
  <c r="AL108" i="58411" s="1"/>
  <c r="AM108" i="58411" s="1"/>
  <c r="AN108" i="58411" s="1"/>
  <c r="AG104" i="58411"/>
  <c r="AH104" i="58411" s="1"/>
  <c r="AI104" i="58411" s="1"/>
  <c r="AJ104" i="58411" s="1"/>
  <c r="AK104" i="58411" s="1"/>
  <c r="AL104" i="58411" s="1"/>
  <c r="AM104" i="58411" s="1"/>
  <c r="AN104" i="58411" s="1"/>
  <c r="AG103" i="58411"/>
  <c r="AH103" i="58411" s="1"/>
  <c r="AI103" i="58411" s="1"/>
  <c r="AJ103" i="58411" s="1"/>
  <c r="AK103" i="58411" s="1"/>
  <c r="AL103" i="58411" s="1"/>
  <c r="AM103" i="58411" s="1"/>
  <c r="AN103" i="58411" s="1"/>
  <c r="AG102" i="58411"/>
  <c r="AH102" i="58411" s="1"/>
  <c r="AI102" i="58411" s="1"/>
  <c r="AJ102" i="58411" s="1"/>
  <c r="AK102" i="58411" s="1"/>
  <c r="AL102" i="58411" s="1"/>
  <c r="AM102" i="58411" s="1"/>
  <c r="AN102" i="58411" s="1"/>
  <c r="AG101" i="58411"/>
  <c r="AH101" i="58411" s="1"/>
  <c r="AI101" i="58411" s="1"/>
  <c r="AJ101" i="58411" s="1"/>
  <c r="AK101" i="58411" s="1"/>
  <c r="AL101" i="58411" s="1"/>
  <c r="AM101" i="58411" s="1"/>
  <c r="AN101" i="58411" s="1"/>
  <c r="AG99" i="58411"/>
  <c r="AH99" i="58411" s="1"/>
  <c r="AI99" i="58411" s="1"/>
  <c r="AJ99" i="58411" s="1"/>
  <c r="AK99" i="58411" s="1"/>
  <c r="AL99" i="58411" s="1"/>
  <c r="AM99" i="58411" s="1"/>
  <c r="AN99" i="58411" s="1"/>
  <c r="AG96" i="58411"/>
  <c r="AH96" i="58411" s="1"/>
  <c r="AE93" i="58411"/>
  <c r="AA93" i="58411"/>
  <c r="Z93" i="58411"/>
  <c r="Y93" i="58411"/>
  <c r="X93" i="58411"/>
  <c r="V93" i="58411"/>
  <c r="U93" i="58411"/>
  <c r="T93" i="58411"/>
  <c r="S93" i="58411"/>
  <c r="Q93" i="58411"/>
  <c r="P93" i="58411"/>
  <c r="O93" i="58411"/>
  <c r="N93" i="58411"/>
  <c r="L93" i="58411"/>
  <c r="K93" i="58411"/>
  <c r="J93" i="58411"/>
  <c r="I93" i="58411"/>
  <c r="G93" i="58411"/>
  <c r="F93" i="58411"/>
  <c r="E93" i="58411"/>
  <c r="D93" i="58411"/>
  <c r="C93" i="58411"/>
  <c r="B93" i="58411"/>
  <c r="W92" i="58411"/>
  <c r="W91" i="58411"/>
  <c r="W90" i="58411"/>
  <c r="W89" i="58411"/>
  <c r="W88" i="58411"/>
  <c r="W87" i="58411"/>
  <c r="W86" i="58411"/>
  <c r="W85" i="58411"/>
  <c r="W84" i="58411"/>
  <c r="W83" i="58411"/>
  <c r="R92" i="58411"/>
  <c r="R91" i="58411"/>
  <c r="R90" i="58411"/>
  <c r="R89" i="58411"/>
  <c r="R88" i="58411"/>
  <c r="R87" i="58411"/>
  <c r="R86" i="58411"/>
  <c r="R85" i="58411"/>
  <c r="M92" i="58411"/>
  <c r="M91" i="58411"/>
  <c r="M90" i="58411"/>
  <c r="M89" i="58411"/>
  <c r="M88" i="58411"/>
  <c r="M87" i="58411"/>
  <c r="M86" i="58411"/>
  <c r="M85" i="58411"/>
  <c r="H92" i="58411"/>
  <c r="H91" i="58411"/>
  <c r="H90" i="58411"/>
  <c r="H89" i="58411"/>
  <c r="H88" i="58411"/>
  <c r="H87" i="58411"/>
  <c r="H86" i="58411"/>
  <c r="H85" i="58411"/>
  <c r="H93" i="58411" s="1"/>
  <c r="A92" i="58411"/>
  <c r="A91" i="58411"/>
  <c r="A233" i="58411" s="1"/>
  <c r="A90" i="58411"/>
  <c r="A374" i="58411" s="1"/>
  <c r="A88" i="58411"/>
  <c r="A87" i="58411"/>
  <c r="A86" i="58411"/>
  <c r="A85" i="58411"/>
  <c r="R83" i="58411"/>
  <c r="M83" i="58411"/>
  <c r="H83" i="58411"/>
  <c r="A83" i="58411"/>
  <c r="W81" i="58411"/>
  <c r="W80" i="58411"/>
  <c r="W93" i="58411" s="1"/>
  <c r="R81" i="58411"/>
  <c r="R129" i="58411" s="1"/>
  <c r="R80" i="58411"/>
  <c r="R93" i="58411" s="1"/>
  <c r="M81" i="58411"/>
  <c r="M80" i="58411"/>
  <c r="M93" i="58411" s="1"/>
  <c r="H81" i="58411"/>
  <c r="H80" i="58411"/>
  <c r="A81" i="58411"/>
  <c r="A80" i="58411"/>
  <c r="AH92" i="58411"/>
  <c r="AI92" i="58411" s="1"/>
  <c r="AJ92" i="58411" s="1"/>
  <c r="AK92" i="58411" s="1"/>
  <c r="AL92" i="58411" s="1"/>
  <c r="AM92" i="58411" s="1"/>
  <c r="AN92" i="58411" s="1"/>
  <c r="AG92" i="58411"/>
  <c r="AF92" i="58411"/>
  <c r="AF91" i="58411"/>
  <c r="AG91" i="58411" s="1"/>
  <c r="AH91" i="58411" s="1"/>
  <c r="AI91" i="58411" s="1"/>
  <c r="AJ91" i="58411" s="1"/>
  <c r="AK91" i="58411" s="1"/>
  <c r="AL91" i="58411" s="1"/>
  <c r="AM91" i="58411" s="1"/>
  <c r="AN91" i="58411" s="1"/>
  <c r="AF90" i="58411"/>
  <c r="AG90" i="58411" s="1"/>
  <c r="AH90" i="58411" s="1"/>
  <c r="AI90" i="58411" s="1"/>
  <c r="AJ90" i="58411" s="1"/>
  <c r="AK90" i="58411" s="1"/>
  <c r="AL90" i="58411" s="1"/>
  <c r="AM90" i="58411" s="1"/>
  <c r="AN90" i="58411" s="1"/>
  <c r="AG89" i="58411"/>
  <c r="AH89" i="58411" s="1"/>
  <c r="AI89" i="58411" s="1"/>
  <c r="AJ89" i="58411" s="1"/>
  <c r="AK89" i="58411" s="1"/>
  <c r="AL89" i="58411" s="1"/>
  <c r="AM89" i="58411" s="1"/>
  <c r="AN89" i="58411" s="1"/>
  <c r="AF89" i="58411"/>
  <c r="AH88" i="58411"/>
  <c r="AI88" i="58411" s="1"/>
  <c r="AJ88" i="58411" s="1"/>
  <c r="AK88" i="58411" s="1"/>
  <c r="AL88" i="58411" s="1"/>
  <c r="AM88" i="58411" s="1"/>
  <c r="AN88" i="58411" s="1"/>
  <c r="AG88" i="58411"/>
  <c r="AF88" i="58411"/>
  <c r="AF87" i="58411"/>
  <c r="AG87" i="58411" s="1"/>
  <c r="AH87" i="58411" s="1"/>
  <c r="AI87" i="58411" s="1"/>
  <c r="AJ87" i="58411" s="1"/>
  <c r="AK87" i="58411" s="1"/>
  <c r="AL87" i="58411" s="1"/>
  <c r="AM87" i="58411" s="1"/>
  <c r="AN87" i="58411" s="1"/>
  <c r="AF86" i="58411"/>
  <c r="AG86" i="58411" s="1"/>
  <c r="AH86" i="58411" s="1"/>
  <c r="AI86" i="58411" s="1"/>
  <c r="AJ86" i="58411" s="1"/>
  <c r="AK86" i="58411" s="1"/>
  <c r="AL86" i="58411" s="1"/>
  <c r="AM86" i="58411" s="1"/>
  <c r="AN86" i="58411" s="1"/>
  <c r="AG85" i="58411"/>
  <c r="AH85" i="58411" s="1"/>
  <c r="AI85" i="58411" s="1"/>
  <c r="AJ85" i="58411" s="1"/>
  <c r="AK85" i="58411" s="1"/>
  <c r="AL85" i="58411" s="1"/>
  <c r="AM85" i="58411" s="1"/>
  <c r="AN85" i="58411" s="1"/>
  <c r="AF85" i="58411"/>
  <c r="AH84" i="58411"/>
  <c r="AI84" i="58411" s="1"/>
  <c r="AJ84" i="58411" s="1"/>
  <c r="AK84" i="58411" s="1"/>
  <c r="AL84" i="58411" s="1"/>
  <c r="AM84" i="58411" s="1"/>
  <c r="AN84" i="58411" s="1"/>
  <c r="AG84" i="58411"/>
  <c r="AF84" i="58411"/>
  <c r="AI83" i="58411"/>
  <c r="AJ83" i="58411" s="1"/>
  <c r="AK83" i="58411" s="1"/>
  <c r="AL83" i="58411" s="1"/>
  <c r="AM83" i="58411" s="1"/>
  <c r="AN83" i="58411" s="1"/>
  <c r="AG83" i="58411"/>
  <c r="AH83" i="58411" s="1"/>
  <c r="AF82" i="58411"/>
  <c r="AG81" i="58411"/>
  <c r="AH81" i="58411" s="1"/>
  <c r="AI81" i="58411" s="1"/>
  <c r="AJ81" i="58411" s="1"/>
  <c r="AK81" i="58411" s="1"/>
  <c r="AL81" i="58411" s="1"/>
  <c r="AM81" i="58411" s="1"/>
  <c r="AN81" i="58411" s="1"/>
  <c r="AF81" i="58411"/>
  <c r="AH80" i="58411"/>
  <c r="AG80" i="58411"/>
  <c r="AF80" i="58411"/>
  <c r="AC92" i="58411"/>
  <c r="AB92" i="58411"/>
  <c r="AD92" i="58411" s="1"/>
  <c r="AC91" i="58411"/>
  <c r="AB91" i="58411"/>
  <c r="AD91" i="58411" s="1"/>
  <c r="AD90" i="58411"/>
  <c r="AC90" i="58411"/>
  <c r="AB90" i="58411"/>
  <c r="AD89" i="58411"/>
  <c r="AC89" i="58411"/>
  <c r="AB89" i="58411"/>
  <c r="AC88" i="58411"/>
  <c r="AB88" i="58411"/>
  <c r="AD88" i="58411" s="1"/>
  <c r="AC87" i="58411"/>
  <c r="AB87" i="58411"/>
  <c r="AD86" i="58411"/>
  <c r="AC86" i="58411"/>
  <c r="AB86" i="58411"/>
  <c r="AD85" i="58411"/>
  <c r="AC85" i="58411"/>
  <c r="AB85" i="58411"/>
  <c r="AC84" i="58411"/>
  <c r="AB84" i="58411"/>
  <c r="AD84" i="58411" s="1"/>
  <c r="AC83" i="58411"/>
  <c r="AB83" i="58411"/>
  <c r="AB82" i="58411"/>
  <c r="AC82" i="58411" s="1"/>
  <c r="AD81" i="58411"/>
  <c r="AC81" i="58411"/>
  <c r="AB81" i="58411"/>
  <c r="AC80" i="58411"/>
  <c r="AB80" i="58411"/>
  <c r="AD80" i="58411" s="1"/>
  <c r="AN77" i="58411"/>
  <c r="AM77" i="58411"/>
  <c r="AL77" i="58411"/>
  <c r="AK77" i="58411"/>
  <c r="AJ77" i="58411"/>
  <c r="AI77" i="58411"/>
  <c r="AH77" i="58411"/>
  <c r="AG77" i="58411"/>
  <c r="AF77" i="58411"/>
  <c r="AE77" i="58411"/>
  <c r="AD77" i="58411"/>
  <c r="AC77" i="58411"/>
  <c r="AB77" i="58411"/>
  <c r="AA77" i="58411"/>
  <c r="Z77" i="58411"/>
  <c r="Y77" i="58411"/>
  <c r="X77" i="58411"/>
  <c r="W77" i="58411"/>
  <c r="V77" i="58411"/>
  <c r="U77" i="58411"/>
  <c r="T77" i="58411"/>
  <c r="S77" i="58411"/>
  <c r="R77" i="58411"/>
  <c r="Q77" i="58411"/>
  <c r="P77" i="58411"/>
  <c r="O77" i="58411"/>
  <c r="N77" i="58411"/>
  <c r="M77" i="58411"/>
  <c r="L77" i="58411"/>
  <c r="K77" i="58411"/>
  <c r="J77" i="58411"/>
  <c r="I77" i="58411"/>
  <c r="H77" i="58411"/>
  <c r="G77" i="58411"/>
  <c r="F77" i="58411"/>
  <c r="E77" i="58411"/>
  <c r="D77" i="58411"/>
  <c r="C77" i="58411"/>
  <c r="B77" i="58411"/>
  <c r="AD72" i="58411"/>
  <c r="AC72" i="58411"/>
  <c r="V72" i="58411"/>
  <c r="J72" i="58411"/>
  <c r="F72" i="58411"/>
  <c r="AE70" i="58411"/>
  <c r="AG70" i="58411" s="1"/>
  <c r="AH70" i="58411" s="1"/>
  <c r="AI70" i="58411" s="1"/>
  <c r="AJ70" i="58411" s="1"/>
  <c r="AK70" i="58411" s="1"/>
  <c r="AL70" i="58411" s="1"/>
  <c r="AM70" i="58411" s="1"/>
  <c r="AN70" i="58411" s="1"/>
  <c r="AE69" i="58411"/>
  <c r="AE65" i="58411"/>
  <c r="AE64" i="58411"/>
  <c r="AE63" i="58411"/>
  <c r="AE62" i="58411"/>
  <c r="AE61" i="58411"/>
  <c r="AE60" i="58411"/>
  <c r="AE58" i="58411"/>
  <c r="AE57" i="58411"/>
  <c r="AG71" i="58411"/>
  <c r="AH71" i="58411" s="1"/>
  <c r="AI71" i="58411" s="1"/>
  <c r="AJ71" i="58411" s="1"/>
  <c r="AK71" i="58411" s="1"/>
  <c r="AL71" i="58411" s="1"/>
  <c r="AM71" i="58411" s="1"/>
  <c r="AN71" i="58411" s="1"/>
  <c r="AF69" i="58411"/>
  <c r="AA69" i="58411"/>
  <c r="Z69" i="58411"/>
  <c r="Y69" i="58411"/>
  <c r="X69" i="58411"/>
  <c r="V69" i="58411"/>
  <c r="U69" i="58411"/>
  <c r="T69" i="58411"/>
  <c r="S69" i="58411"/>
  <c r="Q69" i="58411"/>
  <c r="P69" i="58411"/>
  <c r="O69" i="58411"/>
  <c r="N69" i="58411"/>
  <c r="M69" i="58411"/>
  <c r="L69" i="58411"/>
  <c r="K69" i="58411"/>
  <c r="J69" i="58411"/>
  <c r="I69" i="58411"/>
  <c r="G69" i="58411"/>
  <c r="F69" i="58411"/>
  <c r="E69" i="58411"/>
  <c r="D69" i="58411"/>
  <c r="C69" i="58411"/>
  <c r="B69" i="58411"/>
  <c r="A69" i="58411"/>
  <c r="AA66" i="58411"/>
  <c r="Z66" i="58411"/>
  <c r="Y66" i="58411"/>
  <c r="X66" i="58411"/>
  <c r="V66" i="58411"/>
  <c r="U66" i="58411"/>
  <c r="T66" i="58411"/>
  <c r="S66" i="58411"/>
  <c r="Q66" i="58411"/>
  <c r="P66" i="58411"/>
  <c r="O66" i="58411"/>
  <c r="N66" i="58411"/>
  <c r="M66" i="58411"/>
  <c r="L66" i="58411"/>
  <c r="K66" i="58411"/>
  <c r="J66" i="58411"/>
  <c r="I66" i="58411"/>
  <c r="G66" i="58411"/>
  <c r="F66" i="58411"/>
  <c r="E66" i="58411"/>
  <c r="D66" i="58411"/>
  <c r="C66" i="58411"/>
  <c r="B66" i="58411"/>
  <c r="A66" i="58411"/>
  <c r="AA65" i="58411"/>
  <c r="Z65" i="58411"/>
  <c r="Y65" i="58411"/>
  <c r="X65" i="58411"/>
  <c r="V65" i="58411"/>
  <c r="U65" i="58411"/>
  <c r="T65" i="58411"/>
  <c r="S65" i="58411"/>
  <c r="Q65" i="58411"/>
  <c r="P65" i="58411"/>
  <c r="O65" i="58411"/>
  <c r="N65" i="58411"/>
  <c r="M65" i="58411"/>
  <c r="L65" i="58411"/>
  <c r="K65" i="58411"/>
  <c r="J65" i="58411"/>
  <c r="I65" i="58411"/>
  <c r="G65" i="58411"/>
  <c r="F65" i="58411"/>
  <c r="E65" i="58411"/>
  <c r="D65" i="58411"/>
  <c r="C65" i="58411"/>
  <c r="B65" i="58411"/>
  <c r="A65" i="58411"/>
  <c r="AA64" i="58411"/>
  <c r="Z64" i="58411"/>
  <c r="Y64" i="58411"/>
  <c r="X64" i="58411"/>
  <c r="V64" i="58411"/>
  <c r="U64" i="58411"/>
  <c r="S64" i="58411"/>
  <c r="Q64" i="58411"/>
  <c r="P64" i="58411"/>
  <c r="O64" i="58411"/>
  <c r="N64" i="58411"/>
  <c r="M64" i="58411"/>
  <c r="L64" i="58411"/>
  <c r="K64" i="58411"/>
  <c r="J64" i="58411"/>
  <c r="I64" i="58411"/>
  <c r="G64" i="58411"/>
  <c r="F64" i="58411"/>
  <c r="E64" i="58411"/>
  <c r="D64" i="58411"/>
  <c r="C64" i="58411"/>
  <c r="B64" i="58411"/>
  <c r="A64" i="58411"/>
  <c r="AA63" i="58411"/>
  <c r="Z63" i="58411"/>
  <c r="Y63" i="58411"/>
  <c r="X63" i="58411"/>
  <c r="V63" i="58411"/>
  <c r="U63" i="58411"/>
  <c r="T63" i="58411"/>
  <c r="S63" i="58411"/>
  <c r="Q63" i="58411"/>
  <c r="P63" i="58411"/>
  <c r="O63" i="58411"/>
  <c r="N63" i="58411"/>
  <c r="M63" i="58411"/>
  <c r="L63" i="58411"/>
  <c r="K63" i="58411"/>
  <c r="J63" i="58411"/>
  <c r="I63" i="58411"/>
  <c r="G63" i="58411"/>
  <c r="F63" i="58411"/>
  <c r="E63" i="58411"/>
  <c r="D63" i="58411"/>
  <c r="C63" i="58411"/>
  <c r="B63" i="58411"/>
  <c r="A63" i="58411"/>
  <c r="AA62" i="58411"/>
  <c r="Z62" i="58411"/>
  <c r="Y62" i="58411"/>
  <c r="X62" i="58411"/>
  <c r="V62" i="58411"/>
  <c r="U62" i="58411"/>
  <c r="T62" i="58411"/>
  <c r="S62" i="58411"/>
  <c r="Q62" i="58411"/>
  <c r="P62" i="58411"/>
  <c r="O62" i="58411"/>
  <c r="N62" i="58411"/>
  <c r="M62" i="58411"/>
  <c r="L62" i="58411"/>
  <c r="K62" i="58411"/>
  <c r="J62" i="58411"/>
  <c r="I62" i="58411"/>
  <c r="G62" i="58411"/>
  <c r="F62" i="58411"/>
  <c r="E62" i="58411"/>
  <c r="D62" i="58411"/>
  <c r="C62" i="58411"/>
  <c r="B62" i="58411"/>
  <c r="A62" i="58411"/>
  <c r="A61" i="58411"/>
  <c r="A60" i="58411"/>
  <c r="AA61" i="58411"/>
  <c r="Z61" i="58411"/>
  <c r="Y61" i="58411"/>
  <c r="X61" i="58411"/>
  <c r="V61" i="58411"/>
  <c r="U61" i="58411"/>
  <c r="T61" i="58411"/>
  <c r="S61" i="58411"/>
  <c r="Q61" i="58411"/>
  <c r="P61" i="58411"/>
  <c r="O61" i="58411"/>
  <c r="N61" i="58411"/>
  <c r="AA60" i="58411"/>
  <c r="Z60" i="58411"/>
  <c r="Z72" i="58411" s="1"/>
  <c r="Y60" i="58411"/>
  <c r="X60" i="58411"/>
  <c r="V60" i="58411"/>
  <c r="U60" i="58411"/>
  <c r="T60" i="58411"/>
  <c r="S60" i="58411"/>
  <c r="Q60" i="58411"/>
  <c r="P60" i="58411"/>
  <c r="O60" i="58411"/>
  <c r="N60" i="58411"/>
  <c r="N72" i="58411" s="1"/>
  <c r="L60" i="58411"/>
  <c r="K60" i="58411"/>
  <c r="J60" i="58411"/>
  <c r="I60" i="58411"/>
  <c r="G60" i="58411"/>
  <c r="F60" i="58411"/>
  <c r="E60" i="58411"/>
  <c r="D60" i="58411"/>
  <c r="C60" i="58411"/>
  <c r="B60" i="58411"/>
  <c r="AB59" i="58411"/>
  <c r="AA58" i="58411"/>
  <c r="Z58" i="58411"/>
  <c r="Y58" i="58411"/>
  <c r="X58" i="58411"/>
  <c r="V58" i="58411"/>
  <c r="U58" i="58411"/>
  <c r="T58" i="58411"/>
  <c r="Q58" i="58411"/>
  <c r="P58" i="58411"/>
  <c r="O58" i="58411"/>
  <c r="N58" i="58411"/>
  <c r="M58" i="58411"/>
  <c r="L58" i="58411"/>
  <c r="K58" i="58411"/>
  <c r="J58" i="58411"/>
  <c r="I58" i="58411"/>
  <c r="G58" i="58411"/>
  <c r="F58" i="58411"/>
  <c r="E58" i="58411"/>
  <c r="D58" i="58411"/>
  <c r="C58" i="58411"/>
  <c r="B58" i="58411"/>
  <c r="A58" i="58411"/>
  <c r="AA57" i="58411"/>
  <c r="AA72" i="58411" s="1"/>
  <c r="Z57" i="58411"/>
  <c r="Y57" i="58411"/>
  <c r="X57" i="58411"/>
  <c r="X72" i="58411" s="1"/>
  <c r="AC73" i="58411" s="1"/>
  <c r="AC74" i="58411" s="1"/>
  <c r="V57" i="58411"/>
  <c r="U57" i="58411"/>
  <c r="T57" i="58411"/>
  <c r="Q57" i="58411"/>
  <c r="Q72" i="58411" s="1"/>
  <c r="Q73" i="58411" s="1"/>
  <c r="Q74" i="58411" s="1"/>
  <c r="P57" i="58411"/>
  <c r="P72" i="58411" s="1"/>
  <c r="O57" i="58411"/>
  <c r="N57" i="58411"/>
  <c r="L57" i="58411"/>
  <c r="L72" i="58411" s="1"/>
  <c r="L73" i="58411" s="1"/>
  <c r="L74" i="58411" s="1"/>
  <c r="K57" i="58411"/>
  <c r="K72" i="58411" s="1"/>
  <c r="J57" i="58411"/>
  <c r="I57" i="58411"/>
  <c r="H57" i="58411"/>
  <c r="G57" i="58411"/>
  <c r="G72" i="58411" s="1"/>
  <c r="F57" i="58411"/>
  <c r="E57" i="58411"/>
  <c r="D57" i="58411"/>
  <c r="D72" i="58411" s="1"/>
  <c r="C57" i="58411"/>
  <c r="C72" i="58411" s="1"/>
  <c r="B57" i="58411"/>
  <c r="A57" i="58411"/>
  <c r="AA54" i="58411"/>
  <c r="Z54" i="58411"/>
  <c r="Y54" i="58411"/>
  <c r="X54" i="58411"/>
  <c r="V54" i="58411"/>
  <c r="U54" i="58411"/>
  <c r="T54" i="58411"/>
  <c r="Q54" i="58411"/>
  <c r="P54" i="58411"/>
  <c r="O54" i="58411"/>
  <c r="N54" i="58411"/>
  <c r="L54" i="58411"/>
  <c r="K54" i="58411"/>
  <c r="J54" i="58411"/>
  <c r="I54" i="58411"/>
  <c r="G54" i="58411"/>
  <c r="F54" i="58411"/>
  <c r="E54" i="58411"/>
  <c r="D54" i="58411"/>
  <c r="C54" i="58411"/>
  <c r="B54" i="58411"/>
  <c r="AC53" i="58411"/>
  <c r="AB53" i="58411"/>
  <c r="AB412" i="58411" s="1"/>
  <c r="W53" i="58411"/>
  <c r="R53" i="58411"/>
  <c r="R412" i="58411" s="1"/>
  <c r="M53" i="58411"/>
  <c r="M412" i="58411" s="1"/>
  <c r="H53" i="58411"/>
  <c r="H412" i="58411" s="1"/>
  <c r="A53" i="58411"/>
  <c r="AC52" i="58411"/>
  <c r="AC411" i="58411" s="1"/>
  <c r="AC51" i="58411"/>
  <c r="AC410" i="58411" s="1"/>
  <c r="AC50" i="58411"/>
  <c r="AC409" i="58411" s="1"/>
  <c r="AC49" i="58411"/>
  <c r="AC408" i="58411" s="1"/>
  <c r="AC48" i="58411"/>
  <c r="AC47" i="58411"/>
  <c r="AC46" i="58411"/>
  <c r="AC405" i="58411" s="1"/>
  <c r="AC45" i="58411"/>
  <c r="AC404" i="58411" s="1"/>
  <c r="AC44" i="58411"/>
  <c r="AC42" i="58411"/>
  <c r="AC401" i="58411" s="1"/>
  <c r="AC41" i="58411"/>
  <c r="AD49" i="58411"/>
  <c r="AD408" i="58411" s="1"/>
  <c r="AD48" i="58411"/>
  <c r="AD45" i="58411"/>
  <c r="AD404" i="58411" s="1"/>
  <c r="AD44" i="58411"/>
  <c r="AD41" i="58411"/>
  <c r="AB50" i="58411"/>
  <c r="AB49" i="58411"/>
  <c r="AB408" i="58411" s="1"/>
  <c r="AB48" i="58411"/>
  <c r="AB407" i="58411" s="1"/>
  <c r="AB47" i="58411"/>
  <c r="AB46" i="58411"/>
  <c r="AB45" i="58411"/>
  <c r="AB404" i="58411" s="1"/>
  <c r="AB44" i="58411"/>
  <c r="AB403" i="58411" s="1"/>
  <c r="AB43" i="58411"/>
  <c r="AB402" i="58411" s="1"/>
  <c r="AB42" i="58411"/>
  <c r="AB41" i="58411"/>
  <c r="AB400" i="58411" s="1"/>
  <c r="W50" i="58411"/>
  <c r="W409" i="58411" s="1"/>
  <c r="W49" i="58411"/>
  <c r="W48" i="58411"/>
  <c r="W47" i="58411"/>
  <c r="W46" i="58411"/>
  <c r="W405" i="58411" s="1"/>
  <c r="W45" i="58411"/>
  <c r="W404" i="58411" s="1"/>
  <c r="W44" i="58411"/>
  <c r="R50" i="58411"/>
  <c r="R66" i="58411" s="1"/>
  <c r="R49" i="58411"/>
  <c r="R408" i="58411" s="1"/>
  <c r="R48" i="58411"/>
  <c r="R47" i="58411"/>
  <c r="R46" i="58411"/>
  <c r="R62" i="58411" s="1"/>
  <c r="R45" i="58411"/>
  <c r="R404" i="58411" s="1"/>
  <c r="R44" i="58411"/>
  <c r="R403" i="58411" s="1"/>
  <c r="M50" i="58411"/>
  <c r="M409" i="58411" s="1"/>
  <c r="M49" i="58411"/>
  <c r="M408" i="58411" s="1"/>
  <c r="M48" i="58411"/>
  <c r="M47" i="58411"/>
  <c r="M406" i="58411" s="1"/>
  <c r="M46" i="58411"/>
  <c r="M405" i="58411" s="1"/>
  <c r="M45" i="58411"/>
  <c r="M44" i="58411"/>
  <c r="M403" i="58411" s="1"/>
  <c r="H50" i="58411"/>
  <c r="H49" i="58411"/>
  <c r="H48" i="58411"/>
  <c r="H64" i="58411" s="1"/>
  <c r="H47" i="58411"/>
  <c r="H406" i="58411" s="1"/>
  <c r="H46" i="58411"/>
  <c r="A49" i="58411"/>
  <c r="A48" i="58411"/>
  <c r="A47" i="58411"/>
  <c r="A46" i="58411"/>
  <c r="T48" i="58411"/>
  <c r="T407" i="58411" s="1"/>
  <c r="H44" i="58411"/>
  <c r="A44" i="58411"/>
  <c r="W42" i="58411"/>
  <c r="W401" i="58411" s="1"/>
  <c r="W41" i="58411"/>
  <c r="W400" i="58411" s="1"/>
  <c r="M42" i="58411"/>
  <c r="M401" i="58411" s="1"/>
  <c r="M41" i="58411"/>
  <c r="H42" i="58411"/>
  <c r="H401" i="58411" s="1"/>
  <c r="H41" i="58411"/>
  <c r="A42" i="58411"/>
  <c r="A41" i="58411"/>
  <c r="AG53" i="58411"/>
  <c r="AG52" i="58411"/>
  <c r="AH52" i="58411" s="1"/>
  <c r="AG51" i="58411"/>
  <c r="AH51" i="58411" s="1"/>
  <c r="AI51" i="58411" s="1"/>
  <c r="AG49" i="58411"/>
  <c r="AF408" i="58411"/>
  <c r="AG48" i="58411"/>
  <c r="AH48" i="58411" s="1"/>
  <c r="AG47" i="58411"/>
  <c r="AH47" i="58411" s="1"/>
  <c r="AI47" i="58411" s="1"/>
  <c r="AG45" i="58411"/>
  <c r="AF404" i="58411"/>
  <c r="AG44" i="58411"/>
  <c r="AH44" i="58411" s="1"/>
  <c r="AG41" i="58411"/>
  <c r="AF41" i="58411"/>
  <c r="AF400" i="58411" s="1"/>
  <c r="S42" i="58411"/>
  <c r="S401" i="58411" s="1"/>
  <c r="R42" i="58411"/>
  <c r="R401" i="58411" s="1"/>
  <c r="S41" i="58411"/>
  <c r="R41" i="58411"/>
  <c r="AA38" i="58411"/>
  <c r="Z38" i="58411"/>
  <c r="Y38" i="58411"/>
  <c r="X38" i="58411"/>
  <c r="V38" i="58411"/>
  <c r="U38" i="58411"/>
  <c r="T38" i="58411"/>
  <c r="S38" i="58411"/>
  <c r="Q38" i="58411"/>
  <c r="P38" i="58411"/>
  <c r="O38" i="58411"/>
  <c r="N38" i="58411"/>
  <c r="L38" i="58411"/>
  <c r="K38" i="58411"/>
  <c r="J38" i="58411"/>
  <c r="I38" i="58411"/>
  <c r="G38" i="58411"/>
  <c r="F38" i="58411"/>
  <c r="E38" i="58411"/>
  <c r="D38" i="58411"/>
  <c r="C38" i="58411"/>
  <c r="B38" i="58411"/>
  <c r="AD37" i="58411"/>
  <c r="AC37" i="58411"/>
  <c r="AC394" i="58411" s="1"/>
  <c r="AB37" i="58411"/>
  <c r="AB394" i="58411" s="1"/>
  <c r="W37" i="58411"/>
  <c r="W394" i="58411" s="1"/>
  <c r="R37" i="58411"/>
  <c r="M37" i="58411"/>
  <c r="M394" i="58411" s="1"/>
  <c r="H37" i="58411"/>
  <c r="H394" i="58411" s="1"/>
  <c r="A37" i="58411"/>
  <c r="AC36" i="58411"/>
  <c r="AC393" i="58411" s="1"/>
  <c r="AD35" i="58411"/>
  <c r="AC35" i="58411"/>
  <c r="AD34" i="58411"/>
  <c r="AC34" i="58411"/>
  <c r="AC391" i="58411" s="1"/>
  <c r="AB34" i="58411"/>
  <c r="AB33" i="58411"/>
  <c r="AB390" i="58411" s="1"/>
  <c r="AB32" i="58411"/>
  <c r="AB389" i="58411" s="1"/>
  <c r="AB31" i="58411"/>
  <c r="AB388" i="58411" s="1"/>
  <c r="AB30" i="58411"/>
  <c r="AB29" i="58411"/>
  <c r="AB386" i="58411" s="1"/>
  <c r="AB28" i="58411"/>
  <c r="AB385" i="58411" s="1"/>
  <c r="AB27" i="58411"/>
  <c r="AB384" i="58411" s="1"/>
  <c r="AB26" i="58411"/>
  <c r="AB25" i="58411"/>
  <c r="AB382" i="58411" s="1"/>
  <c r="W34" i="58411"/>
  <c r="W391" i="58411" s="1"/>
  <c r="W33" i="58411"/>
  <c r="W390" i="58411" s="1"/>
  <c r="W32" i="58411"/>
  <c r="W31" i="58411"/>
  <c r="W388" i="58411" s="1"/>
  <c r="W30" i="58411"/>
  <c r="W387" i="58411" s="1"/>
  <c r="W29" i="58411"/>
  <c r="W386" i="58411" s="1"/>
  <c r="W28" i="58411"/>
  <c r="R34" i="58411"/>
  <c r="R391" i="58411" s="1"/>
  <c r="R33" i="58411"/>
  <c r="R390" i="58411" s="1"/>
  <c r="R32" i="58411"/>
  <c r="R389" i="58411" s="1"/>
  <c r="R31" i="58411"/>
  <c r="R30" i="58411"/>
  <c r="R387" i="58411" s="1"/>
  <c r="R29" i="58411"/>
  <c r="R386" i="58411" s="1"/>
  <c r="R28" i="58411"/>
  <c r="R385" i="58411" s="1"/>
  <c r="M34" i="58411"/>
  <c r="M391" i="58411" s="1"/>
  <c r="M33" i="58411"/>
  <c r="M390" i="58411" s="1"/>
  <c r="M32" i="58411"/>
  <c r="M389" i="58411" s="1"/>
  <c r="M31" i="58411"/>
  <c r="M388" i="58411" s="1"/>
  <c r="M30" i="58411"/>
  <c r="M387" i="58411" s="1"/>
  <c r="H34" i="58411"/>
  <c r="H391" i="58411" s="1"/>
  <c r="H33" i="58411"/>
  <c r="H390" i="58411" s="1"/>
  <c r="H32" i="58411"/>
  <c r="H389" i="58411" s="1"/>
  <c r="H31" i="58411"/>
  <c r="H388" i="58411" s="1"/>
  <c r="H30" i="58411"/>
  <c r="H387" i="58411" s="1"/>
  <c r="A34" i="58411"/>
  <c r="A33" i="58411"/>
  <c r="A32" i="58411"/>
  <c r="A31" i="58411"/>
  <c r="A30" i="58411"/>
  <c r="A29" i="58411"/>
  <c r="A28" i="58411"/>
  <c r="AC33" i="58411"/>
  <c r="AD32" i="58411"/>
  <c r="AC32" i="58411"/>
  <c r="AC389" i="58411" s="1"/>
  <c r="AC31" i="58411"/>
  <c r="AD30" i="58411"/>
  <c r="AC30" i="58411"/>
  <c r="AC387" i="58411" s="1"/>
  <c r="AC29" i="58411"/>
  <c r="AC28" i="58411"/>
  <c r="AC385" i="58411" s="1"/>
  <c r="AC27" i="58411"/>
  <c r="AC26" i="58411"/>
  <c r="AC383" i="58411" s="1"/>
  <c r="AC25" i="58411"/>
  <c r="M28" i="58411"/>
  <c r="M385" i="58411" s="1"/>
  <c r="H28" i="58411"/>
  <c r="AD27" i="58411"/>
  <c r="W26" i="58411"/>
  <c r="W25" i="58411"/>
  <c r="R26" i="58411"/>
  <c r="R25" i="58411"/>
  <c r="R382" i="58411" s="1"/>
  <c r="M26" i="58411"/>
  <c r="M383" i="58411" s="1"/>
  <c r="M25" i="58411"/>
  <c r="H26" i="58411"/>
  <c r="H25" i="58411"/>
  <c r="H382" i="58411" s="1"/>
  <c r="A26" i="58411"/>
  <c r="A25" i="58411"/>
  <c r="AG37" i="58411"/>
  <c r="AG33" i="58411"/>
  <c r="AG32" i="58411"/>
  <c r="AH32" i="58411" s="1"/>
  <c r="AF389" i="58411"/>
  <c r="AG29" i="58411"/>
  <c r="AG28" i="58411"/>
  <c r="AG385" i="58411" s="1"/>
  <c r="AF385" i="58411"/>
  <c r="AG25" i="58411"/>
  <c r="AF382" i="58411"/>
  <c r="AE22" i="58411"/>
  <c r="AA22" i="58411"/>
  <c r="Z22" i="58411"/>
  <c r="Y22" i="58411"/>
  <c r="X22" i="58411"/>
  <c r="V22" i="58411"/>
  <c r="U22" i="58411"/>
  <c r="T22" i="58411"/>
  <c r="S22" i="58411"/>
  <c r="Q22" i="58411"/>
  <c r="P22" i="58411"/>
  <c r="O22" i="58411"/>
  <c r="N22" i="58411"/>
  <c r="L22" i="58411"/>
  <c r="K22" i="58411"/>
  <c r="J22" i="58411"/>
  <c r="I22" i="58411"/>
  <c r="G22" i="58411"/>
  <c r="F22" i="58411"/>
  <c r="E22" i="58411"/>
  <c r="D22" i="58411"/>
  <c r="C22" i="58411"/>
  <c r="B22" i="58411"/>
  <c r="AB21" i="58411"/>
  <c r="AB376" i="58411" s="1"/>
  <c r="W21" i="58411"/>
  <c r="R21" i="58411"/>
  <c r="R376" i="58411" s="1"/>
  <c r="M21" i="58411"/>
  <c r="M376" i="58411" s="1"/>
  <c r="H21" i="58411"/>
  <c r="H376" i="58411" s="1"/>
  <c r="AB18" i="58411"/>
  <c r="AB17" i="58411"/>
  <c r="AB372" i="58411" s="1"/>
  <c r="AB16" i="58411"/>
  <c r="AB15" i="58411"/>
  <c r="AB370" i="58411" s="1"/>
  <c r="AB14" i="58411"/>
  <c r="AB13" i="58411"/>
  <c r="AB368" i="58411" s="1"/>
  <c r="AB12" i="58411"/>
  <c r="AB11" i="58411"/>
  <c r="AB366" i="58411" s="1"/>
  <c r="AB10" i="58411"/>
  <c r="AB9" i="58411"/>
  <c r="AB364" i="58411" s="1"/>
  <c r="W18" i="58411"/>
  <c r="W17" i="58411"/>
  <c r="W16" i="58411"/>
  <c r="W15" i="58411"/>
  <c r="W370" i="58411" s="1"/>
  <c r="W14" i="58411"/>
  <c r="W13" i="58411"/>
  <c r="W12" i="58411"/>
  <c r="W367" i="58411" s="1"/>
  <c r="R18" i="58411"/>
  <c r="R17" i="58411"/>
  <c r="R372" i="58411" s="1"/>
  <c r="R16" i="58411"/>
  <c r="R371" i="58411" s="1"/>
  <c r="R15" i="58411"/>
  <c r="R370" i="58411" s="1"/>
  <c r="R14" i="58411"/>
  <c r="M18" i="58411"/>
  <c r="M17" i="58411"/>
  <c r="M372" i="58411" s="1"/>
  <c r="M16" i="58411"/>
  <c r="M371" i="58411" s="1"/>
  <c r="M15" i="58411"/>
  <c r="M14" i="58411"/>
  <c r="H18" i="58411"/>
  <c r="H373" i="58411" s="1"/>
  <c r="H17" i="58411"/>
  <c r="H372" i="58411" s="1"/>
  <c r="H16" i="58411"/>
  <c r="H371" i="58411" s="1"/>
  <c r="H15" i="58411"/>
  <c r="H370" i="58411" s="1"/>
  <c r="H14" i="58411"/>
  <c r="H369" i="58411" s="1"/>
  <c r="R12" i="58411"/>
  <c r="R367" i="58411" s="1"/>
  <c r="M12" i="58411"/>
  <c r="M367" i="58411" s="1"/>
  <c r="H12" i="58411"/>
  <c r="H367" i="58411" s="1"/>
  <c r="W10" i="58411"/>
  <c r="W9" i="58411"/>
  <c r="R10" i="58411"/>
  <c r="R365" i="58411" s="1"/>
  <c r="R9" i="58411"/>
  <c r="R364" i="58411" s="1"/>
  <c r="M10" i="58411"/>
  <c r="M9" i="58411"/>
  <c r="H10" i="58411"/>
  <c r="H365" i="58411" s="1"/>
  <c r="H9" i="58411"/>
  <c r="H22" i="58411" s="1"/>
  <c r="AF21" i="58411"/>
  <c r="AF376" i="58411" s="1"/>
  <c r="AF20" i="58411"/>
  <c r="AG19" i="58411"/>
  <c r="AF19" i="58411"/>
  <c r="AH18" i="58411"/>
  <c r="AG18" i="58411"/>
  <c r="AF18" i="58411"/>
  <c r="AF17" i="58411"/>
  <c r="AF372" i="58411" s="1"/>
  <c r="AF16" i="58411"/>
  <c r="AG15" i="58411"/>
  <c r="AF15" i="58411"/>
  <c r="AH14" i="58411"/>
  <c r="AG14" i="58411"/>
  <c r="AF14" i="58411"/>
  <c r="AF13" i="58411"/>
  <c r="AF12" i="58411"/>
  <c r="AG11" i="58411"/>
  <c r="AF11" i="58411"/>
  <c r="AH10" i="58411"/>
  <c r="AG10" i="58411"/>
  <c r="AF10" i="58411"/>
  <c r="AF365" i="58411" s="1"/>
  <c r="AF364" i="58411"/>
  <c r="AD20" i="58411"/>
  <c r="AC20" i="58411"/>
  <c r="AC19" i="58411"/>
  <c r="AC374" i="58411" s="1"/>
  <c r="AC17" i="58411"/>
  <c r="AD16" i="58411"/>
  <c r="AC16" i="58411"/>
  <c r="AC371" i="58411" s="1"/>
  <c r="AC15" i="58411"/>
  <c r="AD15" i="58411" s="1"/>
  <c r="AD370" i="58411" s="1"/>
  <c r="AC13" i="58411"/>
  <c r="AD12" i="58411"/>
  <c r="AC12" i="58411"/>
  <c r="AC367" i="58411" s="1"/>
  <c r="AC11" i="58411"/>
  <c r="AD11" i="58411" s="1"/>
  <c r="AC9" i="58411"/>
  <c r="AN6" i="58411"/>
  <c r="AM6" i="58411"/>
  <c r="AL6" i="58411"/>
  <c r="AK6" i="58411"/>
  <c r="AJ6" i="58411"/>
  <c r="AI6" i="58411"/>
  <c r="AH6" i="58411"/>
  <c r="AG6" i="58411"/>
  <c r="AF6" i="58411"/>
  <c r="AE6" i="58411"/>
  <c r="AD6" i="58411"/>
  <c r="AC6" i="58411"/>
  <c r="AB6" i="58411"/>
  <c r="AA6" i="58411"/>
  <c r="Z6" i="58411"/>
  <c r="Y6" i="58411"/>
  <c r="X6" i="58411"/>
  <c r="W6" i="58411"/>
  <c r="V6" i="58411"/>
  <c r="U6" i="58411"/>
  <c r="T6" i="58411"/>
  <c r="S6" i="58411"/>
  <c r="R6" i="58411"/>
  <c r="Q6" i="58411"/>
  <c r="P6" i="58411"/>
  <c r="O6" i="58411"/>
  <c r="N6" i="58411"/>
  <c r="M6" i="58411"/>
  <c r="L6" i="58411"/>
  <c r="K6" i="58411"/>
  <c r="J6" i="58411"/>
  <c r="I6" i="58411"/>
  <c r="H6" i="58411"/>
  <c r="G6" i="58411"/>
  <c r="F6" i="58411"/>
  <c r="E6" i="58411"/>
  <c r="D6" i="58411"/>
  <c r="C6" i="58411"/>
  <c r="B6" i="58411"/>
  <c r="AN4" i="58411"/>
  <c r="AM4" i="58411"/>
  <c r="AL4" i="58411"/>
  <c r="AK4" i="58411"/>
  <c r="AJ4" i="58411"/>
  <c r="AI4" i="58411"/>
  <c r="AH4" i="58411"/>
  <c r="AG4" i="58411"/>
  <c r="AF4" i="58411"/>
  <c r="AE4" i="58411"/>
  <c r="AD4" i="58411"/>
  <c r="AC4" i="58411"/>
  <c r="AB4" i="58411"/>
  <c r="AA4" i="58411"/>
  <c r="Z4" i="58411"/>
  <c r="Y4" i="58411"/>
  <c r="X4" i="58411"/>
  <c r="W4" i="58411"/>
  <c r="V4" i="58411"/>
  <c r="U4" i="58411"/>
  <c r="T4" i="58411"/>
  <c r="S4" i="58411"/>
  <c r="R4" i="58411"/>
  <c r="Q4" i="58411"/>
  <c r="P4" i="58411"/>
  <c r="O4" i="58411"/>
  <c r="N4" i="58411"/>
  <c r="M4" i="58411"/>
  <c r="L4" i="58411"/>
  <c r="K4" i="58411"/>
  <c r="J4" i="58411"/>
  <c r="I4" i="58411"/>
  <c r="H4" i="58411"/>
  <c r="G4" i="58411"/>
  <c r="F4" i="58411"/>
  <c r="E4" i="58411"/>
  <c r="D4" i="58411"/>
  <c r="C4" i="58411"/>
  <c r="B4" i="58411"/>
  <c r="AN3" i="58411"/>
  <c r="AM3" i="58411"/>
  <c r="AL3" i="58411"/>
  <c r="AK3" i="58411"/>
  <c r="AJ3" i="58411"/>
  <c r="AI3" i="58411"/>
  <c r="AH3" i="58411"/>
  <c r="AG3" i="58411"/>
  <c r="AF3" i="58411"/>
  <c r="AE3" i="58411"/>
  <c r="AD3" i="58411"/>
  <c r="AC3" i="58411"/>
  <c r="AB3" i="58411"/>
  <c r="AA3" i="58411"/>
  <c r="Z3" i="58411"/>
  <c r="Y3" i="58411"/>
  <c r="X3" i="58411"/>
  <c r="W3" i="58411"/>
  <c r="V3" i="58411"/>
  <c r="U3" i="58411"/>
  <c r="T3" i="58411"/>
  <c r="S3" i="58411"/>
  <c r="Q3" i="58411"/>
  <c r="P3" i="58411"/>
  <c r="O3" i="58411"/>
  <c r="N3" i="58411"/>
  <c r="L3" i="58411"/>
  <c r="K3" i="58411"/>
  <c r="J3" i="58411"/>
  <c r="I3" i="58411"/>
  <c r="G3" i="58411"/>
  <c r="F3" i="58411"/>
  <c r="E3" i="58411"/>
  <c r="D3" i="58411"/>
  <c r="C3" i="58411"/>
  <c r="B3" i="58411"/>
  <c r="AK274" i="58438" l="1"/>
  <c r="AK37" i="58438" s="1"/>
  <c r="AJ274" i="58438"/>
  <c r="AJ37" i="58438" s="1"/>
  <c r="AG690" i="58411"/>
  <c r="AG686" i="58411"/>
  <c r="AG345" i="58411"/>
  <c r="AG341" i="58411"/>
  <c r="AG270" i="58411"/>
  <c r="AG133" i="58411"/>
  <c r="AH28" i="58411"/>
  <c r="E7" i="58438"/>
  <c r="BR196" i="58479"/>
  <c r="I62" i="58438"/>
  <c r="BV196" i="58479"/>
  <c r="J7" i="58438"/>
  <c r="AK62" i="58438"/>
  <c r="AL113" i="58438"/>
  <c r="V213" i="58438"/>
  <c r="K97" i="58511"/>
  <c r="L97" i="58511" s="1"/>
  <c r="M97" i="58511" s="1"/>
  <c r="D7" i="58438"/>
  <c r="AL7" i="58438"/>
  <c r="N163" i="58438"/>
  <c r="C7" i="58438"/>
  <c r="BP196" i="58479"/>
  <c r="K7" i="58438"/>
  <c r="BX196" i="58479"/>
  <c r="F7" i="58438"/>
  <c r="V7" i="58438"/>
  <c r="AD7" i="58438"/>
  <c r="E62" i="58438"/>
  <c r="F113" i="58438"/>
  <c r="D300" i="58438"/>
  <c r="H7" i="58438"/>
  <c r="U62" i="58438"/>
  <c r="F213" i="58438"/>
  <c r="AJ11" i="58438"/>
  <c r="Q4" i="58471"/>
  <c r="DL381" i="58502"/>
  <c r="AK290" i="58438"/>
  <c r="AK38" i="58438" s="1"/>
  <c r="AJ290" i="58438"/>
  <c r="AJ38" i="58438" s="1"/>
  <c r="AI258" i="58438"/>
  <c r="AI36" i="58438" s="1"/>
  <c r="AF10" i="58438"/>
  <c r="BB393" i="58493"/>
  <c r="AC931" i="58411"/>
  <c r="AD449" i="58411"/>
  <c r="AD808" i="58411" s="1"/>
  <c r="AC781" i="58411"/>
  <c r="AD447" i="58411"/>
  <c r="AD806" i="58411" s="1"/>
  <c r="M166" i="58512"/>
  <c r="M54" i="58512"/>
  <c r="M108" i="58512"/>
  <c r="I181" i="58512"/>
  <c r="J176" i="58512"/>
  <c r="I73" i="58512"/>
  <c r="I124" i="58512" s="1"/>
  <c r="I126" i="58512" s="1"/>
  <c r="I146" i="58512" s="1"/>
  <c r="I149" i="58512" s="1"/>
  <c r="H30" i="58511"/>
  <c r="H39" i="58511" s="1"/>
  <c r="D39" i="58511"/>
  <c r="G42" i="58511"/>
  <c r="G41" i="58511"/>
  <c r="I41" i="58511" s="1"/>
  <c r="J41" i="58511" s="1"/>
  <c r="K41" i="58511" s="1"/>
  <c r="L41" i="58511" s="1"/>
  <c r="M41" i="58511" s="1"/>
  <c r="E41" i="58511"/>
  <c r="E42" i="58511"/>
  <c r="J78" i="58511"/>
  <c r="K35" i="58511"/>
  <c r="B42" i="58511"/>
  <c r="B41" i="58511"/>
  <c r="C42" i="58511"/>
  <c r="C41" i="58511"/>
  <c r="I40" i="58511"/>
  <c r="I68" i="58511" s="1"/>
  <c r="K130" i="58511"/>
  <c r="K67" i="58511"/>
  <c r="K102" i="58511"/>
  <c r="L22" i="58511"/>
  <c r="I13" i="58511"/>
  <c r="F30" i="58511"/>
  <c r="F39" i="58511" s="1"/>
  <c r="H110" i="58511"/>
  <c r="H116" i="58511" s="1"/>
  <c r="J133" i="58511"/>
  <c r="K107" i="58511"/>
  <c r="J106" i="58511"/>
  <c r="C13" i="58511"/>
  <c r="D13" i="58511"/>
  <c r="I130" i="58511"/>
  <c r="I102" i="58511"/>
  <c r="I67" i="58511"/>
  <c r="K32" i="58511"/>
  <c r="J67" i="58511"/>
  <c r="J130" i="58511"/>
  <c r="J185" i="58511" s="1"/>
  <c r="J102" i="58511"/>
  <c r="L196" i="58511"/>
  <c r="K203" i="58511"/>
  <c r="P237" i="58511"/>
  <c r="Q228" i="58511"/>
  <c r="Q237" i="58511" s="1"/>
  <c r="J159" i="58511"/>
  <c r="J187" i="58511"/>
  <c r="I159" i="58511"/>
  <c r="K159" i="58511"/>
  <c r="L151" i="58511"/>
  <c r="K117" i="58511"/>
  <c r="I174" i="58511"/>
  <c r="J163" i="58511"/>
  <c r="K137" i="58511"/>
  <c r="L137" i="58511" s="1"/>
  <c r="M137" i="58511" s="1"/>
  <c r="J192" i="58511"/>
  <c r="K192" i="58511" s="1"/>
  <c r="L192" i="58511" s="1"/>
  <c r="M192" i="58511" s="1"/>
  <c r="J207" i="58511"/>
  <c r="K171" i="58511"/>
  <c r="L171" i="58511" s="1"/>
  <c r="M171" i="58511" s="1"/>
  <c r="J203" i="58511"/>
  <c r="AJ89" i="58438"/>
  <c r="C27" i="58438"/>
  <c r="W27" i="58438"/>
  <c r="AA27" i="58438"/>
  <c r="D28" i="58438"/>
  <c r="Q29" i="58438"/>
  <c r="U29" i="58438"/>
  <c r="X27" i="58438"/>
  <c r="C30" i="58438"/>
  <c r="W30" i="58438"/>
  <c r="G473" i="58438"/>
  <c r="G451" i="58438"/>
  <c r="G428" i="58438"/>
  <c r="G395" i="58438"/>
  <c r="G300" i="58438"/>
  <c r="G62" i="58438"/>
  <c r="G213" i="58438"/>
  <c r="G163" i="58438"/>
  <c r="G113" i="58438"/>
  <c r="G313" i="58438"/>
  <c r="S473" i="58438"/>
  <c r="S451" i="58438"/>
  <c r="S428" i="58438"/>
  <c r="S395" i="58438"/>
  <c r="S300" i="58438"/>
  <c r="S313" i="58438"/>
  <c r="S62" i="58438"/>
  <c r="S213" i="58438"/>
  <c r="S163" i="58438"/>
  <c r="S113" i="58438"/>
  <c r="S353" i="58438"/>
  <c r="AM451" i="58438"/>
  <c r="AM428" i="58438"/>
  <c r="AM395" i="58438"/>
  <c r="AM300" i="58438"/>
  <c r="AM62" i="58438"/>
  <c r="AM213" i="58438"/>
  <c r="AM163" i="58438"/>
  <c r="AM113" i="58438"/>
  <c r="AM313" i="58438"/>
  <c r="L23" i="58438"/>
  <c r="L26" i="58438" s="1"/>
  <c r="X23" i="58438"/>
  <c r="X28" i="58438" s="1"/>
  <c r="C26" i="58438"/>
  <c r="C31" i="58438" s="1"/>
  <c r="O26" i="58438"/>
  <c r="AA26" i="58438"/>
  <c r="U28" i="58438"/>
  <c r="AU290" i="58438"/>
  <c r="AH38" i="58438"/>
  <c r="I334" i="58438"/>
  <c r="I320" i="58438"/>
  <c r="Q334" i="58438"/>
  <c r="Q320" i="58438"/>
  <c r="P348" i="58438"/>
  <c r="P322" i="58438"/>
  <c r="B473" i="58438"/>
  <c r="B451" i="58438"/>
  <c r="B428" i="58438"/>
  <c r="B395" i="58438"/>
  <c r="B300" i="58438"/>
  <c r="B353" i="58438"/>
  <c r="B313" i="58438"/>
  <c r="B62" i="58438"/>
  <c r="F473" i="58438"/>
  <c r="F451" i="58438"/>
  <c r="F428" i="58438"/>
  <c r="F300" i="58438"/>
  <c r="F395" i="58438"/>
  <c r="F353" i="58438"/>
  <c r="F313" i="58438"/>
  <c r="F62" i="58438"/>
  <c r="J473" i="58438"/>
  <c r="J451" i="58438"/>
  <c r="J428" i="58438"/>
  <c r="J395" i="58438"/>
  <c r="J300" i="58438"/>
  <c r="J353" i="58438"/>
  <c r="J313" i="58438"/>
  <c r="J62" i="58438"/>
  <c r="N473" i="58438"/>
  <c r="N451" i="58438"/>
  <c r="N428" i="58438"/>
  <c r="N300" i="58438"/>
  <c r="N353" i="58438"/>
  <c r="N313" i="58438"/>
  <c r="N395" i="58438"/>
  <c r="N62" i="58438"/>
  <c r="R473" i="58438"/>
  <c r="R451" i="58438"/>
  <c r="R428" i="58438"/>
  <c r="R395" i="58438"/>
  <c r="R300" i="58438"/>
  <c r="R353" i="58438"/>
  <c r="R313" i="58438"/>
  <c r="R62" i="58438"/>
  <c r="V473" i="58438"/>
  <c r="V451" i="58438"/>
  <c r="V428" i="58438"/>
  <c r="V300" i="58438"/>
  <c r="V395" i="58438"/>
  <c r="V353" i="58438"/>
  <c r="V313" i="58438"/>
  <c r="V62" i="58438"/>
  <c r="Z473" i="58438"/>
  <c r="Z451" i="58438"/>
  <c r="Z428" i="58438"/>
  <c r="Z395" i="58438"/>
  <c r="Z300" i="58438"/>
  <c r="Z353" i="58438"/>
  <c r="Z313" i="58438"/>
  <c r="Z62" i="58438"/>
  <c r="AD451" i="58438"/>
  <c r="AD428" i="58438"/>
  <c r="AD395" i="58438"/>
  <c r="AD300" i="58438"/>
  <c r="AD353" i="58438"/>
  <c r="AD313" i="58438"/>
  <c r="AD62" i="58438"/>
  <c r="AH451" i="58438"/>
  <c r="AH428" i="58438"/>
  <c r="AH395" i="58438"/>
  <c r="AH300" i="58438"/>
  <c r="AH353" i="58438"/>
  <c r="AH313" i="58438"/>
  <c r="AH62" i="58438"/>
  <c r="AL451" i="58438"/>
  <c r="AL428" i="58438"/>
  <c r="AL300" i="58438"/>
  <c r="AL395" i="58438"/>
  <c r="AL353" i="58438"/>
  <c r="AL313" i="58438"/>
  <c r="AL62" i="58438"/>
  <c r="G7" i="58438"/>
  <c r="S7" i="58438"/>
  <c r="W7" i="58438"/>
  <c r="AA7" i="58438"/>
  <c r="AM7" i="58438"/>
  <c r="G23" i="58438"/>
  <c r="G30" i="58438" s="1"/>
  <c r="K23" i="58438"/>
  <c r="K28" i="58438" s="1"/>
  <c r="S23" i="58438"/>
  <c r="S27" i="58438" s="1"/>
  <c r="O27" i="58438"/>
  <c r="T28" i="58438"/>
  <c r="Y29" i="58438"/>
  <c r="Q62" i="58438"/>
  <c r="AG62" i="58438"/>
  <c r="AB66" i="58438"/>
  <c r="AB67" i="58438"/>
  <c r="E71" i="58438"/>
  <c r="J65" i="58438"/>
  <c r="AI93" i="58438"/>
  <c r="AD87" i="58438"/>
  <c r="AI92" i="58438" s="1"/>
  <c r="AF108" i="58438"/>
  <c r="B113" i="58438"/>
  <c r="R113" i="58438"/>
  <c r="AH113" i="58438"/>
  <c r="I117" i="58438"/>
  <c r="D122" i="58438"/>
  <c r="J118" i="58438"/>
  <c r="E123" i="58438"/>
  <c r="I132" i="58438"/>
  <c r="D137" i="58438"/>
  <c r="J133" i="58438"/>
  <c r="E138" i="58438"/>
  <c r="K134" i="58438"/>
  <c r="F139" i="58438"/>
  <c r="J163" i="58438"/>
  <c r="Z163" i="58438"/>
  <c r="J198" i="58438"/>
  <c r="E203" i="58438"/>
  <c r="K199" i="58438"/>
  <c r="F204" i="58438"/>
  <c r="B213" i="58438"/>
  <c r="R213" i="58438"/>
  <c r="AH213" i="58438"/>
  <c r="AK263" i="58438"/>
  <c r="AK258" i="58438" s="1"/>
  <c r="AK36" i="58438" s="1"/>
  <c r="AF36" i="58438"/>
  <c r="B398" i="58438"/>
  <c r="B356" i="58438"/>
  <c r="L310" i="58438"/>
  <c r="AH318" i="58438"/>
  <c r="K473" i="58438"/>
  <c r="K451" i="58438"/>
  <c r="K428" i="58438"/>
  <c r="K395" i="58438"/>
  <c r="K300" i="58438"/>
  <c r="K62" i="58438"/>
  <c r="K353" i="58438"/>
  <c r="K213" i="58438"/>
  <c r="K163" i="58438"/>
  <c r="K113" i="58438"/>
  <c r="AA473" i="58438"/>
  <c r="AA451" i="58438"/>
  <c r="AA428" i="58438"/>
  <c r="AA395" i="58438"/>
  <c r="AA300" i="58438"/>
  <c r="AA62" i="58438"/>
  <c r="AA353" i="58438"/>
  <c r="AA213" i="58438"/>
  <c r="AA163" i="58438"/>
  <c r="AA113" i="58438"/>
  <c r="AI451" i="58438"/>
  <c r="AI428" i="58438"/>
  <c r="AI395" i="58438"/>
  <c r="AI300" i="58438"/>
  <c r="AI313" i="58438"/>
  <c r="AI62" i="58438"/>
  <c r="AI213" i="58438"/>
  <c r="AI163" i="58438"/>
  <c r="AI113" i="58438"/>
  <c r="AI353" i="58438"/>
  <c r="H23" i="58438"/>
  <c r="H28" i="58438" s="1"/>
  <c r="T23" i="58438"/>
  <c r="W26" i="58438"/>
  <c r="D27" i="58438"/>
  <c r="D31" i="58438" s="1"/>
  <c r="Q28" i="58438"/>
  <c r="O30" i="58438"/>
  <c r="AA30" i="58438"/>
  <c r="U334" i="58438"/>
  <c r="U320" i="58438"/>
  <c r="AM353" i="58438"/>
  <c r="D473" i="58438"/>
  <c r="D451" i="58438"/>
  <c r="D395" i="58438"/>
  <c r="D428" i="58438"/>
  <c r="D353" i="58438"/>
  <c r="D313" i="58438"/>
  <c r="D213" i="58438"/>
  <c r="D163" i="58438"/>
  <c r="D113" i="58438"/>
  <c r="D62" i="58438"/>
  <c r="H473" i="58438"/>
  <c r="H451" i="58438"/>
  <c r="H395" i="58438"/>
  <c r="H428" i="58438"/>
  <c r="H353" i="58438"/>
  <c r="H313" i="58438"/>
  <c r="H213" i="58438"/>
  <c r="H163" i="58438"/>
  <c r="H113" i="58438"/>
  <c r="H300" i="58438"/>
  <c r="H62" i="58438"/>
  <c r="L473" i="58438"/>
  <c r="L395" i="58438"/>
  <c r="L451" i="58438"/>
  <c r="L428" i="58438"/>
  <c r="L353" i="58438"/>
  <c r="L313" i="58438"/>
  <c r="L300" i="58438"/>
  <c r="L213" i="58438"/>
  <c r="L163" i="58438"/>
  <c r="L113" i="58438"/>
  <c r="L62" i="58438"/>
  <c r="P473" i="58438"/>
  <c r="P451" i="58438"/>
  <c r="P428" i="58438"/>
  <c r="P395" i="58438"/>
  <c r="P353" i="58438"/>
  <c r="P313" i="58438"/>
  <c r="P213" i="58438"/>
  <c r="P163" i="58438"/>
  <c r="P113" i="58438"/>
  <c r="P300" i="58438"/>
  <c r="P62" i="58438"/>
  <c r="T473" i="58438"/>
  <c r="T451" i="58438"/>
  <c r="T395" i="58438"/>
  <c r="T428" i="58438"/>
  <c r="T353" i="58438"/>
  <c r="T313" i="58438"/>
  <c r="T213" i="58438"/>
  <c r="T163" i="58438"/>
  <c r="T113" i="58438"/>
  <c r="T62" i="58438"/>
  <c r="X473" i="58438"/>
  <c r="X451" i="58438"/>
  <c r="X395" i="58438"/>
  <c r="X428" i="58438"/>
  <c r="X353" i="58438"/>
  <c r="X313" i="58438"/>
  <c r="X213" i="58438"/>
  <c r="X163" i="58438"/>
  <c r="X113" i="58438"/>
  <c r="X300" i="58438"/>
  <c r="X62" i="58438"/>
  <c r="AB473" i="58438"/>
  <c r="AB451" i="58438"/>
  <c r="AB395" i="58438"/>
  <c r="AB428" i="58438"/>
  <c r="AB353" i="58438"/>
  <c r="AB313" i="58438"/>
  <c r="AB300" i="58438"/>
  <c r="AB213" i="58438"/>
  <c r="AB163" i="58438"/>
  <c r="AB113" i="58438"/>
  <c r="AB62" i="58438"/>
  <c r="AF451" i="58438"/>
  <c r="AF428" i="58438"/>
  <c r="AF395" i="58438"/>
  <c r="AF353" i="58438"/>
  <c r="AF313" i="58438"/>
  <c r="AF213" i="58438"/>
  <c r="AF163" i="58438"/>
  <c r="AF113" i="58438"/>
  <c r="AF300" i="58438"/>
  <c r="AF62" i="58438"/>
  <c r="AJ451" i="58438"/>
  <c r="AJ395" i="58438"/>
  <c r="AJ428" i="58438"/>
  <c r="AJ353" i="58438"/>
  <c r="AJ313" i="58438"/>
  <c r="AJ213" i="58438"/>
  <c r="AJ163" i="58438"/>
  <c r="AJ113" i="58438"/>
  <c r="AJ62" i="58438"/>
  <c r="AN451" i="58438"/>
  <c r="AN395" i="58438"/>
  <c r="AN428" i="58438"/>
  <c r="AN353" i="58438"/>
  <c r="AN313" i="58438"/>
  <c r="AN213" i="58438"/>
  <c r="AN163" i="58438"/>
  <c r="AN113" i="58438"/>
  <c r="AN300" i="58438"/>
  <c r="AN62" i="58438"/>
  <c r="I7" i="58438"/>
  <c r="Y7" i="58438"/>
  <c r="E23" i="58438"/>
  <c r="E26" i="58438" s="1"/>
  <c r="I23" i="58438"/>
  <c r="I30" i="58438" s="1"/>
  <c r="M23" i="58438"/>
  <c r="M30" i="58438" s="1"/>
  <c r="T26" i="58438"/>
  <c r="X26" i="58438"/>
  <c r="Q27" i="58438"/>
  <c r="U27" i="58438"/>
  <c r="Y27" i="58438"/>
  <c r="R28" i="58438"/>
  <c r="O29" i="58438"/>
  <c r="S29" i="58438"/>
  <c r="W29" i="58438"/>
  <c r="AA29" i="58438"/>
  <c r="T30" i="58438"/>
  <c r="X30" i="58438"/>
  <c r="AB30" i="58438"/>
  <c r="J67" i="58438"/>
  <c r="E73" i="58438"/>
  <c r="AF88" i="58438"/>
  <c r="J113" i="58438"/>
  <c r="Z113" i="58438"/>
  <c r="J148" i="58438"/>
  <c r="E153" i="58438"/>
  <c r="K149" i="58438"/>
  <c r="F154" i="58438"/>
  <c r="B163" i="58438"/>
  <c r="R163" i="58438"/>
  <c r="AH163" i="58438"/>
  <c r="I167" i="58438"/>
  <c r="D172" i="58438"/>
  <c r="J168" i="58438"/>
  <c r="E173" i="58438"/>
  <c r="I182" i="58438"/>
  <c r="D187" i="58438"/>
  <c r="J183" i="58438"/>
  <c r="E188" i="58438"/>
  <c r="K184" i="58438"/>
  <c r="F189" i="58438"/>
  <c r="J213" i="58438"/>
  <c r="Z213" i="58438"/>
  <c r="AK228" i="58438"/>
  <c r="AK223" i="58438"/>
  <c r="AK34" i="58438" s="1"/>
  <c r="AF34" i="58438"/>
  <c r="AU274" i="58438"/>
  <c r="AH37" i="58438"/>
  <c r="T300" i="58438"/>
  <c r="C464" i="58438"/>
  <c r="C59" i="58438" s="1"/>
  <c r="C478" i="58438"/>
  <c r="C479" i="58438" s="1"/>
  <c r="C454" i="58438"/>
  <c r="C57" i="58438" s="1"/>
  <c r="AE464" i="58438"/>
  <c r="AE59" i="58438" s="1"/>
  <c r="AE454" i="58438"/>
  <c r="AE57" i="58438" s="1"/>
  <c r="J303" i="58438"/>
  <c r="J307" i="58438"/>
  <c r="O307" i="58438"/>
  <c r="F316" i="58438"/>
  <c r="J332" i="58438"/>
  <c r="C473" i="58438"/>
  <c r="C451" i="58438"/>
  <c r="C428" i="58438"/>
  <c r="C395" i="58438"/>
  <c r="C300" i="58438"/>
  <c r="C313" i="58438"/>
  <c r="C62" i="58438"/>
  <c r="C213" i="58438"/>
  <c r="C163" i="58438"/>
  <c r="C113" i="58438"/>
  <c r="C353" i="58438"/>
  <c r="O473" i="58438"/>
  <c r="O451" i="58438"/>
  <c r="O428" i="58438"/>
  <c r="O395" i="58438"/>
  <c r="O300" i="58438"/>
  <c r="O353" i="58438"/>
  <c r="O62" i="58438"/>
  <c r="O313" i="58438"/>
  <c r="O213" i="58438"/>
  <c r="O163" i="58438"/>
  <c r="O113" i="58438"/>
  <c r="W473" i="58438"/>
  <c r="W451" i="58438"/>
  <c r="W428" i="58438"/>
  <c r="W395" i="58438"/>
  <c r="W300" i="58438"/>
  <c r="W62" i="58438"/>
  <c r="W213" i="58438"/>
  <c r="W163" i="58438"/>
  <c r="W113" i="58438"/>
  <c r="W313" i="58438"/>
  <c r="AE451" i="58438"/>
  <c r="AE428" i="58438"/>
  <c r="AE395" i="58438"/>
  <c r="AE300" i="58438"/>
  <c r="AE353" i="58438"/>
  <c r="AE62" i="58438"/>
  <c r="AE313" i="58438"/>
  <c r="AE213" i="58438"/>
  <c r="AE163" i="58438"/>
  <c r="AE113" i="58438"/>
  <c r="P23" i="58438"/>
  <c r="P27" i="58438" s="1"/>
  <c r="AB23" i="58438"/>
  <c r="AB26" i="58438" s="1"/>
  <c r="S26" i="58438"/>
  <c r="T27" i="58438"/>
  <c r="Y28" i="58438"/>
  <c r="S30" i="58438"/>
  <c r="AB83" i="58438"/>
  <c r="AG34" i="58438"/>
  <c r="N316" i="58438"/>
  <c r="T348" i="58438"/>
  <c r="T322" i="58438"/>
  <c r="E473" i="58438"/>
  <c r="E451" i="58438"/>
  <c r="E428" i="58438"/>
  <c r="E395" i="58438"/>
  <c r="E353" i="58438"/>
  <c r="E313" i="58438"/>
  <c r="E300" i="58438"/>
  <c r="E213" i="58438"/>
  <c r="E163" i="58438"/>
  <c r="E113" i="58438"/>
  <c r="I473" i="58438"/>
  <c r="I428" i="58438"/>
  <c r="I451" i="58438"/>
  <c r="I395" i="58438"/>
  <c r="I353" i="58438"/>
  <c r="I313" i="58438"/>
  <c r="I300" i="58438"/>
  <c r="I213" i="58438"/>
  <c r="I163" i="58438"/>
  <c r="I113" i="58438"/>
  <c r="M473" i="58438"/>
  <c r="M451" i="58438"/>
  <c r="M428" i="58438"/>
  <c r="M395" i="58438"/>
  <c r="M353" i="58438"/>
  <c r="M313" i="58438"/>
  <c r="M300" i="58438"/>
  <c r="M213" i="58438"/>
  <c r="M163" i="58438"/>
  <c r="M113" i="58438"/>
  <c r="Q473" i="58438"/>
  <c r="Q451" i="58438"/>
  <c r="Q428" i="58438"/>
  <c r="Q395" i="58438"/>
  <c r="Q353" i="58438"/>
  <c r="Q313" i="58438"/>
  <c r="Q300" i="58438"/>
  <c r="Q213" i="58438"/>
  <c r="Q163" i="58438"/>
  <c r="Q113" i="58438"/>
  <c r="U473" i="58438"/>
  <c r="U451" i="58438"/>
  <c r="U428" i="58438"/>
  <c r="U395" i="58438"/>
  <c r="U353" i="58438"/>
  <c r="U313" i="58438"/>
  <c r="U300" i="58438"/>
  <c r="U213" i="58438"/>
  <c r="U163" i="58438"/>
  <c r="U113" i="58438"/>
  <c r="Y473" i="58438"/>
  <c r="Y451" i="58438"/>
  <c r="Y428" i="58438"/>
  <c r="Y395" i="58438"/>
  <c r="Y353" i="58438"/>
  <c r="Y313" i="58438"/>
  <c r="Y300" i="58438"/>
  <c r="Y213" i="58438"/>
  <c r="Y163" i="58438"/>
  <c r="Y113" i="58438"/>
  <c r="AC451" i="58438"/>
  <c r="AC428" i="58438"/>
  <c r="AC395" i="58438"/>
  <c r="AC353" i="58438"/>
  <c r="AC313" i="58438"/>
  <c r="AC300" i="58438"/>
  <c r="AC213" i="58438"/>
  <c r="AC163" i="58438"/>
  <c r="AC113" i="58438"/>
  <c r="AG428" i="58438"/>
  <c r="AG451" i="58438"/>
  <c r="AG395" i="58438"/>
  <c r="AG353" i="58438"/>
  <c r="AG313" i="58438"/>
  <c r="AG300" i="58438"/>
  <c r="AG213" i="58438"/>
  <c r="AG163" i="58438"/>
  <c r="AG113" i="58438"/>
  <c r="AK451" i="58438"/>
  <c r="AK428" i="58438"/>
  <c r="AK395" i="58438"/>
  <c r="AK353" i="58438"/>
  <c r="AK313" i="58438"/>
  <c r="AK300" i="58438"/>
  <c r="AK213" i="58438"/>
  <c r="AK163" i="58438"/>
  <c r="AK113" i="58438"/>
  <c r="B23" i="58438"/>
  <c r="B27" i="58438" s="1"/>
  <c r="F23" i="58438"/>
  <c r="F29" i="58438" s="1"/>
  <c r="J23" i="58438"/>
  <c r="J28" i="58438" s="1"/>
  <c r="N23" i="58438"/>
  <c r="N29" i="58438" s="1"/>
  <c r="R23" i="58438"/>
  <c r="R26" i="58438" s="1"/>
  <c r="V23" i="58438"/>
  <c r="V29" i="58438" s="1"/>
  <c r="Z23" i="58438"/>
  <c r="Z30" i="58438" s="1"/>
  <c r="Q26" i="58438"/>
  <c r="U26" i="58438"/>
  <c r="Y26" i="58438"/>
  <c r="Y31" i="58438" s="1"/>
  <c r="N27" i="58438"/>
  <c r="R27" i="58438"/>
  <c r="O28" i="58438"/>
  <c r="S28" i="58438"/>
  <c r="W28" i="58438"/>
  <c r="AA28" i="58438"/>
  <c r="P29" i="58438"/>
  <c r="T29" i="58438"/>
  <c r="X29" i="58438"/>
  <c r="AB29" i="58438"/>
  <c r="Q30" i="58438"/>
  <c r="U30" i="58438"/>
  <c r="Y30" i="58438"/>
  <c r="M62" i="58438"/>
  <c r="AC62" i="58438"/>
  <c r="E72" i="58438"/>
  <c r="J66" i="58438"/>
  <c r="W82" i="58438"/>
  <c r="W84" i="58438"/>
  <c r="AI89" i="58438"/>
  <c r="AJ88" i="58438"/>
  <c r="AB84" i="58438"/>
  <c r="N113" i="58438"/>
  <c r="AD113" i="58438"/>
  <c r="F163" i="58438"/>
  <c r="V163" i="58438"/>
  <c r="AL163" i="58438"/>
  <c r="N213" i="58438"/>
  <c r="AD213" i="58438"/>
  <c r="AJ300" i="58438"/>
  <c r="K313" i="58438"/>
  <c r="AB321" i="58438"/>
  <c r="B405" i="58438"/>
  <c r="X322" i="58438"/>
  <c r="C336" i="58438"/>
  <c r="C322" i="58438"/>
  <c r="Q346" i="58438"/>
  <c r="G353" i="58438"/>
  <c r="AC88" i="58438"/>
  <c r="Q247" i="58438"/>
  <c r="Q242" i="58438"/>
  <c r="X242" i="58438"/>
  <c r="X247" i="58438"/>
  <c r="AI242" i="58438"/>
  <c r="AI35" i="58438" s="1"/>
  <c r="R319" i="58438"/>
  <c r="R321" i="58438"/>
  <c r="AU279" i="58438"/>
  <c r="R323" i="58438"/>
  <c r="S303" i="58438"/>
  <c r="P310" i="58438"/>
  <c r="T310" i="58438"/>
  <c r="X310" i="58438"/>
  <c r="AB310" i="58438"/>
  <c r="K310" i="58438"/>
  <c r="S325" i="58438"/>
  <c r="S234" i="58438" s="1"/>
  <c r="O316" i="58438"/>
  <c r="L344" i="58438"/>
  <c r="L318" i="58438"/>
  <c r="Q344" i="58438"/>
  <c r="U344" i="58438"/>
  <c r="Y344" i="58438"/>
  <c r="Y392" i="58438"/>
  <c r="AL218" i="58438"/>
  <c r="AL10" i="58438" s="1"/>
  <c r="T242" i="58438"/>
  <c r="T247" i="58438"/>
  <c r="W319" i="58438"/>
  <c r="V303" i="58438"/>
  <c r="K464" i="58438"/>
  <c r="K59" i="58438" s="1"/>
  <c r="K478" i="58438"/>
  <c r="K479" i="58438" s="1"/>
  <c r="K454" i="58438"/>
  <c r="K57" i="58438" s="1"/>
  <c r="O464" i="58438"/>
  <c r="O59" i="58438" s="1"/>
  <c r="O478" i="58438"/>
  <c r="O479" i="58438" s="1"/>
  <c r="O454" i="58438"/>
  <c r="O57" i="58438" s="1"/>
  <c r="S464" i="58438"/>
  <c r="S59" i="58438" s="1"/>
  <c r="S478" i="58438"/>
  <c r="S479" i="58438" s="1"/>
  <c r="S454" i="58438"/>
  <c r="S57" i="58438" s="1"/>
  <c r="W464" i="58438"/>
  <c r="W59" i="58438" s="1"/>
  <c r="W478" i="58438"/>
  <c r="W479" i="58438" s="1"/>
  <c r="W454" i="58438"/>
  <c r="W57" i="58438" s="1"/>
  <c r="AA464" i="58438"/>
  <c r="AA59" i="58438" s="1"/>
  <c r="AA478" i="58438"/>
  <c r="AA479" i="58438" s="1"/>
  <c r="AA454" i="58438"/>
  <c r="AA57" i="58438" s="1"/>
  <c r="AL464" i="58438"/>
  <c r="AL59" i="58438" s="1"/>
  <c r="AL454" i="58438"/>
  <c r="AL57" i="58438" s="1"/>
  <c r="AO339" i="6" s="1"/>
  <c r="BB339" i="6" s="1"/>
  <c r="K307" i="58438"/>
  <c r="C310" i="58438"/>
  <c r="B363" i="58438"/>
  <c r="Z318" i="58438"/>
  <c r="Y320" i="58438"/>
  <c r="C319" i="58438"/>
  <c r="N334" i="58438"/>
  <c r="V334" i="58438"/>
  <c r="I336" i="58438"/>
  <c r="I322" i="58438"/>
  <c r="Q336" i="58438"/>
  <c r="Q322" i="58438"/>
  <c r="U336" i="58438"/>
  <c r="U322" i="58438"/>
  <c r="L348" i="58438"/>
  <c r="L322" i="58438"/>
  <c r="Q348" i="58438"/>
  <c r="U348" i="58438"/>
  <c r="Y348" i="58438"/>
  <c r="B364" i="58438"/>
  <c r="K348" i="58438"/>
  <c r="F322" i="58438"/>
  <c r="C346" i="58438"/>
  <c r="U247" i="58438"/>
  <c r="U242" i="58438"/>
  <c r="AB319" i="58438"/>
  <c r="X318" i="58438"/>
  <c r="Z303" i="58438"/>
  <c r="T303" i="58438"/>
  <c r="V325" i="58438"/>
  <c r="V234" i="58438" s="1"/>
  <c r="C321" i="58438"/>
  <c r="N336" i="58438"/>
  <c r="V336" i="58438"/>
  <c r="P344" i="58438"/>
  <c r="P318" i="58438"/>
  <c r="T344" i="58438"/>
  <c r="T318" i="58438"/>
  <c r="AG10" i="58438"/>
  <c r="J478" i="58438"/>
  <c r="J479" i="58438" s="1"/>
  <c r="J464" i="58438"/>
  <c r="J59" i="58438" s="1"/>
  <c r="J454" i="58438"/>
  <c r="J57" i="58438" s="1"/>
  <c r="N478" i="58438"/>
  <c r="N479" i="58438" s="1"/>
  <c r="N464" i="58438"/>
  <c r="N59" i="58438" s="1"/>
  <c r="N454" i="58438"/>
  <c r="N57" i="58438" s="1"/>
  <c r="R478" i="58438"/>
  <c r="R479" i="58438" s="1"/>
  <c r="R464" i="58438"/>
  <c r="R59" i="58438" s="1"/>
  <c r="R454" i="58438"/>
  <c r="R57" i="58438" s="1"/>
  <c r="V478" i="58438"/>
  <c r="V479" i="58438" s="1"/>
  <c r="V464" i="58438"/>
  <c r="V59" i="58438" s="1"/>
  <c r="V454" i="58438"/>
  <c r="V57" i="58438" s="1"/>
  <c r="Z478" i="58438"/>
  <c r="Z479" i="58438" s="1"/>
  <c r="Z464" i="58438"/>
  <c r="Z59" i="58438" s="1"/>
  <c r="Z454" i="58438"/>
  <c r="Z57" i="58438" s="1"/>
  <c r="AD464" i="58438"/>
  <c r="AD59" i="58438" s="1"/>
  <c r="AD454" i="58438"/>
  <c r="AD57" i="58438" s="1"/>
  <c r="Q316" i="58438"/>
  <c r="AJ316" i="58438"/>
  <c r="AA320" i="58438"/>
  <c r="AJ320" i="58438"/>
  <c r="AI322" i="58438"/>
  <c r="C317" i="58438"/>
  <c r="I330" i="58438"/>
  <c r="C330" i="58438"/>
  <c r="M392" i="58438"/>
  <c r="U391" i="58438"/>
  <c r="U392" i="58438" s="1"/>
  <c r="L391" i="58438"/>
  <c r="L392" i="58438" s="1"/>
  <c r="T391" i="58438"/>
  <c r="Q391" i="58438"/>
  <c r="Q392" i="58438" s="1"/>
  <c r="C392" i="58438"/>
  <c r="AU295" i="58438"/>
  <c r="H464" i="58438"/>
  <c r="H59" i="58438" s="1"/>
  <c r="H478" i="58438"/>
  <c r="H479" i="58438" s="1"/>
  <c r="L464" i="58438"/>
  <c r="L59" i="58438" s="1"/>
  <c r="L478" i="58438"/>
  <c r="L479" i="58438" s="1"/>
  <c r="L454" i="58438"/>
  <c r="L57" i="58438" s="1"/>
  <c r="P464" i="58438"/>
  <c r="P59" i="58438" s="1"/>
  <c r="P478" i="58438"/>
  <c r="P479" i="58438" s="1"/>
  <c r="P454" i="58438"/>
  <c r="P57" i="58438" s="1"/>
  <c r="T464" i="58438"/>
  <c r="T59" i="58438" s="1"/>
  <c r="T478" i="58438"/>
  <c r="T479" i="58438" s="1"/>
  <c r="T454" i="58438"/>
  <c r="T57" i="58438" s="1"/>
  <c r="X464" i="58438"/>
  <c r="X59" i="58438" s="1"/>
  <c r="X478" i="58438"/>
  <c r="X479" i="58438" s="1"/>
  <c r="X454" i="58438"/>
  <c r="X57" i="58438" s="1"/>
  <c r="AB304" i="58438"/>
  <c r="AH316" i="58438"/>
  <c r="AI318" i="58438"/>
  <c r="AH320" i="58438"/>
  <c r="K330" i="58438"/>
  <c r="J342" i="58438"/>
  <c r="U425" i="58438"/>
  <c r="Y425" i="58438"/>
  <c r="H454" i="58438"/>
  <c r="H57" i="58438" s="1"/>
  <c r="I478" i="58438"/>
  <c r="I479" i="58438" s="1"/>
  <c r="I464" i="58438"/>
  <c r="I59" i="58438" s="1"/>
  <c r="I454" i="58438"/>
  <c r="I57" i="58438" s="1"/>
  <c r="M478" i="58438"/>
  <c r="M479" i="58438" s="1"/>
  <c r="M464" i="58438"/>
  <c r="M59" i="58438" s="1"/>
  <c r="M454" i="58438"/>
  <c r="M57" i="58438" s="1"/>
  <c r="Q478" i="58438"/>
  <c r="Q479" i="58438" s="1"/>
  <c r="Q464" i="58438"/>
  <c r="Q59" i="58438" s="1"/>
  <c r="Q454" i="58438"/>
  <c r="Q57" i="58438" s="1"/>
  <c r="U478" i="58438"/>
  <c r="U479" i="58438" s="1"/>
  <c r="U464" i="58438"/>
  <c r="U59" i="58438" s="1"/>
  <c r="U454" i="58438"/>
  <c r="U57" i="58438" s="1"/>
  <c r="Y478" i="58438"/>
  <c r="Y479" i="58438" s="1"/>
  <c r="Y464" i="58438"/>
  <c r="Y59" i="58438" s="1"/>
  <c r="Y454" i="58438"/>
  <c r="Y57" i="58438" s="1"/>
  <c r="AC464" i="58438"/>
  <c r="AC59" i="58438" s="1"/>
  <c r="AC454" i="58438"/>
  <c r="AC57" i="58438" s="1"/>
  <c r="AG304" i="58438"/>
  <c r="B402" i="58438"/>
  <c r="B362" i="58438"/>
  <c r="P316" i="58438"/>
  <c r="AI316" i="58438"/>
  <c r="AA318" i="58438"/>
  <c r="AJ318" i="58438"/>
  <c r="AI320" i="58438"/>
  <c r="AH322" i="58438"/>
  <c r="AG317" i="58438"/>
  <c r="K342" i="58438"/>
  <c r="I392" i="58438"/>
  <c r="B365" i="58438"/>
  <c r="N425" i="58438"/>
  <c r="B403" i="58438"/>
  <c r="O425" i="58438"/>
  <c r="J391" i="58438"/>
  <c r="J392" i="58438" s="1"/>
  <c r="N391" i="58438"/>
  <c r="N392" i="58438" s="1"/>
  <c r="R391" i="58438"/>
  <c r="R392" i="58438" s="1"/>
  <c r="V391" i="58438"/>
  <c r="Z391" i="58438"/>
  <c r="Z392" i="58438" s="1"/>
  <c r="B391" i="58438"/>
  <c r="R425" i="58438"/>
  <c r="V425" i="58438"/>
  <c r="Z425" i="58438"/>
  <c r="AE425" i="58438"/>
  <c r="K391" i="58438"/>
  <c r="K392" i="58438" s="1"/>
  <c r="O391" i="58438"/>
  <c r="O392" i="58438" s="1"/>
  <c r="S391" i="58438"/>
  <c r="W391" i="58438"/>
  <c r="AA391" i="58438"/>
  <c r="AE391" i="58438"/>
  <c r="AE392" i="58438" s="1"/>
  <c r="K425" i="58438"/>
  <c r="W425" i="58438"/>
  <c r="AA425" i="58438"/>
  <c r="S425" i="58438"/>
  <c r="H424" i="58438"/>
  <c r="H425" i="58438" s="1"/>
  <c r="L424" i="58438"/>
  <c r="L425" i="58438" s="1"/>
  <c r="P424" i="58438"/>
  <c r="P425" i="58438" s="1"/>
  <c r="T424" i="58438"/>
  <c r="T425" i="58438" s="1"/>
  <c r="X424" i="58438"/>
  <c r="X425" i="58438" s="1"/>
  <c r="AB424" i="58438"/>
  <c r="AB425" i="58438" s="1"/>
  <c r="B424" i="58438"/>
  <c r="C425" i="58438" s="1"/>
  <c r="AF367" i="58411"/>
  <c r="AG12" i="58411"/>
  <c r="AH19" i="58411"/>
  <c r="AE386" i="58411"/>
  <c r="AF100" i="58411"/>
  <c r="AG100" i="58411" s="1"/>
  <c r="AH100" i="58411" s="1"/>
  <c r="AI100" i="58411" s="1"/>
  <c r="AJ100" i="58411" s="1"/>
  <c r="AK100" i="58411" s="1"/>
  <c r="AL100" i="58411" s="1"/>
  <c r="AM100" i="58411" s="1"/>
  <c r="AN100" i="58411" s="1"/>
  <c r="AE132" i="58411"/>
  <c r="AH365" i="58411"/>
  <c r="AI10" i="58411"/>
  <c r="AH15" i="58411"/>
  <c r="AH37" i="58411"/>
  <c r="AE27" i="58411"/>
  <c r="AD391" i="58411"/>
  <c r="S400" i="58411"/>
  <c r="S415" i="58411" s="1"/>
  <c r="S417" i="58411" s="1"/>
  <c r="S57" i="58411"/>
  <c r="S54" i="58411"/>
  <c r="AH41" i="58411"/>
  <c r="AH45" i="58411"/>
  <c r="AJ47" i="58411"/>
  <c r="AI48" i="58411"/>
  <c r="M400" i="58411"/>
  <c r="M57" i="58411"/>
  <c r="M54" i="58411"/>
  <c r="H405" i="58411"/>
  <c r="H62" i="58411"/>
  <c r="H409" i="58411"/>
  <c r="H66" i="58411"/>
  <c r="R407" i="58411"/>
  <c r="R64" i="58411"/>
  <c r="W408" i="58411"/>
  <c r="W65" i="58411"/>
  <c r="AB406" i="58411"/>
  <c r="AB63" i="58411"/>
  <c r="K73" i="58411"/>
  <c r="K74" i="58411" s="1"/>
  <c r="P73" i="58411"/>
  <c r="P74" i="58411" s="1"/>
  <c r="AA73" i="58411"/>
  <c r="AA74" i="58411" s="1"/>
  <c r="AC93" i="58411"/>
  <c r="AD82" i="58411"/>
  <c r="AC366" i="58411"/>
  <c r="AG82" i="58411"/>
  <c r="AH82" i="58411" s="1"/>
  <c r="AI82" i="58411" s="1"/>
  <c r="AJ82" i="58411" s="1"/>
  <c r="AK82" i="58411" s="1"/>
  <c r="AL82" i="58411" s="1"/>
  <c r="AM82" i="58411" s="1"/>
  <c r="AN82" i="58411" s="1"/>
  <c r="AF93" i="58411"/>
  <c r="AF132" i="58411"/>
  <c r="AE122" i="58411"/>
  <c r="S144" i="58411"/>
  <c r="S145" i="58411" s="1"/>
  <c r="T144" i="58411"/>
  <c r="T145" i="58411" s="1"/>
  <c r="Y144" i="58411"/>
  <c r="Y145" i="58411" s="1"/>
  <c r="AA379" i="58411"/>
  <c r="AI14" i="58411"/>
  <c r="AG386" i="58411"/>
  <c r="AH29" i="58411"/>
  <c r="AI44" i="58411"/>
  <c r="AI118" i="58411"/>
  <c r="AH134" i="58411"/>
  <c r="AD375" i="58411"/>
  <c r="AH385" i="58411"/>
  <c r="AI28" i="58411"/>
  <c r="AH33" i="58411"/>
  <c r="M382" i="58411"/>
  <c r="M397" i="58411" s="1"/>
  <c r="M38" i="58411"/>
  <c r="W38" i="58411"/>
  <c r="W382" i="58411"/>
  <c r="AC388" i="58411"/>
  <c r="AD31" i="58411"/>
  <c r="AD388" i="58411" s="1"/>
  <c r="AF401" i="58411"/>
  <c r="AG42" i="58411"/>
  <c r="AF405" i="58411"/>
  <c r="AG46" i="58411"/>
  <c r="AH53" i="58411"/>
  <c r="H54" i="58411"/>
  <c r="AB54" i="58411"/>
  <c r="E72" i="58411"/>
  <c r="J73" i="58411" s="1"/>
  <c r="J74" i="58411" s="1"/>
  <c r="I72" i="58411"/>
  <c r="I73" i="58411" s="1"/>
  <c r="I74" i="58411" s="1"/>
  <c r="Y72" i="58411"/>
  <c r="AF58" i="58411"/>
  <c r="R60" i="58411"/>
  <c r="AG93" i="58411"/>
  <c r="M143" i="58411"/>
  <c r="W143" i="58411"/>
  <c r="AH119" i="58411"/>
  <c r="AG135" i="58411"/>
  <c r="H143" i="58411"/>
  <c r="R143" i="58411"/>
  <c r="R144" i="58411" s="1"/>
  <c r="R145" i="58411" s="1"/>
  <c r="AF114" i="58411"/>
  <c r="AG114" i="58411" s="1"/>
  <c r="AH114" i="58411" s="1"/>
  <c r="AI114" i="58411" s="1"/>
  <c r="AJ114" i="58411" s="1"/>
  <c r="AK114" i="58411" s="1"/>
  <c r="AL114" i="58411" s="1"/>
  <c r="AM114" i="58411" s="1"/>
  <c r="AN114" i="58411" s="1"/>
  <c r="AB131" i="58411"/>
  <c r="K144" i="58411"/>
  <c r="K145" i="58411" s="1"/>
  <c r="Z144" i="58411"/>
  <c r="Z145" i="58411" s="1"/>
  <c r="AE366" i="58411"/>
  <c r="AE379" i="58411" s="1"/>
  <c r="AH187" i="6" s="1"/>
  <c r="AF295" i="58411"/>
  <c r="AG295" i="58411" s="1"/>
  <c r="AH295" i="58411" s="1"/>
  <c r="AI295" i="58411" s="1"/>
  <c r="AJ295" i="58411" s="1"/>
  <c r="AK295" i="58411" s="1"/>
  <c r="AL295" i="58411" s="1"/>
  <c r="AM295" i="58411" s="1"/>
  <c r="AN295" i="58411" s="1"/>
  <c r="AE306" i="58411"/>
  <c r="AE343" i="58411"/>
  <c r="AG382" i="58411"/>
  <c r="AH25" i="58411"/>
  <c r="AC390" i="58411"/>
  <c r="AD33" i="58411"/>
  <c r="AD390" i="58411" s="1"/>
  <c r="AG50" i="58411"/>
  <c r="V73" i="58411"/>
  <c r="V74" i="58411" s="1"/>
  <c r="AD83" i="58411"/>
  <c r="AD367" i="58411" s="1"/>
  <c r="AB93" i="58411"/>
  <c r="O144" i="58411"/>
  <c r="O145" i="58411" s="1"/>
  <c r="AG16" i="58411"/>
  <c r="AI18" i="58411"/>
  <c r="AH11" i="58411"/>
  <c r="AG20" i="58411"/>
  <c r="M364" i="58411"/>
  <c r="M22" i="58411"/>
  <c r="W364" i="58411"/>
  <c r="W22" i="58411"/>
  <c r="AC10" i="58411"/>
  <c r="AC22" i="58411" s="1"/>
  <c r="AB365" i="58411"/>
  <c r="AB369" i="58411"/>
  <c r="AC14" i="58411"/>
  <c r="AB373" i="58411"/>
  <c r="AC18" i="58411"/>
  <c r="R22" i="58411"/>
  <c r="AG26" i="58411"/>
  <c r="AF387" i="58411"/>
  <c r="AG30" i="58411"/>
  <c r="AH389" i="58411"/>
  <c r="AI32" i="58411"/>
  <c r="AD25" i="58411"/>
  <c r="AC382" i="58411"/>
  <c r="AC38" i="58411"/>
  <c r="AC386" i="58411"/>
  <c r="AD29" i="58411"/>
  <c r="AD386" i="58411" s="1"/>
  <c r="R38" i="58411"/>
  <c r="AH49" i="58411"/>
  <c r="AJ51" i="58411"/>
  <c r="AI52" i="58411"/>
  <c r="AC43" i="58411"/>
  <c r="AC406" i="58411"/>
  <c r="AD47" i="58411"/>
  <c r="AD406" i="58411" s="1"/>
  <c r="AC412" i="58411"/>
  <c r="AD53" i="58411"/>
  <c r="B72" i="58411"/>
  <c r="C73" i="58411" s="1"/>
  <c r="C74" i="58411" s="1"/>
  <c r="O72" i="58411"/>
  <c r="O73" i="58411" s="1"/>
  <c r="O74" i="58411" s="1"/>
  <c r="U72" i="58411"/>
  <c r="U73" i="58411" s="1"/>
  <c r="U74" i="58411" s="1"/>
  <c r="AF62" i="58411"/>
  <c r="W61" i="58411"/>
  <c r="AD87" i="58411"/>
  <c r="AD371" i="58411" s="1"/>
  <c r="AB135" i="58411"/>
  <c r="AH93" i="58411"/>
  <c r="AI80" i="58411"/>
  <c r="AD98" i="58411"/>
  <c r="AE98" i="58411" s="1"/>
  <c r="AF98" i="58411" s="1"/>
  <c r="AG98" i="58411" s="1"/>
  <c r="AH98" i="58411" s="1"/>
  <c r="AI98" i="58411" s="1"/>
  <c r="AJ98" i="58411" s="1"/>
  <c r="AK98" i="58411" s="1"/>
  <c r="AL98" i="58411" s="1"/>
  <c r="AM98" i="58411" s="1"/>
  <c r="AN98" i="58411" s="1"/>
  <c r="AC384" i="58411"/>
  <c r="AD125" i="58411"/>
  <c r="AH133" i="58411"/>
  <c r="AA144" i="58411"/>
  <c r="AA145" i="58411" s="1"/>
  <c r="X144" i="58411"/>
  <c r="X145" i="58411" s="1"/>
  <c r="I144" i="58411"/>
  <c r="I145" i="58411" s="1"/>
  <c r="Q144" i="58411"/>
  <c r="Q145" i="58411" s="1"/>
  <c r="R125" i="58411"/>
  <c r="AF135" i="58411"/>
  <c r="V373" i="58411"/>
  <c r="W160" i="58411"/>
  <c r="AH167" i="58411"/>
  <c r="AC209" i="58411"/>
  <c r="AD193" i="58411"/>
  <c r="AD410" i="58411" s="1"/>
  <c r="AG264" i="58411"/>
  <c r="O286" i="58411"/>
  <c r="O287" i="58411" s="1"/>
  <c r="H341" i="58411"/>
  <c r="H338" i="58411"/>
  <c r="Q357" i="58411"/>
  <c r="Q358" i="58411" s="1"/>
  <c r="L489" i="58411"/>
  <c r="L490" i="58411" s="1"/>
  <c r="H861" i="58411"/>
  <c r="AC375" i="58411"/>
  <c r="AG365" i="58411"/>
  <c r="AF366" i="58411"/>
  <c r="R369" i="58411"/>
  <c r="R373" i="58411"/>
  <c r="AF386" i="58411"/>
  <c r="AG389" i="58411"/>
  <c r="H383" i="58411"/>
  <c r="R383" i="58411"/>
  <c r="AD26" i="58411"/>
  <c r="AD387" i="58411"/>
  <c r="AD389" i="58411"/>
  <c r="A804" i="58411"/>
  <c r="A445" i="58411"/>
  <c r="A386" i="58411"/>
  <c r="AD392" i="58411"/>
  <c r="R394" i="58411"/>
  <c r="AD394" i="58411"/>
  <c r="R400" i="58411"/>
  <c r="AG407" i="58411"/>
  <c r="H408" i="58411"/>
  <c r="R406" i="58411"/>
  <c r="W403" i="58411"/>
  <c r="W407" i="58411"/>
  <c r="AB401" i="58411"/>
  <c r="AB405" i="58411"/>
  <c r="AB409" i="58411"/>
  <c r="AD403" i="58411"/>
  <c r="AD407" i="58411"/>
  <c r="W54" i="58411"/>
  <c r="W57" i="58411"/>
  <c r="H58" i="58411"/>
  <c r="H72" i="58411" s="1"/>
  <c r="H73" i="58411" s="1"/>
  <c r="H74" i="58411" s="1"/>
  <c r="AF57" i="58411"/>
  <c r="AG60" i="58411"/>
  <c r="AF61" i="58411"/>
  <c r="AG64" i="58411"/>
  <c r="AF65" i="58411"/>
  <c r="M60" i="58411"/>
  <c r="R61" i="58411"/>
  <c r="AB62" i="58411"/>
  <c r="H63" i="58411"/>
  <c r="T64" i="58411"/>
  <c r="T72" i="58411" s="1"/>
  <c r="T73" i="58411" s="1"/>
  <c r="T74" i="58411" s="1"/>
  <c r="AB64" i="58411"/>
  <c r="H65" i="58411"/>
  <c r="AB65" i="58411"/>
  <c r="AB66" i="58411"/>
  <c r="H69" i="58411"/>
  <c r="AB69" i="58411"/>
  <c r="M109" i="58411"/>
  <c r="AC109" i="58411"/>
  <c r="A123" i="58411"/>
  <c r="M125" i="58411"/>
  <c r="AC125" i="58411"/>
  <c r="AG134" i="58411"/>
  <c r="AB128" i="58411"/>
  <c r="AB143" i="58411" s="1"/>
  <c r="AB144" i="58411" s="1"/>
  <c r="AB145" i="58411" s="1"/>
  <c r="AB132" i="58411"/>
  <c r="A139" i="58411"/>
  <c r="V364" i="58411"/>
  <c r="H164" i="58411"/>
  <c r="AD169" i="58411"/>
  <c r="AE169" i="58411" s="1"/>
  <c r="AC180" i="58411"/>
  <c r="AH186" i="58411"/>
  <c r="AG202" i="58411"/>
  <c r="AH204" i="58411"/>
  <c r="AI188" i="58411"/>
  <c r="AH190" i="58411"/>
  <c r="AG206" i="58411"/>
  <c r="H199" i="58411"/>
  <c r="H196" i="58411"/>
  <c r="H202" i="58411"/>
  <c r="AE406" i="58411"/>
  <c r="AE205" i="58411"/>
  <c r="AF189" i="58411"/>
  <c r="M205" i="58411"/>
  <c r="AD194" i="58411"/>
  <c r="AC210" i="58411"/>
  <c r="B214" i="58411"/>
  <c r="C215" i="58411" s="1"/>
  <c r="C216" i="58411" s="1"/>
  <c r="F214" i="58411"/>
  <c r="K214" i="58411"/>
  <c r="AA214" i="58411"/>
  <c r="AF206" i="58411"/>
  <c r="AC235" i="58411"/>
  <c r="AD222" i="58411"/>
  <c r="AD235" i="58411" s="1"/>
  <c r="AH238" i="58411"/>
  <c r="H251" i="58411"/>
  <c r="R251" i="58411"/>
  <c r="AD251" i="58411"/>
  <c r="AF270" i="58411"/>
  <c r="AG260" i="58411"/>
  <c r="AJ262" i="58411"/>
  <c r="AH265" i="58411"/>
  <c r="R267" i="58411"/>
  <c r="D285" i="58411"/>
  <c r="I285" i="58411"/>
  <c r="R270" i="58411"/>
  <c r="AB270" i="58411"/>
  <c r="A280" i="58411"/>
  <c r="AC306" i="58411"/>
  <c r="AG306" i="58411"/>
  <c r="AH293" i="58411"/>
  <c r="AC322" i="58411"/>
  <c r="AF343" i="58411"/>
  <c r="AG332" i="58411"/>
  <c r="AF348" i="58411"/>
  <c r="AH337" i="58411"/>
  <c r="H348" i="58411"/>
  <c r="M347" i="58411"/>
  <c r="R346" i="58411"/>
  <c r="R350" i="58411"/>
  <c r="W347" i="58411"/>
  <c r="W356" i="58411" s="1"/>
  <c r="AB338" i="58411"/>
  <c r="AB345" i="58411"/>
  <c r="AB349" i="58411"/>
  <c r="M353" i="58411"/>
  <c r="B356" i="58411"/>
  <c r="C357" i="58411" s="1"/>
  <c r="C358" i="58411" s="1"/>
  <c r="F356" i="58411"/>
  <c r="K356" i="58411"/>
  <c r="P357" i="58411" s="1"/>
  <c r="P358" i="58411" s="1"/>
  <c r="U357" i="58411"/>
  <c r="U358" i="58411" s="1"/>
  <c r="Y356" i="58411"/>
  <c r="Y357" i="58411" s="1"/>
  <c r="Y358" i="58411" s="1"/>
  <c r="P379" i="58411"/>
  <c r="U379" i="58411"/>
  <c r="AH151" i="58411"/>
  <c r="AG164" i="58411"/>
  <c r="AC164" i="58411"/>
  <c r="AD153" i="58411"/>
  <c r="AD366" i="58411" s="1"/>
  <c r="W206" i="58411"/>
  <c r="Z215" i="58411"/>
  <c r="Z216" i="58411" s="1"/>
  <c r="Q215" i="58411"/>
  <c r="Q216" i="58411" s="1"/>
  <c r="AG271" i="58411"/>
  <c r="AH255" i="58411"/>
  <c r="X286" i="58411"/>
  <c r="X287" i="58411" s="1"/>
  <c r="AC286" i="58411"/>
  <c r="AC287" i="58411" s="1"/>
  <c r="AG343" i="58411"/>
  <c r="AH327" i="58411"/>
  <c r="R341" i="58411"/>
  <c r="R338" i="58411"/>
  <c r="H379" i="58411"/>
  <c r="D417" i="58411"/>
  <c r="AE484" i="58411"/>
  <c r="AF436" i="58411"/>
  <c r="AG436" i="58411" s="1"/>
  <c r="AH436" i="58411" s="1"/>
  <c r="AI436" i="58411" s="1"/>
  <c r="AJ436" i="58411" s="1"/>
  <c r="AK436" i="58411" s="1"/>
  <c r="AL436" i="58411" s="1"/>
  <c r="AM436" i="58411" s="1"/>
  <c r="AN436" i="58411" s="1"/>
  <c r="AC364" i="58411"/>
  <c r="AC368" i="58411"/>
  <c r="AC372" i="58411"/>
  <c r="M365" i="58411"/>
  <c r="W365" i="58411"/>
  <c r="W383" i="58411"/>
  <c r="AF406" i="58411"/>
  <c r="M407" i="58411"/>
  <c r="AD42" i="58411"/>
  <c r="AD401" i="58411" s="1"/>
  <c r="AD46" i="58411"/>
  <c r="AD405" i="58411" s="1"/>
  <c r="AD50" i="58411"/>
  <c r="AC403" i="58411"/>
  <c r="AC407" i="58411"/>
  <c r="R58" i="58411"/>
  <c r="AF63" i="58411"/>
  <c r="AB57" i="58411"/>
  <c r="W60" i="58411"/>
  <c r="AB61" i="58411"/>
  <c r="R63" i="58411"/>
  <c r="R65" i="58411"/>
  <c r="R69" i="58411"/>
  <c r="A830" i="58411"/>
  <c r="A810" i="58411"/>
  <c r="A735" i="58411"/>
  <c r="A790" i="58411"/>
  <c r="A767" i="58411"/>
  <c r="A751" i="58411"/>
  <c r="A719" i="58411"/>
  <c r="A680" i="58411"/>
  <c r="A648" i="58411"/>
  <c r="A625" i="58411"/>
  <c r="A696" i="58411"/>
  <c r="A664" i="58411"/>
  <c r="A522" i="58411"/>
  <c r="A506" i="58411"/>
  <c r="A609" i="58411"/>
  <c r="A593" i="58411"/>
  <c r="A577" i="58411"/>
  <c r="A554" i="58411"/>
  <c r="A538" i="58411"/>
  <c r="A392" i="58411"/>
  <c r="A467" i="58411"/>
  <c r="A410" i="58411"/>
  <c r="A483" i="58411"/>
  <c r="A451" i="58411"/>
  <c r="A435" i="58411"/>
  <c r="A319" i="58411"/>
  <c r="A264" i="58411"/>
  <c r="A177" i="58411"/>
  <c r="A351" i="58411"/>
  <c r="A335" i="58411"/>
  <c r="A303" i="58411"/>
  <c r="A248" i="58411"/>
  <c r="A232" i="58411"/>
  <c r="A161" i="58411"/>
  <c r="AI96" i="58411"/>
  <c r="AD97" i="58411"/>
  <c r="W109" i="58411"/>
  <c r="AI113" i="58411"/>
  <c r="AG115" i="58411"/>
  <c r="AI117" i="58411"/>
  <c r="AI121" i="58411"/>
  <c r="AE123" i="58411"/>
  <c r="AE125" i="58411" s="1"/>
  <c r="C143" i="58411"/>
  <c r="C144" i="58411" s="1"/>
  <c r="C145" i="58411" s="1"/>
  <c r="M164" i="58411"/>
  <c r="V206" i="58411"/>
  <c r="W158" i="58411"/>
  <c r="W371" i="58411" s="1"/>
  <c r="AF199" i="58411"/>
  <c r="AG200" i="58411"/>
  <c r="AH185" i="58411"/>
  <c r="W199" i="58411"/>
  <c r="R202" i="58411"/>
  <c r="AD192" i="58411"/>
  <c r="AD196" i="58411" s="1"/>
  <c r="AC208" i="58411"/>
  <c r="AC214" i="58411" s="1"/>
  <c r="AC211" i="58411"/>
  <c r="AD195" i="58411"/>
  <c r="D214" i="58411"/>
  <c r="I215" i="58411" s="1"/>
  <c r="I216" i="58411" s="1"/>
  <c r="N214" i="58411"/>
  <c r="N215" i="58411" s="1"/>
  <c r="N216" i="58411" s="1"/>
  <c r="R199" i="58411"/>
  <c r="R214" i="58411" s="1"/>
  <c r="V199" i="58411"/>
  <c r="AH222" i="58411"/>
  <c r="AI242" i="58411"/>
  <c r="AJ242" i="58411" s="1"/>
  <c r="AK242" i="58411" s="1"/>
  <c r="AL242" i="58411" s="1"/>
  <c r="AM242" i="58411" s="1"/>
  <c r="AN242" i="58411" s="1"/>
  <c r="AC267" i="58411"/>
  <c r="AJ254" i="58411"/>
  <c r="AG273" i="58411"/>
  <c r="AH257" i="58411"/>
  <c r="AH259" i="58411"/>
  <c r="R271" i="58411"/>
  <c r="K286" i="58411"/>
  <c r="K287" i="58411" s="1"/>
  <c r="P285" i="58411"/>
  <c r="P286" i="58411" s="1"/>
  <c r="P287" i="58411" s="1"/>
  <c r="T285" i="58411"/>
  <c r="T286" i="58411" s="1"/>
  <c r="T287" i="58411" s="1"/>
  <c r="AB306" i="58411"/>
  <c r="AF346" i="58411"/>
  <c r="AH331" i="58411"/>
  <c r="AB343" i="58411"/>
  <c r="W353" i="58411"/>
  <c r="I356" i="58411"/>
  <c r="I357" i="58411" s="1"/>
  <c r="I358" i="58411" s="1"/>
  <c r="I379" i="58411"/>
  <c r="Y379" i="58411"/>
  <c r="AE376" i="58411"/>
  <c r="AC370" i="58411"/>
  <c r="AD164" i="58411"/>
  <c r="V208" i="58411"/>
  <c r="AJ266" i="58411"/>
  <c r="R282" i="58411"/>
  <c r="S286" i="58411"/>
  <c r="S287" i="58411" s="1"/>
  <c r="AD306" i="58411"/>
  <c r="AI309" i="58411"/>
  <c r="AG336" i="58411"/>
  <c r="AD9" i="58411"/>
  <c r="AD13" i="58411"/>
  <c r="AD368" i="58411" s="1"/>
  <c r="AD17" i="58411"/>
  <c r="AD372" i="58411" s="1"/>
  <c r="AD19" i="58411"/>
  <c r="AD374" i="58411" s="1"/>
  <c r="AG9" i="58411"/>
  <c r="AG13" i="58411"/>
  <c r="AG17" i="58411"/>
  <c r="AG21" i="58411"/>
  <c r="AG69" i="58411" s="1"/>
  <c r="R379" i="58411"/>
  <c r="M369" i="58411"/>
  <c r="M373" i="58411"/>
  <c r="W369" i="58411"/>
  <c r="W373" i="58411"/>
  <c r="AB367" i="58411"/>
  <c r="AB379" i="58411" s="1"/>
  <c r="AE187" i="6" s="1"/>
  <c r="AB371" i="58411"/>
  <c r="AC21" i="58411"/>
  <c r="AB22" i="58411"/>
  <c r="AF22" i="58411"/>
  <c r="AG31" i="58411"/>
  <c r="H397" i="58411"/>
  <c r="H385" i="58411"/>
  <c r="R388" i="58411"/>
  <c r="R397" i="58411" s="1"/>
  <c r="U327" i="6" s="1"/>
  <c r="W385" i="58411"/>
  <c r="W389" i="58411"/>
  <c r="AB383" i="58411"/>
  <c r="AB387" i="58411"/>
  <c r="AB397" i="58411" s="1"/>
  <c r="AE327" i="6" s="1"/>
  <c r="IP670" i="58479" s="1"/>
  <c r="AB391" i="58411"/>
  <c r="AC392" i="58411"/>
  <c r="AD36" i="58411"/>
  <c r="H38" i="58411"/>
  <c r="AB38" i="58411"/>
  <c r="AF403" i="58411"/>
  <c r="AF407" i="58411"/>
  <c r="H400" i="58411"/>
  <c r="H415" i="58411" s="1"/>
  <c r="H417" i="58411" s="1"/>
  <c r="H418" i="58411" s="1"/>
  <c r="H419" i="58411" s="1"/>
  <c r="H403" i="58411"/>
  <c r="H407" i="58411"/>
  <c r="R405" i="58411"/>
  <c r="R409" i="58411"/>
  <c r="W406" i="58411"/>
  <c r="AB415" i="58411"/>
  <c r="AC400" i="58411"/>
  <c r="W412" i="58411"/>
  <c r="W415" i="58411" s="1"/>
  <c r="R54" i="58411"/>
  <c r="R57" i="58411"/>
  <c r="S58" i="58411"/>
  <c r="W58" i="58411"/>
  <c r="AF60" i="58411"/>
  <c r="AF64" i="58411"/>
  <c r="AB58" i="58411"/>
  <c r="H60" i="58411"/>
  <c r="AB60" i="58411"/>
  <c r="W62" i="58411"/>
  <c r="W63" i="58411"/>
  <c r="W64" i="58411"/>
  <c r="W66" i="58411"/>
  <c r="W69" i="58411"/>
  <c r="A811" i="58411"/>
  <c r="A831" i="58411"/>
  <c r="A720" i="58411"/>
  <c r="A791" i="58411"/>
  <c r="A768" i="58411"/>
  <c r="A752" i="58411"/>
  <c r="A736" i="58411"/>
  <c r="A649" i="58411"/>
  <c r="A626" i="58411"/>
  <c r="A665" i="58411"/>
  <c r="A697" i="58411"/>
  <c r="A681" i="58411"/>
  <c r="A610" i="58411"/>
  <c r="A594" i="58411"/>
  <c r="A578" i="58411"/>
  <c r="A555" i="58411"/>
  <c r="A539" i="58411"/>
  <c r="A523" i="58411"/>
  <c r="A507" i="58411"/>
  <c r="A468" i="58411"/>
  <c r="A411" i="58411"/>
  <c r="A484" i="58411"/>
  <c r="A452" i="58411"/>
  <c r="A436" i="58411"/>
  <c r="A393" i="58411"/>
  <c r="A352" i="58411"/>
  <c r="A336" i="58411"/>
  <c r="A304" i="58411"/>
  <c r="A375" i="58411"/>
  <c r="A281" i="58411"/>
  <c r="A210" i="58411"/>
  <c r="A194" i="58411"/>
  <c r="A320" i="58411"/>
  <c r="A265" i="58411"/>
  <c r="A178" i="58411"/>
  <c r="A106" i="58411"/>
  <c r="AG112" i="58411"/>
  <c r="AG116" i="58411"/>
  <c r="AG120" i="58411"/>
  <c r="AG124" i="58411"/>
  <c r="A122" i="58411"/>
  <c r="H125" i="58411"/>
  <c r="A138" i="58411"/>
  <c r="R164" i="58411"/>
  <c r="V369" i="58411"/>
  <c r="W156" i="58411"/>
  <c r="A162" i="58411"/>
  <c r="W163" i="58411"/>
  <c r="X163" i="58411" s="1"/>
  <c r="V211" i="58411"/>
  <c r="AD180" i="58411"/>
  <c r="AH200" i="58411"/>
  <c r="AI184" i="58411"/>
  <c r="AF203" i="58411"/>
  <c r="AG204" i="58411"/>
  <c r="AF207" i="58411"/>
  <c r="M200" i="58411"/>
  <c r="M214" i="58411" s="1"/>
  <c r="W204" i="58411"/>
  <c r="W208" i="58411"/>
  <c r="AB202" i="58411"/>
  <c r="AB214" i="58411" s="1"/>
  <c r="A193" i="58411"/>
  <c r="J214" i="58411"/>
  <c r="J215" i="58411" s="1"/>
  <c r="J216" i="58411" s="1"/>
  <c r="O214" i="58411"/>
  <c r="T215" i="58411" s="1"/>
  <c r="T216" i="58411" s="1"/>
  <c r="S214" i="58411"/>
  <c r="S215" i="58411" s="1"/>
  <c r="S216" i="58411" s="1"/>
  <c r="AF202" i="58411"/>
  <c r="V204" i="58411"/>
  <c r="A209" i="58411"/>
  <c r="AF226" i="58411"/>
  <c r="AE274" i="58411"/>
  <c r="AE235" i="58411"/>
  <c r="AF227" i="58411"/>
  <c r="AE369" i="58411"/>
  <c r="AE275" i="58411"/>
  <c r="AE370" i="58411"/>
  <c r="AF228" i="58411"/>
  <c r="AG228" i="58411" s="1"/>
  <c r="AH228" i="58411" s="1"/>
  <c r="AI228" i="58411" s="1"/>
  <c r="AJ228" i="58411" s="1"/>
  <c r="AK228" i="58411" s="1"/>
  <c r="AL228" i="58411" s="1"/>
  <c r="AM228" i="58411" s="1"/>
  <c r="AN228" i="58411" s="1"/>
  <c r="AE276" i="58411"/>
  <c r="AF229" i="58411"/>
  <c r="AE371" i="58411"/>
  <c r="AE277" i="58411"/>
  <c r="AF231" i="58411"/>
  <c r="AG231" i="58411" s="1"/>
  <c r="AH231" i="58411" s="1"/>
  <c r="AI231" i="58411" s="1"/>
  <c r="AJ231" i="58411" s="1"/>
  <c r="AK231" i="58411" s="1"/>
  <c r="AL231" i="58411" s="1"/>
  <c r="AM231" i="58411" s="1"/>
  <c r="AN231" i="58411" s="1"/>
  <c r="AE373" i="58411"/>
  <c r="AE374" i="58411"/>
  <c r="AF232" i="58411"/>
  <c r="AG232" i="58411" s="1"/>
  <c r="AH232" i="58411" s="1"/>
  <c r="AI232" i="58411" s="1"/>
  <c r="AJ232" i="58411" s="1"/>
  <c r="AK232" i="58411" s="1"/>
  <c r="AL232" i="58411" s="1"/>
  <c r="AM232" i="58411" s="1"/>
  <c r="AN232" i="58411" s="1"/>
  <c r="AF233" i="58411"/>
  <c r="AG233" i="58411" s="1"/>
  <c r="AH233" i="58411" s="1"/>
  <c r="AI233" i="58411" s="1"/>
  <c r="AJ233" i="58411" s="1"/>
  <c r="AK233" i="58411" s="1"/>
  <c r="AL233" i="58411" s="1"/>
  <c r="AM233" i="58411" s="1"/>
  <c r="AN233" i="58411" s="1"/>
  <c r="AE375" i="58411"/>
  <c r="AB251" i="58411"/>
  <c r="AF272" i="58411"/>
  <c r="AG256" i="58411"/>
  <c r="AJ258" i="58411"/>
  <c r="AH261" i="58411"/>
  <c r="AH263" i="58411"/>
  <c r="H276" i="58411"/>
  <c r="H285" i="58411" s="1"/>
  <c r="H286" i="58411" s="1"/>
  <c r="H287" i="58411" s="1"/>
  <c r="M275" i="58411"/>
  <c r="M285" i="58411" s="1"/>
  <c r="M279" i="58411"/>
  <c r="R278" i="58411"/>
  <c r="W275" i="58411"/>
  <c r="W285" i="58411" s="1"/>
  <c r="W279" i="58411"/>
  <c r="AB273" i="58411"/>
  <c r="AB277" i="58411"/>
  <c r="C286" i="58411"/>
  <c r="C287" i="58411" s="1"/>
  <c r="L285" i="58411"/>
  <c r="L286" i="58411" s="1"/>
  <c r="L287" i="58411" s="1"/>
  <c r="Q285" i="58411"/>
  <c r="V286" i="58411" s="1"/>
  <c r="V287" i="58411" s="1"/>
  <c r="U285" i="58411"/>
  <c r="U286" i="58411" s="1"/>
  <c r="U287" i="58411" s="1"/>
  <c r="AA286" i="58411"/>
  <c r="AA287" i="58411" s="1"/>
  <c r="AF273" i="58411"/>
  <c r="R306" i="58411"/>
  <c r="AF306" i="58411"/>
  <c r="AG328" i="58411"/>
  <c r="AF344" i="58411"/>
  <c r="AH335" i="58411"/>
  <c r="M356" i="58411"/>
  <c r="R344" i="58411"/>
  <c r="W338" i="58411"/>
  <c r="E356" i="58411"/>
  <c r="J356" i="58411"/>
  <c r="J357" i="58411" s="1"/>
  <c r="J358" i="58411" s="1"/>
  <c r="AD357" i="58411"/>
  <c r="AD358" i="58411" s="1"/>
  <c r="B379" i="58411"/>
  <c r="F379" i="58411"/>
  <c r="T379" i="58411"/>
  <c r="T417" i="58411" s="1"/>
  <c r="T418" i="58411" s="1"/>
  <c r="T419" i="58411" s="1"/>
  <c r="Z379" i="58411"/>
  <c r="AE372" i="58411"/>
  <c r="V371" i="58411"/>
  <c r="M196" i="58411"/>
  <c r="AC196" i="58411"/>
  <c r="V205" i="58411"/>
  <c r="M267" i="58411"/>
  <c r="AG267" i="58411"/>
  <c r="AH325" i="58411"/>
  <c r="AG326" i="58411"/>
  <c r="AH329" i="58411"/>
  <c r="AG330" i="58411"/>
  <c r="AH333" i="58411"/>
  <c r="AG334" i="58411"/>
  <c r="AB341" i="58411"/>
  <c r="AB356" i="58411" s="1"/>
  <c r="V372" i="58411"/>
  <c r="B397" i="58411"/>
  <c r="B417" i="58411" s="1"/>
  <c r="F397" i="58411"/>
  <c r="F417" i="58411" s="1"/>
  <c r="J397" i="58411"/>
  <c r="N397" i="58411"/>
  <c r="N417" i="58411" s="1"/>
  <c r="V397" i="58411"/>
  <c r="Z397" i="58411"/>
  <c r="C417" i="58411"/>
  <c r="G417" i="58411"/>
  <c r="L417" i="58411"/>
  <c r="AA417" i="58411"/>
  <c r="AE483" i="58411"/>
  <c r="AF435" i="58411"/>
  <c r="AG435" i="58411" s="1"/>
  <c r="AH435" i="58411" s="1"/>
  <c r="AI435" i="58411" s="1"/>
  <c r="AJ435" i="58411" s="1"/>
  <c r="AK435" i="58411" s="1"/>
  <c r="AL435" i="58411" s="1"/>
  <c r="AM435" i="58411" s="1"/>
  <c r="AN435" i="58411" s="1"/>
  <c r="K489" i="58411"/>
  <c r="K490" i="58411" s="1"/>
  <c r="W196" i="58411"/>
  <c r="W267" i="58411"/>
  <c r="AF338" i="58411"/>
  <c r="AC417" i="58411"/>
  <c r="J417" i="58411"/>
  <c r="O417" i="58411"/>
  <c r="U417" i="58411"/>
  <c r="Z417" i="58411"/>
  <c r="AC848" i="58411"/>
  <c r="AC783" i="58411"/>
  <c r="AD428" i="58411"/>
  <c r="AF483" i="58411"/>
  <c r="I489" i="58411"/>
  <c r="I490" i="58411" s="1"/>
  <c r="N489" i="58411"/>
  <c r="N490" i="58411" s="1"/>
  <c r="Y489" i="58411"/>
  <c r="Y490" i="58411" s="1"/>
  <c r="AD489" i="58411"/>
  <c r="AD490" i="58411" s="1"/>
  <c r="AG183" i="58411"/>
  <c r="AG187" i="58411"/>
  <c r="AG191" i="58411"/>
  <c r="H267" i="58411"/>
  <c r="AF267" i="58411"/>
  <c r="AD325" i="58411"/>
  <c r="AD338" i="58411" s="1"/>
  <c r="M338" i="58411"/>
  <c r="AG338" i="58411"/>
  <c r="AC357" i="58411"/>
  <c r="AC358" i="58411" s="1"/>
  <c r="E397" i="58411"/>
  <c r="E417" i="58411" s="1"/>
  <c r="I397" i="58411"/>
  <c r="I417" i="58411" s="1"/>
  <c r="I418" i="58411" s="1"/>
  <c r="I419" i="58411" s="1"/>
  <c r="Q397" i="58411"/>
  <c r="Q417" i="58411" s="1"/>
  <c r="Q418" i="58411" s="1"/>
  <c r="Q419" i="58411" s="1"/>
  <c r="U397" i="58411"/>
  <c r="Y397" i="58411"/>
  <c r="Y417" i="58411" s="1"/>
  <c r="K417" i="58411"/>
  <c r="P417" i="58411"/>
  <c r="J489" i="58411"/>
  <c r="J490" i="58411" s="1"/>
  <c r="Z489" i="58411"/>
  <c r="Z490" i="58411" s="1"/>
  <c r="O845" i="58411"/>
  <c r="O780" i="58411"/>
  <c r="AG426" i="58411"/>
  <c r="M845" i="58411"/>
  <c r="M780" i="58411"/>
  <c r="R848" i="58411"/>
  <c r="S848" i="58411"/>
  <c r="M931" i="58411"/>
  <c r="W931" i="58411"/>
  <c r="AD437" i="58411"/>
  <c r="O438" i="58411"/>
  <c r="AG442" i="58411"/>
  <c r="AG446" i="58411"/>
  <c r="AG450" i="58411"/>
  <c r="H872" i="58411"/>
  <c r="H873" i="58411" s="1"/>
  <c r="H803" i="58411"/>
  <c r="H875" i="58411"/>
  <c r="H807" i="58411"/>
  <c r="R872" i="58411"/>
  <c r="R803" i="58411"/>
  <c r="R875" i="58411"/>
  <c r="R807" i="58411"/>
  <c r="AD458" i="58411"/>
  <c r="AD821" i="58411" s="1"/>
  <c r="AD462" i="58411"/>
  <c r="AD825" i="58411" s="1"/>
  <c r="AD466" i="58411"/>
  <c r="AD829" i="58411" s="1"/>
  <c r="AG459" i="58411"/>
  <c r="AF901" i="58411"/>
  <c r="AF902" i="58411" s="1"/>
  <c r="AF823" i="58411"/>
  <c r="AG463" i="58411"/>
  <c r="AF904" i="58411"/>
  <c r="AF905" i="58411" s="1"/>
  <c r="AF827" i="58411"/>
  <c r="AG467" i="58411"/>
  <c r="H898" i="58411"/>
  <c r="H820" i="58411"/>
  <c r="R898" i="58411"/>
  <c r="R820" i="58411"/>
  <c r="W901" i="58411"/>
  <c r="W902" i="58411" s="1"/>
  <c r="W823" i="58411"/>
  <c r="W904" i="58411"/>
  <c r="W827" i="58411"/>
  <c r="W470" i="58411"/>
  <c r="O473" i="58411"/>
  <c r="M474" i="58411"/>
  <c r="R478" i="58411"/>
  <c r="W479" i="58411"/>
  <c r="M481" i="58411"/>
  <c r="R482" i="58411"/>
  <c r="W485" i="58411"/>
  <c r="AC509" i="58411"/>
  <c r="AG509" i="58411"/>
  <c r="T863" i="58411"/>
  <c r="AD525" i="58411"/>
  <c r="AD387" i="58438" s="1"/>
  <c r="AE546" i="58411"/>
  <c r="AE525" i="58411"/>
  <c r="AE882" i="58411" s="1"/>
  <c r="AF514" i="58411"/>
  <c r="AG514" i="58411" s="1"/>
  <c r="AH514" i="58411" s="1"/>
  <c r="AI514" i="58411" s="1"/>
  <c r="AJ514" i="58411" s="1"/>
  <c r="AK514" i="58411" s="1"/>
  <c r="AL514" i="58411" s="1"/>
  <c r="AM514" i="58411" s="1"/>
  <c r="AN514" i="58411" s="1"/>
  <c r="AI532" i="58411"/>
  <c r="AH548" i="58411"/>
  <c r="AG551" i="58411"/>
  <c r="AJ539" i="58411"/>
  <c r="AI555" i="58411"/>
  <c r="R549" i="58411"/>
  <c r="R553" i="58411"/>
  <c r="I560" i="58411"/>
  <c r="I561" i="58411" s="1"/>
  <c r="N560" i="58411"/>
  <c r="N561" i="58411" s="1"/>
  <c r="AC560" i="58411"/>
  <c r="AC561" i="58411" s="1"/>
  <c r="AD612" i="58411"/>
  <c r="AH623" i="58411"/>
  <c r="AI607" i="58411"/>
  <c r="W845" i="58411"/>
  <c r="W780" i="58411"/>
  <c r="AF783" i="58411"/>
  <c r="X845" i="58411"/>
  <c r="X781" i="58411"/>
  <c r="AC851" i="58411"/>
  <c r="AC787" i="58411"/>
  <c r="O848" i="58411"/>
  <c r="O785" i="58411"/>
  <c r="AB848" i="58411"/>
  <c r="AB783" i="58411"/>
  <c r="AB929" i="58411" s="1"/>
  <c r="AB851" i="58411"/>
  <c r="AB787" i="58411"/>
  <c r="X438" i="58411"/>
  <c r="AB438" i="58411"/>
  <c r="AF872" i="58411"/>
  <c r="AF873" i="58411" s="1"/>
  <c r="AF803" i="58411"/>
  <c r="AF875" i="58411"/>
  <c r="AF876" i="58411" s="1"/>
  <c r="AF807" i="58411"/>
  <c r="H869" i="58411"/>
  <c r="H800" i="58411"/>
  <c r="R869" i="58411"/>
  <c r="R800" i="58411"/>
  <c r="R814" i="58411" s="1"/>
  <c r="M872" i="58411"/>
  <c r="M873" i="58411" s="1"/>
  <c r="M803" i="58411"/>
  <c r="M875" i="58411"/>
  <c r="M807" i="58411"/>
  <c r="AB872" i="58411"/>
  <c r="AB803" i="58411"/>
  <c r="AB875" i="58411"/>
  <c r="AB807" i="58411"/>
  <c r="M454" i="58411"/>
  <c r="AC898" i="58411"/>
  <c r="AC820" i="58411"/>
  <c r="AF898" i="58411"/>
  <c r="AF820" i="58411"/>
  <c r="H901" i="58411"/>
  <c r="H902" i="58411" s="1"/>
  <c r="H823" i="58411"/>
  <c r="H904" i="58411"/>
  <c r="H905" i="58411" s="1"/>
  <c r="H827" i="58411"/>
  <c r="R901" i="58411"/>
  <c r="R823" i="58411"/>
  <c r="R904" i="58411"/>
  <c r="R827" i="58411"/>
  <c r="H470" i="58411"/>
  <c r="AB470" i="58411"/>
  <c r="AF470" i="58411"/>
  <c r="H473" i="58411"/>
  <c r="R474" i="58411"/>
  <c r="AB474" i="58411"/>
  <c r="AF474" i="58411"/>
  <c r="R477" i="58411"/>
  <c r="O478" i="58411"/>
  <c r="S478" i="58411"/>
  <c r="W478" i="58411"/>
  <c r="H479" i="58411"/>
  <c r="AB479" i="58411"/>
  <c r="W482" i="58411"/>
  <c r="H485" i="58411"/>
  <c r="AB485" i="58411"/>
  <c r="AD509" i="58411"/>
  <c r="AH509" i="58411"/>
  <c r="AI496" i="58411"/>
  <c r="D863" i="58411"/>
  <c r="D862" i="58411"/>
  <c r="L863" i="58411"/>
  <c r="L862" i="58411"/>
  <c r="L861" i="58411"/>
  <c r="AF509" i="58411"/>
  <c r="AF860" i="58411" s="1"/>
  <c r="AI528" i="58411"/>
  <c r="AG547" i="58411"/>
  <c r="AJ535" i="58411"/>
  <c r="AI551" i="58411"/>
  <c r="AG554" i="58411"/>
  <c r="AH538" i="58411"/>
  <c r="W547" i="58411"/>
  <c r="W551" i="58411"/>
  <c r="J560" i="58411"/>
  <c r="J561" i="58411" s="1"/>
  <c r="Y560" i="58411"/>
  <c r="Y561" i="58411" s="1"/>
  <c r="AI567" i="58411"/>
  <c r="AH580" i="58411"/>
  <c r="AD583" i="58411"/>
  <c r="AG618" i="58411"/>
  <c r="AH602" i="58411"/>
  <c r="AE829" i="58411"/>
  <c r="AE612" i="58411"/>
  <c r="AE624" i="58411"/>
  <c r="AF608" i="58411"/>
  <c r="AC845" i="58411"/>
  <c r="AF845" i="58411"/>
  <c r="AF780" i="58411"/>
  <c r="AH427" i="58411"/>
  <c r="AG428" i="58411"/>
  <c r="H845" i="58411"/>
  <c r="H780" i="58411"/>
  <c r="R845" i="58411"/>
  <c r="R780" i="58411"/>
  <c r="H848" i="58411"/>
  <c r="H849" i="58411" s="1"/>
  <c r="H783" i="58411"/>
  <c r="H929" i="58411" s="1"/>
  <c r="AD429" i="58411"/>
  <c r="AD430" i="58411"/>
  <c r="AD431" i="58411"/>
  <c r="AD432" i="58411"/>
  <c r="AD433" i="58411"/>
  <c r="AD434" i="58411"/>
  <c r="O851" i="58411"/>
  <c r="O787" i="58411"/>
  <c r="P433" i="58411"/>
  <c r="H851" i="58411"/>
  <c r="H852" i="58411" s="1"/>
  <c r="H787" i="58411"/>
  <c r="H930" i="58411" s="1"/>
  <c r="AB845" i="58411"/>
  <c r="AB780" i="58411"/>
  <c r="M438" i="58411"/>
  <c r="AC438" i="58411"/>
  <c r="AC869" i="58411"/>
  <c r="AF869" i="58411"/>
  <c r="AF800" i="58411"/>
  <c r="AG444" i="58411"/>
  <c r="AH447" i="58411"/>
  <c r="AG448" i="58411"/>
  <c r="AH451" i="58411"/>
  <c r="AG452" i="58411"/>
  <c r="AD443" i="58411"/>
  <c r="AC872" i="58411"/>
  <c r="AC873" i="58411" s="1"/>
  <c r="AC803" i="58411"/>
  <c r="AC875" i="58411"/>
  <c r="AC876" i="58411" s="1"/>
  <c r="AC807" i="58411"/>
  <c r="AB869" i="58411"/>
  <c r="AB800" i="58411"/>
  <c r="R454" i="58411"/>
  <c r="AD457" i="58411"/>
  <c r="AD459" i="58411"/>
  <c r="AD461" i="58411"/>
  <c r="AD824" i="58411" s="1"/>
  <c r="AD463" i="58411"/>
  <c r="AD465" i="58411"/>
  <c r="AD828" i="58411" s="1"/>
  <c r="AG457" i="58411"/>
  <c r="AH460" i="58411"/>
  <c r="AG461" i="58411"/>
  <c r="AH464" i="58411"/>
  <c r="AG465" i="58411"/>
  <c r="AH468" i="58411"/>
  <c r="AG469" i="58411"/>
  <c r="M898" i="58411"/>
  <c r="M820" i="58411"/>
  <c r="W898" i="58411"/>
  <c r="W820" i="58411"/>
  <c r="W834" i="58411" s="1"/>
  <c r="M901" i="58411"/>
  <c r="M902" i="58411" s="1"/>
  <c r="M823" i="58411"/>
  <c r="M904" i="58411"/>
  <c r="M905" i="58411" s="1"/>
  <c r="M827" i="58411"/>
  <c r="AB901" i="58411"/>
  <c r="AB902" i="58411" s="1"/>
  <c r="AB823" i="58411"/>
  <c r="AB904" i="58411"/>
  <c r="AB905" i="58411" s="1"/>
  <c r="AB827" i="58411"/>
  <c r="AD469" i="58411"/>
  <c r="AD832" i="58411" s="1"/>
  <c r="M470" i="58411"/>
  <c r="AC470" i="58411"/>
  <c r="M473" i="58411"/>
  <c r="W474" i="58411"/>
  <c r="W488" i="58411" s="1"/>
  <c r="H476" i="58411"/>
  <c r="AB476" i="58411"/>
  <c r="W477" i="58411"/>
  <c r="H478" i="58411"/>
  <c r="AB478" i="58411"/>
  <c r="M479" i="58411"/>
  <c r="O481" i="58411"/>
  <c r="W481" i="58411"/>
  <c r="H482" i="58411"/>
  <c r="AB482" i="58411"/>
  <c r="M485" i="58411"/>
  <c r="AB885" i="58411"/>
  <c r="AB883" i="58411"/>
  <c r="AJ531" i="58411"/>
  <c r="AI547" i="58411"/>
  <c r="AG550" i="58411"/>
  <c r="AH534" i="58411"/>
  <c r="AI540" i="58411"/>
  <c r="AH556" i="58411"/>
  <c r="H545" i="58411"/>
  <c r="H559" i="58411" s="1"/>
  <c r="H560" i="58411" s="1"/>
  <c r="H561" i="58411" s="1"/>
  <c r="R545" i="58411"/>
  <c r="M547" i="58411"/>
  <c r="M559" i="58411" s="1"/>
  <c r="H549" i="58411"/>
  <c r="H553" i="58411"/>
  <c r="AB546" i="58411"/>
  <c r="AB559" i="58411" s="1"/>
  <c r="AB560" i="58411" s="1"/>
  <c r="AB561" i="58411" s="1"/>
  <c r="AB550" i="58411"/>
  <c r="K560" i="58411"/>
  <c r="K561" i="58411" s="1"/>
  <c r="Z560" i="58411"/>
  <c r="Z561" i="58411" s="1"/>
  <c r="AD560" i="58411"/>
  <c r="AD561" i="58411" s="1"/>
  <c r="AI599" i="58411"/>
  <c r="AG622" i="58411"/>
  <c r="AH606" i="58411"/>
  <c r="AE830" i="58411"/>
  <c r="AE625" i="58411"/>
  <c r="AF609" i="58411"/>
  <c r="AE832" i="58411"/>
  <c r="AE627" i="58411"/>
  <c r="AF611" i="58411"/>
  <c r="AF832" i="58411" s="1"/>
  <c r="AD425" i="58411"/>
  <c r="AD427" i="58411"/>
  <c r="AD782" i="58411" s="1"/>
  <c r="AG425" i="58411"/>
  <c r="M848" i="58411"/>
  <c r="M849" i="58411" s="1"/>
  <c r="M783" i="58411"/>
  <c r="M929" i="58411" s="1"/>
  <c r="P432" i="58411"/>
  <c r="H931" i="58411"/>
  <c r="M851" i="58411"/>
  <c r="M852" i="58411" s="1"/>
  <c r="M787" i="58411"/>
  <c r="M930" i="58411" s="1"/>
  <c r="W848" i="58411"/>
  <c r="W849" i="58411" s="1"/>
  <c r="W783" i="58411"/>
  <c r="W929" i="58411" s="1"/>
  <c r="W851" i="58411"/>
  <c r="W787" i="58411"/>
  <c r="AB930" i="58411"/>
  <c r="AD441" i="58411"/>
  <c r="AG441" i="58411"/>
  <c r="AG445" i="58411"/>
  <c r="AG449" i="58411"/>
  <c r="AG453" i="58411"/>
  <c r="M869" i="58411"/>
  <c r="M800" i="58411"/>
  <c r="M814" i="58411" s="1"/>
  <c r="W869" i="58411"/>
  <c r="W800" i="58411"/>
  <c r="AD444" i="58411"/>
  <c r="AD446" i="58411"/>
  <c r="AD805" i="58411" s="1"/>
  <c r="AD448" i="58411"/>
  <c r="W872" i="58411"/>
  <c r="W803" i="58411"/>
  <c r="W875" i="58411"/>
  <c r="W876" i="58411" s="1"/>
  <c r="W807" i="58411"/>
  <c r="W930" i="58411" s="1"/>
  <c r="W454" i="58411"/>
  <c r="AC901" i="58411"/>
  <c r="AC902" i="58411" s="1"/>
  <c r="AG458" i="58411"/>
  <c r="AG462" i="58411"/>
  <c r="AG466" i="58411"/>
  <c r="AF830" i="58411"/>
  <c r="AB898" i="58411"/>
  <c r="AB820" i="58411"/>
  <c r="R470" i="58411"/>
  <c r="R473" i="58411"/>
  <c r="H474" i="58411"/>
  <c r="X474" i="58411"/>
  <c r="X488" i="58411" s="1"/>
  <c r="AB473" i="58411"/>
  <c r="AB475" i="58411"/>
  <c r="AF476" i="58411"/>
  <c r="AF484" i="58411"/>
  <c r="M476" i="58411"/>
  <c r="AB477" i="58411"/>
  <c r="M478" i="58411"/>
  <c r="R479" i="58411"/>
  <c r="O480" i="58411"/>
  <c r="W480" i="58411"/>
  <c r="H481" i="58411"/>
  <c r="AB481" i="58411"/>
  <c r="M482" i="58411"/>
  <c r="R485" i="58411"/>
  <c r="M509" i="58411"/>
  <c r="W509" i="58411"/>
  <c r="W860" i="58411" s="1"/>
  <c r="X862" i="58411" s="1"/>
  <c r="AB509" i="58411"/>
  <c r="AB860" i="58411" s="1"/>
  <c r="AF525" i="58411"/>
  <c r="AF387" i="58438" s="1"/>
  <c r="AD541" i="58411"/>
  <c r="AG546" i="58411"/>
  <c r="AH530" i="58411"/>
  <c r="AI536" i="58411"/>
  <c r="AH552" i="58411"/>
  <c r="AG555" i="58411"/>
  <c r="W559" i="58411"/>
  <c r="M549" i="58411"/>
  <c r="M553" i="58411"/>
  <c r="AB547" i="58411"/>
  <c r="AB551" i="58411"/>
  <c r="C560" i="58411"/>
  <c r="C561" i="58411" s="1"/>
  <c r="L560" i="58411"/>
  <c r="L561" i="58411" s="1"/>
  <c r="P786" i="58411"/>
  <c r="P621" i="58411"/>
  <c r="Q573" i="58411"/>
  <c r="AG596" i="58411"/>
  <c r="AG388" i="58438" s="1"/>
  <c r="AH619" i="58411"/>
  <c r="AI603" i="58411"/>
  <c r="AE831" i="58411"/>
  <c r="AE626" i="58411"/>
  <c r="AE630" i="58411" s="1"/>
  <c r="AF610" i="58411"/>
  <c r="C861" i="58411"/>
  <c r="G862" i="58411"/>
  <c r="G863" i="58411"/>
  <c r="K862" i="58411"/>
  <c r="K861" i="58411"/>
  <c r="O509" i="58411"/>
  <c r="AA862" i="58411"/>
  <c r="AA861" i="58411"/>
  <c r="AE861" i="58411"/>
  <c r="E884" i="58411"/>
  <c r="I886" i="58411"/>
  <c r="I883" i="58411"/>
  <c r="Q884" i="58411"/>
  <c r="Q886" i="58411"/>
  <c r="Q883" i="58411"/>
  <c r="U883" i="58411"/>
  <c r="U884" i="58411"/>
  <c r="Y884" i="58411"/>
  <c r="Y886" i="58411"/>
  <c r="Y883" i="58411"/>
  <c r="AC525" i="58411"/>
  <c r="AC387" i="58438" s="1"/>
  <c r="D913" i="58411"/>
  <c r="D915" i="58411"/>
  <c r="H541" i="58411"/>
  <c r="L913" i="58411"/>
  <c r="L915" i="58411"/>
  <c r="L912" i="58411"/>
  <c r="P913" i="58411"/>
  <c r="P912" i="58411"/>
  <c r="T915" i="58411"/>
  <c r="T912" i="58411"/>
  <c r="AB541" i="58411"/>
  <c r="AF541" i="58411"/>
  <c r="AF420" i="58438" s="1"/>
  <c r="AF546" i="58411"/>
  <c r="AH547" i="58411"/>
  <c r="AF550" i="58411"/>
  <c r="AH551" i="58411"/>
  <c r="AF554" i="58411"/>
  <c r="AH555" i="58411"/>
  <c r="O792" i="58411"/>
  <c r="O627" i="58411"/>
  <c r="AG580" i="58411"/>
  <c r="AC585" i="58411"/>
  <c r="AD585" i="58411" s="1"/>
  <c r="S596" i="58411"/>
  <c r="AF615" i="58411"/>
  <c r="AF612" i="58411"/>
  <c r="AF421" i="58438" s="1"/>
  <c r="AF619" i="58411"/>
  <c r="AF623" i="58411"/>
  <c r="H616" i="58411"/>
  <c r="R616" i="58411"/>
  <c r="M618" i="58411"/>
  <c r="H623" i="58411"/>
  <c r="M622" i="58411"/>
  <c r="W618" i="58411"/>
  <c r="W622" i="58411"/>
  <c r="AB616" i="58411"/>
  <c r="AB620" i="58411"/>
  <c r="AB624" i="58411"/>
  <c r="H627" i="58411"/>
  <c r="AB627" i="58411"/>
  <c r="AC612" i="58411"/>
  <c r="K630" i="58411"/>
  <c r="K631" i="58411" s="1"/>
  <c r="K632" i="58411" s="1"/>
  <c r="Y631" i="58411"/>
  <c r="Y632" i="58411" s="1"/>
  <c r="AI654" i="58411"/>
  <c r="AI686" i="58411" s="1"/>
  <c r="AH667" i="58411"/>
  <c r="AH389" i="58438" s="1"/>
  <c r="AI671" i="58411"/>
  <c r="AH687" i="58411"/>
  <c r="AJ678" i="58411"/>
  <c r="AI694" i="58411"/>
  <c r="AG697" i="58411"/>
  <c r="AH681" i="58411"/>
  <c r="M701" i="58411"/>
  <c r="M702" i="58411" s="1"/>
  <c r="M703" i="58411" s="1"/>
  <c r="I702" i="58411"/>
  <c r="I703" i="58411" s="1"/>
  <c r="N702" i="58411"/>
  <c r="N703" i="58411" s="1"/>
  <c r="S702" i="58411"/>
  <c r="S703" i="58411" s="1"/>
  <c r="X702" i="58411"/>
  <c r="X703" i="58411" s="1"/>
  <c r="AA702" i="58411"/>
  <c r="AA703" i="58411" s="1"/>
  <c r="F884" i="58411"/>
  <c r="J883" i="58411"/>
  <c r="J884" i="58411"/>
  <c r="N883" i="58411"/>
  <c r="V883" i="58411"/>
  <c r="V884" i="58411"/>
  <c r="V155" i="58411" s="1"/>
  <c r="Z883" i="58411"/>
  <c r="Z884" i="58411"/>
  <c r="E915" i="58411"/>
  <c r="E913" i="58411"/>
  <c r="I915" i="58411"/>
  <c r="I912" i="58411"/>
  <c r="M541" i="58411"/>
  <c r="Q913" i="58411"/>
  <c r="Q912" i="58411"/>
  <c r="U913" i="58411"/>
  <c r="U912" i="58411"/>
  <c r="Y912" i="58411"/>
  <c r="Y913" i="58411"/>
  <c r="AC541" i="58411"/>
  <c r="AG548" i="58411"/>
  <c r="AG552" i="58411"/>
  <c r="AG556" i="58411"/>
  <c r="P792" i="58411"/>
  <c r="P627" i="58411"/>
  <c r="AF596" i="58411"/>
  <c r="AF388" i="58438" s="1"/>
  <c r="AF616" i="58411"/>
  <c r="AF620" i="58411"/>
  <c r="W615" i="58411"/>
  <c r="W612" i="58411"/>
  <c r="R618" i="58411"/>
  <c r="H620" i="58411"/>
  <c r="H624" i="58411"/>
  <c r="M623" i="58411"/>
  <c r="W619" i="58411"/>
  <c r="W623" i="58411"/>
  <c r="AB617" i="58411"/>
  <c r="AB621" i="58411"/>
  <c r="M627" i="58411"/>
  <c r="L631" i="58411"/>
  <c r="L632" i="58411" s="1"/>
  <c r="Z631" i="58411"/>
  <c r="Z632" i="58411" s="1"/>
  <c r="AG615" i="58411"/>
  <c r="AG619" i="58411"/>
  <c r="AG623" i="58411"/>
  <c r="AJ674" i="58411"/>
  <c r="AI690" i="58411"/>
  <c r="AG693" i="58411"/>
  <c r="AH677" i="58411"/>
  <c r="J702" i="58411"/>
  <c r="J703" i="58411" s="1"/>
  <c r="Y702" i="58411"/>
  <c r="Y703" i="58411" s="1"/>
  <c r="O929" i="58411"/>
  <c r="E862" i="58411"/>
  <c r="I862" i="58411"/>
  <c r="I861" i="58411"/>
  <c r="U862" i="58411"/>
  <c r="Y861" i="58411"/>
  <c r="Y862" i="58411"/>
  <c r="C883" i="58411"/>
  <c r="C885" i="58411"/>
  <c r="G884" i="58411"/>
  <c r="K883" i="58411"/>
  <c r="K884" i="58411"/>
  <c r="O886" i="58411"/>
  <c r="O884" i="58411"/>
  <c r="O883" i="58411"/>
  <c r="S882" i="58411"/>
  <c r="T884" i="58411" s="1"/>
  <c r="AA884" i="58411"/>
  <c r="AA883" i="58411"/>
  <c r="AG529" i="58411"/>
  <c r="AG533" i="58411"/>
  <c r="AG537" i="58411"/>
  <c r="B920" i="58411"/>
  <c r="F913" i="58411"/>
  <c r="J912" i="58411"/>
  <c r="J913" i="58411"/>
  <c r="N912" i="58411"/>
  <c r="V913" i="58411"/>
  <c r="V912" i="58411"/>
  <c r="Z912" i="58411"/>
  <c r="Z913" i="58411"/>
  <c r="O547" i="58411"/>
  <c r="O559" i="58411" s="1"/>
  <c r="Q574" i="58411"/>
  <c r="P575" i="58411"/>
  <c r="O789" i="58411"/>
  <c r="O931" i="58411" s="1"/>
  <c r="O624" i="58411"/>
  <c r="Q579" i="58411"/>
  <c r="O580" i="58411"/>
  <c r="AH583" i="58411"/>
  <c r="AG600" i="58411"/>
  <c r="AF617" i="58411"/>
  <c r="AG604" i="58411"/>
  <c r="AF621" i="58411"/>
  <c r="M616" i="58411"/>
  <c r="S824" i="58411"/>
  <c r="S612" i="58411"/>
  <c r="S911" i="58411" s="1"/>
  <c r="S619" i="58411"/>
  <c r="H621" i="58411"/>
  <c r="M620" i="58411"/>
  <c r="M624" i="58411"/>
  <c r="W620" i="58411"/>
  <c r="W624" i="58411"/>
  <c r="AB618" i="58411"/>
  <c r="AB622" i="58411"/>
  <c r="I631" i="58411"/>
  <c r="I632" i="58411" s="1"/>
  <c r="M615" i="58411"/>
  <c r="M630" i="58411" s="1"/>
  <c r="AC631" i="58411"/>
  <c r="AC632" i="58411" s="1"/>
  <c r="AI638" i="58411"/>
  <c r="AH651" i="58411"/>
  <c r="AJ670" i="58411"/>
  <c r="AG689" i="58411"/>
  <c r="AH673" i="58411"/>
  <c r="AI679" i="58411"/>
  <c r="AH695" i="58411"/>
  <c r="H701" i="58411"/>
  <c r="H702" i="58411" s="1"/>
  <c r="H703" i="58411" s="1"/>
  <c r="R701" i="58411"/>
  <c r="R702" i="58411" s="1"/>
  <c r="R703" i="58411" s="1"/>
  <c r="K702" i="58411"/>
  <c r="K703" i="58411" s="1"/>
  <c r="P702" i="58411"/>
  <c r="P703" i="58411" s="1"/>
  <c r="U702" i="58411"/>
  <c r="U703" i="58411" s="1"/>
  <c r="Z702" i="58411"/>
  <c r="Z703" i="58411" s="1"/>
  <c r="P499" i="58411"/>
  <c r="F862" i="58411"/>
  <c r="J862" i="58411"/>
  <c r="J861" i="58411"/>
  <c r="N861" i="58411"/>
  <c r="V862" i="58411"/>
  <c r="Z861" i="58411"/>
  <c r="Z862" i="58411"/>
  <c r="AG512" i="58411"/>
  <c r="AG544" i="58411" s="1"/>
  <c r="D884" i="58411"/>
  <c r="L884" i="58411"/>
  <c r="L886" i="58411"/>
  <c r="L883" i="58411"/>
  <c r="P886" i="58411"/>
  <c r="P884" i="58411"/>
  <c r="P883" i="58411"/>
  <c r="T886" i="58411"/>
  <c r="T883" i="58411"/>
  <c r="X884" i="58411"/>
  <c r="X886" i="58411"/>
  <c r="C914" i="58411"/>
  <c r="C915" i="58411"/>
  <c r="C912" i="58411"/>
  <c r="G913" i="58411"/>
  <c r="G915" i="58411"/>
  <c r="K912" i="58411"/>
  <c r="K913" i="58411"/>
  <c r="K915" i="58411"/>
  <c r="O912" i="58411"/>
  <c r="O915" i="58411"/>
  <c r="O913" i="58411"/>
  <c r="W541" i="58411"/>
  <c r="AA912" i="58411"/>
  <c r="AA913" i="58411"/>
  <c r="AE911" i="58411"/>
  <c r="AE557" i="58411"/>
  <c r="AF557" i="58411" s="1"/>
  <c r="AG557" i="58411" s="1"/>
  <c r="AH557" i="58411" s="1"/>
  <c r="AI557" i="58411" s="1"/>
  <c r="AJ557" i="58411" s="1"/>
  <c r="AK557" i="58411" s="1"/>
  <c r="AL557" i="58411" s="1"/>
  <c r="AM557" i="58411" s="1"/>
  <c r="AN557" i="58411" s="1"/>
  <c r="AC567" i="58411"/>
  <c r="P572" i="58411"/>
  <c r="O786" i="58411"/>
  <c r="O621" i="58411"/>
  <c r="O630" i="58411" s="1"/>
  <c r="P576" i="58411"/>
  <c r="AG601" i="58411"/>
  <c r="AF618" i="58411"/>
  <c r="AG605" i="58411"/>
  <c r="AF622" i="58411"/>
  <c r="H615" i="58411"/>
  <c r="R615" i="58411"/>
  <c r="H618" i="58411"/>
  <c r="H622" i="58411"/>
  <c r="M621" i="58411"/>
  <c r="W621" i="58411"/>
  <c r="AB615" i="58411"/>
  <c r="AB612" i="58411"/>
  <c r="AB619" i="58411"/>
  <c r="AB623" i="58411"/>
  <c r="W627" i="58411"/>
  <c r="J631" i="58411"/>
  <c r="J632" i="58411" s="1"/>
  <c r="N631" i="58411"/>
  <c r="N632" i="58411" s="1"/>
  <c r="AD638" i="58411"/>
  <c r="AD651" i="58411" s="1"/>
  <c r="AC651" i="58411"/>
  <c r="AI675" i="58411"/>
  <c r="AH691" i="58411"/>
  <c r="AJ682" i="58411"/>
  <c r="AI698" i="58411"/>
  <c r="C702" i="58411"/>
  <c r="C703" i="58411" s="1"/>
  <c r="L702" i="58411"/>
  <c r="L703" i="58411" s="1"/>
  <c r="Q702" i="58411"/>
  <c r="Q703" i="58411" s="1"/>
  <c r="V702" i="58411"/>
  <c r="V703" i="58411" s="1"/>
  <c r="AE702" i="58411"/>
  <c r="AE703" i="58411" s="1"/>
  <c r="AD702" i="58411"/>
  <c r="AD703" i="58411" s="1"/>
  <c r="AB651" i="58411"/>
  <c r="AG667" i="58411"/>
  <c r="AG389" i="58438" s="1"/>
  <c r="R683" i="58411"/>
  <c r="R911" i="58411" s="1"/>
  <c r="AB686" i="58411"/>
  <c r="AB688" i="58411"/>
  <c r="AH686" i="58411"/>
  <c r="AF689" i="58411"/>
  <c r="AH690" i="58411"/>
  <c r="AF693" i="58411"/>
  <c r="AH694" i="58411"/>
  <c r="AF697" i="58411"/>
  <c r="AH698" i="58411"/>
  <c r="AG709" i="58411"/>
  <c r="AC743" i="58411"/>
  <c r="AD743" i="58411" s="1"/>
  <c r="AD754" i="58411" s="1"/>
  <c r="AB759" i="58411"/>
  <c r="AB765" i="58411"/>
  <c r="AG758" i="58411"/>
  <c r="AF760" i="58411"/>
  <c r="AG744" i="58411"/>
  <c r="AH762" i="58411"/>
  <c r="AI746" i="58411"/>
  <c r="AG766" i="58411"/>
  <c r="H757" i="58411"/>
  <c r="R757" i="58411"/>
  <c r="H760" i="58411"/>
  <c r="H769" i="58411"/>
  <c r="AB769" i="58411"/>
  <c r="C773" i="58411"/>
  <c r="C774" i="58411" s="1"/>
  <c r="L773" i="58411"/>
  <c r="L774" i="58411" s="1"/>
  <c r="Q773" i="58411"/>
  <c r="Q774" i="58411" s="1"/>
  <c r="V773" i="58411"/>
  <c r="V774" i="58411" s="1"/>
  <c r="AE773" i="58411"/>
  <c r="AE774" i="58411" s="1"/>
  <c r="AG651" i="58411"/>
  <c r="W683" i="58411"/>
  <c r="W686" i="58411"/>
  <c r="W701" i="58411" s="1"/>
  <c r="W702" i="58411" s="1"/>
  <c r="W703" i="58411" s="1"/>
  <c r="AG687" i="58411"/>
  <c r="AG691" i="58411"/>
  <c r="AG695" i="58411"/>
  <c r="M757" i="58411"/>
  <c r="M738" i="58411"/>
  <c r="M882" i="58411" s="1"/>
  <c r="R760" i="58411"/>
  <c r="M762" i="58411"/>
  <c r="AB760" i="58411"/>
  <c r="AB763" i="58411"/>
  <c r="AC747" i="58411"/>
  <c r="AD747" i="58411" s="1"/>
  <c r="AH758" i="58411"/>
  <c r="AF759" i="58411"/>
  <c r="AF764" i="58411"/>
  <c r="AG748" i="58411"/>
  <c r="AH766" i="58411"/>
  <c r="H758" i="58411"/>
  <c r="R758" i="58411"/>
  <c r="H762" i="58411"/>
  <c r="H766" i="58411"/>
  <c r="M765" i="58411"/>
  <c r="R764" i="58411"/>
  <c r="W761" i="58411"/>
  <c r="W765" i="58411"/>
  <c r="M769" i="58411"/>
  <c r="I773" i="58411"/>
  <c r="I774" i="58411" s="1"/>
  <c r="N773" i="58411"/>
  <c r="N774" i="58411" s="1"/>
  <c r="S773" i="58411"/>
  <c r="S774" i="58411" s="1"/>
  <c r="X773" i="58411"/>
  <c r="X774" i="58411" s="1"/>
  <c r="AC773" i="58411"/>
  <c r="AC774" i="58411" s="1"/>
  <c r="AC654" i="58411"/>
  <c r="AC800" i="58411" s="1"/>
  <c r="AD670" i="58411"/>
  <c r="AC673" i="58411"/>
  <c r="AD673" i="58411" s="1"/>
  <c r="AD823" i="58411" s="1"/>
  <c r="AC677" i="58411"/>
  <c r="AD677" i="58411" s="1"/>
  <c r="AD827" i="58411" s="1"/>
  <c r="AC681" i="58411"/>
  <c r="AD681" i="58411" s="1"/>
  <c r="AG672" i="58411"/>
  <c r="AG676" i="58411"/>
  <c r="AG680" i="58411"/>
  <c r="H683" i="58411"/>
  <c r="AF683" i="58411"/>
  <c r="AF422" i="58438" s="1"/>
  <c r="AC709" i="58411"/>
  <c r="AC738" i="58411"/>
  <c r="AG725" i="58411"/>
  <c r="R738" i="58411"/>
  <c r="R882" i="58411" s="1"/>
  <c r="AB757" i="58411"/>
  <c r="AC744" i="58411"/>
  <c r="AD744" i="58411" s="1"/>
  <c r="AB762" i="58411"/>
  <c r="AB764" i="58411"/>
  <c r="AF757" i="58411"/>
  <c r="AG741" i="58411"/>
  <c r="AF754" i="58411"/>
  <c r="AF423" i="58438" s="1"/>
  <c r="AI742" i="58411"/>
  <c r="AG759" i="58411"/>
  <c r="AH743" i="58411"/>
  <c r="AF762" i="58411"/>
  <c r="AF763" i="58411"/>
  <c r="AF765" i="58411"/>
  <c r="W757" i="58411"/>
  <c r="H763" i="58411"/>
  <c r="M766" i="58411"/>
  <c r="R765" i="58411"/>
  <c r="W762" i="58411"/>
  <c r="W766" i="58411"/>
  <c r="R769" i="58411"/>
  <c r="J773" i="58411"/>
  <c r="J774" i="58411" s="1"/>
  <c r="O773" i="58411"/>
  <c r="O774" i="58411" s="1"/>
  <c r="T773" i="58411"/>
  <c r="T774" i="58411" s="1"/>
  <c r="AD773" i="58411"/>
  <c r="AD774" i="58411" s="1"/>
  <c r="Y773" i="58411"/>
  <c r="Y774" i="58411" s="1"/>
  <c r="O651" i="58411"/>
  <c r="AC676" i="58411"/>
  <c r="AD676" i="58411" s="1"/>
  <c r="AC680" i="58411"/>
  <c r="AD680" i="58411" s="1"/>
  <c r="M683" i="58411"/>
  <c r="O687" i="58411"/>
  <c r="O701" i="58411" s="1"/>
  <c r="M722" i="58411"/>
  <c r="AD725" i="58411"/>
  <c r="AD738" i="58411" s="1"/>
  <c r="H738" i="58411"/>
  <c r="H882" i="58411" s="1"/>
  <c r="AB761" i="58411"/>
  <c r="AC748" i="58411"/>
  <c r="AD748" i="58411" s="1"/>
  <c r="AB766" i="58411"/>
  <c r="AF758" i="58411"/>
  <c r="AF761" i="58411"/>
  <c r="AG762" i="58411"/>
  <c r="AG763" i="58411"/>
  <c r="AH747" i="58411"/>
  <c r="AF766" i="58411"/>
  <c r="M758" i="58411"/>
  <c r="H764" i="58411"/>
  <c r="M763" i="58411"/>
  <c r="R762" i="58411"/>
  <c r="R766" i="58411"/>
  <c r="W763" i="58411"/>
  <c r="W769" i="58411"/>
  <c r="K773" i="58411"/>
  <c r="K774" i="58411" s="1"/>
  <c r="P773" i="58411"/>
  <c r="P774" i="58411" s="1"/>
  <c r="U773" i="58411"/>
  <c r="U774" i="58411" s="1"/>
  <c r="Z773" i="58411"/>
  <c r="Z774" i="58411" s="1"/>
  <c r="H754" i="58411"/>
  <c r="AB754" i="58411"/>
  <c r="M760" i="58411"/>
  <c r="AD837" i="58411"/>
  <c r="C928" i="58411"/>
  <c r="G928" i="58411"/>
  <c r="K928" i="58411"/>
  <c r="S928" i="58411"/>
  <c r="B929" i="58411"/>
  <c r="F929" i="58411"/>
  <c r="J929" i="58411"/>
  <c r="N929" i="58411"/>
  <c r="V929" i="58411"/>
  <c r="Z929" i="58411"/>
  <c r="C930" i="58411"/>
  <c r="G930" i="58411"/>
  <c r="K930" i="58411"/>
  <c r="AA930" i="58411"/>
  <c r="V814" i="58411"/>
  <c r="V817" i="58411" s="1"/>
  <c r="D928" i="58411"/>
  <c r="D794" i="58411"/>
  <c r="D797" i="58411" s="1"/>
  <c r="L928" i="58411"/>
  <c r="L794" i="58411"/>
  <c r="L797" i="58411" s="1"/>
  <c r="P928" i="58411"/>
  <c r="T928" i="58411"/>
  <c r="T794" i="58411"/>
  <c r="T797" i="58411" s="1"/>
  <c r="X928" i="58411"/>
  <c r="X794" i="58411"/>
  <c r="X797" i="58411" s="1"/>
  <c r="C794" i="58411"/>
  <c r="C797" i="58411" s="1"/>
  <c r="S814" i="58411"/>
  <c r="S817" i="58411" s="1"/>
  <c r="AE834" i="58411"/>
  <c r="AI750" i="58411"/>
  <c r="R754" i="58411"/>
  <c r="E928" i="58411"/>
  <c r="E794" i="58411"/>
  <c r="E797" i="58411" s="1"/>
  <c r="I928" i="58411"/>
  <c r="I794" i="58411"/>
  <c r="I797" i="58411" s="1"/>
  <c r="Q928" i="58411"/>
  <c r="U928" i="58411"/>
  <c r="U794" i="58411"/>
  <c r="U797" i="58411" s="1"/>
  <c r="Y928" i="58411"/>
  <c r="Y794" i="58411"/>
  <c r="Y797" i="58411" s="1"/>
  <c r="G794" i="58411"/>
  <c r="G797" i="58411" s="1"/>
  <c r="L837" i="58411"/>
  <c r="L838" i="58411" s="1"/>
  <c r="L839" i="58411" s="1"/>
  <c r="AG745" i="58411"/>
  <c r="AG749" i="58411"/>
  <c r="AG753" i="58411"/>
  <c r="W754" i="58411"/>
  <c r="AC837" i="58411"/>
  <c r="B928" i="58411"/>
  <c r="B794" i="58411"/>
  <c r="B797" i="58411" s="1"/>
  <c r="F928" i="58411"/>
  <c r="F794" i="58411"/>
  <c r="F797" i="58411" s="1"/>
  <c r="J928" i="58411"/>
  <c r="J794" i="58411"/>
  <c r="J797" i="58411" s="1"/>
  <c r="N928" i="58411"/>
  <c r="N794" i="58411"/>
  <c r="N797" i="58411" s="1"/>
  <c r="V928" i="58411"/>
  <c r="V794" i="58411"/>
  <c r="V797" i="58411" s="1"/>
  <c r="Z928" i="58411"/>
  <c r="Z794" i="58411"/>
  <c r="Z797" i="58411" s="1"/>
  <c r="E929" i="58411"/>
  <c r="I929" i="58411"/>
  <c r="U929" i="58411"/>
  <c r="Y929" i="58411"/>
  <c r="B930" i="58411"/>
  <c r="F930" i="58411"/>
  <c r="J930" i="58411"/>
  <c r="N930" i="58411"/>
  <c r="V930" i="58411"/>
  <c r="Z930" i="58411"/>
  <c r="E931" i="58411"/>
  <c r="I931" i="58411"/>
  <c r="K794" i="58411"/>
  <c r="K797" i="58411" s="1"/>
  <c r="AA794" i="58411"/>
  <c r="AA797" i="58411" s="1"/>
  <c r="P817" i="58411"/>
  <c r="S309" i="6" s="1"/>
  <c r="P815" i="58411"/>
  <c r="Z814" i="58411"/>
  <c r="Z817" i="58411" s="1"/>
  <c r="AG891" i="58411"/>
  <c r="AG892" i="58411" s="1"/>
  <c r="AG836" i="58411"/>
  <c r="AH816" i="58411"/>
  <c r="S834" i="58411"/>
  <c r="X837" i="58411"/>
  <c r="R892" i="58411"/>
  <c r="R817" i="58411"/>
  <c r="J846" i="58411"/>
  <c r="J857" i="58411"/>
  <c r="K847" i="58411"/>
  <c r="J847" i="58411"/>
  <c r="Z846" i="58411"/>
  <c r="Z857" i="58411"/>
  <c r="Z847" i="58411"/>
  <c r="W891" i="58411"/>
  <c r="W892" i="58411" s="1"/>
  <c r="W836" i="58411"/>
  <c r="M836" i="58411"/>
  <c r="Z837" i="58411"/>
  <c r="Z838" i="58411" s="1"/>
  <c r="Z839" i="58411" s="1"/>
  <c r="F857" i="58411"/>
  <c r="F859" i="58411" s="1"/>
  <c r="F847" i="58411"/>
  <c r="K846" i="58411"/>
  <c r="AA846" i="58411"/>
  <c r="H891" i="58411"/>
  <c r="H892" i="58411" s="1"/>
  <c r="H836" i="58411"/>
  <c r="AB891" i="58411"/>
  <c r="AB836" i="58411"/>
  <c r="G837" i="58411"/>
  <c r="J837" i="58411"/>
  <c r="N837" i="58411"/>
  <c r="R836" i="58411"/>
  <c r="AA837" i="58411"/>
  <c r="C837" i="58411"/>
  <c r="L858" i="58411"/>
  <c r="V857" i="58411"/>
  <c r="V863" i="58411" s="1"/>
  <c r="V847" i="58411"/>
  <c r="V846" i="58411"/>
  <c r="I853" i="58411"/>
  <c r="N853" i="58411"/>
  <c r="X853" i="58411"/>
  <c r="AF891" i="58411"/>
  <c r="AF892" i="58411" s="1"/>
  <c r="AF836" i="58411"/>
  <c r="M817" i="58411"/>
  <c r="E834" i="58411"/>
  <c r="I834" i="58411"/>
  <c r="I837" i="58411" s="1"/>
  <c r="I838" i="58411" s="1"/>
  <c r="I839" i="58411" s="1"/>
  <c r="Q834" i="58411"/>
  <c r="U834" i="58411"/>
  <c r="U837" i="58411" s="1"/>
  <c r="Y834" i="58411"/>
  <c r="D837" i="58411"/>
  <c r="K837" i="58411"/>
  <c r="N847" i="58411"/>
  <c r="N846" i="58411"/>
  <c r="N857" i="58411"/>
  <c r="S847" i="58411"/>
  <c r="E857" i="58411"/>
  <c r="E859" i="58411" s="1"/>
  <c r="I857" i="58411"/>
  <c r="I863" i="58411" s="1"/>
  <c r="U857" i="58411"/>
  <c r="Y857" i="58411"/>
  <c r="L846" i="58411"/>
  <c r="T846" i="58411"/>
  <c r="E847" i="58411"/>
  <c r="Y847" i="58411"/>
  <c r="D850" i="58411"/>
  <c r="X850" i="58411"/>
  <c r="Q849" i="58411"/>
  <c r="U849" i="58411"/>
  <c r="Y849" i="58411"/>
  <c r="E850" i="58411"/>
  <c r="K850" i="58411"/>
  <c r="Q850" i="58411"/>
  <c r="Y850" i="58411"/>
  <c r="L853" i="58411"/>
  <c r="L852" i="58411"/>
  <c r="V853" i="58411"/>
  <c r="AA853" i="58411"/>
  <c r="J853" i="58411"/>
  <c r="C857" i="58411"/>
  <c r="C858" i="58411" s="1"/>
  <c r="F878" i="58411"/>
  <c r="F880" i="58411" s="1"/>
  <c r="F871" i="58411"/>
  <c r="K878" i="58411"/>
  <c r="K886" i="58411" s="1"/>
  <c r="L871" i="58411"/>
  <c r="P870" i="58411"/>
  <c r="K871" i="58411"/>
  <c r="K870" i="58411"/>
  <c r="P880" i="58411"/>
  <c r="T879" i="58411"/>
  <c r="I850" i="58411"/>
  <c r="N849" i="58411"/>
  <c r="Z849" i="58411"/>
  <c r="F850" i="58411"/>
  <c r="I852" i="58411"/>
  <c r="N852" i="58411"/>
  <c r="K853" i="58411"/>
  <c r="Y853" i="58411"/>
  <c r="G871" i="58411"/>
  <c r="L870" i="58411"/>
  <c r="G878" i="58411"/>
  <c r="Q880" i="58411"/>
  <c r="Q879" i="58411"/>
  <c r="Y880" i="58411"/>
  <c r="Y879" i="58411"/>
  <c r="C870" i="58411"/>
  <c r="I874" i="58411"/>
  <c r="N874" i="58411"/>
  <c r="X877" i="58411"/>
  <c r="G847" i="58411"/>
  <c r="L847" i="58411"/>
  <c r="AA847" i="58411"/>
  <c r="N850" i="58411"/>
  <c r="K849" i="58411"/>
  <c r="AA849" i="58411"/>
  <c r="T852" i="58411"/>
  <c r="F853" i="58411"/>
  <c r="K857" i="58411"/>
  <c r="AA857" i="58411"/>
  <c r="N878" i="58411"/>
  <c r="N886" i="58411" s="1"/>
  <c r="N871" i="58411"/>
  <c r="N870" i="58411"/>
  <c r="V878" i="58411"/>
  <c r="V871" i="58411"/>
  <c r="V870" i="58411"/>
  <c r="Z878" i="58411"/>
  <c r="Z886" i="58411" s="1"/>
  <c r="Z871" i="58411"/>
  <c r="Z870" i="58411"/>
  <c r="S846" i="58411"/>
  <c r="G853" i="58411"/>
  <c r="J878" i="58411"/>
  <c r="J886" i="58411" s="1"/>
  <c r="J871" i="58411"/>
  <c r="J870" i="58411"/>
  <c r="O878" i="58411"/>
  <c r="T870" i="58411"/>
  <c r="P871" i="58411"/>
  <c r="O870" i="58411"/>
  <c r="O871" i="58411"/>
  <c r="S878" i="58411"/>
  <c r="X879" i="58411" s="1"/>
  <c r="S871" i="58411"/>
  <c r="X870" i="58411"/>
  <c r="S870" i="58411"/>
  <c r="AA878" i="58411"/>
  <c r="AA886" i="58411" s="1"/>
  <c r="AA871" i="58411"/>
  <c r="AA870" i="58411"/>
  <c r="E878" i="58411"/>
  <c r="E886" i="58411" s="1"/>
  <c r="E871" i="58411"/>
  <c r="T871" i="58411"/>
  <c r="Y871" i="58411"/>
  <c r="L874" i="58411"/>
  <c r="P874" i="58411"/>
  <c r="I873" i="58411"/>
  <c r="Q873" i="58411"/>
  <c r="U873" i="58411"/>
  <c r="Y873" i="58411"/>
  <c r="O874" i="58411"/>
  <c r="O877" i="58411"/>
  <c r="O876" i="58411"/>
  <c r="T877" i="58411"/>
  <c r="U876" i="58411"/>
  <c r="D878" i="58411"/>
  <c r="D880" i="58411" s="1"/>
  <c r="P879" i="58411"/>
  <c r="T880" i="58411"/>
  <c r="T909" i="58411"/>
  <c r="T908" i="58411"/>
  <c r="J873" i="58411"/>
  <c r="N873" i="58411"/>
  <c r="V873" i="58411"/>
  <c r="Z873" i="58411"/>
  <c r="J874" i="58411"/>
  <c r="K877" i="58411"/>
  <c r="K876" i="58411"/>
  <c r="P876" i="58411"/>
  <c r="Q877" i="58411"/>
  <c r="C878" i="58411"/>
  <c r="C886" i="58411" s="1"/>
  <c r="O908" i="58411"/>
  <c r="K873" i="58411"/>
  <c r="O873" i="58411"/>
  <c r="S873" i="58411"/>
  <c r="AA873" i="58411"/>
  <c r="F877" i="58411"/>
  <c r="Q876" i="58411"/>
  <c r="C876" i="58411"/>
  <c r="AE878" i="58411"/>
  <c r="AE870" i="58411"/>
  <c r="U878" i="58411"/>
  <c r="U886" i="58411" s="1"/>
  <c r="K909" i="58411"/>
  <c r="G909" i="58411"/>
  <c r="L880" i="58411"/>
  <c r="I870" i="58411"/>
  <c r="Q870" i="58411"/>
  <c r="U870" i="58411"/>
  <c r="Y870" i="58411"/>
  <c r="X871" i="58411"/>
  <c r="AA874" i="58411"/>
  <c r="L873" i="58411"/>
  <c r="L876" i="58411"/>
  <c r="G877" i="58411"/>
  <c r="AA907" i="58411"/>
  <c r="AA915" i="58411" s="1"/>
  <c r="L909" i="58411"/>
  <c r="U877" i="58411"/>
  <c r="L893" i="58411"/>
  <c r="L892" i="58411"/>
  <c r="Y892" i="58411"/>
  <c r="AC892" i="58411"/>
  <c r="K892" i="58411"/>
  <c r="S892" i="58411"/>
  <c r="Y893" i="58411"/>
  <c r="AE893" i="58411"/>
  <c r="G900" i="58411"/>
  <c r="Q907" i="58411"/>
  <c r="Q915" i="58411" s="1"/>
  <c r="U907" i="58411"/>
  <c r="U915" i="58411" s="1"/>
  <c r="Y907" i="58411"/>
  <c r="Y915" i="58411" s="1"/>
  <c r="K899" i="58411"/>
  <c r="S899" i="58411"/>
  <c r="AA899" i="58411"/>
  <c r="E903" i="58411"/>
  <c r="I903" i="58411"/>
  <c r="U902" i="58411"/>
  <c r="U903" i="58411"/>
  <c r="G906" i="58411"/>
  <c r="J905" i="58411"/>
  <c r="Z905" i="58411"/>
  <c r="I906" i="58411"/>
  <c r="S907" i="58411"/>
  <c r="Q893" i="58411"/>
  <c r="Q892" i="58411"/>
  <c r="N892" i="58411"/>
  <c r="V892" i="58411"/>
  <c r="Z893" i="58411"/>
  <c r="N907" i="58411"/>
  <c r="N915" i="58411" s="1"/>
  <c r="N899" i="58411"/>
  <c r="V907" i="58411"/>
  <c r="V899" i="58411"/>
  <c r="Z907" i="58411"/>
  <c r="Z899" i="58411"/>
  <c r="C910" i="58411"/>
  <c r="T899" i="58411"/>
  <c r="N903" i="58411"/>
  <c r="S903" i="58411"/>
  <c r="X903" i="58411"/>
  <c r="X902" i="58411"/>
  <c r="Q906" i="58411"/>
  <c r="Q905" i="58411"/>
  <c r="U906" i="58411"/>
  <c r="U905" i="58411"/>
  <c r="S905" i="58411"/>
  <c r="J906" i="58411"/>
  <c r="L908" i="58411"/>
  <c r="N893" i="58411"/>
  <c r="V893" i="58411"/>
  <c r="AA893" i="58411"/>
  <c r="I892" i="58411"/>
  <c r="O892" i="58411"/>
  <c r="J893" i="58411"/>
  <c r="J907" i="58411"/>
  <c r="J915" i="58411" s="1"/>
  <c r="J899" i="58411"/>
  <c r="O899" i="58411"/>
  <c r="AE899" i="58411"/>
  <c r="T903" i="58411"/>
  <c r="T902" i="58411"/>
  <c r="Y903" i="58411"/>
  <c r="Y902" i="58411"/>
  <c r="Z903" i="58411"/>
  <c r="V906" i="58411"/>
  <c r="AA906" i="58411"/>
  <c r="N905" i="58411"/>
  <c r="V905" i="58411"/>
  <c r="N906" i="58411"/>
  <c r="J876" i="58411"/>
  <c r="G893" i="58411"/>
  <c r="S893" i="58411"/>
  <c r="X892" i="58411"/>
  <c r="X893" i="58411"/>
  <c r="J892" i="58411"/>
  <c r="Z892" i="58411"/>
  <c r="U893" i="58411"/>
  <c r="F900" i="58411"/>
  <c r="F907" i="58411"/>
  <c r="F909" i="58411" s="1"/>
  <c r="K900" i="58411"/>
  <c r="P899" i="58411"/>
  <c r="D903" i="58411"/>
  <c r="J902" i="58411"/>
  <c r="F906" i="58411"/>
  <c r="K906" i="58411"/>
  <c r="AE905" i="58411"/>
  <c r="Y906" i="58411"/>
  <c r="P907" i="58411"/>
  <c r="P915" i="58411" s="1"/>
  <c r="X907" i="58411"/>
  <c r="X915" i="58411" s="1"/>
  <c r="AE908" i="58411"/>
  <c r="O903" i="58411"/>
  <c r="L906" i="58411"/>
  <c r="I899" i="58411"/>
  <c r="Q899" i="58411"/>
  <c r="U899" i="58411"/>
  <c r="Y899" i="58411"/>
  <c r="S902" i="58411"/>
  <c r="P905" i="58411"/>
  <c r="K716" i="6"/>
  <c r="AU716" i="6"/>
  <c r="AT716" i="6"/>
  <c r="AS716" i="6"/>
  <c r="AV715" i="6"/>
  <c r="AU715" i="6"/>
  <c r="AT715" i="6"/>
  <c r="AS715" i="6"/>
  <c r="AV714" i="6"/>
  <c r="AU714" i="6"/>
  <c r="AT714" i="6"/>
  <c r="AS714" i="6"/>
  <c r="AV713" i="6"/>
  <c r="AU713" i="6"/>
  <c r="AT713" i="6"/>
  <c r="AS713" i="6"/>
  <c r="AS712" i="6"/>
  <c r="AN709" i="6"/>
  <c r="AM709" i="6" s="1"/>
  <c r="AL709" i="6" s="1"/>
  <c r="AK709" i="6" s="1"/>
  <c r="AI709" i="6"/>
  <c r="AH709" i="6" s="1"/>
  <c r="AG709" i="6" s="1"/>
  <c r="AF709" i="6" s="1"/>
  <c r="AD709" i="6"/>
  <c r="AB709" i="6" s="1"/>
  <c r="AC709" i="6"/>
  <c r="AA709" i="6" s="1"/>
  <c r="Y709" i="6"/>
  <c r="X709" i="6"/>
  <c r="W709" i="6"/>
  <c r="V709" i="6"/>
  <c r="T709" i="6"/>
  <c r="S709" i="6"/>
  <c r="R709" i="6"/>
  <c r="Q709" i="6"/>
  <c r="AO706" i="6"/>
  <c r="AO705" i="6"/>
  <c r="AJ706" i="6"/>
  <c r="AJ705" i="6"/>
  <c r="BA705" i="6" s="1"/>
  <c r="AE706" i="6"/>
  <c r="AZ706" i="6" s="1"/>
  <c r="AE705" i="6"/>
  <c r="AZ705" i="6" s="1"/>
  <c r="Z706" i="6"/>
  <c r="Z705" i="6"/>
  <c r="AY705" i="6" s="1"/>
  <c r="U706" i="6"/>
  <c r="AX706" i="6" s="1"/>
  <c r="U705" i="6"/>
  <c r="AX705" i="6" s="1"/>
  <c r="P706" i="6"/>
  <c r="AW706" i="6" s="1"/>
  <c r="P705" i="6"/>
  <c r="AW705" i="6" s="1"/>
  <c r="K706" i="6"/>
  <c r="AV706" i="6" s="1"/>
  <c r="K705" i="6"/>
  <c r="AV705" i="6" s="1"/>
  <c r="BD709" i="6"/>
  <c r="BC709" i="6"/>
  <c r="BB709" i="6"/>
  <c r="BA709" i="6"/>
  <c r="AZ709" i="6"/>
  <c r="AY709" i="6"/>
  <c r="AX709" i="6"/>
  <c r="AS709" i="6"/>
  <c r="AS708" i="6"/>
  <c r="AU707" i="6"/>
  <c r="AT707" i="6"/>
  <c r="AS707" i="6"/>
  <c r="BD706" i="6"/>
  <c r="BC706" i="6"/>
  <c r="BB706" i="6"/>
  <c r="BA706" i="6"/>
  <c r="AY706" i="6"/>
  <c r="AU706" i="6"/>
  <c r="AT706" i="6"/>
  <c r="AS706" i="6"/>
  <c r="BD705" i="6"/>
  <c r="BC705" i="6"/>
  <c r="BB705" i="6"/>
  <c r="AU705" i="6"/>
  <c r="AT705" i="6"/>
  <c r="AS705" i="6"/>
  <c r="AU704" i="6"/>
  <c r="AT704" i="6"/>
  <c r="AS704" i="6"/>
  <c r="AG704" i="6"/>
  <c r="AD704" i="6"/>
  <c r="X704" i="6"/>
  <c r="W704" i="6"/>
  <c r="T704" i="6"/>
  <c r="S704" i="6"/>
  <c r="R704" i="6"/>
  <c r="O704" i="6"/>
  <c r="N704" i="6"/>
  <c r="M704" i="6"/>
  <c r="J704" i="6"/>
  <c r="I704" i="6"/>
  <c r="H704" i="6"/>
  <c r="G704" i="6"/>
  <c r="AS703" i="6"/>
  <c r="M698" i="6"/>
  <c r="F698" i="6"/>
  <c r="AU698" i="6" s="1"/>
  <c r="AT700" i="6"/>
  <c r="AS700" i="6"/>
  <c r="AT699" i="6"/>
  <c r="AS699" i="6"/>
  <c r="AT698" i="6"/>
  <c r="AS698" i="6"/>
  <c r="AG698" i="6"/>
  <c r="AF698" i="6"/>
  <c r="AD698" i="6"/>
  <c r="AC698" i="6"/>
  <c r="AB698" i="6"/>
  <c r="AA698" i="6"/>
  <c r="Y698" i="6"/>
  <c r="X698" i="6"/>
  <c r="V698" i="6"/>
  <c r="T698" i="6"/>
  <c r="S698" i="6"/>
  <c r="R698" i="6"/>
  <c r="Q698" i="6"/>
  <c r="N698" i="6"/>
  <c r="L698" i="6"/>
  <c r="J698" i="6"/>
  <c r="I698" i="6"/>
  <c r="H698" i="6"/>
  <c r="G698" i="6"/>
  <c r="AS697" i="6"/>
  <c r="AS694" i="6"/>
  <c r="AF694" i="6"/>
  <c r="AD694" i="6"/>
  <c r="AC694" i="6"/>
  <c r="AB694" i="6"/>
  <c r="AA694" i="6"/>
  <c r="Y694" i="6"/>
  <c r="X694" i="6"/>
  <c r="W694" i="6"/>
  <c r="V694" i="6"/>
  <c r="Q694" i="6"/>
  <c r="O694" i="6"/>
  <c r="N694" i="6"/>
  <c r="M694" i="6"/>
  <c r="L694" i="6"/>
  <c r="J694" i="6"/>
  <c r="I694" i="6"/>
  <c r="H694" i="6"/>
  <c r="G694" i="6"/>
  <c r="AS692" i="6"/>
  <c r="AS691" i="6"/>
  <c r="AS690" i="6"/>
  <c r="AG691" i="6"/>
  <c r="AF691" i="6"/>
  <c r="J691" i="6"/>
  <c r="I691" i="6"/>
  <c r="H691" i="6"/>
  <c r="G691" i="6"/>
  <c r="F691" i="6"/>
  <c r="E691" i="6"/>
  <c r="AT689" i="6"/>
  <c r="AD691" i="6"/>
  <c r="AC691" i="6"/>
  <c r="AB691" i="6"/>
  <c r="AA691" i="6"/>
  <c r="AC689" i="6"/>
  <c r="AB689" i="6"/>
  <c r="Y691" i="6"/>
  <c r="X691" i="6"/>
  <c r="W691" i="6"/>
  <c r="V691" i="6"/>
  <c r="Y689" i="6"/>
  <c r="X689" i="6"/>
  <c r="W689" i="6"/>
  <c r="T691" i="6"/>
  <c r="S691" i="6"/>
  <c r="R691" i="6"/>
  <c r="Q691" i="6"/>
  <c r="O691" i="6"/>
  <c r="N691" i="6"/>
  <c r="M691" i="6"/>
  <c r="L691" i="6"/>
  <c r="N689" i="6"/>
  <c r="M689" i="6"/>
  <c r="J689" i="6"/>
  <c r="I689" i="6"/>
  <c r="H689" i="6"/>
  <c r="G689" i="6"/>
  <c r="F689" i="6"/>
  <c r="AU689" i="6" s="1"/>
  <c r="A689" i="6"/>
  <c r="AS689" i="6" s="1"/>
  <c r="A686" i="6"/>
  <c r="AO690" i="6"/>
  <c r="BB690" i="6" s="1"/>
  <c r="AG689" i="6"/>
  <c r="AF689" i="6"/>
  <c r="AG688" i="6"/>
  <c r="AF688" i="6"/>
  <c r="AG687" i="6"/>
  <c r="AF687" i="6"/>
  <c r="AG686" i="6"/>
  <c r="AG685" i="6"/>
  <c r="AF685" i="6"/>
  <c r="AG684" i="6"/>
  <c r="AF684" i="6"/>
  <c r="A683" i="6"/>
  <c r="A682" i="6"/>
  <c r="AS682" i="6" s="1"/>
  <c r="A681" i="6"/>
  <c r="AS681" i="6" s="1"/>
  <c r="A680" i="6"/>
  <c r="AS680" i="6" s="1"/>
  <c r="A679" i="6"/>
  <c r="AS679" i="6" s="1"/>
  <c r="A678" i="6"/>
  <c r="AS678" i="6" s="1"/>
  <c r="A677" i="6"/>
  <c r="AS677" i="6" s="1"/>
  <c r="A676" i="6"/>
  <c r="AS676" i="6" s="1"/>
  <c r="A675" i="6"/>
  <c r="A674" i="6"/>
  <c r="AS674" i="6" s="1"/>
  <c r="A673" i="6"/>
  <c r="AS673" i="6" s="1"/>
  <c r="A672" i="6"/>
  <c r="AS672" i="6" s="1"/>
  <c r="A671" i="6"/>
  <c r="A670" i="6"/>
  <c r="A669" i="6"/>
  <c r="AS669" i="6" s="1"/>
  <c r="A668" i="6"/>
  <c r="A667" i="6"/>
  <c r="A666" i="6"/>
  <c r="AS666" i="6" s="1"/>
  <c r="BD682" i="6"/>
  <c r="BC682" i="6"/>
  <c r="BB682" i="6"/>
  <c r="BA682" i="6"/>
  <c r="AT682" i="6"/>
  <c r="BD681" i="6"/>
  <c r="BC681" i="6"/>
  <c r="BB681" i="6"/>
  <c r="BA681" i="6"/>
  <c r="AT681" i="6"/>
  <c r="BD680" i="6"/>
  <c r="BC680" i="6"/>
  <c r="BB680" i="6"/>
  <c r="BA680" i="6"/>
  <c r="AT680" i="6"/>
  <c r="BD679" i="6"/>
  <c r="BC679" i="6"/>
  <c r="BB679" i="6"/>
  <c r="BA679" i="6"/>
  <c r="AT679" i="6"/>
  <c r="BD678" i="6"/>
  <c r="BC678" i="6"/>
  <c r="BB678" i="6"/>
  <c r="BA678" i="6"/>
  <c r="AT678" i="6"/>
  <c r="BD677" i="6"/>
  <c r="BC677" i="6"/>
  <c r="BB677" i="6"/>
  <c r="BA677" i="6"/>
  <c r="AT677" i="6"/>
  <c r="BD676" i="6"/>
  <c r="BC676" i="6"/>
  <c r="BB676" i="6"/>
  <c r="BA676" i="6"/>
  <c r="AT676" i="6"/>
  <c r="BD675" i="6"/>
  <c r="BC675" i="6"/>
  <c r="BB675" i="6"/>
  <c r="BA675" i="6"/>
  <c r="AT675" i="6"/>
  <c r="AS675" i="6"/>
  <c r="BD674" i="6"/>
  <c r="BC674" i="6"/>
  <c r="BB674" i="6"/>
  <c r="BA674" i="6"/>
  <c r="AT674" i="6"/>
  <c r="BD673" i="6"/>
  <c r="BC673" i="6"/>
  <c r="BB673" i="6"/>
  <c r="BA673" i="6"/>
  <c r="AT673" i="6"/>
  <c r="BD672" i="6"/>
  <c r="BC672" i="6"/>
  <c r="BB672" i="6"/>
  <c r="BA672" i="6"/>
  <c r="AT672" i="6"/>
  <c r="AD686" i="6"/>
  <c r="AC686" i="6"/>
  <c r="AD685" i="6"/>
  <c r="AC685" i="6"/>
  <c r="AD684" i="6"/>
  <c r="AC684" i="6"/>
  <c r="AD683" i="6"/>
  <c r="AC683" i="6"/>
  <c r="AD682" i="6"/>
  <c r="AC682" i="6"/>
  <c r="AD681" i="6"/>
  <c r="AC681" i="6"/>
  <c r="AD680" i="6"/>
  <c r="AC680" i="6"/>
  <c r="AD679" i="6"/>
  <c r="AC679" i="6"/>
  <c r="AD678" i="6"/>
  <c r="AC678" i="6"/>
  <c r="AD677" i="6"/>
  <c r="AC677" i="6"/>
  <c r="AD676" i="6"/>
  <c r="AC676" i="6"/>
  <c r="AD675" i="6"/>
  <c r="AC675" i="6"/>
  <c r="AD674" i="6"/>
  <c r="AC674" i="6"/>
  <c r="AD673" i="6"/>
  <c r="AC673" i="6"/>
  <c r="AB685" i="6"/>
  <c r="AB684" i="6"/>
  <c r="AB683" i="6"/>
  <c r="AB682" i="6"/>
  <c r="AB681" i="6"/>
  <c r="AB680" i="6"/>
  <c r="AB679" i="6"/>
  <c r="AB678" i="6"/>
  <c r="AB677" i="6"/>
  <c r="AB676" i="6"/>
  <c r="AB675" i="6"/>
  <c r="AB674" i="6"/>
  <c r="AB673" i="6"/>
  <c r="AB672" i="6"/>
  <c r="Y683" i="6"/>
  <c r="X683" i="6"/>
  <c r="W683" i="6"/>
  <c r="M683" i="6"/>
  <c r="Y682" i="6"/>
  <c r="X682" i="6"/>
  <c r="W682" i="6"/>
  <c r="N682" i="6"/>
  <c r="M682" i="6"/>
  <c r="Y681" i="6"/>
  <c r="X681" i="6"/>
  <c r="W681" i="6"/>
  <c r="T681" i="6"/>
  <c r="S681" i="6"/>
  <c r="R681" i="6"/>
  <c r="O681" i="6"/>
  <c r="N681" i="6"/>
  <c r="M681" i="6"/>
  <c r="Y680" i="6"/>
  <c r="X680" i="6"/>
  <c r="W680" i="6"/>
  <c r="N680" i="6"/>
  <c r="M680" i="6"/>
  <c r="Y679" i="6"/>
  <c r="X679" i="6"/>
  <c r="W679" i="6"/>
  <c r="T679" i="6"/>
  <c r="O679" i="6"/>
  <c r="N679" i="6"/>
  <c r="M679" i="6"/>
  <c r="Y678" i="6"/>
  <c r="X678" i="6"/>
  <c r="W678" i="6"/>
  <c r="N678" i="6"/>
  <c r="M678" i="6"/>
  <c r="Y677" i="6"/>
  <c r="X677" i="6"/>
  <c r="W677" i="6"/>
  <c r="O677" i="6"/>
  <c r="N677" i="6"/>
  <c r="M677" i="6"/>
  <c r="Y676" i="6"/>
  <c r="X676" i="6"/>
  <c r="W676" i="6"/>
  <c r="O676" i="6"/>
  <c r="N676" i="6"/>
  <c r="M676" i="6"/>
  <c r="Y675" i="6"/>
  <c r="X675" i="6"/>
  <c r="W675" i="6"/>
  <c r="O675" i="6"/>
  <c r="N675" i="6"/>
  <c r="M675" i="6"/>
  <c r="Y674" i="6"/>
  <c r="X674" i="6"/>
  <c r="W674" i="6"/>
  <c r="T674" i="6"/>
  <c r="S674" i="6"/>
  <c r="R674" i="6"/>
  <c r="O674" i="6"/>
  <c r="N674" i="6"/>
  <c r="M674" i="6"/>
  <c r="Y673" i="6"/>
  <c r="X673" i="6"/>
  <c r="W673" i="6"/>
  <c r="O673" i="6"/>
  <c r="N673" i="6"/>
  <c r="M673" i="6"/>
  <c r="X672" i="6"/>
  <c r="W672" i="6"/>
  <c r="O672" i="6"/>
  <c r="N672" i="6"/>
  <c r="M672" i="6"/>
  <c r="J682" i="6"/>
  <c r="I682" i="6"/>
  <c r="H682" i="6"/>
  <c r="G682" i="6"/>
  <c r="F682" i="6"/>
  <c r="AU682" i="6" s="1"/>
  <c r="J681" i="6"/>
  <c r="I681" i="6"/>
  <c r="H681" i="6"/>
  <c r="G681" i="6"/>
  <c r="F681" i="6"/>
  <c r="AU681" i="6" s="1"/>
  <c r="J680" i="6"/>
  <c r="I680" i="6"/>
  <c r="H680" i="6"/>
  <c r="G680" i="6"/>
  <c r="F680" i="6"/>
  <c r="AU680" i="6" s="1"/>
  <c r="J679" i="6"/>
  <c r="I679" i="6"/>
  <c r="H679" i="6"/>
  <c r="G679" i="6"/>
  <c r="F679" i="6"/>
  <c r="AU679" i="6" s="1"/>
  <c r="J678" i="6"/>
  <c r="I678" i="6"/>
  <c r="H678" i="6"/>
  <c r="G678" i="6"/>
  <c r="F678" i="6"/>
  <c r="AU678" i="6" s="1"/>
  <c r="J677" i="6"/>
  <c r="I677" i="6"/>
  <c r="H677" i="6"/>
  <c r="G677" i="6"/>
  <c r="F677" i="6"/>
  <c r="AU677" i="6" s="1"/>
  <c r="J676" i="6"/>
  <c r="I676" i="6"/>
  <c r="H676" i="6"/>
  <c r="G676" i="6"/>
  <c r="F676" i="6"/>
  <c r="AU676" i="6" s="1"/>
  <c r="J675" i="6"/>
  <c r="I675" i="6"/>
  <c r="H675" i="6"/>
  <c r="G675" i="6"/>
  <c r="F675" i="6"/>
  <c r="AU675" i="6" s="1"/>
  <c r="J674" i="6"/>
  <c r="I674" i="6"/>
  <c r="H674" i="6"/>
  <c r="G674" i="6"/>
  <c r="F674" i="6"/>
  <c r="AU674" i="6" s="1"/>
  <c r="J673" i="6"/>
  <c r="I673" i="6"/>
  <c r="H673" i="6"/>
  <c r="G673" i="6"/>
  <c r="F673" i="6"/>
  <c r="AU673" i="6" s="1"/>
  <c r="J672" i="6"/>
  <c r="I672" i="6"/>
  <c r="H672" i="6"/>
  <c r="G672" i="6"/>
  <c r="F672" i="6"/>
  <c r="AU672" i="6" s="1"/>
  <c r="D671" i="6"/>
  <c r="AD671" i="6" s="1"/>
  <c r="AE671" i="6" s="1"/>
  <c r="D670" i="6"/>
  <c r="AD670" i="6" s="1"/>
  <c r="AE670" i="6" s="1"/>
  <c r="D669" i="6"/>
  <c r="X669" i="6" s="1"/>
  <c r="BD669" i="6"/>
  <c r="BC669" i="6"/>
  <c r="BB669" i="6"/>
  <c r="BA669" i="6"/>
  <c r="AT669" i="6"/>
  <c r="Y669" i="6"/>
  <c r="H669" i="6"/>
  <c r="AC668" i="6"/>
  <c r="AC667" i="6"/>
  <c r="BD667" i="6"/>
  <c r="BC667" i="6"/>
  <c r="BB667" i="6"/>
  <c r="BA667" i="6"/>
  <c r="AT667" i="6"/>
  <c r="AS667" i="6"/>
  <c r="BD666" i="6"/>
  <c r="BC666" i="6"/>
  <c r="BB666" i="6"/>
  <c r="BA666" i="6"/>
  <c r="AT666" i="6"/>
  <c r="AD668" i="6"/>
  <c r="AD667" i="6"/>
  <c r="AB667" i="6"/>
  <c r="N667" i="6"/>
  <c r="M667" i="6"/>
  <c r="J667" i="6"/>
  <c r="I667" i="6"/>
  <c r="H667" i="6"/>
  <c r="G667" i="6"/>
  <c r="F667" i="6"/>
  <c r="AU667" i="6" s="1"/>
  <c r="D666" i="6"/>
  <c r="J666" i="6" s="1"/>
  <c r="AS663" i="6"/>
  <c r="AS662" i="6"/>
  <c r="AS661" i="6"/>
  <c r="AS660" i="6"/>
  <c r="AJ661" i="6"/>
  <c r="BA661" i="6" s="1"/>
  <c r="AE661" i="6"/>
  <c r="AZ661" i="6" s="1"/>
  <c r="Z661" i="6"/>
  <c r="U661" i="6"/>
  <c r="AX661" i="6" s="1"/>
  <c r="P661" i="6"/>
  <c r="AW661" i="6" s="1"/>
  <c r="K661" i="6"/>
  <c r="AV661" i="6" s="1"/>
  <c r="BD662" i="6"/>
  <c r="BC662" i="6"/>
  <c r="BB662" i="6"/>
  <c r="BA662" i="6"/>
  <c r="AZ662" i="6"/>
  <c r="AY662" i="6"/>
  <c r="AX662" i="6"/>
  <c r="AW662" i="6"/>
  <c r="AV662" i="6"/>
  <c r="AU662" i="6"/>
  <c r="AT662" i="6"/>
  <c r="AY661" i="6"/>
  <c r="AU661" i="6"/>
  <c r="AT661" i="6"/>
  <c r="AP661" i="6"/>
  <c r="AQ661" i="6" s="1"/>
  <c r="BD661" i="6" s="1"/>
  <c r="AO661" i="6"/>
  <c r="BB661" i="6" s="1"/>
  <c r="AU657" i="6"/>
  <c r="AT657" i="6"/>
  <c r="AS657" i="6"/>
  <c r="AG657" i="6"/>
  <c r="AH657" i="6" s="1"/>
  <c r="AH582" i="6" s="1"/>
  <c r="AE657" i="6"/>
  <c r="AZ657" i="6" s="1"/>
  <c r="Z657" i="6"/>
  <c r="AY657" i="6" s="1"/>
  <c r="U657" i="6"/>
  <c r="AX657" i="6" s="1"/>
  <c r="P657" i="6"/>
  <c r="AW657" i="6" s="1"/>
  <c r="K657" i="6"/>
  <c r="AV657" i="6" s="1"/>
  <c r="AS655" i="6"/>
  <c r="E655" i="6"/>
  <c r="AT655" i="6" s="1"/>
  <c r="AF654" i="6"/>
  <c r="AE654" i="6"/>
  <c r="AZ654" i="6" s="1"/>
  <c r="AY654" i="6"/>
  <c r="AX654" i="6"/>
  <c r="AW654" i="6"/>
  <c r="AV654" i="6"/>
  <c r="AU654" i="6"/>
  <c r="AU653" i="6"/>
  <c r="AT653" i="6"/>
  <c r="AS653" i="6"/>
  <c r="AI654" i="6"/>
  <c r="AJ654" i="6" s="1"/>
  <c r="AI653" i="6"/>
  <c r="AJ653" i="6" s="1"/>
  <c r="BA653" i="6" s="1"/>
  <c r="AE653" i="6"/>
  <c r="AZ653" i="6" s="1"/>
  <c r="AA653" i="6"/>
  <c r="Z653" i="6"/>
  <c r="AY653" i="6" s="1"/>
  <c r="U653" i="6"/>
  <c r="AX653" i="6" s="1"/>
  <c r="P653" i="6"/>
  <c r="AW653" i="6" s="1"/>
  <c r="N653" i="6"/>
  <c r="M653" i="6"/>
  <c r="L653" i="6"/>
  <c r="K653" i="6"/>
  <c r="AV653" i="6" s="1"/>
  <c r="I653" i="6"/>
  <c r="H653" i="6"/>
  <c r="G653" i="6"/>
  <c r="AX652" i="6"/>
  <c r="AF651" i="6"/>
  <c r="M651" i="6"/>
  <c r="M607" i="6" s="1"/>
  <c r="L651" i="6"/>
  <c r="L655" i="6" s="1"/>
  <c r="J651" i="6"/>
  <c r="J655" i="6" s="1"/>
  <c r="I651" i="6"/>
  <c r="I655" i="6" s="1"/>
  <c r="H651" i="6"/>
  <c r="H655" i="6" s="1"/>
  <c r="G651" i="6"/>
  <c r="G655" i="6" s="1"/>
  <c r="F651" i="6"/>
  <c r="F655" i="6" s="1"/>
  <c r="AU655" i="6" s="1"/>
  <c r="E651" i="6"/>
  <c r="AT651" i="6"/>
  <c r="AS651" i="6"/>
  <c r="AU650" i="6"/>
  <c r="AT650" i="6"/>
  <c r="AS650" i="6"/>
  <c r="AE650" i="6"/>
  <c r="AZ650" i="6" s="1"/>
  <c r="AD650" i="6"/>
  <c r="AD689" i="6" s="1"/>
  <c r="Z650" i="6"/>
  <c r="U650" i="6"/>
  <c r="S650" i="6"/>
  <c r="T689" i="6" s="1"/>
  <c r="R650" i="6"/>
  <c r="O650" i="6"/>
  <c r="K650" i="6"/>
  <c r="L689" i="6" s="1"/>
  <c r="AS649" i="6"/>
  <c r="AS648" i="6"/>
  <c r="AS647" i="6"/>
  <c r="AS646" i="6"/>
  <c r="AS645" i="6"/>
  <c r="AS644" i="6"/>
  <c r="AS643" i="6"/>
  <c r="AS642" i="6"/>
  <c r="AE647" i="6"/>
  <c r="AF686" i="6" s="1"/>
  <c r="AE646" i="6"/>
  <c r="AE645" i="6"/>
  <c r="AE644" i="6"/>
  <c r="AE643" i="6"/>
  <c r="AZ643" i="6" s="1"/>
  <c r="AE642" i="6"/>
  <c r="AZ642" i="6" s="1"/>
  <c r="AE641" i="6"/>
  <c r="AE640" i="6"/>
  <c r="AZ640" i="6" s="1"/>
  <c r="AE639" i="6"/>
  <c r="AZ639" i="6" s="1"/>
  <c r="AE638" i="6"/>
  <c r="AZ638" i="6" s="1"/>
  <c r="AE637" i="6"/>
  <c r="AZ637" i="6" s="1"/>
  <c r="AE636" i="6"/>
  <c r="AZ636" i="6" s="1"/>
  <c r="AE635" i="6"/>
  <c r="AZ635" i="6" s="1"/>
  <c r="AE634" i="6"/>
  <c r="AZ634" i="6" s="1"/>
  <c r="AE633" i="6"/>
  <c r="AZ633" i="6" s="1"/>
  <c r="AE632" i="6"/>
  <c r="AE631" i="6"/>
  <c r="AE630" i="6"/>
  <c r="AZ630" i="6" s="1"/>
  <c r="AE629" i="6"/>
  <c r="AE628" i="6"/>
  <c r="AZ628" i="6" s="1"/>
  <c r="Z646" i="6"/>
  <c r="AA685" i="6" s="1"/>
  <c r="AE685" i="6" s="1"/>
  <c r="Z645" i="6"/>
  <c r="AA684" i="6" s="1"/>
  <c r="Z644" i="6"/>
  <c r="AA683" i="6" s="1"/>
  <c r="Z643" i="6"/>
  <c r="AA682" i="6" s="1"/>
  <c r="Z642" i="6"/>
  <c r="Z641" i="6"/>
  <c r="AA680" i="6" s="1"/>
  <c r="Z640" i="6"/>
  <c r="Z639" i="6"/>
  <c r="AA678" i="6" s="1"/>
  <c r="Z638" i="6"/>
  <c r="AA677" i="6" s="1"/>
  <c r="AE677" i="6" s="1"/>
  <c r="AZ677" i="6" s="1"/>
  <c r="Z637" i="6"/>
  <c r="AA676" i="6" s="1"/>
  <c r="Z636" i="6"/>
  <c r="Z635" i="6"/>
  <c r="AA674" i="6" s="1"/>
  <c r="Z634" i="6"/>
  <c r="AA673" i="6" s="1"/>
  <c r="AE673" i="6" s="1"/>
  <c r="AZ673" i="6" s="1"/>
  <c r="U646" i="6"/>
  <c r="U645" i="6"/>
  <c r="U644" i="6"/>
  <c r="V683" i="6" s="1"/>
  <c r="U643" i="6"/>
  <c r="V682" i="6" s="1"/>
  <c r="Z682" i="6" s="1"/>
  <c r="AY682" i="6" s="1"/>
  <c r="U642" i="6"/>
  <c r="U641" i="6"/>
  <c r="V680" i="6" s="1"/>
  <c r="U640" i="6"/>
  <c r="U639" i="6"/>
  <c r="U638" i="6"/>
  <c r="U637" i="6"/>
  <c r="V676" i="6" s="1"/>
  <c r="U636" i="6"/>
  <c r="U635" i="6"/>
  <c r="U634" i="6"/>
  <c r="U633" i="6"/>
  <c r="V672" i="6" s="1"/>
  <c r="P646" i="6"/>
  <c r="P645" i="6"/>
  <c r="P642" i="6"/>
  <c r="Q681" i="6" s="1"/>
  <c r="N644" i="6"/>
  <c r="R644" i="6"/>
  <c r="R643" i="6"/>
  <c r="O643" i="6"/>
  <c r="O682" i="6" s="1"/>
  <c r="K643" i="6"/>
  <c r="K642" i="6"/>
  <c r="L681" i="6" s="1"/>
  <c r="K641" i="6"/>
  <c r="L680" i="6" s="1"/>
  <c r="K640" i="6"/>
  <c r="L679" i="6" s="1"/>
  <c r="K639" i="6"/>
  <c r="L678" i="6" s="1"/>
  <c r="K638" i="6"/>
  <c r="L677" i="6" s="1"/>
  <c r="P677" i="6" s="1"/>
  <c r="AW677" i="6" s="1"/>
  <c r="K637" i="6"/>
  <c r="L676" i="6" s="1"/>
  <c r="K636" i="6"/>
  <c r="L675" i="6" s="1"/>
  <c r="K635" i="6"/>
  <c r="L674" i="6" s="1"/>
  <c r="K634" i="6"/>
  <c r="L673" i="6" s="1"/>
  <c r="K633" i="6"/>
  <c r="L672" i="6" s="1"/>
  <c r="BD643" i="6"/>
  <c r="BC643" i="6"/>
  <c r="BB643" i="6"/>
  <c r="BA643" i="6"/>
  <c r="AU643" i="6"/>
  <c r="AT643" i="6"/>
  <c r="BD642" i="6"/>
  <c r="BC642" i="6"/>
  <c r="BB642" i="6"/>
  <c r="BA642" i="6"/>
  <c r="AW642" i="6"/>
  <c r="AU642" i="6"/>
  <c r="AT642" i="6"/>
  <c r="BD641" i="6"/>
  <c r="BC641" i="6"/>
  <c r="BB641" i="6"/>
  <c r="BA641" i="6"/>
  <c r="AZ641" i="6"/>
  <c r="AX641" i="6"/>
  <c r="AU641" i="6"/>
  <c r="AT641" i="6"/>
  <c r="AS641" i="6"/>
  <c r="BD640" i="6"/>
  <c r="BC640" i="6"/>
  <c r="BB640" i="6"/>
  <c r="BA640" i="6"/>
  <c r="AV640" i="6"/>
  <c r="AU640" i="6"/>
  <c r="AT640" i="6"/>
  <c r="AS640" i="6"/>
  <c r="BD639" i="6"/>
  <c r="BC639" i="6"/>
  <c r="BB639" i="6"/>
  <c r="BA639" i="6"/>
  <c r="AV639" i="6"/>
  <c r="AU639" i="6"/>
  <c r="AT639" i="6"/>
  <c r="AS639" i="6"/>
  <c r="BD638" i="6"/>
  <c r="BC638" i="6"/>
  <c r="BB638" i="6"/>
  <c r="BA638" i="6"/>
  <c r="AW638" i="6"/>
  <c r="AU638" i="6"/>
  <c r="AT638" i="6"/>
  <c r="AS638" i="6"/>
  <c r="BD637" i="6"/>
  <c r="BC637" i="6"/>
  <c r="BB637" i="6"/>
  <c r="BA637" i="6"/>
  <c r="AU637" i="6"/>
  <c r="AT637" i="6"/>
  <c r="AS637" i="6"/>
  <c r="BD636" i="6"/>
  <c r="BC636" i="6"/>
  <c r="BB636" i="6"/>
  <c r="BA636" i="6"/>
  <c r="AV636" i="6"/>
  <c r="AU636" i="6"/>
  <c r="AT636" i="6"/>
  <c r="AS636" i="6"/>
  <c r="BD635" i="6"/>
  <c r="BC635" i="6"/>
  <c r="BB635" i="6"/>
  <c r="BA635" i="6"/>
  <c r="AU635" i="6"/>
  <c r="AT635" i="6"/>
  <c r="AS635" i="6"/>
  <c r="AV634" i="6"/>
  <c r="AU634" i="6"/>
  <c r="AT634" i="6"/>
  <c r="AS634" i="6"/>
  <c r="BD633" i="6"/>
  <c r="BC633" i="6"/>
  <c r="BB633" i="6"/>
  <c r="BA633" i="6"/>
  <c r="AU633" i="6"/>
  <c r="AT633" i="6"/>
  <c r="AS633" i="6"/>
  <c r="R641" i="6"/>
  <c r="S641" i="6" s="1"/>
  <c r="T680" i="6" s="1"/>
  <c r="O641" i="6"/>
  <c r="R640" i="6"/>
  <c r="R639" i="6"/>
  <c r="R638" i="6"/>
  <c r="R677" i="6" s="1"/>
  <c r="R637" i="6"/>
  <c r="R636" i="6"/>
  <c r="P640" i="6"/>
  <c r="Q679" i="6" s="1"/>
  <c r="P638" i="6"/>
  <c r="Q677" i="6" s="1"/>
  <c r="P637" i="6"/>
  <c r="Q676" i="6" s="1"/>
  <c r="P636" i="6"/>
  <c r="P635" i="6"/>
  <c r="Q674" i="6" s="1"/>
  <c r="P634" i="6"/>
  <c r="Q673" i="6" s="1"/>
  <c r="P633" i="6"/>
  <c r="Q672" i="6" s="1"/>
  <c r="S639" i="6"/>
  <c r="T678" i="6" s="1"/>
  <c r="S638" i="6"/>
  <c r="T677" i="6" s="1"/>
  <c r="O639" i="6"/>
  <c r="AG634" i="6"/>
  <c r="AH634" i="6" s="1"/>
  <c r="AH651" i="6" s="1"/>
  <c r="AC633" i="6"/>
  <c r="Y633" i="6"/>
  <c r="Y672" i="6" s="1"/>
  <c r="R634" i="6"/>
  <c r="R633" i="6"/>
  <c r="S633" i="6" s="1"/>
  <c r="T672" i="6" s="1"/>
  <c r="AS631" i="6"/>
  <c r="AS630" i="6"/>
  <c r="BD630" i="6"/>
  <c r="BC630" i="6"/>
  <c r="BB630" i="6"/>
  <c r="BA630" i="6"/>
  <c r="AW630" i="6"/>
  <c r="AU630" i="6"/>
  <c r="AT630" i="6"/>
  <c r="Z630" i="6"/>
  <c r="AY630" i="6" s="1"/>
  <c r="U630" i="6"/>
  <c r="R630" i="6"/>
  <c r="P630" i="6"/>
  <c r="K630" i="6"/>
  <c r="L669" i="6" s="1"/>
  <c r="Y628" i="6"/>
  <c r="Z628" i="6" s="1"/>
  <c r="X628" i="6"/>
  <c r="X605" i="6" s="1"/>
  <c r="W628" i="6"/>
  <c r="V628" i="6"/>
  <c r="T628" i="6"/>
  <c r="U628" i="6" s="1"/>
  <c r="S628" i="6"/>
  <c r="R628" i="6"/>
  <c r="Q628" i="6"/>
  <c r="Q605" i="6" s="1"/>
  <c r="P628" i="6"/>
  <c r="AW628" i="6" s="1"/>
  <c r="O628" i="6"/>
  <c r="O667" i="6" s="1"/>
  <c r="K628" i="6"/>
  <c r="L667" i="6" s="1"/>
  <c r="K627" i="6"/>
  <c r="K605" i="6" s="1"/>
  <c r="AV605" i="6" s="1"/>
  <c r="BD628" i="6"/>
  <c r="BC628" i="6"/>
  <c r="BB628" i="6"/>
  <c r="BA628" i="6"/>
  <c r="AV628" i="6"/>
  <c r="AU628" i="6"/>
  <c r="AT628" i="6"/>
  <c r="AS628" i="6"/>
  <c r="BD627" i="6"/>
  <c r="BC627" i="6"/>
  <c r="BB627" i="6"/>
  <c r="BA627" i="6"/>
  <c r="AU627" i="6"/>
  <c r="AT627" i="6"/>
  <c r="AS627" i="6"/>
  <c r="Y627" i="6"/>
  <c r="Y605" i="6" s="1"/>
  <c r="T627" i="6"/>
  <c r="T605" i="6" s="1"/>
  <c r="P627" i="6"/>
  <c r="AW627" i="6" s="1"/>
  <c r="O627" i="6"/>
  <c r="AS626" i="6"/>
  <c r="AT624" i="6"/>
  <c r="AS624" i="6"/>
  <c r="AT622" i="6"/>
  <c r="AS622" i="6"/>
  <c r="AS621" i="6"/>
  <c r="AU620" i="6"/>
  <c r="AT620" i="6"/>
  <c r="AS620" i="6"/>
  <c r="AT619" i="6"/>
  <c r="AS619" i="6"/>
  <c r="AS618" i="6"/>
  <c r="AT616" i="6"/>
  <c r="AS616" i="6"/>
  <c r="AT615" i="6"/>
  <c r="AS615" i="6"/>
  <c r="AS614" i="6"/>
  <c r="AG615" i="6"/>
  <c r="AF615" i="6"/>
  <c r="AD615" i="6"/>
  <c r="AC615" i="6"/>
  <c r="AB615" i="6"/>
  <c r="AA615" i="6"/>
  <c r="Y615" i="6"/>
  <c r="X615" i="6"/>
  <c r="W615" i="6"/>
  <c r="V615" i="6"/>
  <c r="T615" i="6"/>
  <c r="S615" i="6"/>
  <c r="R615" i="6"/>
  <c r="Q615" i="6"/>
  <c r="O615" i="6"/>
  <c r="N615" i="6"/>
  <c r="M615" i="6"/>
  <c r="L615" i="6"/>
  <c r="J615" i="6"/>
  <c r="I615" i="6"/>
  <c r="H615" i="6"/>
  <c r="G615" i="6"/>
  <c r="F615" i="6"/>
  <c r="AU615" i="6" s="1"/>
  <c r="O614" i="6"/>
  <c r="N614" i="6"/>
  <c r="M614" i="6"/>
  <c r="L614" i="6"/>
  <c r="J614" i="6"/>
  <c r="I614" i="6"/>
  <c r="H614" i="6"/>
  <c r="G614" i="6"/>
  <c r="BD612" i="6"/>
  <c r="BC612" i="6"/>
  <c r="BB612" i="6"/>
  <c r="BA612" i="6"/>
  <c r="AZ612" i="6"/>
  <c r="AY612" i="6"/>
  <c r="AX612" i="6"/>
  <c r="AW612" i="6"/>
  <c r="AV612" i="6"/>
  <c r="AU612" i="6"/>
  <c r="AT612" i="6"/>
  <c r="AS612" i="6"/>
  <c r="AT610" i="6"/>
  <c r="AS610" i="6"/>
  <c r="AV609" i="6"/>
  <c r="AU609" i="6"/>
  <c r="AT609" i="6"/>
  <c r="AS609" i="6"/>
  <c r="AE609" i="6"/>
  <c r="AZ609" i="6" s="1"/>
  <c r="Z609" i="6"/>
  <c r="AY609" i="6" s="1"/>
  <c r="U609" i="6"/>
  <c r="AX609" i="6" s="1"/>
  <c r="P609" i="6"/>
  <c r="AW609" i="6" s="1"/>
  <c r="AS608" i="6"/>
  <c r="AS607" i="6"/>
  <c r="AS606" i="6"/>
  <c r="AS605" i="6"/>
  <c r="AS604" i="6"/>
  <c r="O608" i="6"/>
  <c r="N608" i="6"/>
  <c r="M608" i="6"/>
  <c r="L608" i="6"/>
  <c r="J608" i="6"/>
  <c r="I608" i="6"/>
  <c r="H608" i="6"/>
  <c r="G608" i="6"/>
  <c r="F608" i="6"/>
  <c r="I607" i="6"/>
  <c r="H607" i="6"/>
  <c r="H610" i="6" s="1"/>
  <c r="F605" i="6"/>
  <c r="AU605" i="6" s="1"/>
  <c r="AT607" i="6"/>
  <c r="AT606" i="6"/>
  <c r="AT605" i="6"/>
  <c r="AL609" i="6"/>
  <c r="AK609" i="6"/>
  <c r="AM609" i="6"/>
  <c r="AF608" i="6"/>
  <c r="AF605" i="6"/>
  <c r="AD608" i="6"/>
  <c r="AC608" i="6"/>
  <c r="AB608" i="6"/>
  <c r="AA608" i="6"/>
  <c r="Y608" i="6"/>
  <c r="X608" i="6"/>
  <c r="W608" i="6"/>
  <c r="V608" i="6"/>
  <c r="W605" i="6"/>
  <c r="V605" i="6"/>
  <c r="T608" i="6"/>
  <c r="S608" i="6"/>
  <c r="R608" i="6"/>
  <c r="Q608" i="6"/>
  <c r="O605" i="6"/>
  <c r="N605" i="6"/>
  <c r="M605" i="6"/>
  <c r="J605" i="6"/>
  <c r="AS602" i="6"/>
  <c r="AQ602" i="6"/>
  <c r="AQ624" i="6" s="1"/>
  <c r="AQ660" i="6" s="1"/>
  <c r="BD660" i="6" s="1"/>
  <c r="AP602" i="6"/>
  <c r="AP624" i="6" s="1"/>
  <c r="AO602" i="6"/>
  <c r="AO624" i="6" s="1"/>
  <c r="AN602" i="6"/>
  <c r="AN624" i="6" s="1"/>
  <c r="AN660" i="6" s="1"/>
  <c r="AM602" i="6"/>
  <c r="AM624" i="6" s="1"/>
  <c r="AM660" i="6" s="1"/>
  <c r="AL602" i="6"/>
  <c r="AL624" i="6" s="1"/>
  <c r="AL660" i="6" s="1"/>
  <c r="AK602" i="6"/>
  <c r="AK624" i="6" s="1"/>
  <c r="AK660" i="6" s="1"/>
  <c r="AJ602" i="6"/>
  <c r="AJ624" i="6" s="1"/>
  <c r="AI602" i="6"/>
  <c r="AI624" i="6" s="1"/>
  <c r="AI660" i="6" s="1"/>
  <c r="AG602" i="6"/>
  <c r="AG624" i="6" s="1"/>
  <c r="AG660" i="6" s="1"/>
  <c r="AF602" i="6"/>
  <c r="AF624" i="6" s="1"/>
  <c r="AF660" i="6" s="1"/>
  <c r="AE602" i="6"/>
  <c r="AE624" i="6" s="1"/>
  <c r="AD602" i="6"/>
  <c r="AD624" i="6" s="1"/>
  <c r="AD660" i="6" s="1"/>
  <c r="AC602" i="6"/>
  <c r="AC624" i="6" s="1"/>
  <c r="AC660" i="6" s="1"/>
  <c r="AB602" i="6"/>
  <c r="AB624" i="6" s="1"/>
  <c r="AB660" i="6" s="1"/>
  <c r="AA602" i="6"/>
  <c r="AA624" i="6" s="1"/>
  <c r="AA660" i="6" s="1"/>
  <c r="Z602" i="6"/>
  <c r="Z624" i="6" s="1"/>
  <c r="Z660" i="6" s="1"/>
  <c r="AY660" i="6" s="1"/>
  <c r="Y602" i="6"/>
  <c r="Y624" i="6" s="1"/>
  <c r="Y660" i="6" s="1"/>
  <c r="X602" i="6"/>
  <c r="X624" i="6" s="1"/>
  <c r="X660" i="6" s="1"/>
  <c r="W602" i="6"/>
  <c r="W624" i="6" s="1"/>
  <c r="W660" i="6" s="1"/>
  <c r="V602" i="6"/>
  <c r="V624" i="6" s="1"/>
  <c r="V660" i="6" s="1"/>
  <c r="U602" i="6"/>
  <c r="U624" i="6" s="1"/>
  <c r="T602" i="6"/>
  <c r="T624" i="6" s="1"/>
  <c r="T660" i="6" s="1"/>
  <c r="S602" i="6"/>
  <c r="S624" i="6" s="1"/>
  <c r="S660" i="6" s="1"/>
  <c r="R602" i="6"/>
  <c r="R624" i="6" s="1"/>
  <c r="R660" i="6" s="1"/>
  <c r="Q602" i="6"/>
  <c r="Q624" i="6" s="1"/>
  <c r="Q660" i="6" s="1"/>
  <c r="P602" i="6"/>
  <c r="P624" i="6" s="1"/>
  <c r="O602" i="6"/>
  <c r="O624" i="6" s="1"/>
  <c r="O660" i="6" s="1"/>
  <c r="N602" i="6"/>
  <c r="N624" i="6" s="1"/>
  <c r="N660" i="6" s="1"/>
  <c r="M602" i="6"/>
  <c r="M624" i="6" s="1"/>
  <c r="M660" i="6" s="1"/>
  <c r="L602" i="6"/>
  <c r="L624" i="6" s="1"/>
  <c r="L660" i="6" s="1"/>
  <c r="K602" i="6"/>
  <c r="K624" i="6" s="1"/>
  <c r="J602" i="6"/>
  <c r="J624" i="6" s="1"/>
  <c r="J660" i="6" s="1"/>
  <c r="I602" i="6"/>
  <c r="I624" i="6" s="1"/>
  <c r="I660" i="6" s="1"/>
  <c r="H602" i="6"/>
  <c r="H624" i="6" s="1"/>
  <c r="H660" i="6" s="1"/>
  <c r="G602" i="6"/>
  <c r="G624" i="6" s="1"/>
  <c r="G660" i="6" s="1"/>
  <c r="F602" i="6"/>
  <c r="F624" i="6" s="1"/>
  <c r="E602" i="6"/>
  <c r="E624" i="6" s="1"/>
  <c r="E660" i="6" s="1"/>
  <c r="AT660" i="6" s="1"/>
  <c r="AS599" i="6"/>
  <c r="E599" i="6"/>
  <c r="AT599" i="6" s="1"/>
  <c r="AS597" i="6"/>
  <c r="AS595" i="6"/>
  <c r="AS594" i="6"/>
  <c r="AS593" i="6"/>
  <c r="AS592" i="6"/>
  <c r="AS591" i="6"/>
  <c r="AS590" i="6"/>
  <c r="AS589" i="6"/>
  <c r="AG595" i="6"/>
  <c r="AD595" i="6"/>
  <c r="AC595" i="6"/>
  <c r="X595" i="6"/>
  <c r="W595" i="6"/>
  <c r="V595" i="6"/>
  <c r="T595" i="6"/>
  <c r="S595" i="6"/>
  <c r="R595" i="6"/>
  <c r="Q595" i="6"/>
  <c r="O595" i="6"/>
  <c r="N595" i="6"/>
  <c r="M595" i="6"/>
  <c r="L595" i="6"/>
  <c r="J595" i="6"/>
  <c r="I595" i="6"/>
  <c r="H595" i="6"/>
  <c r="G595" i="6"/>
  <c r="F595" i="6"/>
  <c r="AE594" i="6"/>
  <c r="AE593" i="6"/>
  <c r="AE595" i="6" s="1"/>
  <c r="AE592" i="6"/>
  <c r="Z594" i="6"/>
  <c r="Z593" i="6"/>
  <c r="Z592" i="6"/>
  <c r="AY592" i="6" s="1"/>
  <c r="U594" i="6"/>
  <c r="AX594" i="6" s="1"/>
  <c r="U593" i="6"/>
  <c r="U592" i="6"/>
  <c r="P594" i="6"/>
  <c r="AW594" i="6" s="1"/>
  <c r="P593" i="6"/>
  <c r="P592" i="6"/>
  <c r="K594" i="6"/>
  <c r="K707" i="6" s="1"/>
  <c r="AV707" i="6" s="1"/>
  <c r="K593" i="6"/>
  <c r="K592" i="6"/>
  <c r="AV592" i="6" s="1"/>
  <c r="AF593" i="6"/>
  <c r="AF595" i="6" s="1"/>
  <c r="AU595" i="6"/>
  <c r="AZ594" i="6"/>
  <c r="AY594" i="6"/>
  <c r="AU594" i="6"/>
  <c r="AY593" i="6"/>
  <c r="AX593" i="6"/>
  <c r="AU593" i="6"/>
  <c r="AZ592" i="6"/>
  <c r="AX592" i="6"/>
  <c r="AW592" i="6"/>
  <c r="AU592" i="6"/>
  <c r="AU590" i="6"/>
  <c r="AI591" i="6"/>
  <c r="AJ591" i="6" s="1"/>
  <c r="AI590" i="6"/>
  <c r="AE590" i="6"/>
  <c r="Y590" i="6"/>
  <c r="Y704" i="6" s="1"/>
  <c r="U590" i="6"/>
  <c r="AX590" i="6" s="1"/>
  <c r="P590" i="6"/>
  <c r="K590" i="6"/>
  <c r="AS587" i="6"/>
  <c r="AS586" i="6"/>
  <c r="AS585" i="6"/>
  <c r="AS584" i="6"/>
  <c r="AS583" i="6"/>
  <c r="AS582" i="6"/>
  <c r="AS581" i="6"/>
  <c r="AG587" i="6"/>
  <c r="AF587" i="6"/>
  <c r="AD587" i="6"/>
  <c r="AE587" i="6" s="1"/>
  <c r="AZ587" i="6" s="1"/>
  <c r="AC587" i="6"/>
  <c r="AB587" i="6"/>
  <c r="AA587" i="6"/>
  <c r="Y587" i="6"/>
  <c r="Z587" i="6" s="1"/>
  <c r="AY587" i="6" s="1"/>
  <c r="X587" i="6"/>
  <c r="W587" i="6"/>
  <c r="V587" i="6"/>
  <c r="T587" i="6"/>
  <c r="U587" i="6" s="1"/>
  <c r="S587" i="6"/>
  <c r="R587" i="6"/>
  <c r="Q587" i="6"/>
  <c r="P587" i="6"/>
  <c r="AW587" i="6" s="1"/>
  <c r="O587" i="6"/>
  <c r="K587" i="6"/>
  <c r="AV587" i="6" s="1"/>
  <c r="K586" i="6"/>
  <c r="K585" i="6"/>
  <c r="AV585" i="6" s="1"/>
  <c r="K584" i="6"/>
  <c r="K583" i="6"/>
  <c r="AV583" i="6" s="1"/>
  <c r="K582" i="6"/>
  <c r="K608" i="6" s="1"/>
  <c r="K581" i="6"/>
  <c r="AV581" i="6" s="1"/>
  <c r="AE586" i="6"/>
  <c r="AE585" i="6"/>
  <c r="AZ585" i="6" s="1"/>
  <c r="AE584" i="6"/>
  <c r="AE582" i="6"/>
  <c r="AE608" i="6" s="1"/>
  <c r="AE581" i="6"/>
  <c r="AZ581" i="6" s="1"/>
  <c r="Z586" i="6"/>
  <c r="AY586" i="6" s="1"/>
  <c r="Z585" i="6"/>
  <c r="AY585" i="6" s="1"/>
  <c r="Z584" i="6"/>
  <c r="Z582" i="6"/>
  <c r="Z608" i="6" s="1"/>
  <c r="Z581" i="6"/>
  <c r="AY581" i="6" s="1"/>
  <c r="U586" i="6"/>
  <c r="AX586" i="6" s="1"/>
  <c r="U585" i="6"/>
  <c r="AX585" i="6" s="1"/>
  <c r="U584" i="6"/>
  <c r="AX584" i="6" s="1"/>
  <c r="U583" i="6"/>
  <c r="AX583" i="6" s="1"/>
  <c r="U582" i="6"/>
  <c r="AX582" i="6" s="1"/>
  <c r="U581" i="6"/>
  <c r="P586" i="6"/>
  <c r="AW586" i="6" s="1"/>
  <c r="P585" i="6"/>
  <c r="AW585" i="6" s="1"/>
  <c r="P584" i="6"/>
  <c r="AW584" i="6" s="1"/>
  <c r="P582" i="6"/>
  <c r="P608" i="6" s="1"/>
  <c r="P581" i="6"/>
  <c r="AW581" i="6" s="1"/>
  <c r="AG583" i="6"/>
  <c r="AG582" i="6"/>
  <c r="AG608" i="6" s="1"/>
  <c r="AD583" i="6"/>
  <c r="AE583" i="6" s="1"/>
  <c r="AZ583" i="6" s="1"/>
  <c r="AC583" i="6"/>
  <c r="AB583" i="6"/>
  <c r="AA583" i="6"/>
  <c r="Y583" i="6"/>
  <c r="Z583" i="6" s="1"/>
  <c r="AY583" i="6" s="1"/>
  <c r="X583" i="6"/>
  <c r="W583" i="6"/>
  <c r="V583" i="6"/>
  <c r="T583" i="6"/>
  <c r="S583" i="6"/>
  <c r="R583" i="6"/>
  <c r="Q583" i="6"/>
  <c r="O583" i="6"/>
  <c r="P583" i="6" s="1"/>
  <c r="AW583" i="6" s="1"/>
  <c r="N583" i="6"/>
  <c r="M583" i="6"/>
  <c r="AX587" i="6"/>
  <c r="AU587" i="6"/>
  <c r="AZ586" i="6"/>
  <c r="AV586" i="6"/>
  <c r="AU586" i="6"/>
  <c r="AU585" i="6"/>
  <c r="AZ584" i="6"/>
  <c r="AY584" i="6"/>
  <c r="AV584" i="6"/>
  <c r="AU584" i="6"/>
  <c r="AU583" i="6"/>
  <c r="AW582" i="6"/>
  <c r="AU582" i="6"/>
  <c r="AX581" i="6"/>
  <c r="AU581" i="6"/>
  <c r="AI584" i="6"/>
  <c r="AJ584" i="6" s="1"/>
  <c r="AI583" i="6"/>
  <c r="AJ583" i="6" s="1"/>
  <c r="AS579" i="6"/>
  <c r="AS578" i="6"/>
  <c r="AS577" i="6"/>
  <c r="AS576" i="6"/>
  <c r="AS575" i="6"/>
  <c r="AS574" i="6"/>
  <c r="AF579" i="6"/>
  <c r="AD579" i="6"/>
  <c r="AC579" i="6"/>
  <c r="AB579" i="6"/>
  <c r="AA579" i="6"/>
  <c r="Y579" i="6"/>
  <c r="X579" i="6"/>
  <c r="W579" i="6"/>
  <c r="V579" i="6"/>
  <c r="T579" i="6"/>
  <c r="S579" i="6"/>
  <c r="R579" i="6"/>
  <c r="Q579" i="6"/>
  <c r="O579" i="6"/>
  <c r="N579" i="6"/>
  <c r="N597" i="6" s="1"/>
  <c r="M579" i="6"/>
  <c r="L579" i="6"/>
  <c r="J579" i="6"/>
  <c r="J597" i="6" s="1"/>
  <c r="I579" i="6"/>
  <c r="H579" i="6"/>
  <c r="G579" i="6"/>
  <c r="F579" i="6"/>
  <c r="AU579" i="6" s="1"/>
  <c r="AE578" i="6"/>
  <c r="AZ578" i="6" s="1"/>
  <c r="AE577" i="6"/>
  <c r="AZ577" i="6" s="1"/>
  <c r="AE576" i="6"/>
  <c r="AE575" i="6"/>
  <c r="Z578" i="6"/>
  <c r="AY578" i="6" s="1"/>
  <c r="Z577" i="6"/>
  <c r="AY577" i="6" s="1"/>
  <c r="Z576" i="6"/>
  <c r="Z575" i="6"/>
  <c r="AY575" i="6" s="1"/>
  <c r="U578" i="6"/>
  <c r="AX578" i="6" s="1"/>
  <c r="U577" i="6"/>
  <c r="AX577" i="6" s="1"/>
  <c r="U576" i="6"/>
  <c r="U575" i="6"/>
  <c r="AX575" i="6" s="1"/>
  <c r="P578" i="6"/>
  <c r="AW578" i="6" s="1"/>
  <c r="P577" i="6"/>
  <c r="P576" i="6"/>
  <c r="AW576" i="6" s="1"/>
  <c r="P575" i="6"/>
  <c r="K578" i="6"/>
  <c r="AV578" i="6" s="1"/>
  <c r="K577" i="6"/>
  <c r="AV577" i="6" s="1"/>
  <c r="K576" i="6"/>
  <c r="K575" i="6"/>
  <c r="AG577" i="6"/>
  <c r="AI577" i="6" s="1"/>
  <c r="AJ577" i="6" s="1"/>
  <c r="BA577" i="6" s="1"/>
  <c r="AU578" i="6"/>
  <c r="AW577" i="6"/>
  <c r="AU577" i="6"/>
  <c r="AZ576" i="6"/>
  <c r="AY576" i="6"/>
  <c r="AX576" i="6"/>
  <c r="AV576" i="6"/>
  <c r="AU576" i="6"/>
  <c r="AW575" i="6"/>
  <c r="AU575" i="6"/>
  <c r="AI578" i="6"/>
  <c r="AJ578" i="6" s="1"/>
  <c r="AI576" i="6"/>
  <c r="AJ576" i="6" s="1"/>
  <c r="BA576" i="6" s="1"/>
  <c r="AS572" i="6"/>
  <c r="AS571" i="6"/>
  <c r="AS570" i="6"/>
  <c r="AS569" i="6"/>
  <c r="AS568" i="6"/>
  <c r="AS567" i="6"/>
  <c r="AS566" i="6"/>
  <c r="AS565" i="6"/>
  <c r="AS564" i="6"/>
  <c r="AS563" i="6"/>
  <c r="AS562" i="6"/>
  <c r="AS561" i="6"/>
  <c r="AE571" i="6"/>
  <c r="AZ571" i="6" s="1"/>
  <c r="AE570" i="6"/>
  <c r="AZ570" i="6" s="1"/>
  <c r="AE569" i="6"/>
  <c r="AE568" i="6"/>
  <c r="AZ568" i="6" s="1"/>
  <c r="AE567" i="6"/>
  <c r="AZ567" i="6" s="1"/>
  <c r="AE566" i="6"/>
  <c r="AZ566" i="6" s="1"/>
  <c r="AE565" i="6"/>
  <c r="AE564" i="6"/>
  <c r="AZ564" i="6" s="1"/>
  <c r="AE561" i="6"/>
  <c r="AZ561" i="6" s="1"/>
  <c r="Y571" i="6"/>
  <c r="Z571" i="6" s="1"/>
  <c r="AY571" i="6" s="1"/>
  <c r="T571" i="6"/>
  <c r="U571" i="6" s="1"/>
  <c r="AX571" i="6" s="1"/>
  <c r="P571" i="6"/>
  <c r="AW571" i="6" s="1"/>
  <c r="P570" i="6"/>
  <c r="AW570" i="6" s="1"/>
  <c r="P569" i="6"/>
  <c r="AW569" i="6" s="1"/>
  <c r="P568" i="6"/>
  <c r="P567" i="6"/>
  <c r="AW567" i="6" s="1"/>
  <c r="P566" i="6"/>
  <c r="AW566" i="6" s="1"/>
  <c r="P565" i="6"/>
  <c r="AW565" i="6" s="1"/>
  <c r="P561" i="6"/>
  <c r="AW561" i="6" s="1"/>
  <c r="K571" i="6"/>
  <c r="K570" i="6"/>
  <c r="AV570" i="6" s="1"/>
  <c r="K569" i="6"/>
  <c r="AV569" i="6" s="1"/>
  <c r="K568" i="6"/>
  <c r="AV568" i="6" s="1"/>
  <c r="K567" i="6"/>
  <c r="K566" i="6"/>
  <c r="AV566" i="6" s="1"/>
  <c r="K565" i="6"/>
  <c r="AV565" i="6" s="1"/>
  <c r="K564" i="6"/>
  <c r="AV564" i="6" s="1"/>
  <c r="K561" i="6"/>
  <c r="Z570" i="6"/>
  <c r="AY570" i="6" s="1"/>
  <c r="Z569" i="6"/>
  <c r="AY569" i="6" s="1"/>
  <c r="Z568" i="6"/>
  <c r="AY568" i="6" s="1"/>
  <c r="Z567" i="6"/>
  <c r="Z566" i="6"/>
  <c r="AY566" i="6" s="1"/>
  <c r="Z565" i="6"/>
  <c r="AY565" i="6" s="1"/>
  <c r="Z561" i="6"/>
  <c r="U570" i="6"/>
  <c r="AX570" i="6" s="1"/>
  <c r="U569" i="6"/>
  <c r="AX569" i="6" s="1"/>
  <c r="U568" i="6"/>
  <c r="AX568" i="6" s="1"/>
  <c r="U567" i="6"/>
  <c r="AX567" i="6" s="1"/>
  <c r="U566" i="6"/>
  <c r="AX566" i="6" s="1"/>
  <c r="U565" i="6"/>
  <c r="AX565" i="6" s="1"/>
  <c r="U561" i="6"/>
  <c r="Y564" i="6"/>
  <c r="Z564" i="6" s="1"/>
  <c r="AY564" i="6" s="1"/>
  <c r="X564" i="6"/>
  <c r="W564" i="6"/>
  <c r="V564" i="6"/>
  <c r="T564" i="6"/>
  <c r="U564" i="6" s="1"/>
  <c r="AX564" i="6" s="1"/>
  <c r="S564" i="6"/>
  <c r="R564" i="6"/>
  <c r="Q564" i="6"/>
  <c r="O564" i="6"/>
  <c r="P564" i="6" s="1"/>
  <c r="AW564" i="6" s="1"/>
  <c r="N564" i="6"/>
  <c r="W563" i="6"/>
  <c r="AD562" i="6"/>
  <c r="AD699" i="6" s="1"/>
  <c r="AD700" i="6" s="1"/>
  <c r="AC562" i="6"/>
  <c r="AC699" i="6" s="1"/>
  <c r="AB562" i="6"/>
  <c r="AB699" i="6" s="1"/>
  <c r="Y562" i="6"/>
  <c r="Y699" i="6" s="1"/>
  <c r="V562" i="6"/>
  <c r="V699" i="6" s="1"/>
  <c r="T562" i="6"/>
  <c r="T699" i="6" s="1"/>
  <c r="S562" i="6"/>
  <c r="S699" i="6" s="1"/>
  <c r="S700" i="6" s="1"/>
  <c r="R562" i="6"/>
  <c r="R699" i="6" s="1"/>
  <c r="R700" i="6" s="1"/>
  <c r="Q562" i="6"/>
  <c r="Q699" i="6" s="1"/>
  <c r="O562" i="6"/>
  <c r="P562" i="6" s="1"/>
  <c r="P699" i="6" s="1"/>
  <c r="M562" i="6"/>
  <c r="M699" i="6" s="1"/>
  <c r="J562" i="6"/>
  <c r="J699" i="6" s="1"/>
  <c r="F562" i="6"/>
  <c r="AV571" i="6"/>
  <c r="AU571" i="6"/>
  <c r="AU570" i="6"/>
  <c r="AZ569" i="6"/>
  <c r="AU569" i="6"/>
  <c r="AW568" i="6"/>
  <c r="AU568" i="6"/>
  <c r="AY567" i="6"/>
  <c r="AV567" i="6"/>
  <c r="AU567" i="6"/>
  <c r="AU566" i="6"/>
  <c r="AZ565" i="6"/>
  <c r="AU565" i="6"/>
  <c r="AU564" i="6"/>
  <c r="AU563" i="6"/>
  <c r="AY561" i="6"/>
  <c r="AX561" i="6"/>
  <c r="AV561" i="6"/>
  <c r="AU561" i="6"/>
  <c r="AI570" i="6"/>
  <c r="AJ570" i="6" s="1"/>
  <c r="AK570" i="6" s="1"/>
  <c r="AL570" i="6" s="1"/>
  <c r="AM570" i="6" s="1"/>
  <c r="AN570" i="6" s="1"/>
  <c r="AO570" i="6" s="1"/>
  <c r="AI569" i="6"/>
  <c r="AJ569" i="6" s="1"/>
  <c r="AI566" i="6"/>
  <c r="AJ566" i="6" s="1"/>
  <c r="AK566" i="6" s="1"/>
  <c r="AL566" i="6" s="1"/>
  <c r="AM566" i="6" s="1"/>
  <c r="AN566" i="6" s="1"/>
  <c r="AO566" i="6" s="1"/>
  <c r="BB566" i="6" s="1"/>
  <c r="AI565" i="6"/>
  <c r="AJ565" i="6" s="1"/>
  <c r="AS559" i="6"/>
  <c r="AS558" i="6"/>
  <c r="AS557" i="6"/>
  <c r="AS556" i="6"/>
  <c r="AS555" i="6"/>
  <c r="AS554" i="6"/>
  <c r="AS553" i="6"/>
  <c r="AS552" i="6"/>
  <c r="AS551" i="6"/>
  <c r="AS550" i="6"/>
  <c r="M559" i="6"/>
  <c r="M572" i="6" s="1"/>
  <c r="L559" i="6"/>
  <c r="L572" i="6" s="1"/>
  <c r="J559" i="6"/>
  <c r="J572" i="6" s="1"/>
  <c r="J599" i="6" s="1"/>
  <c r="I559" i="6"/>
  <c r="I572" i="6" s="1"/>
  <c r="H559" i="6"/>
  <c r="H572" i="6" s="1"/>
  <c r="G559" i="6"/>
  <c r="G572" i="6" s="1"/>
  <c r="AD558" i="6"/>
  <c r="AE558" i="6" s="1"/>
  <c r="AZ558" i="6" s="1"/>
  <c r="AC558" i="6"/>
  <c r="AB558" i="6"/>
  <c r="AA558" i="6"/>
  <c r="Y558" i="6"/>
  <c r="Z558" i="6" s="1"/>
  <c r="AY558" i="6" s="1"/>
  <c r="X558" i="6"/>
  <c r="W558" i="6"/>
  <c r="V558" i="6"/>
  <c r="U558" i="6"/>
  <c r="AX558" i="6" s="1"/>
  <c r="T558" i="6"/>
  <c r="O558" i="6"/>
  <c r="P558" i="6" s="1"/>
  <c r="AW558" i="6" s="1"/>
  <c r="K558" i="6"/>
  <c r="AV558" i="6" s="1"/>
  <c r="K557" i="6"/>
  <c r="AV557" i="6" s="1"/>
  <c r="K556" i="6"/>
  <c r="AV556" i="6" s="1"/>
  <c r="K555" i="6"/>
  <c r="AV555" i="6" s="1"/>
  <c r="K554" i="6"/>
  <c r="AV554" i="6" s="1"/>
  <c r="K553" i="6"/>
  <c r="AV553" i="6" s="1"/>
  <c r="K552" i="6"/>
  <c r="AE557" i="6"/>
  <c r="AZ557" i="6" s="1"/>
  <c r="AE556" i="6"/>
  <c r="AE554" i="6"/>
  <c r="AZ554" i="6" s="1"/>
  <c r="AE553" i="6"/>
  <c r="AZ553" i="6" s="1"/>
  <c r="AE552" i="6"/>
  <c r="AF501" i="6" s="1"/>
  <c r="Z557" i="6"/>
  <c r="AY557" i="6" s="1"/>
  <c r="Z555" i="6"/>
  <c r="AY555" i="6" s="1"/>
  <c r="Z554" i="6"/>
  <c r="Z553" i="6"/>
  <c r="Z552" i="6"/>
  <c r="U557" i="6"/>
  <c r="AX557" i="6" s="1"/>
  <c r="U555" i="6"/>
  <c r="AX555" i="6" s="1"/>
  <c r="U554" i="6"/>
  <c r="AX554" i="6" s="1"/>
  <c r="U553" i="6"/>
  <c r="AX553" i="6" s="1"/>
  <c r="U552" i="6"/>
  <c r="U615" i="6" s="1"/>
  <c r="AX615" i="6" s="1"/>
  <c r="P557" i="6"/>
  <c r="AW557" i="6" s="1"/>
  <c r="P555" i="6"/>
  <c r="P554" i="6"/>
  <c r="AW554" i="6" s="1"/>
  <c r="P553" i="6"/>
  <c r="P552" i="6"/>
  <c r="AB556" i="6"/>
  <c r="Y556" i="6"/>
  <c r="Z556" i="6" s="1"/>
  <c r="AY556" i="6" s="1"/>
  <c r="X556" i="6"/>
  <c r="W556" i="6"/>
  <c r="V556" i="6"/>
  <c r="T556" i="6"/>
  <c r="U556" i="6" s="1"/>
  <c r="AX556" i="6" s="1"/>
  <c r="S556" i="6"/>
  <c r="R556" i="6"/>
  <c r="Q556" i="6"/>
  <c r="O556" i="6"/>
  <c r="N556" i="6"/>
  <c r="N559" i="6" s="1"/>
  <c r="AC555" i="6"/>
  <c r="AD555" i="6" s="1"/>
  <c r="AE555" i="6" s="1"/>
  <c r="AG554" i="6"/>
  <c r="AU558" i="6"/>
  <c r="AU557" i="6"/>
  <c r="AZ556" i="6"/>
  <c r="AU556" i="6"/>
  <c r="AW555" i="6"/>
  <c r="AU555" i="6"/>
  <c r="AY554" i="6"/>
  <c r="AU554" i="6"/>
  <c r="AY553" i="6"/>
  <c r="AW553" i="6"/>
  <c r="AU553" i="6"/>
  <c r="AZ552" i="6"/>
  <c r="AU552" i="6"/>
  <c r="AI558" i="6"/>
  <c r="AJ558" i="6" s="1"/>
  <c r="AI557" i="6"/>
  <c r="AJ557" i="6" s="1"/>
  <c r="AK557" i="6" s="1"/>
  <c r="AI556" i="6"/>
  <c r="AI555" i="6"/>
  <c r="AJ555" i="6" s="1"/>
  <c r="AI554" i="6"/>
  <c r="AJ554" i="6" s="1"/>
  <c r="AS548" i="6"/>
  <c r="AQ548" i="6"/>
  <c r="BD548" i="6" s="1"/>
  <c r="AP548" i="6"/>
  <c r="BC548" i="6" s="1"/>
  <c r="AO548" i="6"/>
  <c r="BB548" i="6" s="1"/>
  <c r="AN548" i="6"/>
  <c r="AM548" i="6"/>
  <c r="AL548" i="6"/>
  <c r="AK548" i="6"/>
  <c r="AJ548" i="6"/>
  <c r="BA548" i="6" s="1"/>
  <c r="AI548" i="6"/>
  <c r="AG548" i="6"/>
  <c r="AF548" i="6"/>
  <c r="AE548" i="6"/>
  <c r="AZ548" i="6" s="1"/>
  <c r="AD548" i="6"/>
  <c r="AC548" i="6"/>
  <c r="AB548" i="6"/>
  <c r="AA548" i="6"/>
  <c r="Z548" i="6"/>
  <c r="AY548" i="6" s="1"/>
  <c r="Y548" i="6"/>
  <c r="X548" i="6"/>
  <c r="W548" i="6"/>
  <c r="V548" i="6"/>
  <c r="U548" i="6"/>
  <c r="AX548" i="6" s="1"/>
  <c r="T548" i="6"/>
  <c r="S548" i="6"/>
  <c r="R548" i="6"/>
  <c r="Q548" i="6"/>
  <c r="P548" i="6"/>
  <c r="AW548" i="6" s="1"/>
  <c r="O548" i="6"/>
  <c r="N548" i="6"/>
  <c r="M548" i="6"/>
  <c r="L548" i="6"/>
  <c r="K548" i="6"/>
  <c r="AV548" i="6" s="1"/>
  <c r="J548" i="6"/>
  <c r="I548" i="6"/>
  <c r="H548" i="6"/>
  <c r="G548" i="6"/>
  <c r="F548" i="6"/>
  <c r="AU548" i="6" s="1"/>
  <c r="E548" i="6"/>
  <c r="AT548" i="6" s="1"/>
  <c r="AS545" i="6"/>
  <c r="AT544" i="6"/>
  <c r="AS544" i="6"/>
  <c r="AS543" i="6"/>
  <c r="BD541" i="6"/>
  <c r="BC541" i="6"/>
  <c r="AV541" i="6"/>
  <c r="AU541" i="6"/>
  <c r="AT541" i="6"/>
  <c r="AS541" i="6"/>
  <c r="AO541" i="6"/>
  <c r="BB541" i="6" s="1"/>
  <c r="AG541" i="6"/>
  <c r="AB541" i="6"/>
  <c r="W541" i="6"/>
  <c r="R541" i="6"/>
  <c r="O541" i="6"/>
  <c r="P541" i="6" s="1"/>
  <c r="AW541" i="6" s="1"/>
  <c r="K541" i="6"/>
  <c r="AA539" i="6"/>
  <c r="V539" i="6"/>
  <c r="Q539" i="6"/>
  <c r="AO538" i="6"/>
  <c r="BB538" i="6" s="1"/>
  <c r="AO537" i="6"/>
  <c r="BB537" i="6" s="1"/>
  <c r="AO536" i="6"/>
  <c r="BB536" i="6" s="1"/>
  <c r="AO535" i="6"/>
  <c r="BB535" i="6" s="1"/>
  <c r="AO534" i="6"/>
  <c r="BB534" i="6" s="1"/>
  <c r="AO533" i="6"/>
  <c r="BB533" i="6" s="1"/>
  <c r="AO532" i="6"/>
  <c r="BB532" i="6" s="1"/>
  <c r="AO531" i="6"/>
  <c r="BB531" i="6" s="1"/>
  <c r="AJ537" i="6"/>
  <c r="BA537" i="6" s="1"/>
  <c r="AJ535" i="6"/>
  <c r="BA535" i="6" s="1"/>
  <c r="AJ534" i="6"/>
  <c r="BA534" i="6" s="1"/>
  <c r="AJ533" i="6"/>
  <c r="BA533" i="6" s="1"/>
  <c r="AJ531" i="6"/>
  <c r="BA531" i="6" s="1"/>
  <c r="AF538" i="6"/>
  <c r="AG538" i="6" s="1"/>
  <c r="AH538" i="6" s="1"/>
  <c r="AB538" i="6"/>
  <c r="AE538" i="6" s="1"/>
  <c r="AZ538" i="6" s="1"/>
  <c r="W538" i="6"/>
  <c r="U537" i="6"/>
  <c r="AX537" i="6" s="1"/>
  <c r="U535" i="6"/>
  <c r="AX535" i="6" s="1"/>
  <c r="R538" i="6"/>
  <c r="K538" i="6"/>
  <c r="K537" i="6"/>
  <c r="K536" i="6"/>
  <c r="AV536" i="6" s="1"/>
  <c r="K535" i="6"/>
  <c r="AV535" i="6" s="1"/>
  <c r="K534" i="6"/>
  <c r="K533" i="6"/>
  <c r="AV533" i="6" s="1"/>
  <c r="K532" i="6"/>
  <c r="AV532" i="6" s="1"/>
  <c r="K531" i="6"/>
  <c r="AV531" i="6" s="1"/>
  <c r="AE537" i="6"/>
  <c r="AE535" i="6"/>
  <c r="AE534" i="6"/>
  <c r="AZ534" i="6" s="1"/>
  <c r="AE532" i="6"/>
  <c r="AE531" i="6"/>
  <c r="AE529" i="6"/>
  <c r="Z537" i="6"/>
  <c r="AY537" i="6" s="1"/>
  <c r="Z535" i="6"/>
  <c r="AG536" i="6"/>
  <c r="AH536" i="6" s="1"/>
  <c r="AB536" i="6"/>
  <c r="X536" i="6"/>
  <c r="Y536" i="6" s="1"/>
  <c r="W536" i="6"/>
  <c r="R536" i="6"/>
  <c r="Y534" i="6"/>
  <c r="Z534" i="6" s="1"/>
  <c r="AY534" i="6" s="1"/>
  <c r="Y532" i="6"/>
  <c r="Z532" i="6" s="1"/>
  <c r="AY532" i="6" s="1"/>
  <c r="Y531" i="6"/>
  <c r="Z531" i="6" s="1"/>
  <c r="AY531" i="6" s="1"/>
  <c r="Y529" i="6"/>
  <c r="Z529" i="6" s="1"/>
  <c r="AY529" i="6" s="1"/>
  <c r="AC533" i="6"/>
  <c r="AB533" i="6"/>
  <c r="W533" i="6"/>
  <c r="X533" i="6" s="1"/>
  <c r="Y533" i="6" s="1"/>
  <c r="R533" i="6"/>
  <c r="R532" i="6"/>
  <c r="AG532" i="6"/>
  <c r="S534" i="6"/>
  <c r="S533" i="6"/>
  <c r="T533" i="6" s="1"/>
  <c r="S532" i="6"/>
  <c r="T532" i="6" s="1"/>
  <c r="T531" i="6"/>
  <c r="U531" i="6" s="1"/>
  <c r="T530" i="6"/>
  <c r="T529" i="6"/>
  <c r="U529" i="6" s="1"/>
  <c r="AX529" i="6" s="1"/>
  <c r="O538" i="6"/>
  <c r="P538" i="6" s="1"/>
  <c r="AW538" i="6" s="1"/>
  <c r="O537" i="6"/>
  <c r="P537" i="6" s="1"/>
  <c r="AW537" i="6" s="1"/>
  <c r="O536" i="6"/>
  <c r="P536" i="6" s="1"/>
  <c r="AW536" i="6" s="1"/>
  <c r="O535" i="6"/>
  <c r="P535" i="6" s="1"/>
  <c r="AW535" i="6" s="1"/>
  <c r="O534" i="6"/>
  <c r="P534" i="6" s="1"/>
  <c r="AW534" i="6" s="1"/>
  <c r="O533" i="6"/>
  <c r="P533" i="6" s="1"/>
  <c r="AW533" i="6" s="1"/>
  <c r="O532" i="6"/>
  <c r="P532" i="6" s="1"/>
  <c r="AW532" i="6" s="1"/>
  <c r="O531" i="6"/>
  <c r="P531" i="6" s="1"/>
  <c r="AW531" i="6" s="1"/>
  <c r="AG530" i="6"/>
  <c r="AH530" i="6" s="1"/>
  <c r="AB530" i="6"/>
  <c r="AC530" i="6" s="1"/>
  <c r="AD530" i="6" s="1"/>
  <c r="X530" i="6"/>
  <c r="AG529" i="6"/>
  <c r="K529" i="6"/>
  <c r="AV529" i="6" s="1"/>
  <c r="AS539" i="6"/>
  <c r="BD538" i="6"/>
  <c r="BC538" i="6"/>
  <c r="AV538" i="6"/>
  <c r="AU538" i="6"/>
  <c r="AT538" i="6"/>
  <c r="AS538" i="6"/>
  <c r="BD537" i="6"/>
  <c r="BC537" i="6"/>
  <c r="AZ537" i="6"/>
  <c r="AV537" i="6"/>
  <c r="AU537" i="6"/>
  <c r="AT537" i="6"/>
  <c r="AS537" i="6"/>
  <c r="BD536" i="6"/>
  <c r="BC536" i="6"/>
  <c r="AU536" i="6"/>
  <c r="AT536" i="6"/>
  <c r="AS536" i="6"/>
  <c r="BD535" i="6"/>
  <c r="BC535" i="6"/>
  <c r="AZ535" i="6"/>
  <c r="AY535" i="6"/>
  <c r="AU535" i="6"/>
  <c r="AT535" i="6"/>
  <c r="AS535" i="6"/>
  <c r="BD534" i="6"/>
  <c r="BC534" i="6"/>
  <c r="AV534" i="6"/>
  <c r="AU534" i="6"/>
  <c r="AT534" i="6"/>
  <c r="AS534" i="6"/>
  <c r="BD533" i="6"/>
  <c r="BC533" i="6"/>
  <c r="AU533" i="6"/>
  <c r="AT533" i="6"/>
  <c r="AS533" i="6"/>
  <c r="BD532" i="6"/>
  <c r="BC532" i="6"/>
  <c r="AZ532" i="6"/>
  <c r="AU532" i="6"/>
  <c r="AT532" i="6"/>
  <c r="AS532" i="6"/>
  <c r="BD531" i="6"/>
  <c r="BC531" i="6"/>
  <c r="AZ531" i="6"/>
  <c r="AX531" i="6"/>
  <c r="AU531" i="6"/>
  <c r="AT531" i="6"/>
  <c r="AS531" i="6"/>
  <c r="AX530" i="6"/>
  <c r="AW530" i="6"/>
  <c r="AV530" i="6"/>
  <c r="AU530" i="6"/>
  <c r="AT530" i="6"/>
  <c r="AS530" i="6"/>
  <c r="BD529" i="6"/>
  <c r="BC529" i="6"/>
  <c r="AZ529" i="6"/>
  <c r="AU529" i="6"/>
  <c r="AT529" i="6"/>
  <c r="AS529" i="6"/>
  <c r="AT528" i="6"/>
  <c r="AS528" i="6"/>
  <c r="AF528" i="6"/>
  <c r="AB528" i="6"/>
  <c r="W528" i="6"/>
  <c r="W539" i="6" s="1"/>
  <c r="R528" i="6"/>
  <c r="O529" i="6"/>
  <c r="P529" i="6" s="1"/>
  <c r="AW529" i="6" s="1"/>
  <c r="N528" i="6"/>
  <c r="N539" i="6" s="1"/>
  <c r="M528" i="6"/>
  <c r="M539" i="6" s="1"/>
  <c r="L528" i="6"/>
  <c r="J528" i="6"/>
  <c r="J539" i="6" s="1"/>
  <c r="I528" i="6"/>
  <c r="I539" i="6" s="1"/>
  <c r="H528" i="6"/>
  <c r="H539" i="6" s="1"/>
  <c r="G528" i="6"/>
  <c r="F528" i="6"/>
  <c r="F539" i="6" s="1"/>
  <c r="AU539" i="6" s="1"/>
  <c r="E528" i="6"/>
  <c r="E539" i="6" s="1"/>
  <c r="AT539" i="6" s="1"/>
  <c r="AS527" i="6"/>
  <c r="AX526" i="6"/>
  <c r="AW526" i="6"/>
  <c r="AF525" i="6"/>
  <c r="AA525" i="6"/>
  <c r="V525" i="6"/>
  <c r="J525" i="6"/>
  <c r="I525" i="6"/>
  <c r="H525" i="6"/>
  <c r="G525" i="6"/>
  <c r="F525" i="6"/>
  <c r="E525" i="6"/>
  <c r="AT525" i="6" s="1"/>
  <c r="AO524" i="6"/>
  <c r="AO521" i="6"/>
  <c r="BB521" i="6" s="1"/>
  <c r="AO520" i="6"/>
  <c r="BB520" i="6" s="1"/>
  <c r="AO517" i="6"/>
  <c r="BB517" i="6" s="1"/>
  <c r="AJ520" i="6"/>
  <c r="AJ517" i="6"/>
  <c r="BA517" i="6" s="1"/>
  <c r="AG524" i="6"/>
  <c r="AH524" i="6" s="1"/>
  <c r="AG523" i="6"/>
  <c r="AG522" i="6"/>
  <c r="AH522" i="6" s="1"/>
  <c r="AH470" i="6" s="1"/>
  <c r="AG521" i="6"/>
  <c r="AJ521" i="6" s="1"/>
  <c r="BA521" i="6" s="1"/>
  <c r="K524" i="6"/>
  <c r="AV524" i="6" s="1"/>
  <c r="K523" i="6"/>
  <c r="K522" i="6"/>
  <c r="K521" i="6"/>
  <c r="K520" i="6"/>
  <c r="AV520" i="6" s="1"/>
  <c r="K519" i="6"/>
  <c r="AV519" i="6" s="1"/>
  <c r="K518" i="6"/>
  <c r="K517" i="6"/>
  <c r="AV517" i="6" s="1"/>
  <c r="K516" i="6"/>
  <c r="K485" i="6" s="1"/>
  <c r="AV485" i="6" s="1"/>
  <c r="AI567" i="6"/>
  <c r="AJ567" i="6" s="1"/>
  <c r="AB524" i="6"/>
  <c r="AC524" i="6" s="1"/>
  <c r="AB523" i="6"/>
  <c r="AB469" i="6" s="1"/>
  <c r="AB522" i="6"/>
  <c r="AC522" i="6" s="1"/>
  <c r="AC470" i="6" s="1"/>
  <c r="AB521" i="6"/>
  <c r="O524" i="6"/>
  <c r="P524" i="6" s="1"/>
  <c r="AW524" i="6" s="1"/>
  <c r="O523" i="6"/>
  <c r="P523" i="6" s="1"/>
  <c r="AW523" i="6" s="1"/>
  <c r="O522" i="6"/>
  <c r="P522" i="6" s="1"/>
  <c r="AW522" i="6" s="1"/>
  <c r="O521" i="6"/>
  <c r="P521" i="6" s="1"/>
  <c r="AW521" i="6" s="1"/>
  <c r="AB520" i="6"/>
  <c r="AC520" i="6" s="1"/>
  <c r="Q520" i="6"/>
  <c r="Q525" i="6" s="1"/>
  <c r="N520" i="6"/>
  <c r="N525" i="6" s="1"/>
  <c r="M520" i="6"/>
  <c r="M525" i="6" s="1"/>
  <c r="L520" i="6"/>
  <c r="AB519" i="6"/>
  <c r="AC519" i="6" s="1"/>
  <c r="AB518" i="6"/>
  <c r="R524" i="6"/>
  <c r="R523" i="6"/>
  <c r="R469" i="6" s="1"/>
  <c r="R522" i="6"/>
  <c r="R470" i="6" s="1"/>
  <c r="R521" i="6"/>
  <c r="R519" i="6"/>
  <c r="R518" i="6"/>
  <c r="AB517" i="6"/>
  <c r="AE517" i="6" s="1"/>
  <c r="AB516" i="6"/>
  <c r="U517" i="6"/>
  <c r="AU525" i="6"/>
  <c r="AS525" i="6"/>
  <c r="BD524" i="6"/>
  <c r="BC524" i="6"/>
  <c r="BB524" i="6"/>
  <c r="AU524" i="6"/>
  <c r="AT524" i="6"/>
  <c r="AS524" i="6"/>
  <c r="AV523" i="6"/>
  <c r="AU523" i="6"/>
  <c r="AT523" i="6"/>
  <c r="AS523" i="6"/>
  <c r="AV522" i="6"/>
  <c r="AU522" i="6"/>
  <c r="AT522" i="6"/>
  <c r="AS522" i="6"/>
  <c r="BD521" i="6"/>
  <c r="BC521" i="6"/>
  <c r="AV521" i="6"/>
  <c r="AU521" i="6"/>
  <c r="AT521" i="6"/>
  <c r="AS521" i="6"/>
  <c r="BD520" i="6"/>
  <c r="BC520" i="6"/>
  <c r="BA520" i="6"/>
  <c r="AU520" i="6"/>
  <c r="AT520" i="6"/>
  <c r="AS520" i="6"/>
  <c r="AU519" i="6"/>
  <c r="AT519" i="6"/>
  <c r="AS519" i="6"/>
  <c r="AV518" i="6"/>
  <c r="AU518" i="6"/>
  <c r="AT518" i="6"/>
  <c r="AS518" i="6"/>
  <c r="BD517" i="6"/>
  <c r="BC517" i="6"/>
  <c r="AZ517" i="6"/>
  <c r="AX517" i="6"/>
  <c r="AU517" i="6"/>
  <c r="AT517" i="6"/>
  <c r="AS517" i="6"/>
  <c r="AV516" i="6"/>
  <c r="AU516" i="6"/>
  <c r="AT516" i="6"/>
  <c r="AS516" i="6"/>
  <c r="AG516" i="6"/>
  <c r="AH516" i="6" s="1"/>
  <c r="AC516" i="6"/>
  <c r="W524" i="6"/>
  <c r="X524" i="6" s="1"/>
  <c r="Y524" i="6" s="1"/>
  <c r="W523" i="6"/>
  <c r="X523" i="6" s="1"/>
  <c r="W522" i="6"/>
  <c r="W521" i="6"/>
  <c r="W520" i="6"/>
  <c r="X520" i="6" s="1"/>
  <c r="Y520" i="6" s="1"/>
  <c r="W519" i="6"/>
  <c r="X519" i="6" s="1"/>
  <c r="Y519" i="6" s="1"/>
  <c r="W518" i="6"/>
  <c r="W517" i="6"/>
  <c r="W516" i="6"/>
  <c r="X516" i="6" s="1"/>
  <c r="R516" i="6"/>
  <c r="O519" i="6"/>
  <c r="P519" i="6" s="1"/>
  <c r="AW519" i="6" s="1"/>
  <c r="O518" i="6"/>
  <c r="P518" i="6" s="1"/>
  <c r="AW518" i="6" s="1"/>
  <c r="O517" i="6"/>
  <c r="P517" i="6" s="1"/>
  <c r="AW517" i="6" s="1"/>
  <c r="O516" i="6"/>
  <c r="AS515" i="6"/>
  <c r="AW514" i="6"/>
  <c r="AO512" i="6"/>
  <c r="AO511" i="6"/>
  <c r="AP511" i="6" s="1"/>
  <c r="BC511" i="6" s="1"/>
  <c r="AO509" i="6"/>
  <c r="AO499" i="6"/>
  <c r="BB499" i="6" s="1"/>
  <c r="AO498" i="6"/>
  <c r="BB498" i="6" s="1"/>
  <c r="AJ511" i="6"/>
  <c r="AJ509" i="6"/>
  <c r="BA509" i="6" s="1"/>
  <c r="AJ499" i="6"/>
  <c r="BA499" i="6" s="1"/>
  <c r="AJ498" i="6"/>
  <c r="BA498" i="6" s="1"/>
  <c r="AJ493" i="6"/>
  <c r="AD512" i="6"/>
  <c r="AE512" i="6" s="1"/>
  <c r="AZ512" i="6" s="1"/>
  <c r="K512" i="6"/>
  <c r="AV512" i="6" s="1"/>
  <c r="K511" i="6"/>
  <c r="AV511" i="6" s="1"/>
  <c r="K510" i="6"/>
  <c r="K509" i="6"/>
  <c r="K508" i="6"/>
  <c r="K507" i="6"/>
  <c r="AV507" i="6" s="1"/>
  <c r="K506" i="6"/>
  <c r="K505" i="6"/>
  <c r="K504" i="6"/>
  <c r="AV504" i="6" s="1"/>
  <c r="K503" i="6"/>
  <c r="AV503" i="6" s="1"/>
  <c r="K502" i="6"/>
  <c r="K501" i="6"/>
  <c r="K500" i="6"/>
  <c r="AV500" i="6" s="1"/>
  <c r="K499" i="6"/>
  <c r="AV499" i="6" s="1"/>
  <c r="K498" i="6"/>
  <c r="K497" i="6"/>
  <c r="AV497" i="6" s="1"/>
  <c r="K496" i="6"/>
  <c r="AV496" i="6" s="1"/>
  <c r="K495" i="6"/>
  <c r="AV495" i="6" s="1"/>
  <c r="K493" i="6"/>
  <c r="AE511" i="6"/>
  <c r="AE510" i="6"/>
  <c r="AE507" i="6"/>
  <c r="AE506" i="6"/>
  <c r="AZ506" i="6" s="1"/>
  <c r="AE505" i="6"/>
  <c r="AZ505" i="6" s="1"/>
  <c r="AE504" i="6"/>
  <c r="AZ504" i="6" s="1"/>
  <c r="AE503" i="6"/>
  <c r="AE502" i="6"/>
  <c r="AZ502" i="6" s="1"/>
  <c r="AE498" i="6"/>
  <c r="AE495" i="6"/>
  <c r="AZ495" i="6" s="1"/>
  <c r="AQ511" i="6"/>
  <c r="BD511" i="6" s="1"/>
  <c r="AI510" i="6"/>
  <c r="AJ510" i="6" s="1"/>
  <c r="AD509" i="6"/>
  <c r="AE509" i="6" s="1"/>
  <c r="AZ509" i="6" s="1"/>
  <c r="AC508" i="6"/>
  <c r="AD508" i="6" s="1"/>
  <c r="AB508" i="6"/>
  <c r="Y512" i="6"/>
  <c r="Z512" i="6" s="1"/>
  <c r="AY512" i="6" s="1"/>
  <c r="Y511" i="6"/>
  <c r="Z511" i="6" s="1"/>
  <c r="AY511" i="6" s="1"/>
  <c r="Y510" i="6"/>
  <c r="Z510" i="6" s="1"/>
  <c r="Y509" i="6"/>
  <c r="Z509" i="6" s="1"/>
  <c r="AY509" i="6" s="1"/>
  <c r="X508" i="6"/>
  <c r="W508" i="6"/>
  <c r="T512" i="6"/>
  <c r="U512" i="6" s="1"/>
  <c r="AX512" i="6" s="1"/>
  <c r="T511" i="6"/>
  <c r="U511" i="6" s="1"/>
  <c r="AX511" i="6" s="1"/>
  <c r="T510" i="6"/>
  <c r="U510" i="6" s="1"/>
  <c r="AX510" i="6" s="1"/>
  <c r="U509" i="6"/>
  <c r="AX509" i="6" s="1"/>
  <c r="T509" i="6"/>
  <c r="R508" i="6"/>
  <c r="S508" i="6" s="1"/>
  <c r="O512" i="6"/>
  <c r="P512" i="6" s="1"/>
  <c r="AW512" i="6" s="1"/>
  <c r="O511" i="6"/>
  <c r="P511" i="6" s="1"/>
  <c r="AW511" i="6" s="1"/>
  <c r="O510" i="6"/>
  <c r="P510" i="6" s="1"/>
  <c r="AW510" i="6" s="1"/>
  <c r="P509" i="6"/>
  <c r="AW509" i="6" s="1"/>
  <c r="O509" i="6"/>
  <c r="O508" i="6"/>
  <c r="P508" i="6" s="1"/>
  <c r="AW508" i="6" s="1"/>
  <c r="Z507" i="6"/>
  <c r="AY507" i="6" s="1"/>
  <c r="Z506" i="6"/>
  <c r="AY506" i="6" s="1"/>
  <c r="Z505" i="6"/>
  <c r="Z504" i="6"/>
  <c r="AY504" i="6" s="1"/>
  <c r="Z503" i="6"/>
  <c r="AY503" i="6" s="1"/>
  <c r="Z502" i="6"/>
  <c r="AY502" i="6" s="1"/>
  <c r="U507" i="6"/>
  <c r="AX507" i="6" s="1"/>
  <c r="U506" i="6"/>
  <c r="AX506" i="6" s="1"/>
  <c r="U505" i="6"/>
  <c r="AX505" i="6" s="1"/>
  <c r="U504" i="6"/>
  <c r="U503" i="6"/>
  <c r="AX503" i="6" s="1"/>
  <c r="U502" i="6"/>
  <c r="AX502" i="6" s="1"/>
  <c r="P507" i="6"/>
  <c r="AW507" i="6" s="1"/>
  <c r="P506" i="6"/>
  <c r="AW506" i="6" s="1"/>
  <c r="P505" i="6"/>
  <c r="AW505" i="6" s="1"/>
  <c r="P504" i="6"/>
  <c r="AW504" i="6" s="1"/>
  <c r="P503" i="6"/>
  <c r="AW503" i="6" s="1"/>
  <c r="P502" i="6"/>
  <c r="AW502" i="6" s="1"/>
  <c r="BB511" i="6"/>
  <c r="BA511" i="6"/>
  <c r="AZ511" i="6"/>
  <c r="AZ510" i="6"/>
  <c r="AY510" i="6"/>
  <c r="BD509" i="6"/>
  <c r="BC509" i="6"/>
  <c r="BB509" i="6"/>
  <c r="AZ507" i="6"/>
  <c r="AY505" i="6"/>
  <c r="AX504" i="6"/>
  <c r="AZ503" i="6"/>
  <c r="AS513" i="6"/>
  <c r="AU512" i="6"/>
  <c r="AT512" i="6"/>
  <c r="AS512" i="6"/>
  <c r="AU511" i="6"/>
  <c r="AT511" i="6"/>
  <c r="AS511" i="6"/>
  <c r="AV510" i="6"/>
  <c r="AU510" i="6"/>
  <c r="AT510" i="6"/>
  <c r="AS510" i="6"/>
  <c r="AV509" i="6"/>
  <c r="AU509" i="6"/>
  <c r="AT509" i="6"/>
  <c r="AS509" i="6"/>
  <c r="AV508" i="6"/>
  <c r="AU508" i="6"/>
  <c r="AT508" i="6"/>
  <c r="AS508" i="6"/>
  <c r="AU507" i="6"/>
  <c r="AT507" i="6"/>
  <c r="AS507" i="6"/>
  <c r="AV506" i="6"/>
  <c r="AU506" i="6"/>
  <c r="AT506" i="6"/>
  <c r="AS506" i="6"/>
  <c r="AV505" i="6"/>
  <c r="AU505" i="6"/>
  <c r="AT505" i="6"/>
  <c r="AS505" i="6"/>
  <c r="AU504" i="6"/>
  <c r="AT504" i="6"/>
  <c r="AS504" i="6"/>
  <c r="AU503" i="6"/>
  <c r="AT503" i="6"/>
  <c r="AS503" i="6"/>
  <c r="AV502" i="6"/>
  <c r="AU502" i="6"/>
  <c r="AT502" i="6"/>
  <c r="AS502" i="6"/>
  <c r="AI505" i="6"/>
  <c r="AJ505" i="6" s="1"/>
  <c r="BA505" i="6" s="1"/>
  <c r="AI503" i="6"/>
  <c r="AJ503" i="6" s="1"/>
  <c r="BA503" i="6" s="1"/>
  <c r="AS501" i="6"/>
  <c r="AS500" i="6"/>
  <c r="AS499" i="6"/>
  <c r="AS498" i="6"/>
  <c r="AS497" i="6"/>
  <c r="AS496" i="6"/>
  <c r="AS495" i="6"/>
  <c r="AS494" i="6"/>
  <c r="AS493" i="6"/>
  <c r="AS492" i="6"/>
  <c r="AS491" i="6"/>
  <c r="AS490" i="6"/>
  <c r="AS489" i="6"/>
  <c r="O501" i="6"/>
  <c r="P501" i="6" s="1"/>
  <c r="O500" i="6"/>
  <c r="P500" i="6" s="1"/>
  <c r="AW500" i="6" s="1"/>
  <c r="O499" i="6"/>
  <c r="P499" i="6" s="1"/>
  <c r="AW499" i="6" s="1"/>
  <c r="O498" i="6"/>
  <c r="P498" i="6" s="1"/>
  <c r="AW498" i="6" s="1"/>
  <c r="O497" i="6"/>
  <c r="P497" i="6" s="1"/>
  <c r="O496" i="6"/>
  <c r="P496" i="6" s="1"/>
  <c r="AW496" i="6" s="1"/>
  <c r="O495" i="6"/>
  <c r="P495" i="6" s="1"/>
  <c r="AW495" i="6" s="1"/>
  <c r="O493" i="6"/>
  <c r="P493" i="6" s="1"/>
  <c r="O492" i="6"/>
  <c r="O491" i="6"/>
  <c r="F501" i="6"/>
  <c r="E501" i="6"/>
  <c r="AG500" i="6"/>
  <c r="AH500" i="6" s="1"/>
  <c r="AB501" i="6"/>
  <c r="AB500" i="6"/>
  <c r="AC500" i="6" s="1"/>
  <c r="AB499" i="6"/>
  <c r="W501" i="6"/>
  <c r="W500" i="6"/>
  <c r="W499" i="6"/>
  <c r="X499" i="6" s="1"/>
  <c r="Y499" i="6" s="1"/>
  <c r="R501" i="6"/>
  <c r="S501" i="6" s="1"/>
  <c r="T501" i="6" s="1"/>
  <c r="U501" i="6" s="1"/>
  <c r="R500" i="6"/>
  <c r="S500" i="6" s="1"/>
  <c r="T500" i="6" s="1"/>
  <c r="R499" i="6"/>
  <c r="W497" i="6"/>
  <c r="W496" i="6"/>
  <c r="X496" i="6" s="1"/>
  <c r="Y496" i="6" s="1"/>
  <c r="R497" i="6"/>
  <c r="R496" i="6"/>
  <c r="AI497" i="6"/>
  <c r="AG497" i="6"/>
  <c r="AH497" i="6" s="1"/>
  <c r="AG496" i="6"/>
  <c r="AH496" i="6" s="1"/>
  <c r="AB497" i="6"/>
  <c r="AC497" i="6" s="1"/>
  <c r="AD497" i="6" s="1"/>
  <c r="AB496" i="6"/>
  <c r="S498" i="6"/>
  <c r="S497" i="6"/>
  <c r="T497" i="6" s="1"/>
  <c r="AF495" i="6"/>
  <c r="T495" i="6"/>
  <c r="U495" i="6" s="1"/>
  <c r="AX495" i="6" s="1"/>
  <c r="T492" i="6"/>
  <c r="T491" i="6"/>
  <c r="F497" i="6"/>
  <c r="AU497" i="6" s="1"/>
  <c r="E497" i="6"/>
  <c r="AT497" i="6" s="1"/>
  <c r="F496" i="6"/>
  <c r="AU496" i="6" s="1"/>
  <c r="E496" i="6"/>
  <c r="AT496" i="6" s="1"/>
  <c r="F495" i="6"/>
  <c r="E495" i="6"/>
  <c r="AT495" i="6" s="1"/>
  <c r="AI495" i="6"/>
  <c r="AG494" i="6"/>
  <c r="AH494" i="6" s="1"/>
  <c r="W493" i="6"/>
  <c r="X493" i="6" s="1"/>
  <c r="Y493" i="6" s="1"/>
  <c r="W492" i="6"/>
  <c r="W491" i="6"/>
  <c r="AA492" i="6"/>
  <c r="AA491" i="6"/>
  <c r="V492" i="6"/>
  <c r="V491" i="6"/>
  <c r="Q492" i="6"/>
  <c r="Q491" i="6"/>
  <c r="AU500" i="6"/>
  <c r="AT500" i="6"/>
  <c r="BD499" i="6"/>
  <c r="BC499" i="6"/>
  <c r="AU499" i="6"/>
  <c r="AT499" i="6"/>
  <c r="BD498" i="6"/>
  <c r="BC498" i="6"/>
  <c r="AZ498" i="6"/>
  <c r="AV498" i="6"/>
  <c r="AU498" i="6"/>
  <c r="AT498" i="6"/>
  <c r="AW497" i="6"/>
  <c r="AU495" i="6"/>
  <c r="BA493" i="6"/>
  <c r="AW493" i="6"/>
  <c r="AV493" i="6"/>
  <c r="AU493" i="6"/>
  <c r="AT493" i="6"/>
  <c r="AQ495" i="6"/>
  <c r="BD495" i="6" s="1"/>
  <c r="AP495" i="6"/>
  <c r="BC495" i="6" s="1"/>
  <c r="AQ491" i="6"/>
  <c r="BD491" i="6" s="1"/>
  <c r="AP491" i="6"/>
  <c r="BC491" i="6" s="1"/>
  <c r="AN495" i="6"/>
  <c r="AM495" i="6"/>
  <c r="AL495" i="6"/>
  <c r="AK495" i="6"/>
  <c r="AN493" i="6"/>
  <c r="AM493" i="6"/>
  <c r="AL493" i="6"/>
  <c r="AK493" i="6"/>
  <c r="AN491" i="6"/>
  <c r="AM491" i="6"/>
  <c r="AL491" i="6"/>
  <c r="AK491" i="6"/>
  <c r="AI492" i="6"/>
  <c r="AG492" i="6"/>
  <c r="AF492" i="6"/>
  <c r="AI491" i="6"/>
  <c r="AG491" i="6"/>
  <c r="AF491" i="6"/>
  <c r="AB493" i="6"/>
  <c r="AC493" i="6" s="1"/>
  <c r="AD492" i="6"/>
  <c r="AC492" i="6"/>
  <c r="AB492" i="6"/>
  <c r="AC491" i="6"/>
  <c r="AB491" i="6"/>
  <c r="X498" i="6"/>
  <c r="X497" i="6"/>
  <c r="Y497" i="6" s="1"/>
  <c r="X495" i="6"/>
  <c r="Y495" i="6" s="1"/>
  <c r="Y492" i="6"/>
  <c r="X492" i="6"/>
  <c r="Y491" i="6"/>
  <c r="X491" i="6"/>
  <c r="R493" i="6"/>
  <c r="S493" i="6" s="1"/>
  <c r="T493" i="6" s="1"/>
  <c r="S492" i="6"/>
  <c r="R492" i="6"/>
  <c r="S491" i="6"/>
  <c r="R491" i="6"/>
  <c r="N492" i="6"/>
  <c r="M492" i="6"/>
  <c r="L492" i="6"/>
  <c r="N491" i="6"/>
  <c r="M491" i="6"/>
  <c r="L491" i="6"/>
  <c r="J492" i="6"/>
  <c r="I492" i="6"/>
  <c r="H492" i="6"/>
  <c r="G492" i="6"/>
  <c r="F492" i="6"/>
  <c r="AU492" i="6" s="1"/>
  <c r="E492" i="6"/>
  <c r="AT492" i="6" s="1"/>
  <c r="J491" i="6"/>
  <c r="I491" i="6"/>
  <c r="H491" i="6"/>
  <c r="G491" i="6"/>
  <c r="F491" i="6"/>
  <c r="AU491" i="6" s="1"/>
  <c r="E491" i="6"/>
  <c r="AT491" i="6" s="1"/>
  <c r="AS487" i="6"/>
  <c r="AQ487" i="6"/>
  <c r="BD487" i="6" s="1"/>
  <c r="AP487" i="6"/>
  <c r="BC487" i="6" s="1"/>
  <c r="AO487" i="6"/>
  <c r="BB487" i="6" s="1"/>
  <c r="AN487" i="6"/>
  <c r="AM487" i="6"/>
  <c r="AL487" i="6"/>
  <c r="AK487" i="6"/>
  <c r="AJ487" i="6"/>
  <c r="BA487" i="6" s="1"/>
  <c r="AI487" i="6"/>
  <c r="AH487" i="6"/>
  <c r="AG487" i="6"/>
  <c r="AF487" i="6"/>
  <c r="AE487" i="6"/>
  <c r="AZ487" i="6" s="1"/>
  <c r="AD487" i="6"/>
  <c r="AC487" i="6"/>
  <c r="AB487" i="6"/>
  <c r="AA487" i="6"/>
  <c r="Z487" i="6"/>
  <c r="AY487" i="6" s="1"/>
  <c r="Y487" i="6"/>
  <c r="X487" i="6"/>
  <c r="W487" i="6"/>
  <c r="V487" i="6"/>
  <c r="U487" i="6"/>
  <c r="AX487" i="6" s="1"/>
  <c r="T487" i="6"/>
  <c r="S487" i="6"/>
  <c r="R487" i="6"/>
  <c r="Q487" i="6"/>
  <c r="P487" i="6"/>
  <c r="AW487" i="6" s="1"/>
  <c r="O487" i="6"/>
  <c r="N487" i="6"/>
  <c r="M487" i="6"/>
  <c r="L487" i="6"/>
  <c r="K487" i="6"/>
  <c r="AV487" i="6" s="1"/>
  <c r="J487" i="6"/>
  <c r="I487" i="6"/>
  <c r="H487" i="6"/>
  <c r="G487" i="6"/>
  <c r="F487" i="6"/>
  <c r="AU487" i="6" s="1"/>
  <c r="E487" i="6"/>
  <c r="AT487" i="6" s="1"/>
  <c r="AS485" i="6"/>
  <c r="AF485" i="6"/>
  <c r="AD485" i="6"/>
  <c r="AC485" i="6"/>
  <c r="AB485" i="6"/>
  <c r="AA485" i="6"/>
  <c r="X485" i="6"/>
  <c r="V485" i="6"/>
  <c r="Q485" i="6"/>
  <c r="N485" i="6"/>
  <c r="M485" i="6"/>
  <c r="L485" i="6"/>
  <c r="J485" i="6"/>
  <c r="I485" i="6"/>
  <c r="H485" i="6"/>
  <c r="G485" i="6"/>
  <c r="F485" i="6"/>
  <c r="AU485" i="6" s="1"/>
  <c r="E485" i="6"/>
  <c r="AT485" i="6" s="1"/>
  <c r="AT483" i="6"/>
  <c r="AS483" i="6"/>
  <c r="AT482" i="6"/>
  <c r="AS482" i="6"/>
  <c r="AT481" i="6"/>
  <c r="AS481" i="6"/>
  <c r="AS480" i="6"/>
  <c r="F475" i="6"/>
  <c r="F474" i="6"/>
  <c r="AU474" i="6" s="1"/>
  <c r="E475" i="6"/>
  <c r="E474" i="6"/>
  <c r="AT474" i="6" s="1"/>
  <c r="AS474" i="6"/>
  <c r="AE471" i="6"/>
  <c r="AZ471" i="6" s="1"/>
  <c r="AE467" i="6"/>
  <c r="AZ467" i="6" s="1"/>
  <c r="AE466" i="6"/>
  <c r="Z471" i="6"/>
  <c r="Z467" i="6"/>
  <c r="AY467" i="6" s="1"/>
  <c r="Z466" i="6"/>
  <c r="U471" i="6"/>
  <c r="N471" i="6"/>
  <c r="M471" i="6"/>
  <c r="L471" i="6"/>
  <c r="AG470" i="6"/>
  <c r="AF470" i="6"/>
  <c r="AK470" i="6" s="1"/>
  <c r="AG469" i="6"/>
  <c r="AL469" i="6" s="1"/>
  <c r="AF469" i="6"/>
  <c r="O470" i="6"/>
  <c r="N470" i="6"/>
  <c r="M470" i="6"/>
  <c r="L470" i="6"/>
  <c r="N469" i="6"/>
  <c r="M469" i="6"/>
  <c r="L469" i="6"/>
  <c r="J471" i="6"/>
  <c r="I471" i="6"/>
  <c r="H471" i="6"/>
  <c r="G471" i="6"/>
  <c r="J470" i="6"/>
  <c r="I470" i="6"/>
  <c r="H470" i="6"/>
  <c r="G470" i="6"/>
  <c r="J469" i="6"/>
  <c r="I469" i="6"/>
  <c r="H469" i="6"/>
  <c r="G469" i="6"/>
  <c r="AF468" i="6"/>
  <c r="AB470" i="6"/>
  <c r="AA470" i="6"/>
  <c r="AA469" i="6"/>
  <c r="AD468" i="6"/>
  <c r="AD465" i="6" s="1"/>
  <c r="AC468" i="6"/>
  <c r="AB468" i="6"/>
  <c r="AA468" i="6"/>
  <c r="V470" i="6"/>
  <c r="V469" i="6"/>
  <c r="X468" i="6"/>
  <c r="V468" i="6"/>
  <c r="Q470" i="6"/>
  <c r="Q469" i="6"/>
  <c r="Q478" i="6" s="1"/>
  <c r="Q468" i="6"/>
  <c r="O468" i="6"/>
  <c r="N468" i="6"/>
  <c r="M468" i="6"/>
  <c r="L468" i="6"/>
  <c r="J468" i="6"/>
  <c r="I468" i="6"/>
  <c r="H468" i="6"/>
  <c r="H465" i="6" s="1"/>
  <c r="H474" i="6" s="1"/>
  <c r="G468" i="6"/>
  <c r="G465" i="6" s="1"/>
  <c r="F468" i="6"/>
  <c r="F472" i="6" s="1"/>
  <c r="E468" i="6"/>
  <c r="E472" i="6" s="1"/>
  <c r="AT472" i="6" s="1"/>
  <c r="R467" i="6"/>
  <c r="Q467" i="6"/>
  <c r="O467" i="6"/>
  <c r="N467" i="6"/>
  <c r="M467" i="6"/>
  <c r="L467" i="6"/>
  <c r="K467" i="6"/>
  <c r="AV467" i="6" s="1"/>
  <c r="R466" i="6"/>
  <c r="Q466" i="6"/>
  <c r="U466" i="6" s="1"/>
  <c r="AX466" i="6" s="1"/>
  <c r="O466" i="6"/>
  <c r="N466" i="6"/>
  <c r="N465" i="6" s="1"/>
  <c r="M466" i="6"/>
  <c r="L466" i="6"/>
  <c r="K466" i="6"/>
  <c r="AV466" i="6" s="1"/>
  <c r="AU472" i="6"/>
  <c r="AS472" i="6"/>
  <c r="AY471" i="6"/>
  <c r="AX471" i="6"/>
  <c r="AW471" i="6"/>
  <c r="AV471" i="6"/>
  <c r="AU471" i="6"/>
  <c r="AT471" i="6"/>
  <c r="AS471" i="6"/>
  <c r="AW470" i="6"/>
  <c r="AV470" i="6"/>
  <c r="AU470" i="6"/>
  <c r="AT470" i="6"/>
  <c r="AS470" i="6"/>
  <c r="AW469" i="6"/>
  <c r="AV469" i="6"/>
  <c r="AU469" i="6"/>
  <c r="AT469" i="6"/>
  <c r="AS469" i="6"/>
  <c r="AT468" i="6"/>
  <c r="AS468" i="6"/>
  <c r="AU467" i="6"/>
  <c r="AT467" i="6"/>
  <c r="AS467" i="6"/>
  <c r="AZ466" i="6"/>
  <c r="AY466" i="6"/>
  <c r="AU466" i="6"/>
  <c r="AT466" i="6"/>
  <c r="AS466" i="6"/>
  <c r="AU465" i="6"/>
  <c r="AT465" i="6"/>
  <c r="AS465" i="6"/>
  <c r="AN471" i="6"/>
  <c r="AM471" i="6"/>
  <c r="AL471" i="6"/>
  <c r="AK471" i="6"/>
  <c r="AJ471" i="6"/>
  <c r="BA471" i="6" s="1"/>
  <c r="AL470" i="6"/>
  <c r="AL522" i="6" s="1"/>
  <c r="AN469" i="6"/>
  <c r="AN478" i="6" s="1"/>
  <c r="AN467" i="6"/>
  <c r="AM467" i="6"/>
  <c r="AL467" i="6"/>
  <c r="AK467" i="6"/>
  <c r="AJ467" i="6"/>
  <c r="BA467" i="6" s="1"/>
  <c r="AN466" i="6"/>
  <c r="AM466" i="6"/>
  <c r="AL466" i="6"/>
  <c r="AK466" i="6"/>
  <c r="AJ466" i="6"/>
  <c r="BA466" i="6" s="1"/>
  <c r="AF465" i="6"/>
  <c r="AF475" i="6" s="1"/>
  <c r="AC465" i="6"/>
  <c r="AC474" i="6" s="1"/>
  <c r="AA465" i="6"/>
  <c r="X465" i="6"/>
  <c r="X475" i="6" s="1"/>
  <c r="J465" i="6"/>
  <c r="I465" i="6"/>
  <c r="I474" i="6" s="1"/>
  <c r="AS464" i="6"/>
  <c r="AS462" i="6"/>
  <c r="AQ462" i="6"/>
  <c r="BD462" i="6" s="1"/>
  <c r="AP462" i="6"/>
  <c r="BC462" i="6" s="1"/>
  <c r="AO462" i="6"/>
  <c r="BB462" i="6" s="1"/>
  <c r="AN462" i="6"/>
  <c r="AM462" i="6"/>
  <c r="AL462" i="6"/>
  <c r="AK462" i="6"/>
  <c r="AJ462" i="6"/>
  <c r="BA462" i="6" s="1"/>
  <c r="AI462" i="6"/>
  <c r="AH462" i="6"/>
  <c r="AG462" i="6"/>
  <c r="AF462" i="6"/>
  <c r="AE462" i="6"/>
  <c r="AZ462" i="6" s="1"/>
  <c r="AD462" i="6"/>
  <c r="AC462" i="6"/>
  <c r="AB462" i="6"/>
  <c r="AA462" i="6"/>
  <c r="Z462" i="6"/>
  <c r="AY462" i="6" s="1"/>
  <c r="Y462" i="6"/>
  <c r="X462" i="6"/>
  <c r="W462" i="6"/>
  <c r="V462" i="6"/>
  <c r="U462" i="6"/>
  <c r="AX462" i="6" s="1"/>
  <c r="T462" i="6"/>
  <c r="S462" i="6"/>
  <c r="R462" i="6"/>
  <c r="Q462" i="6"/>
  <c r="P462" i="6"/>
  <c r="AW462" i="6" s="1"/>
  <c r="O462" i="6"/>
  <c r="N462" i="6"/>
  <c r="M462" i="6"/>
  <c r="L462" i="6"/>
  <c r="K462" i="6"/>
  <c r="AV462" i="6" s="1"/>
  <c r="J462" i="6"/>
  <c r="I462" i="6"/>
  <c r="H462" i="6"/>
  <c r="G462" i="6"/>
  <c r="F462" i="6"/>
  <c r="AU462" i="6" s="1"/>
  <c r="E462" i="6"/>
  <c r="AT462" i="6" s="1"/>
  <c r="AA459" i="6"/>
  <c r="F458" i="6"/>
  <c r="F459" i="6" s="1"/>
  <c r="AU459" i="6" s="1"/>
  <c r="BD459" i="6"/>
  <c r="BC459" i="6"/>
  <c r="BB459" i="6"/>
  <c r="BA459" i="6"/>
  <c r="AT459" i="6"/>
  <c r="AS459" i="6"/>
  <c r="AS458" i="6"/>
  <c r="AK458" i="6"/>
  <c r="AH458" i="6"/>
  <c r="AM458" i="6" s="1"/>
  <c r="AG458" i="6"/>
  <c r="AL458" i="6" s="1"/>
  <c r="AF458" i="6"/>
  <c r="AD458" i="6"/>
  <c r="AC458" i="6"/>
  <c r="AB458" i="6"/>
  <c r="AA458" i="6"/>
  <c r="Y458" i="6"/>
  <c r="X458" i="6"/>
  <c r="W458" i="6"/>
  <c r="V458" i="6"/>
  <c r="T458" i="6"/>
  <c r="S458" i="6"/>
  <c r="R458" i="6"/>
  <c r="Q458" i="6"/>
  <c r="O458" i="6"/>
  <c r="N458" i="6"/>
  <c r="M458" i="6"/>
  <c r="L458" i="6"/>
  <c r="J458" i="6"/>
  <c r="I458" i="6"/>
  <c r="H458" i="6"/>
  <c r="G458" i="6"/>
  <c r="E458" i="6"/>
  <c r="AT458" i="6" s="1"/>
  <c r="F455" i="6"/>
  <c r="AT456" i="6"/>
  <c r="AS456" i="6"/>
  <c r="AU455" i="6"/>
  <c r="AS455" i="6"/>
  <c r="AH455" i="6"/>
  <c r="AM455" i="6" s="1"/>
  <c r="AG455" i="6"/>
  <c r="AF455" i="6"/>
  <c r="AK455" i="6" s="1"/>
  <c r="AD455" i="6"/>
  <c r="AI456" i="6" s="1"/>
  <c r="AC455" i="6"/>
  <c r="AB455" i="6"/>
  <c r="AA455" i="6"/>
  <c r="AA456" i="6" s="1"/>
  <c r="Y455" i="6"/>
  <c r="X455" i="6"/>
  <c r="W455" i="6"/>
  <c r="AB456" i="6" s="1"/>
  <c r="V455" i="6"/>
  <c r="T455" i="6"/>
  <c r="S455" i="6"/>
  <c r="X456" i="6" s="1"/>
  <c r="R455" i="6"/>
  <c r="Q455" i="6"/>
  <c r="O455" i="6"/>
  <c r="T456" i="6" s="1"/>
  <c r="N455" i="6"/>
  <c r="M455" i="6"/>
  <c r="L455" i="6"/>
  <c r="J455" i="6"/>
  <c r="I455" i="6"/>
  <c r="H455" i="6"/>
  <c r="G455" i="6"/>
  <c r="L456" i="6" s="1"/>
  <c r="E455" i="6"/>
  <c r="AT455" i="6" s="1"/>
  <c r="AS453" i="6"/>
  <c r="AS452" i="6"/>
  <c r="AS451" i="6"/>
  <c r="F451" i="6"/>
  <c r="F452" i="6" s="1"/>
  <c r="AU452" i="6" s="1"/>
  <c r="BD452" i="6"/>
  <c r="BC452" i="6"/>
  <c r="AH451" i="6"/>
  <c r="AM451" i="6" s="1"/>
  <c r="AG451" i="6"/>
  <c r="AF451" i="6"/>
  <c r="AK451" i="6" s="1"/>
  <c r="AD451" i="6"/>
  <c r="AC451" i="6"/>
  <c r="AB451" i="6"/>
  <c r="AA451" i="6"/>
  <c r="Y451" i="6"/>
  <c r="X451" i="6"/>
  <c r="W451" i="6"/>
  <c r="AB452" i="6" s="1"/>
  <c r="V451" i="6"/>
  <c r="AA452" i="6" s="1"/>
  <c r="T451" i="6"/>
  <c r="S451" i="6"/>
  <c r="X452" i="6" s="1"/>
  <c r="R451" i="6"/>
  <c r="W452" i="6" s="1"/>
  <c r="Q451" i="6"/>
  <c r="O451" i="6"/>
  <c r="T452" i="6" s="1"/>
  <c r="N451" i="6"/>
  <c r="S452" i="6" s="1"/>
  <c r="M451" i="6"/>
  <c r="L451" i="6"/>
  <c r="J451" i="6"/>
  <c r="O452" i="6" s="1"/>
  <c r="I451" i="6"/>
  <c r="H451" i="6"/>
  <c r="G451" i="6"/>
  <c r="L452" i="6" s="1"/>
  <c r="E451" i="6"/>
  <c r="AT451" i="6" s="1"/>
  <c r="AS449" i="6"/>
  <c r="AQ449" i="6"/>
  <c r="BD449" i="6" s="1"/>
  <c r="AP449" i="6"/>
  <c r="BC449" i="6" s="1"/>
  <c r="AO449" i="6"/>
  <c r="BB449" i="6" s="1"/>
  <c r="AN449" i="6"/>
  <c r="AM449" i="6"/>
  <c r="AL449" i="6"/>
  <c r="AK449" i="6"/>
  <c r="AJ449" i="6"/>
  <c r="BA449" i="6" s="1"/>
  <c r="AI449" i="6"/>
  <c r="AH449" i="6"/>
  <c r="AG449" i="6"/>
  <c r="AF449" i="6"/>
  <c r="AE449" i="6"/>
  <c r="AZ449" i="6" s="1"/>
  <c r="AD449" i="6"/>
  <c r="AC449" i="6"/>
  <c r="AB449" i="6"/>
  <c r="AA449" i="6"/>
  <c r="Z449" i="6"/>
  <c r="AY449" i="6" s="1"/>
  <c r="Y449" i="6"/>
  <c r="X449" i="6"/>
  <c r="W449" i="6"/>
  <c r="V449" i="6"/>
  <c r="U449" i="6"/>
  <c r="AX449" i="6" s="1"/>
  <c r="T449" i="6"/>
  <c r="S449" i="6"/>
  <c r="R449" i="6"/>
  <c r="Q449" i="6"/>
  <c r="P449" i="6"/>
  <c r="AW449" i="6" s="1"/>
  <c r="O449" i="6"/>
  <c r="N449" i="6"/>
  <c r="M449" i="6"/>
  <c r="L449" i="6"/>
  <c r="K449" i="6"/>
  <c r="AV449" i="6" s="1"/>
  <c r="J449" i="6"/>
  <c r="I449" i="6"/>
  <c r="H449" i="6"/>
  <c r="G449" i="6"/>
  <c r="F449" i="6"/>
  <c r="AU449" i="6" s="1"/>
  <c r="E449" i="6"/>
  <c r="AT449" i="6" s="1"/>
  <c r="AS444" i="6"/>
  <c r="AS443" i="6"/>
  <c r="N444" i="6"/>
  <c r="M444" i="6"/>
  <c r="L444" i="6"/>
  <c r="F444" i="6"/>
  <c r="AU444" i="6" s="1"/>
  <c r="BD444" i="6"/>
  <c r="BC444" i="6"/>
  <c r="AU443" i="6"/>
  <c r="AT443" i="6"/>
  <c r="W443" i="6"/>
  <c r="AB443" i="6" s="1"/>
  <c r="AG443" i="6" s="1"/>
  <c r="AL443" i="6" s="1"/>
  <c r="S443" i="6"/>
  <c r="X443" i="6" s="1"/>
  <c r="AC443" i="6" s="1"/>
  <c r="AH443" i="6" s="1"/>
  <c r="AM443" i="6" s="1"/>
  <c r="R443" i="6"/>
  <c r="Q443" i="6"/>
  <c r="O443" i="6"/>
  <c r="T443" i="6" s="1"/>
  <c r="Y443" i="6" s="1"/>
  <c r="AD443" i="6" s="1"/>
  <c r="AI443" i="6" s="1"/>
  <c r="AN443" i="6" s="1"/>
  <c r="K443" i="6"/>
  <c r="K444" i="6" s="1"/>
  <c r="AV444" i="6" s="1"/>
  <c r="AS441" i="6"/>
  <c r="AS440" i="6"/>
  <c r="AO441" i="6"/>
  <c r="BB441" i="6" s="1"/>
  <c r="AJ441" i="6"/>
  <c r="BA441" i="6" s="1"/>
  <c r="AE441" i="6"/>
  <c r="Z441" i="6"/>
  <c r="AY441" i="6" s="1"/>
  <c r="U441" i="6"/>
  <c r="AX441" i="6" s="1"/>
  <c r="P441" i="6"/>
  <c r="N441" i="6"/>
  <c r="M441" i="6"/>
  <c r="L441" i="6"/>
  <c r="K441" i="6"/>
  <c r="AV441" i="6" s="1"/>
  <c r="F441" i="6"/>
  <c r="AU441" i="6" s="1"/>
  <c r="BD441" i="6"/>
  <c r="BC441" i="6"/>
  <c r="AZ441" i="6"/>
  <c r="AW441" i="6"/>
  <c r="BB440" i="6"/>
  <c r="BA440" i="6"/>
  <c r="AZ440" i="6"/>
  <c r="AY440" i="6"/>
  <c r="AX440" i="6"/>
  <c r="AW440" i="6"/>
  <c r="AV440" i="6"/>
  <c r="AU440" i="6"/>
  <c r="AT440" i="6"/>
  <c r="AP440" i="6"/>
  <c r="AQ440" i="6" s="1"/>
  <c r="BD440" i="6" s="1"/>
  <c r="S440" i="6"/>
  <c r="X440" i="6" s="1"/>
  <c r="AC440" i="6" s="1"/>
  <c r="AH440" i="6" s="1"/>
  <c r="AM440" i="6" s="1"/>
  <c r="R440" i="6"/>
  <c r="W440" i="6" s="1"/>
  <c r="AB440" i="6" s="1"/>
  <c r="AG440" i="6" s="1"/>
  <c r="AL440" i="6" s="1"/>
  <c r="Q440" i="6"/>
  <c r="V440" i="6" s="1"/>
  <c r="AA440" i="6" s="1"/>
  <c r="AF440" i="6" s="1"/>
  <c r="AK440" i="6" s="1"/>
  <c r="O440" i="6"/>
  <c r="T440" i="6" s="1"/>
  <c r="Y440" i="6" s="1"/>
  <c r="AD440" i="6" s="1"/>
  <c r="AI440" i="6" s="1"/>
  <c r="AN440" i="6" s="1"/>
  <c r="AS438" i="6"/>
  <c r="AS437" i="6"/>
  <c r="AS436" i="6"/>
  <c r="N438" i="6"/>
  <c r="M438" i="6"/>
  <c r="L438" i="6"/>
  <c r="F438" i="6"/>
  <c r="AU438" i="6" s="1"/>
  <c r="BD438" i="6"/>
  <c r="BC438" i="6"/>
  <c r="AU437" i="6"/>
  <c r="AT437" i="6"/>
  <c r="S437" i="6"/>
  <c r="X437" i="6" s="1"/>
  <c r="AC437" i="6" s="1"/>
  <c r="AH437" i="6" s="1"/>
  <c r="AM437" i="6" s="1"/>
  <c r="R437" i="6"/>
  <c r="W437" i="6" s="1"/>
  <c r="AB437" i="6" s="1"/>
  <c r="AG437" i="6" s="1"/>
  <c r="AL437" i="6" s="1"/>
  <c r="Q437" i="6"/>
  <c r="O437" i="6"/>
  <c r="P437" i="6" s="1"/>
  <c r="K437" i="6"/>
  <c r="K438" i="6" s="1"/>
  <c r="AV438" i="6" s="1"/>
  <c r="AX434" i="6"/>
  <c r="AS434" i="6"/>
  <c r="AS433" i="6"/>
  <c r="AS432" i="6"/>
  <c r="AS431" i="6"/>
  <c r="F433" i="6"/>
  <c r="AD433" i="6"/>
  <c r="AC433" i="6"/>
  <c r="AB433" i="6"/>
  <c r="AA433" i="6"/>
  <c r="Y433" i="6"/>
  <c r="X433" i="6"/>
  <c r="W433" i="6"/>
  <c r="V433" i="6"/>
  <c r="T433" i="6"/>
  <c r="S433" i="6"/>
  <c r="R433" i="6"/>
  <c r="Q433" i="6"/>
  <c r="O433" i="6"/>
  <c r="N433" i="6"/>
  <c r="M433" i="6"/>
  <c r="L433" i="6"/>
  <c r="BD433" i="6"/>
  <c r="BC433" i="6"/>
  <c r="BB433" i="6"/>
  <c r="BA433" i="6"/>
  <c r="BD432" i="6"/>
  <c r="BC432" i="6"/>
  <c r="BB432" i="6"/>
  <c r="BA432" i="6"/>
  <c r="AU433" i="6"/>
  <c r="AT433" i="6"/>
  <c r="AU431" i="6"/>
  <c r="AT431" i="6"/>
  <c r="AE431" i="6"/>
  <c r="Z431" i="6"/>
  <c r="AY431" i="6" s="1"/>
  <c r="U431" i="6"/>
  <c r="P431" i="6"/>
  <c r="AW431" i="6" s="1"/>
  <c r="K431" i="6"/>
  <c r="AS429" i="6"/>
  <c r="AI429" i="6"/>
  <c r="AI431" i="6" s="1"/>
  <c r="AH429" i="6"/>
  <c r="AH431" i="6" s="1"/>
  <c r="AG429" i="6"/>
  <c r="AG431" i="6" s="1"/>
  <c r="AF429" i="6"/>
  <c r="AF431" i="6" s="1"/>
  <c r="AS427" i="6"/>
  <c r="AS426" i="6"/>
  <c r="F426" i="6"/>
  <c r="AU426" i="6" s="1"/>
  <c r="BD427" i="6"/>
  <c r="BC427" i="6"/>
  <c r="BB427" i="6"/>
  <c r="BA427" i="6"/>
  <c r="AN426" i="6"/>
  <c r="AM426" i="6"/>
  <c r="AL426" i="6"/>
  <c r="AK426" i="6"/>
  <c r="AJ426" i="6"/>
  <c r="BA426" i="6" s="1"/>
  <c r="AC427" i="6"/>
  <c r="AD426" i="6"/>
  <c r="AC426" i="6"/>
  <c r="AB426" i="6"/>
  <c r="AA426" i="6"/>
  <c r="Y426" i="6"/>
  <c r="X426" i="6"/>
  <c r="W426" i="6"/>
  <c r="V426" i="6"/>
  <c r="T426" i="6"/>
  <c r="S426" i="6"/>
  <c r="R426" i="6"/>
  <c r="Q426" i="6"/>
  <c r="O426" i="6"/>
  <c r="N426" i="6"/>
  <c r="M426" i="6"/>
  <c r="L426" i="6"/>
  <c r="J426" i="6"/>
  <c r="I426" i="6"/>
  <c r="H426" i="6"/>
  <c r="G426" i="6"/>
  <c r="E426" i="6"/>
  <c r="AS424" i="6"/>
  <c r="AS423" i="6"/>
  <c r="F423" i="6"/>
  <c r="AU423" i="6" s="1"/>
  <c r="BD424" i="6"/>
  <c r="BC424" i="6"/>
  <c r="BB424" i="6"/>
  <c r="BA424" i="6"/>
  <c r="AN423" i="6"/>
  <c r="AM423" i="6"/>
  <c r="AL423" i="6"/>
  <c r="AL429" i="6" s="1"/>
  <c r="AL431" i="6" s="1"/>
  <c r="AK423" i="6"/>
  <c r="AJ423" i="6"/>
  <c r="AD423" i="6"/>
  <c r="AD432" i="6" s="1"/>
  <c r="AC423" i="6"/>
  <c r="AC432" i="6" s="1"/>
  <c r="AB423" i="6"/>
  <c r="AA423" i="6"/>
  <c r="Y423" i="6"/>
  <c r="X423" i="6"/>
  <c r="X429" i="6" s="1"/>
  <c r="X430" i="6" s="1"/>
  <c r="W423" i="6"/>
  <c r="V423" i="6"/>
  <c r="V432" i="6" s="1"/>
  <c r="T423" i="6"/>
  <c r="T432" i="6" s="1"/>
  <c r="S423" i="6"/>
  <c r="S432" i="6" s="1"/>
  <c r="R423" i="6"/>
  <c r="R432" i="6" s="1"/>
  <c r="Q423" i="6"/>
  <c r="O423" i="6"/>
  <c r="O432" i="6" s="1"/>
  <c r="N423" i="6"/>
  <c r="N432" i="6" s="1"/>
  <c r="M423" i="6"/>
  <c r="L423" i="6"/>
  <c r="J423" i="6"/>
  <c r="J432" i="6" s="1"/>
  <c r="I423" i="6"/>
  <c r="I432" i="6" s="1"/>
  <c r="H423" i="6"/>
  <c r="G423" i="6"/>
  <c r="E423" i="6"/>
  <c r="AS421" i="6"/>
  <c r="AS420" i="6"/>
  <c r="AJ421" i="6"/>
  <c r="BA421" i="6" s="1"/>
  <c r="AI421" i="6"/>
  <c r="AH421" i="6"/>
  <c r="AG421" i="6"/>
  <c r="AF421" i="6"/>
  <c r="AE421" i="6"/>
  <c r="AD421" i="6"/>
  <c r="AC421" i="6"/>
  <c r="AB421" i="6"/>
  <c r="AA421" i="6"/>
  <c r="Z421" i="6"/>
  <c r="Y421" i="6"/>
  <c r="X421" i="6"/>
  <c r="W421" i="6"/>
  <c r="V421" i="6"/>
  <c r="U421" i="6"/>
  <c r="T421" i="6"/>
  <c r="S421" i="6"/>
  <c r="R421" i="6"/>
  <c r="Q421" i="6"/>
  <c r="P421" i="6"/>
  <c r="O421" i="6"/>
  <c r="N421" i="6"/>
  <c r="M421" i="6"/>
  <c r="L421" i="6"/>
  <c r="K421" i="6"/>
  <c r="J421" i="6"/>
  <c r="I421" i="6"/>
  <c r="H421" i="6"/>
  <c r="G421" i="6"/>
  <c r="F421" i="6"/>
  <c r="E421" i="6"/>
  <c r="AQ420" i="6"/>
  <c r="BD420" i="6" s="1"/>
  <c r="AP420" i="6"/>
  <c r="BC420" i="6" s="1"/>
  <c r="AO420" i="6"/>
  <c r="BB420" i="6" s="1"/>
  <c r="AN420" i="6"/>
  <c r="AM420" i="6"/>
  <c r="AL420" i="6"/>
  <c r="AK420" i="6"/>
  <c r="AJ420" i="6"/>
  <c r="BA420" i="6" s="1"/>
  <c r="AI420" i="6"/>
  <c r="AH420" i="6"/>
  <c r="AG420" i="6"/>
  <c r="AF420" i="6"/>
  <c r="AE420" i="6"/>
  <c r="AZ420" i="6" s="1"/>
  <c r="AD420" i="6"/>
  <c r="AC420" i="6"/>
  <c r="AB420" i="6"/>
  <c r="AA420" i="6"/>
  <c r="Z420" i="6"/>
  <c r="AY420" i="6" s="1"/>
  <c r="Y420" i="6"/>
  <c r="X420" i="6"/>
  <c r="W420" i="6"/>
  <c r="V420" i="6"/>
  <c r="U420" i="6"/>
  <c r="AX420" i="6" s="1"/>
  <c r="T420" i="6"/>
  <c r="S420" i="6"/>
  <c r="R420" i="6"/>
  <c r="Q420" i="6"/>
  <c r="P420" i="6"/>
  <c r="AW420" i="6" s="1"/>
  <c r="O420" i="6"/>
  <c r="N420" i="6"/>
  <c r="M420" i="6"/>
  <c r="L420" i="6"/>
  <c r="K420" i="6"/>
  <c r="AV420" i="6" s="1"/>
  <c r="J420" i="6"/>
  <c r="I420" i="6"/>
  <c r="H420" i="6"/>
  <c r="G420" i="6"/>
  <c r="F420" i="6"/>
  <c r="AU420" i="6" s="1"/>
  <c r="E420" i="6"/>
  <c r="AT420" i="6" s="1"/>
  <c r="AE417" i="6"/>
  <c r="AS410" i="6"/>
  <c r="AS409" i="6"/>
  <c r="AS408" i="6"/>
  <c r="AS407" i="6"/>
  <c r="U410" i="6"/>
  <c r="U407" i="6"/>
  <c r="AH408" i="6"/>
  <c r="AG408" i="6"/>
  <c r="AF408" i="6"/>
  <c r="AD408" i="6"/>
  <c r="AC408" i="6"/>
  <c r="AB408" i="6"/>
  <c r="AA408" i="6"/>
  <c r="Y408" i="6"/>
  <c r="X408" i="6"/>
  <c r="W408" i="6"/>
  <c r="V408" i="6"/>
  <c r="T408" i="6"/>
  <c r="S408" i="6"/>
  <c r="R408" i="6"/>
  <c r="Q408" i="6"/>
  <c r="O408" i="6"/>
  <c r="N408" i="6"/>
  <c r="M408" i="6"/>
  <c r="L408" i="6"/>
  <c r="F408" i="6"/>
  <c r="AU408" i="6"/>
  <c r="AU407" i="6"/>
  <c r="AT407" i="6"/>
  <c r="AE407" i="6"/>
  <c r="AZ407" i="6" s="1"/>
  <c r="Z407" i="6"/>
  <c r="AY407" i="6" s="1"/>
  <c r="P407" i="6"/>
  <c r="AW407" i="6" s="1"/>
  <c r="K407" i="6"/>
  <c r="AT405" i="6"/>
  <c r="AS405" i="6"/>
  <c r="AT404" i="6"/>
  <c r="AS404" i="6"/>
  <c r="AT403" i="6"/>
  <c r="AS403" i="6"/>
  <c r="AS402" i="6"/>
  <c r="AS401" i="6"/>
  <c r="AS400" i="6"/>
  <c r="AS399" i="6"/>
  <c r="AS397" i="6"/>
  <c r="AS396" i="6"/>
  <c r="AS395" i="6"/>
  <c r="F388" i="6"/>
  <c r="IK675" i="58479" s="1"/>
  <c r="E388" i="6"/>
  <c r="AT388" i="6" s="1"/>
  <c r="AS393" i="6"/>
  <c r="AT392" i="6"/>
  <c r="AS392" i="6"/>
  <c r="AT391" i="6"/>
  <c r="AS391" i="6"/>
  <c r="AT390" i="6"/>
  <c r="AS390" i="6"/>
  <c r="AS389" i="6"/>
  <c r="AS388" i="6"/>
  <c r="AD388" i="6"/>
  <c r="AC388" i="6"/>
  <c r="AB388" i="6"/>
  <c r="AA388" i="6"/>
  <c r="Z388" i="6"/>
  <c r="Y388" i="6"/>
  <c r="X388" i="6"/>
  <c r="W388" i="6"/>
  <c r="V388" i="6"/>
  <c r="T388" i="6"/>
  <c r="S388" i="6"/>
  <c r="R388" i="6"/>
  <c r="Q388" i="6"/>
  <c r="O388" i="6"/>
  <c r="N388" i="6"/>
  <c r="M388" i="6"/>
  <c r="L388" i="6"/>
  <c r="J388" i="6"/>
  <c r="I388" i="6"/>
  <c r="H388" i="6"/>
  <c r="G388" i="6"/>
  <c r="F384" i="6"/>
  <c r="AT386" i="6"/>
  <c r="AS386" i="6"/>
  <c r="AT385" i="6"/>
  <c r="AS385" i="6"/>
  <c r="AS384" i="6"/>
  <c r="AE384" i="6"/>
  <c r="AD384" i="6"/>
  <c r="AC384" i="6"/>
  <c r="AB384" i="6"/>
  <c r="AA384" i="6"/>
  <c r="Y384" i="6"/>
  <c r="X384" i="6"/>
  <c r="W384" i="6"/>
  <c r="V384" i="6"/>
  <c r="T384" i="6"/>
  <c r="S384" i="6"/>
  <c r="R384" i="6"/>
  <c r="Q384" i="6"/>
  <c r="O384" i="6"/>
  <c r="N384" i="6"/>
  <c r="M384" i="6"/>
  <c r="L384" i="6"/>
  <c r="K384" i="6"/>
  <c r="J384" i="6"/>
  <c r="I384" i="6"/>
  <c r="H384" i="6"/>
  <c r="G384" i="6"/>
  <c r="E384" i="6"/>
  <c r="AS382" i="6"/>
  <c r="AQ382" i="6"/>
  <c r="BD382" i="6" s="1"/>
  <c r="AP382" i="6"/>
  <c r="BC382" i="6" s="1"/>
  <c r="AO382" i="6"/>
  <c r="BB382" i="6" s="1"/>
  <c r="AN382" i="6"/>
  <c r="AM382" i="6"/>
  <c r="AL382" i="6"/>
  <c r="AK382" i="6"/>
  <c r="AJ382" i="6"/>
  <c r="AI382" i="6"/>
  <c r="AH382" i="6"/>
  <c r="AG382" i="6"/>
  <c r="AF382" i="6"/>
  <c r="AE382" i="6"/>
  <c r="AD382" i="6"/>
  <c r="AC382" i="6"/>
  <c r="AB382" i="6"/>
  <c r="AA382" i="6"/>
  <c r="Z382" i="6"/>
  <c r="Y382" i="6"/>
  <c r="X382" i="6"/>
  <c r="W382" i="6"/>
  <c r="V382" i="6"/>
  <c r="U382" i="6"/>
  <c r="T382" i="6"/>
  <c r="S382" i="6"/>
  <c r="R382" i="6"/>
  <c r="Q382" i="6"/>
  <c r="P382" i="6"/>
  <c r="O382" i="6"/>
  <c r="N382" i="6"/>
  <c r="M382" i="6"/>
  <c r="L382" i="6"/>
  <c r="K382" i="6"/>
  <c r="J382" i="6"/>
  <c r="I382" i="6"/>
  <c r="H382" i="6"/>
  <c r="G382" i="6"/>
  <c r="F382" i="6"/>
  <c r="AU382" i="6" s="1"/>
  <c r="E382" i="6"/>
  <c r="AT382" i="6" s="1"/>
  <c r="AE379" i="6"/>
  <c r="AS373" i="6"/>
  <c r="AS372" i="6"/>
  <c r="AS371" i="6"/>
  <c r="AJ371" i="6"/>
  <c r="AH372" i="6"/>
  <c r="AG372" i="6"/>
  <c r="AF372" i="6"/>
  <c r="AD372" i="6"/>
  <c r="AC372" i="6"/>
  <c r="AB372" i="6"/>
  <c r="AA372" i="6"/>
  <c r="Y372" i="6"/>
  <c r="X372" i="6"/>
  <c r="W372" i="6"/>
  <c r="V372" i="6"/>
  <c r="T372" i="6"/>
  <c r="S372" i="6"/>
  <c r="R372" i="6"/>
  <c r="Q372" i="6"/>
  <c r="O372" i="6"/>
  <c r="N372" i="6"/>
  <c r="M372" i="6"/>
  <c r="L372" i="6"/>
  <c r="F372" i="6"/>
  <c r="AU372" i="6" s="1"/>
  <c r="BD372" i="6"/>
  <c r="BC372" i="6"/>
  <c r="AV371" i="6"/>
  <c r="AU371" i="6"/>
  <c r="AT371" i="6"/>
  <c r="AE371" i="6"/>
  <c r="GZ565" i="58479" s="1"/>
  <c r="GY567" i="58479" s="1"/>
  <c r="Z371" i="6"/>
  <c r="GY565" i="58479" s="1"/>
  <c r="U371" i="6"/>
  <c r="P371" i="6"/>
  <c r="GW565" i="58479" s="1"/>
  <c r="K371" i="6"/>
  <c r="GV565" i="58479" s="1"/>
  <c r="AE368" i="6"/>
  <c r="AS356" i="6"/>
  <c r="AS355" i="6"/>
  <c r="AS354" i="6"/>
  <c r="AH355" i="6"/>
  <c r="AG355" i="6"/>
  <c r="AF355" i="6"/>
  <c r="AD355" i="6"/>
  <c r="AC355" i="6"/>
  <c r="AB355" i="6"/>
  <c r="AA355" i="6"/>
  <c r="Y355" i="6"/>
  <c r="X355" i="6"/>
  <c r="W355" i="6"/>
  <c r="V355" i="6"/>
  <c r="T355" i="6"/>
  <c r="S355" i="6"/>
  <c r="R355" i="6"/>
  <c r="Q355" i="6"/>
  <c r="O355" i="6"/>
  <c r="N355" i="6"/>
  <c r="M355" i="6"/>
  <c r="L355" i="6"/>
  <c r="F355" i="6"/>
  <c r="AU355" i="6" s="1"/>
  <c r="AU354" i="6"/>
  <c r="AT354" i="6"/>
  <c r="AE354" i="6"/>
  <c r="Z354" i="6"/>
  <c r="U354" i="6"/>
  <c r="P354" i="6"/>
  <c r="K354" i="6"/>
  <c r="AT352" i="6"/>
  <c r="AS352" i="6"/>
  <c r="AT351" i="6"/>
  <c r="AS351" i="6"/>
  <c r="AT350" i="6"/>
  <c r="AS350" i="6"/>
  <c r="AS349" i="6"/>
  <c r="AS348" i="6"/>
  <c r="AS347" i="6"/>
  <c r="AS346" i="6"/>
  <c r="AS344" i="6"/>
  <c r="AS343" i="6"/>
  <c r="AS342" i="6"/>
  <c r="F339" i="6"/>
  <c r="AU339" i="6" s="1"/>
  <c r="AT340" i="6"/>
  <c r="AS340" i="6"/>
  <c r="AT339" i="6"/>
  <c r="AS339" i="6"/>
  <c r="AQ339" i="6"/>
  <c r="BD339" i="6" s="1"/>
  <c r="AP339" i="6"/>
  <c r="BC339" i="6" s="1"/>
  <c r="AN339" i="6"/>
  <c r="AM339" i="6"/>
  <c r="AL339" i="6"/>
  <c r="AK339" i="6"/>
  <c r="AI339" i="6"/>
  <c r="AH339" i="6"/>
  <c r="AG339" i="6"/>
  <c r="AF339" i="6"/>
  <c r="AD339" i="6"/>
  <c r="AC339" i="6"/>
  <c r="AB339" i="6"/>
  <c r="AA339" i="6"/>
  <c r="Z339" i="6"/>
  <c r="AY339" i="6" s="1"/>
  <c r="Y339" i="6"/>
  <c r="X339" i="6"/>
  <c r="W339" i="6"/>
  <c r="V339" i="6"/>
  <c r="U339" i="6"/>
  <c r="AX339" i="6" s="1"/>
  <c r="T339" i="6"/>
  <c r="S339" i="6"/>
  <c r="R339" i="6"/>
  <c r="Q339" i="6"/>
  <c r="P339" i="6"/>
  <c r="AW339" i="6" s="1"/>
  <c r="O339" i="6"/>
  <c r="N339" i="6"/>
  <c r="M339" i="6"/>
  <c r="L339" i="6"/>
  <c r="K339" i="6"/>
  <c r="AV339" i="6" s="1"/>
  <c r="AS338" i="6"/>
  <c r="AS336" i="6"/>
  <c r="AT335" i="6"/>
  <c r="AS335" i="6"/>
  <c r="AT334" i="6"/>
  <c r="AS334" i="6"/>
  <c r="AT333" i="6"/>
  <c r="AS333" i="6"/>
  <c r="AS332" i="6"/>
  <c r="AS331" i="6"/>
  <c r="E331" i="6"/>
  <c r="AD331" i="6"/>
  <c r="AC331" i="6"/>
  <c r="AB331" i="6"/>
  <c r="AA331" i="6"/>
  <c r="Y331" i="6"/>
  <c r="X331" i="6"/>
  <c r="W331" i="6"/>
  <c r="V331" i="6"/>
  <c r="U331" i="6"/>
  <c r="T331" i="6"/>
  <c r="R331" i="6"/>
  <c r="Q331" i="6"/>
  <c r="P331" i="6"/>
  <c r="IM673" i="58479" s="1"/>
  <c r="O331" i="6"/>
  <c r="N331" i="6"/>
  <c r="M331" i="6"/>
  <c r="L331" i="6"/>
  <c r="J331" i="6"/>
  <c r="I331" i="6"/>
  <c r="H331" i="6"/>
  <c r="G331" i="6"/>
  <c r="F331" i="6"/>
  <c r="F327" i="6"/>
  <c r="IK670" i="58479" s="1"/>
  <c r="AT329" i="6"/>
  <c r="AS329" i="6"/>
  <c r="AT328" i="6"/>
  <c r="AS328" i="6"/>
  <c r="AS327" i="6"/>
  <c r="AD327" i="6"/>
  <c r="AC327" i="6"/>
  <c r="AB327" i="6"/>
  <c r="AA327" i="6"/>
  <c r="Y327" i="6"/>
  <c r="X327" i="6"/>
  <c r="W327" i="6"/>
  <c r="V327" i="6"/>
  <c r="T327" i="6"/>
  <c r="S327" i="6"/>
  <c r="R327" i="6"/>
  <c r="Q327" i="6"/>
  <c r="P327" i="6"/>
  <c r="O327" i="6"/>
  <c r="N327" i="6"/>
  <c r="M327" i="6"/>
  <c r="L327" i="6"/>
  <c r="K327" i="6"/>
  <c r="IL670" i="58479" s="1"/>
  <c r="J327" i="6"/>
  <c r="I327" i="6"/>
  <c r="H327" i="6"/>
  <c r="G327" i="6"/>
  <c r="E327" i="6"/>
  <c r="AS325" i="6"/>
  <c r="AQ325" i="6"/>
  <c r="BD325" i="6" s="1"/>
  <c r="AP325" i="6"/>
  <c r="BC325" i="6" s="1"/>
  <c r="AO325" i="6"/>
  <c r="BB325" i="6" s="1"/>
  <c r="AN325" i="6"/>
  <c r="AM325" i="6"/>
  <c r="AL325" i="6"/>
  <c r="AK325" i="6"/>
  <c r="AJ325" i="6"/>
  <c r="BA325" i="6" s="1"/>
  <c r="AI325" i="6"/>
  <c r="AH325" i="6"/>
  <c r="AG325" i="6"/>
  <c r="AF325" i="6"/>
  <c r="AE325" i="6"/>
  <c r="AZ325" i="6" s="1"/>
  <c r="AD325" i="6"/>
  <c r="AC325" i="6"/>
  <c r="AB325" i="6"/>
  <c r="AA325" i="6"/>
  <c r="Z325" i="6"/>
  <c r="AY325" i="6" s="1"/>
  <c r="Y325" i="6"/>
  <c r="X325" i="6"/>
  <c r="W325" i="6"/>
  <c r="V325" i="6"/>
  <c r="U325" i="6"/>
  <c r="AX325" i="6" s="1"/>
  <c r="T325" i="6"/>
  <c r="S325" i="6"/>
  <c r="R325" i="6"/>
  <c r="Q325" i="6"/>
  <c r="P325" i="6"/>
  <c r="AW325" i="6" s="1"/>
  <c r="O325" i="6"/>
  <c r="N325" i="6"/>
  <c r="M325" i="6"/>
  <c r="L325" i="6"/>
  <c r="K325" i="6"/>
  <c r="AV325" i="6" s="1"/>
  <c r="J325" i="6"/>
  <c r="I325" i="6"/>
  <c r="H325" i="6"/>
  <c r="G325" i="6"/>
  <c r="F325" i="6"/>
  <c r="AU325" i="6" s="1"/>
  <c r="E325" i="6"/>
  <c r="AT325" i="6" s="1"/>
  <c r="AS323" i="6"/>
  <c r="AS322" i="6"/>
  <c r="AS321" i="6"/>
  <c r="AS320" i="6"/>
  <c r="AS319" i="6"/>
  <c r="AS318" i="6"/>
  <c r="AS317" i="6"/>
  <c r="AS316" i="6"/>
  <c r="AP321" i="6"/>
  <c r="BC321" i="6" s="1"/>
  <c r="AP320" i="6"/>
  <c r="BC320" i="6" s="1"/>
  <c r="AP319" i="6"/>
  <c r="BC319" i="6" s="1"/>
  <c r="AP318" i="6"/>
  <c r="BC318" i="6" s="1"/>
  <c r="AP317" i="6"/>
  <c r="BC317" i="6" s="1"/>
  <c r="AQ321" i="6"/>
  <c r="AQ320" i="6"/>
  <c r="BD320" i="6" s="1"/>
  <c r="AQ319" i="6"/>
  <c r="BD319" i="6" s="1"/>
  <c r="AQ318" i="6"/>
  <c r="BD318" i="6" s="1"/>
  <c r="AQ317" i="6"/>
  <c r="BD317" i="6" s="1"/>
  <c r="AH322" i="6"/>
  <c r="AG322" i="6"/>
  <c r="AF322" i="6"/>
  <c r="AE322" i="6"/>
  <c r="AZ322" i="6" s="1"/>
  <c r="AD322" i="6"/>
  <c r="AC322" i="6"/>
  <c r="AB322" i="6"/>
  <c r="AA322" i="6"/>
  <c r="Z322" i="6"/>
  <c r="Y322" i="6"/>
  <c r="X322" i="6"/>
  <c r="W322" i="6"/>
  <c r="V322" i="6"/>
  <c r="U322" i="6"/>
  <c r="IN686" i="58479" s="1"/>
  <c r="T322" i="6"/>
  <c r="S322" i="6"/>
  <c r="R322" i="6"/>
  <c r="Q322" i="6"/>
  <c r="AP91" i="58481" s="1"/>
  <c r="P322" i="6"/>
  <c r="O322" i="6"/>
  <c r="AN91" i="58481" s="1"/>
  <c r="N322" i="6"/>
  <c r="AM91" i="58481" s="1"/>
  <c r="M322" i="6"/>
  <c r="AL91" i="58481" s="1"/>
  <c r="L322" i="6"/>
  <c r="AK91" i="58481" s="1"/>
  <c r="K322" i="6"/>
  <c r="AV322" i="6" s="1"/>
  <c r="J322" i="6"/>
  <c r="AI91" i="58481" s="1"/>
  <c r="I322" i="6"/>
  <c r="AH91" i="58481" s="1"/>
  <c r="H322" i="6"/>
  <c r="AG91" i="58481" s="1"/>
  <c r="G322" i="6"/>
  <c r="AF91" i="58481" s="1"/>
  <c r="F322" i="6"/>
  <c r="AU322" i="6" s="1"/>
  <c r="E322" i="6"/>
  <c r="AT322" i="6" s="1"/>
  <c r="AN321" i="6"/>
  <c r="AM321" i="6"/>
  <c r="AL321" i="6"/>
  <c r="AK321" i="6"/>
  <c r="AI321" i="6"/>
  <c r="AH321" i="6"/>
  <c r="AG321" i="6"/>
  <c r="AF321" i="6"/>
  <c r="AE321" i="6"/>
  <c r="IP685" i="58479" s="1"/>
  <c r="AD321" i="6"/>
  <c r="AC321" i="6"/>
  <c r="AB321" i="6"/>
  <c r="AA321" i="6"/>
  <c r="Z321" i="6"/>
  <c r="IO685" i="58479" s="1"/>
  <c r="Y321" i="6"/>
  <c r="X321" i="6"/>
  <c r="W321" i="6"/>
  <c r="V321" i="6"/>
  <c r="U321" i="6"/>
  <c r="IN685" i="58479" s="1"/>
  <c r="T321" i="6"/>
  <c r="S321" i="6"/>
  <c r="R321" i="6"/>
  <c r="Q321" i="6"/>
  <c r="O321" i="6"/>
  <c r="N321" i="6"/>
  <c r="M321" i="6"/>
  <c r="L321" i="6"/>
  <c r="J321" i="6"/>
  <c r="I321" i="6"/>
  <c r="H321" i="6"/>
  <c r="G321" i="6"/>
  <c r="F321" i="6"/>
  <c r="IK685" i="58479" s="1"/>
  <c r="E321" i="6"/>
  <c r="IJ685" i="58479" s="1"/>
  <c r="AN320" i="6"/>
  <c r="AM320" i="6"/>
  <c r="AL320" i="6"/>
  <c r="AK320" i="6"/>
  <c r="AI320" i="6"/>
  <c r="AH320" i="6"/>
  <c r="AG320" i="6"/>
  <c r="AF320" i="6"/>
  <c r="AE320" i="6"/>
  <c r="IP684" i="58479" s="1"/>
  <c r="AD320" i="6"/>
  <c r="AC320" i="6"/>
  <c r="AB320" i="6"/>
  <c r="AA320" i="6"/>
  <c r="Z320" i="6"/>
  <c r="IO684" i="58479" s="1"/>
  <c r="Y320" i="6"/>
  <c r="X320" i="6"/>
  <c r="W320" i="6"/>
  <c r="V320" i="6"/>
  <c r="U320" i="6"/>
  <c r="T320" i="6"/>
  <c r="S320" i="6"/>
  <c r="R320" i="6"/>
  <c r="Q320" i="6"/>
  <c r="O320" i="6"/>
  <c r="N320" i="6"/>
  <c r="M320" i="6"/>
  <c r="L320" i="6"/>
  <c r="J320" i="6"/>
  <c r="I320" i="6"/>
  <c r="H320" i="6"/>
  <c r="G320" i="6"/>
  <c r="F320" i="6"/>
  <c r="IK684" i="58479" s="1"/>
  <c r="E320" i="6"/>
  <c r="IJ684" i="58479" s="1"/>
  <c r="AN319" i="6"/>
  <c r="AM319" i="6"/>
  <c r="AL319" i="6"/>
  <c r="AK319" i="6"/>
  <c r="AI319" i="6"/>
  <c r="AH319" i="6"/>
  <c r="AG319" i="6"/>
  <c r="AF319" i="6"/>
  <c r="AE319" i="6"/>
  <c r="IP683" i="58479" s="1"/>
  <c r="AD319" i="6"/>
  <c r="AC319" i="6"/>
  <c r="AB319" i="6"/>
  <c r="AA319" i="6"/>
  <c r="Z319" i="6"/>
  <c r="Y319" i="6"/>
  <c r="X319" i="6"/>
  <c r="W319" i="6"/>
  <c r="V319" i="6"/>
  <c r="U319" i="6"/>
  <c r="IN683" i="58479" s="1"/>
  <c r="T319" i="6"/>
  <c r="S319" i="6"/>
  <c r="R319" i="6"/>
  <c r="Q319" i="6"/>
  <c r="O319" i="6"/>
  <c r="N319" i="6"/>
  <c r="M319" i="6"/>
  <c r="L319" i="6"/>
  <c r="J319" i="6"/>
  <c r="I319" i="6"/>
  <c r="H319" i="6"/>
  <c r="G319" i="6"/>
  <c r="F319" i="6"/>
  <c r="E319" i="6"/>
  <c r="IJ683" i="58479" s="1"/>
  <c r="AN318" i="6"/>
  <c r="AM318" i="6"/>
  <c r="AL318" i="6"/>
  <c r="AK318" i="6"/>
  <c r="AI318" i="6"/>
  <c r="AH318" i="6"/>
  <c r="AG318" i="6"/>
  <c r="AF318" i="6"/>
  <c r="AD318" i="6"/>
  <c r="AC318" i="6"/>
  <c r="AB318" i="6"/>
  <c r="AA318" i="6"/>
  <c r="Y318" i="6"/>
  <c r="X318" i="6"/>
  <c r="W318" i="6"/>
  <c r="V318" i="6"/>
  <c r="T318" i="6"/>
  <c r="S318" i="6"/>
  <c r="R318" i="6"/>
  <c r="Q318" i="6"/>
  <c r="O318" i="6"/>
  <c r="N318" i="6"/>
  <c r="M318" i="6"/>
  <c r="L318" i="6"/>
  <c r="J318" i="6"/>
  <c r="I318" i="6"/>
  <c r="H318" i="6"/>
  <c r="G318" i="6"/>
  <c r="F318" i="6"/>
  <c r="IK682" i="58479" s="1"/>
  <c r="E318" i="6"/>
  <c r="IJ682" i="58479" s="1"/>
  <c r="AO317" i="6"/>
  <c r="BB317" i="6" s="1"/>
  <c r="AN317" i="6"/>
  <c r="AM317" i="6"/>
  <c r="AL317" i="6"/>
  <c r="AK317" i="6"/>
  <c r="AJ317" i="6"/>
  <c r="BA317" i="6" s="1"/>
  <c r="AI317" i="6"/>
  <c r="AH317" i="6"/>
  <c r="AG317" i="6"/>
  <c r="AF317" i="6"/>
  <c r="AE317" i="6"/>
  <c r="IP681" i="58479" s="1"/>
  <c r="AD317" i="6"/>
  <c r="AC317" i="6"/>
  <c r="AB317" i="6"/>
  <c r="AA317" i="6"/>
  <c r="Z317" i="6"/>
  <c r="IO681" i="58479" s="1"/>
  <c r="Y317" i="6"/>
  <c r="X317" i="6"/>
  <c r="W317" i="6"/>
  <c r="V317" i="6"/>
  <c r="U317" i="6"/>
  <c r="IN681" i="58479" s="1"/>
  <c r="T317" i="6"/>
  <c r="S317" i="6"/>
  <c r="R317" i="6"/>
  <c r="Q317" i="6"/>
  <c r="P317" i="6"/>
  <c r="O317" i="6"/>
  <c r="N317" i="6"/>
  <c r="M317" i="6"/>
  <c r="L317" i="6"/>
  <c r="K317" i="6"/>
  <c r="IL681" i="58479" s="1"/>
  <c r="J317" i="6"/>
  <c r="I317" i="6"/>
  <c r="H317" i="6"/>
  <c r="G317" i="6"/>
  <c r="F317" i="6"/>
  <c r="IK681" i="58479" s="1"/>
  <c r="E317" i="6"/>
  <c r="IJ681" i="58479" s="1"/>
  <c r="AY322" i="6"/>
  <c r="AX322" i="6"/>
  <c r="AW322" i="6"/>
  <c r="BD321" i="6"/>
  <c r="BD316" i="6"/>
  <c r="BC316" i="6"/>
  <c r="BB316" i="6"/>
  <c r="BA316" i="6"/>
  <c r="AZ316" i="6"/>
  <c r="AY316" i="6"/>
  <c r="AX316" i="6"/>
  <c r="AW316" i="6"/>
  <c r="AV316" i="6"/>
  <c r="AU316" i="6"/>
  <c r="AT316" i="6"/>
  <c r="F310" i="6"/>
  <c r="F309" i="6"/>
  <c r="E310" i="6"/>
  <c r="AT310" i="6" s="1"/>
  <c r="E309" i="6"/>
  <c r="AT309" i="6" s="1"/>
  <c r="AT314" i="6"/>
  <c r="AS314" i="6"/>
  <c r="AT313" i="6"/>
  <c r="AS313" i="6"/>
  <c r="AT312" i="6"/>
  <c r="AS312" i="6"/>
  <c r="AS311" i="6"/>
  <c r="AS310" i="6"/>
  <c r="AS309" i="6"/>
  <c r="AD310" i="6"/>
  <c r="AC310" i="6"/>
  <c r="AB310" i="6"/>
  <c r="AA310" i="6"/>
  <c r="Z310" i="6"/>
  <c r="AY310" i="6" s="1"/>
  <c r="Y310" i="6"/>
  <c r="X310" i="6"/>
  <c r="W310" i="6"/>
  <c r="V310" i="6"/>
  <c r="T310" i="6"/>
  <c r="S310" i="6"/>
  <c r="R310" i="6"/>
  <c r="Q310" i="6"/>
  <c r="O310" i="6"/>
  <c r="N310" i="6"/>
  <c r="M310" i="6"/>
  <c r="L310" i="6"/>
  <c r="AD309" i="6"/>
  <c r="AC309" i="6"/>
  <c r="AB309" i="6"/>
  <c r="AA309" i="6"/>
  <c r="Y309" i="6"/>
  <c r="X309" i="6"/>
  <c r="W309" i="6"/>
  <c r="V309" i="6"/>
  <c r="U309" i="6"/>
  <c r="AX309" i="6" s="1"/>
  <c r="T309" i="6"/>
  <c r="R309" i="6"/>
  <c r="Q309" i="6"/>
  <c r="P309" i="6"/>
  <c r="AW309" i="6" s="1"/>
  <c r="O309" i="6"/>
  <c r="N309" i="6"/>
  <c r="M309" i="6"/>
  <c r="L309" i="6"/>
  <c r="J310" i="6"/>
  <c r="I310" i="6"/>
  <c r="H310" i="6"/>
  <c r="G310" i="6"/>
  <c r="J309" i="6"/>
  <c r="I309" i="6"/>
  <c r="H309" i="6"/>
  <c r="G309" i="6"/>
  <c r="AS308" i="6"/>
  <c r="AE305" i="6"/>
  <c r="AE304" i="6"/>
  <c r="AE301" i="6"/>
  <c r="AD299" i="6"/>
  <c r="AC299" i="6"/>
  <c r="AB299" i="6"/>
  <c r="AA299" i="6"/>
  <c r="AD297" i="6"/>
  <c r="AC297" i="6"/>
  <c r="AB297" i="6"/>
  <c r="AA297" i="6"/>
  <c r="AD296" i="6"/>
  <c r="AD298" i="6" s="1"/>
  <c r="AD300" i="6" s="1"/>
  <c r="AD302" i="6" s="1"/>
  <c r="AD306" i="6" s="1"/>
  <c r="AC296" i="6"/>
  <c r="AC298" i="6" s="1"/>
  <c r="AC300" i="6" s="1"/>
  <c r="AC302" i="6" s="1"/>
  <c r="AC306" i="6" s="1"/>
  <c r="AB296" i="6"/>
  <c r="AB298" i="6" s="1"/>
  <c r="AB300" i="6" s="1"/>
  <c r="AB302" i="6" s="1"/>
  <c r="AB306" i="6" s="1"/>
  <c r="AA296" i="6"/>
  <c r="U293" i="6"/>
  <c r="U290" i="6"/>
  <c r="AD292" i="6"/>
  <c r="AC292" i="6"/>
  <c r="AB292" i="6"/>
  <c r="AA292" i="6"/>
  <c r="Y292" i="6"/>
  <c r="X292" i="6"/>
  <c r="W292" i="6"/>
  <c r="V292" i="6"/>
  <c r="T292" i="6"/>
  <c r="S292" i="6"/>
  <c r="R292" i="6"/>
  <c r="Q292" i="6"/>
  <c r="O292" i="6"/>
  <c r="N292" i="6"/>
  <c r="M292" i="6"/>
  <c r="L292" i="6"/>
  <c r="J292" i="6"/>
  <c r="I292" i="6"/>
  <c r="H292" i="6"/>
  <c r="G292" i="6"/>
  <c r="F292" i="6"/>
  <c r="E292" i="6"/>
  <c r="AE290" i="6"/>
  <c r="FP587" i="58502" s="1"/>
  <c r="FR587" i="58502" s="1"/>
  <c r="Z290" i="6"/>
  <c r="FL587" i="58502" s="1"/>
  <c r="FN587" i="58502" s="1"/>
  <c r="P290" i="6"/>
  <c r="BA288" i="6"/>
  <c r="AS287" i="6"/>
  <c r="AS286" i="6"/>
  <c r="AS285" i="6"/>
  <c r="AS283" i="6"/>
  <c r="AS282" i="6"/>
  <c r="AS281" i="6"/>
  <c r="AS280" i="6"/>
  <c r="AS279" i="6"/>
  <c r="AS278" i="6"/>
  <c r="AS277" i="6"/>
  <c r="AS276" i="6"/>
  <c r="AS275" i="6"/>
  <c r="AS274" i="6"/>
  <c r="AS273" i="6"/>
  <c r="AT280" i="6"/>
  <c r="AJ280" i="6"/>
  <c r="FS583" i="58502" s="1"/>
  <c r="AE280" i="6"/>
  <c r="Z280" i="6"/>
  <c r="U280" i="6"/>
  <c r="P280" i="6"/>
  <c r="IM693" i="58479" s="1"/>
  <c r="K280" i="6"/>
  <c r="IL693" i="58479" s="1"/>
  <c r="K278" i="6"/>
  <c r="IL691" i="58479" s="1"/>
  <c r="K276" i="6"/>
  <c r="AV276" i="6" s="1"/>
  <c r="K275" i="6"/>
  <c r="BA280" i="6"/>
  <c r="AY280" i="6"/>
  <c r="AW280" i="6"/>
  <c r="AU280" i="6"/>
  <c r="AV278" i="6"/>
  <c r="AV275" i="6"/>
  <c r="AO280" i="6"/>
  <c r="BB280" i="6" s="1"/>
  <c r="AM276" i="6"/>
  <c r="AM283" i="6" s="1"/>
  <c r="AL276" i="6"/>
  <c r="AL283" i="6" s="1"/>
  <c r="AK276" i="6"/>
  <c r="AK283" i="6" s="1"/>
  <c r="AH278" i="6"/>
  <c r="AG278" i="6"/>
  <c r="AF278" i="6"/>
  <c r="AF285" i="6" s="1"/>
  <c r="AI276" i="6"/>
  <c r="AI283" i="6" s="1"/>
  <c r="AH276" i="6"/>
  <c r="AG276" i="6"/>
  <c r="AF276" i="6"/>
  <c r="AF283" i="6" s="1"/>
  <c r="AH275" i="6"/>
  <c r="AG275" i="6"/>
  <c r="AF275" i="6"/>
  <c r="AD278" i="6"/>
  <c r="AC278" i="6"/>
  <c r="AB278" i="6"/>
  <c r="AA278" i="6"/>
  <c r="AD276" i="6"/>
  <c r="AC276" i="6"/>
  <c r="AB276" i="6"/>
  <c r="AA276" i="6"/>
  <c r="AD275" i="6"/>
  <c r="AC275" i="6"/>
  <c r="AC277" i="6" s="1"/>
  <c r="AB275" i="6"/>
  <c r="AB277" i="6" s="1"/>
  <c r="AA275" i="6"/>
  <c r="Y278" i="6"/>
  <c r="X278" i="6"/>
  <c r="W278" i="6"/>
  <c r="V278" i="6"/>
  <c r="Y276" i="6"/>
  <c r="X276" i="6"/>
  <c r="W276" i="6"/>
  <c r="V276" i="6"/>
  <c r="Y275" i="6"/>
  <c r="X275" i="6"/>
  <c r="W275" i="6"/>
  <c r="V275" i="6"/>
  <c r="T278" i="6"/>
  <c r="S278" i="6"/>
  <c r="R278" i="6"/>
  <c r="Q278" i="6"/>
  <c r="T276" i="6"/>
  <c r="S276" i="6"/>
  <c r="R276" i="6"/>
  <c r="Q276" i="6"/>
  <c r="T275" i="6"/>
  <c r="S275" i="6"/>
  <c r="R275" i="6"/>
  <c r="Q275" i="6"/>
  <c r="O278" i="6"/>
  <c r="N278" i="6"/>
  <c r="M278" i="6"/>
  <c r="L278" i="6"/>
  <c r="O276" i="6"/>
  <c r="O283" i="6" s="1"/>
  <c r="N276" i="6"/>
  <c r="M276" i="6"/>
  <c r="L276" i="6"/>
  <c r="O275" i="6"/>
  <c r="N275" i="6"/>
  <c r="N277" i="6" s="1"/>
  <c r="M275" i="6"/>
  <c r="M277" i="6" s="1"/>
  <c r="L275" i="6"/>
  <c r="J278" i="6"/>
  <c r="I278" i="6"/>
  <c r="H278" i="6"/>
  <c r="G278" i="6"/>
  <c r="F278" i="6"/>
  <c r="E278" i="6"/>
  <c r="J276" i="6"/>
  <c r="I276" i="6"/>
  <c r="H276" i="6"/>
  <c r="G276" i="6"/>
  <c r="F276" i="6"/>
  <c r="E276" i="6"/>
  <c r="J275" i="6"/>
  <c r="J277" i="6" s="1"/>
  <c r="J279" i="6" s="1"/>
  <c r="J281" i="6" s="1"/>
  <c r="I275" i="6"/>
  <c r="H275" i="6"/>
  <c r="G275" i="6"/>
  <c r="F275" i="6"/>
  <c r="E275" i="6"/>
  <c r="AQ273" i="6"/>
  <c r="BD273" i="6" s="1"/>
  <c r="AP273" i="6"/>
  <c r="BC273" i="6" s="1"/>
  <c r="AO273" i="6"/>
  <c r="BB273" i="6" s="1"/>
  <c r="AN273" i="6"/>
  <c r="AM273" i="6"/>
  <c r="AL273" i="6"/>
  <c r="AK273" i="6"/>
  <c r="AJ273" i="6"/>
  <c r="BA273" i="6" s="1"/>
  <c r="AI273" i="6"/>
  <c r="AH273" i="6"/>
  <c r="AG273" i="6"/>
  <c r="AF273" i="6"/>
  <c r="AE273" i="6"/>
  <c r="AZ273" i="6" s="1"/>
  <c r="AD273" i="6"/>
  <c r="AC273" i="6"/>
  <c r="AB273" i="6"/>
  <c r="AA273" i="6"/>
  <c r="Z273" i="6"/>
  <c r="AY273" i="6" s="1"/>
  <c r="Y273" i="6"/>
  <c r="X273" i="6"/>
  <c r="W273" i="6"/>
  <c r="V273" i="6"/>
  <c r="U273" i="6"/>
  <c r="AX273" i="6" s="1"/>
  <c r="T273" i="6"/>
  <c r="S273" i="6"/>
  <c r="R273" i="6"/>
  <c r="Q273" i="6"/>
  <c r="P273" i="6"/>
  <c r="AW273" i="6" s="1"/>
  <c r="O273" i="6"/>
  <c r="N273" i="6"/>
  <c r="M273" i="6"/>
  <c r="L273" i="6"/>
  <c r="K273" i="6"/>
  <c r="AV273" i="6" s="1"/>
  <c r="J273" i="6"/>
  <c r="I273" i="6"/>
  <c r="H273" i="6"/>
  <c r="G273" i="6"/>
  <c r="F273" i="6"/>
  <c r="AU273" i="6" s="1"/>
  <c r="E273" i="6"/>
  <c r="AT273" i="6" s="1"/>
  <c r="BD268" i="6"/>
  <c r="BC268" i="6"/>
  <c r="BB268" i="6"/>
  <c r="BA268" i="6"/>
  <c r="AZ268" i="6"/>
  <c r="AY268" i="6"/>
  <c r="AW268" i="6"/>
  <c r="AV268" i="6"/>
  <c r="AU268" i="6"/>
  <c r="AT268" i="6"/>
  <c r="AS268" i="6"/>
  <c r="U268" i="6"/>
  <c r="AX268" i="6" s="1"/>
  <c r="U264" i="6"/>
  <c r="IF662" i="58479" s="1"/>
  <c r="F267" i="6"/>
  <c r="F266" i="6"/>
  <c r="AU266" i="6" s="1"/>
  <c r="F265" i="6"/>
  <c r="AU265" i="6" s="1"/>
  <c r="AS266" i="6"/>
  <c r="J266" i="6"/>
  <c r="I266" i="6"/>
  <c r="H266" i="6"/>
  <c r="G266" i="6"/>
  <c r="E266" i="6"/>
  <c r="AT266" i="6" s="1"/>
  <c r="AS265" i="6"/>
  <c r="AS264" i="6"/>
  <c r="AD266" i="6"/>
  <c r="AC266" i="6"/>
  <c r="AB266" i="6"/>
  <c r="AA266" i="6"/>
  <c r="Y266" i="6"/>
  <c r="X266" i="6"/>
  <c r="W266" i="6"/>
  <c r="V266" i="6"/>
  <c r="AD265" i="6"/>
  <c r="AC265" i="6"/>
  <c r="AB265" i="6"/>
  <c r="AA265" i="6"/>
  <c r="Y265" i="6"/>
  <c r="X265" i="6"/>
  <c r="W265" i="6"/>
  <c r="V265" i="6"/>
  <c r="T266" i="6"/>
  <c r="S266" i="6"/>
  <c r="R266" i="6"/>
  <c r="Q266" i="6"/>
  <c r="O266" i="6"/>
  <c r="N266" i="6"/>
  <c r="M266" i="6"/>
  <c r="L266" i="6"/>
  <c r="T265" i="6"/>
  <c r="S265" i="6"/>
  <c r="R265" i="6"/>
  <c r="Q265" i="6"/>
  <c r="O265" i="6"/>
  <c r="N265" i="6"/>
  <c r="M265" i="6"/>
  <c r="L265" i="6"/>
  <c r="AU264" i="6"/>
  <c r="AT264" i="6"/>
  <c r="AE264" i="6"/>
  <c r="IH662" i="58479" s="1"/>
  <c r="Z264" i="6"/>
  <c r="IG662" i="58479" s="1"/>
  <c r="P264" i="6"/>
  <c r="K264" i="6"/>
  <c r="ID662" i="58479" s="1"/>
  <c r="AN263" i="6"/>
  <c r="AM263" i="6"/>
  <c r="AL263" i="6"/>
  <c r="AK263" i="6"/>
  <c r="AJ263" i="6"/>
  <c r="AS260" i="6"/>
  <c r="AS259" i="6"/>
  <c r="AS257" i="6"/>
  <c r="AS256" i="6"/>
  <c r="F256" i="6"/>
  <c r="AU256" i="6"/>
  <c r="AH256" i="6"/>
  <c r="AG256" i="6"/>
  <c r="AF256" i="6"/>
  <c r="AD256" i="6"/>
  <c r="AC256" i="6"/>
  <c r="AB256" i="6"/>
  <c r="AA256" i="6"/>
  <c r="Y256" i="6"/>
  <c r="X256" i="6"/>
  <c r="IH567" i="58481" s="1"/>
  <c r="W256" i="6"/>
  <c r="V256" i="6"/>
  <c r="T256" i="6"/>
  <c r="S256" i="6"/>
  <c r="R256" i="6"/>
  <c r="Q256" i="6"/>
  <c r="O256" i="6"/>
  <c r="N256" i="6"/>
  <c r="M256" i="6"/>
  <c r="L256" i="6"/>
  <c r="J256" i="6"/>
  <c r="I256" i="6"/>
  <c r="H256" i="6"/>
  <c r="G256" i="6"/>
  <c r="E256" i="6"/>
  <c r="AT256" i="6" s="1"/>
  <c r="F249" i="6"/>
  <c r="AH249" i="6"/>
  <c r="AG249" i="6"/>
  <c r="AF249" i="6"/>
  <c r="AF261" i="6" s="1"/>
  <c r="AD249" i="6"/>
  <c r="AD248" i="6" s="1"/>
  <c r="AC249" i="6"/>
  <c r="AC248" i="6" s="1"/>
  <c r="AB249" i="6"/>
  <c r="AA249" i="6"/>
  <c r="Y249" i="6"/>
  <c r="X249" i="6"/>
  <c r="X248" i="6" s="1"/>
  <c r="W249" i="6"/>
  <c r="IG566" i="58481" s="1"/>
  <c r="V249" i="6"/>
  <c r="IF566" i="58481" s="1"/>
  <c r="T249" i="6"/>
  <c r="S249" i="6"/>
  <c r="S261" i="6" s="1"/>
  <c r="R249" i="6"/>
  <c r="Q249" i="6"/>
  <c r="Q248" i="6" s="1"/>
  <c r="O249" i="6"/>
  <c r="O261" i="6" s="1"/>
  <c r="N249" i="6"/>
  <c r="N261" i="6" s="1"/>
  <c r="M249" i="6"/>
  <c r="M248" i="6" s="1"/>
  <c r="L249" i="6"/>
  <c r="J249" i="6"/>
  <c r="J261" i="6" s="1"/>
  <c r="I249" i="6"/>
  <c r="H249" i="6"/>
  <c r="G249" i="6"/>
  <c r="G261" i="6" s="1"/>
  <c r="E249" i="6"/>
  <c r="E248" i="6" s="1"/>
  <c r="AT248" i="6" s="1"/>
  <c r="BD251" i="6"/>
  <c r="BC251" i="6"/>
  <c r="BB251" i="6"/>
  <c r="BA251" i="6"/>
  <c r="AZ251" i="6"/>
  <c r="AY251" i="6"/>
  <c r="AX251" i="6"/>
  <c r="AW251" i="6"/>
  <c r="AV251" i="6"/>
  <c r="AU251" i="6"/>
  <c r="AT251" i="6"/>
  <c r="AS251" i="6"/>
  <c r="AT250" i="6"/>
  <c r="AS250" i="6"/>
  <c r="AU249" i="6"/>
  <c r="AS249" i="6"/>
  <c r="AS248" i="6"/>
  <c r="AN248" i="6"/>
  <c r="AH248" i="6"/>
  <c r="AM248" i="6" s="1"/>
  <c r="AG248" i="6"/>
  <c r="AL248" i="6" s="1"/>
  <c r="AF248" i="6"/>
  <c r="AK248" i="6" s="1"/>
  <c r="AB248" i="6"/>
  <c r="AA248" i="6"/>
  <c r="W248" i="6"/>
  <c r="T248" i="6"/>
  <c r="R248" i="6"/>
  <c r="O248" i="6"/>
  <c r="L248" i="6"/>
  <c r="J248" i="6"/>
  <c r="I248" i="6"/>
  <c r="H248" i="6"/>
  <c r="G248" i="6"/>
  <c r="AH245" i="6"/>
  <c r="AG245" i="6"/>
  <c r="AF245" i="6"/>
  <c r="AD245" i="6"/>
  <c r="AC245" i="6"/>
  <c r="AB245" i="6"/>
  <c r="AA245" i="6"/>
  <c r="Y245" i="6"/>
  <c r="X245" i="6"/>
  <c r="W245" i="6"/>
  <c r="V245" i="6"/>
  <c r="T245" i="6"/>
  <c r="S245" i="6"/>
  <c r="R245" i="6"/>
  <c r="Q245" i="6"/>
  <c r="O245" i="6"/>
  <c r="N245" i="6"/>
  <c r="M245" i="6"/>
  <c r="L245" i="6"/>
  <c r="F245" i="6"/>
  <c r="BD246" i="6"/>
  <c r="BC246" i="6"/>
  <c r="BB246" i="6"/>
  <c r="BA246" i="6"/>
  <c r="AZ246" i="6"/>
  <c r="AY246" i="6"/>
  <c r="AX246" i="6"/>
  <c r="AW246" i="6"/>
  <c r="AV246" i="6"/>
  <c r="AU246" i="6"/>
  <c r="AT246" i="6"/>
  <c r="AS246" i="6"/>
  <c r="AU245" i="6"/>
  <c r="AT245" i="6"/>
  <c r="AS245" i="6"/>
  <c r="AU244" i="6"/>
  <c r="AT244" i="6"/>
  <c r="AS244" i="6"/>
  <c r="AE244" i="6"/>
  <c r="AE266" i="6" s="1"/>
  <c r="Z244" i="6"/>
  <c r="U244" i="6"/>
  <c r="U266" i="6" s="1"/>
  <c r="P244" i="6"/>
  <c r="U245" i="6" s="1"/>
  <c r="AX245" i="6" s="1"/>
  <c r="K244" i="6"/>
  <c r="AV244" i="6" s="1"/>
  <c r="AU242" i="6"/>
  <c r="AT242" i="6"/>
  <c r="AS242" i="6"/>
  <c r="AV241" i="6"/>
  <c r="AU241" i="6"/>
  <c r="AT241" i="6"/>
  <c r="AS241" i="6"/>
  <c r="AU240" i="6"/>
  <c r="AT240" i="6"/>
  <c r="AS240" i="6"/>
  <c r="AV238" i="6"/>
  <c r="AU238" i="6"/>
  <c r="AT238" i="6"/>
  <c r="AS238" i="6"/>
  <c r="AU237" i="6"/>
  <c r="AT237" i="6"/>
  <c r="AS237" i="6"/>
  <c r="BD235" i="6"/>
  <c r="BC235" i="6"/>
  <c r="BB235" i="6"/>
  <c r="BA235" i="6"/>
  <c r="AZ235" i="6"/>
  <c r="AY235" i="6"/>
  <c r="AX235" i="6"/>
  <c r="AW235" i="6"/>
  <c r="AV235" i="6"/>
  <c r="AU235" i="6"/>
  <c r="AT235" i="6"/>
  <c r="AS235" i="6"/>
  <c r="BD234" i="6"/>
  <c r="BC234" i="6"/>
  <c r="BB234" i="6"/>
  <c r="BA234" i="6"/>
  <c r="AZ234" i="6"/>
  <c r="AY234" i="6"/>
  <c r="AX234" i="6"/>
  <c r="AW234" i="6"/>
  <c r="AV234" i="6"/>
  <c r="AU234" i="6"/>
  <c r="AT234" i="6"/>
  <c r="AS234" i="6"/>
  <c r="BD233" i="6"/>
  <c r="BC233" i="6"/>
  <c r="BB233" i="6"/>
  <c r="BA233" i="6"/>
  <c r="AZ233" i="6"/>
  <c r="AY233" i="6"/>
  <c r="AX233" i="6"/>
  <c r="AW233" i="6"/>
  <c r="AV233" i="6"/>
  <c r="AU233" i="6"/>
  <c r="AT233" i="6"/>
  <c r="AS233" i="6"/>
  <c r="BD232" i="6"/>
  <c r="BC232" i="6"/>
  <c r="BB232" i="6"/>
  <c r="BA232" i="6"/>
  <c r="AZ232" i="6"/>
  <c r="AY232" i="6"/>
  <c r="AX232" i="6"/>
  <c r="AW232" i="6"/>
  <c r="AV232" i="6"/>
  <c r="AU232" i="6"/>
  <c r="AT232" i="6"/>
  <c r="AS232" i="6"/>
  <c r="BD231" i="6"/>
  <c r="BC231" i="6"/>
  <c r="BB231" i="6"/>
  <c r="BA231" i="6"/>
  <c r="AZ231" i="6"/>
  <c r="AY231" i="6"/>
  <c r="AX231" i="6"/>
  <c r="AW231" i="6"/>
  <c r="AV231" i="6"/>
  <c r="AU231" i="6"/>
  <c r="AT231" i="6"/>
  <c r="AS231" i="6"/>
  <c r="BD230" i="6"/>
  <c r="BC230" i="6"/>
  <c r="BB230" i="6"/>
  <c r="BA230" i="6"/>
  <c r="AZ230" i="6"/>
  <c r="AY230" i="6"/>
  <c r="AX230" i="6"/>
  <c r="AW230" i="6"/>
  <c r="AV230" i="6"/>
  <c r="AU230" i="6"/>
  <c r="AT230" i="6"/>
  <c r="AS230" i="6"/>
  <c r="BD229" i="6"/>
  <c r="BC229" i="6"/>
  <c r="BB229" i="6"/>
  <c r="BA229" i="6"/>
  <c r="AZ229" i="6"/>
  <c r="AY229" i="6"/>
  <c r="AX229" i="6"/>
  <c r="AW229" i="6"/>
  <c r="AV229" i="6"/>
  <c r="AU229" i="6"/>
  <c r="AT229" i="6"/>
  <c r="AS229" i="6"/>
  <c r="BD228" i="6"/>
  <c r="BC228" i="6"/>
  <c r="BB228" i="6"/>
  <c r="BA228" i="6"/>
  <c r="AZ228" i="6"/>
  <c r="AY228" i="6"/>
  <c r="AX228" i="6"/>
  <c r="AW228" i="6"/>
  <c r="AV228" i="6"/>
  <c r="AU228" i="6"/>
  <c r="AT228" i="6"/>
  <c r="AS228" i="6"/>
  <c r="BD227" i="6"/>
  <c r="BC227" i="6"/>
  <c r="BB227" i="6"/>
  <c r="BA227" i="6"/>
  <c r="AZ227" i="6"/>
  <c r="AY227" i="6"/>
  <c r="AX227" i="6"/>
  <c r="AW227" i="6"/>
  <c r="AV227" i="6"/>
  <c r="AU227" i="6"/>
  <c r="AT227" i="6"/>
  <c r="AS227" i="6"/>
  <c r="BD224" i="6"/>
  <c r="BC224" i="6"/>
  <c r="BB224" i="6"/>
  <c r="BA224" i="6"/>
  <c r="AZ224" i="6"/>
  <c r="AY224" i="6"/>
  <c r="AX224" i="6"/>
  <c r="AW224" i="6"/>
  <c r="AV224" i="6"/>
  <c r="AU224" i="6"/>
  <c r="AT224" i="6"/>
  <c r="AS224" i="6"/>
  <c r="BD223" i="6"/>
  <c r="BC223" i="6"/>
  <c r="BB223" i="6"/>
  <c r="BA223" i="6"/>
  <c r="AZ223" i="6"/>
  <c r="AY223" i="6"/>
  <c r="AW223" i="6"/>
  <c r="AV223" i="6"/>
  <c r="AU223" i="6"/>
  <c r="AT223" i="6"/>
  <c r="AS223" i="6"/>
  <c r="U223" i="6"/>
  <c r="BD221" i="6"/>
  <c r="BC221" i="6"/>
  <c r="BB221" i="6"/>
  <c r="BA221" i="6"/>
  <c r="AZ221" i="6"/>
  <c r="AY221" i="6"/>
  <c r="AX221" i="6"/>
  <c r="AW221" i="6"/>
  <c r="AV221" i="6"/>
  <c r="AU221" i="6"/>
  <c r="AT221" i="6"/>
  <c r="AS221" i="6"/>
  <c r="BD220" i="6"/>
  <c r="BC220" i="6"/>
  <c r="BB220" i="6"/>
  <c r="BA220" i="6"/>
  <c r="AZ220" i="6"/>
  <c r="AY220" i="6"/>
  <c r="AX220" i="6"/>
  <c r="AW220" i="6"/>
  <c r="AV220" i="6"/>
  <c r="AU220" i="6"/>
  <c r="AT220" i="6"/>
  <c r="AS220" i="6"/>
  <c r="BD219" i="6"/>
  <c r="BC219" i="6"/>
  <c r="BB219" i="6"/>
  <c r="BA219" i="6"/>
  <c r="AZ219" i="6"/>
  <c r="AY219" i="6"/>
  <c r="AX219" i="6"/>
  <c r="AW219" i="6"/>
  <c r="AV219" i="6"/>
  <c r="AU219" i="6"/>
  <c r="AT219" i="6"/>
  <c r="AS219" i="6"/>
  <c r="BD218" i="6"/>
  <c r="BC218" i="6"/>
  <c r="BB218" i="6"/>
  <c r="BA218" i="6"/>
  <c r="AZ218" i="6"/>
  <c r="AY218" i="6"/>
  <c r="AX218" i="6"/>
  <c r="AW218" i="6"/>
  <c r="AV218" i="6"/>
  <c r="AU218" i="6"/>
  <c r="AT218" i="6"/>
  <c r="AS218" i="6"/>
  <c r="BD217" i="6"/>
  <c r="BC217" i="6"/>
  <c r="BB217" i="6"/>
  <c r="BA217" i="6"/>
  <c r="AZ217" i="6"/>
  <c r="AY217" i="6"/>
  <c r="AX217" i="6"/>
  <c r="AW217" i="6"/>
  <c r="AV217" i="6"/>
  <c r="AU217" i="6"/>
  <c r="AT217" i="6"/>
  <c r="AS217" i="6"/>
  <c r="BD216" i="6"/>
  <c r="BC216" i="6"/>
  <c r="BB216" i="6"/>
  <c r="BA216" i="6"/>
  <c r="AZ216" i="6"/>
  <c r="AY216" i="6"/>
  <c r="AX216" i="6"/>
  <c r="AW216" i="6"/>
  <c r="AV216" i="6"/>
  <c r="AU216" i="6"/>
  <c r="AT216" i="6"/>
  <c r="AS216" i="6"/>
  <c r="BD215" i="6"/>
  <c r="BC215" i="6"/>
  <c r="BB215" i="6"/>
  <c r="BA215" i="6"/>
  <c r="AZ215" i="6"/>
  <c r="AY215" i="6"/>
  <c r="AX215" i="6"/>
  <c r="AW215" i="6"/>
  <c r="AV215" i="6"/>
  <c r="AU215" i="6"/>
  <c r="AT215" i="6"/>
  <c r="AS215" i="6"/>
  <c r="BD214" i="6"/>
  <c r="BC214" i="6"/>
  <c r="BB214" i="6"/>
  <c r="BA214" i="6"/>
  <c r="AZ214" i="6"/>
  <c r="AY214" i="6"/>
  <c r="AX214" i="6"/>
  <c r="AW214" i="6"/>
  <c r="AV214" i="6"/>
  <c r="AU214" i="6"/>
  <c r="AT214" i="6"/>
  <c r="AS214" i="6"/>
  <c r="BD211" i="6"/>
  <c r="BC211" i="6"/>
  <c r="BB211" i="6"/>
  <c r="BA211" i="6"/>
  <c r="AZ211" i="6"/>
  <c r="AY211" i="6"/>
  <c r="AX211" i="6"/>
  <c r="AW211" i="6"/>
  <c r="AV211" i="6"/>
  <c r="AU211" i="6"/>
  <c r="AT211" i="6"/>
  <c r="AS211" i="6"/>
  <c r="AV210" i="6"/>
  <c r="AU210" i="6"/>
  <c r="AT210" i="6"/>
  <c r="AS210" i="6"/>
  <c r="AV209" i="6"/>
  <c r="AU209" i="6"/>
  <c r="AT209" i="6"/>
  <c r="AS209" i="6"/>
  <c r="AT208" i="6"/>
  <c r="AS208" i="6"/>
  <c r="AH210" i="6"/>
  <c r="AG210" i="6"/>
  <c r="AF210" i="6"/>
  <c r="AE210" i="6"/>
  <c r="AZ210" i="6" s="1"/>
  <c r="AD210" i="6"/>
  <c r="AC210" i="6"/>
  <c r="AB210" i="6"/>
  <c r="AA210" i="6"/>
  <c r="Z210" i="6"/>
  <c r="AY210" i="6" s="1"/>
  <c r="Y210" i="6"/>
  <c r="X210" i="6"/>
  <c r="W210" i="6"/>
  <c r="V210" i="6"/>
  <c r="U210" i="6"/>
  <c r="AX210" i="6" s="1"/>
  <c r="T210" i="6"/>
  <c r="S210" i="6"/>
  <c r="R210" i="6"/>
  <c r="Q210" i="6"/>
  <c r="O210" i="6"/>
  <c r="N210" i="6"/>
  <c r="M210" i="6"/>
  <c r="L210" i="6"/>
  <c r="AH209" i="6"/>
  <c r="AG209" i="6"/>
  <c r="AF209" i="6"/>
  <c r="AE209" i="6"/>
  <c r="AZ209" i="6" s="1"/>
  <c r="AD209" i="6"/>
  <c r="AC209" i="6"/>
  <c r="AB209" i="6"/>
  <c r="AA209" i="6"/>
  <c r="Z209" i="6"/>
  <c r="AY209" i="6" s="1"/>
  <c r="Y209" i="6"/>
  <c r="X209" i="6"/>
  <c r="W209" i="6"/>
  <c r="V209" i="6"/>
  <c r="U209" i="6"/>
  <c r="AX209" i="6" s="1"/>
  <c r="T209" i="6"/>
  <c r="S209" i="6"/>
  <c r="R209" i="6"/>
  <c r="Q209" i="6"/>
  <c r="O209" i="6"/>
  <c r="N209" i="6"/>
  <c r="M209" i="6"/>
  <c r="L209" i="6"/>
  <c r="AH208" i="6"/>
  <c r="AG208" i="6"/>
  <c r="AF208" i="6"/>
  <c r="AD208" i="6"/>
  <c r="AC208" i="6"/>
  <c r="AB208" i="6"/>
  <c r="AA208" i="6"/>
  <c r="Z208" i="6"/>
  <c r="Y208" i="6"/>
  <c r="X208" i="6"/>
  <c r="W208" i="6"/>
  <c r="V208" i="6"/>
  <c r="U208" i="6"/>
  <c r="T208" i="6"/>
  <c r="S208" i="6"/>
  <c r="R208" i="6"/>
  <c r="Q208" i="6"/>
  <c r="O208" i="6"/>
  <c r="N208" i="6"/>
  <c r="M208" i="6"/>
  <c r="L208" i="6"/>
  <c r="K208" i="6"/>
  <c r="J208" i="6"/>
  <c r="I208" i="6"/>
  <c r="H208" i="6"/>
  <c r="G208" i="6"/>
  <c r="F208" i="6"/>
  <c r="AS207" i="6"/>
  <c r="E202" i="6"/>
  <c r="AS205" i="6"/>
  <c r="AT204" i="6"/>
  <c r="AS204" i="6"/>
  <c r="AS203" i="6"/>
  <c r="AS202" i="6"/>
  <c r="AD202" i="6"/>
  <c r="AC202" i="6"/>
  <c r="AB202" i="6"/>
  <c r="AA202" i="6"/>
  <c r="Y202" i="6"/>
  <c r="X202" i="6"/>
  <c r="W202" i="6"/>
  <c r="Q202" i="6"/>
  <c r="O202" i="6"/>
  <c r="N202" i="6"/>
  <c r="M202" i="6"/>
  <c r="L202" i="6"/>
  <c r="J202" i="6"/>
  <c r="I202" i="6"/>
  <c r="H202" i="6"/>
  <c r="G202" i="6"/>
  <c r="F202" i="6"/>
  <c r="P199" i="6"/>
  <c r="P198" i="6"/>
  <c r="P197" i="6"/>
  <c r="P196" i="6"/>
  <c r="P195" i="6"/>
  <c r="P194" i="6"/>
  <c r="P193" i="6"/>
  <c r="P192" i="6"/>
  <c r="AT189" i="6"/>
  <c r="AS189" i="6"/>
  <c r="AT188" i="6"/>
  <c r="AS188" i="6"/>
  <c r="AS187" i="6"/>
  <c r="AD187" i="6"/>
  <c r="AC187" i="6"/>
  <c r="AB187" i="6"/>
  <c r="X187" i="6"/>
  <c r="W187" i="6"/>
  <c r="V187" i="6"/>
  <c r="U187" i="6"/>
  <c r="T187" i="6"/>
  <c r="S187" i="6"/>
  <c r="R187" i="6"/>
  <c r="Q187" i="6"/>
  <c r="O187" i="6"/>
  <c r="N187" i="6"/>
  <c r="M187" i="6"/>
  <c r="L187" i="6"/>
  <c r="K187" i="6"/>
  <c r="J187" i="6"/>
  <c r="I187" i="6"/>
  <c r="H187" i="6"/>
  <c r="G187" i="6"/>
  <c r="F187" i="6"/>
  <c r="E187" i="6"/>
  <c r="AS182" i="6"/>
  <c r="AQ182" i="6"/>
  <c r="BD182" i="6" s="1"/>
  <c r="AP182" i="6"/>
  <c r="BC182" i="6" s="1"/>
  <c r="AO182" i="6"/>
  <c r="BB182" i="6" s="1"/>
  <c r="AN182" i="6"/>
  <c r="AM182" i="6"/>
  <c r="AL182" i="6"/>
  <c r="AK182" i="6"/>
  <c r="AJ182" i="6"/>
  <c r="BA182" i="6" s="1"/>
  <c r="AI182" i="6"/>
  <c r="AH182" i="6"/>
  <c r="AG182" i="6"/>
  <c r="AF182" i="6"/>
  <c r="AE182" i="6"/>
  <c r="AZ182" i="6" s="1"/>
  <c r="AD182" i="6"/>
  <c r="AC182" i="6"/>
  <c r="AB182" i="6"/>
  <c r="AA182" i="6"/>
  <c r="Z182" i="6"/>
  <c r="AY182" i="6" s="1"/>
  <c r="Y182" i="6"/>
  <c r="X182" i="6"/>
  <c r="W182" i="6"/>
  <c r="V182" i="6"/>
  <c r="U182" i="6"/>
  <c r="AX182" i="6" s="1"/>
  <c r="T182" i="6"/>
  <c r="S182" i="6"/>
  <c r="R182" i="6"/>
  <c r="Q182" i="6"/>
  <c r="P182" i="6"/>
  <c r="AW182" i="6" s="1"/>
  <c r="O182" i="6"/>
  <c r="N182" i="6"/>
  <c r="M182" i="6"/>
  <c r="L182" i="6"/>
  <c r="K182" i="6"/>
  <c r="AV182" i="6" s="1"/>
  <c r="J182" i="6"/>
  <c r="I182" i="6"/>
  <c r="H182" i="6"/>
  <c r="G182" i="6"/>
  <c r="F182" i="6"/>
  <c r="AU182" i="6" s="1"/>
  <c r="E182" i="6"/>
  <c r="AT182" i="6" s="1"/>
  <c r="AS179" i="6"/>
  <c r="AS178" i="6"/>
  <c r="AS177" i="6"/>
  <c r="AT178" i="6"/>
  <c r="AT175" i="6"/>
  <c r="AS175" i="6"/>
  <c r="AS174" i="6"/>
  <c r="AQ170" i="6"/>
  <c r="AP170" i="6"/>
  <c r="AN170" i="6"/>
  <c r="AM170" i="6"/>
  <c r="AL170" i="6"/>
  <c r="AK170" i="6"/>
  <c r="AI170" i="6"/>
  <c r="AH170" i="6"/>
  <c r="AG170" i="6"/>
  <c r="AF170" i="6"/>
  <c r="AD170" i="6"/>
  <c r="AC170" i="6"/>
  <c r="AB170" i="6"/>
  <c r="AA170" i="6"/>
  <c r="W170" i="6"/>
  <c r="V170" i="6"/>
  <c r="T170" i="6"/>
  <c r="R170" i="6"/>
  <c r="Q170" i="6"/>
  <c r="P170" i="6"/>
  <c r="Z169" i="6"/>
  <c r="AY169" i="6" s="1"/>
  <c r="Z168" i="6"/>
  <c r="AY168" i="6" s="1"/>
  <c r="U169" i="6"/>
  <c r="AX169" i="6" s="1"/>
  <c r="U168" i="6"/>
  <c r="P169" i="6"/>
  <c r="AW169" i="6" s="1"/>
  <c r="P168" i="6"/>
  <c r="P166" i="6"/>
  <c r="AW166" i="6" s="1"/>
  <c r="AD168" i="6"/>
  <c r="AD165" i="6"/>
  <c r="AT172" i="6"/>
  <c r="AS172" i="6"/>
  <c r="AS171" i="6"/>
  <c r="BD170" i="6"/>
  <c r="BC170" i="6"/>
  <c r="AW170" i="6"/>
  <c r="AV170" i="6"/>
  <c r="AU170" i="6"/>
  <c r="AT170" i="6"/>
  <c r="AS170" i="6"/>
  <c r="AV169" i="6"/>
  <c r="AU169" i="6"/>
  <c r="AT169" i="6"/>
  <c r="AS169" i="6"/>
  <c r="AX168" i="6"/>
  <c r="AW168" i="6"/>
  <c r="AV168" i="6"/>
  <c r="AU168" i="6"/>
  <c r="AT168" i="6"/>
  <c r="AS168" i="6"/>
  <c r="AS167" i="6"/>
  <c r="AS166" i="6"/>
  <c r="AS165" i="6"/>
  <c r="AG169" i="6"/>
  <c r="AF169" i="6"/>
  <c r="AE169" i="6"/>
  <c r="AZ169" i="6" s="1"/>
  <c r="AQ168" i="6"/>
  <c r="BD168" i="6" s="1"/>
  <c r="AP168" i="6"/>
  <c r="BC168" i="6" s="1"/>
  <c r="AN168" i="6"/>
  <c r="AM168" i="6"/>
  <c r="AL168" i="6"/>
  <c r="AK168" i="6"/>
  <c r="AI168" i="6"/>
  <c r="AG168" i="6"/>
  <c r="AF168" i="6"/>
  <c r="AE168" i="6"/>
  <c r="AZ168" i="6" s="1"/>
  <c r="AF167" i="6"/>
  <c r="AG166" i="6"/>
  <c r="AF166" i="6"/>
  <c r="AQ165" i="6"/>
  <c r="BD165" i="6" s="1"/>
  <c r="AP165" i="6"/>
  <c r="BC165" i="6" s="1"/>
  <c r="AO165" i="6"/>
  <c r="AN165" i="6"/>
  <c r="AM165" i="6"/>
  <c r="AL165" i="6"/>
  <c r="AK165" i="6"/>
  <c r="AJ165" i="6"/>
  <c r="AI165" i="6"/>
  <c r="AH165" i="6"/>
  <c r="AG165" i="6"/>
  <c r="AF165" i="6"/>
  <c r="AB167" i="6"/>
  <c r="AA167" i="6"/>
  <c r="AB166" i="6"/>
  <c r="AA166" i="6"/>
  <c r="AC165" i="6"/>
  <c r="AB165" i="6"/>
  <c r="AA165" i="6"/>
  <c r="W167" i="6"/>
  <c r="V167" i="6"/>
  <c r="W166" i="6"/>
  <c r="V166" i="6"/>
  <c r="Y165" i="6"/>
  <c r="X165" i="6"/>
  <c r="W165" i="6"/>
  <c r="V165" i="6"/>
  <c r="R167" i="6"/>
  <c r="Q167" i="6"/>
  <c r="R166" i="6"/>
  <c r="Q166" i="6"/>
  <c r="Q165" i="6"/>
  <c r="N167" i="6"/>
  <c r="M167" i="6"/>
  <c r="L167" i="6"/>
  <c r="J167" i="6"/>
  <c r="I167" i="6"/>
  <c r="H167" i="6"/>
  <c r="G167" i="6"/>
  <c r="F167" i="6"/>
  <c r="AU167" i="6" s="1"/>
  <c r="E167" i="6"/>
  <c r="AT167" i="6" s="1"/>
  <c r="O166" i="6"/>
  <c r="N166" i="6"/>
  <c r="M166" i="6"/>
  <c r="L166" i="6"/>
  <c r="K166" i="6"/>
  <c r="AV166" i="6" s="1"/>
  <c r="J166" i="6"/>
  <c r="I166" i="6"/>
  <c r="H166" i="6"/>
  <c r="G166" i="6"/>
  <c r="F166" i="6"/>
  <c r="AU166" i="6" s="1"/>
  <c r="E166" i="6"/>
  <c r="AT166" i="6" s="1"/>
  <c r="N165" i="6"/>
  <c r="M165" i="6"/>
  <c r="L165" i="6"/>
  <c r="K165" i="6"/>
  <c r="AV165" i="6" s="1"/>
  <c r="J165" i="6"/>
  <c r="I165" i="6"/>
  <c r="H165" i="6"/>
  <c r="G165" i="6"/>
  <c r="F165" i="6"/>
  <c r="AU165" i="6" s="1"/>
  <c r="E165" i="6"/>
  <c r="AT165" i="6" s="1"/>
  <c r="AP160" i="6"/>
  <c r="BC160" i="6" s="1"/>
  <c r="AQ160" i="6"/>
  <c r="AS161" i="6"/>
  <c r="BD160" i="6"/>
  <c r="AS160" i="6"/>
  <c r="AS159" i="6"/>
  <c r="AO160" i="6"/>
  <c r="BB160" i="6" s="1"/>
  <c r="AN160" i="6"/>
  <c r="AM160" i="6"/>
  <c r="AL160" i="6"/>
  <c r="AK160" i="6"/>
  <c r="AJ160" i="6"/>
  <c r="BA160" i="6" s="1"/>
  <c r="AI160" i="6"/>
  <c r="AH160" i="6"/>
  <c r="AG160" i="6"/>
  <c r="AF160" i="6"/>
  <c r="AB160" i="6"/>
  <c r="AA160" i="6"/>
  <c r="W160" i="6"/>
  <c r="V160" i="6"/>
  <c r="R160" i="6"/>
  <c r="Q160" i="6"/>
  <c r="P160" i="6"/>
  <c r="AW160" i="6" s="1"/>
  <c r="O160" i="6"/>
  <c r="N160" i="6"/>
  <c r="M160" i="6"/>
  <c r="L160" i="6"/>
  <c r="K160" i="6"/>
  <c r="AV160" i="6" s="1"/>
  <c r="J160" i="6"/>
  <c r="I160" i="6"/>
  <c r="H160" i="6"/>
  <c r="G160" i="6"/>
  <c r="F160" i="6"/>
  <c r="AU160" i="6" s="1"/>
  <c r="E160" i="6"/>
  <c r="AT160" i="6" s="1"/>
  <c r="F159" i="6"/>
  <c r="AU159" i="6" s="1"/>
  <c r="E159" i="6"/>
  <c r="AT159" i="6" s="1"/>
  <c r="U156" i="6"/>
  <c r="AX156" i="6" s="1"/>
  <c r="T156" i="6"/>
  <c r="S156" i="6"/>
  <c r="R156" i="6"/>
  <c r="Q156" i="6"/>
  <c r="P156" i="6"/>
  <c r="AW156" i="6" s="1"/>
  <c r="O156" i="6"/>
  <c r="N156" i="6"/>
  <c r="M156" i="6"/>
  <c r="L156" i="6"/>
  <c r="K156" i="6"/>
  <c r="AV156" i="6" s="1"/>
  <c r="J156" i="6"/>
  <c r="I156" i="6"/>
  <c r="H156" i="6"/>
  <c r="G156" i="6"/>
  <c r="F156" i="6"/>
  <c r="AU156" i="6" s="1"/>
  <c r="E156" i="6"/>
  <c r="AQ155" i="6"/>
  <c r="BD155" i="6" s="1"/>
  <c r="AP155" i="6"/>
  <c r="BC155" i="6" s="1"/>
  <c r="AO155" i="6"/>
  <c r="AN155" i="6"/>
  <c r="AM155" i="6"/>
  <c r="AL155" i="6"/>
  <c r="AK155" i="6"/>
  <c r="AJ155" i="6"/>
  <c r="AI155" i="6"/>
  <c r="AH155" i="6"/>
  <c r="AG155" i="6"/>
  <c r="AF155" i="6"/>
  <c r="AE155" i="6"/>
  <c r="AZ155" i="6" s="1"/>
  <c r="AD155" i="6"/>
  <c r="AC155" i="6"/>
  <c r="AB155" i="6"/>
  <c r="AA155" i="6"/>
  <c r="X155" i="6"/>
  <c r="W155" i="6"/>
  <c r="V155" i="6"/>
  <c r="S155" i="6"/>
  <c r="R155" i="6"/>
  <c r="Q155" i="6"/>
  <c r="P155" i="6"/>
  <c r="O155" i="6"/>
  <c r="N155" i="6"/>
  <c r="M155" i="6"/>
  <c r="L155" i="6"/>
  <c r="K155" i="6"/>
  <c r="J155" i="6"/>
  <c r="I155" i="6"/>
  <c r="H155" i="6"/>
  <c r="G155" i="6"/>
  <c r="F155" i="6"/>
  <c r="AU155" i="6" s="1"/>
  <c r="E155" i="6"/>
  <c r="AT155" i="6" s="1"/>
  <c r="AJ154" i="6"/>
  <c r="BA154" i="6" s="1"/>
  <c r="AJ151" i="6"/>
  <c r="BA151" i="6" s="1"/>
  <c r="AS157" i="6"/>
  <c r="AT156" i="6"/>
  <c r="AS156" i="6"/>
  <c r="BB155" i="6"/>
  <c r="BA155" i="6"/>
  <c r="AW155" i="6"/>
  <c r="AV155" i="6"/>
  <c r="AS155" i="6"/>
  <c r="AS154" i="6"/>
  <c r="AS153" i="6"/>
  <c r="AS152" i="6"/>
  <c r="AS151" i="6"/>
  <c r="AO154" i="6"/>
  <c r="AP154" i="6" s="1"/>
  <c r="AQ151" i="6"/>
  <c r="BD151" i="6" s="1"/>
  <c r="AP151" i="6"/>
  <c r="BC151" i="6" s="1"/>
  <c r="AO151" i="6"/>
  <c r="BB151" i="6" s="1"/>
  <c r="AN151" i="6"/>
  <c r="AM151" i="6"/>
  <c r="AL151" i="6"/>
  <c r="AK151" i="6"/>
  <c r="AI153" i="6"/>
  <c r="AH153" i="6"/>
  <c r="AG153" i="6"/>
  <c r="AF153" i="6"/>
  <c r="AD153" i="6"/>
  <c r="AC153" i="6"/>
  <c r="AB153" i="6"/>
  <c r="AA153" i="6"/>
  <c r="Y153" i="6"/>
  <c r="X153" i="6"/>
  <c r="W153" i="6"/>
  <c r="V153" i="6"/>
  <c r="T153" i="6"/>
  <c r="S153" i="6"/>
  <c r="R153" i="6"/>
  <c r="Q153" i="6"/>
  <c r="O153" i="6"/>
  <c r="N153" i="6"/>
  <c r="M153" i="6"/>
  <c r="L153" i="6"/>
  <c r="J153" i="6"/>
  <c r="I153" i="6"/>
  <c r="H153" i="6"/>
  <c r="G153" i="6"/>
  <c r="F153" i="6"/>
  <c r="AU153" i="6" s="1"/>
  <c r="E153" i="6"/>
  <c r="AT153" i="6" s="1"/>
  <c r="AI151" i="6"/>
  <c r="AH151" i="6"/>
  <c r="AG151" i="6"/>
  <c r="AF151" i="6"/>
  <c r="AE151" i="6"/>
  <c r="AZ151" i="6" s="1"/>
  <c r="AD151" i="6"/>
  <c r="AC151" i="6"/>
  <c r="AB151" i="6"/>
  <c r="AA151" i="6"/>
  <c r="Z151" i="6"/>
  <c r="AY151" i="6" s="1"/>
  <c r="Y151" i="6"/>
  <c r="X151" i="6"/>
  <c r="W151" i="6"/>
  <c r="V151" i="6"/>
  <c r="U151" i="6"/>
  <c r="AX151" i="6" s="1"/>
  <c r="T151" i="6"/>
  <c r="S151" i="6"/>
  <c r="R151" i="6"/>
  <c r="Q151" i="6"/>
  <c r="P151" i="6"/>
  <c r="AW151" i="6" s="1"/>
  <c r="O151" i="6"/>
  <c r="N151" i="6"/>
  <c r="M151" i="6"/>
  <c r="L151" i="6"/>
  <c r="K151" i="6"/>
  <c r="AV151" i="6" s="1"/>
  <c r="J151" i="6"/>
  <c r="I151" i="6"/>
  <c r="H151" i="6"/>
  <c r="G151" i="6"/>
  <c r="F151" i="6"/>
  <c r="AU151" i="6" s="1"/>
  <c r="E151" i="6"/>
  <c r="AT151" i="6" s="1"/>
  <c r="BD149" i="6"/>
  <c r="BC149" i="6"/>
  <c r="BB149" i="6"/>
  <c r="BA149" i="6"/>
  <c r="AZ149" i="6"/>
  <c r="AY149" i="6"/>
  <c r="AX149" i="6"/>
  <c r="AW149" i="6"/>
  <c r="AV149" i="6"/>
  <c r="AU149" i="6"/>
  <c r="AT149" i="6"/>
  <c r="AS149" i="6"/>
  <c r="AS148" i="6"/>
  <c r="AS147" i="6"/>
  <c r="AS145" i="6"/>
  <c r="AS144" i="6"/>
  <c r="AS143" i="6"/>
  <c r="AS142" i="6"/>
  <c r="AS141" i="6"/>
  <c r="BD143" i="6"/>
  <c r="BC143" i="6"/>
  <c r="BB143" i="6"/>
  <c r="BA143" i="6"/>
  <c r="AS134" i="6"/>
  <c r="AL137" i="6"/>
  <c r="AI137" i="6"/>
  <c r="AH137" i="6"/>
  <c r="AG137" i="6"/>
  <c r="AF137" i="6"/>
  <c r="AE137" i="6"/>
  <c r="AD137" i="6"/>
  <c r="AC137" i="6"/>
  <c r="AB137" i="6"/>
  <c r="AA137" i="6"/>
  <c r="Z137" i="6"/>
  <c r="Y137" i="6"/>
  <c r="X137" i="6"/>
  <c r="W137" i="6"/>
  <c r="V137" i="6"/>
  <c r="U137" i="6"/>
  <c r="T137" i="6"/>
  <c r="S137" i="6"/>
  <c r="R137" i="6"/>
  <c r="Q137" i="6"/>
  <c r="Q143" i="6" s="1"/>
  <c r="P137" i="6"/>
  <c r="O137" i="6"/>
  <c r="N137" i="6"/>
  <c r="M137" i="6"/>
  <c r="M143" i="6" s="1"/>
  <c r="L137" i="6"/>
  <c r="K137" i="6"/>
  <c r="J137" i="6"/>
  <c r="I137" i="6"/>
  <c r="H137" i="6"/>
  <c r="G137" i="6"/>
  <c r="F137" i="6"/>
  <c r="E137" i="6"/>
  <c r="HT630" i="58479" s="1"/>
  <c r="J136" i="6"/>
  <c r="AE135" i="6"/>
  <c r="AD135" i="6"/>
  <c r="AC135" i="6"/>
  <c r="AB135" i="6"/>
  <c r="AA135" i="6"/>
  <c r="Z135" i="6"/>
  <c r="Y135" i="6"/>
  <c r="X135" i="6"/>
  <c r="W135" i="6"/>
  <c r="V135" i="6"/>
  <c r="U135" i="6"/>
  <c r="T135" i="6"/>
  <c r="S135" i="6"/>
  <c r="R135" i="6"/>
  <c r="Q135" i="6"/>
  <c r="P135" i="6"/>
  <c r="O135" i="6"/>
  <c r="N135" i="6"/>
  <c r="M135" i="6"/>
  <c r="L135" i="6"/>
  <c r="K135" i="6"/>
  <c r="J135" i="6"/>
  <c r="I135" i="6"/>
  <c r="H135" i="6"/>
  <c r="G135" i="6"/>
  <c r="F135" i="6"/>
  <c r="E135" i="6"/>
  <c r="AQ134" i="6"/>
  <c r="BD134" i="6" s="1"/>
  <c r="AP134" i="6"/>
  <c r="BC134" i="6" s="1"/>
  <c r="AO134" i="6"/>
  <c r="BB134" i="6" s="1"/>
  <c r="AN134" i="6"/>
  <c r="AM134" i="6"/>
  <c r="AL134" i="6"/>
  <c r="AK134" i="6"/>
  <c r="AJ134" i="6"/>
  <c r="BA134" i="6" s="1"/>
  <c r="AI134" i="6"/>
  <c r="AH134" i="6"/>
  <c r="AG134" i="6"/>
  <c r="AF134" i="6"/>
  <c r="AE134" i="6"/>
  <c r="AZ134" i="6" s="1"/>
  <c r="AD134" i="6"/>
  <c r="AC134" i="6"/>
  <c r="AB134" i="6"/>
  <c r="AA134" i="6"/>
  <c r="Z134" i="6"/>
  <c r="AY134" i="6" s="1"/>
  <c r="Y134" i="6"/>
  <c r="X134" i="6"/>
  <c r="W134" i="6"/>
  <c r="V134" i="6"/>
  <c r="U134" i="6"/>
  <c r="AX134" i="6" s="1"/>
  <c r="T134" i="6"/>
  <c r="S134" i="6"/>
  <c r="R134" i="6"/>
  <c r="Q134" i="6"/>
  <c r="P134" i="6"/>
  <c r="AW134" i="6" s="1"/>
  <c r="O134" i="6"/>
  <c r="N134" i="6"/>
  <c r="M134" i="6"/>
  <c r="L134" i="6"/>
  <c r="K134" i="6"/>
  <c r="AV134" i="6" s="1"/>
  <c r="J134" i="6"/>
  <c r="I134" i="6"/>
  <c r="H134" i="6"/>
  <c r="G134" i="6"/>
  <c r="F134" i="6"/>
  <c r="AU134" i="6" s="1"/>
  <c r="E134" i="6"/>
  <c r="AT134" i="6" s="1"/>
  <c r="AY128" i="6"/>
  <c r="AX128" i="6"/>
  <c r="AW128" i="6"/>
  <c r="AS128" i="6"/>
  <c r="AS127" i="6"/>
  <c r="AS126" i="6"/>
  <c r="AS125" i="6"/>
  <c r="AS121" i="6"/>
  <c r="AS120" i="6"/>
  <c r="AS119" i="6"/>
  <c r="AS118" i="6"/>
  <c r="AS117" i="6"/>
  <c r="AS116" i="6"/>
  <c r="AS115" i="6"/>
  <c r="AS114" i="6"/>
  <c r="AS113" i="6"/>
  <c r="AS112" i="6"/>
  <c r="AS111" i="6"/>
  <c r="AS110" i="6"/>
  <c r="AS109" i="6"/>
  <c r="AS108" i="6"/>
  <c r="AS107" i="6"/>
  <c r="AS106" i="6"/>
  <c r="AS105" i="6"/>
  <c r="AS104" i="6"/>
  <c r="AE120" i="6"/>
  <c r="AZ120" i="6" s="1"/>
  <c r="AD120" i="6"/>
  <c r="Z120" i="6"/>
  <c r="AY120" i="6" s="1"/>
  <c r="Z118" i="6"/>
  <c r="AY118" i="6" s="1"/>
  <c r="Z116" i="6"/>
  <c r="Z115" i="6"/>
  <c r="AY115" i="6" s="1"/>
  <c r="Z114" i="6"/>
  <c r="AY114" i="6" s="1"/>
  <c r="Z110" i="6"/>
  <c r="AY110" i="6" s="1"/>
  <c r="Z107" i="6"/>
  <c r="AY107" i="6" s="1"/>
  <c r="Z104" i="6"/>
  <c r="U120" i="6"/>
  <c r="AX120" i="6" s="1"/>
  <c r="U118" i="6"/>
  <c r="AX118" i="6" s="1"/>
  <c r="U116" i="6"/>
  <c r="AX116" i="6" s="1"/>
  <c r="U115" i="6"/>
  <c r="AX115" i="6" s="1"/>
  <c r="U114" i="6"/>
  <c r="AX114" i="6" s="1"/>
  <c r="U110" i="6"/>
  <c r="AX110" i="6" s="1"/>
  <c r="U107" i="6"/>
  <c r="AX107" i="6" s="1"/>
  <c r="U104" i="6"/>
  <c r="P120" i="6"/>
  <c r="AW120" i="6" s="1"/>
  <c r="P118" i="6"/>
  <c r="AW118" i="6" s="1"/>
  <c r="P116" i="6"/>
  <c r="AW116" i="6" s="1"/>
  <c r="P115" i="6"/>
  <c r="AW115" i="6" s="1"/>
  <c r="P114" i="6"/>
  <c r="AW114" i="6" s="1"/>
  <c r="P110" i="6"/>
  <c r="P107" i="6"/>
  <c r="P104" i="6"/>
  <c r="K120" i="6"/>
  <c r="AV120" i="6" s="1"/>
  <c r="K118" i="6"/>
  <c r="AV118" i="6" s="1"/>
  <c r="K116" i="6"/>
  <c r="AV116" i="6" s="1"/>
  <c r="K115" i="6"/>
  <c r="AV115" i="6" s="1"/>
  <c r="K114" i="6"/>
  <c r="AV114" i="6" s="1"/>
  <c r="K110" i="6"/>
  <c r="K107" i="6"/>
  <c r="K104" i="6"/>
  <c r="AJ120" i="6"/>
  <c r="BA120" i="6" s="1"/>
  <c r="AQ119" i="6"/>
  <c r="AQ496" i="6" s="1"/>
  <c r="BD496" i="6" s="1"/>
  <c r="AP119" i="6"/>
  <c r="AP496" i="6" s="1"/>
  <c r="BC496" i="6" s="1"/>
  <c r="AN119" i="6"/>
  <c r="AN496" i="6" s="1"/>
  <c r="AM119" i="6"/>
  <c r="AM496" i="6" s="1"/>
  <c r="AL119" i="6"/>
  <c r="AL496" i="6" s="1"/>
  <c r="AK119" i="6"/>
  <c r="AK496" i="6" s="1"/>
  <c r="AI496" i="6"/>
  <c r="AE118" i="6"/>
  <c r="AZ118" i="6" s="1"/>
  <c r="AE116" i="6"/>
  <c r="AZ116" i="6" s="1"/>
  <c r="AE115" i="6"/>
  <c r="AZ115" i="6" s="1"/>
  <c r="AE114" i="6"/>
  <c r="AZ114" i="6" s="1"/>
  <c r="AE107" i="6"/>
  <c r="AZ107" i="6" s="1"/>
  <c r="AE104" i="6"/>
  <c r="AA119" i="6"/>
  <c r="Y119" i="6"/>
  <c r="V119" i="6"/>
  <c r="T119" i="6"/>
  <c r="S119" i="6"/>
  <c r="R119" i="6"/>
  <c r="Q119" i="6"/>
  <c r="U119" i="6" s="1"/>
  <c r="AX119" i="6" s="1"/>
  <c r="O119" i="6"/>
  <c r="N119" i="6"/>
  <c r="M119" i="6"/>
  <c r="L119" i="6"/>
  <c r="P119" i="6" s="1"/>
  <c r="AW119" i="6" s="1"/>
  <c r="J119" i="6"/>
  <c r="I119" i="6"/>
  <c r="H119" i="6"/>
  <c r="G119" i="6"/>
  <c r="K119" i="6" s="1"/>
  <c r="AV119" i="6" s="1"/>
  <c r="AO118" i="6"/>
  <c r="BB118" i="6" s="1"/>
  <c r="AO114" i="6"/>
  <c r="AO110" i="6"/>
  <c r="BB110" i="6" s="1"/>
  <c r="AO107" i="6"/>
  <c r="BB107" i="6" s="1"/>
  <c r="AO104" i="6"/>
  <c r="AJ118" i="6"/>
  <c r="BA118" i="6" s="1"/>
  <c r="AJ116" i="6"/>
  <c r="BA116" i="6" s="1"/>
  <c r="AJ115" i="6"/>
  <c r="BA115" i="6" s="1"/>
  <c r="AJ114" i="6"/>
  <c r="BA114" i="6" s="1"/>
  <c r="AJ110" i="6"/>
  <c r="BA110" i="6" s="1"/>
  <c r="AJ107" i="6"/>
  <c r="BA107" i="6" s="1"/>
  <c r="AJ104" i="6"/>
  <c r="BA104" i="6" s="1"/>
  <c r="AI117" i="6"/>
  <c r="AH117" i="6"/>
  <c r="AG117" i="6"/>
  <c r="AD117" i="6"/>
  <c r="AA117" i="6"/>
  <c r="Y117" i="6"/>
  <c r="X117" i="6"/>
  <c r="W117" i="6"/>
  <c r="V117" i="6"/>
  <c r="T117" i="6"/>
  <c r="S117" i="6"/>
  <c r="C54" i="58499" s="1"/>
  <c r="Q117" i="6"/>
  <c r="U117" i="6" s="1"/>
  <c r="AX117" i="6" s="1"/>
  <c r="O117" i="6"/>
  <c r="N117" i="6"/>
  <c r="D54" i="58499" s="1"/>
  <c r="G54" i="58499" s="1"/>
  <c r="M117" i="6"/>
  <c r="D54" i="58498" s="1"/>
  <c r="L117" i="6"/>
  <c r="P117" i="6" s="1"/>
  <c r="AW117" i="6" s="1"/>
  <c r="J117" i="6"/>
  <c r="I117" i="6"/>
  <c r="H117" i="6"/>
  <c r="G117" i="6"/>
  <c r="K117" i="6" s="1"/>
  <c r="AV117" i="6" s="1"/>
  <c r="F117" i="6"/>
  <c r="E117" i="6"/>
  <c r="AQ117" i="6"/>
  <c r="BD117" i="6" s="1"/>
  <c r="AP117" i="6"/>
  <c r="BC117" i="6" s="1"/>
  <c r="AN117" i="6"/>
  <c r="AM117" i="6"/>
  <c r="AL117" i="6"/>
  <c r="AK117" i="6"/>
  <c r="AO117" i="6" s="1"/>
  <c r="BB117" i="6" s="1"/>
  <c r="AN497" i="6"/>
  <c r="AM497" i="6"/>
  <c r="AL497" i="6"/>
  <c r="AK497" i="6"/>
  <c r="AN113" i="6"/>
  <c r="AN494" i="6" s="1"/>
  <c r="AM113" i="6"/>
  <c r="AM494" i="6" s="1"/>
  <c r="AL113" i="6"/>
  <c r="AL494" i="6" s="1"/>
  <c r="AK113" i="6"/>
  <c r="AK494" i="6" s="1"/>
  <c r="AO494" i="6" s="1"/>
  <c r="BB494" i="6" s="1"/>
  <c r="AI113" i="6"/>
  <c r="AI494" i="6" s="1"/>
  <c r="AH113" i="6"/>
  <c r="AG113" i="6"/>
  <c r="AF113" i="6"/>
  <c r="AJ113" i="6" s="1"/>
  <c r="BA113" i="6" s="1"/>
  <c r="AI112" i="6"/>
  <c r="AH112" i="6"/>
  <c r="AG112" i="6"/>
  <c r="AF112" i="6"/>
  <c r="AJ112" i="6" s="1"/>
  <c r="BA112" i="6" s="1"/>
  <c r="AD113" i="6"/>
  <c r="AC113" i="6"/>
  <c r="AB113" i="6"/>
  <c r="AA113" i="6"/>
  <c r="AA494" i="6" s="1"/>
  <c r="AD112" i="6"/>
  <c r="AC112" i="6"/>
  <c r="AB112" i="6"/>
  <c r="AA112" i="6"/>
  <c r="AE112" i="6" s="1"/>
  <c r="Y113" i="6"/>
  <c r="X113" i="6"/>
  <c r="W113" i="6"/>
  <c r="C51" i="58501" s="1"/>
  <c r="V113" i="6"/>
  <c r="V494" i="6" s="1"/>
  <c r="Y112" i="6"/>
  <c r="X112" i="6"/>
  <c r="W112" i="6"/>
  <c r="C50" i="58501" s="1"/>
  <c r="V112" i="6"/>
  <c r="Z112" i="6" s="1"/>
  <c r="AY112" i="6" s="1"/>
  <c r="T113" i="6"/>
  <c r="S113" i="6"/>
  <c r="C51" i="58499" s="1"/>
  <c r="R113" i="6"/>
  <c r="Q113" i="6"/>
  <c r="Q494" i="6" s="1"/>
  <c r="T112" i="6"/>
  <c r="S112" i="6"/>
  <c r="C50" i="58499" s="1"/>
  <c r="R112" i="6"/>
  <c r="Q112" i="6"/>
  <c r="U112" i="6" s="1"/>
  <c r="AX112" i="6" s="1"/>
  <c r="O113" i="6"/>
  <c r="O494" i="6" s="1"/>
  <c r="N113" i="6"/>
  <c r="M113" i="6"/>
  <c r="L113" i="6"/>
  <c r="L494" i="6" s="1"/>
  <c r="O112" i="6"/>
  <c r="J113" i="6"/>
  <c r="J494" i="6" s="1"/>
  <c r="I113" i="6"/>
  <c r="I494" i="6" s="1"/>
  <c r="H113" i="6"/>
  <c r="H494" i="6" s="1"/>
  <c r="G113" i="6"/>
  <c r="G494" i="6" s="1"/>
  <c r="F113" i="6"/>
  <c r="F494" i="6" s="1"/>
  <c r="AU494" i="6" s="1"/>
  <c r="E113" i="6"/>
  <c r="E494" i="6" s="1"/>
  <c r="AT494" i="6" s="1"/>
  <c r="AC110" i="6"/>
  <c r="AE110" i="6" s="1"/>
  <c r="AZ110" i="6" s="1"/>
  <c r="AC109" i="6"/>
  <c r="AC108" i="6"/>
  <c r="AD109" i="6"/>
  <c r="AD108" i="6"/>
  <c r="AI109" i="6"/>
  <c r="AH109" i="6"/>
  <c r="AG109" i="6"/>
  <c r="AF109" i="6"/>
  <c r="AJ109" i="6" s="1"/>
  <c r="BA109" i="6" s="1"/>
  <c r="AH108" i="6"/>
  <c r="AG108" i="6"/>
  <c r="AF108" i="6"/>
  <c r="AB109" i="6"/>
  <c r="AA109" i="6"/>
  <c r="AB108" i="6"/>
  <c r="AA108" i="6"/>
  <c r="Y109" i="6"/>
  <c r="X109" i="6"/>
  <c r="W109" i="6"/>
  <c r="C47" i="58501" s="1"/>
  <c r="V109" i="6"/>
  <c r="Y108" i="6"/>
  <c r="X108" i="6"/>
  <c r="W108" i="6"/>
  <c r="C46" i="58501" s="1"/>
  <c r="V108" i="6"/>
  <c r="T109" i="6"/>
  <c r="S109" i="6"/>
  <c r="C47" i="58499" s="1"/>
  <c r="R109" i="6"/>
  <c r="Q109" i="6"/>
  <c r="T108" i="6"/>
  <c r="S108" i="6"/>
  <c r="C46" i="58499" s="1"/>
  <c r="R108" i="6"/>
  <c r="Q108" i="6"/>
  <c r="O109" i="6"/>
  <c r="N109" i="6"/>
  <c r="D47" i="58499" s="1"/>
  <c r="G47" i="58499" s="1"/>
  <c r="M109" i="6"/>
  <c r="D47" i="58498" s="1"/>
  <c r="L109" i="6"/>
  <c r="O108" i="6"/>
  <c r="N108" i="6"/>
  <c r="D46" i="58499" s="1"/>
  <c r="G46" i="58499" s="1"/>
  <c r="M108" i="6"/>
  <c r="D46" i="58498" s="1"/>
  <c r="L108" i="6"/>
  <c r="J109" i="6"/>
  <c r="I109" i="6"/>
  <c r="H109" i="6"/>
  <c r="G109" i="6"/>
  <c r="F109" i="6"/>
  <c r="AU109" i="6" s="1"/>
  <c r="E109" i="6"/>
  <c r="J108" i="6"/>
  <c r="I108" i="6"/>
  <c r="H108" i="6"/>
  <c r="G108" i="6"/>
  <c r="F108" i="6"/>
  <c r="E108" i="6"/>
  <c r="AT127" i="6"/>
  <c r="AU120" i="6"/>
  <c r="AT120" i="6"/>
  <c r="BD119" i="6"/>
  <c r="BC119" i="6"/>
  <c r="AU119" i="6"/>
  <c r="AT119" i="6"/>
  <c r="BD118" i="6"/>
  <c r="BC118" i="6"/>
  <c r="AU118" i="6"/>
  <c r="AT118" i="6"/>
  <c r="AU117" i="6"/>
  <c r="AT117" i="6"/>
  <c r="AY116" i="6"/>
  <c r="AU116" i="6"/>
  <c r="AT116" i="6"/>
  <c r="AU115" i="6"/>
  <c r="AT115" i="6"/>
  <c r="BD114" i="6"/>
  <c r="BC114" i="6"/>
  <c r="BB114" i="6"/>
  <c r="AU114" i="6"/>
  <c r="AT114" i="6"/>
  <c r="AU113" i="6"/>
  <c r="AT113" i="6"/>
  <c r="AW110" i="6"/>
  <c r="AV110" i="6"/>
  <c r="AU110" i="6"/>
  <c r="AT110" i="6"/>
  <c r="AT109" i="6"/>
  <c r="AU108" i="6"/>
  <c r="AT108" i="6"/>
  <c r="AW107" i="6"/>
  <c r="AV107" i="6"/>
  <c r="AU107" i="6"/>
  <c r="AT107" i="6"/>
  <c r="BB104" i="6"/>
  <c r="AZ104" i="6"/>
  <c r="AY104" i="6"/>
  <c r="AX104" i="6"/>
  <c r="AW104" i="6"/>
  <c r="AV104" i="6"/>
  <c r="AQ113" i="6"/>
  <c r="AQ494" i="6" s="1"/>
  <c r="BD494" i="6" s="1"/>
  <c r="AP113" i="6"/>
  <c r="AP494" i="6" s="1"/>
  <c r="BC494" i="6" s="1"/>
  <c r="AQ104" i="6"/>
  <c r="BD104" i="6" s="1"/>
  <c r="AP104" i="6"/>
  <c r="BC104" i="6" s="1"/>
  <c r="AN104" i="6"/>
  <c r="AM104" i="6"/>
  <c r="AL104" i="6"/>
  <c r="AK104" i="6"/>
  <c r="AI106" i="6"/>
  <c r="AH106" i="6"/>
  <c r="AG106" i="6"/>
  <c r="AF106" i="6"/>
  <c r="AI104" i="6"/>
  <c r="AH104" i="6"/>
  <c r="AG104" i="6"/>
  <c r="AF104" i="6"/>
  <c r="AD106" i="6"/>
  <c r="AC106" i="6"/>
  <c r="AB106" i="6"/>
  <c r="AA106" i="6"/>
  <c r="AD104" i="6"/>
  <c r="AC104" i="6"/>
  <c r="AB104" i="6"/>
  <c r="AA104" i="6"/>
  <c r="Y106" i="6"/>
  <c r="X106" i="6"/>
  <c r="W106" i="6"/>
  <c r="C44" i="58501" s="1"/>
  <c r="V106" i="6"/>
  <c r="Y104" i="6"/>
  <c r="X104" i="6"/>
  <c r="W104" i="6"/>
  <c r="V104" i="6"/>
  <c r="T106" i="6"/>
  <c r="S106" i="6"/>
  <c r="C44" i="58499" s="1"/>
  <c r="R106" i="6"/>
  <c r="Q106" i="6"/>
  <c r="T104" i="6"/>
  <c r="S104" i="6"/>
  <c r="R104" i="6"/>
  <c r="Q104" i="6"/>
  <c r="O106" i="6"/>
  <c r="N106" i="6"/>
  <c r="D44" i="58499" s="1"/>
  <c r="G44" i="58499" s="1"/>
  <c r="M106" i="6"/>
  <c r="D44" i="58498" s="1"/>
  <c r="L106" i="6"/>
  <c r="O104" i="6"/>
  <c r="N104" i="6"/>
  <c r="M104" i="6"/>
  <c r="L104" i="6"/>
  <c r="J106" i="6"/>
  <c r="I106" i="6"/>
  <c r="H106" i="6"/>
  <c r="G106" i="6"/>
  <c r="F106" i="6"/>
  <c r="AU106" i="6" s="1"/>
  <c r="E106" i="6"/>
  <c r="E154" i="6" s="1"/>
  <c r="AT154" i="6" s="1"/>
  <c r="J104" i="6"/>
  <c r="I104" i="6"/>
  <c r="H104" i="6"/>
  <c r="G104" i="6"/>
  <c r="F104" i="6"/>
  <c r="AU104" i="6" s="1"/>
  <c r="E104" i="6"/>
  <c r="AT104" i="6" s="1"/>
  <c r="BD102" i="6"/>
  <c r="BC102" i="6"/>
  <c r="BB102" i="6"/>
  <c r="BA102" i="6"/>
  <c r="AZ102" i="6"/>
  <c r="AY102" i="6"/>
  <c r="AX102" i="6"/>
  <c r="AW102" i="6"/>
  <c r="AV102" i="6"/>
  <c r="AU102" i="6"/>
  <c r="AT102" i="6"/>
  <c r="AS102" i="6"/>
  <c r="AS97" i="6"/>
  <c r="AS94" i="6"/>
  <c r="AO95" i="6"/>
  <c r="AP95" i="6" s="1"/>
  <c r="AQ95" i="6" s="1"/>
  <c r="BB512" i="6" l="1"/>
  <c r="AP512" i="6"/>
  <c r="N248" i="6"/>
  <c r="V248" i="6"/>
  <c r="H261" i="6"/>
  <c r="R261" i="6"/>
  <c r="AB261" i="6"/>
  <c r="AG283" i="6"/>
  <c r="AG285" i="6"/>
  <c r="N459" i="6"/>
  <c r="S459" i="6"/>
  <c r="Y523" i="6"/>
  <c r="Y469" i="6" s="1"/>
  <c r="X469" i="6"/>
  <c r="IN684" i="58479"/>
  <c r="AX320" i="6"/>
  <c r="Q427" i="6"/>
  <c r="O465" i="6"/>
  <c r="R478" i="6"/>
  <c r="R257" i="6"/>
  <c r="AU468" i="6"/>
  <c r="L599" i="6"/>
  <c r="L141" i="6"/>
  <c r="T141" i="6"/>
  <c r="X141" i="6"/>
  <c r="AB141" i="6"/>
  <c r="Z245" i="6"/>
  <c r="AY245" i="6" s="1"/>
  <c r="L261" i="6"/>
  <c r="L250" i="6"/>
  <c r="N257" i="6"/>
  <c r="J291" i="6"/>
  <c r="Y432" i="6"/>
  <c r="Y424" i="6"/>
  <c r="AH261" i="6"/>
  <c r="AG277" i="6"/>
  <c r="H429" i="6"/>
  <c r="H430" i="6" s="1"/>
  <c r="M429" i="6"/>
  <c r="M430" i="6" s="1"/>
  <c r="W429" i="6"/>
  <c r="W430" i="6" s="1"/>
  <c r="AB429" i="6"/>
  <c r="AB430" i="6" s="1"/>
  <c r="AJ429" i="6"/>
  <c r="BA429" i="6" s="1"/>
  <c r="AN429" i="6"/>
  <c r="AN431" i="6" s="1"/>
  <c r="AN137" i="6" s="1"/>
  <c r="X427" i="6"/>
  <c r="P466" i="6"/>
  <c r="AW466" i="6" s="1"/>
  <c r="M472" i="6"/>
  <c r="M159" i="6" s="1"/>
  <c r="V477" i="6"/>
  <c r="W469" i="6"/>
  <c r="W478" i="6" s="1"/>
  <c r="AG468" i="6"/>
  <c r="AG465" i="6" s="1"/>
  <c r="AG474" i="6" s="1"/>
  <c r="O469" i="6"/>
  <c r="O478" i="6" s="1"/>
  <c r="AG485" i="6"/>
  <c r="AI507" i="6"/>
  <c r="R520" i="6"/>
  <c r="R165" i="6" s="1"/>
  <c r="G599" i="6"/>
  <c r="AW562" i="6"/>
  <c r="V700" i="6"/>
  <c r="K579" i="6"/>
  <c r="AV579" i="6" s="1"/>
  <c r="P579" i="6"/>
  <c r="AW579" i="6" s="1"/>
  <c r="AE579" i="6"/>
  <c r="AZ579" i="6" s="1"/>
  <c r="AZ582" i="6"/>
  <c r="AV594" i="6"/>
  <c r="I610" i="6"/>
  <c r="I616" i="6" s="1"/>
  <c r="P667" i="6"/>
  <c r="AW667" i="6" s="1"/>
  <c r="S667" i="6"/>
  <c r="W667" i="6"/>
  <c r="AW634" i="6"/>
  <c r="AY638" i="6"/>
  <c r="AV641" i="6"/>
  <c r="P674" i="6"/>
  <c r="AW674" i="6" s="1"/>
  <c r="Z676" i="6"/>
  <c r="AY676" i="6" s="1"/>
  <c r="AE683" i="6"/>
  <c r="AF655" i="6"/>
  <c r="AI657" i="6"/>
  <c r="AJ657" i="6" s="1"/>
  <c r="AK657" i="6" s="1"/>
  <c r="H666" i="6"/>
  <c r="I277" i="6"/>
  <c r="I279" i="6" s="1"/>
  <c r="I281" i="6" s="1"/>
  <c r="N283" i="6"/>
  <c r="AV280" i="6"/>
  <c r="AO423" i="6"/>
  <c r="T429" i="6"/>
  <c r="T430" i="6" s="1"/>
  <c r="Y427" i="6"/>
  <c r="AU451" i="6"/>
  <c r="F456" i="6"/>
  <c r="AU456" i="6" s="1"/>
  <c r="W459" i="6"/>
  <c r="AU458" i="6"/>
  <c r="W468" i="6"/>
  <c r="W465" i="6" s="1"/>
  <c r="AF478" i="6"/>
  <c r="W485" i="6"/>
  <c r="Z491" i="6"/>
  <c r="AY491" i="6" s="1"/>
  <c r="Z492" i="6"/>
  <c r="AY492" i="6" s="1"/>
  <c r="AJ524" i="6"/>
  <c r="BA524" i="6" s="1"/>
  <c r="R539" i="6"/>
  <c r="H599" i="6"/>
  <c r="U562" i="6"/>
  <c r="AV582" i="6"/>
  <c r="G597" i="6"/>
  <c r="L597" i="6"/>
  <c r="V597" i="6"/>
  <c r="U608" i="6"/>
  <c r="AV642" i="6"/>
  <c r="AY643" i="6"/>
  <c r="U681" i="6"/>
  <c r="AX681" i="6" s="1"/>
  <c r="K672" i="6"/>
  <c r="AV672" i="6" s="1"/>
  <c r="K676" i="6"/>
  <c r="AV676" i="6" s="1"/>
  <c r="K680" i="6"/>
  <c r="AV680" i="6" s="1"/>
  <c r="K694" i="6"/>
  <c r="AV694" i="6" s="1"/>
  <c r="P694" i="6"/>
  <c r="AW694" i="6" s="1"/>
  <c r="H597" i="6"/>
  <c r="R597" i="6"/>
  <c r="W597" i="6"/>
  <c r="U355" i="6"/>
  <c r="AX355" i="6" s="1"/>
  <c r="Q429" i="6"/>
  <c r="Q430" i="6" s="1"/>
  <c r="AM429" i="6"/>
  <c r="AM431" i="6" s="1"/>
  <c r="AM137" i="6" s="1"/>
  <c r="M427" i="6"/>
  <c r="AB427" i="6"/>
  <c r="L477" i="6"/>
  <c r="AF477" i="6"/>
  <c r="AB156" i="6"/>
  <c r="AB539" i="6"/>
  <c r="AX552" i="6"/>
  <c r="Z590" i="6"/>
  <c r="H616" i="6"/>
  <c r="P673" i="6"/>
  <c r="AW673" i="6" s="1"/>
  <c r="P681" i="6"/>
  <c r="AW681" i="6" s="1"/>
  <c r="Z683" i="6"/>
  <c r="AE674" i="6"/>
  <c r="AZ674" i="6" s="1"/>
  <c r="AE678" i="6"/>
  <c r="AZ678" i="6" s="1"/>
  <c r="AE682" i="6"/>
  <c r="AZ682" i="6" s="1"/>
  <c r="C46" i="58498"/>
  <c r="D46" i="58501"/>
  <c r="G46" i="58501" s="1"/>
  <c r="C47" i="58498"/>
  <c r="G47" i="58498" s="1"/>
  <c r="D47" i="58501"/>
  <c r="G47" i="58501" s="1"/>
  <c r="K46" i="58501"/>
  <c r="J46" i="58501"/>
  <c r="F46" i="58501"/>
  <c r="K47" i="58501"/>
  <c r="F47" i="58501"/>
  <c r="J47" i="58501"/>
  <c r="N494" i="6"/>
  <c r="D51" i="58499"/>
  <c r="J50" i="58499"/>
  <c r="K50" i="58499"/>
  <c r="F51" i="58499"/>
  <c r="J51" i="58499"/>
  <c r="P141" i="6"/>
  <c r="AW141" i="6" s="1"/>
  <c r="HW628" i="58479"/>
  <c r="AG105" i="58479"/>
  <c r="U143" i="6"/>
  <c r="AX143" i="6" s="1"/>
  <c r="HX630" i="58479"/>
  <c r="Y143" i="6"/>
  <c r="AC143" i="6"/>
  <c r="AZ266" i="6"/>
  <c r="GH530" i="58479"/>
  <c r="AY244" i="6"/>
  <c r="K248" i="6"/>
  <c r="AV248" i="6" s="1"/>
  <c r="P248" i="6"/>
  <c r="AW248" i="6" s="1"/>
  <c r="S248" i="6"/>
  <c r="U248" i="6" s="1"/>
  <c r="AX248" i="6" s="1"/>
  <c r="AJ248" i="6"/>
  <c r="BA248" i="6" s="1"/>
  <c r="AB250" i="6"/>
  <c r="L257" i="6"/>
  <c r="Q257" i="6"/>
  <c r="Z256" i="6"/>
  <c r="AY256" i="6" s="1"/>
  <c r="IF567" i="58481"/>
  <c r="IF568" i="58481" s="1"/>
  <c r="V257" i="6"/>
  <c r="IG663" i="58479"/>
  <c r="AX264" i="6"/>
  <c r="IP693" i="58479"/>
  <c r="FP583" i="58502"/>
  <c r="FR583" i="58502" s="1"/>
  <c r="AZ280" i="6"/>
  <c r="K106" i="6"/>
  <c r="P106" i="6"/>
  <c r="P154" i="6" s="1"/>
  <c r="U106" i="6"/>
  <c r="AX106" i="6" s="1"/>
  <c r="Z106" i="6"/>
  <c r="AY106" i="6" s="1"/>
  <c r="AE106" i="6"/>
  <c r="AZ106" i="6" s="1"/>
  <c r="AJ106" i="6"/>
  <c r="BA106" i="6" s="1"/>
  <c r="K46" i="58499"/>
  <c r="F46" i="58499"/>
  <c r="J46" i="58499"/>
  <c r="J47" i="58499"/>
  <c r="K47" i="58499"/>
  <c r="F47" i="58499"/>
  <c r="AE109" i="6"/>
  <c r="AZ109" i="6" s="1"/>
  <c r="K494" i="6"/>
  <c r="AV494" i="6" s="1"/>
  <c r="Z117" i="6"/>
  <c r="AY117" i="6" s="1"/>
  <c r="AE117" i="6"/>
  <c r="AZ117" i="6" s="1"/>
  <c r="HT628" i="58479"/>
  <c r="M141" i="6"/>
  <c r="Q141" i="6"/>
  <c r="U141" i="6"/>
  <c r="AX141" i="6" s="1"/>
  <c r="HX628" i="58479"/>
  <c r="HX635" i="58479" s="1"/>
  <c r="HW520" i="58481"/>
  <c r="HW521" i="58481" s="1"/>
  <c r="HW528" i="58481" s="1"/>
  <c r="Y141" i="6"/>
  <c r="AC141" i="6"/>
  <c r="F143" i="6"/>
  <c r="AU143" i="6" s="1"/>
  <c r="HU630" i="58479"/>
  <c r="HU637" i="58479" s="1"/>
  <c r="N143" i="6"/>
  <c r="R143" i="6"/>
  <c r="V143" i="6"/>
  <c r="Z143" i="6"/>
  <c r="AY143" i="6" s="1"/>
  <c r="HY630" i="58479"/>
  <c r="AD143" i="6"/>
  <c r="AE248" i="6"/>
  <c r="AZ248" i="6" s="1"/>
  <c r="IF663" i="58479"/>
  <c r="E277" i="6"/>
  <c r="IJ690" i="58479" s="1"/>
  <c r="IJ688" i="58479"/>
  <c r="AT278" i="6"/>
  <c r="IJ691" i="58479"/>
  <c r="N285" i="6"/>
  <c r="S282" i="6"/>
  <c r="S283" i="6"/>
  <c r="S285" i="6"/>
  <c r="X277" i="6"/>
  <c r="IH600" i="58481" s="1"/>
  <c r="IH598" i="58481"/>
  <c r="X283" i="6"/>
  <c r="IH599" i="58481"/>
  <c r="X285" i="6"/>
  <c r="IH601" i="58481"/>
  <c r="AC283" i="6"/>
  <c r="AC285" i="6"/>
  <c r="AH277" i="6"/>
  <c r="AH282" i="6"/>
  <c r="C44" i="58498"/>
  <c r="D44" i="58501"/>
  <c r="G44" i="58501" s="1"/>
  <c r="J44" i="58501"/>
  <c r="K44" i="58501"/>
  <c r="F141" i="6"/>
  <c r="AU141" i="6" s="1"/>
  <c r="HU628" i="58479"/>
  <c r="HU635" i="58479" s="1"/>
  <c r="N141" i="6"/>
  <c r="R141" i="6"/>
  <c r="V141" i="6"/>
  <c r="Z141" i="6"/>
  <c r="AY141" i="6" s="1"/>
  <c r="HY628" i="58479"/>
  <c r="HY556" i="58481"/>
  <c r="AD141" i="6"/>
  <c r="K143" i="6"/>
  <c r="AV143" i="6" s="1"/>
  <c r="HV630" i="58479"/>
  <c r="O143" i="6"/>
  <c r="S143" i="6"/>
  <c r="W143" i="6"/>
  <c r="AA143" i="6"/>
  <c r="AE143" i="6"/>
  <c r="AZ143" i="6" s="1"/>
  <c r="HZ630" i="58479"/>
  <c r="AE170" i="6"/>
  <c r="AZ170" i="6" s="1"/>
  <c r="AO170" i="6"/>
  <c r="BB170" i="6" s="1"/>
  <c r="AX266" i="6"/>
  <c r="GF530" i="58479"/>
  <c r="DJ237" i="58481"/>
  <c r="DJ238" i="58481" s="1"/>
  <c r="DJ239" i="58481" s="1"/>
  <c r="DJ242" i="58481" s="1"/>
  <c r="AT249" i="6"/>
  <c r="X261" i="6"/>
  <c r="IH566" i="58481"/>
  <c r="X250" i="6"/>
  <c r="K44" i="58499"/>
  <c r="F44" i="58499"/>
  <c r="J44" i="58499"/>
  <c r="BD113" i="6"/>
  <c r="P108" i="6"/>
  <c r="AW108" i="6" s="1"/>
  <c r="P109" i="6"/>
  <c r="AW109" i="6" s="1"/>
  <c r="U108" i="6"/>
  <c r="AX108" i="6" s="1"/>
  <c r="U109" i="6"/>
  <c r="AX109" i="6" s="1"/>
  <c r="Z108" i="6"/>
  <c r="AY108" i="6" s="1"/>
  <c r="Z109" i="6"/>
  <c r="AY109" i="6" s="1"/>
  <c r="AE108" i="6"/>
  <c r="AZ108" i="6" s="1"/>
  <c r="M494" i="6"/>
  <c r="P494" i="6" s="1"/>
  <c r="AW494" i="6" s="1"/>
  <c r="D51" i="58498"/>
  <c r="C50" i="58498"/>
  <c r="D50" i="58501"/>
  <c r="G50" i="58501" s="1"/>
  <c r="C51" i="58498"/>
  <c r="D51" i="58501"/>
  <c r="K50" i="58501"/>
  <c r="F50" i="58501"/>
  <c r="J50" i="58501"/>
  <c r="F51" i="58501"/>
  <c r="J51" i="58501"/>
  <c r="F54" i="58499"/>
  <c r="J54" i="58499"/>
  <c r="AJ117" i="6"/>
  <c r="BA117" i="6" s="1"/>
  <c r="C54" i="58498"/>
  <c r="D54" i="58501"/>
  <c r="K141" i="6"/>
  <c r="AV141" i="6" s="1"/>
  <c r="HV628" i="58479"/>
  <c r="O141" i="6"/>
  <c r="S141" i="6"/>
  <c r="W141" i="6"/>
  <c r="AA141" i="6"/>
  <c r="AE141" i="6"/>
  <c r="AZ141" i="6" s="1"/>
  <c r="HZ628" i="58479"/>
  <c r="L143" i="6"/>
  <c r="P143" i="6"/>
  <c r="AW143" i="6" s="1"/>
  <c r="HW630" i="58479"/>
  <c r="HW637" i="58479" s="1"/>
  <c r="AG106" i="58479"/>
  <c r="T143" i="6"/>
  <c r="X143" i="6"/>
  <c r="AB143" i="6"/>
  <c r="AX223" i="6"/>
  <c r="IF652" i="58479"/>
  <c r="E259" i="6"/>
  <c r="IB657" i="58479"/>
  <c r="T261" i="6"/>
  <c r="T250" i="6"/>
  <c r="Y248" i="6"/>
  <c r="II566" i="58481"/>
  <c r="O257" i="6"/>
  <c r="Y257" i="6"/>
  <c r="II567" i="58481"/>
  <c r="IJ567" i="58481" s="1"/>
  <c r="AD257" i="6"/>
  <c r="F257" i="6"/>
  <c r="AU257" i="6" s="1"/>
  <c r="F261" i="6"/>
  <c r="IC657" i="58479"/>
  <c r="S257" i="6"/>
  <c r="AC257" i="6"/>
  <c r="AW264" i="6"/>
  <c r="IE662" i="58479"/>
  <c r="H277" i="6"/>
  <c r="H279" i="6" s="1"/>
  <c r="H281" i="6" s="1"/>
  <c r="AU276" i="6"/>
  <c r="IK689" i="58479"/>
  <c r="M283" i="6"/>
  <c r="M285" i="6"/>
  <c r="R282" i="6"/>
  <c r="R283" i="6"/>
  <c r="R285" i="6"/>
  <c r="W282" i="6"/>
  <c r="IG598" i="58481"/>
  <c r="W283" i="6"/>
  <c r="IG599" i="58481"/>
  <c r="W285" i="6"/>
  <c r="IG601" i="58481"/>
  <c r="AB283" i="6"/>
  <c r="AB285" i="6"/>
  <c r="AH283" i="6"/>
  <c r="AH285" i="6"/>
  <c r="IO693" i="58479"/>
  <c r="IJ603" i="58481"/>
  <c r="FL583" i="58502"/>
  <c r="FN583" i="58502" s="1"/>
  <c r="P355" i="6"/>
  <c r="AW355" i="6" s="1"/>
  <c r="Z372" i="6"/>
  <c r="AY372" i="6" s="1"/>
  <c r="GX565" i="58479"/>
  <c r="AE372" i="6"/>
  <c r="AZ372" i="6" s="1"/>
  <c r="HA565" i="58479"/>
  <c r="AJ377" i="6"/>
  <c r="AW382" i="6"/>
  <c r="GW564" i="58479"/>
  <c r="K423" i="6"/>
  <c r="P423" i="6"/>
  <c r="P432" i="6" s="1"/>
  <c r="AW432" i="6" s="1"/>
  <c r="AE423" i="6"/>
  <c r="H4" i="58481" s="1"/>
  <c r="L424" i="6"/>
  <c r="X424" i="6"/>
  <c r="N427" i="6"/>
  <c r="S427" i="6"/>
  <c r="F427" i="6"/>
  <c r="AU427" i="6" s="1"/>
  <c r="C7" i="58481"/>
  <c r="C8" i="58481" s="1"/>
  <c r="L429" i="6"/>
  <c r="L430" i="6" s="1"/>
  <c r="U433" i="6"/>
  <c r="AX433" i="6" s="1"/>
  <c r="F10" i="58481"/>
  <c r="FO376" i="58481"/>
  <c r="EA301" i="58481"/>
  <c r="X432" i="6"/>
  <c r="AV443" i="6"/>
  <c r="Q456" i="6"/>
  <c r="Z455" i="6"/>
  <c r="AY455" i="6" s="1"/>
  <c r="AE455" i="6"/>
  <c r="AZ455" i="6" s="1"/>
  <c r="W456" i="6"/>
  <c r="R459" i="6"/>
  <c r="AB459" i="6"/>
  <c r="M465" i="6"/>
  <c r="M474" i="6" s="1"/>
  <c r="V465" i="6"/>
  <c r="AB465" i="6"/>
  <c r="AB475" i="6" s="1"/>
  <c r="AK469" i="6"/>
  <c r="AK523" i="6" s="1"/>
  <c r="U467" i="6"/>
  <c r="AX467" i="6" s="1"/>
  <c r="Q477" i="6"/>
  <c r="AG477" i="6"/>
  <c r="F477" i="6"/>
  <c r="AJ491" i="6"/>
  <c r="BA491" i="6" s="1"/>
  <c r="U500" i="6"/>
  <c r="AX500" i="6" s="1"/>
  <c r="AH468" i="6"/>
  <c r="AE520" i="6"/>
  <c r="AD524" i="6"/>
  <c r="AE524" i="6" s="1"/>
  <c r="AZ524" i="6" s="1"/>
  <c r="X528" i="6"/>
  <c r="X167" i="6" s="1"/>
  <c r="AE533" i="6"/>
  <c r="AZ533" i="6" s="1"/>
  <c r="Z536" i="6"/>
  <c r="AY536" i="6" s="1"/>
  <c r="AK555" i="6"/>
  <c r="AL555" i="6" s="1"/>
  <c r="AM555" i="6" s="1"/>
  <c r="AN555" i="6" s="1"/>
  <c r="AO555" i="6" s="1"/>
  <c r="BA555" i="6"/>
  <c r="K562" i="6"/>
  <c r="AY590" i="6"/>
  <c r="AA590" i="6"/>
  <c r="AA595" i="6" s="1"/>
  <c r="AA597" i="6" s="1"/>
  <c r="AX382" i="6"/>
  <c r="GX564" i="58479"/>
  <c r="M424" i="6"/>
  <c r="AT426" i="6"/>
  <c r="B7" i="58481"/>
  <c r="O427" i="6"/>
  <c r="AD427" i="6"/>
  <c r="T427" i="6"/>
  <c r="FP376" i="58481"/>
  <c r="EB301" i="58481"/>
  <c r="G10" i="58481"/>
  <c r="G11" i="58481" s="1"/>
  <c r="H432" i="6"/>
  <c r="AB432" i="6"/>
  <c r="M456" i="6"/>
  <c r="X459" i="6"/>
  <c r="M477" i="6"/>
  <c r="L478" i="6"/>
  <c r="Q472" i="6"/>
  <c r="Q159" i="6" s="1"/>
  <c r="W156" i="6"/>
  <c r="BA583" i="6"/>
  <c r="AK583" i="6"/>
  <c r="AL583" i="6" s="1"/>
  <c r="AM583" i="6" s="1"/>
  <c r="AN583" i="6" s="1"/>
  <c r="AO583" i="6" s="1"/>
  <c r="F597" i="6"/>
  <c r="AU597" i="6" s="1"/>
  <c r="AA257" i="6"/>
  <c r="IH663" i="58479"/>
  <c r="AZ264" i="6"/>
  <c r="F282" i="6"/>
  <c r="AU282" i="6" s="1"/>
  <c r="IK688" i="58479"/>
  <c r="F285" i="6"/>
  <c r="AU285" i="6" s="1"/>
  <c r="IK691" i="58479"/>
  <c r="O282" i="6"/>
  <c r="O285" i="6"/>
  <c r="T282" i="6"/>
  <c r="T283" i="6"/>
  <c r="T285" i="6"/>
  <c r="Y282" i="6"/>
  <c r="II598" i="58481"/>
  <c r="Y283" i="6"/>
  <c r="II599" i="58481"/>
  <c r="Y285" i="6"/>
  <c r="II601" i="58481"/>
  <c r="AD282" i="6"/>
  <c r="AD283" i="6"/>
  <c r="AD285" i="6"/>
  <c r="K282" i="6"/>
  <c r="AV282" i="6" s="1"/>
  <c r="IL688" i="58479"/>
  <c r="FT583" i="58502"/>
  <c r="AE299" i="6"/>
  <c r="AY371" i="6"/>
  <c r="AY382" i="6"/>
  <c r="GY564" i="58479"/>
  <c r="Q424" i="6"/>
  <c r="AB424" i="6"/>
  <c r="F429" i="6"/>
  <c r="F430" i="6" s="1"/>
  <c r="C4" i="58481"/>
  <c r="K426" i="6"/>
  <c r="P426" i="6"/>
  <c r="U426" i="6"/>
  <c r="U427" i="6" s="1"/>
  <c r="AX427" i="6" s="1"/>
  <c r="V427" i="6"/>
  <c r="AE426" i="6"/>
  <c r="H7" i="58481" s="1"/>
  <c r="L427" i="6"/>
  <c r="AV431" i="6"/>
  <c r="FM376" i="58481"/>
  <c r="DY301" i="58481"/>
  <c r="DY302" i="58481" s="1"/>
  <c r="GJ429" i="58481"/>
  <c r="D10" i="58481"/>
  <c r="D11" i="58481" s="1"/>
  <c r="AE433" i="6"/>
  <c r="AZ433" i="6" s="1"/>
  <c r="H10" i="58481"/>
  <c r="L432" i="6"/>
  <c r="BC440" i="6"/>
  <c r="U443" i="6"/>
  <c r="P443" i="6"/>
  <c r="N452" i="6"/>
  <c r="AC456" i="6"/>
  <c r="O456" i="6"/>
  <c r="T459" i="6"/>
  <c r="AD459" i="6"/>
  <c r="AO466" i="6"/>
  <c r="BB466" i="6" s="1"/>
  <c r="N477" i="6"/>
  <c r="M478" i="6"/>
  <c r="AG478" i="6"/>
  <c r="AG472" i="6"/>
  <c r="AG159" i="6" s="1"/>
  <c r="AO491" i="6"/>
  <c r="BB491" i="6" s="1"/>
  <c r="AO493" i="6"/>
  <c r="AO495" i="6"/>
  <c r="BB495" i="6" s="1"/>
  <c r="AJ497" i="6"/>
  <c r="BA497" i="6" s="1"/>
  <c r="X501" i="6"/>
  <c r="Z495" i="6"/>
  <c r="AY495" i="6" s="1"/>
  <c r="AC521" i="6"/>
  <c r="AC160" i="6" s="1"/>
  <c r="AC523" i="6"/>
  <c r="AC469" i="6" s="1"/>
  <c r="S528" i="6"/>
  <c r="S167" i="6" s="1"/>
  <c r="AC528" i="6"/>
  <c r="AC167" i="6" s="1"/>
  <c r="AU528" i="6"/>
  <c r="AH529" i="6"/>
  <c r="AH168" i="6" s="1"/>
  <c r="AD597" i="6"/>
  <c r="F248" i="6"/>
  <c r="AU248" i="6" s="1"/>
  <c r="M257" i="6"/>
  <c r="W257" i="6"/>
  <c r="IG567" i="58481"/>
  <c r="IG568" i="58481" s="1"/>
  <c r="AO263" i="6"/>
  <c r="AP263" i="6" s="1"/>
  <c r="AQ263" i="6" s="1"/>
  <c r="ID663" i="58479"/>
  <c r="G277" i="6"/>
  <c r="G279" i="6" s="1"/>
  <c r="G281" i="6" s="1"/>
  <c r="AT276" i="6"/>
  <c r="IJ689" i="58479"/>
  <c r="P275" i="6"/>
  <c r="IM688" i="58479" s="1"/>
  <c r="L283" i="6"/>
  <c r="L285" i="6"/>
  <c r="Q282" i="6"/>
  <c r="Q283" i="6"/>
  <c r="Q285" i="6"/>
  <c r="Z275" i="6"/>
  <c r="IF598" i="58481"/>
  <c r="V283" i="6"/>
  <c r="IF599" i="58481"/>
  <c r="Z278" i="6"/>
  <c r="IF601" i="58481"/>
  <c r="AA282" i="6"/>
  <c r="AE276" i="6"/>
  <c r="AA285" i="6"/>
  <c r="K283" i="6"/>
  <c r="AV283" i="6" s="1"/>
  <c r="IL689" i="58479"/>
  <c r="AX280" i="6"/>
  <c r="IN693" i="58479"/>
  <c r="AE296" i="6"/>
  <c r="AE297" i="6"/>
  <c r="AZ371" i="6"/>
  <c r="K372" i="6"/>
  <c r="AV372" i="6" s="1"/>
  <c r="AV382" i="6"/>
  <c r="GV564" i="58479"/>
  <c r="AZ382" i="6"/>
  <c r="GZ564" i="58479"/>
  <c r="P408" i="6"/>
  <c r="AW408" i="6" s="1"/>
  <c r="U408" i="6"/>
  <c r="AX408" i="6" s="1"/>
  <c r="E432" i="6"/>
  <c r="AT432" i="6" s="1"/>
  <c r="B4" i="58481"/>
  <c r="T424" i="6"/>
  <c r="AC424" i="6"/>
  <c r="R427" i="6"/>
  <c r="W427" i="6"/>
  <c r="AO426" i="6"/>
  <c r="E10" i="58481"/>
  <c r="FN376" i="58481"/>
  <c r="DZ301" i="58481"/>
  <c r="DZ302" i="58481" s="1"/>
  <c r="Y456" i="6"/>
  <c r="S456" i="6"/>
  <c r="L459" i="6"/>
  <c r="AE458" i="6"/>
  <c r="L465" i="6"/>
  <c r="Q465" i="6"/>
  <c r="Q474" i="6" s="1"/>
  <c r="F478" i="6"/>
  <c r="AA478" i="6"/>
  <c r="AJ492" i="6"/>
  <c r="BA492" i="6" s="1"/>
  <c r="U492" i="6"/>
  <c r="AX492" i="6" s="1"/>
  <c r="AB525" i="6"/>
  <c r="AD522" i="6"/>
  <c r="AH523" i="6"/>
  <c r="AH469" i="6" s="1"/>
  <c r="AJ469" i="6" s="1"/>
  <c r="BA469" i="6" s="1"/>
  <c r="O559" i="6"/>
  <c r="O572" i="6" s="1"/>
  <c r="P556" i="6"/>
  <c r="AW556" i="6" s="1"/>
  <c r="Z615" i="6"/>
  <c r="AY615" i="6" s="1"/>
  <c r="AY552" i="6"/>
  <c r="AK591" i="6"/>
  <c r="AL591" i="6" s="1"/>
  <c r="AM591" i="6" s="1"/>
  <c r="AE530" i="6"/>
  <c r="AZ530" i="6" s="1"/>
  <c r="AJ536" i="6"/>
  <c r="BA536" i="6" s="1"/>
  <c r="S597" i="6"/>
  <c r="F607" i="6"/>
  <c r="AU607" i="6" s="1"/>
  <c r="J607" i="6"/>
  <c r="Q669" i="6"/>
  <c r="AY634" i="6"/>
  <c r="AV635" i="6"/>
  <c r="AW637" i="6"/>
  <c r="AY639" i="6"/>
  <c r="P679" i="6"/>
  <c r="AW679" i="6" s="1"/>
  <c r="X666" i="6"/>
  <c r="R666" i="6"/>
  <c r="N666" i="6"/>
  <c r="M669" i="6"/>
  <c r="AC669" i="6"/>
  <c r="K673" i="6"/>
  <c r="AV673" i="6" s="1"/>
  <c r="K677" i="6"/>
  <c r="AV677" i="6" s="1"/>
  <c r="K681" i="6"/>
  <c r="AV681" i="6" s="1"/>
  <c r="AE686" i="6"/>
  <c r="AV716" i="6"/>
  <c r="L713" i="6"/>
  <c r="P713" i="6" s="1"/>
  <c r="AH532" i="6"/>
  <c r="AJ532" i="6" s="1"/>
  <c r="BA532" i="6" s="1"/>
  <c r="AH541" i="6"/>
  <c r="AJ541" i="6" s="1"/>
  <c r="BA541" i="6" s="1"/>
  <c r="N572" i="6"/>
  <c r="N599" i="6" s="1"/>
  <c r="O597" i="6"/>
  <c r="AC597" i="6"/>
  <c r="BB602" i="6"/>
  <c r="M606" i="6"/>
  <c r="R605" i="6"/>
  <c r="AF607" i="6"/>
  <c r="AF610" i="6" s="1"/>
  <c r="G607" i="6"/>
  <c r="G610" i="6" s="1"/>
  <c r="G616" i="6" s="1"/>
  <c r="L607" i="6"/>
  <c r="L610" i="6" s="1"/>
  <c r="L616" i="6" s="1"/>
  <c r="P605" i="6"/>
  <c r="AW605" i="6" s="1"/>
  <c r="U674" i="6"/>
  <c r="AX674" i="6" s="1"/>
  <c r="AW633" i="6"/>
  <c r="AW635" i="6"/>
  <c r="AX637" i="6"/>
  <c r="AV638" i="6"/>
  <c r="P672" i="6"/>
  <c r="AW672" i="6" s="1"/>
  <c r="Z633" i="6"/>
  <c r="AA672" i="6" s="1"/>
  <c r="AE676" i="6"/>
  <c r="AZ676" i="6" s="1"/>
  <c r="AE680" i="6"/>
  <c r="AZ680" i="6" s="1"/>
  <c r="AE684" i="6"/>
  <c r="V651" i="6"/>
  <c r="M655" i="6"/>
  <c r="F666" i="6"/>
  <c r="AU666" i="6" s="1"/>
  <c r="N669" i="6"/>
  <c r="K595" i="6"/>
  <c r="Q597" i="6"/>
  <c r="AV630" i="6"/>
  <c r="AX633" i="6"/>
  <c r="AY635" i="6"/>
  <c r="AH608" i="6"/>
  <c r="AH597" i="6"/>
  <c r="BC661" i="6"/>
  <c r="H690" i="6"/>
  <c r="G669" i="6"/>
  <c r="K669" i="6" s="1"/>
  <c r="AV669" i="6" s="1"/>
  <c r="F610" i="6"/>
  <c r="D23" i="58482" s="1"/>
  <c r="AH655" i="6"/>
  <c r="AH607" i="6"/>
  <c r="AB669" i="6"/>
  <c r="W669" i="6"/>
  <c r="J669" i="6"/>
  <c r="F669" i="6"/>
  <c r="AU669" i="6" s="1"/>
  <c r="AA669" i="6"/>
  <c r="AE669" i="6" s="1"/>
  <c r="AZ669" i="6" s="1"/>
  <c r="O669" i="6"/>
  <c r="P669" i="6" s="1"/>
  <c r="AW669" i="6" s="1"/>
  <c r="I669" i="6"/>
  <c r="AD669" i="6"/>
  <c r="K674" i="6"/>
  <c r="AV674" i="6" s="1"/>
  <c r="K689" i="6"/>
  <c r="AV689" i="6" s="1"/>
  <c r="J690" i="6"/>
  <c r="AG694" i="6"/>
  <c r="AH694" i="6" s="1"/>
  <c r="AI694" i="6" s="1"/>
  <c r="AT318" i="6"/>
  <c r="AU317" i="6"/>
  <c r="AU320" i="6"/>
  <c r="G332" i="6"/>
  <c r="AD332" i="6"/>
  <c r="X188" i="6"/>
  <c r="AU318" i="6"/>
  <c r="AC328" i="6"/>
  <c r="AX319" i="6"/>
  <c r="M329" i="6"/>
  <c r="AG501" i="6"/>
  <c r="AG156" i="6" s="1"/>
  <c r="AF156" i="6"/>
  <c r="AZ320" i="6"/>
  <c r="AE615" i="6"/>
  <c r="AI592" i="6"/>
  <c r="AJ592" i="6" s="1"/>
  <c r="AF701" i="58411"/>
  <c r="AF702" i="58411" s="1"/>
  <c r="AF703" i="58411" s="1"/>
  <c r="AE631" i="58411"/>
  <c r="AE632" i="58411" s="1"/>
  <c r="AE20" i="58438"/>
  <c r="AF424" i="58438"/>
  <c r="AF425" i="58438" s="1"/>
  <c r="AF391" i="58438"/>
  <c r="AF392" i="58438" s="1"/>
  <c r="AF559" i="58411"/>
  <c r="AF560" i="58411" s="1"/>
  <c r="AF561" i="58411" s="1"/>
  <c r="AG901" i="58411"/>
  <c r="AG902" i="58411" s="1"/>
  <c r="AG408" i="58411"/>
  <c r="AZ319" i="6"/>
  <c r="J385" i="6"/>
  <c r="AB313" i="6"/>
  <c r="N385" i="6"/>
  <c r="AP110" i="6"/>
  <c r="BC110" i="6" s="1"/>
  <c r="AT320" i="6"/>
  <c r="O332" i="6"/>
  <c r="M389" i="6"/>
  <c r="M204" i="6"/>
  <c r="AV317" i="6"/>
  <c r="AY320" i="6"/>
  <c r="AU321" i="6"/>
  <c r="M328" i="6"/>
  <c r="AD328" i="6"/>
  <c r="I385" i="6"/>
  <c r="AU388" i="6"/>
  <c r="O203" i="6"/>
  <c r="AZ317" i="6"/>
  <c r="AT319" i="6"/>
  <c r="AX321" i="6"/>
  <c r="N328" i="6"/>
  <c r="N332" i="6"/>
  <c r="R332" i="6"/>
  <c r="W332" i="6"/>
  <c r="AZ112" i="6"/>
  <c r="D153" i="58480"/>
  <c r="G153" i="58480" s="1"/>
  <c r="AT187" i="6"/>
  <c r="IB646" i="58479"/>
  <c r="I188" i="6"/>
  <c r="M188" i="6"/>
  <c r="R189" i="6"/>
  <c r="V189" i="6"/>
  <c r="AC188" i="6"/>
  <c r="G203" i="6"/>
  <c r="IC648" i="58479"/>
  <c r="Y204" i="6"/>
  <c r="AU208" i="6"/>
  <c r="IC651" i="58479"/>
  <c r="AB312" i="6"/>
  <c r="AX317" i="6"/>
  <c r="AY321" i="6"/>
  <c r="AY319" i="6"/>
  <c r="IO683" i="58479"/>
  <c r="IJ686" i="58479"/>
  <c r="AD91" i="58481"/>
  <c r="F329" i="6"/>
  <c r="AU329" i="6" s="1"/>
  <c r="IJ670" i="58479"/>
  <c r="J328" i="6"/>
  <c r="N329" i="6"/>
  <c r="R329" i="6"/>
  <c r="W329" i="6"/>
  <c r="AU331" i="6"/>
  <c r="IK673" i="58479"/>
  <c r="V386" i="6"/>
  <c r="AZ384" i="6"/>
  <c r="IP671" i="58479"/>
  <c r="IK678" i="58479"/>
  <c r="AT421" i="6"/>
  <c r="B2" i="58481"/>
  <c r="AX421" i="6"/>
  <c r="F2" i="58481"/>
  <c r="S312" i="6"/>
  <c r="AX327" i="6"/>
  <c r="IN670" i="58479"/>
  <c r="AZ187" i="6"/>
  <c r="IH646" i="58479"/>
  <c r="AO115" i="6"/>
  <c r="BB115" i="6" s="1"/>
  <c r="AX187" i="6"/>
  <c r="IF646" i="58479"/>
  <c r="I204" i="6"/>
  <c r="AY208" i="6"/>
  <c r="IG651" i="58479"/>
  <c r="AP107" i="6"/>
  <c r="AQ107" i="6" s="1"/>
  <c r="BD107" i="6" s="1"/>
  <c r="AI594" i="6"/>
  <c r="AJ594" i="6" s="1"/>
  <c r="AU187" i="6"/>
  <c r="IC646" i="58479"/>
  <c r="J189" i="6"/>
  <c r="N189" i="6"/>
  <c r="AD189" i="6"/>
  <c r="AV208" i="6"/>
  <c r="ID651" i="58479"/>
  <c r="T312" i="6"/>
  <c r="X313" i="6"/>
  <c r="AT317" i="6"/>
  <c r="AY317" i="6"/>
  <c r="AT321" i="6"/>
  <c r="AZ321" i="6"/>
  <c r="AW317" i="6"/>
  <c r="IM681" i="58479"/>
  <c r="IK686" i="58479"/>
  <c r="AE91" i="58481"/>
  <c r="HQ512" i="58481"/>
  <c r="HQ514" i="58481" s="1"/>
  <c r="IO686" i="58479"/>
  <c r="L329" i="6"/>
  <c r="O329" i="6"/>
  <c r="S329" i="6"/>
  <c r="AU327" i="6"/>
  <c r="V332" i="6"/>
  <c r="IN673" i="58479"/>
  <c r="IN674" i="58479" s="1"/>
  <c r="R386" i="6"/>
  <c r="Y389" i="6"/>
  <c r="AC389" i="6"/>
  <c r="AU421" i="6"/>
  <c r="C2" i="58481"/>
  <c r="AY421" i="6"/>
  <c r="G2" i="58481"/>
  <c r="AV187" i="6"/>
  <c r="ID646" i="58479"/>
  <c r="E203" i="6"/>
  <c r="AT203" i="6" s="1"/>
  <c r="IB648" i="58479"/>
  <c r="AX208" i="6"/>
  <c r="IF651" i="58479"/>
  <c r="T313" i="6"/>
  <c r="AU319" i="6"/>
  <c r="IK683" i="58479"/>
  <c r="IL686" i="58479"/>
  <c r="AJ91" i="58481"/>
  <c r="IP686" i="58479"/>
  <c r="HR512" i="58481"/>
  <c r="HR514" i="58481" s="1"/>
  <c r="AW327" i="6"/>
  <c r="IM670" i="58479"/>
  <c r="AT384" i="6"/>
  <c r="IJ671" i="58479"/>
  <c r="F393" i="6"/>
  <c r="AU393" i="6" s="1"/>
  <c r="IK671" i="58479"/>
  <c r="AV421" i="6"/>
  <c r="D2" i="58481"/>
  <c r="AZ421" i="6"/>
  <c r="H2" i="58481"/>
  <c r="AC204" i="6"/>
  <c r="IM686" i="58479"/>
  <c r="AO91" i="58481"/>
  <c r="Q329" i="6"/>
  <c r="AA329" i="6"/>
  <c r="F328" i="6"/>
  <c r="AU328" i="6" s="1"/>
  <c r="I336" i="6"/>
  <c r="F332" i="6"/>
  <c r="AU332" i="6" s="1"/>
  <c r="IJ673" i="58479"/>
  <c r="AV384" i="6"/>
  <c r="IL671" i="58479"/>
  <c r="AD386" i="6"/>
  <c r="AY388" i="6"/>
  <c r="IO675" i="58479"/>
  <c r="E389" i="6"/>
  <c r="AT389" i="6" s="1"/>
  <c r="IJ675" i="58479"/>
  <c r="AW421" i="6"/>
  <c r="E2" i="58481"/>
  <c r="AO497" i="6"/>
  <c r="BB497" i="6" s="1"/>
  <c r="BA382" i="6"/>
  <c r="HA564" i="58479"/>
  <c r="AO467" i="6"/>
  <c r="DL387" i="58502"/>
  <c r="DP394" i="58502"/>
  <c r="DP385" i="58502"/>
  <c r="DP393" i="58502"/>
  <c r="DP392" i="58502"/>
  <c r="DP384" i="58502"/>
  <c r="DP383" i="58502"/>
  <c r="P4" i="58471"/>
  <c r="DK381" i="58502"/>
  <c r="O4" i="58471"/>
  <c r="DJ381" i="58502"/>
  <c r="AG82" i="58438"/>
  <c r="AL657" i="6"/>
  <c r="AK582" i="6"/>
  <c r="AK608" i="6" s="1"/>
  <c r="AI582" i="6"/>
  <c r="AJ582" i="6" s="1"/>
  <c r="AK653" i="6"/>
  <c r="AJ170" i="6"/>
  <c r="BA170" i="6" s="1"/>
  <c r="AI504" i="6"/>
  <c r="AJ504" i="6" s="1"/>
  <c r="BA504" i="6" s="1"/>
  <c r="BA557" i="6"/>
  <c r="I161" i="58512"/>
  <c r="J147" i="58512"/>
  <c r="K176" i="58512"/>
  <c r="J72" i="58512"/>
  <c r="J181" i="58512"/>
  <c r="K207" i="58511"/>
  <c r="L207" i="58511" s="1"/>
  <c r="M207" i="58511" s="1"/>
  <c r="L159" i="58511"/>
  <c r="M151" i="58511"/>
  <c r="L117" i="58511"/>
  <c r="L203" i="58511"/>
  <c r="L89" i="58511"/>
  <c r="M196" i="58511"/>
  <c r="L130" i="58511"/>
  <c r="L102" i="58511"/>
  <c r="L67" i="58511"/>
  <c r="M22" i="58511"/>
  <c r="K78" i="58511"/>
  <c r="L35" i="58511"/>
  <c r="K163" i="58511"/>
  <c r="K70" i="58511"/>
  <c r="L32" i="58511"/>
  <c r="F42" i="58511"/>
  <c r="F41" i="58511"/>
  <c r="I42" i="58511"/>
  <c r="G129" i="58511"/>
  <c r="G149" i="58511" s="1"/>
  <c r="G177" i="58511" s="1"/>
  <c r="G180" i="58511" s="1"/>
  <c r="G65" i="58511"/>
  <c r="G72" i="58511" s="1"/>
  <c r="G81" i="58511" s="1"/>
  <c r="G84" i="58511" s="1"/>
  <c r="G48" i="58511"/>
  <c r="G51" i="58511" s="1"/>
  <c r="G45" i="58511"/>
  <c r="K185" i="58511"/>
  <c r="L185" i="58511" s="1"/>
  <c r="K133" i="58511"/>
  <c r="K106" i="58511"/>
  <c r="L107" i="58511"/>
  <c r="E45" i="58511"/>
  <c r="E65" i="58511"/>
  <c r="E72" i="58511" s="1"/>
  <c r="E81" i="58511" s="1"/>
  <c r="E84" i="58511" s="1"/>
  <c r="E85" i="58511" s="1"/>
  <c r="E48" i="58511"/>
  <c r="E51" i="58511" s="1"/>
  <c r="D42" i="58511"/>
  <c r="D41" i="58511"/>
  <c r="H41" i="58511" s="1"/>
  <c r="K187" i="58511"/>
  <c r="C129" i="58511"/>
  <c r="C149" i="58511" s="1"/>
  <c r="C177" i="58511" s="1"/>
  <c r="C180" i="58511" s="1"/>
  <c r="C48" i="58511"/>
  <c r="C51" i="58511" s="1"/>
  <c r="C65" i="58511"/>
  <c r="C72" i="58511" s="1"/>
  <c r="C81" i="58511" s="1"/>
  <c r="C84" i="58511" s="1"/>
  <c r="C85" i="58511" s="1"/>
  <c r="C45" i="58511"/>
  <c r="B129" i="58511"/>
  <c r="B149" i="58511" s="1"/>
  <c r="B177" i="58511" s="1"/>
  <c r="B180" i="58511" s="1"/>
  <c r="B65" i="58511"/>
  <c r="B72" i="58511" s="1"/>
  <c r="B81" i="58511" s="1"/>
  <c r="B84" i="58511" s="1"/>
  <c r="B85" i="58511" s="1"/>
  <c r="B48" i="58511"/>
  <c r="B51" i="58511" s="1"/>
  <c r="B45" i="58511"/>
  <c r="AK322" i="58438"/>
  <c r="AU322" i="58438" s="1"/>
  <c r="S392" i="58438"/>
  <c r="X392" i="58438"/>
  <c r="B437" i="58438"/>
  <c r="AG464" i="58438"/>
  <c r="AG59" i="58438" s="1"/>
  <c r="AG454" i="58438"/>
  <c r="AG57" i="58438" s="1"/>
  <c r="AJ339" i="6" s="1"/>
  <c r="BA339" i="6" s="1"/>
  <c r="AB464" i="58438"/>
  <c r="AB59" i="58438" s="1"/>
  <c r="AB478" i="58438"/>
  <c r="AB479" i="58438" s="1"/>
  <c r="AB454" i="58438"/>
  <c r="AB57" i="58438" s="1"/>
  <c r="AE339" i="6" s="1"/>
  <c r="AZ339" i="6" s="1"/>
  <c r="AA303" i="58438"/>
  <c r="X35" i="58438"/>
  <c r="AH93" i="58438"/>
  <c r="AC87" i="58438"/>
  <c r="AH92" i="58438" s="1"/>
  <c r="C323" i="58438"/>
  <c r="B439" i="58438"/>
  <c r="AG14" i="58438"/>
  <c r="O8" i="58471" s="1"/>
  <c r="AG38" i="58438"/>
  <c r="S31" i="58438"/>
  <c r="X31" i="58438"/>
  <c r="Z26" i="58438"/>
  <c r="Z29" i="58438"/>
  <c r="O31" i="58438"/>
  <c r="B29" i="58438"/>
  <c r="E28" i="58438"/>
  <c r="K26" i="58438"/>
  <c r="E27" i="58438"/>
  <c r="E31" i="58438" s="1"/>
  <c r="V30" i="58438"/>
  <c r="F30" i="58438"/>
  <c r="M29" i="58438"/>
  <c r="K27" i="58438"/>
  <c r="V26" i="58438"/>
  <c r="F26" i="58438"/>
  <c r="E30" i="58438"/>
  <c r="G28" i="58438"/>
  <c r="M26" i="58438"/>
  <c r="L30" i="58438"/>
  <c r="B28" i="58438"/>
  <c r="Y318" i="58438"/>
  <c r="X303" i="58438"/>
  <c r="V247" i="58438"/>
  <c r="V242" i="58438"/>
  <c r="Q35" i="58438"/>
  <c r="AG12" i="58438"/>
  <c r="O6" i="58471" s="1"/>
  <c r="AG36" i="58438"/>
  <c r="N28" i="58438"/>
  <c r="T31" i="58438"/>
  <c r="Z320" i="58438"/>
  <c r="B431" i="58438"/>
  <c r="R29" i="58438"/>
  <c r="R31" i="58438" s="1"/>
  <c r="AB27" i="58438"/>
  <c r="AB31" i="58438" s="1"/>
  <c r="G26" i="58438"/>
  <c r="G31" i="58438" s="1"/>
  <c r="H26" i="58438"/>
  <c r="R30" i="58438"/>
  <c r="B30" i="58438"/>
  <c r="I29" i="58438"/>
  <c r="P28" i="58438"/>
  <c r="G27" i="58438"/>
  <c r="B26" i="58438"/>
  <c r="B31" i="58438" s="1"/>
  <c r="H30" i="58438"/>
  <c r="F28" i="58438"/>
  <c r="L29" i="58438"/>
  <c r="J27" i="58438"/>
  <c r="I26" i="58438"/>
  <c r="G29" i="58438"/>
  <c r="M27" i="58438"/>
  <c r="AA392" i="58438"/>
  <c r="B366" i="58438"/>
  <c r="B381" i="58438" s="1"/>
  <c r="Q425" i="58438"/>
  <c r="T392" i="58438"/>
  <c r="V316" i="58438"/>
  <c r="P392" i="58438"/>
  <c r="Y303" i="58438"/>
  <c r="AE303" i="58438"/>
  <c r="Z322" i="58438"/>
  <c r="T316" i="58438"/>
  <c r="AJ87" i="58438"/>
  <c r="AJ82" i="58438" s="1"/>
  <c r="Z27" i="58438"/>
  <c r="U31" i="58438"/>
  <c r="Y322" i="58438"/>
  <c r="Z28" i="58438"/>
  <c r="P26" i="58438"/>
  <c r="W31" i="58438"/>
  <c r="AI88" i="58438"/>
  <c r="N30" i="58438"/>
  <c r="K30" i="58438"/>
  <c r="J29" i="58438"/>
  <c r="M28" i="58438"/>
  <c r="L27" i="58438"/>
  <c r="L31" i="58438" s="1"/>
  <c r="E29" i="58438"/>
  <c r="AB28" i="58438"/>
  <c r="L28" i="58438"/>
  <c r="N26" i="58438"/>
  <c r="N31" i="58438" s="1"/>
  <c r="K29" i="58438"/>
  <c r="I27" i="58438"/>
  <c r="H29" i="58438"/>
  <c r="F27" i="58438"/>
  <c r="W392" i="58438"/>
  <c r="V392" i="58438"/>
  <c r="U316" i="58438"/>
  <c r="B436" i="58438"/>
  <c r="B406" i="58438"/>
  <c r="B416" i="58438" s="1"/>
  <c r="AC425" i="58438"/>
  <c r="M425" i="58438"/>
  <c r="AB392" i="58438"/>
  <c r="Z247" i="58438"/>
  <c r="Z242" i="58438"/>
  <c r="Z35" i="58438" s="1"/>
  <c r="U35" i="58438"/>
  <c r="Y247" i="58438"/>
  <c r="Y242" i="58438"/>
  <c r="Y35" i="58438" s="1"/>
  <c r="T35" i="58438"/>
  <c r="V27" i="58438"/>
  <c r="Q31" i="58438"/>
  <c r="AG13" i="58438"/>
  <c r="O7" i="58471" s="1"/>
  <c r="AG37" i="58438"/>
  <c r="S316" i="58438"/>
  <c r="AK93" i="58438"/>
  <c r="P30" i="58438"/>
  <c r="V28" i="58438"/>
  <c r="B438" i="58438"/>
  <c r="AA31" i="58438"/>
  <c r="I28" i="58438"/>
  <c r="H27" i="58438"/>
  <c r="J30" i="58438"/>
  <c r="J26" i="58438"/>
  <c r="J31" i="58438" s="1"/>
  <c r="J920" i="58411"/>
  <c r="J917" i="58411"/>
  <c r="J916" i="58411"/>
  <c r="O702" i="58411"/>
  <c r="O703" i="58411" s="1"/>
  <c r="T702" i="58411"/>
  <c r="T703" i="58411" s="1"/>
  <c r="W286" i="58411"/>
  <c r="W287" i="58411" s="1"/>
  <c r="X920" i="58411"/>
  <c r="Y917" i="58411"/>
  <c r="Y916" i="58411"/>
  <c r="Y920" i="58411"/>
  <c r="AC814" i="58411"/>
  <c r="S913" i="58411"/>
  <c r="S912" i="58411"/>
  <c r="S915" i="58411"/>
  <c r="T913" i="58411"/>
  <c r="X912" i="58411"/>
  <c r="AC489" i="58411"/>
  <c r="AC490" i="58411" s="1"/>
  <c r="M286" i="58411"/>
  <c r="M287" i="58411" s="1"/>
  <c r="P917" i="58411"/>
  <c r="P920" i="58411"/>
  <c r="P916" i="58411"/>
  <c r="U916" i="58411"/>
  <c r="U917" i="58411"/>
  <c r="U920" i="58411"/>
  <c r="I864" i="58411"/>
  <c r="N920" i="58411"/>
  <c r="N916" i="58411"/>
  <c r="Q916" i="58411"/>
  <c r="Q917" i="58411"/>
  <c r="Q920" i="58411"/>
  <c r="AA920" i="58411"/>
  <c r="C894" i="58411"/>
  <c r="C889" i="58411"/>
  <c r="C887" i="58411"/>
  <c r="AA894" i="58411"/>
  <c r="AA888" i="58411"/>
  <c r="J887" i="58411"/>
  <c r="J888" i="58411"/>
  <c r="J894" i="58411"/>
  <c r="H885" i="58411"/>
  <c r="H886" i="58411"/>
  <c r="H883" i="58411"/>
  <c r="I884" i="58411"/>
  <c r="R912" i="58411"/>
  <c r="O560" i="58411"/>
  <c r="O561" i="58411" s="1"/>
  <c r="T560" i="58411"/>
  <c r="T561" i="58411" s="1"/>
  <c r="M560" i="58411"/>
  <c r="M561" i="58411" s="1"/>
  <c r="N418" i="58411"/>
  <c r="N419" i="58411" s="1"/>
  <c r="Z384" i="6"/>
  <c r="IO671" i="58479" s="1"/>
  <c r="N887" i="58411"/>
  <c r="N894" i="58411"/>
  <c r="K894" i="58411"/>
  <c r="K888" i="58411"/>
  <c r="M885" i="58411"/>
  <c r="M883" i="58411"/>
  <c r="M886" i="58411"/>
  <c r="N888" i="58411" s="1"/>
  <c r="N884" i="58411"/>
  <c r="V417" i="58411"/>
  <c r="V418" i="58411" s="1"/>
  <c r="V419" i="58411" s="1"/>
  <c r="U888" i="58411"/>
  <c r="U887" i="58411"/>
  <c r="U894" i="58411"/>
  <c r="E888" i="58411"/>
  <c r="E894" i="58411"/>
  <c r="Z888" i="58411"/>
  <c r="Z887" i="58411"/>
  <c r="Z894" i="58411"/>
  <c r="R883" i="58411"/>
  <c r="R885" i="58411"/>
  <c r="W883" i="58411"/>
  <c r="W885" i="58411"/>
  <c r="O631" i="58411"/>
  <c r="O632" i="58411" s="1"/>
  <c r="T631" i="58411"/>
  <c r="T632" i="58411" s="1"/>
  <c r="Y418" i="58411"/>
  <c r="Y419" i="58411" s="1"/>
  <c r="W357" i="58411"/>
  <c r="W358" i="58411" s="1"/>
  <c r="AA859" i="58411"/>
  <c r="AA858" i="58411"/>
  <c r="G880" i="58411"/>
  <c r="U859" i="58411"/>
  <c r="D859" i="58411"/>
  <c r="N859" i="58411"/>
  <c r="N858" i="58411"/>
  <c r="G859" i="58411"/>
  <c r="Z859" i="58411"/>
  <c r="Z858" i="58411"/>
  <c r="J858" i="58411"/>
  <c r="J859" i="58411"/>
  <c r="I936" i="58411"/>
  <c r="AG769" i="58411"/>
  <c r="AH753" i="58411"/>
  <c r="F837" i="58411"/>
  <c r="Y837" i="58411"/>
  <c r="Y838" i="58411" s="1"/>
  <c r="Y839" i="58411" s="1"/>
  <c r="G933" i="58411"/>
  <c r="AB772" i="58411"/>
  <c r="AC722" i="58411"/>
  <c r="AD709" i="58411"/>
  <c r="AD722" i="58411" s="1"/>
  <c r="AG692" i="58411"/>
  <c r="AH676" i="58411"/>
  <c r="M772" i="58411"/>
  <c r="M773" i="58411" s="1"/>
  <c r="M774" i="58411" s="1"/>
  <c r="H772" i="58411"/>
  <c r="H773" i="58411" s="1"/>
  <c r="H774" i="58411" s="1"/>
  <c r="AG760" i="58411"/>
  <c r="AH744" i="58411"/>
  <c r="AB630" i="58411"/>
  <c r="H630" i="58411"/>
  <c r="H631" i="58411" s="1"/>
  <c r="H632" i="58411" s="1"/>
  <c r="AG617" i="58411"/>
  <c r="AH601" i="58411"/>
  <c r="P785" i="58411"/>
  <c r="P620" i="58411"/>
  <c r="P580" i="58411"/>
  <c r="Q572" i="58411"/>
  <c r="K920" i="58411"/>
  <c r="K917" i="58411"/>
  <c r="X883" i="58411"/>
  <c r="P894" i="58411"/>
  <c r="P888" i="58411"/>
  <c r="P887" i="58411"/>
  <c r="D886" i="58411"/>
  <c r="Z863" i="58411"/>
  <c r="J863" i="58411"/>
  <c r="AH596" i="58411"/>
  <c r="AH388" i="58438" s="1"/>
  <c r="AI583" i="58411"/>
  <c r="AG553" i="58411"/>
  <c r="AH537" i="58411"/>
  <c r="E863" i="58411"/>
  <c r="E865" i="58411" s="1"/>
  <c r="F886" i="58411"/>
  <c r="AI687" i="58411"/>
  <c r="AJ671" i="58411"/>
  <c r="H911" i="58411"/>
  <c r="O860" i="58411"/>
  <c r="G865" i="58411"/>
  <c r="AF626" i="58411"/>
  <c r="AG610" i="58411"/>
  <c r="AB907" i="58411"/>
  <c r="AB899" i="58411"/>
  <c r="AG821" i="58411"/>
  <c r="AG474" i="58411"/>
  <c r="AH458" i="58411"/>
  <c r="X874" i="58411"/>
  <c r="W873" i="58411"/>
  <c r="W814" i="58411"/>
  <c r="W817" i="58411" s="1"/>
  <c r="AG812" i="58411"/>
  <c r="AH453" i="58411"/>
  <c r="AD869" i="58411"/>
  <c r="AD454" i="58411"/>
  <c r="AD845" i="58411"/>
  <c r="AD438" i="58411"/>
  <c r="AF625" i="58411"/>
  <c r="AG609" i="58411"/>
  <c r="M907" i="58411"/>
  <c r="M899" i="58411"/>
  <c r="AG828" i="58411"/>
  <c r="AH465" i="58411"/>
  <c r="AG898" i="58411"/>
  <c r="AG820" i="58411"/>
  <c r="AH457" i="58411"/>
  <c r="AG470" i="58411"/>
  <c r="AG473" i="58411"/>
  <c r="AD822" i="58411"/>
  <c r="AB878" i="58411"/>
  <c r="AB870" i="58411"/>
  <c r="AG875" i="58411"/>
  <c r="AG876" i="58411" s="1"/>
  <c r="AG807" i="58411"/>
  <c r="AH448" i="58411"/>
  <c r="AF878" i="58411"/>
  <c r="AF870" i="58411"/>
  <c r="P788" i="58411"/>
  <c r="P481" i="58411"/>
  <c r="Q433" i="58411"/>
  <c r="AD788" i="58411"/>
  <c r="AD931" i="58411" s="1"/>
  <c r="AE433" i="58411"/>
  <c r="AD784" i="58411"/>
  <c r="AE429" i="58411"/>
  <c r="R846" i="58411"/>
  <c r="AH782" i="58411"/>
  <c r="AI427" i="58411"/>
  <c r="AC857" i="58411"/>
  <c r="AC847" i="58411"/>
  <c r="AC846" i="58411"/>
  <c r="AC596" i="58411"/>
  <c r="AC388" i="58438" s="1"/>
  <c r="AH554" i="58411"/>
  <c r="AI538" i="58411"/>
  <c r="AF861" i="58411"/>
  <c r="AF862" i="58411"/>
  <c r="H488" i="58411"/>
  <c r="H489" i="58411" s="1"/>
  <c r="H490" i="58411" s="1"/>
  <c r="AG823" i="58411"/>
  <c r="AC826" i="58411"/>
  <c r="AC834" i="58411" s="1"/>
  <c r="AB873" i="58411"/>
  <c r="H814" i="58411"/>
  <c r="H817" i="58411" s="1"/>
  <c r="O930" i="58411"/>
  <c r="AI623" i="58411"/>
  <c r="AJ607" i="58411"/>
  <c r="AE559" i="58411"/>
  <c r="AE560" i="58411" s="1"/>
  <c r="AE561" i="58411" s="1"/>
  <c r="AI548" i="58411"/>
  <c r="AJ532" i="58411"/>
  <c r="W905" i="58411"/>
  <c r="X906" i="58411"/>
  <c r="R907" i="58411"/>
  <c r="R915" i="58411" s="1"/>
  <c r="R899" i="58411"/>
  <c r="AG830" i="58411"/>
  <c r="AG483" i="58411"/>
  <c r="AH467" i="58411"/>
  <c r="AG801" i="58411"/>
  <c r="AH442" i="58411"/>
  <c r="M928" i="58411"/>
  <c r="M794" i="58411"/>
  <c r="M797" i="58411" s="1"/>
  <c r="P202" i="6" s="1"/>
  <c r="IE648" i="58479" s="1"/>
  <c r="O846" i="58411"/>
  <c r="O857" i="58411"/>
  <c r="P847" i="58411"/>
  <c r="O847" i="58411"/>
  <c r="AG203" i="58411"/>
  <c r="AH187" i="58411"/>
  <c r="J418" i="58411"/>
  <c r="J419" i="58411" s="1"/>
  <c r="AH334" i="58411"/>
  <c r="AH326" i="58411"/>
  <c r="AG342" i="58411"/>
  <c r="AH328" i="58411"/>
  <c r="AG344" i="58411"/>
  <c r="AK258" i="58411"/>
  <c r="AG229" i="58411"/>
  <c r="AF277" i="58411"/>
  <c r="AG132" i="58411"/>
  <c r="AH116" i="58411"/>
  <c r="AG364" i="58411"/>
  <c r="AG22" i="58411"/>
  <c r="AH9" i="58411"/>
  <c r="AD364" i="58411"/>
  <c r="AD379" i="58411" s="1"/>
  <c r="AG187" i="6" s="1"/>
  <c r="AH189" i="6" s="1"/>
  <c r="N357" i="58411"/>
  <c r="N358" i="58411" s="1"/>
  <c r="AI259" i="58411"/>
  <c r="AE195" i="58411"/>
  <c r="AD211" i="58411"/>
  <c r="AI185" i="58411"/>
  <c r="AJ121" i="58411"/>
  <c r="AD904" i="58411"/>
  <c r="AD905" i="58411" s="1"/>
  <c r="R356" i="58411"/>
  <c r="R357" i="58411" s="1"/>
  <c r="R358" i="58411" s="1"/>
  <c r="AH164" i="58411"/>
  <c r="AI151" i="58411"/>
  <c r="AH306" i="58411"/>
  <c r="AI293" i="58411"/>
  <c r="I286" i="58411"/>
  <c r="I287" i="58411" s="1"/>
  <c r="AI265" i="58411"/>
  <c r="AH260" i="58411"/>
  <c r="AG276" i="58411"/>
  <c r="K215" i="58411"/>
  <c r="K216" i="58411" s="1"/>
  <c r="P215" i="58411"/>
  <c r="P216" i="58411" s="1"/>
  <c r="AE194" i="58411"/>
  <c r="AD210" i="58411"/>
  <c r="H214" i="58411"/>
  <c r="H215" i="58411" s="1"/>
  <c r="H216" i="58411" s="1"/>
  <c r="AE201" i="58411"/>
  <c r="AF169" i="58411"/>
  <c r="AI167" i="58411"/>
  <c r="AJ80" i="58411"/>
  <c r="AI93" i="58411"/>
  <c r="AD93" i="58411"/>
  <c r="AD412" i="58411"/>
  <c r="AC402" i="58411"/>
  <c r="AD43" i="58411"/>
  <c r="AD382" i="58411"/>
  <c r="AD38" i="58411"/>
  <c r="W376" i="58411"/>
  <c r="AG375" i="58411"/>
  <c r="AH20" i="58411"/>
  <c r="AG366" i="58411"/>
  <c r="AF371" i="58411"/>
  <c r="AH50" i="58411"/>
  <c r="AH135" i="58411"/>
  <c r="AI119" i="58411"/>
  <c r="M144" i="58411"/>
  <c r="M145" i="58411" s="1"/>
  <c r="AG401" i="58411"/>
  <c r="AH42" i="58411"/>
  <c r="AG58" i="58411"/>
  <c r="W397" i="58411"/>
  <c r="Z327" i="6" s="1"/>
  <c r="AA328" i="6" s="1"/>
  <c r="AI33" i="58411"/>
  <c r="AD54" i="58411"/>
  <c r="AG404" i="58411"/>
  <c r="AG370" i="58411"/>
  <c r="W211" i="58411"/>
  <c r="X935" i="58411"/>
  <c r="X933" i="58411"/>
  <c r="D935" i="58411"/>
  <c r="D933" i="58411"/>
  <c r="B936" i="58411"/>
  <c r="C933" i="58411"/>
  <c r="C935" i="58411" s="1"/>
  <c r="AI758" i="58411"/>
  <c r="AJ742" i="58411"/>
  <c r="AG688" i="58411"/>
  <c r="AG701" i="58411" s="1"/>
  <c r="AH672" i="58411"/>
  <c r="AD683" i="58411"/>
  <c r="AI691" i="58411"/>
  <c r="AJ675" i="58411"/>
  <c r="P789" i="58411"/>
  <c r="P624" i="58411"/>
  <c r="Q576" i="58411"/>
  <c r="AC580" i="58411"/>
  <c r="AC860" i="58411" s="1"/>
  <c r="AD567" i="58411"/>
  <c r="AD580" i="58411" s="1"/>
  <c r="X894" i="58411"/>
  <c r="T894" i="58411"/>
  <c r="T888" i="58411"/>
  <c r="T887" i="58411"/>
  <c r="N863" i="58411"/>
  <c r="P783" i="58411"/>
  <c r="P547" i="58411"/>
  <c r="P559" i="58411" s="1"/>
  <c r="Q499" i="58411"/>
  <c r="P509" i="58411"/>
  <c r="P860" i="58411" s="1"/>
  <c r="AI695" i="58411"/>
  <c r="AJ679" i="58411"/>
  <c r="AI651" i="58411"/>
  <c r="AJ638" i="58411"/>
  <c r="M631" i="58411"/>
  <c r="M632" i="58411" s="1"/>
  <c r="AG620" i="58411"/>
  <c r="AH604" i="58411"/>
  <c r="AG549" i="58411"/>
  <c r="AH533" i="58411"/>
  <c r="O894" i="58411"/>
  <c r="O888" i="58411"/>
  <c r="O887" i="58411"/>
  <c r="M911" i="58411"/>
  <c r="T917" i="58411"/>
  <c r="T916" i="58411"/>
  <c r="T920" i="58411"/>
  <c r="D917" i="58411"/>
  <c r="D920" i="58411"/>
  <c r="Y894" i="58411"/>
  <c r="Y888" i="58411"/>
  <c r="Y887" i="58411"/>
  <c r="AD911" i="58411"/>
  <c r="AF882" i="58411"/>
  <c r="AC827" i="58411"/>
  <c r="AC930" i="58411" s="1"/>
  <c r="AD875" i="58411"/>
  <c r="AD807" i="58411"/>
  <c r="W878" i="58411"/>
  <c r="W870" i="58411"/>
  <c r="AG808" i="58411"/>
  <c r="AH449" i="58411"/>
  <c r="AF627" i="58411"/>
  <c r="AG611" i="58411"/>
  <c r="AI615" i="58411"/>
  <c r="AJ599" i="58411"/>
  <c r="AI556" i="58411"/>
  <c r="AJ540" i="58411"/>
  <c r="AJ547" i="58411"/>
  <c r="AK531" i="58411"/>
  <c r="M488" i="58411"/>
  <c r="M489" i="58411" s="1"/>
  <c r="M490" i="58411" s="1"/>
  <c r="AG832" i="58411"/>
  <c r="AH469" i="58411"/>
  <c r="AI464" i="58411"/>
  <c r="AD898" i="58411"/>
  <c r="AD820" i="58411"/>
  <c r="AD470" i="58411"/>
  <c r="AD802" i="58411"/>
  <c r="AE443" i="58411"/>
  <c r="AH806" i="58411"/>
  <c r="AI447" i="58411"/>
  <c r="AD851" i="58411"/>
  <c r="AD787" i="58411"/>
  <c r="AE432" i="58411"/>
  <c r="H928" i="58411"/>
  <c r="H794" i="58411"/>
  <c r="H797" i="58411" s="1"/>
  <c r="K202" i="6" s="1"/>
  <c r="K204" i="6" s="1"/>
  <c r="AV204" i="6" s="1"/>
  <c r="AF928" i="58411"/>
  <c r="AF624" i="58411"/>
  <c r="AG608" i="58411"/>
  <c r="AH618" i="58411"/>
  <c r="AI602" i="58411"/>
  <c r="S906" i="58411"/>
  <c r="R905" i="58411"/>
  <c r="AC822" i="58411"/>
  <c r="AC802" i="58411"/>
  <c r="H878" i="58411"/>
  <c r="I871" i="58411"/>
  <c r="H870" i="58411"/>
  <c r="AB852" i="58411"/>
  <c r="P850" i="58411"/>
  <c r="T849" i="58411"/>
  <c r="O850" i="58411"/>
  <c r="O849" i="58411"/>
  <c r="AJ555" i="58411"/>
  <c r="AK539" i="58411"/>
  <c r="O488" i="58411"/>
  <c r="H834" i="58411"/>
  <c r="S874" i="58411"/>
  <c r="R873" i="58411"/>
  <c r="S850" i="58411"/>
  <c r="X849" i="58411"/>
  <c r="S849" i="58411"/>
  <c r="T850" i="58411"/>
  <c r="M857" i="58411"/>
  <c r="M846" i="58411"/>
  <c r="P418" i="58411"/>
  <c r="P419" i="58411" s="1"/>
  <c r="AG199" i="58411"/>
  <c r="AH183" i="58411"/>
  <c r="AD848" i="58411"/>
  <c r="AD783" i="58411"/>
  <c r="Z418" i="58411"/>
  <c r="Z419" i="58411" s="1"/>
  <c r="L418" i="58411"/>
  <c r="L419" i="58411" s="1"/>
  <c r="AI333" i="58411"/>
  <c r="AH341" i="58411"/>
  <c r="AI325" i="58411"/>
  <c r="AI261" i="58411"/>
  <c r="AH256" i="58411"/>
  <c r="AG272" i="58411"/>
  <c r="AG226" i="58411"/>
  <c r="AF235" i="58411"/>
  <c r="AJ184" i="58411"/>
  <c r="AI200" i="58411"/>
  <c r="X376" i="58411"/>
  <c r="X379" i="58411" s="1"/>
  <c r="X211" i="58411"/>
  <c r="X214" i="58411" s="1"/>
  <c r="X215" i="58411" s="1"/>
  <c r="X216" i="58411" s="1"/>
  <c r="X164" i="58411"/>
  <c r="AG128" i="58411"/>
  <c r="AH112" i="58411"/>
  <c r="AH400" i="58411" s="1"/>
  <c r="AC376" i="58411"/>
  <c r="AD21" i="58411"/>
  <c r="AD376" i="58411" s="1"/>
  <c r="AG376" i="58411"/>
  <c r="AH21" i="58411"/>
  <c r="AK266" i="58411"/>
  <c r="AI331" i="58411"/>
  <c r="R215" i="58411"/>
  <c r="R216" i="58411" s="1"/>
  <c r="AJ117" i="58411"/>
  <c r="AI133" i="58411"/>
  <c r="AF276" i="58411"/>
  <c r="R415" i="58411"/>
  <c r="AF374" i="58411"/>
  <c r="AH264" i="58411"/>
  <c r="AJ52" i="58411"/>
  <c r="AI49" i="58411"/>
  <c r="AI389" i="58411"/>
  <c r="AJ32" i="58411"/>
  <c r="AC373" i="58411"/>
  <c r="AD18" i="58411"/>
  <c r="AD373" i="58411" s="1"/>
  <c r="AF375" i="58411"/>
  <c r="AI373" i="58411"/>
  <c r="AJ18" i="58411"/>
  <c r="AH382" i="58411"/>
  <c r="AI25" i="58411"/>
  <c r="O357" i="58411"/>
  <c r="O358" i="58411" s="1"/>
  <c r="H144" i="58411"/>
  <c r="H145" i="58411" s="1"/>
  <c r="Y73" i="58411"/>
  <c r="Y74" i="58411" s="1"/>
  <c r="AJ44" i="58411"/>
  <c r="AJ14" i="58411"/>
  <c r="AD73" i="58411"/>
  <c r="AD74" i="58411" s="1"/>
  <c r="AD400" i="58411"/>
  <c r="M72" i="58411"/>
  <c r="M73" i="58411" s="1"/>
  <c r="M74" i="58411" s="1"/>
  <c r="AK47" i="58411"/>
  <c r="AI41" i="58411"/>
  <c r="AH57" i="58411"/>
  <c r="S72" i="58411"/>
  <c r="AE384" i="58411"/>
  <c r="AF27" i="58411"/>
  <c r="AI365" i="58411"/>
  <c r="AJ10" i="58411"/>
  <c r="AH374" i="58411"/>
  <c r="AI19" i="58411"/>
  <c r="Z73" i="58411"/>
  <c r="Z74" i="58411" s="1"/>
  <c r="J203" i="6"/>
  <c r="G311" i="6"/>
  <c r="X312" i="6"/>
  <c r="L313" i="6"/>
  <c r="R385" i="6"/>
  <c r="N386" i="6"/>
  <c r="N908" i="58411"/>
  <c r="N909" i="58411"/>
  <c r="G189" i="6"/>
  <c r="S189" i="6"/>
  <c r="N203" i="6"/>
  <c r="H311" i="6"/>
  <c r="Q312" i="6"/>
  <c r="AC312" i="6"/>
  <c r="M313" i="6"/>
  <c r="AC313" i="6"/>
  <c r="T329" i="6"/>
  <c r="S386" i="6"/>
  <c r="AA386" i="6"/>
  <c r="AD385" i="6"/>
  <c r="F385" i="6"/>
  <c r="AU385" i="6" s="1"/>
  <c r="M392" i="6"/>
  <c r="X908" i="58411"/>
  <c r="AA909" i="58411"/>
  <c r="AA908" i="58411"/>
  <c r="O909" i="58411"/>
  <c r="K858" i="58411"/>
  <c r="K859" i="58411"/>
  <c r="V933" i="58411"/>
  <c r="V935" i="58411"/>
  <c r="J933" i="58411"/>
  <c r="J938" i="58411" s="1"/>
  <c r="J935" i="58411"/>
  <c r="Y933" i="58411"/>
  <c r="Y935" i="58411" s="1"/>
  <c r="E933" i="58411"/>
  <c r="E937" i="58411" s="1"/>
  <c r="H189" i="6"/>
  <c r="L189" i="6"/>
  <c r="T189" i="6"/>
  <c r="X189" i="6"/>
  <c r="H188" i="6"/>
  <c r="G204" i="6"/>
  <c r="O204" i="6"/>
  <c r="I311" i="6"/>
  <c r="N312" i="6"/>
  <c r="R312" i="6"/>
  <c r="V312" i="6"/>
  <c r="AD312" i="6"/>
  <c r="N313" i="6"/>
  <c r="R313" i="6"/>
  <c r="V313" i="6"/>
  <c r="AD313" i="6"/>
  <c r="AH310" i="6"/>
  <c r="AH313" i="6" s="1"/>
  <c r="E311" i="6"/>
  <c r="AT311" i="6" s="1"/>
  <c r="I328" i="6"/>
  <c r="Y329" i="6"/>
  <c r="R328" i="6"/>
  <c r="O335" i="6"/>
  <c r="S331" i="6"/>
  <c r="S335" i="6" s="1"/>
  <c r="AT331" i="6"/>
  <c r="H385" i="6"/>
  <c r="L385" i="6"/>
  <c r="T385" i="6"/>
  <c r="X385" i="6"/>
  <c r="AB385" i="6"/>
  <c r="AU384" i="6"/>
  <c r="F386" i="6"/>
  <c r="AU386" i="6" s="1"/>
  <c r="J393" i="6"/>
  <c r="N393" i="6"/>
  <c r="R393" i="6"/>
  <c r="V392" i="6"/>
  <c r="AD393" i="6"/>
  <c r="AH388" i="6"/>
  <c r="AH392" i="6" s="1"/>
  <c r="F392" i="6"/>
  <c r="AU392" i="6" s="1"/>
  <c r="P908" i="58411"/>
  <c r="P909" i="58411"/>
  <c r="V908" i="58411"/>
  <c r="V909" i="58411"/>
  <c r="I893" i="58411"/>
  <c r="C879" i="58411"/>
  <c r="C881" i="58411"/>
  <c r="AA880" i="58411"/>
  <c r="AA879" i="58411"/>
  <c r="S879" i="58411"/>
  <c r="J879" i="58411"/>
  <c r="J880" i="58411"/>
  <c r="V880" i="58411"/>
  <c r="V879" i="58411"/>
  <c r="I879" i="58411"/>
  <c r="I858" i="58411"/>
  <c r="J838" i="58411"/>
  <c r="J839" i="58411" s="1"/>
  <c r="Y936" i="58411"/>
  <c r="AC838" i="58411"/>
  <c r="AC839" i="58411" s="1"/>
  <c r="AG761" i="58411"/>
  <c r="AH745" i="58411"/>
  <c r="AH763" i="58411"/>
  <c r="AI747" i="58411"/>
  <c r="AC754" i="58411"/>
  <c r="AH725" i="58411"/>
  <c r="AG738" i="58411"/>
  <c r="AG390" i="58438" s="1"/>
  <c r="AD654" i="58411"/>
  <c r="AD667" i="58411" s="1"/>
  <c r="AD389" i="58438" s="1"/>
  <c r="AC667" i="58411"/>
  <c r="AG764" i="58411"/>
  <c r="AH748" i="58411"/>
  <c r="AH827" i="58411" s="1"/>
  <c r="AI762" i="58411"/>
  <c r="AJ746" i="58411"/>
  <c r="AG722" i="58411"/>
  <c r="AH709" i="58411"/>
  <c r="AG621" i="58411"/>
  <c r="AH605" i="58411"/>
  <c r="O917" i="58411"/>
  <c r="O920" i="58411"/>
  <c r="O916" i="58411"/>
  <c r="C920" i="58411"/>
  <c r="C916" i="58411"/>
  <c r="C918" i="58411"/>
  <c r="L894" i="58411"/>
  <c r="L887" i="58411"/>
  <c r="L888" i="58411"/>
  <c r="AG525" i="58411"/>
  <c r="AH512" i="58411"/>
  <c r="AH689" i="58411"/>
  <c r="AI673" i="58411"/>
  <c r="AK670" i="58411"/>
  <c r="P623" i="58411"/>
  <c r="Q575" i="58411"/>
  <c r="V915" i="58411"/>
  <c r="F915" i="58411"/>
  <c r="K916" i="58411" s="1"/>
  <c r="AG545" i="58411"/>
  <c r="AG559" i="58411" s="1"/>
  <c r="AH529" i="58411"/>
  <c r="S886" i="58411"/>
  <c r="S884" i="58411"/>
  <c r="S883" i="58411"/>
  <c r="G886" i="58411"/>
  <c r="U863" i="58411"/>
  <c r="AJ690" i="58411"/>
  <c r="AK674" i="58411"/>
  <c r="AG541" i="58411"/>
  <c r="AG420" i="58438" s="1"/>
  <c r="E917" i="58411"/>
  <c r="E920" i="58411"/>
  <c r="E922" i="58411" s="1"/>
  <c r="V203" i="58411"/>
  <c r="V214" i="58411" s="1"/>
  <c r="V368" i="58411"/>
  <c r="W155" i="58411"/>
  <c r="AJ694" i="58411"/>
  <c r="AK678" i="58411"/>
  <c r="AF630" i="58411"/>
  <c r="AF911" i="58411"/>
  <c r="L916" i="58411"/>
  <c r="L920" i="58411"/>
  <c r="L917" i="58411"/>
  <c r="I894" i="58411"/>
  <c r="I887" i="58411"/>
  <c r="Q786" i="58411"/>
  <c r="Q621" i="58411"/>
  <c r="R573" i="58411"/>
  <c r="AI552" i="58411"/>
  <c r="AJ536" i="58411"/>
  <c r="AB861" i="58411"/>
  <c r="W863" i="58411"/>
  <c r="AB488" i="58411"/>
  <c r="AB489" i="58411" s="1"/>
  <c r="AB490" i="58411" s="1"/>
  <c r="AG829" i="58411"/>
  <c r="AH466" i="58411"/>
  <c r="AC823" i="58411"/>
  <c r="AG804" i="58411"/>
  <c r="AH445" i="58411"/>
  <c r="AG845" i="58411"/>
  <c r="AG780" i="58411"/>
  <c r="AH425" i="58411"/>
  <c r="AH550" i="58411"/>
  <c r="AI534" i="58411"/>
  <c r="W907" i="58411"/>
  <c r="W899" i="58411"/>
  <c r="AI468" i="58411"/>
  <c r="AH484" i="58411"/>
  <c r="AG824" i="58411"/>
  <c r="AH461" i="58411"/>
  <c r="AD826" i="58411"/>
  <c r="AG811" i="58411"/>
  <c r="AH452" i="58411"/>
  <c r="AG872" i="58411"/>
  <c r="AG873" i="58411" s="1"/>
  <c r="AG803" i="58411"/>
  <c r="AH444" i="58411"/>
  <c r="AC870" i="58411"/>
  <c r="AC878" i="58411"/>
  <c r="AB928" i="58411"/>
  <c r="AB794" i="58411"/>
  <c r="AB797" i="58411" s="1"/>
  <c r="AE202" i="6" s="1"/>
  <c r="AE205" i="6" s="1"/>
  <c r="AZ205" i="6" s="1"/>
  <c r="O853" i="58411"/>
  <c r="O852" i="58411"/>
  <c r="AD786" i="58411"/>
  <c r="AE431" i="58411"/>
  <c r="I847" i="58411"/>
  <c r="H857" i="58411"/>
  <c r="H846" i="58411"/>
  <c r="AF847" i="58411"/>
  <c r="AF846" i="58411"/>
  <c r="AG827" i="58411"/>
  <c r="AB876" i="58411"/>
  <c r="N877" i="58411"/>
  <c r="M876" i="58411"/>
  <c r="W928" i="58411"/>
  <c r="W794" i="58411"/>
  <c r="H907" i="58411"/>
  <c r="H899" i="58411"/>
  <c r="I900" i="58411"/>
  <c r="AG822" i="58411"/>
  <c r="AH459" i="58411"/>
  <c r="AG809" i="58411"/>
  <c r="AH450" i="58411"/>
  <c r="AG781" i="58411"/>
  <c r="AH426" i="58411"/>
  <c r="K418" i="58411"/>
  <c r="K419" i="58411" s="1"/>
  <c r="U418" i="58411"/>
  <c r="U419" i="58411" s="1"/>
  <c r="AH330" i="58411"/>
  <c r="AG346" i="58411"/>
  <c r="AI263" i="58411"/>
  <c r="AG227" i="58411"/>
  <c r="AF275" i="58411"/>
  <c r="AG140" i="58411"/>
  <c r="AH124" i="58411"/>
  <c r="AC415" i="58411"/>
  <c r="AF384" i="6" s="1"/>
  <c r="AF385" i="6" s="1"/>
  <c r="AH31" i="58411"/>
  <c r="AG372" i="58411"/>
  <c r="AH17" i="58411"/>
  <c r="AH336" i="58411"/>
  <c r="AC215" i="58411"/>
  <c r="AC216" i="58411" s="1"/>
  <c r="AH115" i="58411"/>
  <c r="AG131" i="58411"/>
  <c r="AJ96" i="58411"/>
  <c r="AB72" i="58411"/>
  <c r="AF368" i="58411"/>
  <c r="AF379" i="58411" s="1"/>
  <c r="AI187" i="6" s="1"/>
  <c r="AC379" i="58411"/>
  <c r="AF187" i="6" s="1"/>
  <c r="AI327" i="58411"/>
  <c r="AH343" i="58411"/>
  <c r="AB285" i="58411"/>
  <c r="AB286" i="58411" s="1"/>
  <c r="AB287" i="58411" s="1"/>
  <c r="AH270" i="58411"/>
  <c r="AI238" i="58411"/>
  <c r="AF205" i="58411"/>
  <c r="AG189" i="58411"/>
  <c r="AH206" i="58411"/>
  <c r="AI190" i="58411"/>
  <c r="AH202" i="58411"/>
  <c r="AI186" i="58411"/>
  <c r="V164" i="58411"/>
  <c r="AD383" i="58411"/>
  <c r="AG373" i="58411"/>
  <c r="AD209" i="58411"/>
  <c r="AE193" i="58411"/>
  <c r="AD411" i="58411"/>
  <c r="AH26" i="58411"/>
  <c r="AC365" i="58411"/>
  <c r="AD10" i="58411"/>
  <c r="AD365" i="58411" s="1"/>
  <c r="AF369" i="58411"/>
  <c r="AH373" i="58411"/>
  <c r="AG65" i="58411"/>
  <c r="AG405" i="58411"/>
  <c r="AH46" i="58411"/>
  <c r="AG62" i="58411"/>
  <c r="AI385" i="58411"/>
  <c r="AJ28" i="58411"/>
  <c r="AI134" i="58411"/>
  <c r="AJ118" i="58411"/>
  <c r="N286" i="58411"/>
  <c r="N287" i="58411" s="1"/>
  <c r="M415" i="58411"/>
  <c r="S418" i="58411"/>
  <c r="S419" i="58411" s="1"/>
  <c r="AD384" i="58411"/>
  <c r="AF373" i="58411"/>
  <c r="AG374" i="58411"/>
  <c r="AD203" i="6"/>
  <c r="L312" i="6"/>
  <c r="Z909" i="58411"/>
  <c r="Z908" i="58411"/>
  <c r="U909" i="58411"/>
  <c r="U908" i="58411"/>
  <c r="O189" i="6"/>
  <c r="W189" i="6"/>
  <c r="J205" i="6"/>
  <c r="AD205" i="6"/>
  <c r="M312" i="6"/>
  <c r="Y312" i="6"/>
  <c r="Q313" i="6"/>
  <c r="Y313" i="6"/>
  <c r="G385" i="6"/>
  <c r="O386" i="6"/>
  <c r="W386" i="6"/>
  <c r="S385" i="6"/>
  <c r="AC392" i="6"/>
  <c r="Q908" i="58411"/>
  <c r="Q909" i="58411"/>
  <c r="U879" i="58411"/>
  <c r="U880" i="58411"/>
  <c r="N879" i="58411"/>
  <c r="K838" i="58411"/>
  <c r="K839" i="58411" s="1"/>
  <c r="V859" i="58411"/>
  <c r="N838" i="58411"/>
  <c r="N839" i="58411" s="1"/>
  <c r="V937" i="58411"/>
  <c r="E936" i="58411"/>
  <c r="B933" i="58411"/>
  <c r="B938" i="58411" s="1"/>
  <c r="B935" i="58411"/>
  <c r="AG765" i="58411"/>
  <c r="AH749" i="58411"/>
  <c r="Q188" i="6"/>
  <c r="T188" i="6"/>
  <c r="H205" i="6"/>
  <c r="L205" i="6"/>
  <c r="X205" i="6"/>
  <c r="AB205" i="6"/>
  <c r="F203" i="6"/>
  <c r="AU203" i="6" s="1"/>
  <c r="J311" i="6"/>
  <c r="O312" i="6"/>
  <c r="W312" i="6"/>
  <c r="AA312" i="6"/>
  <c r="O313" i="6"/>
  <c r="S313" i="6"/>
  <c r="W313" i="6"/>
  <c r="AA313" i="6"/>
  <c r="F312" i="6"/>
  <c r="AU312" i="6" s="1"/>
  <c r="V328" i="6"/>
  <c r="V329" i="6"/>
  <c r="M386" i="6"/>
  <c r="Q386" i="6"/>
  <c r="Y386" i="6"/>
  <c r="AC386" i="6"/>
  <c r="O385" i="6"/>
  <c r="W385" i="6"/>
  <c r="L392" i="6"/>
  <c r="O393" i="6"/>
  <c r="T389" i="6"/>
  <c r="W393" i="6"/>
  <c r="J909" i="58411"/>
  <c r="J908" i="58411"/>
  <c r="S909" i="58411"/>
  <c r="S908" i="58411"/>
  <c r="Y909" i="58411"/>
  <c r="Y908" i="58411"/>
  <c r="K908" i="58411"/>
  <c r="E880" i="58411"/>
  <c r="O879" i="58411"/>
  <c r="O880" i="58411"/>
  <c r="Z879" i="58411"/>
  <c r="Z880" i="58411"/>
  <c r="L879" i="58411"/>
  <c r="K879" i="58411"/>
  <c r="K880" i="58411"/>
  <c r="Y859" i="58411"/>
  <c r="Y858" i="58411"/>
  <c r="E837" i="58411"/>
  <c r="M892" i="58411"/>
  <c r="L859" i="58411"/>
  <c r="V837" i="58411"/>
  <c r="AA838" i="58411" s="1"/>
  <c r="AA839" i="58411" s="1"/>
  <c r="AB892" i="58411"/>
  <c r="AH891" i="58411"/>
  <c r="AH836" i="58411"/>
  <c r="AI816" i="58411"/>
  <c r="E938" i="58411"/>
  <c r="J937" i="58411"/>
  <c r="Z933" i="58411"/>
  <c r="Z935" i="58411"/>
  <c r="N933" i="58411"/>
  <c r="N936" i="58411" s="1"/>
  <c r="N935" i="58411"/>
  <c r="F933" i="58411"/>
  <c r="F938" i="58411" s="1"/>
  <c r="F935" i="58411"/>
  <c r="AA933" i="58411"/>
  <c r="U933" i="58411"/>
  <c r="U935" i="58411" s="1"/>
  <c r="I933" i="58411"/>
  <c r="I937" i="58411" s="1"/>
  <c r="AI766" i="58411"/>
  <c r="AJ750" i="58411"/>
  <c r="B837" i="58411"/>
  <c r="C838" i="58411" s="1"/>
  <c r="C839" i="58411" s="1"/>
  <c r="T933" i="58411"/>
  <c r="L935" i="58411"/>
  <c r="L933" i="58411"/>
  <c r="T837" i="58411"/>
  <c r="C937" i="58411"/>
  <c r="J936" i="58411"/>
  <c r="K933" i="58411"/>
  <c r="K937" i="58411" s="1"/>
  <c r="K935" i="58411"/>
  <c r="AG683" i="58411"/>
  <c r="AG422" i="58438" s="1"/>
  <c r="W772" i="58411"/>
  <c r="AH759" i="58411"/>
  <c r="AI743" i="58411"/>
  <c r="AG754" i="58411"/>
  <c r="AG423" i="58438" s="1"/>
  <c r="AG757" i="58411"/>
  <c r="AH741" i="58411"/>
  <c r="AG696" i="58411"/>
  <c r="AH680" i="58411"/>
  <c r="R772" i="58411"/>
  <c r="R773" i="58411" s="1"/>
  <c r="R774" i="58411" s="1"/>
  <c r="AB701" i="58411"/>
  <c r="AB702" i="58411" s="1"/>
  <c r="AB703" i="58411" s="1"/>
  <c r="AJ698" i="58411"/>
  <c r="AK682" i="58411"/>
  <c r="AE912" i="58411"/>
  <c r="AE915" i="58411"/>
  <c r="W911" i="58411"/>
  <c r="G920" i="58411"/>
  <c r="F863" i="58411"/>
  <c r="F865" i="58411" s="1"/>
  <c r="AC683" i="58411"/>
  <c r="AC911" i="58411" s="1"/>
  <c r="AG616" i="58411"/>
  <c r="AH600" i="58411"/>
  <c r="Q792" i="58411"/>
  <c r="Q627" i="58411"/>
  <c r="R579" i="58411"/>
  <c r="Q622" i="58411"/>
  <c r="R574" i="58411"/>
  <c r="Z915" i="58411"/>
  <c r="Y863" i="58411"/>
  <c r="AH693" i="58411"/>
  <c r="AI677" i="58411"/>
  <c r="AG612" i="58411"/>
  <c r="AG421" i="58438" s="1"/>
  <c r="W630" i="58411"/>
  <c r="I916" i="58411"/>
  <c r="I920" i="58411"/>
  <c r="V886" i="58411"/>
  <c r="AH697" i="58411"/>
  <c r="AI681" i="58411"/>
  <c r="AI667" i="58411"/>
  <c r="AI389" i="58438" s="1"/>
  <c r="AJ654" i="58411"/>
  <c r="AJ686" i="58411" s="1"/>
  <c r="AB911" i="58411"/>
  <c r="Q894" i="58411"/>
  <c r="Q887" i="58411"/>
  <c r="Q888" i="58411"/>
  <c r="AA863" i="58411"/>
  <c r="K863" i="58411"/>
  <c r="C863" i="58411"/>
  <c r="C864" i="58411" s="1"/>
  <c r="AI619" i="58411"/>
  <c r="AJ603" i="58411"/>
  <c r="AH546" i="58411"/>
  <c r="AI530" i="58411"/>
  <c r="M860" i="58411"/>
  <c r="AB834" i="58411"/>
  <c r="AG825" i="58411"/>
  <c r="AH462" i="58411"/>
  <c r="AD872" i="58411"/>
  <c r="AD803" i="58411"/>
  <c r="M870" i="58411"/>
  <c r="M878" i="58411"/>
  <c r="AG869" i="58411"/>
  <c r="AG800" i="58411"/>
  <c r="AH441" i="58411"/>
  <c r="P851" i="58411"/>
  <c r="P787" i="58411"/>
  <c r="P438" i="58411"/>
  <c r="P480" i="58411"/>
  <c r="P488" i="58411" s="1"/>
  <c r="Q432" i="58411"/>
  <c r="AH622" i="58411"/>
  <c r="AI606" i="58411"/>
  <c r="AH615" i="58411"/>
  <c r="M834" i="58411"/>
  <c r="AF829" i="58411"/>
  <c r="AH823" i="58411"/>
  <c r="AI460" i="58411"/>
  <c r="AH476" i="58411"/>
  <c r="AB814" i="58411"/>
  <c r="AB817" i="58411" s="1"/>
  <c r="AH810" i="58411"/>
  <c r="AI451" i="58411"/>
  <c r="AB857" i="58411"/>
  <c r="AB846" i="58411"/>
  <c r="AD789" i="58411"/>
  <c r="AE434" i="58411"/>
  <c r="AD785" i="58411"/>
  <c r="AE430" i="58411"/>
  <c r="R928" i="58411"/>
  <c r="AG783" i="58411"/>
  <c r="AH428" i="58411"/>
  <c r="AC780" i="58411"/>
  <c r="AD596" i="58411"/>
  <c r="AD388" i="58438" s="1"/>
  <c r="AI580" i="58411"/>
  <c r="AJ567" i="58411"/>
  <c r="AJ551" i="58411"/>
  <c r="AK535" i="58411"/>
  <c r="AJ528" i="58411"/>
  <c r="L864" i="58411"/>
  <c r="AJ496" i="58411"/>
  <c r="AI509" i="58411"/>
  <c r="R902" i="58411"/>
  <c r="AG904" i="58411"/>
  <c r="AG905" i="58411" s="1"/>
  <c r="AF907" i="58411"/>
  <c r="AF899" i="58411"/>
  <c r="AC899" i="58411"/>
  <c r="R878" i="58411"/>
  <c r="R870" i="58411"/>
  <c r="AB849" i="58411"/>
  <c r="X847" i="58411"/>
  <c r="X857" i="58411"/>
  <c r="X846" i="58411"/>
  <c r="W857" i="58411"/>
  <c r="W846" i="58411"/>
  <c r="AE886" i="58411"/>
  <c r="AE883" i="58411"/>
  <c r="AG860" i="58411"/>
  <c r="R834" i="58411"/>
  <c r="AF831" i="58411"/>
  <c r="AG826" i="58411"/>
  <c r="AH463" i="58411"/>
  <c r="R876" i="58411"/>
  <c r="S877" i="58411"/>
  <c r="I877" i="58411"/>
  <c r="H876" i="58411"/>
  <c r="AG805" i="58411"/>
  <c r="AH446" i="58411"/>
  <c r="AD792" i="58411"/>
  <c r="AE437" i="58411"/>
  <c r="R849" i="58411"/>
  <c r="O928" i="58411"/>
  <c r="O794" i="58411"/>
  <c r="AG207" i="58411"/>
  <c r="AH191" i="58411"/>
  <c r="AG476" i="58411"/>
  <c r="O418" i="58411"/>
  <c r="O419" i="58411" s="1"/>
  <c r="AG484" i="58411"/>
  <c r="C418" i="58411"/>
  <c r="C419" i="58411" s="1"/>
  <c r="AB357" i="58411"/>
  <c r="AB358" i="58411" s="1"/>
  <c r="AH345" i="58411"/>
  <c r="AI329" i="58411"/>
  <c r="AI335" i="58411"/>
  <c r="Q286" i="58411"/>
  <c r="Q287" i="58411" s="1"/>
  <c r="O215" i="58411"/>
  <c r="O216" i="58411" s="1"/>
  <c r="AG136" i="58411"/>
  <c r="AH120" i="58411"/>
  <c r="AH408" i="58411" s="1"/>
  <c r="AG63" i="58411"/>
  <c r="R72" i="58411"/>
  <c r="AB417" i="58411"/>
  <c r="AD393" i="58411"/>
  <c r="AG368" i="58411"/>
  <c r="AH13" i="58411"/>
  <c r="AJ309" i="58411"/>
  <c r="AH273" i="58411"/>
  <c r="AI257" i="58411"/>
  <c r="AK254" i="58411"/>
  <c r="AI222" i="58411"/>
  <c r="AE192" i="58411"/>
  <c r="AD208" i="58411"/>
  <c r="AD214" i="58411" s="1"/>
  <c r="AE411" i="58411"/>
  <c r="AF123" i="58411"/>
  <c r="AJ113" i="58411"/>
  <c r="AD409" i="58411"/>
  <c r="AH271" i="58411"/>
  <c r="AI255" i="58411"/>
  <c r="K357" i="58411"/>
  <c r="K358" i="58411" s="1"/>
  <c r="AI337" i="58411"/>
  <c r="AH332" i="58411"/>
  <c r="AH407" i="58411" s="1"/>
  <c r="AG348" i="58411"/>
  <c r="R285" i="58411"/>
  <c r="R286" i="58411" s="1"/>
  <c r="R287" i="58411" s="1"/>
  <c r="AK262" i="58411"/>
  <c r="AJ188" i="58411"/>
  <c r="AI204" i="58411"/>
  <c r="V379" i="58411"/>
  <c r="Y187" i="6" s="1"/>
  <c r="Y188" i="6" s="1"/>
  <c r="W72" i="58411"/>
  <c r="W73" i="58411" s="1"/>
  <c r="W74" i="58411" s="1"/>
  <c r="AG403" i="58411"/>
  <c r="AF370" i="58411"/>
  <c r="AD901" i="58411"/>
  <c r="AD902" i="58411" s="1"/>
  <c r="H356" i="58411"/>
  <c r="H357" i="58411" s="1"/>
  <c r="H358" i="58411" s="1"/>
  <c r="AF274" i="58411"/>
  <c r="AD109" i="58411"/>
  <c r="AK51" i="58411"/>
  <c r="AC397" i="58411"/>
  <c r="AF327" i="6" s="1"/>
  <c r="AF329" i="6" s="1"/>
  <c r="AG387" i="58411"/>
  <c r="AH30" i="58411"/>
  <c r="AC369" i="58411"/>
  <c r="AD14" i="58411"/>
  <c r="AD369" i="58411" s="1"/>
  <c r="M379" i="58411"/>
  <c r="P187" i="6" s="1"/>
  <c r="U189" i="6" s="1"/>
  <c r="AX189" i="6" s="1"/>
  <c r="AH366" i="58411"/>
  <c r="AI11" i="58411"/>
  <c r="AG371" i="58411"/>
  <c r="AH16" i="58411"/>
  <c r="Y286" i="58411"/>
  <c r="Y287" i="58411" s="1"/>
  <c r="AC54" i="58411"/>
  <c r="Z286" i="58411"/>
  <c r="Z287" i="58411" s="1"/>
  <c r="AE130" i="58411"/>
  <c r="AF130" i="58411" s="1"/>
  <c r="AG130" i="58411" s="1"/>
  <c r="AH130" i="58411" s="1"/>
  <c r="AI130" i="58411" s="1"/>
  <c r="AJ130" i="58411" s="1"/>
  <c r="AK130" i="58411" s="1"/>
  <c r="AL130" i="58411" s="1"/>
  <c r="AM130" i="58411" s="1"/>
  <c r="AN130" i="58411" s="1"/>
  <c r="W144" i="58411"/>
  <c r="W145" i="58411" s="1"/>
  <c r="AH69" i="58411"/>
  <c r="AI53" i="58411"/>
  <c r="AG61" i="58411"/>
  <c r="AI29" i="58411"/>
  <c r="AH386" i="58411"/>
  <c r="AE410" i="58411"/>
  <c r="AF122" i="58411"/>
  <c r="AG57" i="58411"/>
  <c r="AJ48" i="58411"/>
  <c r="AI45" i="58411"/>
  <c r="AH61" i="58411"/>
  <c r="AG400" i="58411"/>
  <c r="AI37" i="58411"/>
  <c r="AH370" i="58411"/>
  <c r="AI15" i="58411"/>
  <c r="AG367" i="58411"/>
  <c r="AH12" i="58411"/>
  <c r="N73" i="58411"/>
  <c r="N74" i="58411" s="1"/>
  <c r="AJ94" i="6"/>
  <c r="AL94" i="6" s="1"/>
  <c r="AM94" i="6" s="1"/>
  <c r="AN94" i="6" s="1"/>
  <c r="AO94" i="6" s="1"/>
  <c r="AP94" i="6" s="1"/>
  <c r="AQ94" i="6" s="1"/>
  <c r="AW106" i="6"/>
  <c r="AQ154" i="6"/>
  <c r="BD154" i="6" s="1"/>
  <c r="BC154" i="6"/>
  <c r="AO248" i="6"/>
  <c r="K154" i="6"/>
  <c r="AV106" i="6"/>
  <c r="Z248" i="6"/>
  <c r="AY248" i="6" s="1"/>
  <c r="BC113" i="6"/>
  <c r="AK594" i="6"/>
  <c r="AL594" i="6" s="1"/>
  <c r="AM594" i="6" s="1"/>
  <c r="AN594" i="6" s="1"/>
  <c r="AO594" i="6" s="1"/>
  <c r="BA594" i="6"/>
  <c r="AO496" i="6"/>
  <c r="BB496" i="6" s="1"/>
  <c r="AO119" i="6"/>
  <c r="BB119" i="6" s="1"/>
  <c r="K113" i="6"/>
  <c r="AV113" i="6" s="1"/>
  <c r="BB154" i="6"/>
  <c r="F154" i="6"/>
  <c r="AU154" i="6" s="1"/>
  <c r="BA165" i="6"/>
  <c r="F188" i="6"/>
  <c r="AU188" i="6" s="1"/>
  <c r="J188" i="6"/>
  <c r="N188" i="6"/>
  <c r="R188" i="6"/>
  <c r="V188" i="6"/>
  <c r="AD188" i="6"/>
  <c r="P189" i="6"/>
  <c r="AW189" i="6" s="1"/>
  <c r="H203" i="6"/>
  <c r="X203" i="6"/>
  <c r="AB203" i="6"/>
  <c r="F204" i="6"/>
  <c r="AU204" i="6" s="1"/>
  <c r="J204" i="6"/>
  <c r="N204" i="6"/>
  <c r="AD204" i="6"/>
  <c r="AU202" i="6"/>
  <c r="E205" i="6"/>
  <c r="AT205" i="6" s="1"/>
  <c r="I205" i="6"/>
  <c r="M205" i="6"/>
  <c r="Q205" i="6"/>
  <c r="AC205" i="6"/>
  <c r="AW244" i="6"/>
  <c r="I261" i="6"/>
  <c r="I259" i="6"/>
  <c r="I263" i="6" s="1"/>
  <c r="W261" i="6"/>
  <c r="AG261" i="6"/>
  <c r="AG259" i="6"/>
  <c r="X257" i="6"/>
  <c r="M284" i="6"/>
  <c r="M279" i="6"/>
  <c r="AB279" i="6"/>
  <c r="AG284" i="6"/>
  <c r="AG279" i="6"/>
  <c r="AO116" i="6"/>
  <c r="P113" i="6"/>
  <c r="AW113" i="6" s="1"/>
  <c r="BB165" i="6"/>
  <c r="G188" i="6"/>
  <c r="O188" i="6"/>
  <c r="S188" i="6"/>
  <c r="W188" i="6"/>
  <c r="I189" i="6"/>
  <c r="M189" i="6"/>
  <c r="Q189" i="6"/>
  <c r="AC189" i="6"/>
  <c r="I203" i="6"/>
  <c r="M203" i="6"/>
  <c r="Y203" i="6"/>
  <c r="AC203" i="6"/>
  <c r="F205" i="6"/>
  <c r="AU205" i="6" s="1"/>
  <c r="N205" i="6"/>
  <c r="AX244" i="6"/>
  <c r="K245" i="6"/>
  <c r="AV245" i="6" s="1"/>
  <c r="AE245" i="6"/>
  <c r="AZ245" i="6" s="1"/>
  <c r="E263" i="6"/>
  <c r="AT259" i="6"/>
  <c r="AC250" i="6"/>
  <c r="AC267" i="6"/>
  <c r="AC261" i="6"/>
  <c r="AC259" i="6"/>
  <c r="T257" i="6"/>
  <c r="AT277" i="6"/>
  <c r="E279" i="6"/>
  <c r="IJ692" i="58479" s="1"/>
  <c r="N279" i="6"/>
  <c r="X279" i="6"/>
  <c r="IH602" i="58481" s="1"/>
  <c r="AC284" i="6"/>
  <c r="AC279" i="6"/>
  <c r="AH279" i="6"/>
  <c r="AH284" i="6"/>
  <c r="AT106" i="6"/>
  <c r="BC107" i="6"/>
  <c r="R494" i="6"/>
  <c r="S494" i="6" s="1"/>
  <c r="T494" i="6" s="1"/>
  <c r="W494" i="6"/>
  <c r="X494" i="6" s="1"/>
  <c r="Y494" i="6" s="1"/>
  <c r="AB494" i="6"/>
  <c r="AC494" i="6" s="1"/>
  <c r="AD494" i="6" s="1"/>
  <c r="AO113" i="6"/>
  <c r="BB113" i="6" s="1"/>
  <c r="U113" i="6"/>
  <c r="AX113" i="6" s="1"/>
  <c r="L188" i="6"/>
  <c r="F189" i="6"/>
  <c r="AU189" i="6" s="1"/>
  <c r="H204" i="6"/>
  <c r="L204" i="6"/>
  <c r="X204" i="6"/>
  <c r="AB204" i="6"/>
  <c r="AW202" i="6"/>
  <c r="G205" i="6"/>
  <c r="O205" i="6"/>
  <c r="W205" i="6"/>
  <c r="P245" i="6"/>
  <c r="AW245" i="6" s="1"/>
  <c r="Q267" i="6"/>
  <c r="Q250" i="6"/>
  <c r="Q261" i="6"/>
  <c r="Q259" i="6"/>
  <c r="U249" i="6"/>
  <c r="IF657" i="58479" s="1"/>
  <c r="Y250" i="6"/>
  <c r="Y267" i="6"/>
  <c r="Y261" i="6"/>
  <c r="Y259" i="6"/>
  <c r="AD267" i="6"/>
  <c r="AE256" i="6"/>
  <c r="AE113" i="6"/>
  <c r="AZ113" i="6" s="1"/>
  <c r="AJ119" i="6"/>
  <c r="BA119" i="6" s="1"/>
  <c r="Z113" i="6"/>
  <c r="AY113" i="6" s="1"/>
  <c r="K189" i="6"/>
  <c r="AV189" i="6" s="1"/>
  <c r="AT202" i="6"/>
  <c r="AZ244" i="6"/>
  <c r="M267" i="6"/>
  <c r="M250" i="6"/>
  <c r="M261" i="6"/>
  <c r="M259" i="6"/>
  <c r="V267" i="6"/>
  <c r="AA261" i="6"/>
  <c r="AB257" i="6"/>
  <c r="K266" i="6"/>
  <c r="AW275" i="6"/>
  <c r="P282" i="6"/>
  <c r="AW282" i="6" s="1"/>
  <c r="AY275" i="6"/>
  <c r="AY278" i="6"/>
  <c r="AZ276" i="6"/>
  <c r="AE249" i="6"/>
  <c r="N250" i="6"/>
  <c r="R250" i="6"/>
  <c r="V250" i="6"/>
  <c r="AD250" i="6"/>
  <c r="F250" i="6"/>
  <c r="AU250" i="6" s="1"/>
  <c r="U256" i="6"/>
  <c r="Z257" i="6" s="1"/>
  <c r="AY257" i="6" s="1"/>
  <c r="P266" i="6"/>
  <c r="N267" i="6"/>
  <c r="R267" i="6"/>
  <c r="AE265" i="6"/>
  <c r="AZ265" i="6" s="1"/>
  <c r="W267" i="6"/>
  <c r="AA267" i="6"/>
  <c r="F277" i="6"/>
  <c r="IK690" i="58479" s="1"/>
  <c r="O277" i="6"/>
  <c r="T277" i="6"/>
  <c r="Y277" i="6"/>
  <c r="II600" i="58481" s="1"/>
  <c r="AD277" i="6"/>
  <c r="P276" i="6"/>
  <c r="IM689" i="58479" s="1"/>
  <c r="U278" i="6"/>
  <c r="IN691" i="58479" s="1"/>
  <c r="Z276" i="6"/>
  <c r="AE278" i="6"/>
  <c r="AJ276" i="6"/>
  <c r="FS575" i="58502" s="1"/>
  <c r="L282" i="6"/>
  <c r="X282" i="6"/>
  <c r="AB282" i="6"/>
  <c r="AF282" i="6"/>
  <c r="AA283" i="6"/>
  <c r="F283" i="6"/>
  <c r="AU283" i="6" s="1"/>
  <c r="N311" i="6"/>
  <c r="R311" i="6"/>
  <c r="V311" i="6"/>
  <c r="AD311" i="6"/>
  <c r="AU309" i="6"/>
  <c r="AU310" i="6"/>
  <c r="L328" i="6"/>
  <c r="AD329" i="6"/>
  <c r="J336" i="6"/>
  <c r="N335" i="6"/>
  <c r="R335" i="6"/>
  <c r="V335" i="6"/>
  <c r="AD335" i="6"/>
  <c r="J332" i="6"/>
  <c r="O250" i="6"/>
  <c r="S250" i="6"/>
  <c r="W250" i="6"/>
  <c r="AA250" i="6"/>
  <c r="J259" i="6"/>
  <c r="J263" i="6" s="1"/>
  <c r="N259" i="6"/>
  <c r="R259" i="6"/>
  <c r="V259" i="6"/>
  <c r="AD259" i="6"/>
  <c r="AH259" i="6"/>
  <c r="F259" i="6"/>
  <c r="V261" i="6"/>
  <c r="AD261" i="6"/>
  <c r="AY264" i="6"/>
  <c r="K265" i="6"/>
  <c r="AV265" i="6" s="1"/>
  <c r="O267" i="6"/>
  <c r="S267" i="6"/>
  <c r="Z266" i="6"/>
  <c r="X267" i="6"/>
  <c r="AB267" i="6"/>
  <c r="U265" i="6"/>
  <c r="AX265" i="6" s="1"/>
  <c r="L277" i="6"/>
  <c r="Q277" i="6"/>
  <c r="V277" i="6"/>
  <c r="IF600" i="58481" s="1"/>
  <c r="AA277" i="6"/>
  <c r="AF277" i="6"/>
  <c r="AU278" i="6"/>
  <c r="U275" i="6"/>
  <c r="IN688" i="58479" s="1"/>
  <c r="AE275" i="6"/>
  <c r="M282" i="6"/>
  <c r="AC282" i="6"/>
  <c r="AG282" i="6"/>
  <c r="V285" i="6"/>
  <c r="AT275" i="6"/>
  <c r="O311" i="6"/>
  <c r="S311" i="6"/>
  <c r="W311" i="6"/>
  <c r="AA311" i="6"/>
  <c r="F313" i="6"/>
  <c r="AU313" i="6" s="1"/>
  <c r="Q328" i="6"/>
  <c r="P329" i="6"/>
  <c r="AW329" i="6" s="1"/>
  <c r="U329" i="6"/>
  <c r="AX329" i="6" s="1"/>
  <c r="H332" i="6"/>
  <c r="X332" i="6"/>
  <c r="AB332" i="6"/>
  <c r="G259" i="6"/>
  <c r="G263" i="6" s="1"/>
  <c r="O259" i="6"/>
  <c r="S259" i="6"/>
  <c r="W259" i="6"/>
  <c r="AA259" i="6"/>
  <c r="AV264" i="6"/>
  <c r="P265" i="6"/>
  <c r="AW265" i="6" s="1"/>
  <c r="L267" i="6"/>
  <c r="T267" i="6"/>
  <c r="R277" i="6"/>
  <c r="W277" i="6"/>
  <c r="P278" i="6"/>
  <c r="IM691" i="58479" s="1"/>
  <c r="U276" i="6"/>
  <c r="IN689" i="58479" s="1"/>
  <c r="N282" i="6"/>
  <c r="V282" i="6"/>
  <c r="K285" i="6"/>
  <c r="AV285" i="6" s="1"/>
  <c r="L311" i="6"/>
  <c r="T311" i="6"/>
  <c r="X311" i="6"/>
  <c r="AB311" i="6"/>
  <c r="G328" i="6"/>
  <c r="AV327" i="6"/>
  <c r="K329" i="6"/>
  <c r="AV329" i="6" s="1"/>
  <c r="AZ327" i="6"/>
  <c r="W328" i="6"/>
  <c r="AB329" i="6"/>
  <c r="H336" i="6"/>
  <c r="I332" i="6"/>
  <c r="L335" i="6"/>
  <c r="L336" i="6"/>
  <c r="M332" i="6"/>
  <c r="P336" i="6"/>
  <c r="AW336" i="6" s="1"/>
  <c r="AW331" i="6"/>
  <c r="Q332" i="6"/>
  <c r="T335" i="6"/>
  <c r="T336" i="6"/>
  <c r="X336" i="6"/>
  <c r="Y332" i="6"/>
  <c r="AB335" i="6"/>
  <c r="AB336" i="6"/>
  <c r="AC332" i="6"/>
  <c r="Z249" i="6"/>
  <c r="IG657" i="58479" s="1"/>
  <c r="H259" i="6"/>
  <c r="H263" i="6" s="1"/>
  <c r="L259" i="6"/>
  <c r="T259" i="6"/>
  <c r="X259" i="6"/>
  <c r="AB259" i="6"/>
  <c r="AF259" i="6"/>
  <c r="Z265" i="6"/>
  <c r="AY265" i="6" s="1"/>
  <c r="S277" i="6"/>
  <c r="AU275" i="6"/>
  <c r="K277" i="6"/>
  <c r="IL690" i="58479" s="1"/>
  <c r="AA298" i="6"/>
  <c r="AA300" i="6" s="1"/>
  <c r="AA302" i="6" s="1"/>
  <c r="AA306" i="6" s="1"/>
  <c r="AE306" i="6" s="1"/>
  <c r="M311" i="6"/>
  <c r="Q311" i="6"/>
  <c r="Y311" i="6"/>
  <c r="AC311" i="6"/>
  <c r="U312" i="6"/>
  <c r="AX312" i="6" s="1"/>
  <c r="F311" i="6"/>
  <c r="H328" i="6"/>
  <c r="T328" i="6"/>
  <c r="X328" i="6"/>
  <c r="AB328" i="6"/>
  <c r="O328" i="6"/>
  <c r="S328" i="6"/>
  <c r="Y328" i="6"/>
  <c r="X329" i="6"/>
  <c r="AC329" i="6"/>
  <c r="AT327" i="6"/>
  <c r="M336" i="6"/>
  <c r="M335" i="6"/>
  <c r="Q336" i="6"/>
  <c r="Q335" i="6"/>
  <c r="U336" i="6"/>
  <c r="AX336" i="6" s="1"/>
  <c r="AX331" i="6"/>
  <c r="U335" i="6"/>
  <c r="AX335" i="6" s="1"/>
  <c r="U334" i="6"/>
  <c r="AX334" i="6" s="1"/>
  <c r="Y336" i="6"/>
  <c r="Y335" i="6"/>
  <c r="AC336" i="6"/>
  <c r="AC335" i="6"/>
  <c r="E336" i="6"/>
  <c r="AT336" i="6" s="1"/>
  <c r="E332" i="6"/>
  <c r="AT332" i="6" s="1"/>
  <c r="F336" i="6"/>
  <c r="AU336" i="6" s="1"/>
  <c r="N336" i="6"/>
  <c r="R336" i="6"/>
  <c r="V336" i="6"/>
  <c r="AD336" i="6"/>
  <c r="AX354" i="6"/>
  <c r="AX371" i="6"/>
  <c r="U372" i="6"/>
  <c r="AX372" i="6" s="1"/>
  <c r="M385" i="6"/>
  <c r="Q385" i="6"/>
  <c r="Y385" i="6"/>
  <c r="AC385" i="6"/>
  <c r="L386" i="6"/>
  <c r="T386" i="6"/>
  <c r="X386" i="6"/>
  <c r="AB386" i="6"/>
  <c r="H393" i="6"/>
  <c r="H389" i="6"/>
  <c r="L393" i="6"/>
  <c r="T393" i="6"/>
  <c r="X393" i="6"/>
  <c r="AB393" i="6"/>
  <c r="O389" i="6"/>
  <c r="S389" i="6"/>
  <c r="W389" i="6"/>
  <c r="AA389" i="6"/>
  <c r="R392" i="6"/>
  <c r="X392" i="6"/>
  <c r="E393" i="6"/>
  <c r="AT393" i="6" s="1"/>
  <c r="F389" i="6"/>
  <c r="S393" i="6"/>
  <c r="AA393" i="6"/>
  <c r="AV423" i="6"/>
  <c r="K429" i="6"/>
  <c r="AV429" i="6" s="1"/>
  <c r="K424" i="6"/>
  <c r="AV424" i="6" s="1"/>
  <c r="P424" i="6"/>
  <c r="AW424" i="6" s="1"/>
  <c r="AZ423" i="6"/>
  <c r="AE429" i="6"/>
  <c r="AZ429" i="6" s="1"/>
  <c r="F335" i="6"/>
  <c r="AU335" i="6" s="1"/>
  <c r="G336" i="6"/>
  <c r="O336" i="6"/>
  <c r="W336" i="6"/>
  <c r="AA336" i="6"/>
  <c r="AY354" i="6"/>
  <c r="Z355" i="6"/>
  <c r="AY355" i="6" s="1"/>
  <c r="I393" i="6"/>
  <c r="I389" i="6"/>
  <c r="M393" i="6"/>
  <c r="Q393" i="6"/>
  <c r="Y393" i="6"/>
  <c r="AC393" i="6"/>
  <c r="X389" i="6"/>
  <c r="AB389" i="6"/>
  <c r="N392" i="6"/>
  <c r="T392" i="6"/>
  <c r="Y392" i="6"/>
  <c r="AD392" i="6"/>
  <c r="V393" i="6"/>
  <c r="AP423" i="6"/>
  <c r="BB423" i="6"/>
  <c r="AO429" i="6"/>
  <c r="BB429" i="6" s="1"/>
  <c r="P438" i="6"/>
  <c r="AW438" i="6" s="1"/>
  <c r="AW437" i="6"/>
  <c r="W335" i="6"/>
  <c r="AA335" i="6"/>
  <c r="AV354" i="6"/>
  <c r="AZ354" i="6"/>
  <c r="K355" i="6"/>
  <c r="AV355" i="6" s="1"/>
  <c r="AE355" i="6"/>
  <c r="AZ355" i="6" s="1"/>
  <c r="J389" i="6"/>
  <c r="G393" i="6"/>
  <c r="AV426" i="6"/>
  <c r="K427" i="6"/>
  <c r="AV427" i="6" s="1"/>
  <c r="P427" i="6"/>
  <c r="AW427" i="6" s="1"/>
  <c r="AW426" i="6"/>
  <c r="AX426" i="6"/>
  <c r="AZ426" i="6"/>
  <c r="AW354" i="6"/>
  <c r="AW371" i="6"/>
  <c r="BA371" i="6"/>
  <c r="P372" i="6"/>
  <c r="AW372" i="6" s="1"/>
  <c r="AJ372" i="6"/>
  <c r="BA372" i="6" s="1"/>
  <c r="K386" i="6"/>
  <c r="AV386" i="6" s="1"/>
  <c r="G389" i="6"/>
  <c r="O392" i="6"/>
  <c r="S392" i="6"/>
  <c r="W392" i="6"/>
  <c r="AA392" i="6"/>
  <c r="N389" i="6"/>
  <c r="R389" i="6"/>
  <c r="AD389" i="6"/>
  <c r="Q392" i="6"/>
  <c r="AB392" i="6"/>
  <c r="AP426" i="6"/>
  <c r="BB426" i="6"/>
  <c r="AJ431" i="6"/>
  <c r="AE408" i="6"/>
  <c r="AZ408" i="6" s="1"/>
  <c r="O424" i="6"/>
  <c r="S424" i="6"/>
  <c r="W424" i="6"/>
  <c r="AA424" i="6"/>
  <c r="BA423" i="6"/>
  <c r="AA427" i="6"/>
  <c r="G429" i="6"/>
  <c r="G430" i="6" s="1"/>
  <c r="N429" i="6"/>
  <c r="N430" i="6" s="1"/>
  <c r="S429" i="6"/>
  <c r="S430" i="6" s="1"/>
  <c r="AC429" i="6"/>
  <c r="AC430" i="6" s="1"/>
  <c r="AK429" i="6"/>
  <c r="AK431" i="6" s="1"/>
  <c r="K432" i="6"/>
  <c r="AV432" i="6" s="1"/>
  <c r="AA432" i="6"/>
  <c r="K433" i="6"/>
  <c r="AV433" i="6" s="1"/>
  <c r="F432" i="6"/>
  <c r="AU432" i="6" s="1"/>
  <c r="V437" i="6"/>
  <c r="AC452" i="6"/>
  <c r="AP466" i="6"/>
  <c r="AV407" i="6"/>
  <c r="K408" i="6"/>
  <c r="AV408" i="6" s="1"/>
  <c r="U423" i="6"/>
  <c r="AT423" i="6"/>
  <c r="O429" i="6"/>
  <c r="O430" i="6" s="1"/>
  <c r="Y429" i="6"/>
  <c r="Y430" i="6" s="1"/>
  <c r="AD429" i="6"/>
  <c r="AD430" i="6" s="1"/>
  <c r="G432" i="6"/>
  <c r="Q432" i="6"/>
  <c r="W432" i="6"/>
  <c r="P433" i="6"/>
  <c r="AW433" i="6" s="1"/>
  <c r="V443" i="6"/>
  <c r="P451" i="6"/>
  <c r="Q452" i="6"/>
  <c r="U451" i="6"/>
  <c r="Y452" i="6"/>
  <c r="AD452" i="6"/>
  <c r="U455" i="6"/>
  <c r="AC459" i="6"/>
  <c r="BB467" i="6"/>
  <c r="AP467" i="6"/>
  <c r="Z423" i="6"/>
  <c r="Z426" i="6"/>
  <c r="E429" i="6"/>
  <c r="I429" i="6"/>
  <c r="I430" i="6" s="1"/>
  <c r="V429" i="6"/>
  <c r="V430" i="6" s="1"/>
  <c r="Z430" i="6" s="1"/>
  <c r="AA429" i="6"/>
  <c r="AA430" i="6" s="1"/>
  <c r="AE430" i="6" s="1"/>
  <c r="AZ431" i="6"/>
  <c r="M432" i="6"/>
  <c r="Z433" i="6"/>
  <c r="AY433" i="6" s="1"/>
  <c r="AX431" i="6"/>
  <c r="AX443" i="6"/>
  <c r="U444" i="6"/>
  <c r="AX444" i="6" s="1"/>
  <c r="M452" i="6"/>
  <c r="R452" i="6"/>
  <c r="R456" i="6"/>
  <c r="Y459" i="6"/>
  <c r="AX407" i="6"/>
  <c r="Z408" i="6"/>
  <c r="AY408" i="6" s="1"/>
  <c r="N424" i="6"/>
  <c r="R424" i="6"/>
  <c r="V424" i="6"/>
  <c r="AD424" i="6"/>
  <c r="F424" i="6"/>
  <c r="AU424" i="6" s="1"/>
  <c r="J429" i="6"/>
  <c r="J430" i="6" s="1"/>
  <c r="R429" i="6"/>
  <c r="R430" i="6" s="1"/>
  <c r="U430" i="6" s="1"/>
  <c r="AE432" i="6"/>
  <c r="AZ432" i="6" s="1"/>
  <c r="T437" i="6"/>
  <c r="Y437" i="6" s="1"/>
  <c r="AD437" i="6" s="1"/>
  <c r="AI437" i="6" s="1"/>
  <c r="AN437" i="6" s="1"/>
  <c r="AV437" i="6"/>
  <c r="AL451" i="6"/>
  <c r="AL33" i="6" s="1"/>
  <c r="AL42" i="6" s="1"/>
  <c r="V452" i="6"/>
  <c r="N456" i="6"/>
  <c r="AG456" i="6"/>
  <c r="AL455" i="6"/>
  <c r="M459" i="6"/>
  <c r="Q459" i="6"/>
  <c r="Z458" i="6"/>
  <c r="AE459" i="6" s="1"/>
  <c r="AZ459" i="6" s="1"/>
  <c r="AZ458" i="6"/>
  <c r="AF459" i="6"/>
  <c r="V456" i="6"/>
  <c r="AD456" i="6"/>
  <c r="AH456" i="6"/>
  <c r="V459" i="6"/>
  <c r="H475" i="6"/>
  <c r="H472" i="6"/>
  <c r="H159" i="6" s="1"/>
  <c r="P465" i="6"/>
  <c r="AD474" i="6"/>
  <c r="AD475" i="6"/>
  <c r="AO471" i="6"/>
  <c r="P467" i="6"/>
  <c r="AW467" i="6" s="1"/>
  <c r="O477" i="6"/>
  <c r="Z469" i="6"/>
  <c r="AY469" i="6" s="1"/>
  <c r="AF474" i="6"/>
  <c r="AE492" i="6"/>
  <c r="AZ492" i="6" s="1"/>
  <c r="AJ494" i="6"/>
  <c r="BA494" i="6" s="1"/>
  <c r="AJ495" i="6"/>
  <c r="BA495" i="6" s="1"/>
  <c r="S496" i="6"/>
  <c r="T496" i="6" s="1"/>
  <c r="S499" i="6"/>
  <c r="T499" i="6" s="1"/>
  <c r="AD501" i="6"/>
  <c r="AC501" i="6"/>
  <c r="AC156" i="6" s="1"/>
  <c r="AJ507" i="6"/>
  <c r="BA507" i="6" s="1"/>
  <c r="U497" i="6"/>
  <c r="AX497" i="6" s="1"/>
  <c r="AE508" i="6"/>
  <c r="AZ508" i="6" s="1"/>
  <c r="BA510" i="6"/>
  <c r="AK510" i="6"/>
  <c r="AE522" i="6"/>
  <c r="AZ522" i="6" s="1"/>
  <c r="AD470" i="6"/>
  <c r="AE470" i="6" s="1"/>
  <c r="AZ470" i="6" s="1"/>
  <c r="BA567" i="6"/>
  <c r="AK567" i="6"/>
  <c r="V474" i="6"/>
  <c r="V475" i="6"/>
  <c r="AA475" i="6"/>
  <c r="AE465" i="6"/>
  <c r="BP213" i="58502" s="1"/>
  <c r="AA474" i="6"/>
  <c r="N478" i="6"/>
  <c r="AK522" i="6"/>
  <c r="I472" i="6"/>
  <c r="I159" i="6" s="1"/>
  <c r="I475" i="6"/>
  <c r="T508" i="6"/>
  <c r="U508" i="6" s="1"/>
  <c r="AX508" i="6" s="1"/>
  <c r="Y508" i="6"/>
  <c r="Z508" i="6" s="1"/>
  <c r="AY508" i="6" s="1"/>
  <c r="AE497" i="6"/>
  <c r="AZ497" i="6" s="1"/>
  <c r="R525" i="6"/>
  <c r="R485" i="6"/>
  <c r="S516" i="6"/>
  <c r="R468" i="6"/>
  <c r="W477" i="6" s="1"/>
  <c r="X518" i="6"/>
  <c r="BA565" i="6"/>
  <c r="AK565" i="6"/>
  <c r="AL565" i="6" s="1"/>
  <c r="AM565" i="6" s="1"/>
  <c r="AN565" i="6" s="1"/>
  <c r="AO565" i="6" s="1"/>
  <c r="BA569" i="6"/>
  <c r="W698" i="6"/>
  <c r="W562" i="6"/>
  <c r="U699" i="6"/>
  <c r="AX699" i="6" s="1"/>
  <c r="U563" i="6"/>
  <c r="AX562" i="6"/>
  <c r="K699" i="6"/>
  <c r="AV699" i="6" s="1"/>
  <c r="K563" i="6"/>
  <c r="AV562" i="6"/>
  <c r="Z451" i="6"/>
  <c r="AF456" i="6"/>
  <c r="U458" i="6"/>
  <c r="J474" i="6"/>
  <c r="J475" i="6"/>
  <c r="J472" i="6"/>
  <c r="J159" i="6" s="1"/>
  <c r="N474" i="6"/>
  <c r="N475" i="6"/>
  <c r="W475" i="6"/>
  <c r="W474" i="6"/>
  <c r="X474" i="6"/>
  <c r="M475" i="6"/>
  <c r="AC475" i="6"/>
  <c r="AP493" i="6"/>
  <c r="BB493" i="6"/>
  <c r="U491" i="6"/>
  <c r="AX491" i="6" s="1"/>
  <c r="AJ496" i="6"/>
  <c r="BA496" i="6" s="1"/>
  <c r="Z496" i="6"/>
  <c r="AY496" i="6" s="1"/>
  <c r="X500" i="6"/>
  <c r="Y500" i="6" s="1"/>
  <c r="Z499" i="6"/>
  <c r="AY499" i="6" s="1"/>
  <c r="AN523" i="6"/>
  <c r="U532" i="6"/>
  <c r="AX532" i="6" s="1"/>
  <c r="AI615" i="6"/>
  <c r="AJ552" i="6"/>
  <c r="AI508" i="6"/>
  <c r="AJ508" i="6" s="1"/>
  <c r="BA508" i="6" s="1"/>
  <c r="BB555" i="6"/>
  <c r="AP555" i="6"/>
  <c r="AL557" i="6"/>
  <c r="AL504" i="6" s="1"/>
  <c r="AK504" i="6"/>
  <c r="K615" i="6"/>
  <c r="AV615" i="6" s="1"/>
  <c r="AV552" i="6"/>
  <c r="K451" i="6"/>
  <c r="AE451" i="6"/>
  <c r="G475" i="6"/>
  <c r="G472" i="6"/>
  <c r="G159" i="6" s="1"/>
  <c r="G474" i="6"/>
  <c r="K465" i="6"/>
  <c r="O475" i="6"/>
  <c r="O472" i="6"/>
  <c r="O159" i="6" s="1"/>
  <c r="O474" i="6"/>
  <c r="AL523" i="6"/>
  <c r="AL478" i="6"/>
  <c r="AJ470" i="6"/>
  <c r="BA470" i="6" s="1"/>
  <c r="AC477" i="6"/>
  <c r="AC478" i="6"/>
  <c r="AM470" i="6"/>
  <c r="AM522" i="6" s="1"/>
  <c r="AB474" i="6"/>
  <c r="Q475" i="6"/>
  <c r="AG475" i="6"/>
  <c r="AD491" i="6"/>
  <c r="AE491" i="6" s="1"/>
  <c r="AZ491" i="6" s="1"/>
  <c r="Z493" i="6"/>
  <c r="AY493" i="6" s="1"/>
  <c r="AC496" i="6"/>
  <c r="AD496" i="6" s="1"/>
  <c r="AE496" i="6" s="1"/>
  <c r="AZ496" i="6" s="1"/>
  <c r="Z497" i="6"/>
  <c r="AY497" i="6" s="1"/>
  <c r="U493" i="6"/>
  <c r="AX493" i="6" s="1"/>
  <c r="P516" i="6"/>
  <c r="O485" i="6"/>
  <c r="Y516" i="6"/>
  <c r="X522" i="6"/>
  <c r="W470" i="6"/>
  <c r="W472" i="6" s="1"/>
  <c r="W159" i="6" s="1"/>
  <c r="P615" i="6"/>
  <c r="AW615" i="6" s="1"/>
  <c r="AW552" i="6"/>
  <c r="AI564" i="6"/>
  <c r="AJ564" i="6" s="1"/>
  <c r="AP566" i="6"/>
  <c r="BB570" i="6"/>
  <c r="AP570" i="6"/>
  <c r="BA578" i="6"/>
  <c r="AK578" i="6"/>
  <c r="L472" i="6"/>
  <c r="L159" i="6" s="1"/>
  <c r="AB472" i="6"/>
  <c r="AB159" i="6" s="1"/>
  <c r="AF472" i="6"/>
  <c r="AF159" i="6" s="1"/>
  <c r="AA477" i="6"/>
  <c r="V478" i="6"/>
  <c r="Y498" i="6"/>
  <c r="Y155" i="6" s="1"/>
  <c r="AD493" i="6"/>
  <c r="AE493" i="6" s="1"/>
  <c r="AZ493" i="6" s="1"/>
  <c r="T498" i="6"/>
  <c r="T155" i="6" s="1"/>
  <c r="AC499" i="6"/>
  <c r="AD499" i="6" s="1"/>
  <c r="AD500" i="6"/>
  <c r="AE500" i="6" s="1"/>
  <c r="AZ500" i="6" s="1"/>
  <c r="Z519" i="6"/>
  <c r="AY519" i="6" s="1"/>
  <c r="Z523" i="6"/>
  <c r="AY523" i="6" s="1"/>
  <c r="S518" i="6"/>
  <c r="AE516" i="6"/>
  <c r="Z533" i="6"/>
  <c r="AY533" i="6" s="1"/>
  <c r="AC536" i="6"/>
  <c r="AD536" i="6" s="1"/>
  <c r="AE536" i="6" s="1"/>
  <c r="AZ536" i="6" s="1"/>
  <c r="U533" i="6"/>
  <c r="AX533" i="6" s="1"/>
  <c r="BA566" i="6"/>
  <c r="BA570" i="6"/>
  <c r="F699" i="6"/>
  <c r="AU562" i="6"/>
  <c r="N472" i="6"/>
  <c r="N159" i="6" s="1"/>
  <c r="V472" i="6"/>
  <c r="V159" i="6" s="1"/>
  <c r="S519" i="6"/>
  <c r="T519" i="6" s="1"/>
  <c r="L525" i="6"/>
  <c r="O520" i="6"/>
  <c r="T528" i="6"/>
  <c r="U528" i="6" s="1"/>
  <c r="AD528" i="6"/>
  <c r="AE528" i="6" s="1"/>
  <c r="AO529" i="6"/>
  <c r="AJ538" i="6"/>
  <c r="BA538" i="6" s="1"/>
  <c r="BA554" i="6"/>
  <c r="AK554" i="6"/>
  <c r="AJ556" i="6"/>
  <c r="AI519" i="6"/>
  <c r="BA558" i="6"/>
  <c r="AK558" i="6"/>
  <c r="AF555" i="6"/>
  <c r="AZ555" i="6"/>
  <c r="AA472" i="6"/>
  <c r="AA159" i="6" s="1"/>
  <c r="AK478" i="6"/>
  <c r="AK592" i="6"/>
  <c r="AL592" i="6" s="1"/>
  <c r="AM592" i="6" s="1"/>
  <c r="AN592" i="6" s="1"/>
  <c r="AO592" i="6" s="1"/>
  <c r="BA592" i="6"/>
  <c r="W525" i="6"/>
  <c r="Z516" i="6"/>
  <c r="X517" i="6"/>
  <c r="Z520" i="6"/>
  <c r="X521" i="6"/>
  <c r="Z524" i="6"/>
  <c r="AY524" i="6" s="1"/>
  <c r="K525" i="6"/>
  <c r="AV525" i="6" s="1"/>
  <c r="AG525" i="6"/>
  <c r="G539" i="6"/>
  <c r="K528" i="6"/>
  <c r="L539" i="6"/>
  <c r="O528" i="6"/>
  <c r="S538" i="6"/>
  <c r="S170" i="6" s="1"/>
  <c r="U170" i="6" s="1"/>
  <c r="AX170" i="6" s="1"/>
  <c r="AW699" i="6"/>
  <c r="O699" i="6"/>
  <c r="P563" i="6"/>
  <c r="AP583" i="6"/>
  <c r="BB583" i="6"/>
  <c r="AN591" i="6"/>
  <c r="AO591" i="6" s="1"/>
  <c r="AP591" i="6" s="1"/>
  <c r="AQ591" i="6" s="1"/>
  <c r="AV595" i="6"/>
  <c r="K597" i="6"/>
  <c r="AV597" i="6" s="1"/>
  <c r="S520" i="6"/>
  <c r="S521" i="6"/>
  <c r="S522" i="6"/>
  <c r="S523" i="6"/>
  <c r="S524" i="6"/>
  <c r="T524" i="6" s="1"/>
  <c r="AC518" i="6"/>
  <c r="AD519" i="6"/>
  <c r="AE519" i="6" s="1"/>
  <c r="AZ519" i="6" s="1"/>
  <c r="AG528" i="6"/>
  <c r="AH528" i="6" s="1"/>
  <c r="T534" i="6"/>
  <c r="U534" i="6" s="1"/>
  <c r="AX534" i="6" s="1"/>
  <c r="Y528" i="6"/>
  <c r="S536" i="6"/>
  <c r="T536" i="6" s="1"/>
  <c r="X538" i="6"/>
  <c r="X539" i="6" s="1"/>
  <c r="AF539" i="6"/>
  <c r="S541" i="6"/>
  <c r="T541" i="6" s="1"/>
  <c r="X541" i="6"/>
  <c r="Y541" i="6" s="1"/>
  <c r="AC541" i="6"/>
  <c r="AD541" i="6" s="1"/>
  <c r="AK577" i="6"/>
  <c r="AL577" i="6" s="1"/>
  <c r="AM577" i="6" s="1"/>
  <c r="AN577" i="6" s="1"/>
  <c r="AO577" i="6" s="1"/>
  <c r="U579" i="6"/>
  <c r="AX579" i="6" s="1"/>
  <c r="BA584" i="6"/>
  <c r="AI587" i="6"/>
  <c r="AJ587" i="6" s="1"/>
  <c r="AW593" i="6"/>
  <c r="T597" i="6"/>
  <c r="AF597" i="6"/>
  <c r="AX602" i="6"/>
  <c r="AI608" i="6"/>
  <c r="AU610" i="6"/>
  <c r="Y530" i="6"/>
  <c r="Z530" i="6" s="1"/>
  <c r="AY530" i="6" s="1"/>
  <c r="AG579" i="6"/>
  <c r="AG597" i="6" s="1"/>
  <c r="AJ608" i="6"/>
  <c r="BA582" i="6"/>
  <c r="AI704" i="6"/>
  <c r="AJ590" i="6"/>
  <c r="I597" i="6"/>
  <c r="I599" i="6" s="1"/>
  <c r="M597" i="6"/>
  <c r="M599" i="6" s="1"/>
  <c r="Q675" i="6"/>
  <c r="AW636" i="6"/>
  <c r="S675" i="6"/>
  <c r="R675" i="6"/>
  <c r="S636" i="6"/>
  <c r="T675" i="6" s="1"/>
  <c r="S679" i="6"/>
  <c r="R679" i="6"/>
  <c r="R651" i="6"/>
  <c r="Z562" i="6"/>
  <c r="AE562" i="6"/>
  <c r="P704" i="6"/>
  <c r="AW704" i="6" s="1"/>
  <c r="Q704" i="6"/>
  <c r="P595" i="6"/>
  <c r="AW590" i="6"/>
  <c r="AA704" i="6"/>
  <c r="AB590" i="6"/>
  <c r="X597" i="6"/>
  <c r="AZ595" i="6"/>
  <c r="AE597" i="6"/>
  <c r="AZ597" i="6" s="1"/>
  <c r="U660" i="6"/>
  <c r="AX660" i="6" s="1"/>
  <c r="AX624" i="6"/>
  <c r="AO660" i="6"/>
  <c r="BB660" i="6" s="1"/>
  <c r="BB624" i="6"/>
  <c r="AT602" i="6"/>
  <c r="M610" i="6"/>
  <c r="M616" i="6" s="1"/>
  <c r="AG651" i="6"/>
  <c r="AG605" i="6"/>
  <c r="AV575" i="6"/>
  <c r="AZ575" i="6"/>
  <c r="AY582" i="6"/>
  <c r="L704" i="6"/>
  <c r="K704" i="6"/>
  <c r="AV704" i="6" s="1"/>
  <c r="Z704" i="6"/>
  <c r="AY704" i="6" s="1"/>
  <c r="AH704" i="6"/>
  <c r="Z595" i="6"/>
  <c r="P660" i="6"/>
  <c r="AW660" i="6" s="1"/>
  <c r="AW624" i="6"/>
  <c r="AJ660" i="6"/>
  <c r="BA660" i="6" s="1"/>
  <c r="BA624" i="6"/>
  <c r="AW602" i="6"/>
  <c r="BA602" i="6"/>
  <c r="AF606" i="6"/>
  <c r="K651" i="6"/>
  <c r="L666" i="6"/>
  <c r="AV627" i="6"/>
  <c r="R667" i="6"/>
  <c r="Q651" i="6"/>
  <c r="V667" i="6"/>
  <c r="AX628" i="6"/>
  <c r="AA667" i="6"/>
  <c r="AE667" i="6" s="1"/>
  <c r="AZ667" i="6" s="1"/>
  <c r="AY628" i="6"/>
  <c r="V669" i="6"/>
  <c r="Z669" i="6" s="1"/>
  <c r="AY669" i="6" s="1"/>
  <c r="AX630" i="6"/>
  <c r="AI648" i="6"/>
  <c r="AJ648" i="6" s="1"/>
  <c r="Q667" i="6"/>
  <c r="Z579" i="6"/>
  <c r="AY579" i="6" s="1"/>
  <c r="U704" i="6"/>
  <c r="AX704" i="6" s="1"/>
  <c r="V704" i="6"/>
  <c r="F660" i="6"/>
  <c r="AU660" i="6" s="1"/>
  <c r="AU624" i="6"/>
  <c r="AP660" i="6"/>
  <c r="BC660" i="6" s="1"/>
  <c r="BC624" i="6"/>
  <c r="AU602" i="6"/>
  <c r="AY602" i="6"/>
  <c r="BC602" i="6"/>
  <c r="F606" i="6"/>
  <c r="AU606" i="6" s="1"/>
  <c r="AY624" i="6"/>
  <c r="R673" i="6"/>
  <c r="R690" i="6" s="1"/>
  <c r="S634" i="6"/>
  <c r="S673" i="6" s="1"/>
  <c r="AI649" i="6"/>
  <c r="AJ649" i="6" s="1"/>
  <c r="V689" i="6"/>
  <c r="Z689" i="6" s="1"/>
  <c r="AY689" i="6" s="1"/>
  <c r="AX650" i="6"/>
  <c r="AE704" i="6"/>
  <c r="AZ704" i="6" s="1"/>
  <c r="AF704" i="6"/>
  <c r="AV590" i="6"/>
  <c r="AZ590" i="6"/>
  <c r="AV593" i="6"/>
  <c r="AZ593" i="6"/>
  <c r="U595" i="6"/>
  <c r="Y595" i="6"/>
  <c r="Y597" i="6" s="1"/>
  <c r="K660" i="6"/>
  <c r="AV660" i="6" s="1"/>
  <c r="AV624" i="6"/>
  <c r="AE660" i="6"/>
  <c r="AZ660" i="6" s="1"/>
  <c r="AZ624" i="6"/>
  <c r="AV602" i="6"/>
  <c r="AZ602" i="6"/>
  <c r="BD602" i="6"/>
  <c r="AI609" i="6"/>
  <c r="BD624" i="6"/>
  <c r="U627" i="6"/>
  <c r="T666" i="6"/>
  <c r="T651" i="6"/>
  <c r="Y667" i="6"/>
  <c r="O678" i="6"/>
  <c r="P678" i="6" s="1"/>
  <c r="AW678" i="6" s="1"/>
  <c r="P639" i="6"/>
  <c r="N683" i="6"/>
  <c r="N651" i="6"/>
  <c r="O644" i="6"/>
  <c r="P644" i="6" s="1"/>
  <c r="Q683" i="6" s="1"/>
  <c r="V673" i="6"/>
  <c r="Z673" i="6" s="1"/>
  <c r="AY673" i="6" s="1"/>
  <c r="AX634" i="6"/>
  <c r="V677" i="6"/>
  <c r="Z677" i="6" s="1"/>
  <c r="AY677" i="6" s="1"/>
  <c r="AX638" i="6"/>
  <c r="AX642" i="6"/>
  <c r="V681" i="6"/>
  <c r="Z681" i="6" s="1"/>
  <c r="AY681" i="6" s="1"/>
  <c r="AA675" i="6"/>
  <c r="AE675" i="6" s="1"/>
  <c r="AZ675" i="6" s="1"/>
  <c r="AY636" i="6"/>
  <c r="AA679" i="6"/>
  <c r="AE679" i="6" s="1"/>
  <c r="AZ679" i="6" s="1"/>
  <c r="AY640" i="6"/>
  <c r="O689" i="6"/>
  <c r="P689" i="6" s="1"/>
  <c r="AW689" i="6" s="1"/>
  <c r="P650" i="6"/>
  <c r="R669" i="6"/>
  <c r="S630" i="6"/>
  <c r="AD672" i="6"/>
  <c r="AC672" i="6"/>
  <c r="AE672" i="6" s="1"/>
  <c r="AZ672" i="6" s="1"/>
  <c r="U679" i="6"/>
  <c r="AX679" i="6" s="1"/>
  <c r="R678" i="6"/>
  <c r="S678" i="6"/>
  <c r="AV633" i="6"/>
  <c r="AV637" i="6"/>
  <c r="AY641" i="6"/>
  <c r="L682" i="6"/>
  <c r="P682" i="6" s="1"/>
  <c r="AW682" i="6" s="1"/>
  <c r="AV643" i="6"/>
  <c r="R683" i="6"/>
  <c r="S644" i="6"/>
  <c r="T683" i="6" s="1"/>
  <c r="AV650" i="6"/>
  <c r="X651" i="6"/>
  <c r="AK654" i="6"/>
  <c r="AL654" i="6" s="1"/>
  <c r="AM654" i="6" s="1"/>
  <c r="AN654" i="6" s="1"/>
  <c r="AO654" i="6" s="1"/>
  <c r="BA654" i="6"/>
  <c r="Y651" i="6"/>
  <c r="R676" i="6"/>
  <c r="O680" i="6"/>
  <c r="P641" i="6"/>
  <c r="P676" i="6"/>
  <c r="AW676" i="6" s="1"/>
  <c r="P680" i="6"/>
  <c r="AW680" i="6" s="1"/>
  <c r="R682" i="6"/>
  <c r="AI647" i="6"/>
  <c r="AJ647" i="6" s="1"/>
  <c r="V674" i="6"/>
  <c r="Z674" i="6" s="1"/>
  <c r="AY674" i="6" s="1"/>
  <c r="AX635" i="6"/>
  <c r="V678" i="6"/>
  <c r="Z678" i="6" s="1"/>
  <c r="AY678" i="6" s="1"/>
  <c r="AX639" i="6"/>
  <c r="AA689" i="6"/>
  <c r="AE689" i="6" s="1"/>
  <c r="AZ689" i="6" s="1"/>
  <c r="AY650" i="6"/>
  <c r="F690" i="6"/>
  <c r="AU690" i="6" s="1"/>
  <c r="AU691" i="6"/>
  <c r="O651" i="6"/>
  <c r="Z627" i="6"/>
  <c r="T667" i="6"/>
  <c r="W651" i="6"/>
  <c r="X667" i="6"/>
  <c r="X690" i="6" s="1"/>
  <c r="S637" i="6"/>
  <c r="T676" i="6" s="1"/>
  <c r="R680" i="6"/>
  <c r="S680" i="6"/>
  <c r="AY633" i="6"/>
  <c r="AY637" i="6"/>
  <c r="AW640" i="6"/>
  <c r="AX643" i="6"/>
  <c r="S643" i="6"/>
  <c r="T682" i="6" s="1"/>
  <c r="AI645" i="6"/>
  <c r="AJ645" i="6" s="1"/>
  <c r="AI646" i="6"/>
  <c r="AJ646" i="6" s="1"/>
  <c r="V675" i="6"/>
  <c r="Z675" i="6" s="1"/>
  <c r="AY675" i="6" s="1"/>
  <c r="AX636" i="6"/>
  <c r="V679" i="6"/>
  <c r="Z679" i="6" s="1"/>
  <c r="AY679" i="6" s="1"/>
  <c r="AX640" i="6"/>
  <c r="AA681" i="6"/>
  <c r="AE681" i="6" s="1"/>
  <c r="AZ681" i="6" s="1"/>
  <c r="AY642" i="6"/>
  <c r="AU651" i="6"/>
  <c r="BA657" i="6"/>
  <c r="Y666" i="6"/>
  <c r="Y690" i="6" s="1"/>
  <c r="K667" i="6"/>
  <c r="AV667" i="6" s="1"/>
  <c r="AE668" i="6"/>
  <c r="R672" i="6"/>
  <c r="U672" i="6" s="1"/>
  <c r="AX672" i="6" s="1"/>
  <c r="S672" i="6"/>
  <c r="S677" i="6"/>
  <c r="U677" i="6" s="1"/>
  <c r="AX677" i="6" s="1"/>
  <c r="P675" i="6"/>
  <c r="AW675" i="6" s="1"/>
  <c r="P643" i="6"/>
  <c r="Z672" i="6"/>
  <c r="AY672" i="6" s="1"/>
  <c r="Z680" i="6"/>
  <c r="AY680" i="6" s="1"/>
  <c r="S689" i="6"/>
  <c r="R689" i="6"/>
  <c r="G666" i="6"/>
  <c r="O666" i="6"/>
  <c r="S666" i="6"/>
  <c r="W666" i="6"/>
  <c r="K675" i="6"/>
  <c r="AV675" i="6" s="1"/>
  <c r="K679" i="6"/>
  <c r="AV679" i="6" s="1"/>
  <c r="AC700" i="6"/>
  <c r="I666" i="6"/>
  <c r="M666" i="6"/>
  <c r="M690" i="6" s="1"/>
  <c r="Q666" i="6"/>
  <c r="K678" i="6"/>
  <c r="AV678" i="6" s="1"/>
  <c r="K682" i="6"/>
  <c r="AV682" i="6" s="1"/>
  <c r="AF690" i="6"/>
  <c r="N690" i="6"/>
  <c r="AP690" i="6"/>
  <c r="E690" i="6"/>
  <c r="AT690" i="6" s="1"/>
  <c r="AT691" i="6"/>
  <c r="I690" i="6"/>
  <c r="Q700" i="6"/>
  <c r="AB700" i="6"/>
  <c r="K691" i="6"/>
  <c r="AG690" i="6"/>
  <c r="Y700" i="6"/>
  <c r="Z694" i="6"/>
  <c r="AY694" i="6" s="1"/>
  <c r="J700" i="6"/>
  <c r="T700" i="6"/>
  <c r="M700" i="6"/>
  <c r="AW713" i="6"/>
  <c r="AE94" i="6"/>
  <c r="Z94" i="6"/>
  <c r="U94" i="6"/>
  <c r="AS91" i="6"/>
  <c r="AS90" i="6"/>
  <c r="AS89" i="6"/>
  <c r="AS88" i="6"/>
  <c r="AS87" i="6"/>
  <c r="Q91" i="6"/>
  <c r="P91" i="6"/>
  <c r="O91" i="6"/>
  <c r="AD85" i="6"/>
  <c r="AE85" i="6" s="1"/>
  <c r="Z85" i="6"/>
  <c r="U85" i="6"/>
  <c r="BD84" i="6"/>
  <c r="BC84" i="6"/>
  <c r="BB84" i="6"/>
  <c r="BA84" i="6"/>
  <c r="AZ84" i="6"/>
  <c r="AY84" i="6"/>
  <c r="AX84" i="6"/>
  <c r="AW84" i="6"/>
  <c r="AV84" i="6"/>
  <c r="AU84" i="6"/>
  <c r="AT84" i="6"/>
  <c r="AS84" i="6"/>
  <c r="AW83" i="6"/>
  <c r="AV83" i="6"/>
  <c r="AU83" i="6"/>
  <c r="AT83" i="6"/>
  <c r="AS83" i="6"/>
  <c r="AG83" i="6"/>
  <c r="AH83" i="6" s="1"/>
  <c r="AD83" i="6"/>
  <c r="AE83" i="6" s="1"/>
  <c r="AZ83" i="6" s="1"/>
  <c r="X83" i="6"/>
  <c r="U83" i="6"/>
  <c r="AX83" i="6" s="1"/>
  <c r="O83" i="6"/>
  <c r="AI81" i="6"/>
  <c r="AH81" i="6"/>
  <c r="AG81" i="6"/>
  <c r="AF81" i="6"/>
  <c r="AC81" i="6"/>
  <c r="AX80" i="6"/>
  <c r="AW80" i="6"/>
  <c r="AV80" i="6"/>
  <c r="AU80" i="6"/>
  <c r="AT80" i="6"/>
  <c r="AS80" i="6"/>
  <c r="AK80" i="6"/>
  <c r="AL80" i="6" s="1"/>
  <c r="AJ80" i="6"/>
  <c r="J19" i="58482" s="1"/>
  <c r="AE80" i="6"/>
  <c r="Y80" i="6"/>
  <c r="Z80" i="6" s="1"/>
  <c r="AS74" i="6"/>
  <c r="AS73" i="6"/>
  <c r="AS72" i="6"/>
  <c r="AS71" i="6"/>
  <c r="AS70" i="6"/>
  <c r="AT73" i="6"/>
  <c r="AW70" i="6"/>
  <c r="H14" i="58483"/>
  <c r="AD70" i="6"/>
  <c r="L52" i="58483" s="1"/>
  <c r="L53" i="58483" s="1"/>
  <c r="Z70" i="6"/>
  <c r="U70" i="6"/>
  <c r="O70" i="6"/>
  <c r="K70" i="6"/>
  <c r="AS68" i="6"/>
  <c r="AS67" i="6"/>
  <c r="AO64" i="6"/>
  <c r="BB64" i="6" s="1"/>
  <c r="AG64" i="6"/>
  <c r="AF64" i="6"/>
  <c r="AD64" i="6"/>
  <c r="AD65" i="6" s="1"/>
  <c r="AC64" i="6"/>
  <c r="AB64" i="6"/>
  <c r="AA64" i="6"/>
  <c r="Y64" i="6"/>
  <c r="Y65" i="6" s="1"/>
  <c r="X64" i="6"/>
  <c r="X65" i="6" s="1"/>
  <c r="W64" i="6"/>
  <c r="W65" i="6" s="1"/>
  <c r="C36" i="58501" s="1"/>
  <c r="V64" i="6"/>
  <c r="V65" i="6" s="1"/>
  <c r="S64" i="6"/>
  <c r="R64" i="6"/>
  <c r="U64" i="6" s="1"/>
  <c r="AX64" i="6" s="1"/>
  <c r="O64" i="6"/>
  <c r="P64" i="6" s="1"/>
  <c r="AW64" i="6" s="1"/>
  <c r="K64" i="6"/>
  <c r="AV64" i="6" s="1"/>
  <c r="AS65" i="6"/>
  <c r="BD64" i="6"/>
  <c r="BC64" i="6"/>
  <c r="AU64" i="6"/>
  <c r="AT64" i="6"/>
  <c r="AS64" i="6"/>
  <c r="AS63" i="6"/>
  <c r="AQ63" i="6"/>
  <c r="BD63" i="6" s="1"/>
  <c r="AP63" i="6"/>
  <c r="AP65" i="6" s="1"/>
  <c r="BC65" i="6" s="1"/>
  <c r="AN63" i="6"/>
  <c r="AN65" i="6" s="1"/>
  <c r="AM63" i="6"/>
  <c r="AM65" i="6" s="1"/>
  <c r="AL63" i="6"/>
  <c r="AL65" i="6" s="1"/>
  <c r="AK63" i="6"/>
  <c r="AK65" i="6" s="1"/>
  <c r="AI63" i="6"/>
  <c r="AI65" i="6" s="1"/>
  <c r="AH63" i="6"/>
  <c r="AH65" i="6" s="1"/>
  <c r="AG63" i="6"/>
  <c r="AF63" i="6"/>
  <c r="AC63" i="6"/>
  <c r="AB63" i="6"/>
  <c r="AB65" i="6" s="1"/>
  <c r="AA63" i="6"/>
  <c r="Y63" i="6"/>
  <c r="Z63" i="6" s="1"/>
  <c r="T63" i="6"/>
  <c r="T65" i="6" s="1"/>
  <c r="S63" i="6"/>
  <c r="S65" i="6" s="1"/>
  <c r="C36" i="58499" s="1"/>
  <c r="R63" i="6"/>
  <c r="Q63" i="6"/>
  <c r="Q65" i="6" s="1"/>
  <c r="O63" i="6"/>
  <c r="N63" i="6"/>
  <c r="N65" i="6" s="1"/>
  <c r="D36" i="58499" s="1"/>
  <c r="M63" i="6"/>
  <c r="M65" i="6" s="1"/>
  <c r="D36" i="58498" s="1"/>
  <c r="L63" i="6"/>
  <c r="L65" i="6" s="1"/>
  <c r="J63" i="6"/>
  <c r="J65" i="6" s="1"/>
  <c r="I63" i="6"/>
  <c r="I65" i="6" s="1"/>
  <c r="H63" i="6"/>
  <c r="H65" i="6" s="1"/>
  <c r="G63" i="6"/>
  <c r="F63" i="6"/>
  <c r="F65" i="6" s="1"/>
  <c r="AU65" i="6" s="1"/>
  <c r="E63" i="6"/>
  <c r="AT63" i="6" s="1"/>
  <c r="AS62" i="6"/>
  <c r="AO59" i="6"/>
  <c r="AJ59" i="6"/>
  <c r="BA59" i="6" s="1"/>
  <c r="AJ58" i="6"/>
  <c r="BA58" i="6" s="1"/>
  <c r="AE59" i="6"/>
  <c r="AZ59" i="6" s="1"/>
  <c r="AE58" i="6"/>
  <c r="AZ58" i="6" s="1"/>
  <c r="AE57" i="6"/>
  <c r="Z59" i="6"/>
  <c r="AY59" i="6" s="1"/>
  <c r="Z58" i="6"/>
  <c r="Z57" i="6"/>
  <c r="U59" i="6"/>
  <c r="AX59" i="6" s="1"/>
  <c r="U58" i="6"/>
  <c r="AX58" i="6" s="1"/>
  <c r="U57" i="6"/>
  <c r="P59" i="6"/>
  <c r="AW59" i="6" s="1"/>
  <c r="P57" i="6"/>
  <c r="AW57" i="6" s="1"/>
  <c r="K59" i="6"/>
  <c r="AV59" i="6" s="1"/>
  <c r="K57" i="6"/>
  <c r="N58" i="6"/>
  <c r="M58" i="6"/>
  <c r="L58" i="6"/>
  <c r="L112" i="6" s="1"/>
  <c r="J58" i="6"/>
  <c r="J112" i="6" s="1"/>
  <c r="I58" i="6"/>
  <c r="I112" i="6" s="1"/>
  <c r="H58" i="6"/>
  <c r="H112" i="6" s="1"/>
  <c r="G58" i="6"/>
  <c r="G112" i="6" s="1"/>
  <c r="F58" i="6"/>
  <c r="F112" i="6" s="1"/>
  <c r="AU112" i="6" s="1"/>
  <c r="E58" i="6"/>
  <c r="E112" i="6" s="1"/>
  <c r="AT112" i="6" s="1"/>
  <c r="AS60" i="6"/>
  <c r="BD59" i="6"/>
  <c r="BC59" i="6"/>
  <c r="BB59" i="6"/>
  <c r="AU59" i="6"/>
  <c r="AT59" i="6"/>
  <c r="AS59" i="6"/>
  <c r="AY58" i="6"/>
  <c r="AU58" i="6"/>
  <c r="AT58" i="6"/>
  <c r="AS58" i="6"/>
  <c r="AZ57" i="6"/>
  <c r="AY57" i="6"/>
  <c r="AX57" i="6"/>
  <c r="AV57" i="6"/>
  <c r="AU57" i="6"/>
  <c r="AT57" i="6"/>
  <c r="AS57" i="6"/>
  <c r="AS56" i="6"/>
  <c r="AN112" i="6"/>
  <c r="AM112" i="6"/>
  <c r="AL112" i="6"/>
  <c r="AO54" i="6"/>
  <c r="BB54" i="6" s="1"/>
  <c r="AO53" i="6"/>
  <c r="AJ53" i="6"/>
  <c r="AJ51" i="6"/>
  <c r="BA51" i="6" s="1"/>
  <c r="AF54" i="6"/>
  <c r="AJ54" i="6" s="1"/>
  <c r="BA54" i="6" s="1"/>
  <c r="AB54" i="6"/>
  <c r="AB119" i="6" s="1"/>
  <c r="AE119" i="6" s="1"/>
  <c r="AZ119" i="6" s="1"/>
  <c r="Z53" i="6"/>
  <c r="AY53" i="6" s="1"/>
  <c r="Z52" i="6"/>
  <c r="AY52" i="6" s="1"/>
  <c r="Z51" i="6"/>
  <c r="Z50" i="6"/>
  <c r="X54" i="6"/>
  <c r="X119" i="6" s="1"/>
  <c r="W54" i="6"/>
  <c r="U54" i="6"/>
  <c r="AX54" i="6" s="1"/>
  <c r="U53" i="6"/>
  <c r="U52" i="6"/>
  <c r="AX52" i="6" s="1"/>
  <c r="U51" i="6"/>
  <c r="U50" i="6"/>
  <c r="AX50" i="6" s="1"/>
  <c r="O54" i="6"/>
  <c r="P54" i="6" s="1"/>
  <c r="AW54" i="6" s="1"/>
  <c r="K54" i="6"/>
  <c r="K53" i="6"/>
  <c r="K52" i="6"/>
  <c r="K458" i="6" s="1"/>
  <c r="K51" i="6"/>
  <c r="E29" i="58482" s="1"/>
  <c r="K50" i="6"/>
  <c r="F54" i="6"/>
  <c r="E54" i="6"/>
  <c r="AT54" i="6" s="1"/>
  <c r="AE53" i="6"/>
  <c r="AZ53" i="6" s="1"/>
  <c r="AE52" i="6"/>
  <c r="AE51" i="6"/>
  <c r="AE50" i="6"/>
  <c r="AZ50" i="6" s="1"/>
  <c r="P53" i="6"/>
  <c r="AW53" i="6" s="1"/>
  <c r="P52" i="6"/>
  <c r="P458" i="6" s="1"/>
  <c r="P51" i="6"/>
  <c r="P50" i="6"/>
  <c r="BD54" i="6"/>
  <c r="BC54" i="6"/>
  <c r="AV54" i="6"/>
  <c r="AU54" i="6"/>
  <c r="AS54" i="6"/>
  <c r="BD53" i="6"/>
  <c r="BC53" i="6"/>
  <c r="BB53" i="6"/>
  <c r="BA53" i="6"/>
  <c r="AX53" i="6"/>
  <c r="AV53" i="6"/>
  <c r="AU53" i="6"/>
  <c r="AT53" i="6"/>
  <c r="AS53" i="6"/>
  <c r="AZ52" i="6"/>
  <c r="AW52" i="6"/>
  <c r="AU52" i="6"/>
  <c r="AT52" i="6"/>
  <c r="AS52" i="6"/>
  <c r="AZ51" i="6"/>
  <c r="CS254" i="58479" s="1"/>
  <c r="AY51" i="6"/>
  <c r="CR254" i="58479" s="1"/>
  <c r="AU51" i="6"/>
  <c r="AT51" i="6"/>
  <c r="AS51" i="6"/>
  <c r="AY50" i="6"/>
  <c r="AW50" i="6"/>
  <c r="AV50" i="6"/>
  <c r="AS50" i="6"/>
  <c r="AM52" i="6"/>
  <c r="AL52" i="6"/>
  <c r="AK52" i="6"/>
  <c r="F50" i="6"/>
  <c r="E50" i="6"/>
  <c r="E694" i="6" s="1"/>
  <c r="AT694" i="6" s="1"/>
  <c r="AO46" i="6"/>
  <c r="AJ46" i="6"/>
  <c r="AJ45" i="6"/>
  <c r="AJ153" i="6" s="1"/>
  <c r="BA153" i="6" s="1"/>
  <c r="AE46" i="6"/>
  <c r="AZ46" i="6" s="1"/>
  <c r="AE45" i="6"/>
  <c r="AE153" i="6" s="1"/>
  <c r="AZ153" i="6" s="1"/>
  <c r="Z46" i="6"/>
  <c r="AY46" i="6" s="1"/>
  <c r="Z45" i="6"/>
  <c r="Z153" i="6" s="1"/>
  <c r="AY153" i="6" s="1"/>
  <c r="U46" i="6"/>
  <c r="U63" i="6" s="1"/>
  <c r="U45" i="6"/>
  <c r="U153" i="6" s="1"/>
  <c r="AX153" i="6" s="1"/>
  <c r="P46" i="6"/>
  <c r="P491" i="6" s="1"/>
  <c r="AW491" i="6" s="1"/>
  <c r="P45" i="6"/>
  <c r="K46" i="6"/>
  <c r="K491" i="6" s="1"/>
  <c r="AV491" i="6" s="1"/>
  <c r="K45" i="6"/>
  <c r="AV45" i="6" s="1"/>
  <c r="AS47" i="6"/>
  <c r="BD46" i="6"/>
  <c r="BC46" i="6"/>
  <c r="BB46" i="6"/>
  <c r="BA46" i="6"/>
  <c r="AX46" i="6"/>
  <c r="AU46" i="6"/>
  <c r="AT46" i="6"/>
  <c r="AS46" i="6"/>
  <c r="AY45" i="6"/>
  <c r="AW45" i="6"/>
  <c r="AU45" i="6"/>
  <c r="AT45" i="6"/>
  <c r="AS45" i="6"/>
  <c r="AS43" i="6"/>
  <c r="AS42" i="6"/>
  <c r="AS41" i="6"/>
  <c r="AS40" i="6"/>
  <c r="AS39" i="6"/>
  <c r="AH42" i="6"/>
  <c r="AG42" i="6"/>
  <c r="AF42" i="6"/>
  <c r="AD42" i="6"/>
  <c r="AC42" i="6"/>
  <c r="AB42" i="6"/>
  <c r="AA42" i="6"/>
  <c r="Y42" i="6"/>
  <c r="X42" i="6"/>
  <c r="W42" i="6"/>
  <c r="V42" i="6"/>
  <c r="T42" i="6"/>
  <c r="S42" i="6"/>
  <c r="R42" i="6"/>
  <c r="Q42" i="6"/>
  <c r="O42" i="6"/>
  <c r="N42" i="6"/>
  <c r="M42" i="6"/>
  <c r="L42" i="6"/>
  <c r="J42" i="6"/>
  <c r="I42" i="6"/>
  <c r="H42" i="6"/>
  <c r="G42" i="6"/>
  <c r="F42" i="6"/>
  <c r="AU42" i="6" s="1"/>
  <c r="E42" i="6"/>
  <c r="AT42" i="6" s="1"/>
  <c r="AF41" i="6"/>
  <c r="AD41" i="6"/>
  <c r="AC41" i="6"/>
  <c r="AB41" i="6"/>
  <c r="AA41" i="6"/>
  <c r="Y41" i="6"/>
  <c r="X41" i="6"/>
  <c r="W41" i="6"/>
  <c r="V41" i="6"/>
  <c r="T41" i="6"/>
  <c r="S41" i="6"/>
  <c r="R41" i="6"/>
  <c r="Q41" i="6"/>
  <c r="O41" i="6"/>
  <c r="N41" i="6"/>
  <c r="M41" i="6"/>
  <c r="L41" i="6"/>
  <c r="J41" i="6"/>
  <c r="I41" i="6"/>
  <c r="H41" i="6"/>
  <c r="G41" i="6"/>
  <c r="F41" i="6"/>
  <c r="AU41" i="6" s="1"/>
  <c r="E41" i="6"/>
  <c r="AT41" i="6" s="1"/>
  <c r="AD40" i="6"/>
  <c r="AC40" i="6"/>
  <c r="AB40" i="6"/>
  <c r="AA40" i="6"/>
  <c r="Y40" i="6"/>
  <c r="X40" i="6"/>
  <c r="W40" i="6"/>
  <c r="V40" i="6"/>
  <c r="T40" i="6"/>
  <c r="S40" i="6"/>
  <c r="R40" i="6"/>
  <c r="Q40" i="6"/>
  <c r="O40" i="6"/>
  <c r="N40" i="6"/>
  <c r="M40" i="6"/>
  <c r="L40" i="6"/>
  <c r="J40" i="6"/>
  <c r="I40" i="6"/>
  <c r="H40" i="6"/>
  <c r="G40" i="6"/>
  <c r="F40" i="6"/>
  <c r="AU40" i="6" s="1"/>
  <c r="E40" i="6"/>
  <c r="AT40" i="6" s="1"/>
  <c r="AH39" i="6"/>
  <c r="AG39" i="6"/>
  <c r="AF39" i="6"/>
  <c r="AD39" i="6"/>
  <c r="AC39" i="6"/>
  <c r="AC43" i="6" s="1"/>
  <c r="AB39" i="6"/>
  <c r="AA39" i="6"/>
  <c r="Y39" i="6"/>
  <c r="X39" i="6"/>
  <c r="X43" i="6" s="1"/>
  <c r="W39" i="6"/>
  <c r="V39" i="6"/>
  <c r="T39" i="6"/>
  <c r="S39" i="6"/>
  <c r="S43" i="6" s="1"/>
  <c r="S147" i="6" s="1"/>
  <c r="R39" i="6"/>
  <c r="Q39" i="6"/>
  <c r="O39" i="6"/>
  <c r="N39" i="6"/>
  <c r="N43" i="6" s="1"/>
  <c r="N147" i="6" s="1"/>
  <c r="M39" i="6"/>
  <c r="L39" i="6"/>
  <c r="J39" i="6"/>
  <c r="I39" i="6"/>
  <c r="I43" i="6" s="1"/>
  <c r="H39" i="6"/>
  <c r="G39" i="6"/>
  <c r="F39" i="6"/>
  <c r="AU39" i="6" s="1"/>
  <c r="E39" i="6"/>
  <c r="AT39" i="6" s="1"/>
  <c r="AS38" i="6"/>
  <c r="AS36" i="6"/>
  <c r="AS35" i="6"/>
  <c r="AH35" i="6"/>
  <c r="AG35" i="6"/>
  <c r="AG36" i="6" s="1"/>
  <c r="AF35" i="6"/>
  <c r="AF36" i="6" s="1"/>
  <c r="AD35" i="6"/>
  <c r="AD36" i="6" s="1"/>
  <c r="AC35" i="6"/>
  <c r="AC36" i="6" s="1"/>
  <c r="AB35" i="6"/>
  <c r="AB36" i="6" s="1"/>
  <c r="AA35" i="6"/>
  <c r="AA36" i="6" s="1"/>
  <c r="Y35" i="6"/>
  <c r="Y36" i="6" s="1"/>
  <c r="X35" i="6"/>
  <c r="X36" i="6" s="1"/>
  <c r="W35" i="6"/>
  <c r="V35" i="6"/>
  <c r="V36" i="6" s="1"/>
  <c r="T35" i="6"/>
  <c r="T36" i="6" s="1"/>
  <c r="S35" i="6"/>
  <c r="R35" i="6"/>
  <c r="Q35" i="6"/>
  <c r="Q36" i="6" s="1"/>
  <c r="O35" i="6"/>
  <c r="O36" i="6" s="1"/>
  <c r="N35" i="6"/>
  <c r="D19" i="58499" s="1"/>
  <c r="M35" i="6"/>
  <c r="L35" i="6"/>
  <c r="L36" i="6" s="1"/>
  <c r="J35" i="6"/>
  <c r="J36" i="6" s="1"/>
  <c r="I35" i="6"/>
  <c r="I36" i="6" s="1"/>
  <c r="H35" i="6"/>
  <c r="H36" i="6" s="1"/>
  <c r="G35" i="6"/>
  <c r="G36" i="6" s="1"/>
  <c r="F35" i="6"/>
  <c r="F36" i="6" s="1"/>
  <c r="E35" i="6"/>
  <c r="AT35" i="6" s="1"/>
  <c r="AS34" i="6"/>
  <c r="AS33" i="6"/>
  <c r="AS32" i="6"/>
  <c r="AS31" i="6"/>
  <c r="AS30" i="6"/>
  <c r="AI32" i="6"/>
  <c r="AE33" i="6"/>
  <c r="AE42" i="6" s="1"/>
  <c r="AZ42" i="6" s="1"/>
  <c r="AE32" i="6"/>
  <c r="AE31" i="6"/>
  <c r="Z33" i="6"/>
  <c r="Z42" i="6" s="1"/>
  <c r="AY42" i="6" s="1"/>
  <c r="Z32" i="6"/>
  <c r="AY32" i="6" s="1"/>
  <c r="Z31" i="6"/>
  <c r="AY31" i="6" s="1"/>
  <c r="U33" i="6"/>
  <c r="U42" i="6" s="1"/>
  <c r="AX42" i="6" s="1"/>
  <c r="U32" i="6"/>
  <c r="AX32" i="6" s="1"/>
  <c r="U31" i="6"/>
  <c r="P33" i="6"/>
  <c r="P42" i="6" s="1"/>
  <c r="AW42" i="6" s="1"/>
  <c r="P32" i="6"/>
  <c r="AW32" i="6" s="1"/>
  <c r="P31" i="6"/>
  <c r="P256" i="6" s="1"/>
  <c r="K33" i="6"/>
  <c r="K42" i="6" s="1"/>
  <c r="AV42" i="6" s="1"/>
  <c r="K32" i="6"/>
  <c r="AV32" i="6" s="1"/>
  <c r="K31" i="6"/>
  <c r="K256" i="6" s="1"/>
  <c r="AH32" i="6"/>
  <c r="AZ33" i="6"/>
  <c r="AX33" i="6"/>
  <c r="AU33" i="6"/>
  <c r="AT33" i="6"/>
  <c r="AZ32" i="6"/>
  <c r="AU32" i="6"/>
  <c r="AT32" i="6"/>
  <c r="AZ31" i="6"/>
  <c r="AX31" i="6"/>
  <c r="AV31" i="6"/>
  <c r="AU31" i="6"/>
  <c r="AT31" i="6"/>
  <c r="AN34" i="6"/>
  <c r="AM34" i="6"/>
  <c r="AL34" i="6"/>
  <c r="AJ34" i="6"/>
  <c r="AM33" i="6"/>
  <c r="AM42" i="6" s="1"/>
  <c r="AK33" i="6"/>
  <c r="AK42" i="6" s="1"/>
  <c r="AP32" i="6"/>
  <c r="BC32" i="6" s="1"/>
  <c r="AN32" i="6"/>
  <c r="AM32" i="6"/>
  <c r="AL32" i="6"/>
  <c r="AK32" i="6"/>
  <c r="AJ32" i="6"/>
  <c r="BA32" i="6" s="1"/>
  <c r="AT25" i="6"/>
  <c r="AS25" i="6"/>
  <c r="AS24" i="6"/>
  <c r="AU23" i="6"/>
  <c r="AT23" i="6"/>
  <c r="AS23" i="6"/>
  <c r="AM23" i="6"/>
  <c r="AM35" i="6" s="1"/>
  <c r="AL23" i="6"/>
  <c r="AL35" i="6" s="1"/>
  <c r="AK23" i="6"/>
  <c r="AK35" i="6" s="1"/>
  <c r="AE23" i="6"/>
  <c r="Z23" i="6"/>
  <c r="U23" i="6"/>
  <c r="AX23" i="6" s="1"/>
  <c r="P23" i="6"/>
  <c r="AW23" i="6" s="1"/>
  <c r="K23" i="6"/>
  <c r="AS21" i="6"/>
  <c r="AS20" i="6"/>
  <c r="AD20" i="6"/>
  <c r="AD476" i="6" s="1"/>
  <c r="AC20" i="6"/>
  <c r="AC24" i="6" s="1"/>
  <c r="AB20" i="6"/>
  <c r="AB24" i="6" s="1"/>
  <c r="AA20" i="6"/>
  <c r="AA476" i="6" s="1"/>
  <c r="Y20" i="6"/>
  <c r="Y24" i="6" s="1"/>
  <c r="X20" i="6"/>
  <c r="X24" i="6" s="1"/>
  <c r="W20" i="6"/>
  <c r="W476" i="6" s="1"/>
  <c r="V20" i="6"/>
  <c r="V476" i="6" s="1"/>
  <c r="T20" i="6"/>
  <c r="T24" i="6" s="1"/>
  <c r="S20" i="6"/>
  <c r="S24" i="6" s="1"/>
  <c r="R20" i="6"/>
  <c r="R24" i="6" s="1"/>
  <c r="Q20" i="6"/>
  <c r="Q476" i="6" s="1"/>
  <c r="O20" i="6"/>
  <c r="O24" i="6" s="1"/>
  <c r="N20" i="6"/>
  <c r="N476" i="6" s="1"/>
  <c r="M20" i="6"/>
  <c r="M476" i="6" s="1"/>
  <c r="L20" i="6"/>
  <c r="L476" i="6" s="1"/>
  <c r="J20" i="6"/>
  <c r="J476" i="6" s="1"/>
  <c r="I20" i="6"/>
  <c r="I476" i="6" s="1"/>
  <c r="H20" i="6"/>
  <c r="H24" i="6" s="1"/>
  <c r="G20" i="6"/>
  <c r="G476" i="6" s="1"/>
  <c r="F20" i="6"/>
  <c r="F24" i="6" s="1"/>
  <c r="EU323" i="58481" s="1"/>
  <c r="E20" i="6"/>
  <c r="AT20" i="6" s="1"/>
  <c r="AU18" i="6"/>
  <c r="AT18" i="6"/>
  <c r="AS18" i="6"/>
  <c r="AP18" i="6"/>
  <c r="AN18" i="6"/>
  <c r="AM18" i="6"/>
  <c r="AL18" i="6"/>
  <c r="AL41" i="6" s="1"/>
  <c r="AK18" i="6"/>
  <c r="AI18" i="6"/>
  <c r="AI41" i="6" s="1"/>
  <c r="AH18" i="6"/>
  <c r="AG18" i="6"/>
  <c r="AG41" i="6" s="1"/>
  <c r="AE18" i="6"/>
  <c r="Z18" i="6"/>
  <c r="U18" i="6"/>
  <c r="P18" i="6"/>
  <c r="K18" i="6"/>
  <c r="AS17" i="6"/>
  <c r="AS16" i="6"/>
  <c r="AS15" i="6"/>
  <c r="AS14" i="6"/>
  <c r="AS13" i="6"/>
  <c r="AS12" i="6"/>
  <c r="AS11" i="6"/>
  <c r="AJ17" i="6"/>
  <c r="AH16" i="6"/>
  <c r="AH40" i="6" s="1"/>
  <c r="AG16" i="6"/>
  <c r="AG40" i="6" s="1"/>
  <c r="AF16" i="6"/>
  <c r="AF40" i="6" s="1"/>
  <c r="AE16" i="6"/>
  <c r="Z16" i="6"/>
  <c r="Z14" i="6"/>
  <c r="AY14" i="6" s="1"/>
  <c r="Z13" i="6"/>
  <c r="AY13" i="6" s="1"/>
  <c r="Z12" i="6"/>
  <c r="AY12" i="6" s="1"/>
  <c r="Z11" i="6"/>
  <c r="AY11" i="6" s="1"/>
  <c r="U16" i="6"/>
  <c r="AX16" i="6" s="1"/>
  <c r="U14" i="6"/>
  <c r="AX14" i="6" s="1"/>
  <c r="U13" i="6"/>
  <c r="AX13" i="6" s="1"/>
  <c r="U12" i="6"/>
  <c r="AX12" i="6" s="1"/>
  <c r="U11" i="6"/>
  <c r="AX11" i="6" s="1"/>
  <c r="P16" i="6"/>
  <c r="AW16" i="6" s="1"/>
  <c r="P14" i="6"/>
  <c r="AW14" i="6" s="1"/>
  <c r="P12" i="6"/>
  <c r="AW12" i="6" s="1"/>
  <c r="P11" i="6"/>
  <c r="AW11" i="6" s="1"/>
  <c r="K16" i="6"/>
  <c r="K14" i="6"/>
  <c r="K13" i="6"/>
  <c r="K12" i="6"/>
  <c r="AV12" i="6" s="1"/>
  <c r="K11" i="6"/>
  <c r="AV11" i="6" s="1"/>
  <c r="AY16" i="6"/>
  <c r="AU16" i="6"/>
  <c r="AT16" i="6"/>
  <c r="BB15" i="6"/>
  <c r="BA15" i="6"/>
  <c r="AV14" i="6"/>
  <c r="AV13" i="6"/>
  <c r="AQ15" i="6"/>
  <c r="BD15" i="6" s="1"/>
  <c r="AP15" i="6"/>
  <c r="BC15" i="6" s="1"/>
  <c r="AO14" i="6"/>
  <c r="BB14" i="6" s="1"/>
  <c r="AN14" i="6"/>
  <c r="AM14" i="6"/>
  <c r="AL14" i="6"/>
  <c r="AK14" i="6"/>
  <c r="AJ14" i="6"/>
  <c r="BA14" i="6" s="1"/>
  <c r="AI14" i="6"/>
  <c r="AH14" i="6"/>
  <c r="AG14" i="6"/>
  <c r="AF14" i="6"/>
  <c r="AE14" i="6"/>
  <c r="AZ14" i="6" s="1"/>
  <c r="AD14" i="6"/>
  <c r="AC14" i="6"/>
  <c r="AB14" i="6"/>
  <c r="AA14" i="6"/>
  <c r="AH13" i="6"/>
  <c r="AG13" i="6"/>
  <c r="AF13" i="6"/>
  <c r="AE13" i="6"/>
  <c r="AZ13" i="6" s="1"/>
  <c r="AD13" i="6"/>
  <c r="AC13" i="6"/>
  <c r="AB13" i="6"/>
  <c r="AA13" i="6"/>
  <c r="AM12" i="6"/>
  <c r="AL12" i="6"/>
  <c r="AK12" i="6"/>
  <c r="AJ12" i="6"/>
  <c r="AI12" i="6"/>
  <c r="AH12" i="6"/>
  <c r="AG12" i="6"/>
  <c r="AF12" i="6"/>
  <c r="AE12" i="6"/>
  <c r="AZ12" i="6" s="1"/>
  <c r="AD12" i="6"/>
  <c r="AC12" i="6"/>
  <c r="AB12" i="6"/>
  <c r="AA12" i="6"/>
  <c r="AH11" i="6"/>
  <c r="AG11" i="6"/>
  <c r="AF11" i="6"/>
  <c r="AE11" i="6"/>
  <c r="AZ11" i="6" s="1"/>
  <c r="AD11" i="6"/>
  <c r="AC11" i="6"/>
  <c r="AB11" i="6"/>
  <c r="AA11" i="6"/>
  <c r="Y14" i="6"/>
  <c r="X14" i="6"/>
  <c r="W14" i="6"/>
  <c r="V14" i="6"/>
  <c r="Y13" i="6"/>
  <c r="X13" i="6"/>
  <c r="W13" i="6"/>
  <c r="V13" i="6"/>
  <c r="Y12" i="6"/>
  <c r="X12" i="6"/>
  <c r="W12" i="6"/>
  <c r="V12" i="6"/>
  <c r="Y11" i="6"/>
  <c r="X11" i="6"/>
  <c r="W11" i="6"/>
  <c r="V11" i="6"/>
  <c r="T14" i="6"/>
  <c r="S14" i="6"/>
  <c r="R14" i="6"/>
  <c r="Q14" i="6"/>
  <c r="T13" i="6"/>
  <c r="S13" i="6"/>
  <c r="R13" i="6"/>
  <c r="Q13" i="6"/>
  <c r="T12" i="6"/>
  <c r="S12" i="6"/>
  <c r="R12" i="6"/>
  <c r="Q12" i="6"/>
  <c r="T11" i="6"/>
  <c r="S11" i="6"/>
  <c r="R11" i="6"/>
  <c r="Q11" i="6"/>
  <c r="O14" i="6"/>
  <c r="N14" i="6"/>
  <c r="M14" i="6"/>
  <c r="L14" i="6"/>
  <c r="O13" i="6"/>
  <c r="N13" i="6"/>
  <c r="M13" i="6"/>
  <c r="L13" i="6"/>
  <c r="O12" i="6"/>
  <c r="N12" i="6"/>
  <c r="M12" i="6"/>
  <c r="L12" i="6"/>
  <c r="O11" i="6"/>
  <c r="N11" i="6"/>
  <c r="M11" i="6"/>
  <c r="L11" i="6"/>
  <c r="J15" i="6"/>
  <c r="J14" i="6"/>
  <c r="I14" i="6"/>
  <c r="H14" i="6"/>
  <c r="G14" i="6"/>
  <c r="F14" i="6"/>
  <c r="AU14" i="6" s="1"/>
  <c r="E14" i="6"/>
  <c r="AT14" i="6" s="1"/>
  <c r="J13" i="6"/>
  <c r="I13" i="6"/>
  <c r="H13" i="6"/>
  <c r="G13" i="6"/>
  <c r="F13" i="6"/>
  <c r="AU13" i="6" s="1"/>
  <c r="E13" i="6"/>
  <c r="AT13" i="6" s="1"/>
  <c r="J12" i="6"/>
  <c r="I12" i="6"/>
  <c r="H12" i="6"/>
  <c r="G12" i="6"/>
  <c r="F12" i="6"/>
  <c r="AU12" i="6" s="1"/>
  <c r="E12" i="6"/>
  <c r="AT12" i="6" s="1"/>
  <c r="J11" i="6"/>
  <c r="I11" i="6"/>
  <c r="H11" i="6"/>
  <c r="G11" i="6"/>
  <c r="F11" i="6"/>
  <c r="AU11" i="6" s="1"/>
  <c r="E11" i="6"/>
  <c r="AT11" i="6" s="1"/>
  <c r="AU9" i="6"/>
  <c r="AT9" i="6"/>
  <c r="AS9" i="6"/>
  <c r="AE9" i="6"/>
  <c r="AZ9" i="6" s="1"/>
  <c r="Z9" i="6"/>
  <c r="AY9" i="6" s="1"/>
  <c r="U9" i="6"/>
  <c r="P9" i="6"/>
  <c r="K9" i="6"/>
  <c r="AS8" i="6"/>
  <c r="AQ6" i="6"/>
  <c r="AN5" i="58438" s="1"/>
  <c r="AP6" i="6"/>
  <c r="AO6" i="6"/>
  <c r="AL5" i="58438" s="1"/>
  <c r="AN6" i="6"/>
  <c r="AK5" i="58438" s="1"/>
  <c r="AM6" i="6"/>
  <c r="AJ5" i="58438" s="1"/>
  <c r="AL6" i="6"/>
  <c r="AI5" i="58438" s="1"/>
  <c r="AK6" i="6"/>
  <c r="AH5" i="58438" s="1"/>
  <c r="AJ6" i="6"/>
  <c r="AG5" i="58438" s="1"/>
  <c r="AI6" i="6"/>
  <c r="AF5" i="58438" s="1"/>
  <c r="AH6" i="6"/>
  <c r="AE5" i="58438" s="1"/>
  <c r="AG6" i="6"/>
  <c r="AD5" i="58438" s="1"/>
  <c r="AF6" i="6"/>
  <c r="AC5" i="58438" s="1"/>
  <c r="AE6" i="6"/>
  <c r="AD6" i="6"/>
  <c r="AA5" i="58438" s="1"/>
  <c r="AC6" i="6"/>
  <c r="Z5" i="58438" s="1"/>
  <c r="AB6" i="6"/>
  <c r="Y5" i="58438" s="1"/>
  <c r="AA6" i="6"/>
  <c r="X5" i="58438" s="1"/>
  <c r="Y6" i="6"/>
  <c r="V5" i="58438" s="1"/>
  <c r="X6" i="6"/>
  <c r="U5" i="58438" s="1"/>
  <c r="W6" i="6"/>
  <c r="T5" i="58438" s="1"/>
  <c r="T6" i="6"/>
  <c r="Q5" i="58438" s="1"/>
  <c r="S6" i="6"/>
  <c r="P5" i="58438" s="1"/>
  <c r="P365" i="58438" s="1"/>
  <c r="R6" i="6"/>
  <c r="O5" i="58438" s="1"/>
  <c r="O6" i="6"/>
  <c r="N6" i="6"/>
  <c r="K5" i="58438" s="1"/>
  <c r="M6" i="6"/>
  <c r="J5" i="58438" s="1"/>
  <c r="J6" i="6"/>
  <c r="G5" i="58438" s="1"/>
  <c r="I6" i="6"/>
  <c r="F5" i="58438" s="1"/>
  <c r="H6" i="6"/>
  <c r="E5" i="58438" s="1"/>
  <c r="G6" i="6"/>
  <c r="D5" i="58438" s="1"/>
  <c r="F6" i="6"/>
  <c r="BB6" i="6"/>
  <c r="AT6" i="6"/>
  <c r="AS6" i="6"/>
  <c r="BD5" i="6"/>
  <c r="BC5" i="6"/>
  <c r="BB5" i="6"/>
  <c r="BA5" i="6"/>
  <c r="AZ5" i="6"/>
  <c r="AY5" i="6"/>
  <c r="AX5" i="6"/>
  <c r="AW5" i="6"/>
  <c r="AV5" i="6"/>
  <c r="AU5" i="6"/>
  <c r="AT5" i="6"/>
  <c r="AS5" i="6"/>
  <c r="AQ4" i="6"/>
  <c r="BD4" i="6" s="1"/>
  <c r="AP4" i="6"/>
  <c r="AO4" i="6"/>
  <c r="BB4" i="6" s="1"/>
  <c r="AN4" i="6"/>
  <c r="AM4" i="6"/>
  <c r="AL4" i="6"/>
  <c r="AK4" i="6"/>
  <c r="AJ4" i="6"/>
  <c r="BA4" i="6" s="1"/>
  <c r="AI4" i="6"/>
  <c r="AH4" i="6"/>
  <c r="AG4" i="6"/>
  <c r="AF4" i="6"/>
  <c r="AE4" i="6"/>
  <c r="AZ4" i="6" s="1"/>
  <c r="AD4" i="6"/>
  <c r="AC4" i="6"/>
  <c r="AB4" i="6"/>
  <c r="AA4" i="6"/>
  <c r="Y4" i="6"/>
  <c r="X4" i="6"/>
  <c r="W4" i="6"/>
  <c r="T4" i="6"/>
  <c r="S4" i="6"/>
  <c r="R4" i="6"/>
  <c r="O4" i="6"/>
  <c r="N4" i="6"/>
  <c r="M4" i="6"/>
  <c r="J4" i="6"/>
  <c r="I4" i="6"/>
  <c r="H4" i="6"/>
  <c r="F4" i="6"/>
  <c r="AU4" i="6" s="1"/>
  <c r="BC4" i="6"/>
  <c r="AT4" i="6"/>
  <c r="BD3" i="6"/>
  <c r="BC3" i="6"/>
  <c r="BB3" i="6"/>
  <c r="BA3" i="6"/>
  <c r="AZ3" i="6"/>
  <c r="AY3" i="6"/>
  <c r="AU3" i="6"/>
  <c r="AT3" i="6"/>
  <c r="AS3" i="6"/>
  <c r="AS2" i="6"/>
  <c r="AS1" i="6"/>
  <c r="U3" i="6"/>
  <c r="P3" i="6"/>
  <c r="K3" i="6"/>
  <c r="L4" i="6" s="1"/>
  <c r="HY637" i="58479" l="1"/>
  <c r="AQ512" i="6"/>
  <c r="BD512" i="6" s="1"/>
  <c r="BC512" i="6"/>
  <c r="AH338" i="58411"/>
  <c r="Z456" i="6"/>
  <c r="AY456" i="6" s="1"/>
  <c r="AU429" i="6"/>
  <c r="AW423" i="6"/>
  <c r="L314" i="6"/>
  <c r="P277" i="6"/>
  <c r="IM690" i="58479" s="1"/>
  <c r="HV635" i="58479"/>
  <c r="AB477" i="6"/>
  <c r="I291" i="6"/>
  <c r="I15" i="6" s="1"/>
  <c r="I136" i="6"/>
  <c r="J43" i="6"/>
  <c r="J147" i="6" s="1"/>
  <c r="AD43" i="6"/>
  <c r="I29" i="58482"/>
  <c r="AH20" i="6"/>
  <c r="AM41" i="6"/>
  <c r="AH36" i="6"/>
  <c r="G43" i="6"/>
  <c r="L43" i="6"/>
  <c r="L147" i="6" s="1"/>
  <c r="Q43" i="6"/>
  <c r="Q147" i="6" s="1"/>
  <c r="V43" i="6"/>
  <c r="V147" i="6" s="1"/>
  <c r="AA43" i="6"/>
  <c r="AZ45" i="6"/>
  <c r="AW46" i="6"/>
  <c r="AV51" i="6"/>
  <c r="AV52" i="6"/>
  <c r="AI688" i="6"/>
  <c r="AJ688" i="6" s="1"/>
  <c r="P429" i="6"/>
  <c r="AW429" i="6" s="1"/>
  <c r="N284" i="6"/>
  <c r="E11" i="58481"/>
  <c r="AO32" i="6"/>
  <c r="BB32" i="6" s="1"/>
  <c r="O43" i="6"/>
  <c r="O147" i="6" s="1"/>
  <c r="T43" i="6"/>
  <c r="Y43" i="6"/>
  <c r="F29" i="58482"/>
  <c r="O65" i="6"/>
  <c r="P13" i="6"/>
  <c r="AW13" i="6" s="1"/>
  <c r="AN41" i="6"/>
  <c r="AV33" i="6"/>
  <c r="H43" i="6"/>
  <c r="H147" i="6" s="1"/>
  <c r="M43" i="6"/>
  <c r="M147" i="6" s="1"/>
  <c r="R43" i="6"/>
  <c r="W43" i="6"/>
  <c r="W147" i="6" s="1"/>
  <c r="AB43" i="6"/>
  <c r="AB147" i="6" s="1"/>
  <c r="AW51" i="6"/>
  <c r="CP254" i="58479" s="1"/>
  <c r="CP255" i="58479" s="1"/>
  <c r="R65" i="6"/>
  <c r="AA65" i="6"/>
  <c r="AG65" i="6"/>
  <c r="W690" i="6"/>
  <c r="S651" i="6"/>
  <c r="AH539" i="6"/>
  <c r="AC539" i="6"/>
  <c r="AE456" i="6"/>
  <c r="AZ456" i="6" s="1"/>
  <c r="N314" i="6"/>
  <c r="AC472" i="6"/>
  <c r="AC159" i="6" s="1"/>
  <c r="H11" i="58481"/>
  <c r="AD523" i="6"/>
  <c r="AB478" i="6"/>
  <c r="H19" i="58482"/>
  <c r="AY80" i="6"/>
  <c r="K398" i="58438"/>
  <c r="K403" i="58438"/>
  <c r="K437" i="58438" s="1"/>
  <c r="K356" i="58438"/>
  <c r="K362" i="58438"/>
  <c r="K363" i="58438"/>
  <c r="K364" i="58438"/>
  <c r="K404" i="58438"/>
  <c r="K405" i="58438"/>
  <c r="K402" i="58438"/>
  <c r="K365" i="58438"/>
  <c r="AF405" i="58438"/>
  <c r="AF365" i="58438"/>
  <c r="AF439" i="58438" s="1"/>
  <c r="O237" i="6"/>
  <c r="L5" i="58438"/>
  <c r="AU6" i="6"/>
  <c r="C5" i="58438"/>
  <c r="G362" i="58438"/>
  <c r="G356" i="58438"/>
  <c r="G405" i="58438"/>
  <c r="G439" i="58438" s="1"/>
  <c r="G363" i="58438"/>
  <c r="G365" i="58438"/>
  <c r="G404" i="58438"/>
  <c r="G364" i="58438"/>
  <c r="G402" i="58438"/>
  <c r="G403" i="58438"/>
  <c r="G398" i="58438"/>
  <c r="G431" i="58438" s="1"/>
  <c r="O403" i="58438"/>
  <c r="O41" i="58438"/>
  <c r="O43" i="58438"/>
  <c r="O404" i="58438"/>
  <c r="O364" i="58438"/>
  <c r="O42" i="58438"/>
  <c r="O45" i="58438"/>
  <c r="O365" i="58438"/>
  <c r="O398" i="58438"/>
  <c r="O363" i="58438"/>
  <c r="O44" i="58438"/>
  <c r="O356" i="58438"/>
  <c r="O405" i="58438"/>
  <c r="O362" i="58438"/>
  <c r="O366" i="58438" s="1"/>
  <c r="O402" i="58438"/>
  <c r="U44" i="58438"/>
  <c r="U43" i="58438"/>
  <c r="U45" i="58438"/>
  <c r="U356" i="58438"/>
  <c r="U41" i="58438"/>
  <c r="U403" i="58438"/>
  <c r="U363" i="58438"/>
  <c r="U398" i="58438"/>
  <c r="U404" i="58438"/>
  <c r="U364" i="58438"/>
  <c r="U405" i="58438"/>
  <c r="U439" i="58438" s="1"/>
  <c r="U365" i="58438"/>
  <c r="Z45" i="58438"/>
  <c r="Z41" i="58438"/>
  <c r="Z43" i="58438"/>
  <c r="Z46" i="58438" s="1"/>
  <c r="Z44" i="58438"/>
  <c r="Z398" i="58438"/>
  <c r="Z403" i="58438"/>
  <c r="Z359" i="58438"/>
  <c r="Z371" i="58438"/>
  <c r="Z363" i="58438"/>
  <c r="Z356" i="58438"/>
  <c r="Z357" i="58438" s="1"/>
  <c r="Z456" i="58438" s="1"/>
  <c r="AD44" i="58438"/>
  <c r="AD405" i="58438"/>
  <c r="AD403" i="58438"/>
  <c r="AD404" i="58438"/>
  <c r="AD402" i="58438"/>
  <c r="AD45" i="58438"/>
  <c r="AD42" i="58438"/>
  <c r="AD43" i="58438"/>
  <c r="AD365" i="58438"/>
  <c r="AD362" i="58438"/>
  <c r="AL290" i="58438"/>
  <c r="AL274" i="58438"/>
  <c r="AL258" i="58438"/>
  <c r="AL36" i="58438" s="1"/>
  <c r="AL322" i="58438"/>
  <c r="AM322" i="58438" s="1"/>
  <c r="AL223" i="58438"/>
  <c r="AM223" i="58438" s="1"/>
  <c r="AH364" i="58438"/>
  <c r="K249" i="6"/>
  <c r="ID657" i="58479" s="1"/>
  <c r="IE665" i="58479" s="1"/>
  <c r="HV617" i="58479"/>
  <c r="AE39" i="6"/>
  <c r="BP202" i="58502" s="1"/>
  <c r="HZ617" i="58479"/>
  <c r="AV9" i="6"/>
  <c r="K292" i="6"/>
  <c r="HV618" i="58479"/>
  <c r="AZ16" i="6"/>
  <c r="HZ618" i="58479"/>
  <c r="K41" i="6"/>
  <c r="AV41" i="6" s="1"/>
  <c r="HV619" i="58479"/>
  <c r="AE41" i="6"/>
  <c r="AZ41" i="6" s="1"/>
  <c r="HZ619" i="58479"/>
  <c r="AJ18" i="6"/>
  <c r="AJ41" i="6" s="1"/>
  <c r="BA41" i="6" s="1"/>
  <c r="AG20" i="6"/>
  <c r="AG476" i="6" s="1"/>
  <c r="K455" i="6"/>
  <c r="HV622" i="58479"/>
  <c r="AZ23" i="6"/>
  <c r="HZ622" i="58479"/>
  <c r="J24" i="6"/>
  <c r="AD24" i="6"/>
  <c r="AD453" i="6" s="1"/>
  <c r="D21" i="58499"/>
  <c r="D23" i="58499" s="1"/>
  <c r="C19" i="58498"/>
  <c r="D19" i="58501"/>
  <c r="W36" i="6"/>
  <c r="W714" i="6" s="1"/>
  <c r="C19" i="58501"/>
  <c r="N36" i="6"/>
  <c r="I147" i="6"/>
  <c r="X147" i="6"/>
  <c r="AV46" i="6"/>
  <c r="AJ50" i="6"/>
  <c r="BA50" i="6" s="1"/>
  <c r="AX51" i="6"/>
  <c r="CQ254" i="58479" s="1"/>
  <c r="G29" i="58482"/>
  <c r="W119" i="6"/>
  <c r="C28" i="58501"/>
  <c r="N112" i="6"/>
  <c r="D50" i="58499" s="1"/>
  <c r="D32" i="58499"/>
  <c r="K63" i="6"/>
  <c r="AJ63" i="6"/>
  <c r="AV70" i="6"/>
  <c r="E16" i="58482"/>
  <c r="F17" i="58482" s="1"/>
  <c r="L58" i="58483"/>
  <c r="L55" i="58483"/>
  <c r="AZ80" i="6"/>
  <c r="I19" i="58482"/>
  <c r="AD81" i="6"/>
  <c r="S682" i="6"/>
  <c r="P651" i="6"/>
  <c r="AL567" i="6"/>
  <c r="FP372" i="58481"/>
  <c r="G7" i="58481"/>
  <c r="FO371" i="58481"/>
  <c r="F4" i="58481"/>
  <c r="AB284" i="6"/>
  <c r="IG600" i="58481"/>
  <c r="AE267" i="6"/>
  <c r="IH657" i="58479"/>
  <c r="AE494" i="6"/>
  <c r="AZ494" i="6" s="1"/>
  <c r="U494" i="6"/>
  <c r="AX494" i="6" s="1"/>
  <c r="AD363" i="58438"/>
  <c r="X43" i="58438"/>
  <c r="X41" i="58438"/>
  <c r="X404" i="58438"/>
  <c r="X364" i="58438"/>
  <c r="X363" i="58438"/>
  <c r="X44" i="58438"/>
  <c r="X45" i="58438"/>
  <c r="X372" i="58438"/>
  <c r="X371" i="58438"/>
  <c r="X405" i="58438"/>
  <c r="X373" i="58438"/>
  <c r="X365" i="58438"/>
  <c r="X403" i="58438"/>
  <c r="X437" i="58438" s="1"/>
  <c r="L6" i="6"/>
  <c r="I5" i="58438" s="1"/>
  <c r="H3" i="58411"/>
  <c r="H3" i="58438"/>
  <c r="BD6" i="6"/>
  <c r="T45" i="58438"/>
  <c r="T44" i="58438"/>
  <c r="T43" i="58438"/>
  <c r="T41" i="58438"/>
  <c r="T364" i="58438"/>
  <c r="T404" i="58438"/>
  <c r="T398" i="58438"/>
  <c r="T365" i="58438"/>
  <c r="T356" i="58438"/>
  <c r="T357" i="58438" s="1"/>
  <c r="T456" i="58438" s="1"/>
  <c r="T363" i="58438"/>
  <c r="T403" i="58438"/>
  <c r="T405" i="58438"/>
  <c r="T439" i="58438" s="1"/>
  <c r="AC44" i="58438"/>
  <c r="AC405" i="58438"/>
  <c r="AL263" i="58438"/>
  <c r="AC404" i="58438"/>
  <c r="AC365" i="58438"/>
  <c r="AL279" i="58438"/>
  <c r="AC402" i="58438"/>
  <c r="AC43" i="58438"/>
  <c r="AC403" i="58438"/>
  <c r="AC42" i="58438"/>
  <c r="AL295" i="58438"/>
  <c r="AL228" i="58438"/>
  <c r="AC45" i="58438"/>
  <c r="AC362" i="58438"/>
  <c r="AG322" i="58438"/>
  <c r="AG88" i="58438"/>
  <c r="AL93" i="58438" s="1"/>
  <c r="P6" i="6"/>
  <c r="M3" i="58411"/>
  <c r="M3" i="58438"/>
  <c r="Z4" i="6"/>
  <c r="AY4" i="6" s="1"/>
  <c r="R3" i="58438"/>
  <c r="R3" i="58411"/>
  <c r="BA6" i="6"/>
  <c r="D403" i="58438"/>
  <c r="D362" i="58438"/>
  <c r="D365" i="58438"/>
  <c r="D363" i="58438"/>
  <c r="D405" i="58438"/>
  <c r="D439" i="58438" s="1"/>
  <c r="D404" i="58438"/>
  <c r="D356" i="58438"/>
  <c r="D402" i="58438"/>
  <c r="D364" i="58438"/>
  <c r="D398" i="58438"/>
  <c r="J402" i="58438"/>
  <c r="J405" i="58438"/>
  <c r="J403" i="58438"/>
  <c r="J404" i="58438"/>
  <c r="J362" i="58438"/>
  <c r="J365" i="58438"/>
  <c r="J363" i="58438"/>
  <c r="J364" i="58438"/>
  <c r="J398" i="58438"/>
  <c r="J356" i="58438"/>
  <c r="P43" i="58438"/>
  <c r="P398" i="58438"/>
  <c r="P45" i="58438"/>
  <c r="P44" i="58438"/>
  <c r="P42" i="58438"/>
  <c r="P356" i="58438"/>
  <c r="P357" i="58438" s="1"/>
  <c r="P456" i="58438" s="1"/>
  <c r="P404" i="58438"/>
  <c r="P363" i="58438"/>
  <c r="P364" i="58438"/>
  <c r="P41" i="58438"/>
  <c r="P403" i="58438"/>
  <c r="P402" i="58438"/>
  <c r="P362" i="58438"/>
  <c r="P436" i="58438" s="1"/>
  <c r="V363" i="58438"/>
  <c r="V404" i="58438"/>
  <c r="V43" i="58438"/>
  <c r="V45" i="58438"/>
  <c r="V365" i="58438"/>
  <c r="V44" i="58438"/>
  <c r="V403" i="58438"/>
  <c r="V437" i="58438" s="1"/>
  <c r="V364" i="58438"/>
  <c r="V405" i="58438"/>
  <c r="V439" i="58438" s="1"/>
  <c r="V41" i="58438"/>
  <c r="V398" i="58438"/>
  <c r="V356" i="58438"/>
  <c r="V431" i="58438" s="1"/>
  <c r="AA373" i="58438"/>
  <c r="AA41" i="58438"/>
  <c r="AA405" i="58438"/>
  <c r="AA365" i="58438"/>
  <c r="AA45" i="58438"/>
  <c r="AA44" i="58438"/>
  <c r="AA43" i="58438"/>
  <c r="AA371" i="58438"/>
  <c r="AA372" i="58438"/>
  <c r="AA364" i="58438"/>
  <c r="AA363" i="58438"/>
  <c r="AA404" i="58438"/>
  <c r="AA438" i="58438" s="1"/>
  <c r="AA403" i="58438"/>
  <c r="AE362" i="58438"/>
  <c r="AE403" i="58438"/>
  <c r="AE437" i="58438" s="1"/>
  <c r="AE402" i="58438"/>
  <c r="AE363" i="58438"/>
  <c r="AE42" i="58438"/>
  <c r="AE44" i="58438"/>
  <c r="AE405" i="58438"/>
  <c r="AE439" i="58438" s="1"/>
  <c r="AE365" i="58438"/>
  <c r="AE364" i="58438"/>
  <c r="AE45" i="58438"/>
  <c r="AE404" i="58438"/>
  <c r="BC6" i="6"/>
  <c r="AM5" i="58438"/>
  <c r="P249" i="6"/>
  <c r="IE657" i="58479" s="1"/>
  <c r="HW617" i="58479"/>
  <c r="AF105" i="58479"/>
  <c r="B4" i="58502"/>
  <c r="P40" i="6"/>
  <c r="AW40" i="6" s="1"/>
  <c r="HW618" i="58479"/>
  <c r="B5" i="58502"/>
  <c r="AO17" i="6"/>
  <c r="AP17" i="6" s="1"/>
  <c r="AQ17" i="6" s="1"/>
  <c r="P41" i="6"/>
  <c r="AW41" i="6" s="1"/>
  <c r="HW619" i="58479"/>
  <c r="AK41" i="6"/>
  <c r="AP41" i="6"/>
  <c r="BC41" i="6" s="1"/>
  <c r="AW18" i="6"/>
  <c r="AU20" i="6"/>
  <c r="P455" i="6"/>
  <c r="HW622" i="58479"/>
  <c r="N24" i="6"/>
  <c r="S36" i="6"/>
  <c r="S482" i="6" s="1"/>
  <c r="C19" i="58499"/>
  <c r="R36" i="6"/>
  <c r="AU35" i="6"/>
  <c r="J29" i="58482"/>
  <c r="AC65" i="6"/>
  <c r="AC147" i="6" s="1"/>
  <c r="N70" i="6"/>
  <c r="F9" i="58470"/>
  <c r="AE70" i="6"/>
  <c r="U536" i="6"/>
  <c r="AX536" i="6" s="1"/>
  <c r="Z432" i="6"/>
  <c r="AY432" i="6" s="1"/>
  <c r="FP371" i="58481"/>
  <c r="FP374" i="58481" s="1"/>
  <c r="G4" i="58481"/>
  <c r="G5" i="58481" s="1"/>
  <c r="IG658" i="58479"/>
  <c r="IG660" i="58479"/>
  <c r="IG665" i="58479"/>
  <c r="IG664" i="58479"/>
  <c r="IP691" i="58479"/>
  <c r="FP579" i="58502"/>
  <c r="FR579" i="58502" s="1"/>
  <c r="AV266" i="6"/>
  <c r="GD530" i="58479"/>
  <c r="IF664" i="58479"/>
  <c r="IF660" i="58479"/>
  <c r="AH363" i="58438"/>
  <c r="P405" i="58438"/>
  <c r="P439" i="58438" s="1"/>
  <c r="U40" i="6"/>
  <c r="AX40" i="6" s="1"/>
  <c r="HX618" i="58479"/>
  <c r="C5" i="58502"/>
  <c r="U41" i="6"/>
  <c r="AX41" i="6" s="1"/>
  <c r="HX619" i="58479"/>
  <c r="U35" i="6"/>
  <c r="AX35" i="6" s="1"/>
  <c r="HX622" i="58479"/>
  <c r="P35" i="6"/>
  <c r="AW35" i="6" s="1"/>
  <c r="AF43" i="6"/>
  <c r="E65" i="6"/>
  <c r="AT65" i="6" s="1"/>
  <c r="AX70" i="6"/>
  <c r="G16" i="58482"/>
  <c r="G17" i="58482" s="1"/>
  <c r="AD156" i="6"/>
  <c r="P430" i="6"/>
  <c r="AY266" i="6"/>
  <c r="GG530" i="58479"/>
  <c r="HW536" i="58481"/>
  <c r="Z277" i="6"/>
  <c r="IO689" i="58479"/>
  <c r="IJ599" i="58481"/>
  <c r="FL575" i="58502"/>
  <c r="FN575" i="58502" s="1"/>
  <c r="AI364" i="58438"/>
  <c r="AD364" i="58438"/>
  <c r="E403" i="58438"/>
  <c r="E405" i="58438"/>
  <c r="E398" i="58438"/>
  <c r="E363" i="58438"/>
  <c r="E402" i="58438"/>
  <c r="E365" i="58438"/>
  <c r="E362" i="58438"/>
  <c r="E364" i="58438"/>
  <c r="E356" i="58438"/>
  <c r="E404" i="58438"/>
  <c r="Q356" i="58438"/>
  <c r="Q43" i="58438"/>
  <c r="Q44" i="58438"/>
  <c r="Q45" i="58438"/>
  <c r="Q403" i="58438"/>
  <c r="Q362" i="58438"/>
  <c r="Q41" i="58438"/>
  <c r="Q363" i="58438"/>
  <c r="Q398" i="58438"/>
  <c r="Q405" i="58438"/>
  <c r="Q364" i="58438"/>
  <c r="Q366" i="58438" s="1"/>
  <c r="Q365" i="58438"/>
  <c r="Q402" i="58438"/>
  <c r="Q404" i="58438"/>
  <c r="AZ6" i="6"/>
  <c r="AB5" i="58438"/>
  <c r="AB88" i="58438" s="1"/>
  <c r="AX9" i="6"/>
  <c r="HX617" i="58479"/>
  <c r="C4" i="58502"/>
  <c r="F363" i="58438"/>
  <c r="F404" i="58438"/>
  <c r="F364" i="58438"/>
  <c r="F356" i="58438"/>
  <c r="F398" i="58438"/>
  <c r="F403" i="58438"/>
  <c r="F437" i="58438" s="1"/>
  <c r="F405" i="58438"/>
  <c r="F402" i="58438"/>
  <c r="H402" i="58438" s="1"/>
  <c r="F365" i="58438"/>
  <c r="F362" i="58438"/>
  <c r="H362" i="58438" s="1"/>
  <c r="Y44" i="58438"/>
  <c r="Y43" i="58438"/>
  <c r="Y41" i="58438"/>
  <c r="Y45" i="58438"/>
  <c r="Y364" i="58438"/>
  <c r="Y404" i="58438"/>
  <c r="Y372" i="58438"/>
  <c r="Z20" i="6"/>
  <c r="HY617" i="58479"/>
  <c r="Z40" i="6"/>
  <c r="AY40" i="6" s="1"/>
  <c r="HY618" i="58479"/>
  <c r="Z41" i="6"/>
  <c r="AY41" i="6" s="1"/>
  <c r="HY619" i="58479"/>
  <c r="Z35" i="6"/>
  <c r="AY35" i="6" s="1"/>
  <c r="HY622" i="58479"/>
  <c r="V24" i="6"/>
  <c r="AO34" i="6"/>
  <c r="AP34" i="6" s="1"/>
  <c r="AQ34" i="6" s="1"/>
  <c r="AW33" i="6"/>
  <c r="M36" i="6"/>
  <c r="D19" i="58498"/>
  <c r="F694" i="6"/>
  <c r="AU694" i="6" s="1"/>
  <c r="D29" i="58482"/>
  <c r="H29" i="58482"/>
  <c r="AE54" i="6"/>
  <c r="AZ54" i="6" s="1"/>
  <c r="M112" i="6"/>
  <c r="D50" i="58498" s="1"/>
  <c r="G50" i="58498" s="1"/>
  <c r="D32" i="58498"/>
  <c r="AU63" i="6"/>
  <c r="AE64" i="6"/>
  <c r="AZ64" i="6" s="1"/>
  <c r="AJ64" i="6"/>
  <c r="BA64" i="6" s="1"/>
  <c r="AY70" i="6"/>
  <c r="CR255" i="58479" s="1"/>
  <c r="H16" i="58482"/>
  <c r="S683" i="6"/>
  <c r="O683" i="6"/>
  <c r="P683" i="6" s="1"/>
  <c r="X525" i="6"/>
  <c r="IP688" i="58479"/>
  <c r="FP574" i="58502"/>
  <c r="AW266" i="6"/>
  <c r="GE530" i="58479"/>
  <c r="GH531" i="58479" s="1"/>
  <c r="Y42" i="58438"/>
  <c r="U42" i="58438"/>
  <c r="Q42" i="58438"/>
  <c r="AJ694" i="6"/>
  <c r="BA694" i="6" s="1"/>
  <c r="V655" i="6"/>
  <c r="V607" i="6"/>
  <c r="AJ523" i="6"/>
  <c r="BA523" i="6" s="1"/>
  <c r="AE298" i="6"/>
  <c r="AE300" i="6" s="1"/>
  <c r="AE302" i="6" s="1"/>
  <c r="AJ529" i="6"/>
  <c r="C5" i="58481"/>
  <c r="AH465" i="6"/>
  <c r="AH477" i="6"/>
  <c r="AH476" i="6"/>
  <c r="AH472" i="6"/>
  <c r="AH159" i="6" s="1"/>
  <c r="IE664" i="58479"/>
  <c r="IE660" i="58479"/>
  <c r="IE663" i="58479"/>
  <c r="II568" i="58481"/>
  <c r="IB660" i="58479"/>
  <c r="IB664" i="58479"/>
  <c r="HV637" i="58479"/>
  <c r="F44" i="58501"/>
  <c r="Z42" i="58438"/>
  <c r="X42" i="58438"/>
  <c r="J610" i="6"/>
  <c r="J616" i="6" s="1"/>
  <c r="J606" i="6"/>
  <c r="FO372" i="58481"/>
  <c r="F7" i="58481"/>
  <c r="AH525" i="6"/>
  <c r="EA302" i="58481"/>
  <c r="AF106" i="58479"/>
  <c r="FN371" i="58481"/>
  <c r="E4" i="58481"/>
  <c r="IC658" i="58479"/>
  <c r="IC660" i="58479"/>
  <c r="IC665" i="58479"/>
  <c r="IC664" i="58479"/>
  <c r="F51" i="58498"/>
  <c r="J51" i="58498"/>
  <c r="J46" i="58498"/>
  <c r="K46" i="58498"/>
  <c r="F46" i="58498"/>
  <c r="O599" i="6"/>
  <c r="L475" i="6"/>
  <c r="L474" i="6"/>
  <c r="IO691" i="58479"/>
  <c r="IJ601" i="58481"/>
  <c r="FL579" i="58502"/>
  <c r="FN579" i="58502" s="1"/>
  <c r="IJ598" i="58481"/>
  <c r="IO688" i="58479"/>
  <c r="FL574" i="58502"/>
  <c r="E7" i="58481"/>
  <c r="E8" i="58481" s="1"/>
  <c r="FN372" i="58481"/>
  <c r="FM371" i="58481"/>
  <c r="D4" i="58481"/>
  <c r="D5" i="58481" s="1"/>
  <c r="GJ428" i="58481"/>
  <c r="GJ430" i="58481" s="1"/>
  <c r="F54" i="58498"/>
  <c r="J54" i="58498"/>
  <c r="K54" i="58498"/>
  <c r="G54" i="58498"/>
  <c r="IJ566" i="58481"/>
  <c r="IH568" i="58481"/>
  <c r="HZ637" i="58479"/>
  <c r="HY646" i="58479"/>
  <c r="K44" i="58498"/>
  <c r="J44" i="58498"/>
  <c r="F44" i="58498"/>
  <c r="HX637" i="58479"/>
  <c r="IS708" i="58479"/>
  <c r="T42" i="58438"/>
  <c r="AE43" i="58438"/>
  <c r="AH606" i="6"/>
  <c r="AH610" i="6"/>
  <c r="AH478" i="6"/>
  <c r="AM469" i="6"/>
  <c r="IP689" i="58479"/>
  <c r="FP575" i="58502"/>
  <c r="FR575" i="58502" s="1"/>
  <c r="FT575" i="58502" s="1"/>
  <c r="G291" i="6"/>
  <c r="G136" i="6"/>
  <c r="Y501" i="6"/>
  <c r="X156" i="6"/>
  <c r="P444" i="6"/>
  <c r="AW444" i="6" s="1"/>
  <c r="AW443" i="6"/>
  <c r="H8" i="58481"/>
  <c r="FM372" i="58481"/>
  <c r="D7" i="58481"/>
  <c r="D8" i="58481" s="1"/>
  <c r="AD521" i="6"/>
  <c r="EB302" i="58481"/>
  <c r="AZ520" i="6"/>
  <c r="AE165" i="6"/>
  <c r="AZ165" i="6" s="1"/>
  <c r="F11" i="58481"/>
  <c r="H291" i="6"/>
  <c r="H15" i="6" s="1"/>
  <c r="H136" i="6"/>
  <c r="IS709" i="58479"/>
  <c r="HY644" i="58479"/>
  <c r="HZ635" i="58479"/>
  <c r="F50" i="58498"/>
  <c r="K50" i="58498"/>
  <c r="J50" i="58498"/>
  <c r="HY635" i="58479"/>
  <c r="G44" i="58498"/>
  <c r="IF665" i="58479"/>
  <c r="HW635" i="58479"/>
  <c r="K47" i="58498"/>
  <c r="J47" i="58498"/>
  <c r="F47" i="58498"/>
  <c r="G46" i="58498"/>
  <c r="T332" i="6"/>
  <c r="K205" i="6"/>
  <c r="AV205" i="6" s="1"/>
  <c r="Q203" i="6"/>
  <c r="L203" i="6"/>
  <c r="P203" i="6" s="1"/>
  <c r="AW203" i="6" s="1"/>
  <c r="Y314" i="6"/>
  <c r="AB314" i="6"/>
  <c r="P204" i="6"/>
  <c r="AW204" i="6" s="1"/>
  <c r="Q204" i="6"/>
  <c r="AD390" i="6"/>
  <c r="AD391" i="6" s="1"/>
  <c r="AD237" i="6"/>
  <c r="Z329" i="6"/>
  <c r="AY329" i="6" s="1"/>
  <c r="O314" i="6"/>
  <c r="AC314" i="6"/>
  <c r="Y333" i="6"/>
  <c r="Y334" i="6" s="1"/>
  <c r="AQ110" i="6"/>
  <c r="BD110" i="6" s="1"/>
  <c r="K385" i="6"/>
  <c r="AV385" i="6" s="1"/>
  <c r="AP115" i="6"/>
  <c r="AQ115" i="6" s="1"/>
  <c r="BD115" i="6" s="1"/>
  <c r="X333" i="6"/>
  <c r="X334" i="6" s="1"/>
  <c r="Y189" i="6"/>
  <c r="T314" i="6"/>
  <c r="G333" i="6"/>
  <c r="G334" i="6" s="1"/>
  <c r="W333" i="6"/>
  <c r="W334" i="6" s="1"/>
  <c r="K315" i="6"/>
  <c r="AF328" i="6"/>
  <c r="AE329" i="6"/>
  <c r="AZ329" i="6" s="1"/>
  <c r="N390" i="6"/>
  <c r="N391" i="6" s="1"/>
  <c r="M314" i="6"/>
  <c r="W314" i="6"/>
  <c r="Y205" i="6"/>
  <c r="AH501" i="6"/>
  <c r="N333" i="6"/>
  <c r="N334" i="6" s="1"/>
  <c r="O333" i="6"/>
  <c r="O334" i="6" s="1"/>
  <c r="I390" i="6"/>
  <c r="I391" i="6" s="1"/>
  <c r="Q314" i="6"/>
  <c r="AC333" i="6"/>
  <c r="AC334" i="6" s="1"/>
  <c r="Z393" i="6"/>
  <c r="AY393" i="6" s="1"/>
  <c r="AB390" i="6"/>
  <c r="AB391" i="6" s="1"/>
  <c r="G237" i="6"/>
  <c r="G240" i="6" s="1"/>
  <c r="AF386" i="6"/>
  <c r="P385" i="6"/>
  <c r="AW385" i="6" s="1"/>
  <c r="S314" i="6"/>
  <c r="AZ615" i="6"/>
  <c r="AG773" i="58411"/>
  <c r="AG774" i="58411" s="1"/>
  <c r="AG22" i="58438"/>
  <c r="AG45" i="58438" s="1"/>
  <c r="AF773" i="58411"/>
  <c r="AF774" i="58411" s="1"/>
  <c r="AF22" i="58438"/>
  <c r="AF45" i="58438" s="1"/>
  <c r="AF21" i="58438"/>
  <c r="AF44" i="58438" s="1"/>
  <c r="AG702" i="58411"/>
  <c r="AG703" i="58411" s="1"/>
  <c r="AG21" i="58438"/>
  <c r="AG44" i="58438" s="1"/>
  <c r="AG424" i="58438"/>
  <c r="AG425" i="58438" s="1"/>
  <c r="AF631" i="58411"/>
  <c r="AF632" i="58411" s="1"/>
  <c r="AF20" i="58438"/>
  <c r="AF43" i="58438" s="1"/>
  <c r="AF19" i="58438"/>
  <c r="AG882" i="58411"/>
  <c r="AG387" i="58438"/>
  <c r="AG391" i="58438" s="1"/>
  <c r="AG392" i="58438" s="1"/>
  <c r="AG560" i="58411"/>
  <c r="AG561" i="58411" s="1"/>
  <c r="AG19" i="58438"/>
  <c r="AF834" i="58411"/>
  <c r="AI310" i="6" s="1"/>
  <c r="AH404" i="58411"/>
  <c r="O357" i="58438"/>
  <c r="O456" i="58438" s="1"/>
  <c r="X390" i="6"/>
  <c r="X391" i="6" s="1"/>
  <c r="IJ678" i="58479"/>
  <c r="IK679" i="58479" s="1"/>
  <c r="AL34" i="58438"/>
  <c r="AW187" i="6"/>
  <c r="IE646" i="58479"/>
  <c r="AY327" i="6"/>
  <c r="IO670" i="58479"/>
  <c r="IC649" i="58479"/>
  <c r="AZ202" i="6"/>
  <c r="IH648" i="58479"/>
  <c r="B382" i="58438"/>
  <c r="IK676" i="58479"/>
  <c r="Z328" i="6"/>
  <c r="AY328" i="6" s="1"/>
  <c r="P188" i="6"/>
  <c r="AW188" i="6" s="1"/>
  <c r="AV202" i="6"/>
  <c r="ID648" i="58479"/>
  <c r="ID649" i="58479" s="1"/>
  <c r="IK674" i="58479"/>
  <c r="BA45" i="6"/>
  <c r="DO393" i="58502"/>
  <c r="DO392" i="58502"/>
  <c r="DO385" i="58502"/>
  <c r="DO394" i="58502"/>
  <c r="DO383" i="58502"/>
  <c r="DO384" i="58502"/>
  <c r="DK387" i="58502"/>
  <c r="BA12" i="6"/>
  <c r="DT402" i="58502"/>
  <c r="AG84" i="58438"/>
  <c r="AF89" i="58438"/>
  <c r="AM228" i="58438"/>
  <c r="DJ387" i="58502"/>
  <c r="DN393" i="58502"/>
  <c r="DN384" i="58502"/>
  <c r="DN392" i="58502"/>
  <c r="DN383" i="58502"/>
  <c r="DN394" i="58502"/>
  <c r="DN385" i="58502"/>
  <c r="DJ372" i="58502"/>
  <c r="J6" i="58511"/>
  <c r="Z83" i="6"/>
  <c r="AY83" i="6" s="1"/>
  <c r="Y83" i="6"/>
  <c r="AD91" i="6"/>
  <c r="AF91" i="6" s="1"/>
  <c r="I45" i="58512"/>
  <c r="I57" i="58511"/>
  <c r="G36" i="58498"/>
  <c r="C36" i="58498"/>
  <c r="D36" i="58501"/>
  <c r="J36" i="58501"/>
  <c r="G36" i="58499"/>
  <c r="J36" i="58499"/>
  <c r="F36" i="58499"/>
  <c r="AL653" i="6"/>
  <c r="AK576" i="6"/>
  <c r="AI684" i="6"/>
  <c r="AI685" i="6"/>
  <c r="AJ685" i="6" s="1"/>
  <c r="AM657" i="6"/>
  <c r="AL582" i="6"/>
  <c r="AL608" i="6" s="1"/>
  <c r="AJ70" i="6"/>
  <c r="J16" i="58482" s="1"/>
  <c r="N56" i="58477"/>
  <c r="N59" i="58477" s="1"/>
  <c r="IC546" i="58481"/>
  <c r="IC548" i="58481" s="1"/>
  <c r="AC882" i="58411"/>
  <c r="AC883" i="58411" s="1"/>
  <c r="AC460" i="58438" s="1"/>
  <c r="AC389" i="58438"/>
  <c r="AC364" i="58438" s="1"/>
  <c r="AD860" i="58411"/>
  <c r="AC363" i="58438"/>
  <c r="AC391" i="58438"/>
  <c r="AC817" i="58411"/>
  <c r="IM743" i="58502"/>
  <c r="IM745" i="58502" s="1"/>
  <c r="AD437" i="58438"/>
  <c r="AD391" i="58438"/>
  <c r="AD882" i="58411"/>
  <c r="AD438" i="58438"/>
  <c r="K72" i="58512"/>
  <c r="L176" i="58512"/>
  <c r="K181" i="58512"/>
  <c r="I170" i="58512"/>
  <c r="I188" i="58512" s="1"/>
  <c r="J31" i="58512"/>
  <c r="D129" i="58511"/>
  <c r="D149" i="58511" s="1"/>
  <c r="D177" i="58511" s="1"/>
  <c r="D65" i="58511"/>
  <c r="D45" i="58511"/>
  <c r="D48" i="58511"/>
  <c r="D51" i="58511" s="1"/>
  <c r="H42" i="58511"/>
  <c r="L133" i="58511"/>
  <c r="M107" i="58511"/>
  <c r="L106" i="58511"/>
  <c r="G85" i="58511"/>
  <c r="L78" i="58511"/>
  <c r="M35" i="58511"/>
  <c r="M78" i="58511" s="1"/>
  <c r="M130" i="58511"/>
  <c r="M102" i="58511"/>
  <c r="M67" i="58511"/>
  <c r="F129" i="58511"/>
  <c r="F149" i="58511" s="1"/>
  <c r="F177" i="58511" s="1"/>
  <c r="F180" i="58511" s="1"/>
  <c r="F65" i="58511"/>
  <c r="F72" i="58511" s="1"/>
  <c r="F81" i="58511" s="1"/>
  <c r="F84" i="58511" s="1"/>
  <c r="F85" i="58511" s="1"/>
  <c r="F48" i="58511"/>
  <c r="F51" i="58511" s="1"/>
  <c r="F45" i="58511"/>
  <c r="L163" i="58511"/>
  <c r="M203" i="58511"/>
  <c r="M89" i="58511"/>
  <c r="M117" i="58511"/>
  <c r="M159" i="58511"/>
  <c r="L187" i="58511"/>
  <c r="L70" i="58511"/>
  <c r="M32" i="58511"/>
  <c r="M70" i="58511" s="1"/>
  <c r="L33" i="58511"/>
  <c r="L69" i="58511" s="1"/>
  <c r="M185" i="58511"/>
  <c r="I129" i="58511"/>
  <c r="I45" i="58511"/>
  <c r="I65" i="58511"/>
  <c r="I72" i="58511" s="1"/>
  <c r="I81" i="58511" s="1"/>
  <c r="I84" i="58511" s="1"/>
  <c r="I101" i="58511"/>
  <c r="I110" i="58511" s="1"/>
  <c r="I116" i="58511" s="1"/>
  <c r="I48" i="58511"/>
  <c r="AK88" i="58438"/>
  <c r="B440" i="58438"/>
  <c r="B448" i="58438" s="1"/>
  <c r="Y405" i="58438"/>
  <c r="Y373" i="58438"/>
  <c r="Y365" i="58438"/>
  <c r="U46" i="58438"/>
  <c r="U50" i="58438" s="1"/>
  <c r="O406" i="58438"/>
  <c r="O413" i="58438" s="1"/>
  <c r="Y398" i="58438"/>
  <c r="Y356" i="58438"/>
  <c r="Y357" i="58438" s="1"/>
  <c r="Y456" i="58438" s="1"/>
  <c r="Y359" i="58438"/>
  <c r="AD303" i="58438"/>
  <c r="H31" i="58438"/>
  <c r="U438" i="58438"/>
  <c r="AA242" i="58438"/>
  <c r="AA247" i="58438"/>
  <c r="V35" i="58438"/>
  <c r="V42" i="58438" s="1"/>
  <c r="AF403" i="58438"/>
  <c r="AK318" i="58438"/>
  <c r="AG318" i="58438"/>
  <c r="AF363" i="58438"/>
  <c r="F31" i="58438"/>
  <c r="Z31" i="58438"/>
  <c r="AB242" i="58438"/>
  <c r="AA398" i="58438"/>
  <c r="AA359" i="58438"/>
  <c r="AA356" i="58438"/>
  <c r="AF303" i="58438"/>
  <c r="Q439" i="58438"/>
  <c r="AF404" i="58438"/>
  <c r="AF364" i="58438"/>
  <c r="AK320" i="58438"/>
  <c r="AG320" i="58438"/>
  <c r="B414" i="58438"/>
  <c r="X316" i="58438"/>
  <c r="AI87" i="58438"/>
  <c r="AI82" i="58438" s="1"/>
  <c r="AE398" i="58438"/>
  <c r="AE356" i="58438"/>
  <c r="AE357" i="58438" s="1"/>
  <c r="AE456" i="58438" s="1"/>
  <c r="AJ303" i="58438"/>
  <c r="V31" i="58438"/>
  <c r="K31" i="58438"/>
  <c r="V399" i="58438"/>
  <c r="V466" i="58438" s="1"/>
  <c r="H436" i="58438"/>
  <c r="B417" i="58438"/>
  <c r="B409" i="58438"/>
  <c r="B415" i="58438"/>
  <c r="Z405" i="58438"/>
  <c r="AB405" i="58438" s="1"/>
  <c r="Z365" i="58438"/>
  <c r="Z373" i="58438"/>
  <c r="F439" i="58438"/>
  <c r="T431" i="58438"/>
  <c r="T399" i="58438"/>
  <c r="T466" i="58438" s="1"/>
  <c r="V402" i="58438"/>
  <c r="V362" i="58438"/>
  <c r="AA316" i="58438"/>
  <c r="B380" i="58438"/>
  <c r="B383" i="58438"/>
  <c r="X439" i="58438"/>
  <c r="Y403" i="58438"/>
  <c r="Y363" i="58438"/>
  <c r="Y371" i="58438"/>
  <c r="H365" i="58438"/>
  <c r="F366" i="58438"/>
  <c r="F380" i="58438" s="1"/>
  <c r="AH88" i="58438"/>
  <c r="AN223" i="58438"/>
  <c r="AN34" i="58438" s="1"/>
  <c r="AN228" i="58438"/>
  <c r="AM34" i="58438"/>
  <c r="Y438" i="58438"/>
  <c r="B413" i="58438"/>
  <c r="U402" i="58438"/>
  <c r="Z316" i="58438"/>
  <c r="U362" i="58438"/>
  <c r="P31" i="58438"/>
  <c r="J431" i="58438"/>
  <c r="J399" i="58438"/>
  <c r="J466" i="58438" s="1"/>
  <c r="T402" i="58438"/>
  <c r="Y316" i="58438"/>
  <c r="T362" i="58438"/>
  <c r="Z431" i="58438"/>
  <c r="Z399" i="58438"/>
  <c r="Z466" i="58438" s="1"/>
  <c r="Q436" i="58438"/>
  <c r="Q406" i="58438"/>
  <c r="Q415" i="58438" s="1"/>
  <c r="B376" i="58438"/>
  <c r="B384" i="58438"/>
  <c r="I31" i="58438"/>
  <c r="Z404" i="58438"/>
  <c r="Z372" i="58438"/>
  <c r="AB372" i="58438" s="1"/>
  <c r="Z364" i="58438"/>
  <c r="AB322" i="58438"/>
  <c r="X398" i="58438"/>
  <c r="X356" i="58438"/>
  <c r="X359" i="58438"/>
  <c r="AB359" i="58438" s="1"/>
  <c r="AC303" i="58438"/>
  <c r="T437" i="58438"/>
  <c r="AA437" i="58438"/>
  <c r="AN322" i="58438"/>
  <c r="M31" i="58438"/>
  <c r="AB320" i="58438"/>
  <c r="F436" i="58438"/>
  <c r="Z437" i="58438"/>
  <c r="O399" i="58438"/>
  <c r="O466" i="58438" s="1"/>
  <c r="B445" i="58438"/>
  <c r="AI388" i="6"/>
  <c r="AC912" i="58411"/>
  <c r="AI189" i="6"/>
  <c r="AI188" i="6"/>
  <c r="V215" i="58411"/>
  <c r="V216" i="58411" s="1"/>
  <c r="AA215" i="58411"/>
  <c r="AA216" i="58411" s="1"/>
  <c r="AF388" i="6"/>
  <c r="AF310" i="6"/>
  <c r="AC861" i="58411"/>
  <c r="AC863" i="58411"/>
  <c r="AC862" i="58411"/>
  <c r="AH367" i="58411"/>
  <c r="AI12" i="58411"/>
  <c r="AH60" i="58411"/>
  <c r="AJ37" i="58411"/>
  <c r="AJ53" i="58411"/>
  <c r="AI16" i="58411"/>
  <c r="AH64" i="58411"/>
  <c r="AJ329" i="58411"/>
  <c r="AI345" i="58411"/>
  <c r="AK528" i="58411"/>
  <c r="W773" i="58411"/>
  <c r="W774" i="58411" s="1"/>
  <c r="AJ766" i="58411"/>
  <c r="AK750" i="58411"/>
  <c r="AJ385" i="58411"/>
  <c r="AK28" i="58411"/>
  <c r="AK96" i="58411"/>
  <c r="AH372" i="58411"/>
  <c r="AI17" i="58411"/>
  <c r="W797" i="58411"/>
  <c r="Z202" i="6" s="1"/>
  <c r="IG648" i="58479" s="1"/>
  <c r="AB935" i="58411"/>
  <c r="AB933" i="58411"/>
  <c r="AI466" i="58411"/>
  <c r="AK536" i="58411"/>
  <c r="AJ552" i="58411"/>
  <c r="AL670" i="58411"/>
  <c r="W837" i="58411"/>
  <c r="W776" i="58411" s="1"/>
  <c r="AI382" i="58411"/>
  <c r="AJ25" i="58411"/>
  <c r="AI264" i="58411"/>
  <c r="AK184" i="58411"/>
  <c r="AJ200" i="58411"/>
  <c r="AK555" i="58411"/>
  <c r="AL539" i="58411"/>
  <c r="AJ602" i="58411"/>
  <c r="AI618" i="58411"/>
  <c r="AI806" i="58411"/>
  <c r="AJ447" i="58411"/>
  <c r="T921" i="58411"/>
  <c r="AH549" i="58411"/>
  <c r="AI533" i="58411"/>
  <c r="AK679" i="58411"/>
  <c r="AJ695" i="58411"/>
  <c r="AJ265" i="58411"/>
  <c r="AJ259" i="58411"/>
  <c r="AL258" i="58411"/>
  <c r="AG907" i="58411"/>
  <c r="AG899" i="58411"/>
  <c r="AH812" i="58411"/>
  <c r="AI453" i="58411"/>
  <c r="G936" i="58411"/>
  <c r="G938" i="58411"/>
  <c r="N237" i="6"/>
  <c r="N240" i="6" s="1"/>
  <c r="S336" i="6"/>
  <c r="X335" i="6"/>
  <c r="AG189" i="6"/>
  <c r="Z188" i="6"/>
  <c r="AY188" i="6" s="1"/>
  <c r="AK188" i="58411"/>
  <c r="AJ204" i="58411"/>
  <c r="AG123" i="58411"/>
  <c r="AJ222" i="58411"/>
  <c r="AK309" i="58411"/>
  <c r="AH136" i="58411"/>
  <c r="AI120" i="58411"/>
  <c r="O797" i="58411"/>
  <c r="R202" i="6" s="1"/>
  <c r="O837" i="58411"/>
  <c r="O838" i="58411" s="1"/>
  <c r="O839" i="58411" s="1"/>
  <c r="AG861" i="58411"/>
  <c r="AE894" i="58411"/>
  <c r="X859" i="58411"/>
  <c r="X863" i="58411"/>
  <c r="R879" i="58411"/>
  <c r="R881" i="58411"/>
  <c r="AF908" i="58411"/>
  <c r="AF465" i="58438" s="1"/>
  <c r="AF909" i="58411"/>
  <c r="AK496" i="58411"/>
  <c r="AJ509" i="58411"/>
  <c r="AJ580" i="58411"/>
  <c r="AK567" i="58411"/>
  <c r="AH783" i="58411"/>
  <c r="AI428" i="58411"/>
  <c r="AI810" i="58411"/>
  <c r="AJ451" i="58411"/>
  <c r="AJ460" i="58411"/>
  <c r="P388" i="6"/>
  <c r="IM675" i="58479" s="1"/>
  <c r="IM678" i="58479" s="1"/>
  <c r="P310" i="6"/>
  <c r="Q851" i="58411"/>
  <c r="Q787" i="58411"/>
  <c r="Q438" i="58411"/>
  <c r="S432" i="58411"/>
  <c r="Q480" i="58411"/>
  <c r="R432" i="58411"/>
  <c r="P852" i="58411"/>
  <c r="P857" i="58411"/>
  <c r="U852" i="58411"/>
  <c r="P853" i="58411"/>
  <c r="AG870" i="58411"/>
  <c r="AG878" i="58411"/>
  <c r="AD873" i="58411"/>
  <c r="AE874" i="58411"/>
  <c r="AE388" i="6"/>
  <c r="IP675" i="58479" s="1"/>
  <c r="AE310" i="6"/>
  <c r="AJ619" i="58411"/>
  <c r="AK603" i="58411"/>
  <c r="AA864" i="58411"/>
  <c r="AA865" i="58411"/>
  <c r="AI697" i="58411"/>
  <c r="AJ681" i="58411"/>
  <c r="I921" i="58411"/>
  <c r="Z920" i="58411"/>
  <c r="Z917" i="58411"/>
  <c r="Z916" i="58411"/>
  <c r="W912" i="58411"/>
  <c r="W914" i="58411"/>
  <c r="W915" i="58411"/>
  <c r="X913" i="58411"/>
  <c r="AK698" i="58411"/>
  <c r="AL682" i="58411"/>
  <c r="AH696" i="58411"/>
  <c r="AI680" i="58411"/>
  <c r="T945" i="58411"/>
  <c r="T936" i="58411"/>
  <c r="T938" i="58411"/>
  <c r="T937" i="58411"/>
  <c r="Z945" i="58411"/>
  <c r="Z938" i="58411"/>
  <c r="M837" i="58411"/>
  <c r="AI206" i="58411"/>
  <c r="AJ190" i="58411"/>
  <c r="AJ238" i="58411"/>
  <c r="AI270" i="58411"/>
  <c r="AI124" i="58411"/>
  <c r="AH140" i="58411"/>
  <c r="AJ263" i="58411"/>
  <c r="AH346" i="58411"/>
  <c r="AI330" i="58411"/>
  <c r="AC929" i="58411"/>
  <c r="H908" i="58411"/>
  <c r="H910" i="58411"/>
  <c r="I909" i="58411"/>
  <c r="W933" i="58411"/>
  <c r="W935" i="58411" s="1"/>
  <c r="H858" i="58411"/>
  <c r="H863" i="58411"/>
  <c r="AC880" i="58411"/>
  <c r="AC879" i="58411"/>
  <c r="AC455" i="58438" s="1"/>
  <c r="AJ468" i="58411"/>
  <c r="AI550" i="58411"/>
  <c r="AJ534" i="58411"/>
  <c r="AG928" i="58411"/>
  <c r="AH804" i="58411"/>
  <c r="AI445" i="58411"/>
  <c r="AG911" i="58411"/>
  <c r="U865" i="58411"/>
  <c r="S894" i="58411"/>
  <c r="S887" i="58411"/>
  <c r="V920" i="58411"/>
  <c r="V916" i="58411"/>
  <c r="V917" i="58411"/>
  <c r="AH525" i="58411"/>
  <c r="AH387" i="58438" s="1"/>
  <c r="AI512" i="58411"/>
  <c r="AH544" i="58411"/>
  <c r="AI763" i="58411"/>
  <c r="AJ747" i="58411"/>
  <c r="N937" i="58411"/>
  <c r="V945" i="58411"/>
  <c r="V938" i="58411"/>
  <c r="AI374" i="58411"/>
  <c r="AJ19" i="58411"/>
  <c r="AF384" i="58411"/>
  <c r="AG27" i="58411"/>
  <c r="AK52" i="58411"/>
  <c r="AH376" i="58411"/>
  <c r="AI21" i="58411"/>
  <c r="AI112" i="58411"/>
  <c r="AH128" i="58411"/>
  <c r="AJ261" i="58411"/>
  <c r="H881" i="58411"/>
  <c r="H879" i="58411"/>
  <c r="I880" i="58411"/>
  <c r="AE851" i="58411"/>
  <c r="AE787" i="58411"/>
  <c r="AE480" i="58411"/>
  <c r="AF432" i="58411"/>
  <c r="AD834" i="58411"/>
  <c r="AK540" i="58411"/>
  <c r="AJ556" i="58411"/>
  <c r="AH808" i="58411"/>
  <c r="AI449" i="58411"/>
  <c r="AF886" i="58411"/>
  <c r="AF883" i="58411"/>
  <c r="AF460" i="58438" s="1"/>
  <c r="AK638" i="58411"/>
  <c r="AJ651" i="58411"/>
  <c r="P929" i="58411"/>
  <c r="P794" i="58411"/>
  <c r="V936" i="58411"/>
  <c r="AI50" i="58411"/>
  <c r="AH375" i="58411"/>
  <c r="AI20" i="58411"/>
  <c r="AD397" i="58411"/>
  <c r="AG327" i="6" s="1"/>
  <c r="AI164" i="58411"/>
  <c r="AJ151" i="58411"/>
  <c r="AH364" i="58411"/>
  <c r="AH22" i="58411"/>
  <c r="AI9" i="58411"/>
  <c r="AH342" i="58411"/>
  <c r="AI326" i="58411"/>
  <c r="AH203" i="58411"/>
  <c r="AI187" i="58411"/>
  <c r="O859" i="58411"/>
  <c r="O858" i="58411"/>
  <c r="T858" i="58411"/>
  <c r="AH801" i="58411"/>
  <c r="AI442" i="58411"/>
  <c r="AI782" i="58411"/>
  <c r="AJ427" i="58411"/>
  <c r="AE784" i="58411"/>
  <c r="AE477" i="58411"/>
  <c r="AE438" i="58411"/>
  <c r="AF429" i="58411"/>
  <c r="Q788" i="58411"/>
  <c r="S433" i="58411"/>
  <c r="R433" i="58411"/>
  <c r="Q481" i="58411"/>
  <c r="AF880" i="58411"/>
  <c r="M910" i="58411"/>
  <c r="M908" i="58411"/>
  <c r="AD780" i="58411"/>
  <c r="AH821" i="58411"/>
  <c r="AH474" i="58411"/>
  <c r="AI458" i="58411"/>
  <c r="AB908" i="58411"/>
  <c r="AB910" i="58411"/>
  <c r="O862" i="58411"/>
  <c r="O861" i="58411"/>
  <c r="O863" i="58411"/>
  <c r="T861" i="58411"/>
  <c r="F888" i="58411"/>
  <c r="F894" i="58411"/>
  <c r="AI596" i="58411"/>
  <c r="AI388" i="58438" s="1"/>
  <c r="AI363" i="58438" s="1"/>
  <c r="AJ583" i="58411"/>
  <c r="D894" i="58411"/>
  <c r="D888" i="58411"/>
  <c r="Q785" i="58411"/>
  <c r="Q930" i="58411" s="1"/>
  <c r="Q620" i="58411"/>
  <c r="R572" i="58411"/>
  <c r="Q580" i="58411"/>
  <c r="AH617" i="58411"/>
  <c r="AI601" i="58411"/>
  <c r="AH760" i="58411"/>
  <c r="AI744" i="58411"/>
  <c r="AI823" i="58411" s="1"/>
  <c r="AH692" i="58411"/>
  <c r="AI676" i="58411"/>
  <c r="AB773" i="58411"/>
  <c r="AB774" i="58411" s="1"/>
  <c r="F936" i="58411"/>
  <c r="F937" i="58411"/>
  <c r="R886" i="58411"/>
  <c r="AA916" i="58411"/>
  <c r="N921" i="58411"/>
  <c r="S920" i="58411"/>
  <c r="S916" i="58411"/>
  <c r="S917" i="58411"/>
  <c r="X916" i="58411"/>
  <c r="AJ45" i="58411"/>
  <c r="AC928" i="58411"/>
  <c r="AC794" i="58411"/>
  <c r="S579" i="58411"/>
  <c r="R627" i="58411"/>
  <c r="R792" i="58411"/>
  <c r="U945" i="58411"/>
  <c r="U937" i="58411"/>
  <c r="U938" i="58411"/>
  <c r="AF189" i="6"/>
  <c r="AF188" i="6"/>
  <c r="AH227" i="58411"/>
  <c r="AG275" i="58411"/>
  <c r="AG369" i="58411"/>
  <c r="W908" i="58411"/>
  <c r="W910" i="58411"/>
  <c r="W841" i="58411"/>
  <c r="AF915" i="58411"/>
  <c r="AF912" i="58411"/>
  <c r="AF470" i="58438" s="1"/>
  <c r="AH621" i="58411"/>
  <c r="AI605" i="58411"/>
  <c r="AJ762" i="58411"/>
  <c r="AK746" i="58411"/>
  <c r="Y945" i="58411"/>
  <c r="Y937" i="58411"/>
  <c r="Y940" i="58411" s="1"/>
  <c r="Y938" i="58411"/>
  <c r="AJ389" i="58411"/>
  <c r="AK32" i="58411"/>
  <c r="AI469" i="58411"/>
  <c r="AI904" i="58411" s="1"/>
  <c r="AI905" i="58411" s="1"/>
  <c r="W881" i="58411"/>
  <c r="W879" i="58411"/>
  <c r="X880" i="58411"/>
  <c r="W886" i="58411"/>
  <c r="AJ758" i="58411"/>
  <c r="AK742" i="58411"/>
  <c r="AJ33" i="58411"/>
  <c r="AJ167" i="58411"/>
  <c r="AG188" i="6"/>
  <c r="AH132" i="58411"/>
  <c r="AI116" i="58411"/>
  <c r="Z865" i="58411"/>
  <c r="Z864" i="58411"/>
  <c r="K922" i="58411"/>
  <c r="AB631" i="58411"/>
  <c r="AB632" i="58411" s="1"/>
  <c r="H894" i="58411"/>
  <c r="H887" i="58411"/>
  <c r="H889" i="58411"/>
  <c r="Q921" i="58411"/>
  <c r="Q922" i="58411"/>
  <c r="AF331" i="6"/>
  <c r="AF309" i="6"/>
  <c r="AF312" i="6" s="1"/>
  <c r="J390" i="6"/>
  <c r="J391" i="6" s="1"/>
  <c r="U385" i="6"/>
  <c r="AX385" i="6" s="1"/>
  <c r="AD333" i="6"/>
  <c r="AD334" i="6" s="1"/>
  <c r="AA314" i="6"/>
  <c r="U188" i="6"/>
  <c r="AX188" i="6" s="1"/>
  <c r="AI370" i="58411"/>
  <c r="AJ15" i="58411"/>
  <c r="AG122" i="58411"/>
  <c r="AF410" i="58411"/>
  <c r="AF125" i="58411"/>
  <c r="AI386" i="58411"/>
  <c r="AJ29" i="58411"/>
  <c r="AI366" i="58411"/>
  <c r="AJ11" i="58411"/>
  <c r="AL51" i="58411"/>
  <c r="AJ257" i="58411"/>
  <c r="AI273" i="58411"/>
  <c r="AI13" i="58411"/>
  <c r="AI61" i="58411" s="1"/>
  <c r="O933" i="58411"/>
  <c r="AH805" i="58411"/>
  <c r="AI446" i="58411"/>
  <c r="AD883" i="58411"/>
  <c r="AD460" i="58438" s="1"/>
  <c r="AE848" i="58411"/>
  <c r="AE785" i="58411"/>
  <c r="AE478" i="58411"/>
  <c r="AF430" i="58411"/>
  <c r="P489" i="58411"/>
  <c r="P490" i="58411" s="1"/>
  <c r="U489" i="58411"/>
  <c r="U490" i="58411" s="1"/>
  <c r="AH869" i="58411"/>
  <c r="AH800" i="58411"/>
  <c r="AI441" i="58411"/>
  <c r="M879" i="58411"/>
  <c r="M881" i="58411"/>
  <c r="AH825" i="58411"/>
  <c r="AI462" i="58411"/>
  <c r="M861" i="58411"/>
  <c r="M863" i="58411"/>
  <c r="M864" i="58411" s="1"/>
  <c r="N862" i="58411"/>
  <c r="AB914" i="58411"/>
  <c r="AB915" i="58411"/>
  <c r="AB912" i="58411"/>
  <c r="AI693" i="58411"/>
  <c r="AJ677" i="58411"/>
  <c r="S574" i="58411"/>
  <c r="S622" i="58411" s="1"/>
  <c r="R622" i="58411"/>
  <c r="AE920" i="58411"/>
  <c r="AE916" i="58411"/>
  <c r="AI759" i="58411"/>
  <c r="AJ743" i="58411"/>
  <c r="T838" i="58411"/>
  <c r="T839" i="58411" s="1"/>
  <c r="T935" i="58411"/>
  <c r="T940" i="58411" s="1"/>
  <c r="AA945" i="58411"/>
  <c r="AA938" i="58411"/>
  <c r="AA935" i="58411"/>
  <c r="AA936" i="58411"/>
  <c r="U936" i="58411"/>
  <c r="U940" i="58411" s="1"/>
  <c r="AI891" i="58411"/>
  <c r="AI836" i="58411"/>
  <c r="AJ816" i="58411"/>
  <c r="AJ134" i="58411"/>
  <c r="AK118" i="58411"/>
  <c r="AF193" i="58411"/>
  <c r="AB73" i="58411"/>
  <c r="AB74" i="58411" s="1"/>
  <c r="AH131" i="58411"/>
  <c r="AI115" i="58411"/>
  <c r="AH403" i="58411"/>
  <c r="AI31" i="58411"/>
  <c r="AH63" i="58411"/>
  <c r="AA418" i="58411"/>
  <c r="AA419" i="58411" s="1"/>
  <c r="AH809" i="58411"/>
  <c r="AI450" i="58411"/>
  <c r="AH811" i="58411"/>
  <c r="AI452" i="58411"/>
  <c r="AH824" i="58411"/>
  <c r="AI461" i="58411"/>
  <c r="AG846" i="58411"/>
  <c r="I888" i="58411"/>
  <c r="L922" i="58411"/>
  <c r="L921" i="58411"/>
  <c r="AK694" i="58411"/>
  <c r="AL678" i="58411"/>
  <c r="G894" i="58411"/>
  <c r="G888" i="58411"/>
  <c r="AH545" i="58411"/>
  <c r="AI529" i="58411"/>
  <c r="AH541" i="58411"/>
  <c r="AH420" i="58438" s="1"/>
  <c r="Q623" i="58411"/>
  <c r="R575" i="58411"/>
  <c r="AG885" i="58411"/>
  <c r="AG883" i="58411"/>
  <c r="AG460" i="58438" s="1"/>
  <c r="O921" i="58411"/>
  <c r="O922" i="58411"/>
  <c r="AH722" i="58411"/>
  <c r="AH860" i="58411" s="1"/>
  <c r="AI709" i="58411"/>
  <c r="AH764" i="58411"/>
  <c r="AI748" i="58411"/>
  <c r="I938" i="58411"/>
  <c r="S880" i="58411"/>
  <c r="J940" i="58411"/>
  <c r="B937" i="58411"/>
  <c r="B940" i="58411" s="1"/>
  <c r="AI57" i="58411"/>
  <c r="AJ41" i="58411"/>
  <c r="AL47" i="58411"/>
  <c r="AK44" i="58411"/>
  <c r="AJ373" i="58411"/>
  <c r="AK18" i="58411"/>
  <c r="AH65" i="58411"/>
  <c r="R417" i="58411"/>
  <c r="R418" i="58411" s="1"/>
  <c r="R419" i="58411" s="1"/>
  <c r="U384" i="6"/>
  <c r="IN671" i="58479" s="1"/>
  <c r="AJ331" i="58411"/>
  <c r="X417" i="58411"/>
  <c r="AA187" i="6"/>
  <c r="AH226" i="58411"/>
  <c r="AG235" i="58411"/>
  <c r="AG274" i="58411"/>
  <c r="AJ333" i="58411"/>
  <c r="AD929" i="58411"/>
  <c r="M858" i="58411"/>
  <c r="K388" i="6"/>
  <c r="IL675" i="58479" s="1"/>
  <c r="K310" i="6"/>
  <c r="AD862" i="58411"/>
  <c r="AD861" i="58411"/>
  <c r="AE862" i="58411"/>
  <c r="AG624" i="58411"/>
  <c r="AG630" i="58411" s="1"/>
  <c r="AH608" i="58411"/>
  <c r="AE802" i="58411"/>
  <c r="AE814" i="58411" s="1"/>
  <c r="AE454" i="58411"/>
  <c r="AE475" i="58411"/>
  <c r="AF443" i="58411"/>
  <c r="AD907" i="58411"/>
  <c r="AD899" i="58411"/>
  <c r="AH904" i="58411"/>
  <c r="AG627" i="58411"/>
  <c r="AH611" i="58411"/>
  <c r="AD876" i="58411"/>
  <c r="AE877" i="58411"/>
  <c r="AD915" i="58411"/>
  <c r="AD912" i="58411"/>
  <c r="D922" i="58411"/>
  <c r="AH620" i="58411"/>
  <c r="AI604" i="58411"/>
  <c r="P863" i="58411"/>
  <c r="U864" i="58411" s="1"/>
  <c r="P861" i="58411"/>
  <c r="P862" i="58411"/>
  <c r="U861" i="58411"/>
  <c r="N864" i="58411"/>
  <c r="N865" i="58411"/>
  <c r="X887" i="58411"/>
  <c r="AK675" i="58411"/>
  <c r="AJ691" i="58411"/>
  <c r="AH688" i="58411"/>
  <c r="AH701" i="58411" s="1"/>
  <c r="AI672" i="58411"/>
  <c r="AH683" i="58411"/>
  <c r="AH422" i="58438" s="1"/>
  <c r="AH404" i="58438" s="1"/>
  <c r="AH438" i="58438" s="1"/>
  <c r="AI135" i="58411"/>
  <c r="AJ119" i="58411"/>
  <c r="AD402" i="58411"/>
  <c r="AD415" i="58411" s="1"/>
  <c r="AG384" i="6" s="1"/>
  <c r="AE43" i="58411"/>
  <c r="AG169" i="58411"/>
  <c r="AF201" i="58411"/>
  <c r="AK121" i="58411"/>
  <c r="AE412" i="58411"/>
  <c r="AF195" i="58411"/>
  <c r="AI334" i="58411"/>
  <c r="AJ623" i="58411"/>
  <c r="AK607" i="58411"/>
  <c r="K309" i="6"/>
  <c r="K331" i="6"/>
  <c r="IL673" i="58479" s="1"/>
  <c r="AH875" i="58411"/>
  <c r="AH876" i="58411" s="1"/>
  <c r="AH807" i="58411"/>
  <c r="AI448" i="58411"/>
  <c r="AB881" i="58411"/>
  <c r="AB879" i="58411"/>
  <c r="AB886" i="58411"/>
  <c r="AH898" i="58411"/>
  <c r="AH820" i="58411"/>
  <c r="AH470" i="58411"/>
  <c r="AH473" i="58411"/>
  <c r="AI457" i="58411"/>
  <c r="AH828" i="58411"/>
  <c r="AI465" i="58411"/>
  <c r="AG625" i="58411"/>
  <c r="AH609" i="58411"/>
  <c r="AD857" i="58411"/>
  <c r="AD846" i="58411"/>
  <c r="AE847" i="58411"/>
  <c r="AD847" i="58411"/>
  <c r="AD800" i="58411"/>
  <c r="AD814" i="58411" s="1"/>
  <c r="AD817" i="58411" s="1"/>
  <c r="Z331" i="6"/>
  <c r="IO673" i="58479" s="1"/>
  <c r="IO674" i="58479" s="1"/>
  <c r="Z309" i="6"/>
  <c r="AG626" i="58411"/>
  <c r="AH610" i="58411"/>
  <c r="AH612" i="58411" s="1"/>
  <c r="AH421" i="58438" s="1"/>
  <c r="AH403" i="58438" s="1"/>
  <c r="AH437" i="58438" s="1"/>
  <c r="AG831" i="58411"/>
  <c r="H914" i="58411"/>
  <c r="H915" i="58411"/>
  <c r="H912" i="58411"/>
  <c r="I913" i="58411"/>
  <c r="Z936" i="58411"/>
  <c r="Z940" i="58411" s="1"/>
  <c r="AH769" i="58411"/>
  <c r="AI753" i="58411"/>
  <c r="Z937" i="58411"/>
  <c r="AA917" i="58411"/>
  <c r="U922" i="58411"/>
  <c r="U921" i="58411"/>
  <c r="P922" i="58411"/>
  <c r="P921" i="58411"/>
  <c r="M215" i="58411"/>
  <c r="M216" i="58411" s="1"/>
  <c r="Y921" i="58411"/>
  <c r="Y922" i="58411"/>
  <c r="AJ337" i="58411"/>
  <c r="AE409" i="58411"/>
  <c r="AF192" i="58411"/>
  <c r="AE196" i="58411"/>
  <c r="AE792" i="58411"/>
  <c r="AE485" i="58411"/>
  <c r="AF437" i="58411"/>
  <c r="AH826" i="58411"/>
  <c r="AI463" i="58411"/>
  <c r="U388" i="6"/>
  <c r="IN675" i="58479" s="1"/>
  <c r="U310" i="6"/>
  <c r="AE789" i="58411"/>
  <c r="AE482" i="58411"/>
  <c r="AF434" i="58411"/>
  <c r="K865" i="58411"/>
  <c r="K864" i="58411"/>
  <c r="Y865" i="58411"/>
  <c r="Y864" i="58411"/>
  <c r="F940" i="58411"/>
  <c r="AH892" i="58411"/>
  <c r="AK421" i="6"/>
  <c r="M417" i="58411"/>
  <c r="M418" i="58411" s="1"/>
  <c r="M419" i="58411" s="1"/>
  <c r="P384" i="6"/>
  <c r="IM671" i="58479" s="1"/>
  <c r="AH822" i="58411"/>
  <c r="AI459" i="58411"/>
  <c r="W368" i="58411"/>
  <c r="W379" i="58411" s="1"/>
  <c r="Z187" i="6" s="1"/>
  <c r="IG646" i="58479" s="1"/>
  <c r="W164" i="58411"/>
  <c r="W203" i="58411"/>
  <c r="W214" i="58411" s="1"/>
  <c r="F920" i="58411"/>
  <c r="F922" i="58411" s="1"/>
  <c r="F917" i="58411"/>
  <c r="C921" i="58411"/>
  <c r="C923" i="58411"/>
  <c r="AH761" i="58411"/>
  <c r="AI745" i="58411"/>
  <c r="V940" i="58411"/>
  <c r="S73" i="58411"/>
  <c r="S74" i="58411" s="1"/>
  <c r="X73" i="58411"/>
  <c r="X74" i="58411" s="1"/>
  <c r="AI256" i="58411"/>
  <c r="AH272" i="58411"/>
  <c r="AH267" i="58411"/>
  <c r="AI183" i="58411"/>
  <c r="AI400" i="58411" s="1"/>
  <c r="AH199" i="58411"/>
  <c r="AI827" i="58411"/>
  <c r="AJ464" i="58411"/>
  <c r="P560" i="58411"/>
  <c r="P561" i="58411" s="1"/>
  <c r="U560" i="58411"/>
  <c r="U561" i="58411" s="1"/>
  <c r="AJ185" i="58411"/>
  <c r="M933" i="58411"/>
  <c r="AC859" i="58411"/>
  <c r="AC858" i="58411"/>
  <c r="P930" i="58411"/>
  <c r="M889" i="58411"/>
  <c r="M887" i="58411"/>
  <c r="M894" i="58411"/>
  <c r="AY384" i="6"/>
  <c r="AA385" i="6"/>
  <c r="AE385" i="6" s="1"/>
  <c r="AZ385" i="6" s="1"/>
  <c r="S332" i="6"/>
  <c r="S333" i="6" s="1"/>
  <c r="S334" i="6" s="1"/>
  <c r="AE386" i="6"/>
  <c r="AZ386" i="6" s="1"/>
  <c r="K188" i="6"/>
  <c r="AV188" i="6" s="1"/>
  <c r="AH188" i="6"/>
  <c r="AK48" i="58411"/>
  <c r="AH387" i="58411"/>
  <c r="AI30" i="58411"/>
  <c r="AL262" i="58411"/>
  <c r="AH348" i="58411"/>
  <c r="AI332" i="58411"/>
  <c r="AI271" i="58411"/>
  <c r="AJ255" i="58411"/>
  <c r="AK113" i="58411"/>
  <c r="AD215" i="58411"/>
  <c r="AD216" i="58411" s="1"/>
  <c r="AD417" i="58411"/>
  <c r="AD418" i="58411" s="1"/>
  <c r="AD419" i="58411" s="1"/>
  <c r="AL254" i="58411"/>
  <c r="R73" i="58411"/>
  <c r="R74" i="58411" s="1"/>
  <c r="AJ335" i="58411"/>
  <c r="AH207" i="58411"/>
  <c r="AI191" i="58411"/>
  <c r="AE884" i="58411"/>
  <c r="L865" i="58411"/>
  <c r="AK551" i="58411"/>
  <c r="AL535" i="58411"/>
  <c r="AD930" i="58411"/>
  <c r="AB858" i="58411"/>
  <c r="AE309" i="6"/>
  <c r="AE331" i="6"/>
  <c r="IP673" i="58479" s="1"/>
  <c r="AH901" i="58411"/>
  <c r="AH902" i="58411" s="1"/>
  <c r="AJ606" i="58411"/>
  <c r="AI622" i="58411"/>
  <c r="AI546" i="58411"/>
  <c r="AJ530" i="58411"/>
  <c r="AJ667" i="58411"/>
  <c r="AJ389" i="58438" s="1"/>
  <c r="AJ364" i="58438" s="1"/>
  <c r="AK654" i="58411"/>
  <c r="AK686" i="58411" s="1"/>
  <c r="V887" i="58411"/>
  <c r="V894" i="58411"/>
  <c r="V888" i="58411"/>
  <c r="AH616" i="58411"/>
  <c r="AI600" i="58411"/>
  <c r="G917" i="58411"/>
  <c r="AH754" i="58411"/>
  <c r="AH423" i="58438" s="1"/>
  <c r="AH405" i="58438" s="1"/>
  <c r="AH757" i="58411"/>
  <c r="AI741" i="58411"/>
  <c r="K945" i="58411"/>
  <c r="K936" i="58411"/>
  <c r="K940" i="58411" s="1"/>
  <c r="K938" i="58411"/>
  <c r="L945" i="58411"/>
  <c r="L936" i="58411"/>
  <c r="L940" i="58411" s="1"/>
  <c r="L938" i="58411"/>
  <c r="L937" i="58411"/>
  <c r="I935" i="58411"/>
  <c r="I940" i="58411" s="1"/>
  <c r="N945" i="58411"/>
  <c r="N938" i="58411"/>
  <c r="N940" i="58411" s="1"/>
  <c r="AH765" i="58411"/>
  <c r="AI749" i="58411"/>
  <c r="N880" i="58411"/>
  <c r="AH405" i="58411"/>
  <c r="AH62" i="58411"/>
  <c r="AI46" i="58411"/>
  <c r="AI26" i="58411"/>
  <c r="AI202" i="58411"/>
  <c r="AJ186" i="58411"/>
  <c r="AH189" i="58411"/>
  <c r="AG205" i="58411"/>
  <c r="AG406" i="58411"/>
  <c r="AJ327" i="58411"/>
  <c r="AI343" i="58411"/>
  <c r="AI336" i="58411"/>
  <c r="M357" i="58411"/>
  <c r="M358" i="58411" s="1"/>
  <c r="AH781" i="58411"/>
  <c r="AI426" i="58411"/>
  <c r="AE786" i="58411"/>
  <c r="AE929" i="58411" s="1"/>
  <c r="AE479" i="58411"/>
  <c r="AF431" i="58411"/>
  <c r="AH872" i="58411"/>
  <c r="AH873" i="58411" s="1"/>
  <c r="AH803" i="58411"/>
  <c r="AI444" i="58411"/>
  <c r="AH845" i="58411"/>
  <c r="AH780" i="58411"/>
  <c r="AI425" i="58411"/>
  <c r="AB863" i="58411"/>
  <c r="AB864" i="58411" s="1"/>
  <c r="S573" i="58411"/>
  <c r="R786" i="58411"/>
  <c r="R621" i="58411"/>
  <c r="AK690" i="58411"/>
  <c r="AL674" i="58411"/>
  <c r="AI689" i="58411"/>
  <c r="AJ673" i="58411"/>
  <c r="AI725" i="58411"/>
  <c r="AH738" i="58411"/>
  <c r="AH390" i="58438" s="1"/>
  <c r="AH365" i="58438" s="1"/>
  <c r="AD838" i="58411"/>
  <c r="AD839" i="58411" s="1"/>
  <c r="G937" i="58411"/>
  <c r="AB837" i="58411"/>
  <c r="AB838" i="58411" s="1"/>
  <c r="AB839" i="58411" s="1"/>
  <c r="I859" i="58411"/>
  <c r="E935" i="58411"/>
  <c r="E940" i="58411" s="1"/>
  <c r="X909" i="58411"/>
  <c r="AJ365" i="58411"/>
  <c r="AK10" i="58411"/>
  <c r="AK14" i="58411"/>
  <c r="AI408" i="58411"/>
  <c r="AI65" i="58411"/>
  <c r="AJ49" i="58411"/>
  <c r="AJ133" i="58411"/>
  <c r="AK117" i="58411"/>
  <c r="AL266" i="58411"/>
  <c r="AJ325" i="58411"/>
  <c r="AI341" i="58411"/>
  <c r="O489" i="58411"/>
  <c r="O490" i="58411" s="1"/>
  <c r="T489" i="58411"/>
  <c r="T490" i="58411" s="1"/>
  <c r="D865" i="58411"/>
  <c r="H933" i="58411"/>
  <c r="AK547" i="58411"/>
  <c r="AL531" i="58411"/>
  <c r="AJ615" i="58411"/>
  <c r="AK599" i="58411"/>
  <c r="M915" i="58411"/>
  <c r="M912" i="58411"/>
  <c r="M914" i="58411"/>
  <c r="N913" i="58411"/>
  <c r="Q783" i="58411"/>
  <c r="Q509" i="58411"/>
  <c r="Q860" i="58411" s="1"/>
  <c r="Q547" i="58411"/>
  <c r="Q559" i="58411" s="1"/>
  <c r="R499" i="58411"/>
  <c r="Q789" i="58411"/>
  <c r="Q624" i="58411"/>
  <c r="R576" i="58411"/>
  <c r="C936" i="58411"/>
  <c r="C940" i="58411" s="1"/>
  <c r="C938" i="58411"/>
  <c r="D936" i="58411"/>
  <c r="D940" i="58411" s="1"/>
  <c r="D938" i="58411"/>
  <c r="D937" i="58411"/>
  <c r="X945" i="58411"/>
  <c r="X937" i="58411"/>
  <c r="X936" i="58411"/>
  <c r="X940" i="58411" s="1"/>
  <c r="X938" i="58411"/>
  <c r="AH401" i="58411"/>
  <c r="AH58" i="58411"/>
  <c r="AI42" i="58411"/>
  <c r="AJ93" i="58411"/>
  <c r="AK80" i="58411"/>
  <c r="AF194" i="58411"/>
  <c r="AF411" i="58411" s="1"/>
  <c r="AI260" i="58411"/>
  <c r="AH276" i="58411"/>
  <c r="AI306" i="58411"/>
  <c r="AJ293" i="58411"/>
  <c r="AD22" i="58411"/>
  <c r="AG379" i="58411"/>
  <c r="AJ187" i="6" s="1"/>
  <c r="AH229" i="58411"/>
  <c r="AH371" i="58411" s="1"/>
  <c r="AG277" i="58411"/>
  <c r="AH344" i="58411"/>
  <c r="AI328" i="58411"/>
  <c r="P205" i="6"/>
  <c r="AW205" i="6" s="1"/>
  <c r="AH830" i="58411"/>
  <c r="AI467" i="58411"/>
  <c r="AH483" i="58411"/>
  <c r="R910" i="58411"/>
  <c r="R908" i="58411"/>
  <c r="AK532" i="58411"/>
  <c r="AJ548" i="58411"/>
  <c r="AI554" i="58411"/>
  <c r="AJ538" i="58411"/>
  <c r="AE788" i="58411"/>
  <c r="AE931" i="58411" s="1"/>
  <c r="AE481" i="58411"/>
  <c r="AF433" i="58411"/>
  <c r="P931" i="58411"/>
  <c r="AG834" i="58411"/>
  <c r="AD878" i="58411"/>
  <c r="AD18" i="58438" s="1"/>
  <c r="AD870" i="58411"/>
  <c r="AE871" i="58411"/>
  <c r="AK671" i="58411"/>
  <c r="AJ687" i="58411"/>
  <c r="AH553" i="58411"/>
  <c r="AI537" i="58411"/>
  <c r="J865" i="58411"/>
  <c r="J864" i="58411"/>
  <c r="P630" i="58411"/>
  <c r="G935" i="58411"/>
  <c r="G940" i="58411" s="1"/>
  <c r="AA937" i="58411"/>
  <c r="H837" i="58411"/>
  <c r="H838" i="58411" s="1"/>
  <c r="H839" i="58411" s="1"/>
  <c r="K887" i="58411"/>
  <c r="R914" i="58411"/>
  <c r="V865" i="58411"/>
  <c r="AA887" i="58411"/>
  <c r="AA922" i="58411"/>
  <c r="AA921" i="58411"/>
  <c r="X921" i="58411"/>
  <c r="J921" i="58411"/>
  <c r="J922" i="58411"/>
  <c r="W482" i="6"/>
  <c r="AG714" i="6"/>
  <c r="AG483" i="6"/>
  <c r="AG482" i="6"/>
  <c r="AV63" i="6"/>
  <c r="K65" i="6"/>
  <c r="AV65" i="6" s="1"/>
  <c r="AY63" i="6"/>
  <c r="O240" i="6"/>
  <c r="AY20" i="6"/>
  <c r="AV101" i="58481" s="1"/>
  <c r="Z24" i="6"/>
  <c r="EU327" i="58481" s="1"/>
  <c r="H481" i="6"/>
  <c r="H453" i="6"/>
  <c r="H47" i="6"/>
  <c r="H56" i="6" s="1"/>
  <c r="AB481" i="6"/>
  <c r="AB453" i="6"/>
  <c r="AB47" i="6"/>
  <c r="AB56" i="6" s="1"/>
  <c r="U36" i="6"/>
  <c r="O714" i="6"/>
  <c r="O482" i="6"/>
  <c r="O483" i="6"/>
  <c r="X714" i="6"/>
  <c r="X483" i="6"/>
  <c r="X482" i="6"/>
  <c r="AC714" i="6"/>
  <c r="AC483" i="6"/>
  <c r="AC482" i="6"/>
  <c r="T147" i="6"/>
  <c r="Y147" i="6"/>
  <c r="AD147" i="6"/>
  <c r="AZ39" i="6"/>
  <c r="AH24" i="6"/>
  <c r="S481" i="6"/>
  <c r="S25" i="6"/>
  <c r="S453" i="6"/>
  <c r="X481" i="6"/>
  <c r="X453" i="6"/>
  <c r="X47" i="6"/>
  <c r="X56" i="6" s="1"/>
  <c r="X25" i="6"/>
  <c r="AC481" i="6"/>
  <c r="AC453" i="6"/>
  <c r="AC47" i="6"/>
  <c r="AC56" i="6" s="1"/>
  <c r="AC25" i="6"/>
  <c r="AH714" i="6"/>
  <c r="AH482" i="6"/>
  <c r="AH483" i="6"/>
  <c r="G482" i="6"/>
  <c r="G483" i="6"/>
  <c r="L714" i="6"/>
  <c r="L483" i="6"/>
  <c r="L482" i="6"/>
  <c r="T714" i="6"/>
  <c r="T483" i="6"/>
  <c r="T482" i="6"/>
  <c r="Y714" i="6"/>
  <c r="Y483" i="6"/>
  <c r="Y482" i="6"/>
  <c r="AJ81" i="6"/>
  <c r="BA80" i="6"/>
  <c r="AG91" i="6"/>
  <c r="AH91" i="6" s="1"/>
  <c r="AI91" i="6" s="1"/>
  <c r="AJ91" i="6" s="1"/>
  <c r="AK91" i="6" s="1"/>
  <c r="P655" i="6"/>
  <c r="AW655" i="6" s="1"/>
  <c r="P607" i="6"/>
  <c r="AW651" i="6"/>
  <c r="Z279" i="6"/>
  <c r="AY277" i="6"/>
  <c r="F481" i="6"/>
  <c r="AU481" i="6" s="1"/>
  <c r="F453" i="6"/>
  <c r="AU453" i="6" s="1"/>
  <c r="AU24" i="6"/>
  <c r="F47" i="6"/>
  <c r="O481" i="6"/>
  <c r="O47" i="6"/>
  <c r="O56" i="6" s="1"/>
  <c r="O25" i="6"/>
  <c r="O453" i="6"/>
  <c r="T481" i="6"/>
  <c r="T453" i="6"/>
  <c r="T47" i="6"/>
  <c r="T56" i="6" s="1"/>
  <c r="T25" i="6"/>
  <c r="Y481" i="6"/>
  <c r="Y453" i="6"/>
  <c r="Y47" i="6"/>
  <c r="Y56" i="6" s="1"/>
  <c r="Y25" i="6"/>
  <c r="H483" i="6"/>
  <c r="H482" i="6"/>
  <c r="M714" i="6"/>
  <c r="M483" i="6"/>
  <c r="M482" i="6"/>
  <c r="Q714" i="6"/>
  <c r="AA714" i="6"/>
  <c r="AA482" i="6"/>
  <c r="AA483" i="6"/>
  <c r="AF714" i="6"/>
  <c r="AF483" i="6"/>
  <c r="AF482" i="6"/>
  <c r="AG43" i="6"/>
  <c r="AG147" i="6" s="1"/>
  <c r="U65" i="6"/>
  <c r="AX65" i="6" s="1"/>
  <c r="AX63" i="6"/>
  <c r="AD240" i="6"/>
  <c r="I483" i="6"/>
  <c r="I482" i="6"/>
  <c r="AB714" i="6"/>
  <c r="AB483" i="6"/>
  <c r="AB482" i="6"/>
  <c r="BA63" i="6"/>
  <c r="AJ65" i="6"/>
  <c r="BA65" i="6" s="1"/>
  <c r="AI83" i="6"/>
  <c r="AJ83" i="6" s="1"/>
  <c r="AW3" i="6"/>
  <c r="AV3" i="6"/>
  <c r="K4" i="6"/>
  <c r="AV4" i="6" s="1"/>
  <c r="Q6" i="6"/>
  <c r="N5" i="58438" s="1"/>
  <c r="U6" i="6"/>
  <c r="AV249" i="6"/>
  <c r="AY18" i="6"/>
  <c r="BC18" i="6"/>
  <c r="K20" i="6"/>
  <c r="AE20" i="6"/>
  <c r="E24" i="6"/>
  <c r="EU322" i="58481" s="1"/>
  <c r="J481" i="6"/>
  <c r="J453" i="6"/>
  <c r="N481" i="6"/>
  <c r="N453" i="6"/>
  <c r="R481" i="6"/>
  <c r="R453" i="6"/>
  <c r="V453" i="6"/>
  <c r="AW31" i="6"/>
  <c r="AY33" i="6"/>
  <c r="K35" i="6"/>
  <c r="AV35" i="6" s="1"/>
  <c r="AE35" i="6"/>
  <c r="AZ35" i="6" s="1"/>
  <c r="P39" i="6"/>
  <c r="AH41" i="6"/>
  <c r="AH43" i="6" s="1"/>
  <c r="AH147" i="6" s="1"/>
  <c r="AK492" i="6"/>
  <c r="AK153" i="6"/>
  <c r="AK109" i="6"/>
  <c r="P492" i="6"/>
  <c r="AW492" i="6" s="1"/>
  <c r="P153" i="6"/>
  <c r="AW153" i="6" s="1"/>
  <c r="AU50" i="6"/>
  <c r="K112" i="6"/>
  <c r="AV112" i="6" s="1"/>
  <c r="P112" i="6"/>
  <c r="AW112" i="6" s="1"/>
  <c r="K108" i="6"/>
  <c r="AV108" i="6" s="1"/>
  <c r="AE63" i="6"/>
  <c r="AO63" i="6"/>
  <c r="G65" i="6"/>
  <c r="G147" i="6" s="1"/>
  <c r="AQ65" i="6"/>
  <c r="BD65" i="6" s="1"/>
  <c r="J70" i="6"/>
  <c r="I70" i="6" s="1"/>
  <c r="H70" i="6" s="1"/>
  <c r="G70" i="6" s="1"/>
  <c r="F70" i="6" s="1"/>
  <c r="R91" i="6"/>
  <c r="S91" i="6" s="1"/>
  <c r="T91" i="6" s="1"/>
  <c r="V91" i="6" s="1"/>
  <c r="AV691" i="6"/>
  <c r="O690" i="6"/>
  <c r="AK646" i="6"/>
  <c r="W655" i="6"/>
  <c r="W607" i="6"/>
  <c r="O655" i="6"/>
  <c r="O607" i="6"/>
  <c r="T669" i="6"/>
  <c r="S669" i="6"/>
  <c r="N655" i="6"/>
  <c r="N607" i="6"/>
  <c r="V666" i="6"/>
  <c r="U651" i="6"/>
  <c r="AX627" i="6"/>
  <c r="U605" i="6"/>
  <c r="AX605" i="6" s="1"/>
  <c r="AK688" i="6"/>
  <c r="AK649" i="6"/>
  <c r="AY595" i="6"/>
  <c r="Z597" i="6"/>
  <c r="AY597" i="6" s="1"/>
  <c r="P597" i="6"/>
  <c r="AW597" i="6" s="1"/>
  <c r="AW595" i="6"/>
  <c r="Z699" i="6"/>
  <c r="AY699" i="6" s="1"/>
  <c r="AY562" i="6"/>
  <c r="AA562" i="6"/>
  <c r="AA699" i="6" s="1"/>
  <c r="AA700" i="6" s="1"/>
  <c r="U675" i="6"/>
  <c r="AX675" i="6" s="1"/>
  <c r="Z528" i="6"/>
  <c r="Y167" i="6"/>
  <c r="AD518" i="6"/>
  <c r="AE518" i="6" s="1"/>
  <c r="AC525" i="6"/>
  <c r="AC166" i="6"/>
  <c r="T521" i="6"/>
  <c r="S160" i="6"/>
  <c r="P698" i="6"/>
  <c r="AW563" i="6"/>
  <c r="Z541" i="6"/>
  <c r="AY541" i="6" s="1"/>
  <c r="U538" i="6"/>
  <c r="AX538" i="6" s="1"/>
  <c r="AY520" i="6"/>
  <c r="Z165" i="6"/>
  <c r="AY165" i="6" s="1"/>
  <c r="BA556" i="6"/>
  <c r="AK556" i="6"/>
  <c r="BB529" i="6"/>
  <c r="AO168" i="6"/>
  <c r="T539" i="6"/>
  <c r="T167" i="6"/>
  <c r="U519" i="6"/>
  <c r="AX519" i="6" s="1"/>
  <c r="F476" i="6"/>
  <c r="BC570" i="6"/>
  <c r="AQ570" i="6"/>
  <c r="BD570" i="6" s="1"/>
  <c r="AJ519" i="6"/>
  <c r="BA519" i="6" s="1"/>
  <c r="Y485" i="6"/>
  <c r="Y468" i="6"/>
  <c r="Z498" i="6"/>
  <c r="X476" i="6"/>
  <c r="BC555" i="6"/>
  <c r="AQ555" i="6"/>
  <c r="BD555" i="6" s="1"/>
  <c r="E476" i="6"/>
  <c r="U459" i="6"/>
  <c r="AX459" i="6" s="1"/>
  <c r="AX458" i="6"/>
  <c r="U698" i="6"/>
  <c r="AX563" i="6"/>
  <c r="AK569" i="6"/>
  <c r="AL569" i="6" s="1"/>
  <c r="AM569" i="6" s="1"/>
  <c r="AN569" i="6" s="1"/>
  <c r="AO569" i="6" s="1"/>
  <c r="U541" i="6"/>
  <c r="AX541" i="6" s="1"/>
  <c r="R477" i="6"/>
  <c r="R476" i="6"/>
  <c r="R472" i="6"/>
  <c r="R159" i="6" s="1"/>
  <c r="R465" i="6"/>
  <c r="H476" i="6"/>
  <c r="AN470" i="6"/>
  <c r="AN522" i="6" s="1"/>
  <c r="AO522" i="6" s="1"/>
  <c r="BB522" i="6" s="1"/>
  <c r="U499" i="6"/>
  <c r="AX499" i="6" s="1"/>
  <c r="O476" i="6"/>
  <c r="AT429" i="6"/>
  <c r="E430" i="6"/>
  <c r="BA431" i="6"/>
  <c r="AJ137" i="6"/>
  <c r="U437" i="6"/>
  <c r="AC390" i="6"/>
  <c r="AC391" i="6" s="1"/>
  <c r="S390" i="6"/>
  <c r="S391" i="6" s="1"/>
  <c r="H390" i="6"/>
  <c r="H391" i="6" s="1"/>
  <c r="K284" i="6"/>
  <c r="K279" i="6"/>
  <c r="IL692" i="58479" s="1"/>
  <c r="AV277" i="6"/>
  <c r="AF264" i="6"/>
  <c r="L263" i="6"/>
  <c r="L260" i="6"/>
  <c r="Q333" i="6"/>
  <c r="I333" i="6"/>
  <c r="I334" i="6" s="1"/>
  <c r="X314" i="6"/>
  <c r="U283" i="6"/>
  <c r="AX283" i="6" s="1"/>
  <c r="AX276" i="6"/>
  <c r="O263" i="6"/>
  <c r="O260" i="6"/>
  <c r="AE328" i="6"/>
  <c r="AZ328" i="6" s="1"/>
  <c r="AE282" i="6"/>
  <c r="AZ282" i="6" s="1"/>
  <c r="AE277" i="6"/>
  <c r="IP690" i="58479" s="1"/>
  <c r="AZ275" i="6"/>
  <c r="AA284" i="6"/>
  <c r="AA279" i="6"/>
  <c r="F263" i="6"/>
  <c r="F260" i="6"/>
  <c r="AU260" i="6" s="1"/>
  <c r="AU259" i="6"/>
  <c r="R260" i="6"/>
  <c r="R263" i="6"/>
  <c r="J333" i="6"/>
  <c r="J334" i="6" s="1"/>
  <c r="R314" i="6"/>
  <c r="BA276" i="6"/>
  <c r="AJ283" i="6"/>
  <c r="BA283" i="6" s="1"/>
  <c r="AW276" i="6"/>
  <c r="P283" i="6"/>
  <c r="AW283" i="6" s="1"/>
  <c r="T284" i="6"/>
  <c r="T279" i="6"/>
  <c r="AE283" i="6"/>
  <c r="AZ283" i="6" s="1"/>
  <c r="M263" i="6"/>
  <c r="M260" i="6"/>
  <c r="Y263" i="6"/>
  <c r="Y260" i="6"/>
  <c r="U250" i="6"/>
  <c r="AX250" i="6" s="1"/>
  <c r="AX249" i="6"/>
  <c r="U261" i="6"/>
  <c r="U259" i="6"/>
  <c r="AH286" i="6"/>
  <c r="AH281" i="6"/>
  <c r="X281" i="6"/>
  <c r="IH604" i="58481" s="1"/>
  <c r="AC263" i="6"/>
  <c r="AC260" i="6"/>
  <c r="AB281" i="6"/>
  <c r="P4" i="6"/>
  <c r="AW4" i="6" s="1"/>
  <c r="V6" i="6"/>
  <c r="S5" i="58438" s="1"/>
  <c r="Z6" i="6"/>
  <c r="P261" i="6"/>
  <c r="P259" i="6"/>
  <c r="AW249" i="6"/>
  <c r="AV18" i="6"/>
  <c r="AZ18" i="6"/>
  <c r="P20" i="6"/>
  <c r="AF20" i="6"/>
  <c r="G24" i="6"/>
  <c r="W24" i="6"/>
  <c r="AA24" i="6"/>
  <c r="E36" i="6"/>
  <c r="AT36" i="6" s="1"/>
  <c r="U39" i="6"/>
  <c r="E43" i="6"/>
  <c r="AL492" i="6"/>
  <c r="AL153" i="6"/>
  <c r="AL109" i="6"/>
  <c r="J47" i="6"/>
  <c r="J56" i="6" s="1"/>
  <c r="N47" i="6"/>
  <c r="N56" i="6" s="1"/>
  <c r="R47" i="6"/>
  <c r="R56" i="6" s="1"/>
  <c r="V47" i="6"/>
  <c r="V56" i="6" s="1"/>
  <c r="P459" i="6"/>
  <c r="AW459" i="6" s="1"/>
  <c r="AW458" i="6"/>
  <c r="K58" i="6"/>
  <c r="AV58" i="6" s="1"/>
  <c r="P58" i="6"/>
  <c r="AW58" i="6" s="1"/>
  <c r="AO58" i="6"/>
  <c r="P63" i="6"/>
  <c r="BC63" i="6"/>
  <c r="AF65" i="6"/>
  <c r="AF147" i="6" s="1"/>
  <c r="G690" i="6"/>
  <c r="K666" i="6"/>
  <c r="AV666" i="6" s="1"/>
  <c r="AK645" i="6"/>
  <c r="S676" i="6"/>
  <c r="U676" i="6" s="1"/>
  <c r="AX676" i="6" s="1"/>
  <c r="T673" i="6"/>
  <c r="U673" i="6" s="1"/>
  <c r="AX673" i="6" s="1"/>
  <c r="S605" i="6"/>
  <c r="AI634" i="6"/>
  <c r="AB704" i="6"/>
  <c r="AC704" i="6"/>
  <c r="AB595" i="6"/>
  <c r="AB597" i="6" s="1"/>
  <c r="R655" i="6"/>
  <c r="R607" i="6"/>
  <c r="AJ704" i="6"/>
  <c r="BA704" i="6" s="1"/>
  <c r="AK590" i="6"/>
  <c r="BA590" i="6"/>
  <c r="AK587" i="6"/>
  <c r="AL587" i="6" s="1"/>
  <c r="AM587" i="6" s="1"/>
  <c r="AN587" i="6" s="1"/>
  <c r="AO587" i="6" s="1"/>
  <c r="BA587" i="6"/>
  <c r="AP577" i="6"/>
  <c r="BB577" i="6"/>
  <c r="T520" i="6"/>
  <c r="T165" i="6" s="1"/>
  <c r="S165" i="6"/>
  <c r="K539" i="6"/>
  <c r="AV539" i="6" s="1"/>
  <c r="AV528" i="6"/>
  <c r="K167" i="6"/>
  <c r="AV167" i="6" s="1"/>
  <c r="BB592" i="6"/>
  <c r="AL558" i="6"/>
  <c r="AL505" i="6" s="1"/>
  <c r="AK505" i="6"/>
  <c r="AL554" i="6"/>
  <c r="AK503" i="6"/>
  <c r="AD539" i="6"/>
  <c r="AD167" i="6"/>
  <c r="S539" i="6"/>
  <c r="Z563" i="6"/>
  <c r="AZ516" i="6"/>
  <c r="AE485" i="6"/>
  <c r="AZ485" i="6" s="1"/>
  <c r="U520" i="6"/>
  <c r="AC476" i="6"/>
  <c r="K475" i="6"/>
  <c r="AV465" i="6"/>
  <c r="AS120" i="58481" s="1"/>
  <c r="K468" i="6"/>
  <c r="AE452" i="6"/>
  <c r="AZ452" i="6" s="1"/>
  <c r="AZ451" i="6"/>
  <c r="BC493" i="6"/>
  <c r="AQ493" i="6"/>
  <c r="BD493" i="6" s="1"/>
  <c r="AB476" i="6"/>
  <c r="K698" i="6"/>
  <c r="AV563" i="6"/>
  <c r="AE501" i="6"/>
  <c r="AE156" i="6" s="1"/>
  <c r="AZ156" i="6" s="1"/>
  <c r="U496" i="6"/>
  <c r="AX496" i="6" s="1"/>
  <c r="Z427" i="6"/>
  <c r="AY427" i="6" s="1"/>
  <c r="AY426" i="6"/>
  <c r="AQ467" i="6"/>
  <c r="BD467" i="6" s="1"/>
  <c r="BC467" i="6"/>
  <c r="U456" i="6"/>
  <c r="AX456" i="6" s="1"/>
  <c r="AX455" i="6"/>
  <c r="U424" i="6"/>
  <c r="AX424" i="6" s="1"/>
  <c r="U429" i="6"/>
  <c r="AX429" i="6" s="1"/>
  <c r="AX423" i="6"/>
  <c r="BC466" i="6"/>
  <c r="AQ466" i="6"/>
  <c r="BD466" i="6" s="1"/>
  <c r="AA437" i="6"/>
  <c r="Z437" i="6"/>
  <c r="U432" i="6"/>
  <c r="AX432" i="6" s="1"/>
  <c r="G390" i="6"/>
  <c r="K389" i="6"/>
  <c r="AV389" i="6" s="1"/>
  <c r="AE427" i="6"/>
  <c r="AZ427" i="6" s="1"/>
  <c r="BC423" i="6"/>
  <c r="AP429" i="6"/>
  <c r="AQ423" i="6"/>
  <c r="AN276" i="6"/>
  <c r="AN283" i="6" s="1"/>
  <c r="O390" i="6"/>
  <c r="O391" i="6" s="1"/>
  <c r="AO371" i="6"/>
  <c r="AO377" i="6" s="1"/>
  <c r="AP371" i="6" s="1"/>
  <c r="AB263" i="6"/>
  <c r="AB260" i="6"/>
  <c r="P285" i="6"/>
  <c r="AW285" i="6" s="1"/>
  <c r="AW278" i="6"/>
  <c r="P267" i="6"/>
  <c r="AA260" i="6"/>
  <c r="AA263" i="6"/>
  <c r="K263" i="6"/>
  <c r="U328" i="6"/>
  <c r="AX328" i="6" s="1"/>
  <c r="U277" i="6"/>
  <c r="AX275" i="6"/>
  <c r="U282" i="6"/>
  <c r="AX282" i="6" s="1"/>
  <c r="V279" i="6"/>
  <c r="IF602" i="58481" s="1"/>
  <c r="V284" i="6"/>
  <c r="AH264" i="6"/>
  <c r="N263" i="6"/>
  <c r="N260" i="6"/>
  <c r="AD314" i="6"/>
  <c r="AE285" i="6"/>
  <c r="AZ285" i="6" s="1"/>
  <c r="AZ278" i="6"/>
  <c r="O284" i="6"/>
  <c r="O279" i="6"/>
  <c r="Z282" i="6"/>
  <c r="AY282" i="6" s="1"/>
  <c r="P279" i="6"/>
  <c r="IM692" i="58479" s="1"/>
  <c r="P284" i="6"/>
  <c r="AW277" i="6"/>
  <c r="Q260" i="6"/>
  <c r="Q263" i="6"/>
  <c r="AC286" i="6"/>
  <c r="AC281" i="6"/>
  <c r="U267" i="6"/>
  <c r="M237" i="6"/>
  <c r="L237" i="6"/>
  <c r="I154" i="6"/>
  <c r="H154" i="6"/>
  <c r="AV154" i="6"/>
  <c r="G154" i="6"/>
  <c r="J154" i="6"/>
  <c r="AX3" i="6"/>
  <c r="Q4" i="6"/>
  <c r="AW9" i="6"/>
  <c r="BA18" i="6"/>
  <c r="U20" i="6"/>
  <c r="AV455" i="6"/>
  <c r="K456" i="6"/>
  <c r="AV456" i="6" s="1"/>
  <c r="AY23" i="6"/>
  <c r="L24" i="6"/>
  <c r="AW256" i="6"/>
  <c r="P257" i="6"/>
  <c r="AW257" i="6" s="1"/>
  <c r="F482" i="6"/>
  <c r="AU482" i="6" s="1"/>
  <c r="F483" i="6"/>
  <c r="AU483" i="6" s="1"/>
  <c r="J482" i="6"/>
  <c r="J483" i="6"/>
  <c r="N714" i="6"/>
  <c r="N482" i="6"/>
  <c r="N483" i="6"/>
  <c r="R714" i="6"/>
  <c r="R482" i="6"/>
  <c r="R483" i="6"/>
  <c r="V714" i="6"/>
  <c r="AD714" i="6"/>
  <c r="AD482" i="6"/>
  <c r="AD483" i="6"/>
  <c r="AU36" i="6"/>
  <c r="Z39" i="6"/>
  <c r="K40" i="6"/>
  <c r="AV40" i="6" s="1"/>
  <c r="AE40" i="6"/>
  <c r="AZ40" i="6" s="1"/>
  <c r="F43" i="6"/>
  <c r="AM492" i="6"/>
  <c r="AM153" i="6"/>
  <c r="AM109" i="6"/>
  <c r="K492" i="6"/>
  <c r="AV492" i="6" s="1"/>
  <c r="K153" i="6"/>
  <c r="AV153" i="6" s="1"/>
  <c r="K109" i="6"/>
  <c r="AV109" i="6" s="1"/>
  <c r="AO45" i="6"/>
  <c r="AO112" i="6"/>
  <c r="BB112" i="6" s="1"/>
  <c r="Z64" i="6"/>
  <c r="AY64" i="6" s="1"/>
  <c r="U666" i="6"/>
  <c r="Q682" i="6"/>
  <c r="U682" i="6" s="1"/>
  <c r="AX682" i="6" s="1"/>
  <c r="AW643" i="6"/>
  <c r="S655" i="6"/>
  <c r="S607" i="6"/>
  <c r="AK647" i="6"/>
  <c r="AP654" i="6"/>
  <c r="BB654" i="6"/>
  <c r="Q689" i="6"/>
  <c r="U689" i="6" s="1"/>
  <c r="AX689" i="6" s="1"/>
  <c r="AW650" i="6"/>
  <c r="AI650" i="6"/>
  <c r="AJ650" i="6" s="1"/>
  <c r="T655" i="6"/>
  <c r="T607" i="6"/>
  <c r="AN609" i="6"/>
  <c r="AO609" i="6" s="1"/>
  <c r="AJ609" i="6"/>
  <c r="BA609" i="6" s="1"/>
  <c r="AK648" i="6"/>
  <c r="AK687" i="6" s="1"/>
  <c r="Z667" i="6"/>
  <c r="AY667" i="6" s="1"/>
  <c r="L690" i="6"/>
  <c r="P690" i="6" s="1"/>
  <c r="AW690" i="6" s="1"/>
  <c r="P666" i="6"/>
  <c r="AG655" i="6"/>
  <c r="AG607" i="6"/>
  <c r="Y538" i="6"/>
  <c r="Y170" i="6" s="1"/>
  <c r="X170" i="6"/>
  <c r="AG539" i="6"/>
  <c r="AG167" i="6"/>
  <c r="T523" i="6"/>
  <c r="T469" i="6" s="1"/>
  <c r="S469" i="6"/>
  <c r="AQ583" i="6"/>
  <c r="BD583" i="6" s="1"/>
  <c r="BC583" i="6"/>
  <c r="Z538" i="6"/>
  <c r="AY538" i="6" s="1"/>
  <c r="AY516" i="6"/>
  <c r="Z485" i="6"/>
  <c r="AY485" i="6" s="1"/>
  <c r="AE539" i="6"/>
  <c r="AZ539" i="6" s="1"/>
  <c r="AZ528" i="6"/>
  <c r="AE167" i="6"/>
  <c r="AZ167" i="6" s="1"/>
  <c r="P520" i="6"/>
  <c r="P525" i="6" s="1"/>
  <c r="AW525" i="6" s="1"/>
  <c r="O165" i="6"/>
  <c r="T518" i="6"/>
  <c r="T166" i="6" s="1"/>
  <c r="S166" i="6"/>
  <c r="AK507" i="6"/>
  <c r="AL578" i="6"/>
  <c r="BC566" i="6"/>
  <c r="AQ566" i="6"/>
  <c r="BD566" i="6" s="1"/>
  <c r="Y522" i="6"/>
  <c r="Y470" i="6" s="1"/>
  <c r="X470" i="6"/>
  <c r="AW516" i="6"/>
  <c r="P485" i="6"/>
  <c r="AW485" i="6" s="1"/>
  <c r="AJ522" i="6"/>
  <c r="BA522" i="6" s="1"/>
  <c r="AI568" i="6"/>
  <c r="AJ568" i="6" s="1"/>
  <c r="K452" i="6"/>
  <c r="AV452" i="6" s="1"/>
  <c r="AV451" i="6"/>
  <c r="U498" i="6"/>
  <c r="W699" i="6"/>
  <c r="X562" i="6"/>
  <c r="AP565" i="6"/>
  <c r="BB565" i="6"/>
  <c r="Y518" i="6"/>
  <c r="Y166" i="6" s="1"/>
  <c r="X166" i="6"/>
  <c r="S525" i="6"/>
  <c r="T516" i="6"/>
  <c r="S485" i="6"/>
  <c r="S468" i="6"/>
  <c r="Y517" i="6"/>
  <c r="Z517" i="6" s="1"/>
  <c r="AY517" i="6" s="1"/>
  <c r="P468" i="6"/>
  <c r="P474" i="6" s="1"/>
  <c r="AW474" i="6" s="1"/>
  <c r="P475" i="6"/>
  <c r="AW465" i="6"/>
  <c r="AT120" i="58481" s="1"/>
  <c r="AY458" i="6"/>
  <c r="Z459" i="6"/>
  <c r="AY459" i="6" s="1"/>
  <c r="AH485" i="6"/>
  <c r="Z429" i="6"/>
  <c r="AY429" i="6" s="1"/>
  <c r="Z424" i="6"/>
  <c r="AY424" i="6" s="1"/>
  <c r="AY423" i="6"/>
  <c r="P452" i="6"/>
  <c r="AW452" i="6" s="1"/>
  <c r="AW451" i="6"/>
  <c r="BC426" i="6"/>
  <c r="AQ426" i="6"/>
  <c r="AE424" i="6"/>
  <c r="AZ424" i="6" s="1"/>
  <c r="F314" i="6"/>
  <c r="AU314" i="6" s="1"/>
  <c r="AU311" i="6"/>
  <c r="S279" i="6"/>
  <c r="X286" i="6" s="1"/>
  <c r="S284" i="6"/>
  <c r="X263" i="6"/>
  <c r="X260" i="6"/>
  <c r="Z261" i="6"/>
  <c r="Z259" i="6"/>
  <c r="Z250" i="6"/>
  <c r="AY250" i="6" s="1"/>
  <c r="AY249" i="6"/>
  <c r="W279" i="6"/>
  <c r="IG602" i="58481" s="1"/>
  <c r="W284" i="6"/>
  <c r="W260" i="6"/>
  <c r="W263" i="6"/>
  <c r="Y390" i="6"/>
  <c r="Y391" i="6" s="1"/>
  <c r="Q284" i="6"/>
  <c r="Q279" i="6"/>
  <c r="AD263" i="6"/>
  <c r="AD260" i="6"/>
  <c r="Z283" i="6"/>
  <c r="AY283" i="6" s="1"/>
  <c r="AY276" i="6"/>
  <c r="AD284" i="6"/>
  <c r="AD279" i="6"/>
  <c r="AU277" i="6"/>
  <c r="F284" i="6"/>
  <c r="F279" i="6"/>
  <c r="IK692" i="58479" s="1"/>
  <c r="AE261" i="6"/>
  <c r="AE259" i="6"/>
  <c r="AE250" i="6"/>
  <c r="AZ250" i="6" s="1"/>
  <c r="AZ249" i="6"/>
  <c r="AE257" i="6"/>
  <c r="AZ257" i="6" s="1"/>
  <c r="AZ256" i="6"/>
  <c r="N286" i="6"/>
  <c r="N281" i="6"/>
  <c r="Z267" i="6"/>
  <c r="AC237" i="6"/>
  <c r="I237" i="6"/>
  <c r="I240" i="6" s="1"/>
  <c r="I242" i="6" s="1"/>
  <c r="AG286" i="6"/>
  <c r="AG281" i="6"/>
  <c r="M286" i="6"/>
  <c r="M281" i="6"/>
  <c r="AG264" i="6"/>
  <c r="AB237" i="6"/>
  <c r="H237" i="6"/>
  <c r="H240" i="6" s="1"/>
  <c r="H242" i="6" s="1"/>
  <c r="BB594" i="6"/>
  <c r="AP594" i="6"/>
  <c r="BB248" i="6"/>
  <c r="AP248" i="6"/>
  <c r="K203" i="6"/>
  <c r="AV203" i="6" s="1"/>
  <c r="U154" i="6"/>
  <c r="M154" i="6"/>
  <c r="AW154" i="6"/>
  <c r="L154" i="6"/>
  <c r="O154" i="6"/>
  <c r="N154" i="6"/>
  <c r="U4" i="6"/>
  <c r="AX4" i="6" s="1"/>
  <c r="K6" i="6"/>
  <c r="V4" i="6"/>
  <c r="AV16" i="6"/>
  <c r="AO18" i="6"/>
  <c r="AX18" i="6"/>
  <c r="AW455" i="6"/>
  <c r="P456" i="6"/>
  <c r="AW456" i="6" s="1"/>
  <c r="AV23" i="6"/>
  <c r="I24" i="6"/>
  <c r="M24" i="6"/>
  <c r="Q24" i="6"/>
  <c r="AG24" i="6"/>
  <c r="K257" i="6"/>
  <c r="AV257" i="6" s="1"/>
  <c r="AV256" i="6"/>
  <c r="K36" i="6"/>
  <c r="K39" i="6"/>
  <c r="AN492" i="6"/>
  <c r="AN153" i="6"/>
  <c r="AN109" i="6"/>
  <c r="AX45" i="6"/>
  <c r="AT50" i="6"/>
  <c r="AV458" i="6"/>
  <c r="K459" i="6"/>
  <c r="AV459" i="6" s="1"/>
  <c r="Z54" i="6"/>
  <c r="AY54" i="6" s="1"/>
  <c r="AM80" i="6"/>
  <c r="AL81" i="6"/>
  <c r="BC690" i="6"/>
  <c r="AQ690" i="6"/>
  <c r="BD690" i="6" s="1"/>
  <c r="AJ684" i="6"/>
  <c r="S690" i="6"/>
  <c r="Z605" i="6"/>
  <c r="AY605" i="6" s="1"/>
  <c r="AY627" i="6"/>
  <c r="AA627" i="6"/>
  <c r="Z651" i="6"/>
  <c r="AI686" i="6"/>
  <c r="AJ686" i="6" s="1"/>
  <c r="Q680" i="6"/>
  <c r="U680" i="6" s="1"/>
  <c r="AX680" i="6" s="1"/>
  <c r="AW641" i="6"/>
  <c r="Y655" i="6"/>
  <c r="Y607" i="6"/>
  <c r="X607" i="6"/>
  <c r="X655" i="6"/>
  <c r="U683" i="6"/>
  <c r="Q678" i="6"/>
  <c r="U678" i="6" s="1"/>
  <c r="AX678" i="6" s="1"/>
  <c r="AW639" i="6"/>
  <c r="T690" i="6"/>
  <c r="U597" i="6"/>
  <c r="AX597" i="6" s="1"/>
  <c r="AX595" i="6"/>
  <c r="U667" i="6"/>
  <c r="AX667" i="6" s="1"/>
  <c r="AI687" i="6"/>
  <c r="AJ687" i="6" s="1"/>
  <c r="Q655" i="6"/>
  <c r="Q607" i="6"/>
  <c r="AV651" i="6"/>
  <c r="K655" i="6"/>
  <c r="AV655" i="6" s="1"/>
  <c r="K607" i="6"/>
  <c r="AE699" i="6"/>
  <c r="AZ699" i="6" s="1"/>
  <c r="AZ562" i="6"/>
  <c r="AF562" i="6"/>
  <c r="AK584" i="6"/>
  <c r="AL584" i="6" s="1"/>
  <c r="AM584" i="6" s="1"/>
  <c r="AN584" i="6" s="1"/>
  <c r="AO584" i="6" s="1"/>
  <c r="T522" i="6"/>
  <c r="T470" i="6" s="1"/>
  <c r="S470" i="6"/>
  <c r="AE563" i="6"/>
  <c r="O539" i="6"/>
  <c r="P528" i="6"/>
  <c r="O167" i="6"/>
  <c r="Y521" i="6"/>
  <c r="X160" i="6"/>
  <c r="AX528" i="6"/>
  <c r="U167" i="6"/>
  <c r="AX167" i="6" s="1"/>
  <c r="F700" i="6"/>
  <c r="AU700" i="6" s="1"/>
  <c r="AU699" i="6"/>
  <c r="U524" i="6"/>
  <c r="AX524" i="6" s="1"/>
  <c r="U518" i="6"/>
  <c r="AK564" i="6"/>
  <c r="AL564" i="6" s="1"/>
  <c r="AM564" i="6" s="1"/>
  <c r="AN564" i="6" s="1"/>
  <c r="AO564" i="6" s="1"/>
  <c r="BA564" i="6"/>
  <c r="AE541" i="6"/>
  <c r="AZ541" i="6" s="1"/>
  <c r="Z522" i="6"/>
  <c r="AY522" i="6" s="1"/>
  <c r="O525" i="6"/>
  <c r="AM557" i="6"/>
  <c r="AM504" i="6" s="1"/>
  <c r="AJ615" i="6"/>
  <c r="BA615" i="6" s="1"/>
  <c r="BA552" i="6"/>
  <c r="AK552" i="6"/>
  <c r="AK508" i="6" s="1"/>
  <c r="Z500" i="6"/>
  <c r="AY500" i="6" s="1"/>
  <c r="AY451" i="6"/>
  <c r="Z453" i="6"/>
  <c r="AY453" i="6" s="1"/>
  <c r="Z452" i="6"/>
  <c r="AY452" i="6" s="1"/>
  <c r="W700" i="6"/>
  <c r="Z518" i="6"/>
  <c r="AE499" i="6"/>
  <c r="AZ499" i="6" s="1"/>
  <c r="AE475" i="6"/>
  <c r="AZ465" i="6"/>
  <c r="AE474" i="6"/>
  <c r="AZ474" i="6" s="1"/>
  <c r="AE468" i="6"/>
  <c r="AL510" i="6"/>
  <c r="AM510" i="6" s="1"/>
  <c r="AN510" i="6" s="1"/>
  <c r="BB471" i="6"/>
  <c r="AP471" i="6"/>
  <c r="AX451" i="6"/>
  <c r="U452" i="6"/>
  <c r="AX452" i="6" s="1"/>
  <c r="Z443" i="6"/>
  <c r="AA443" i="6"/>
  <c r="AO431" i="6"/>
  <c r="AK137" i="6"/>
  <c r="K430" i="6"/>
  <c r="AU389" i="6"/>
  <c r="F390" i="6"/>
  <c r="T263" i="6"/>
  <c r="T260" i="6"/>
  <c r="T390" i="6"/>
  <c r="T391" i="6" s="1"/>
  <c r="F333" i="6"/>
  <c r="K328" i="6"/>
  <c r="AV328" i="6" s="1"/>
  <c r="R279" i="6"/>
  <c r="R284" i="6"/>
  <c r="S260" i="6"/>
  <c r="S263" i="6"/>
  <c r="H333" i="6"/>
  <c r="H334" i="6" s="1"/>
  <c r="K332" i="6"/>
  <c r="AV332" i="6" s="1"/>
  <c r="AF284" i="6"/>
  <c r="AF279" i="6"/>
  <c r="L284" i="6"/>
  <c r="L279" i="6"/>
  <c r="V260" i="6"/>
  <c r="V263" i="6"/>
  <c r="P328" i="6"/>
  <c r="AW328" i="6" s="1"/>
  <c r="V314" i="6"/>
  <c r="U285" i="6"/>
  <c r="AX285" i="6" s="1"/>
  <c r="AX278" i="6"/>
  <c r="Y284" i="6"/>
  <c r="Y279" i="6"/>
  <c r="II602" i="58481" s="1"/>
  <c r="U257" i="6"/>
  <c r="AX257" i="6" s="1"/>
  <c r="AX256" i="6"/>
  <c r="Z332" i="6"/>
  <c r="R333" i="6"/>
  <c r="R334" i="6" s="1"/>
  <c r="Z285" i="6"/>
  <c r="AY285" i="6" s="1"/>
  <c r="Z494" i="6"/>
  <c r="AY494" i="6" s="1"/>
  <c r="X284" i="6"/>
  <c r="AT279" i="6"/>
  <c r="E281" i="6"/>
  <c r="IJ695" i="58479" s="1"/>
  <c r="Y237" i="6"/>
  <c r="AD238" i="6" s="1"/>
  <c r="AP116" i="6"/>
  <c r="BB116" i="6"/>
  <c r="X237" i="6"/>
  <c r="DU282" i="58481"/>
  <c r="DU281" i="58481"/>
  <c r="DU280" i="58481"/>
  <c r="DU279" i="58481"/>
  <c r="DU278" i="58481"/>
  <c r="DU277" i="58481"/>
  <c r="Y51" i="58438" l="1"/>
  <c r="Q380" i="58438"/>
  <c r="Q384" i="58438"/>
  <c r="Q383" i="58438"/>
  <c r="J381" i="58438"/>
  <c r="K267" i="6"/>
  <c r="V482" i="6"/>
  <c r="P250" i="6"/>
  <c r="AW250" i="6" s="1"/>
  <c r="AD481" i="6"/>
  <c r="K261" i="6"/>
  <c r="AD25" i="6"/>
  <c r="S714" i="6"/>
  <c r="W483" i="6"/>
  <c r="F406" i="58438"/>
  <c r="AB371" i="58438"/>
  <c r="P366" i="58438"/>
  <c r="P380" i="58438" s="1"/>
  <c r="Q438" i="58438"/>
  <c r="O436" i="58438"/>
  <c r="AM263" i="58438"/>
  <c r="AD366" i="58438"/>
  <c r="IJ568" i="58481"/>
  <c r="Y46" i="58438"/>
  <c r="H17" i="58482"/>
  <c r="HY624" i="58479"/>
  <c r="F431" i="58438"/>
  <c r="E438" i="58438"/>
  <c r="D431" i="58438"/>
  <c r="AD469" i="6"/>
  <c r="AE523" i="6"/>
  <c r="AZ523" i="6" s="1"/>
  <c r="AO470" i="6"/>
  <c r="AD47" i="6"/>
  <c r="AD56" i="6" s="1"/>
  <c r="P36" i="6"/>
  <c r="K250" i="6"/>
  <c r="AV250" i="6" s="1"/>
  <c r="S483" i="6"/>
  <c r="AB403" i="58438"/>
  <c r="P406" i="58438"/>
  <c r="P416" i="58438" s="1"/>
  <c r="AA357" i="58438"/>
  <c r="AA456" i="58438" s="1"/>
  <c r="H5" i="58481"/>
  <c r="Q46" i="58438"/>
  <c r="Q52" i="58438" s="1"/>
  <c r="IE658" i="58479"/>
  <c r="AA439" i="58438"/>
  <c r="HZ621" i="58479"/>
  <c r="U437" i="58438"/>
  <c r="O437" i="58438"/>
  <c r="Z714" i="6"/>
  <c r="AY714" i="6" s="1"/>
  <c r="Z263" i="6"/>
  <c r="U539" i="6"/>
  <c r="AX539" i="6" s="1"/>
  <c r="Z170" i="6"/>
  <c r="AY170" i="6" s="1"/>
  <c r="V483" i="6"/>
  <c r="K259" i="6"/>
  <c r="S47" i="6"/>
  <c r="S56" i="6" s="1"/>
  <c r="Z36" i="6"/>
  <c r="AM258" i="58438"/>
  <c r="AN258" i="58438" s="1"/>
  <c r="AN36" i="58438" s="1"/>
  <c r="T46" i="58438"/>
  <c r="X46" i="58438"/>
  <c r="F438" i="58438"/>
  <c r="E431" i="58438"/>
  <c r="J432" i="58438" s="1"/>
  <c r="HW624" i="58479"/>
  <c r="V438" i="58438"/>
  <c r="P437" i="58438"/>
  <c r="P438" i="58438"/>
  <c r="P440" i="58438" s="1"/>
  <c r="P447" i="58438" s="1"/>
  <c r="J366" i="58438"/>
  <c r="HZ624" i="58479"/>
  <c r="O438" i="58438"/>
  <c r="G438" i="58438"/>
  <c r="R147" i="6"/>
  <c r="AA147" i="6"/>
  <c r="AG93" i="58438"/>
  <c r="Z284" i="6"/>
  <c r="IN690" i="58479"/>
  <c r="N41" i="58438"/>
  <c r="N44" i="58438"/>
  <c r="N404" i="58438"/>
  <c r="N365" i="58438"/>
  <c r="R365" i="58438" s="1"/>
  <c r="N45" i="58438"/>
  <c r="N398" i="58438"/>
  <c r="N42" i="58438"/>
  <c r="N43" i="58438"/>
  <c r="N363" i="58438"/>
  <c r="R363" i="58438" s="1"/>
  <c r="N403" i="58438"/>
  <c r="N364" i="58438"/>
  <c r="R364" i="58438" s="1"/>
  <c r="N405" i="58438"/>
  <c r="N356" i="58438"/>
  <c r="N402" i="58438"/>
  <c r="N362" i="58438"/>
  <c r="S402" i="58438"/>
  <c r="G15" i="6"/>
  <c r="K291" i="6"/>
  <c r="K15" i="6" s="1"/>
  <c r="AV15" i="6" s="1"/>
  <c r="FN574" i="58502"/>
  <c r="FN577" i="58502" s="1"/>
  <c r="FN581" i="58502" s="1"/>
  <c r="FN585" i="58502" s="1"/>
  <c r="FN590" i="58502" s="1"/>
  <c r="FL577" i="58502"/>
  <c r="FL581" i="58502" s="1"/>
  <c r="FL585" i="58502" s="1"/>
  <c r="IS703" i="58479"/>
  <c r="F32" i="58498"/>
  <c r="G32" i="58498"/>
  <c r="D4" i="58502"/>
  <c r="C58" i="58502"/>
  <c r="C59" i="58502"/>
  <c r="E4" i="58502"/>
  <c r="C57" i="58502"/>
  <c r="C60" i="58502"/>
  <c r="E406" i="58438"/>
  <c r="E436" i="58438"/>
  <c r="E437" i="58438"/>
  <c r="GG531" i="58479"/>
  <c r="IF658" i="58479"/>
  <c r="J19" i="58499"/>
  <c r="K19" i="58499"/>
  <c r="C21" i="58499"/>
  <c r="F19" i="58499"/>
  <c r="B43" i="58502"/>
  <c r="B44" i="58502"/>
  <c r="B46" i="58502"/>
  <c r="B7" i="58502"/>
  <c r="B45" i="58502"/>
  <c r="IS702" i="58479"/>
  <c r="P46" i="58438"/>
  <c r="P431" i="58438"/>
  <c r="J438" i="58438"/>
  <c r="J446" i="58438" s="1"/>
  <c r="H356" i="58438"/>
  <c r="D366" i="58438"/>
  <c r="AC439" i="58438"/>
  <c r="T438" i="58438"/>
  <c r="AB105" i="58438"/>
  <c r="AB72" i="58438"/>
  <c r="G8" i="58481"/>
  <c r="F28" i="58501"/>
  <c r="J28" i="58501"/>
  <c r="G28" i="58501"/>
  <c r="D29" i="58499"/>
  <c r="HV621" i="58479"/>
  <c r="AD439" i="58438"/>
  <c r="U399" i="58438"/>
  <c r="U466" i="58438" s="1"/>
  <c r="U431" i="58438"/>
  <c r="U432" i="58438" s="1"/>
  <c r="U357" i="58438"/>
  <c r="U456" i="58438" s="1"/>
  <c r="G437" i="58438"/>
  <c r="G366" i="58438"/>
  <c r="K406" i="58438"/>
  <c r="K436" i="58438"/>
  <c r="P399" i="58438"/>
  <c r="P466" i="58438" s="1"/>
  <c r="K431" i="58438"/>
  <c r="K399" i="58438"/>
  <c r="K466" i="58438" s="1"/>
  <c r="U669" i="6"/>
  <c r="AX669" i="6" s="1"/>
  <c r="IJ602" i="58481"/>
  <c r="IO692" i="58479"/>
  <c r="AH474" i="6"/>
  <c r="AH475" i="6"/>
  <c r="HY621" i="58479"/>
  <c r="H405" i="58438"/>
  <c r="HX621" i="58479"/>
  <c r="R404" i="58438"/>
  <c r="HX624" i="58479"/>
  <c r="HX625" i="58479" s="1"/>
  <c r="C7" i="58502"/>
  <c r="C44" i="58502"/>
  <c r="D5" i="58502"/>
  <c r="C43" i="58502"/>
  <c r="E5" i="58502"/>
  <c r="C45" i="58502"/>
  <c r="C46" i="58502"/>
  <c r="AZ70" i="6"/>
  <c r="I16" i="58482"/>
  <c r="HW621" i="58479"/>
  <c r="AE438" i="58438"/>
  <c r="AE436" i="58438"/>
  <c r="AE406" i="58438"/>
  <c r="V357" i="58438"/>
  <c r="V456" i="58438" s="1"/>
  <c r="J437" i="58438"/>
  <c r="H364" i="58438"/>
  <c r="D436" i="58438"/>
  <c r="D406" i="58438"/>
  <c r="D438" i="58438"/>
  <c r="H404" i="58438"/>
  <c r="H438" i="58438" s="1"/>
  <c r="D437" i="58438"/>
  <c r="H403" i="58438"/>
  <c r="AW6" i="6"/>
  <c r="M5" i="58438"/>
  <c r="M105" i="58438" s="1"/>
  <c r="M258" i="58438"/>
  <c r="M36" i="58438" s="1"/>
  <c r="M276" i="58438"/>
  <c r="M333" i="58438" s="1"/>
  <c r="M73" i="58438"/>
  <c r="R247" i="58438"/>
  <c r="I403" i="58438"/>
  <c r="I356" i="58438"/>
  <c r="I402" i="58438"/>
  <c r="M230" i="58438"/>
  <c r="M242" i="58438"/>
  <c r="M104" i="58438"/>
  <c r="I363" i="58438"/>
  <c r="M225" i="58438"/>
  <c r="M306" i="58438" s="1"/>
  <c r="M72" i="58438"/>
  <c r="M290" i="58438"/>
  <c r="M38" i="58438" s="1"/>
  <c r="M228" i="58438"/>
  <c r="I362" i="58438"/>
  <c r="M320" i="58438"/>
  <c r="M88" i="58438"/>
  <c r="M292" i="58438"/>
  <c r="M229" i="58438"/>
  <c r="I398" i="58438"/>
  <c r="I405" i="58438"/>
  <c r="M322" i="58438"/>
  <c r="M318" i="58438"/>
  <c r="I365" i="58438"/>
  <c r="I404" i="58438"/>
  <c r="I364" i="58438"/>
  <c r="AB318" i="58438"/>
  <c r="AB89" i="58438"/>
  <c r="AG94" i="58438" s="1"/>
  <c r="AB73" i="58438"/>
  <c r="AB104" i="58438"/>
  <c r="IH658" i="58479"/>
  <c r="IH664" i="58479"/>
  <c r="IH660" i="58479"/>
  <c r="IH665" i="58479"/>
  <c r="Z119" i="6"/>
  <c r="AY119" i="6" s="1"/>
  <c r="C54" i="58501"/>
  <c r="G19" i="58501"/>
  <c r="D21" i="58501"/>
  <c r="HV624" i="58479"/>
  <c r="HV625" i="58479" s="1"/>
  <c r="ID658" i="58479"/>
  <c r="ID665" i="58479"/>
  <c r="ID664" i="58479"/>
  <c r="ID660" i="58479"/>
  <c r="AL253" i="58438"/>
  <c r="AL12" i="58438" s="1"/>
  <c r="P6" i="58471" s="1"/>
  <c r="AD436" i="58438"/>
  <c r="AD406" i="58438"/>
  <c r="O46" i="58438"/>
  <c r="G406" i="58438"/>
  <c r="G436" i="58438"/>
  <c r="C403" i="58438"/>
  <c r="C398" i="58438"/>
  <c r="C402" i="58438"/>
  <c r="C363" i="58438"/>
  <c r="C356" i="58438"/>
  <c r="C357" i="58438" s="1"/>
  <c r="C456" i="58438" s="1"/>
  <c r="C404" i="58438"/>
  <c r="C364" i="58438"/>
  <c r="C362" i="58438"/>
  <c r="C405" i="58438"/>
  <c r="C365" i="58438"/>
  <c r="AG365" i="58438"/>
  <c r="K439" i="58438"/>
  <c r="K416" i="58438"/>
  <c r="K366" i="58438"/>
  <c r="AY6" i="6"/>
  <c r="W5" i="58438"/>
  <c r="W242" i="58438" s="1"/>
  <c r="K690" i="6"/>
  <c r="AV690" i="6" s="1"/>
  <c r="Q482" i="6"/>
  <c r="AE36" i="6"/>
  <c r="Y156" i="6"/>
  <c r="Z501" i="6"/>
  <c r="Z156" i="6" s="1"/>
  <c r="AY156" i="6" s="1"/>
  <c r="FM374" i="58481"/>
  <c r="E5" i="58481"/>
  <c r="V610" i="6"/>
  <c r="V606" i="6"/>
  <c r="FP577" i="58502"/>
  <c r="FP581" i="58502" s="1"/>
  <c r="FP585" i="58502" s="1"/>
  <c r="FR574" i="58502"/>
  <c r="FR577" i="58502" s="1"/>
  <c r="FR581" i="58502" s="1"/>
  <c r="FR585" i="58502" s="1"/>
  <c r="FR590" i="58502" s="1"/>
  <c r="D21" i="58498"/>
  <c r="G19" i="58498"/>
  <c r="Q431" i="58438"/>
  <c r="Q437" i="58438"/>
  <c r="E366" i="58438"/>
  <c r="IJ600" i="58481"/>
  <c r="IO690" i="58479"/>
  <c r="Z48" i="58470"/>
  <c r="J24" i="58470"/>
  <c r="J357" i="58438"/>
  <c r="J456" i="58438" s="1"/>
  <c r="J439" i="58438"/>
  <c r="X438" i="58438"/>
  <c r="F5" i="58481"/>
  <c r="G32" i="58499"/>
  <c r="F32" i="58499"/>
  <c r="K19" i="58498"/>
  <c r="F19" i="58498"/>
  <c r="J19" i="58498"/>
  <c r="C21" i="58498"/>
  <c r="AL269" i="58438"/>
  <c r="AL13" i="58438" s="1"/>
  <c r="P7" i="58471" s="1"/>
  <c r="AL37" i="58438"/>
  <c r="AM274" i="58438"/>
  <c r="AM279" i="58438"/>
  <c r="O439" i="58438"/>
  <c r="O440" i="58438" s="1"/>
  <c r="O444" i="58438" s="1"/>
  <c r="O431" i="58438"/>
  <c r="T432" i="58438" s="1"/>
  <c r="AG405" i="58438"/>
  <c r="AG439" i="58438" s="1"/>
  <c r="K438" i="58438"/>
  <c r="K357" i="58438"/>
  <c r="K456" i="58438" s="1"/>
  <c r="AV6" i="6"/>
  <c r="H5" i="58438"/>
  <c r="S41" i="58438"/>
  <c r="S363" i="58438"/>
  <c r="W363" i="58438" s="1"/>
  <c r="S45" i="58438"/>
  <c r="S44" i="58438"/>
  <c r="S365" i="58438"/>
  <c r="W365" i="58438" s="1"/>
  <c r="S43" i="58438"/>
  <c r="S404" i="58438"/>
  <c r="S364" i="58438"/>
  <c r="W364" i="58438" s="1"/>
  <c r="S403" i="58438"/>
  <c r="W320" i="58438"/>
  <c r="S405" i="58438"/>
  <c r="S42" i="58438"/>
  <c r="W324" i="58438"/>
  <c r="W318" i="58438"/>
  <c r="S398" i="58438"/>
  <c r="S356" i="58438"/>
  <c r="W322" i="58438"/>
  <c r="DP342" i="58479"/>
  <c r="AX6" i="6"/>
  <c r="R5" i="58438"/>
  <c r="Q483" i="6"/>
  <c r="V432" i="58438"/>
  <c r="S362" i="58438"/>
  <c r="AB247" i="58438"/>
  <c r="Q237" i="6"/>
  <c r="AE521" i="6"/>
  <c r="AE525" i="6" s="1"/>
  <c r="AZ525" i="6" s="1"/>
  <c r="AD160" i="6"/>
  <c r="AM523" i="6"/>
  <c r="AO523" i="6" s="1"/>
  <c r="BB523" i="6" s="1"/>
  <c r="AM478" i="6"/>
  <c r="AO469" i="6"/>
  <c r="FN374" i="58481"/>
  <c r="F8" i="58481"/>
  <c r="BA529" i="6"/>
  <c r="AJ168" i="6"/>
  <c r="BA168" i="6" s="1"/>
  <c r="HY625" i="58479"/>
  <c r="AB43" i="58438"/>
  <c r="AB41" i="58438"/>
  <c r="AB44" i="58438"/>
  <c r="AB45" i="58438"/>
  <c r="E439" i="58438"/>
  <c r="E416" i="58438"/>
  <c r="M70" i="6"/>
  <c r="D39" i="58498" s="1"/>
  <c r="D39" i="58499"/>
  <c r="HW625" i="58479"/>
  <c r="B57" i="58502"/>
  <c r="B60" i="58502"/>
  <c r="B67" i="58502" s="1"/>
  <c r="B59" i="58502"/>
  <c r="E59" i="58502" s="1"/>
  <c r="B58" i="58502"/>
  <c r="AE366" i="58438"/>
  <c r="J436" i="58438"/>
  <c r="J440" i="58438" s="1"/>
  <c r="J445" i="58438" s="1"/>
  <c r="J406" i="58438"/>
  <c r="J414" i="58438" s="1"/>
  <c r="H363" i="58438"/>
  <c r="H366" i="58438" s="1"/>
  <c r="AC436" i="58438"/>
  <c r="AC406" i="58438"/>
  <c r="FO374" i="58481"/>
  <c r="G50" i="58499"/>
  <c r="F50" i="58499"/>
  <c r="CQ255" i="58479"/>
  <c r="J19" i="58501"/>
  <c r="C21" i="58501"/>
  <c r="K19" i="58501"/>
  <c r="F19" i="58501"/>
  <c r="G19" i="58499"/>
  <c r="HZ625" i="58479"/>
  <c r="BP205" i="58502"/>
  <c r="BP225" i="58502"/>
  <c r="AM295" i="58438"/>
  <c r="AL285" i="58438"/>
  <c r="AL14" i="58438" s="1"/>
  <c r="P8" i="58471" s="1"/>
  <c r="AL38" i="58438"/>
  <c r="AM290" i="58438"/>
  <c r="L404" i="58438"/>
  <c r="L398" i="58438"/>
  <c r="L364" i="58438"/>
  <c r="L362" i="58438"/>
  <c r="L402" i="58438"/>
  <c r="L356" i="58438"/>
  <c r="L357" i="58438" s="1"/>
  <c r="L456" i="58438" s="1"/>
  <c r="L405" i="58438"/>
  <c r="L439" i="58438" s="1"/>
  <c r="L403" i="58438"/>
  <c r="L363" i="58438"/>
  <c r="L365" i="58438"/>
  <c r="B446" i="58438"/>
  <c r="BC115" i="6"/>
  <c r="B447" i="58438"/>
  <c r="Q382" i="58438"/>
  <c r="Q376" i="58438"/>
  <c r="AB373" i="58438"/>
  <c r="AD382" i="58438"/>
  <c r="H439" i="58438"/>
  <c r="Q381" i="58438"/>
  <c r="AH156" i="6"/>
  <c r="Z386" i="6"/>
  <c r="AY386" i="6" s="1"/>
  <c r="AD440" i="58438"/>
  <c r="AD446" i="58438" s="1"/>
  <c r="P413" i="58438"/>
  <c r="IP674" i="58479"/>
  <c r="AH772" i="58411"/>
  <c r="AH773" i="58411" s="1"/>
  <c r="AH774" i="58411" s="1"/>
  <c r="AH439" i="58438"/>
  <c r="AH702" i="58411"/>
  <c r="AH703" i="58411" s="1"/>
  <c r="AH21" i="58438"/>
  <c r="AH44" i="58438" s="1"/>
  <c r="AG631" i="58411"/>
  <c r="AG632" i="58411" s="1"/>
  <c r="AG20" i="58438"/>
  <c r="AG43" i="58438" s="1"/>
  <c r="AH424" i="58438"/>
  <c r="AH425" i="58438" s="1"/>
  <c r="AH402" i="58438"/>
  <c r="AH406" i="58438" s="1"/>
  <c r="AH416" i="58438" s="1"/>
  <c r="AG886" i="58411"/>
  <c r="AH391" i="58438"/>
  <c r="AH392" i="58438" s="1"/>
  <c r="AH362" i="58438"/>
  <c r="AI901" i="58411"/>
  <c r="AI902" i="58411" s="1"/>
  <c r="AI404" i="58411"/>
  <c r="AJ188" i="6"/>
  <c r="BA188" i="6" s="1"/>
  <c r="K367" i="58438"/>
  <c r="K461" i="58438" s="1"/>
  <c r="J447" i="58438"/>
  <c r="AB365" i="58438"/>
  <c r="AB439" i="58438" s="1"/>
  <c r="U332" i="6"/>
  <c r="AX332" i="6" s="1"/>
  <c r="IN676" i="58479"/>
  <c r="IN678" i="58479"/>
  <c r="IN679" i="58479" s="1"/>
  <c r="IP678" i="58479"/>
  <c r="IP676" i="58479"/>
  <c r="B444" i="58438"/>
  <c r="IE649" i="58479"/>
  <c r="IO676" i="58479"/>
  <c r="IH649" i="58479"/>
  <c r="IO678" i="58479"/>
  <c r="IL674" i="58479"/>
  <c r="IM674" i="58479"/>
  <c r="IM676" i="58479"/>
  <c r="IL676" i="58479"/>
  <c r="IL678" i="58479"/>
  <c r="IL679" i="58479" s="1"/>
  <c r="BA70" i="6"/>
  <c r="AK70" i="6"/>
  <c r="AL70" i="6" s="1"/>
  <c r="AM70" i="6" s="1"/>
  <c r="AN70" i="6" s="1"/>
  <c r="I14" i="58483" s="1"/>
  <c r="DN375" i="58502"/>
  <c r="DN376" i="58502"/>
  <c r="DN374" i="58502"/>
  <c r="DJ378" i="58502"/>
  <c r="AG89" i="58438"/>
  <c r="AK94" i="58438"/>
  <c r="AK89" i="58438" s="1"/>
  <c r="AF87" i="58438"/>
  <c r="AK92" i="58438" s="1"/>
  <c r="J10" i="58511"/>
  <c r="J9" i="58511" s="1"/>
  <c r="J5" i="58511"/>
  <c r="J8" i="58511"/>
  <c r="J7" i="58511" s="1"/>
  <c r="G36" i="58501"/>
  <c r="F36" i="58498"/>
  <c r="J36" i="58498"/>
  <c r="F36" i="58501"/>
  <c r="AO510" i="6"/>
  <c r="AN657" i="6"/>
  <c r="AM582" i="6"/>
  <c r="AM608" i="6" s="1"/>
  <c r="AM653" i="6"/>
  <c r="AL576" i="6"/>
  <c r="AI530" i="6"/>
  <c r="AI169" i="6" s="1"/>
  <c r="N60" i="58477"/>
  <c r="N57" i="58477" s="1"/>
  <c r="Q167" i="58480"/>
  <c r="G145" i="58480"/>
  <c r="II762" i="58502"/>
  <c r="IK762" i="58502" s="1"/>
  <c r="HR613" i="58479"/>
  <c r="FU403" i="58481"/>
  <c r="AX357" i="58493"/>
  <c r="AX375" i="58493"/>
  <c r="AX354" i="58493"/>
  <c r="O231" i="58511"/>
  <c r="B61" i="58477"/>
  <c r="DU276" i="58481"/>
  <c r="AC797" i="58411"/>
  <c r="AF202" i="6" s="1"/>
  <c r="AF205" i="6" s="1"/>
  <c r="AC96" i="58438"/>
  <c r="AC886" i="58411"/>
  <c r="AD392" i="58438"/>
  <c r="AE857" i="58411"/>
  <c r="AC112" i="58438"/>
  <c r="AC438" i="58438"/>
  <c r="AC392" i="58438"/>
  <c r="AD41" i="58438"/>
  <c r="AD23" i="58438"/>
  <c r="AD26" i="58438"/>
  <c r="AC366" i="58438"/>
  <c r="AC382" i="58438" s="1"/>
  <c r="AC437" i="58438"/>
  <c r="I186" i="58512"/>
  <c r="I190" i="58512"/>
  <c r="M176" i="58512"/>
  <c r="L72" i="58512"/>
  <c r="L181" i="58512"/>
  <c r="J57" i="58512"/>
  <c r="J35" i="58512"/>
  <c r="K31" i="58512"/>
  <c r="I92" i="58511"/>
  <c r="I90" i="58511" s="1"/>
  <c r="I86" i="58511"/>
  <c r="I85" i="58511"/>
  <c r="M33" i="58511"/>
  <c r="M69" i="58511" s="1"/>
  <c r="M106" i="58511"/>
  <c r="M133" i="58511"/>
  <c r="I51" i="58511"/>
  <c r="M187" i="58511"/>
  <c r="D72" i="58511"/>
  <c r="H65" i="58511"/>
  <c r="M163" i="58511"/>
  <c r="G86" i="58511"/>
  <c r="H129" i="58511"/>
  <c r="H149" i="58511" s="1"/>
  <c r="H45" i="58511"/>
  <c r="H48" i="58511"/>
  <c r="H51" i="58511" s="1"/>
  <c r="D180" i="58511"/>
  <c r="H177" i="58511"/>
  <c r="H180" i="58511" s="1"/>
  <c r="F413" i="58438"/>
  <c r="AC398" i="58438"/>
  <c r="AC356" i="58438"/>
  <c r="AH303" i="58438"/>
  <c r="Z438" i="58438"/>
  <c r="AB404" i="58438"/>
  <c r="Q413" i="58438"/>
  <c r="T366" i="58438"/>
  <c r="Z402" i="58438"/>
  <c r="Z362" i="58438"/>
  <c r="Z370" i="58438"/>
  <c r="Z374" i="58438" s="1"/>
  <c r="AH87" i="58438"/>
  <c r="AH82" i="58438" s="1"/>
  <c r="AL88" i="58438"/>
  <c r="F376" i="58438"/>
  <c r="F384" i="58438"/>
  <c r="F381" i="58438"/>
  <c r="F382" i="58438"/>
  <c r="V436" i="58438"/>
  <c r="V406" i="58438"/>
  <c r="F416" i="58438"/>
  <c r="Z439" i="58438"/>
  <c r="P384" i="58438"/>
  <c r="P367" i="58438"/>
  <c r="P461" i="58438" s="1"/>
  <c r="P376" i="58438"/>
  <c r="P381" i="58438"/>
  <c r="P382" i="58438"/>
  <c r="AE431" i="58438"/>
  <c r="AE432" i="58438" s="1"/>
  <c r="AE399" i="58438"/>
  <c r="AE466" i="58438" s="1"/>
  <c r="AL89" i="58438"/>
  <c r="AM94" i="58438" s="1"/>
  <c r="AM89" i="58438" s="1"/>
  <c r="P409" i="58438"/>
  <c r="P417" i="58438"/>
  <c r="P407" i="58438"/>
  <c r="P471" i="58438" s="1"/>
  <c r="P414" i="58438"/>
  <c r="P415" i="58438"/>
  <c r="X370" i="58438"/>
  <c r="X402" i="58438"/>
  <c r="X362" i="58438"/>
  <c r="AB316" i="58438"/>
  <c r="AL320" i="58438"/>
  <c r="AM320" i="58438" s="1"/>
  <c r="AU320" i="58438"/>
  <c r="AE376" i="58438"/>
  <c r="AU318" i="58438"/>
  <c r="AL318" i="58438"/>
  <c r="AM318" i="58438" s="1"/>
  <c r="AA35" i="58438"/>
  <c r="AA42" i="58438" s="1"/>
  <c r="O417" i="58438"/>
  <c r="O407" i="58438"/>
  <c r="O471" i="58438" s="1"/>
  <c r="O409" i="58438"/>
  <c r="O414" i="58438"/>
  <c r="O416" i="58438"/>
  <c r="O415" i="58438"/>
  <c r="U51" i="58438"/>
  <c r="U52" i="58438"/>
  <c r="U49" i="58438"/>
  <c r="U53" i="58438"/>
  <c r="F440" i="58438"/>
  <c r="F444" i="58438" s="1"/>
  <c r="Y402" i="58438"/>
  <c r="Y370" i="58438"/>
  <c r="Y374" i="58438" s="1"/>
  <c r="Y362" i="58438"/>
  <c r="U436" i="58438"/>
  <c r="U406" i="58438"/>
  <c r="U413" i="58438" s="1"/>
  <c r="O384" i="58438"/>
  <c r="O376" i="58438"/>
  <c r="O367" i="58438"/>
  <c r="O461" i="58438" s="1"/>
  <c r="O382" i="58438"/>
  <c r="O383" i="58438"/>
  <c r="O381" i="58438"/>
  <c r="F383" i="58438"/>
  <c r="Z49" i="58438"/>
  <c r="Z53" i="58438"/>
  <c r="Z51" i="58438"/>
  <c r="Z52" i="58438"/>
  <c r="W362" i="58438"/>
  <c r="AG364" i="58438"/>
  <c r="AF437" i="58438"/>
  <c r="AG403" i="58438"/>
  <c r="Y431" i="58438"/>
  <c r="Y432" i="58438" s="1"/>
  <c r="Y399" i="58438"/>
  <c r="Y466" i="58438" s="1"/>
  <c r="Y439" i="58438"/>
  <c r="AK87" i="58438"/>
  <c r="X357" i="58438"/>
  <c r="X456" i="58438" s="1"/>
  <c r="AB356" i="58438"/>
  <c r="AB364" i="58438"/>
  <c r="Q417" i="58438"/>
  <c r="Q409" i="58438"/>
  <c r="Q414" i="58438"/>
  <c r="T436" i="58438"/>
  <c r="T406" i="58438"/>
  <c r="T413" i="58438" s="1"/>
  <c r="AB363" i="58438"/>
  <c r="AA402" i="58438"/>
  <c r="AA370" i="58438"/>
  <c r="AA374" i="58438" s="1"/>
  <c r="AA362" i="58438"/>
  <c r="O380" i="58438"/>
  <c r="Z50" i="58438"/>
  <c r="S436" i="58438"/>
  <c r="S406" i="58438"/>
  <c r="W402" i="58438"/>
  <c r="AF438" i="58438"/>
  <c r="AG404" i="58438"/>
  <c r="O432" i="58438"/>
  <c r="AA431" i="58438"/>
  <c r="AA432" i="58438" s="1"/>
  <c r="AA399" i="58438"/>
  <c r="AA466" i="58438" s="1"/>
  <c r="J444" i="58438"/>
  <c r="AG363" i="58438"/>
  <c r="V46" i="58438"/>
  <c r="V50" i="58438" s="1"/>
  <c r="AD398" i="58438"/>
  <c r="AD356" i="58438"/>
  <c r="AI303" i="58438"/>
  <c r="P383" i="58438"/>
  <c r="F417" i="58438"/>
  <c r="F409" i="58438"/>
  <c r="F415" i="58438"/>
  <c r="F414" i="58438"/>
  <c r="X431" i="58438"/>
  <c r="X399" i="58438"/>
  <c r="X466" i="58438" s="1"/>
  <c r="AB398" i="58438"/>
  <c r="Q440" i="58438"/>
  <c r="Q444" i="58438" s="1"/>
  <c r="U366" i="58438"/>
  <c r="U380" i="58438" s="1"/>
  <c r="Y437" i="58438"/>
  <c r="V366" i="58438"/>
  <c r="V380" i="58438" s="1"/>
  <c r="Q416" i="58438"/>
  <c r="AF398" i="58438"/>
  <c r="AK303" i="58438"/>
  <c r="AB35" i="58438"/>
  <c r="AB42" i="58438" s="1"/>
  <c r="AB237" i="58438"/>
  <c r="AB11" i="58438" s="1"/>
  <c r="N5" i="58471" s="1"/>
  <c r="AE409" i="58438"/>
  <c r="AG386" i="6"/>
  <c r="AG385" i="6"/>
  <c r="AD879" i="58411"/>
  <c r="AD455" i="58438" s="1"/>
  <c r="AD880" i="58411"/>
  <c r="AE880" i="58411"/>
  <c r="AI344" i="58411"/>
  <c r="AJ328" i="58411"/>
  <c r="BA187" i="6"/>
  <c r="AJ189" i="6"/>
  <c r="BA189" i="6" s="1"/>
  <c r="AK93" i="58411"/>
  <c r="AL80" i="58411"/>
  <c r="Q929" i="58411"/>
  <c r="Q794" i="58411"/>
  <c r="M916" i="58411"/>
  <c r="M918" i="58411"/>
  <c r="M920" i="58411"/>
  <c r="N917" i="58411"/>
  <c r="AM531" i="58411"/>
  <c r="AL547" i="58411"/>
  <c r="AI338" i="58411"/>
  <c r="AM266" i="58411"/>
  <c r="AK49" i="58411"/>
  <c r="AL14" i="58411"/>
  <c r="AI738" i="58411"/>
  <c r="AI390" i="58438" s="1"/>
  <c r="AI365" i="58438" s="1"/>
  <c r="AJ725" i="58411"/>
  <c r="AH847" i="58411"/>
  <c r="AH846" i="58411"/>
  <c r="AF786" i="58411"/>
  <c r="AG431" i="58411"/>
  <c r="AF479" i="58411"/>
  <c r="AI189" i="58411"/>
  <c r="AH205" i="58411"/>
  <c r="AH406" i="58411"/>
  <c r="AI754" i="58411"/>
  <c r="AI423" i="58438" s="1"/>
  <c r="AI405" i="58438" s="1"/>
  <c r="AI757" i="58411"/>
  <c r="AJ741" i="58411"/>
  <c r="AK530" i="58411"/>
  <c r="AJ546" i="58411"/>
  <c r="AK185" i="58411"/>
  <c r="W215" i="58411"/>
  <c r="W216" i="58411" s="1"/>
  <c r="AB215" i="58411"/>
  <c r="AB216" i="58411" s="1"/>
  <c r="AI822" i="58411"/>
  <c r="AJ459" i="58411"/>
  <c r="AX310" i="6"/>
  <c r="Z313" i="6"/>
  <c r="AY313" i="6" s="1"/>
  <c r="U311" i="6"/>
  <c r="U313" i="6"/>
  <c r="AX313" i="6" s="1"/>
  <c r="AY331" i="6"/>
  <c r="AA332" i="6"/>
  <c r="AB333" i="6" s="1"/>
  <c r="AB334" i="6" s="1"/>
  <c r="Z334" i="6"/>
  <c r="AY334" i="6" s="1"/>
  <c r="Z336" i="6"/>
  <c r="AY336" i="6" s="1"/>
  <c r="Z335" i="6"/>
  <c r="AY335" i="6" s="1"/>
  <c r="AI828" i="58411"/>
  <c r="AJ465" i="58411"/>
  <c r="AB894" i="58411"/>
  <c r="AB889" i="58411"/>
  <c r="AB887" i="58411"/>
  <c r="AK623" i="58411"/>
  <c r="AL607" i="58411"/>
  <c r="AG195" i="58411"/>
  <c r="AF412" i="58411"/>
  <c r="AE402" i="58411"/>
  <c r="AE415" i="58411" s="1"/>
  <c r="AE59" i="58411"/>
  <c r="AF43" i="58411"/>
  <c r="AE54" i="58411"/>
  <c r="AL675" i="58411"/>
  <c r="AK691" i="58411"/>
  <c r="AJ604" i="58411"/>
  <c r="AI620" i="58411"/>
  <c r="AD916" i="58411"/>
  <c r="AF802" i="58411"/>
  <c r="AF814" i="58411" s="1"/>
  <c r="AG443" i="58411"/>
  <c r="AF475" i="58411"/>
  <c r="AF454" i="58411"/>
  <c r="AF356" i="58438" s="1"/>
  <c r="AF357" i="58438" s="1"/>
  <c r="AF456" i="58438" s="1"/>
  <c r="AH624" i="58411"/>
  <c r="AI608" i="58411"/>
  <c r="AK333" i="58411"/>
  <c r="AA189" i="6"/>
  <c r="AB188" i="6"/>
  <c r="AA188" i="6"/>
  <c r="AA205" i="6"/>
  <c r="AB189" i="6"/>
  <c r="AX384" i="6"/>
  <c r="U386" i="6"/>
  <c r="AX386" i="6" s="1"/>
  <c r="V385" i="6"/>
  <c r="Z385" i="6" s="1"/>
  <c r="AY385" i="6" s="1"/>
  <c r="AM47" i="58411"/>
  <c r="S575" i="58411"/>
  <c r="S623" i="58411" s="1"/>
  <c r="R623" i="58411"/>
  <c r="AL118" i="58411"/>
  <c r="AK134" i="58411"/>
  <c r="AE930" i="58411"/>
  <c r="O945" i="58411"/>
  <c r="O938" i="58411"/>
  <c r="O936" i="58411"/>
  <c r="AJ366" i="58411"/>
  <c r="AK11" i="58411"/>
  <c r="AF335" i="6"/>
  <c r="AF336" i="6"/>
  <c r="AK33" i="58411"/>
  <c r="AK389" i="58411"/>
  <c r="AL32" i="58411"/>
  <c r="AI621" i="58411"/>
  <c r="AJ605" i="58411"/>
  <c r="AK45" i="58411"/>
  <c r="R887" i="58411"/>
  <c r="R889" i="58411"/>
  <c r="R894" i="58411"/>
  <c r="AI692" i="58411"/>
  <c r="AJ676" i="58411"/>
  <c r="AI617" i="58411"/>
  <c r="AJ601" i="58411"/>
  <c r="Q630" i="58411"/>
  <c r="AJ596" i="58411"/>
  <c r="AJ388" i="58438" s="1"/>
  <c r="AJ363" i="58438" s="1"/>
  <c r="AK583" i="58411"/>
  <c r="AK615" i="58411" s="1"/>
  <c r="S481" i="58411"/>
  <c r="O937" i="58411"/>
  <c r="AI342" i="58411"/>
  <c r="AJ326" i="58411"/>
  <c r="AI375" i="58411"/>
  <c r="AJ20" i="58411"/>
  <c r="AI808" i="58411"/>
  <c r="AJ449" i="58411"/>
  <c r="AL540" i="58411"/>
  <c r="AK556" i="58411"/>
  <c r="AI128" i="58411"/>
  <c r="AJ112" i="58411"/>
  <c r="AI525" i="58411"/>
  <c r="AJ512" i="58411"/>
  <c r="AI544" i="58411"/>
  <c r="V922" i="58411"/>
  <c r="V921" i="58411"/>
  <c r="AK263" i="58411"/>
  <c r="AZ310" i="6"/>
  <c r="AE313" i="6"/>
  <c r="AZ313" i="6" s="1"/>
  <c r="AE311" i="6"/>
  <c r="AG881" i="58411"/>
  <c r="P859" i="58411"/>
  <c r="P858" i="58411"/>
  <c r="U858" i="58411"/>
  <c r="S851" i="58411"/>
  <c r="S787" i="58411"/>
  <c r="S480" i="58411"/>
  <c r="S488" i="58411" s="1"/>
  <c r="S438" i="58411"/>
  <c r="AW310" i="6"/>
  <c r="P311" i="6"/>
  <c r="P313" i="6"/>
  <c r="AW313" i="6" s="1"/>
  <c r="AK509" i="58411"/>
  <c r="AL496" i="58411"/>
  <c r="AM258" i="58411"/>
  <c r="AL679" i="58411"/>
  <c r="AK695" i="58411"/>
  <c r="AJ618" i="58411"/>
  <c r="AK602" i="58411"/>
  <c r="AK200" i="58411"/>
  <c r="AL184" i="58411"/>
  <c r="AI829" i="58411"/>
  <c r="AJ466" i="58411"/>
  <c r="AJ17" i="58411"/>
  <c r="AI372" i="58411"/>
  <c r="AK385" i="58411"/>
  <c r="AL28" i="58411"/>
  <c r="AL528" i="58411"/>
  <c r="AJ16" i="58411"/>
  <c r="AI64" i="58411"/>
  <c r="AI367" i="58411"/>
  <c r="AJ12" i="58411"/>
  <c r="AI60" i="58411"/>
  <c r="R916" i="58411"/>
  <c r="AF313" i="6"/>
  <c r="AF311" i="6"/>
  <c r="AF314" i="6" s="1"/>
  <c r="AC894" i="58411"/>
  <c r="AC895" i="58411" s="1"/>
  <c r="AC887" i="58411"/>
  <c r="AC888" i="58411"/>
  <c r="AL671" i="58411"/>
  <c r="AK687" i="58411"/>
  <c r="AJ310" i="6"/>
  <c r="AJ388" i="6"/>
  <c r="AL532" i="58411"/>
  <c r="AK548" i="58411"/>
  <c r="AJ467" i="58411"/>
  <c r="AI483" i="58411"/>
  <c r="AI276" i="58411"/>
  <c r="AJ260" i="58411"/>
  <c r="S499" i="58411"/>
  <c r="R783" i="58411"/>
  <c r="R509" i="58411"/>
  <c r="R547" i="58411"/>
  <c r="R559" i="58411" s="1"/>
  <c r="AL599" i="58411"/>
  <c r="AK325" i="58411"/>
  <c r="AJ341" i="58411"/>
  <c r="AK673" i="58411"/>
  <c r="AJ689" i="58411"/>
  <c r="AI845" i="58411"/>
  <c r="AI780" i="58411"/>
  <c r="AJ425" i="58411"/>
  <c r="AI872" i="58411"/>
  <c r="AI873" i="58411" s="1"/>
  <c r="AI803" i="58411"/>
  <c r="AJ444" i="58411"/>
  <c r="AJ343" i="58411"/>
  <c r="AK327" i="58411"/>
  <c r="AK186" i="58411"/>
  <c r="AJ202" i="58411"/>
  <c r="AI405" i="58411"/>
  <c r="AI62" i="58411"/>
  <c r="AJ46" i="58411"/>
  <c r="AJ600" i="58411"/>
  <c r="AI616" i="58411"/>
  <c r="AE334" i="6"/>
  <c r="AZ334" i="6" s="1"/>
  <c r="AE332" i="6"/>
  <c r="AZ332" i="6" s="1"/>
  <c r="AE336" i="6"/>
  <c r="AZ336" i="6" s="1"/>
  <c r="AE335" i="6"/>
  <c r="AZ335" i="6" s="1"/>
  <c r="AF332" i="6"/>
  <c r="AF333" i="6" s="1"/>
  <c r="AF334" i="6" s="1"/>
  <c r="AZ331" i="6"/>
  <c r="AM535" i="58411"/>
  <c r="AL551" i="58411"/>
  <c r="AE176" i="58411"/>
  <c r="AE320" i="58411"/>
  <c r="AE319" i="58411"/>
  <c r="AE179" i="58411"/>
  <c r="AE177" i="58411"/>
  <c r="AE321" i="58411"/>
  <c r="AE178" i="58411"/>
  <c r="AE317" i="58411"/>
  <c r="AE247" i="58411"/>
  <c r="AE250" i="58411"/>
  <c r="AE106" i="58411"/>
  <c r="AE107" i="58411"/>
  <c r="AE248" i="58411"/>
  <c r="AE318" i="58411"/>
  <c r="AE249" i="58411"/>
  <c r="AE315" i="58411"/>
  <c r="AE105" i="58411"/>
  <c r="AE246" i="58411"/>
  <c r="AE97" i="58411"/>
  <c r="AK335" i="58411"/>
  <c r="AL113" i="58411"/>
  <c r="AI348" i="58411"/>
  <c r="AJ332" i="58411"/>
  <c r="AI407" i="58411"/>
  <c r="AI387" i="58411"/>
  <c r="AJ30" i="58411"/>
  <c r="M936" i="58411"/>
  <c r="M937" i="58411"/>
  <c r="M938" i="58411"/>
  <c r="AK464" i="58411"/>
  <c r="AF789" i="58411"/>
  <c r="AG434" i="58411"/>
  <c r="AF482" i="58411"/>
  <c r="Z391" i="6"/>
  <c r="AY391" i="6" s="1"/>
  <c r="Z392" i="6"/>
  <c r="AY392" i="6" s="1"/>
  <c r="V389" i="6"/>
  <c r="AX388" i="6"/>
  <c r="U393" i="6"/>
  <c r="AX393" i="6" s="1"/>
  <c r="U391" i="6"/>
  <c r="AX391" i="6" s="1"/>
  <c r="U392" i="6"/>
  <c r="AX392" i="6" s="1"/>
  <c r="AF792" i="58411"/>
  <c r="AG437" i="58411"/>
  <c r="AF485" i="58411"/>
  <c r="AG192" i="58411"/>
  <c r="AF196" i="58411"/>
  <c r="AF409" i="58411"/>
  <c r="AK337" i="58411"/>
  <c r="AI769" i="58411"/>
  <c r="AJ753" i="58411"/>
  <c r="AH626" i="58411"/>
  <c r="AI610" i="58411"/>
  <c r="AH831" i="58411"/>
  <c r="AG309" i="6"/>
  <c r="AG312" i="6" s="1"/>
  <c r="AG331" i="6"/>
  <c r="AG332" i="6" s="1"/>
  <c r="AD858" i="58411"/>
  <c r="AD859" i="58411"/>
  <c r="AI688" i="58411"/>
  <c r="AJ672" i="58411"/>
  <c r="AI683" i="58411"/>
  <c r="AI422" i="58438" s="1"/>
  <c r="AI404" i="58438" s="1"/>
  <c r="AI438" i="58438" s="1"/>
  <c r="AE35" i="58411"/>
  <c r="AE34" i="58411"/>
  <c r="AE36" i="58411"/>
  <c r="AE488" i="58411"/>
  <c r="AE489" i="58411" s="1"/>
  <c r="AE490" i="58411" s="1"/>
  <c r="X418" i="58411"/>
  <c r="X419" i="58411" s="1"/>
  <c r="AC418" i="58411"/>
  <c r="AC419" i="58411" s="1"/>
  <c r="AL44" i="58411"/>
  <c r="AJ709" i="58411"/>
  <c r="AI722" i="58411"/>
  <c r="AI860" i="58411" s="1"/>
  <c r="AI811" i="58411"/>
  <c r="AJ452" i="58411"/>
  <c r="AI892" i="58411"/>
  <c r="AL421" i="6"/>
  <c r="AA940" i="58411"/>
  <c r="AB918" i="58411"/>
  <c r="AB916" i="58411"/>
  <c r="AB920" i="58411"/>
  <c r="AE859" i="58411"/>
  <c r="AE858" i="58411"/>
  <c r="AE863" i="58411"/>
  <c r="AE887" i="58411" s="1"/>
  <c r="AI805" i="58411"/>
  <c r="AJ446" i="58411"/>
  <c r="AK257" i="58411"/>
  <c r="AJ273" i="58411"/>
  <c r="AJ370" i="58411"/>
  <c r="AK15" i="58411"/>
  <c r="W894" i="58411"/>
  <c r="W889" i="58411"/>
  <c r="W887" i="58411"/>
  <c r="X888" i="58411"/>
  <c r="AJ469" i="58411"/>
  <c r="O864" i="58411"/>
  <c r="O865" i="58411"/>
  <c r="T864" i="58411"/>
  <c r="AD928" i="58411"/>
  <c r="AD794" i="58411"/>
  <c r="Q931" i="58411"/>
  <c r="AE794" i="58411"/>
  <c r="AI801" i="58411"/>
  <c r="AJ442" i="58411"/>
  <c r="AK151" i="58411"/>
  <c r="AJ164" i="58411"/>
  <c r="AL638" i="58411"/>
  <c r="AK651" i="58411"/>
  <c r="AG310" i="6"/>
  <c r="AG388" i="6"/>
  <c r="AK261" i="58411"/>
  <c r="AI376" i="58411"/>
  <c r="AJ21" i="58411"/>
  <c r="AG384" i="58411"/>
  <c r="AH27" i="58411"/>
  <c r="AJ763" i="58411"/>
  <c r="AK747" i="58411"/>
  <c r="AH882" i="58411"/>
  <c r="AJ484" i="58411"/>
  <c r="AK468" i="58411"/>
  <c r="W938" i="58411"/>
  <c r="W936" i="58411"/>
  <c r="W940" i="58411" s="1"/>
  <c r="W937" i="58411"/>
  <c r="AI696" i="58411"/>
  <c r="AJ680" i="58411"/>
  <c r="AE393" i="6"/>
  <c r="AZ393" i="6" s="1"/>
  <c r="AE391" i="6"/>
  <c r="AZ391" i="6" s="1"/>
  <c r="AZ388" i="6"/>
  <c r="AF389" i="6"/>
  <c r="AE389" i="6"/>
  <c r="AZ389" i="6" s="1"/>
  <c r="AE392" i="6"/>
  <c r="AZ392" i="6" s="1"/>
  <c r="AW388" i="6"/>
  <c r="Q389" i="6"/>
  <c r="P393" i="6"/>
  <c r="AW393" i="6" s="1"/>
  <c r="P391" i="6"/>
  <c r="AW391" i="6" s="1"/>
  <c r="AL567" i="58411"/>
  <c r="AK580" i="58411"/>
  <c r="X865" i="58411"/>
  <c r="AK204" i="58411"/>
  <c r="AL188" i="58411"/>
  <c r="AK265" i="58411"/>
  <c r="AI549" i="58411"/>
  <c r="AJ533" i="58411"/>
  <c r="AJ806" i="58411"/>
  <c r="AK447" i="58411"/>
  <c r="AM539" i="58411"/>
  <c r="AL555" i="58411"/>
  <c r="AK37" i="58411"/>
  <c r="R920" i="58411"/>
  <c r="AG389" i="6"/>
  <c r="AF393" i="6"/>
  <c r="AF392" i="6"/>
  <c r="AI313" i="6"/>
  <c r="AI553" i="58411"/>
  <c r="AJ537" i="58411"/>
  <c r="AK538" i="58411"/>
  <c r="AJ554" i="58411"/>
  <c r="AJ306" i="58411"/>
  <c r="AK293" i="58411"/>
  <c r="AG194" i="58411"/>
  <c r="AI401" i="58411"/>
  <c r="AI58" i="58411"/>
  <c r="AJ42" i="58411"/>
  <c r="S576" i="58411"/>
  <c r="R624" i="58411"/>
  <c r="R789" i="58411"/>
  <c r="Q560" i="58411"/>
  <c r="Q561" i="58411" s="1"/>
  <c r="V560" i="58411"/>
  <c r="V561" i="58411" s="1"/>
  <c r="H938" i="58411"/>
  <c r="H936" i="58411"/>
  <c r="H937" i="58411"/>
  <c r="AL117" i="58411"/>
  <c r="AK133" i="58411"/>
  <c r="AE933" i="58411"/>
  <c r="AE938" i="58411" s="1"/>
  <c r="AJ336" i="58411"/>
  <c r="AI765" i="58411"/>
  <c r="AJ749" i="58411"/>
  <c r="AL654" i="58411"/>
  <c r="AK667" i="58411"/>
  <c r="AK389" i="58438" s="1"/>
  <c r="AK364" i="58438" s="1"/>
  <c r="AZ309" i="6"/>
  <c r="AE312" i="6"/>
  <c r="AZ312" i="6" s="1"/>
  <c r="AI207" i="58411"/>
  <c r="AJ191" i="58411"/>
  <c r="AI267" i="58411"/>
  <c r="M935" i="58411"/>
  <c r="M940" i="58411" s="1"/>
  <c r="AI272" i="58411"/>
  <c r="AJ256" i="58411"/>
  <c r="AI761" i="58411"/>
  <c r="AJ745" i="58411"/>
  <c r="AY187" i="6"/>
  <c r="Z189" i="6"/>
  <c r="AY189" i="6" s="1"/>
  <c r="AE189" i="6"/>
  <c r="AZ189" i="6" s="1"/>
  <c r="AW384" i="6"/>
  <c r="P386" i="6"/>
  <c r="AW386" i="6" s="1"/>
  <c r="T333" i="6"/>
  <c r="T334" i="6" s="1"/>
  <c r="H918" i="58411"/>
  <c r="H920" i="58411"/>
  <c r="H916" i="58411"/>
  <c r="I917" i="58411"/>
  <c r="AH625" i="58411"/>
  <c r="AI609" i="58411"/>
  <c r="K334" i="6"/>
  <c r="AV334" i="6" s="1"/>
  <c r="P334" i="6"/>
  <c r="AW334" i="6" s="1"/>
  <c r="K336" i="6"/>
  <c r="AV336" i="6" s="1"/>
  <c r="P335" i="6"/>
  <c r="AW335" i="6" s="1"/>
  <c r="K335" i="6"/>
  <c r="AV335" i="6" s="1"/>
  <c r="AV331" i="6"/>
  <c r="L332" i="6"/>
  <c r="AJ334" i="58411"/>
  <c r="AH169" i="58411"/>
  <c r="AG201" i="58411"/>
  <c r="AK119" i="58411"/>
  <c r="AJ135" i="58411"/>
  <c r="K311" i="6"/>
  <c r="AV310" i="6"/>
  <c r="K313" i="6"/>
  <c r="AV313" i="6" s="1"/>
  <c r="AH862" i="58411"/>
  <c r="AH861" i="58411"/>
  <c r="AG889" i="58411"/>
  <c r="AG894" i="58411"/>
  <c r="AH911" i="58411"/>
  <c r="AI824" i="58411"/>
  <c r="AJ461" i="58411"/>
  <c r="AI131" i="58411"/>
  <c r="AJ115" i="58411"/>
  <c r="AI403" i="58411"/>
  <c r="AG193" i="58411"/>
  <c r="AG410" i="58411" s="1"/>
  <c r="AE917" i="58411"/>
  <c r="AK677" i="58411"/>
  <c r="AJ693" i="58411"/>
  <c r="AI825" i="58411"/>
  <c r="AJ462" i="58411"/>
  <c r="AH870" i="58411"/>
  <c r="AH878" i="58411"/>
  <c r="AH879" i="58411" s="1"/>
  <c r="AH455" i="58438" s="1"/>
  <c r="AF785" i="58411"/>
  <c r="AG430" i="58411"/>
  <c r="AF848" i="58411"/>
  <c r="AF478" i="58411"/>
  <c r="AJ13" i="58411"/>
  <c r="AJ61" i="58411" s="1"/>
  <c r="AM51" i="58411"/>
  <c r="AJ386" i="58411"/>
  <c r="AK29" i="58411"/>
  <c r="AH122" i="58411"/>
  <c r="AG125" i="58411"/>
  <c r="AK762" i="58411"/>
  <c r="AL746" i="58411"/>
  <c r="AI227" i="58411"/>
  <c r="AH369" i="58411"/>
  <c r="AH275" i="58411"/>
  <c r="AC935" i="58411"/>
  <c r="AC933" i="58411"/>
  <c r="AC936" i="58411" s="1"/>
  <c r="AI760" i="58411"/>
  <c r="AJ744" i="58411"/>
  <c r="AJ823" i="58411" s="1"/>
  <c r="AI821" i="58411"/>
  <c r="AJ458" i="58411"/>
  <c r="AI474" i="58411"/>
  <c r="AF784" i="58411"/>
  <c r="AG429" i="58411"/>
  <c r="AF477" i="58411"/>
  <c r="AJ782" i="58411"/>
  <c r="AK427" i="58411"/>
  <c r="AI203" i="58411"/>
  <c r="AJ187" i="58411"/>
  <c r="AI22" i="58411"/>
  <c r="AJ9" i="58411"/>
  <c r="AJ57" i="58411" s="1"/>
  <c r="AI364" i="58411"/>
  <c r="AJ50" i="58411"/>
  <c r="P797" i="58411"/>
  <c r="S202" i="6" s="1"/>
  <c r="S203" i="6" s="1"/>
  <c r="S237" i="6" s="1"/>
  <c r="X238" i="6" s="1"/>
  <c r="P837" i="58411"/>
  <c r="AF851" i="58411"/>
  <c r="AF787" i="58411"/>
  <c r="AG432" i="58411"/>
  <c r="AF480" i="58411"/>
  <c r="S888" i="58411"/>
  <c r="AG915" i="58411"/>
  <c r="AG912" i="58411"/>
  <c r="AG470" i="58438" s="1"/>
  <c r="AG914" i="58411"/>
  <c r="AI484" i="58411"/>
  <c r="H864" i="58411"/>
  <c r="I865" i="58411"/>
  <c r="AI346" i="58411"/>
  <c r="AJ330" i="58411"/>
  <c r="AK238" i="58411"/>
  <c r="AJ270" i="58411"/>
  <c r="M838" i="58411"/>
  <c r="M839" i="58411" s="1"/>
  <c r="W920" i="58411"/>
  <c r="W916" i="58411"/>
  <c r="W918" i="58411"/>
  <c r="X917" i="58411"/>
  <c r="AK681" i="58411"/>
  <c r="AJ697" i="58411"/>
  <c r="AK619" i="58411"/>
  <c r="AL603" i="58411"/>
  <c r="R851" i="58411"/>
  <c r="R787" i="58411"/>
  <c r="R480" i="58411"/>
  <c r="R438" i="58411"/>
  <c r="AJ476" i="58411"/>
  <c r="AK460" i="58411"/>
  <c r="AJ810" i="58411"/>
  <c r="AK451" i="58411"/>
  <c r="AI783" i="58411"/>
  <c r="AJ428" i="58411"/>
  <c r="R203" i="6"/>
  <c r="R205" i="6"/>
  <c r="R204" i="6"/>
  <c r="AL309" i="58411"/>
  <c r="AG910" i="58411"/>
  <c r="AG908" i="58411"/>
  <c r="AG465" i="58438" s="1"/>
  <c r="AK259" i="58411"/>
  <c r="AJ264" i="58411"/>
  <c r="AJ267" i="58411" s="1"/>
  <c r="AH829" i="58411"/>
  <c r="W779" i="58411"/>
  <c r="AL96" i="58411"/>
  <c r="AK329" i="58411"/>
  <c r="AJ345" i="58411"/>
  <c r="AK53" i="58411"/>
  <c r="AJ69" i="58411"/>
  <c r="AC840" i="58411"/>
  <c r="AI389" i="6"/>
  <c r="AI392" i="6"/>
  <c r="P631" i="58411"/>
  <c r="P632" i="58411" s="1"/>
  <c r="U631" i="58411"/>
  <c r="U632" i="58411" s="1"/>
  <c r="AF788" i="58411"/>
  <c r="AF931" i="58411" s="1"/>
  <c r="AG433" i="58411"/>
  <c r="AF481" i="58411"/>
  <c r="AI229" i="58411"/>
  <c r="AI371" i="58411" s="1"/>
  <c r="AH277" i="58411"/>
  <c r="Q861" i="58411"/>
  <c r="Q862" i="58411"/>
  <c r="V861" i="58411"/>
  <c r="H935" i="58411"/>
  <c r="AK365" i="58411"/>
  <c r="AL10" i="58411"/>
  <c r="AM674" i="58411"/>
  <c r="AL690" i="58411"/>
  <c r="S621" i="58411"/>
  <c r="S786" i="58411"/>
  <c r="AH928" i="58411"/>
  <c r="AI781" i="58411"/>
  <c r="AJ426" i="58411"/>
  <c r="AJ26" i="58411"/>
  <c r="AJ622" i="58411"/>
  <c r="AK606" i="58411"/>
  <c r="AM254" i="58411"/>
  <c r="AK255" i="58411"/>
  <c r="AJ271" i="58411"/>
  <c r="AM262" i="58411"/>
  <c r="AL48" i="58411"/>
  <c r="AI199" i="58411"/>
  <c r="AJ183" i="58411"/>
  <c r="AJ400" i="58411" s="1"/>
  <c r="G922" i="58411"/>
  <c r="AI826" i="58411"/>
  <c r="AJ463" i="58411"/>
  <c r="AY309" i="6"/>
  <c r="Z311" i="6"/>
  <c r="Z312" i="6"/>
  <c r="AY312" i="6" s="1"/>
  <c r="AI898" i="58411"/>
  <c r="AI820" i="58411"/>
  <c r="AI473" i="58411"/>
  <c r="AJ457" i="58411"/>
  <c r="AI470" i="58411"/>
  <c r="AH907" i="58411"/>
  <c r="AH899" i="58411"/>
  <c r="AI875" i="58411"/>
  <c r="AI876" i="58411" s="1"/>
  <c r="AI807" i="58411"/>
  <c r="AJ448" i="58411"/>
  <c r="AV309" i="6"/>
  <c r="K312" i="6"/>
  <c r="AV312" i="6" s="1"/>
  <c r="P312" i="6"/>
  <c r="AW312" i="6" s="1"/>
  <c r="AL121" i="58411"/>
  <c r="P865" i="58411"/>
  <c r="P864" i="58411"/>
  <c r="AH627" i="58411"/>
  <c r="AI611" i="58411"/>
  <c r="AI832" i="58411" s="1"/>
  <c r="AD908" i="58411"/>
  <c r="AE909" i="58411"/>
  <c r="AE817" i="58411"/>
  <c r="AE837" i="58411"/>
  <c r="AE838" i="58411" s="1"/>
  <c r="AE839" i="58411" s="1"/>
  <c r="AD863" i="58411"/>
  <c r="P392" i="6"/>
  <c r="AW392" i="6" s="1"/>
  <c r="L389" i="6"/>
  <c r="K392" i="6"/>
  <c r="AV392" i="6" s="1"/>
  <c r="AV388" i="6"/>
  <c r="K393" i="6"/>
  <c r="AV393" i="6" s="1"/>
  <c r="K391" i="6"/>
  <c r="AV391" i="6" s="1"/>
  <c r="AI226" i="58411"/>
  <c r="AH274" i="58411"/>
  <c r="AH235" i="58411"/>
  <c r="AK331" i="58411"/>
  <c r="AK373" i="58411"/>
  <c r="AL18" i="58411"/>
  <c r="AK41" i="58411"/>
  <c r="AI764" i="58411"/>
  <c r="AJ748" i="58411"/>
  <c r="AI545" i="58411"/>
  <c r="AJ529" i="58411"/>
  <c r="AI541" i="58411"/>
  <c r="AI420" i="58438" s="1"/>
  <c r="AM678" i="58411"/>
  <c r="AL694" i="58411"/>
  <c r="AI809" i="58411"/>
  <c r="AJ450" i="58411"/>
  <c r="AJ31" i="58411"/>
  <c r="AI63" i="58411"/>
  <c r="AJ891" i="58411"/>
  <c r="AJ836" i="58411"/>
  <c r="AK816" i="58411"/>
  <c r="AJ759" i="58411"/>
  <c r="AK743" i="58411"/>
  <c r="AE921" i="58411"/>
  <c r="AI869" i="58411"/>
  <c r="AI800" i="58411"/>
  <c r="AJ441" i="58411"/>
  <c r="AD886" i="58411"/>
  <c r="AD920" i="58411" s="1"/>
  <c r="O935" i="58411"/>
  <c r="O940" i="58411" s="1"/>
  <c r="AH368" i="58411"/>
  <c r="AH379" i="58411" s="1"/>
  <c r="AK187" i="6" s="1"/>
  <c r="K921" i="58411"/>
  <c r="AI132" i="58411"/>
  <c r="AJ116" i="58411"/>
  <c r="AK167" i="58411"/>
  <c r="AK758" i="58411"/>
  <c r="AL742" i="58411"/>
  <c r="AH832" i="58411"/>
  <c r="AF920" i="58411"/>
  <c r="AF917" i="58411"/>
  <c r="AF916" i="58411"/>
  <c r="S792" i="58411"/>
  <c r="S627" i="58411"/>
  <c r="S922" i="58411"/>
  <c r="S921" i="58411"/>
  <c r="W417" i="58411"/>
  <c r="S572" i="58411"/>
  <c r="R620" i="58411"/>
  <c r="R630" i="58411" s="1"/>
  <c r="R580" i="58411"/>
  <c r="R785" i="58411"/>
  <c r="R930" i="58411" s="1"/>
  <c r="R788" i="58411"/>
  <c r="R931" i="58411" s="1"/>
  <c r="R481" i="58411"/>
  <c r="AG329" i="6"/>
  <c r="AG328" i="6"/>
  <c r="P936" i="58411"/>
  <c r="P933" i="58411"/>
  <c r="P937" i="58411" s="1"/>
  <c r="AF894" i="58411"/>
  <c r="AF888" i="58411"/>
  <c r="AL52" i="58411"/>
  <c r="AJ374" i="58411"/>
  <c r="AK19" i="58411"/>
  <c r="AH559" i="58411"/>
  <c r="AI804" i="58411"/>
  <c r="AJ445" i="58411"/>
  <c r="AK534" i="58411"/>
  <c r="AJ550" i="58411"/>
  <c r="AI140" i="58411"/>
  <c r="AJ124" i="58411"/>
  <c r="AK190" i="58411"/>
  <c r="AJ206" i="58411"/>
  <c r="AM682" i="58411"/>
  <c r="AL698" i="58411"/>
  <c r="Z922" i="58411"/>
  <c r="Z921" i="58411"/>
  <c r="Q488" i="58411"/>
  <c r="Q853" i="58411"/>
  <c r="V852" i="58411"/>
  <c r="Q852" i="58411"/>
  <c r="Q857" i="58411"/>
  <c r="AI476" i="58411"/>
  <c r="AI136" i="58411"/>
  <c r="AJ120" i="58411"/>
  <c r="AJ408" i="58411" s="1"/>
  <c r="AK222" i="58411"/>
  <c r="AH123" i="58411"/>
  <c r="AG411" i="58411"/>
  <c r="AI812" i="58411"/>
  <c r="AJ453" i="58411"/>
  <c r="T922" i="58411"/>
  <c r="AJ382" i="58411"/>
  <c r="AK25" i="58411"/>
  <c r="AM670" i="58411"/>
  <c r="AL686" i="58411"/>
  <c r="AL536" i="58411"/>
  <c r="AK552" i="58411"/>
  <c r="AB938" i="58411"/>
  <c r="AB936" i="58411"/>
  <c r="AB940" i="58411" s="1"/>
  <c r="AB937" i="58411"/>
  <c r="AA203" i="6"/>
  <c r="AE204" i="6"/>
  <c r="AZ204" i="6" s="1"/>
  <c r="AA204" i="6"/>
  <c r="AY202" i="6"/>
  <c r="Z205" i="6"/>
  <c r="AY205" i="6" s="1"/>
  <c r="AK766" i="58411"/>
  <c r="AL750" i="58411"/>
  <c r="AI69" i="58411"/>
  <c r="R918" i="58411"/>
  <c r="AC864" i="58411"/>
  <c r="AC865" i="58411"/>
  <c r="AC866" i="58411"/>
  <c r="AC904" i="58411"/>
  <c r="AH905" i="58411" s="1"/>
  <c r="X240" i="6"/>
  <c r="E291" i="6"/>
  <c r="E15" i="6" s="1"/>
  <c r="AT15" i="6" s="1"/>
  <c r="AT281" i="6"/>
  <c r="E136" i="6"/>
  <c r="L281" i="6"/>
  <c r="L286" i="6"/>
  <c r="AY443" i="6"/>
  <c r="Z444" i="6"/>
  <c r="AY444" i="6" s="1"/>
  <c r="AQ471" i="6"/>
  <c r="BD471" i="6" s="1"/>
  <c r="BC471" i="6"/>
  <c r="AE476" i="6"/>
  <c r="AZ468" i="6"/>
  <c r="U470" i="6"/>
  <c r="AX470" i="6" s="1"/>
  <c r="AA651" i="6"/>
  <c r="AB627" i="6"/>
  <c r="AA605" i="6"/>
  <c r="AB666" i="6"/>
  <c r="AB690" i="6" s="1"/>
  <c r="AA666" i="6"/>
  <c r="K482" i="6"/>
  <c r="AV482" i="6" s="1"/>
  <c r="K483" i="6"/>
  <c r="AV483" i="6" s="1"/>
  <c r="AV36" i="6"/>
  <c r="Q481" i="6"/>
  <c r="Q453" i="6"/>
  <c r="V25" i="6"/>
  <c r="Q47" i="6"/>
  <c r="Q56" i="6" s="1"/>
  <c r="Q25" i="6"/>
  <c r="AB240" i="6"/>
  <c r="AC240" i="6"/>
  <c r="AC238" i="6"/>
  <c r="Q286" i="6"/>
  <c r="Q281" i="6"/>
  <c r="T525" i="6"/>
  <c r="T468" i="6"/>
  <c r="T485" i="6"/>
  <c r="AX498" i="6"/>
  <c r="U155" i="6"/>
  <c r="AX155" i="6" s="1"/>
  <c r="AG610" i="6"/>
  <c r="AG606" i="6"/>
  <c r="AP609" i="6"/>
  <c r="BB609" i="6"/>
  <c r="AI689" i="6"/>
  <c r="AI690" i="6" s="1"/>
  <c r="AJ690" i="6" s="1"/>
  <c r="BA690" i="6" s="1"/>
  <c r="S610" i="6"/>
  <c r="S606" i="6"/>
  <c r="AY39" i="6"/>
  <c r="Z43" i="6"/>
  <c r="U263" i="6"/>
  <c r="P281" i="6"/>
  <c r="AW279" i="6"/>
  <c r="P286" i="6"/>
  <c r="AW286" i="6" s="1"/>
  <c r="V286" i="6"/>
  <c r="V281" i="6"/>
  <c r="IF604" i="58481" s="1"/>
  <c r="AP431" i="6"/>
  <c r="BC429" i="6"/>
  <c r="G391" i="6"/>
  <c r="K390" i="6"/>
  <c r="AV390" i="6" s="1"/>
  <c r="AM558" i="6"/>
  <c r="AM505" i="6" s="1"/>
  <c r="R606" i="6"/>
  <c r="R610" i="6"/>
  <c r="AW63" i="6"/>
  <c r="P65" i="6"/>
  <c r="AW65" i="6" s="1"/>
  <c r="R99" i="6"/>
  <c r="R98" i="6"/>
  <c r="R100" i="6" s="1"/>
  <c r="R60" i="6"/>
  <c r="AB291" i="6"/>
  <c r="AB15" i="6" s="1"/>
  <c r="AB136" i="6"/>
  <c r="AA286" i="6"/>
  <c r="AA281" i="6"/>
  <c r="P263" i="6"/>
  <c r="K286" i="6"/>
  <c r="AV286" i="6" s="1"/>
  <c r="K281" i="6"/>
  <c r="IL695" i="58479" s="1"/>
  <c r="AV279" i="6"/>
  <c r="AY498" i="6"/>
  <c r="Z155" i="6"/>
  <c r="AY155" i="6" s="1"/>
  <c r="AL556" i="6"/>
  <c r="AK519" i="6"/>
  <c r="AD525" i="6"/>
  <c r="AD166" i="6"/>
  <c r="AL649" i="6"/>
  <c r="AL688" i="6" s="1"/>
  <c r="Z666" i="6"/>
  <c r="V690" i="6"/>
  <c r="Z690" i="6" s="1"/>
  <c r="AY690" i="6" s="1"/>
  <c r="AU70" i="6"/>
  <c r="E70" i="6"/>
  <c r="AT70" i="6" s="1"/>
  <c r="AZ63" i="6"/>
  <c r="AE65" i="6"/>
  <c r="AZ65" i="6" s="1"/>
  <c r="AO492" i="6"/>
  <c r="BB492" i="6" s="1"/>
  <c r="AV20" i="6"/>
  <c r="AS101" i="58481" s="1"/>
  <c r="AS124" i="58481" s="1"/>
  <c r="K24" i="6"/>
  <c r="EU324" i="58481" s="1"/>
  <c r="U516" i="6"/>
  <c r="AE714" i="6"/>
  <c r="AZ714" i="6" s="1"/>
  <c r="T98" i="6"/>
  <c r="T100" i="6" s="1"/>
  <c r="T99" i="6"/>
  <c r="T60" i="6"/>
  <c r="F56" i="6"/>
  <c r="AU47" i="6"/>
  <c r="P610" i="6"/>
  <c r="F23" i="58482" s="1"/>
  <c r="P606" i="6"/>
  <c r="AW606" i="6" s="1"/>
  <c r="AW607" i="6"/>
  <c r="P714" i="6"/>
  <c r="AC98" i="6"/>
  <c r="AC100" i="6" s="1"/>
  <c r="AC99" i="6"/>
  <c r="AC60" i="6"/>
  <c r="X98" i="6"/>
  <c r="X100" i="6" s="1"/>
  <c r="X99" i="6"/>
  <c r="X60" i="6"/>
  <c r="AB98" i="6"/>
  <c r="AB100" i="6" s="1"/>
  <c r="AB99" i="6"/>
  <c r="AB60" i="6"/>
  <c r="N238" i="6"/>
  <c r="AK615" i="6"/>
  <c r="AL552" i="6"/>
  <c r="AL508" i="6" s="1"/>
  <c r="AN557" i="6"/>
  <c r="AO557" i="6" s="1"/>
  <c r="P539" i="6"/>
  <c r="AW539" i="6" s="1"/>
  <c r="AW528" i="6"/>
  <c r="P167" i="6"/>
  <c r="AW167" i="6" s="1"/>
  <c r="X610" i="6"/>
  <c r="X606" i="6"/>
  <c r="AM81" i="6"/>
  <c r="AN80" i="6"/>
  <c r="AO80" i="6" s="1"/>
  <c r="K19" i="58482" s="1"/>
  <c r="M481" i="6"/>
  <c r="M453" i="6"/>
  <c r="R25" i="6"/>
  <c r="M47" i="6"/>
  <c r="M56" i="6" s="1"/>
  <c r="M25" i="6"/>
  <c r="Q154" i="6"/>
  <c r="T154" i="6"/>
  <c r="S154" i="6"/>
  <c r="Z154" i="6"/>
  <c r="R154" i="6"/>
  <c r="AX154" i="6"/>
  <c r="BC594" i="6"/>
  <c r="AQ594" i="6"/>
  <c r="BD594" i="6" s="1"/>
  <c r="AG287" i="6"/>
  <c r="AG136" i="6"/>
  <c r="AG142" i="6" s="1"/>
  <c r="AE260" i="6"/>
  <c r="AZ260" i="6" s="1"/>
  <c r="AZ259" i="6"/>
  <c r="Z260" i="6"/>
  <c r="AY260" i="6" s="1"/>
  <c r="AY259" i="6"/>
  <c r="BD426" i="6"/>
  <c r="AQ32" i="6"/>
  <c r="BD32" i="6" s="1"/>
  <c r="BB470" i="6"/>
  <c r="AP470" i="6"/>
  <c r="AQ565" i="6"/>
  <c r="BD565" i="6" s="1"/>
  <c r="BC565" i="6"/>
  <c r="AK568" i="6"/>
  <c r="AL568" i="6" s="1"/>
  <c r="AM568" i="6" s="1"/>
  <c r="AN568" i="6" s="1"/>
  <c r="AO568" i="6" s="1"/>
  <c r="BA568" i="6"/>
  <c r="T610" i="6"/>
  <c r="T606" i="6"/>
  <c r="AJ689" i="6"/>
  <c r="BA689" i="6" s="1"/>
  <c r="BC654" i="6"/>
  <c r="AQ654" i="6"/>
  <c r="BD654" i="6" s="1"/>
  <c r="AX666" i="6"/>
  <c r="F147" i="6"/>
  <c r="AU147" i="6" s="1"/>
  <c r="AU43" i="6"/>
  <c r="L481" i="6"/>
  <c r="L453" i="6"/>
  <c r="L47" i="6"/>
  <c r="L56" i="6" s="1"/>
  <c r="L25" i="6"/>
  <c r="U24" i="6"/>
  <c r="EU326" i="58481" s="1"/>
  <c r="AX20" i="6"/>
  <c r="AU101" i="58481" s="1"/>
  <c r="L240" i="6"/>
  <c r="L238" i="6"/>
  <c r="P237" i="6"/>
  <c r="IE654" i="58479" s="1"/>
  <c r="IE655" i="58479" s="1"/>
  <c r="AP377" i="6"/>
  <c r="AQ371" i="6" s="1"/>
  <c r="AO372" i="6"/>
  <c r="BB372" i="6" s="1"/>
  <c r="BB371" i="6"/>
  <c r="AO276" i="6"/>
  <c r="AO283" i="6" s="1"/>
  <c r="AN12" i="6"/>
  <c r="K476" i="6"/>
  <c r="K472" i="6"/>
  <c r="AV468" i="6"/>
  <c r="K477" i="6"/>
  <c r="AM554" i="6"/>
  <c r="AM503" i="6" s="1"/>
  <c r="BC577" i="6"/>
  <c r="AQ577" i="6"/>
  <c r="BD577" i="6" s="1"/>
  <c r="AP58" i="6"/>
  <c r="BB58" i="6"/>
  <c r="N99" i="6"/>
  <c r="N60" i="6"/>
  <c r="AA481" i="6"/>
  <c r="AA453" i="6"/>
  <c r="AA47" i="6"/>
  <c r="AA56" i="6" s="1"/>
  <c r="AA25" i="6"/>
  <c r="AF476" i="6"/>
  <c r="AF24" i="6"/>
  <c r="U260" i="6"/>
  <c r="AX260" i="6" s="1"/>
  <c r="AX259" i="6"/>
  <c r="Q334" i="6"/>
  <c r="K333" i="6"/>
  <c r="AV333" i="6" s="1"/>
  <c r="AX698" i="6"/>
  <c r="U700" i="6"/>
  <c r="AX700" i="6" s="1"/>
  <c r="Y477" i="6"/>
  <c r="Y476" i="6"/>
  <c r="Y472" i="6"/>
  <c r="Y159" i="6" s="1"/>
  <c r="Y465" i="6"/>
  <c r="AD477" i="6"/>
  <c r="T160" i="6"/>
  <c r="U521" i="6"/>
  <c r="N610" i="6"/>
  <c r="N616" i="6" s="1"/>
  <c r="N606" i="6"/>
  <c r="O610" i="6"/>
  <c r="O616" i="6" s="1"/>
  <c r="O606" i="6"/>
  <c r="AL646" i="6"/>
  <c r="AL685" i="6" s="1"/>
  <c r="K260" i="6"/>
  <c r="AV260" i="6" s="1"/>
  <c r="AV259" i="6"/>
  <c r="AJ530" i="6"/>
  <c r="BA530" i="6" s="1"/>
  <c r="AH169" i="6"/>
  <c r="AD242" i="6"/>
  <c r="AE482" i="6"/>
  <c r="AZ482" i="6" s="1"/>
  <c r="AE483" i="6"/>
  <c r="AZ483" i="6" s="1"/>
  <c r="AZ36" i="6"/>
  <c r="O99" i="6"/>
  <c r="O100" i="6"/>
  <c r="O60" i="6"/>
  <c r="S98" i="6"/>
  <c r="S100" i="6" s="1"/>
  <c r="S99" i="6"/>
  <c r="S60" i="6"/>
  <c r="AE43" i="6"/>
  <c r="Z65" i="6"/>
  <c r="AY65" i="6" s="1"/>
  <c r="N242" i="6"/>
  <c r="N241" i="6"/>
  <c r="AP497" i="6"/>
  <c r="AQ116" i="6"/>
  <c r="BC116" i="6"/>
  <c r="Y286" i="6"/>
  <c r="Y281" i="6"/>
  <c r="II604" i="58481" s="1"/>
  <c r="AF281" i="6"/>
  <c r="AF286" i="6"/>
  <c r="AU333" i="6"/>
  <c r="F334" i="6"/>
  <c r="AU334" i="6" s="1"/>
  <c r="BB431" i="6"/>
  <c r="AO137" i="6"/>
  <c r="AP510" i="6"/>
  <c r="BB510" i="6"/>
  <c r="AY518" i="6"/>
  <c r="Z166" i="6"/>
  <c r="AY166" i="6" s="1"/>
  <c r="BB564" i="6"/>
  <c r="AP564" i="6"/>
  <c r="BB584" i="6"/>
  <c r="AP584" i="6"/>
  <c r="Q610" i="6"/>
  <c r="Q606" i="6"/>
  <c r="Y610" i="6"/>
  <c r="Y606" i="6"/>
  <c r="I481" i="6"/>
  <c r="I453" i="6"/>
  <c r="N25" i="6"/>
  <c r="I47" i="6"/>
  <c r="I56" i="6" s="1"/>
  <c r="AG267" i="6"/>
  <c r="AG266" i="6"/>
  <c r="AG135" i="6"/>
  <c r="AG141" i="6" s="1"/>
  <c r="N287" i="6"/>
  <c r="N291" i="6"/>
  <c r="N15" i="6" s="1"/>
  <c r="N136" i="6"/>
  <c r="N142" i="6" s="1"/>
  <c r="AD286" i="6"/>
  <c r="AD281" i="6"/>
  <c r="W286" i="6"/>
  <c r="W281" i="6"/>
  <c r="IG604" i="58481" s="1"/>
  <c r="S286" i="6"/>
  <c r="S281" i="6"/>
  <c r="AW468" i="6"/>
  <c r="P476" i="6"/>
  <c r="P472" i="6"/>
  <c r="P477" i="6"/>
  <c r="S476" i="6"/>
  <c r="S472" i="6"/>
  <c r="S159" i="6" s="1"/>
  <c r="S477" i="6"/>
  <c r="S465" i="6"/>
  <c r="X477" i="6"/>
  <c r="X699" i="6"/>
  <c r="X700" i="6" s="1"/>
  <c r="X561" i="6"/>
  <c r="X472" i="6"/>
  <c r="X159" i="6" s="1"/>
  <c r="Z470" i="6"/>
  <c r="AY470" i="6" s="1"/>
  <c r="AM578" i="6"/>
  <c r="AL507" i="6"/>
  <c r="S478" i="6"/>
  <c r="U469" i="6"/>
  <c r="AX469" i="6" s="1"/>
  <c r="X478" i="6"/>
  <c r="P691" i="6"/>
  <c r="AW666" i="6"/>
  <c r="AL648" i="6"/>
  <c r="AL647" i="6"/>
  <c r="AL686" i="6" s="1"/>
  <c r="Q690" i="6"/>
  <c r="U690" i="6" s="1"/>
  <c r="AX690" i="6" s="1"/>
  <c r="AO153" i="6"/>
  <c r="BB153" i="6" s="1"/>
  <c r="BB45" i="6"/>
  <c r="AP45" i="6"/>
  <c r="AC291" i="6"/>
  <c r="AC15" i="6" s="1"/>
  <c r="AC287" i="6"/>
  <c r="AC136" i="6"/>
  <c r="O286" i="6"/>
  <c r="O281" i="6"/>
  <c r="AH267" i="6"/>
  <c r="AH266" i="6"/>
  <c r="AH135" i="6"/>
  <c r="AH141" i="6" s="1"/>
  <c r="AE263" i="6"/>
  <c r="Z438" i="6"/>
  <c r="AY438" i="6" s="1"/>
  <c r="AY437" i="6"/>
  <c r="AV698" i="6"/>
  <c r="K700" i="6"/>
  <c r="AV700" i="6" s="1"/>
  <c r="K474" i="6"/>
  <c r="AV474" i="6" s="1"/>
  <c r="AX520" i="6"/>
  <c r="U165" i="6"/>
  <c r="AX165" i="6" s="1"/>
  <c r="Z698" i="6"/>
  <c r="AY563" i="6"/>
  <c r="AK704" i="6"/>
  <c r="AL590" i="6"/>
  <c r="AL645" i="6"/>
  <c r="AL684" i="6" s="1"/>
  <c r="AD99" i="6"/>
  <c r="AD98" i="6"/>
  <c r="AD100" i="6" s="1"/>
  <c r="AD60" i="6"/>
  <c r="J99" i="6"/>
  <c r="J60" i="6"/>
  <c r="E147" i="6"/>
  <c r="AT147" i="6" s="1"/>
  <c r="AT43" i="6"/>
  <c r="W481" i="6"/>
  <c r="W453" i="6"/>
  <c r="W47" i="6"/>
  <c r="W56" i="6" s="1"/>
  <c r="W25" i="6"/>
  <c r="P24" i="6"/>
  <c r="EU325" i="58481" s="1"/>
  <c r="AW20" i="6"/>
  <c r="AT101" i="58481" s="1"/>
  <c r="AT124" i="58481" s="1"/>
  <c r="Q240" i="6"/>
  <c r="Q238" i="6"/>
  <c r="X291" i="6"/>
  <c r="X15" i="6" s="1"/>
  <c r="X287" i="6"/>
  <c r="X136" i="6"/>
  <c r="T281" i="6"/>
  <c r="T286" i="6"/>
  <c r="AF266" i="6"/>
  <c r="AF267" i="6"/>
  <c r="AF135" i="6"/>
  <c r="AF141" i="6" s="1"/>
  <c r="R474" i="6"/>
  <c r="R475" i="6"/>
  <c r="BB168" i="6"/>
  <c r="Y539" i="6"/>
  <c r="AK685" i="6"/>
  <c r="AO109" i="6"/>
  <c r="BB109" i="6" s="1"/>
  <c r="AW39" i="6"/>
  <c r="P43" i="6"/>
  <c r="E453" i="6"/>
  <c r="AT453" i="6" s="1"/>
  <c r="AT24" i="6"/>
  <c r="E47" i="6"/>
  <c r="U523" i="6"/>
  <c r="AX523" i="6" s="1"/>
  <c r="G242" i="6"/>
  <c r="AY279" i="6"/>
  <c r="Z281" i="6"/>
  <c r="AL91" i="6"/>
  <c r="AM91" i="6" s="1"/>
  <c r="AN91" i="6" s="1"/>
  <c r="U483" i="6"/>
  <c r="AX483" i="6" s="1"/>
  <c r="U482" i="6"/>
  <c r="AX482" i="6" s="1"/>
  <c r="AX36" i="6"/>
  <c r="Z481" i="6"/>
  <c r="AY481" i="6" s="1"/>
  <c r="AY24" i="6"/>
  <c r="Z47" i="6"/>
  <c r="Z25" i="6"/>
  <c r="AY25" i="6" s="1"/>
  <c r="O242" i="6"/>
  <c r="Y240" i="6"/>
  <c r="AY332" i="6"/>
  <c r="R286" i="6"/>
  <c r="R281" i="6"/>
  <c r="AU390" i="6"/>
  <c r="F391" i="6"/>
  <c r="AU391" i="6" s="1"/>
  <c r="AE443" i="6"/>
  <c r="AF443" i="6"/>
  <c r="AX518" i="6"/>
  <c r="U166" i="6"/>
  <c r="AX166" i="6" s="1"/>
  <c r="Y160" i="6"/>
  <c r="Z521" i="6"/>
  <c r="AE698" i="6"/>
  <c r="AZ563" i="6"/>
  <c r="AF699" i="6"/>
  <c r="AF700" i="6" s="1"/>
  <c r="AF561" i="6"/>
  <c r="AG562" i="6"/>
  <c r="AH562" i="6" s="1"/>
  <c r="AH561" i="6" s="1"/>
  <c r="K606" i="6"/>
  <c r="AV606" i="6" s="1"/>
  <c r="K610" i="6"/>
  <c r="E23" i="58482" s="1"/>
  <c r="AV607" i="6"/>
  <c r="Z655" i="6"/>
  <c r="AY655" i="6" s="1"/>
  <c r="AY651" i="6"/>
  <c r="Z607" i="6"/>
  <c r="AV39" i="6"/>
  <c r="K43" i="6"/>
  <c r="AG481" i="6"/>
  <c r="AG453" i="6"/>
  <c r="AG47" i="6"/>
  <c r="AG56" i="6" s="1"/>
  <c r="AG25" i="6"/>
  <c r="AO41" i="6"/>
  <c r="BB41" i="6" s="1"/>
  <c r="BB18" i="6"/>
  <c r="BC248" i="6"/>
  <c r="AQ248" i="6"/>
  <c r="BD248" i="6" s="1"/>
  <c r="M291" i="6"/>
  <c r="M15" i="6" s="1"/>
  <c r="M287" i="6"/>
  <c r="M136" i="6"/>
  <c r="M142" i="6" s="1"/>
  <c r="F286" i="6"/>
  <c r="AU286" i="6" s="1"/>
  <c r="AU279" i="6"/>
  <c r="F281" i="6"/>
  <c r="IK695" i="58479" s="1"/>
  <c r="IK696" i="58479" s="1"/>
  <c r="AH698" i="6"/>
  <c r="AW520" i="6"/>
  <c r="P165" i="6"/>
  <c r="AW165" i="6" s="1"/>
  <c r="T478" i="6"/>
  <c r="Y478" i="6"/>
  <c r="BA650" i="6"/>
  <c r="AK650" i="6"/>
  <c r="AK689" i="6" s="1"/>
  <c r="AK686" i="6"/>
  <c r="M240" i="6"/>
  <c r="M238" i="6"/>
  <c r="U284" i="6"/>
  <c r="AX277" i="6"/>
  <c r="U279" i="6"/>
  <c r="BD423" i="6"/>
  <c r="AQ429" i="6"/>
  <c r="AQ18" i="6"/>
  <c r="AE437" i="6"/>
  <c r="AF437" i="6"/>
  <c r="AL503" i="6"/>
  <c r="AP587" i="6"/>
  <c r="BB587" i="6"/>
  <c r="AI651" i="6"/>
  <c r="AJ634" i="6"/>
  <c r="AI605" i="6"/>
  <c r="AK684" i="6"/>
  <c r="AK83" i="6"/>
  <c r="BA83" i="6"/>
  <c r="V99" i="6"/>
  <c r="V98" i="6"/>
  <c r="V60" i="6"/>
  <c r="AX39" i="6"/>
  <c r="U43" i="6"/>
  <c r="DJ243" i="58481" s="1"/>
  <c r="G481" i="6"/>
  <c r="G453" i="6"/>
  <c r="G47" i="6"/>
  <c r="G56" i="6" s="1"/>
  <c r="AW259" i="6"/>
  <c r="P260" i="6"/>
  <c r="AW260" i="6" s="1"/>
  <c r="AB286" i="6"/>
  <c r="AH287" i="6"/>
  <c r="AH136" i="6"/>
  <c r="AH142" i="6" s="1"/>
  <c r="AE284" i="6"/>
  <c r="AE279" i="6"/>
  <c r="IP692" i="58479" s="1"/>
  <c r="AZ277" i="6"/>
  <c r="U438" i="6"/>
  <c r="AX438" i="6" s="1"/>
  <c r="AX437" i="6"/>
  <c r="AP569" i="6"/>
  <c r="BB569" i="6"/>
  <c r="Y525" i="6"/>
  <c r="AZ518" i="6"/>
  <c r="AE166" i="6"/>
  <c r="AZ166" i="6" s="1"/>
  <c r="AW698" i="6"/>
  <c r="P700" i="6"/>
  <c r="AW700" i="6" s="1"/>
  <c r="O698" i="6"/>
  <c r="O700" i="6" s="1"/>
  <c r="Z539" i="6"/>
  <c r="AY539" i="6" s="1"/>
  <c r="AY528" i="6"/>
  <c r="Z167" i="6"/>
  <c r="AY167" i="6" s="1"/>
  <c r="U655" i="6"/>
  <c r="AX655" i="6" s="1"/>
  <c r="AX651" i="6"/>
  <c r="U607" i="6"/>
  <c r="W606" i="6"/>
  <c r="W610" i="6"/>
  <c r="W91" i="6"/>
  <c r="X91" i="6" s="1"/>
  <c r="Y91" i="6" s="1"/>
  <c r="AO65" i="6"/>
  <c r="BB65" i="6" s="1"/>
  <c r="BB63" i="6"/>
  <c r="P483" i="6"/>
  <c r="AW483" i="6" s="1"/>
  <c r="P482" i="6"/>
  <c r="AW482" i="6" s="1"/>
  <c r="AW36" i="6"/>
  <c r="V481" i="6"/>
  <c r="AZ20" i="6"/>
  <c r="AE24" i="6"/>
  <c r="U91" i="6"/>
  <c r="U714" i="6"/>
  <c r="AX714" i="6" s="1"/>
  <c r="Y98" i="6"/>
  <c r="Y100" i="6" s="1"/>
  <c r="Y99" i="6"/>
  <c r="Y60" i="6"/>
  <c r="F25" i="6"/>
  <c r="AU25" i="6" s="1"/>
  <c r="AH481" i="6"/>
  <c r="AH453" i="6"/>
  <c r="AH47" i="6"/>
  <c r="AH56" i="6" s="1"/>
  <c r="AH25" i="6"/>
  <c r="U522" i="6"/>
  <c r="AX522" i="6" s="1"/>
  <c r="AB25" i="6"/>
  <c r="H99" i="6"/>
  <c r="H60" i="6"/>
  <c r="Z482" i="6"/>
  <c r="AY482" i="6" s="1"/>
  <c r="Z483" i="6"/>
  <c r="AY483" i="6" s="1"/>
  <c r="AY36" i="6"/>
  <c r="Z91" i="6" l="1"/>
  <c r="AA91" i="6" s="1"/>
  <c r="AA333" i="6"/>
  <c r="AA334" i="6" s="1"/>
  <c r="AF204" i="6"/>
  <c r="M363" i="58438"/>
  <c r="L438" i="58438"/>
  <c r="AM567" i="6"/>
  <c r="AN567" i="6" s="1"/>
  <c r="AO567" i="6" s="1"/>
  <c r="BB567" i="6" s="1"/>
  <c r="J383" i="58438"/>
  <c r="J376" i="58438"/>
  <c r="O377" i="58438" s="1"/>
  <c r="J384" i="58438"/>
  <c r="J380" i="58438"/>
  <c r="J459" i="58438" s="1"/>
  <c r="J58" i="58438" s="1"/>
  <c r="J382" i="58438"/>
  <c r="T51" i="58438"/>
  <c r="T52" i="58438"/>
  <c r="T50" i="58438"/>
  <c r="T53" i="58438"/>
  <c r="Y52" i="58438"/>
  <c r="Y50" i="58438"/>
  <c r="Y49" i="58438"/>
  <c r="Y54" i="58438" s="1"/>
  <c r="Y53" i="58438"/>
  <c r="T49" i="58438"/>
  <c r="N438" i="58438"/>
  <c r="S366" i="58438"/>
  <c r="S380" i="58438" s="1"/>
  <c r="AM36" i="58438"/>
  <c r="AN263" i="58438"/>
  <c r="Q357" i="58438"/>
  <c r="Q456" i="58438" s="1"/>
  <c r="G440" i="58438"/>
  <c r="AI478" i="6"/>
  <c r="AD472" i="6"/>
  <c r="AD159" i="6" s="1"/>
  <c r="AD478" i="6"/>
  <c r="AE469" i="6"/>
  <c r="AD380" i="58438"/>
  <c r="AD384" i="58438"/>
  <c r="AD381" i="58438"/>
  <c r="AD383" i="58438"/>
  <c r="AD459" i="58438" s="1"/>
  <c r="AD58" i="58438" s="1"/>
  <c r="J448" i="58438"/>
  <c r="K432" i="58438"/>
  <c r="X53" i="58438"/>
  <c r="X52" i="58438"/>
  <c r="X49" i="58438"/>
  <c r="X50" i="58438"/>
  <c r="Q51" i="58438"/>
  <c r="Q53" i="58438"/>
  <c r="Q50" i="58438"/>
  <c r="X51" i="58438"/>
  <c r="Q49" i="58438"/>
  <c r="Q54" i="58438" s="1"/>
  <c r="H381" i="58438"/>
  <c r="H384" i="58438"/>
  <c r="H382" i="58438"/>
  <c r="H383" i="58438"/>
  <c r="H380" i="58438"/>
  <c r="H376" i="58438"/>
  <c r="W35" i="58438"/>
  <c r="W42" i="58438" s="1"/>
  <c r="AT111" i="58481"/>
  <c r="AT115" i="58481" s="1"/>
  <c r="AT106" i="58481"/>
  <c r="AS111" i="58481"/>
  <c r="AS115" i="58481" s="1"/>
  <c r="AS106" i="58481"/>
  <c r="AN504" i="6"/>
  <c r="AO504" i="6" s="1"/>
  <c r="BB504" i="6" s="1"/>
  <c r="L431" i="58438"/>
  <c r="L432" i="58438" s="1"/>
  <c r="L399" i="58438"/>
  <c r="L466" i="58438" s="1"/>
  <c r="J21" i="58501"/>
  <c r="K21" i="58501"/>
  <c r="C23" i="58501"/>
  <c r="F21" i="58501"/>
  <c r="R41" i="58438"/>
  <c r="R45" i="58438"/>
  <c r="R43" i="58438"/>
  <c r="R44" i="58438"/>
  <c r="W356" i="58438"/>
  <c r="S357" i="58438"/>
  <c r="S456" i="58438" s="1"/>
  <c r="K21" i="58498"/>
  <c r="C23" i="58498"/>
  <c r="F21" i="58498"/>
  <c r="J21" i="58498"/>
  <c r="E380" i="58438"/>
  <c r="E383" i="58438"/>
  <c r="J367" i="58438"/>
  <c r="J461" i="58438" s="1"/>
  <c r="E376" i="58438"/>
  <c r="J377" i="58438" s="1"/>
  <c r="E384" i="58438"/>
  <c r="E381" i="58438"/>
  <c r="Q432" i="58438"/>
  <c r="W247" i="58438"/>
  <c r="W237" i="58438" s="1"/>
  <c r="W11" i="58438" s="1"/>
  <c r="C436" i="58438"/>
  <c r="G416" i="58438"/>
  <c r="G414" i="58438"/>
  <c r="G415" i="58438"/>
  <c r="G417" i="58438"/>
  <c r="G409" i="58438"/>
  <c r="G413" i="58438"/>
  <c r="J54" i="58501"/>
  <c r="F54" i="58501"/>
  <c r="K54" i="58501"/>
  <c r="G54" i="58501"/>
  <c r="M365" i="58438"/>
  <c r="I431" i="58438"/>
  <c r="I432" i="58438" s="1"/>
  <c r="I399" i="58438"/>
  <c r="I466" i="58438" s="1"/>
  <c r="M223" i="58438"/>
  <c r="M34" i="58438" s="1"/>
  <c r="M291" i="58438"/>
  <c r="M347" i="58438" s="1"/>
  <c r="M89" i="58438"/>
  <c r="M316" i="58438"/>
  <c r="M402" i="58438"/>
  <c r="I436" i="58438"/>
  <c r="I406" i="58438"/>
  <c r="M275" i="58438"/>
  <c r="M345" i="58438" s="1"/>
  <c r="M260" i="58438"/>
  <c r="M331" i="58438" s="1"/>
  <c r="AE440" i="58438"/>
  <c r="E43" i="58502"/>
  <c r="D43" i="58502"/>
  <c r="C64" i="58502"/>
  <c r="W316" i="58438"/>
  <c r="K440" i="58438"/>
  <c r="AG110" i="58438"/>
  <c r="AB100" i="58438"/>
  <c r="H357" i="58438"/>
  <c r="H456" i="58438" s="1"/>
  <c r="G21" i="58499"/>
  <c r="K21" i="58499"/>
  <c r="C23" i="58499"/>
  <c r="J21" i="58499"/>
  <c r="F21" i="58499"/>
  <c r="D59" i="58502"/>
  <c r="N366" i="58438"/>
  <c r="R362" i="58438"/>
  <c r="R366" i="58438" s="1"/>
  <c r="R380" i="58438" s="1"/>
  <c r="N357" i="58438"/>
  <c r="N456" i="58438" s="1"/>
  <c r="R356" i="58438"/>
  <c r="N437" i="58438"/>
  <c r="R403" i="58438"/>
  <c r="R437" i="58438" s="1"/>
  <c r="R320" i="58438"/>
  <c r="N46" i="58438"/>
  <c r="N51" i="58438" s="1"/>
  <c r="IJ604" i="58481"/>
  <c r="IO695" i="58479"/>
  <c r="IL696" i="58479"/>
  <c r="L436" i="58438"/>
  <c r="L406" i="58438"/>
  <c r="J415" i="58438"/>
  <c r="J417" i="58438"/>
  <c r="J409" i="58438"/>
  <c r="J407" i="58438"/>
  <c r="J471" i="58438" s="1"/>
  <c r="J413" i="58438"/>
  <c r="F39" i="58499"/>
  <c r="G39" i="58499"/>
  <c r="S431" i="58438"/>
  <c r="S399" i="58438"/>
  <c r="S466" i="58438" s="1"/>
  <c r="S439" i="58438"/>
  <c r="W405" i="58438"/>
  <c r="W439" i="58438" s="1"/>
  <c r="S438" i="58438"/>
  <c r="W404" i="58438"/>
  <c r="W438" i="58438" s="1"/>
  <c r="H322" i="58438"/>
  <c r="H290" i="58438"/>
  <c r="H291" i="58438"/>
  <c r="H258" i="58438"/>
  <c r="H223" i="58438"/>
  <c r="H34" i="58438" s="1"/>
  <c r="H260" i="58438"/>
  <c r="H320" i="58438"/>
  <c r="H292" i="58438"/>
  <c r="H105" i="58438"/>
  <c r="M110" i="58438" s="1"/>
  <c r="M100" i="58438" s="1"/>
  <c r="H104" i="58438"/>
  <c r="H224" i="58438"/>
  <c r="H309" i="58438" s="1"/>
  <c r="H310" i="58438" s="1"/>
  <c r="H242" i="58438"/>
  <c r="M247" i="58438"/>
  <c r="M237" i="58438" s="1"/>
  <c r="M11" i="58438" s="1"/>
  <c r="G5" i="58471" s="1"/>
  <c r="H73" i="58438"/>
  <c r="M78" i="58438" s="1"/>
  <c r="H225" i="58438"/>
  <c r="H306" i="58438" s="1"/>
  <c r="H88" i="58438"/>
  <c r="H274" i="58438"/>
  <c r="H259" i="58438"/>
  <c r="H316" i="58438"/>
  <c r="M317" i="58438" s="1"/>
  <c r="H243" i="58438"/>
  <c r="H276" i="58438"/>
  <c r="H89" i="58438"/>
  <c r="M94" i="58438" s="1"/>
  <c r="H318" i="58438"/>
  <c r="H244" i="58438"/>
  <c r="H275" i="58438"/>
  <c r="H72" i="58438"/>
  <c r="AN279" i="58438"/>
  <c r="AM37" i="58438"/>
  <c r="AN274" i="58438"/>
  <c r="AN37" i="58438" s="1"/>
  <c r="J416" i="58438"/>
  <c r="V48" i="58470"/>
  <c r="AE48" i="58470"/>
  <c r="W48" i="58470"/>
  <c r="X48" i="58470"/>
  <c r="AG48" i="58470"/>
  <c r="AF48" i="58470"/>
  <c r="K383" i="58438"/>
  <c r="K384" i="58438"/>
  <c r="K376" i="58438"/>
  <c r="P377" i="58438" s="1"/>
  <c r="K380" i="58438"/>
  <c r="K381" i="58438"/>
  <c r="K382" i="58438"/>
  <c r="C438" i="58438"/>
  <c r="C399" i="58438"/>
  <c r="C466" i="58438" s="1"/>
  <c r="C431" i="58438"/>
  <c r="C432" i="58438" s="1"/>
  <c r="O50" i="58438"/>
  <c r="O53" i="58438"/>
  <c r="O49" i="58438"/>
  <c r="O52" i="58438"/>
  <c r="O51" i="58438"/>
  <c r="M35" i="58438"/>
  <c r="I357" i="58438"/>
  <c r="I456" i="58438" s="1"/>
  <c r="M356" i="58438"/>
  <c r="M357" i="58438" s="1"/>
  <c r="M456" i="58438" s="1"/>
  <c r="M67" i="58438"/>
  <c r="H406" i="58438"/>
  <c r="H437" i="58438"/>
  <c r="H440" i="58438" s="1"/>
  <c r="H445" i="58438" s="1"/>
  <c r="D413" i="58438"/>
  <c r="D415" i="58438"/>
  <c r="D414" i="58438"/>
  <c r="D409" i="58438"/>
  <c r="D416" i="58438"/>
  <c r="D417" i="58438"/>
  <c r="C47" i="58502"/>
  <c r="C67" i="58502"/>
  <c r="E46" i="58502"/>
  <c r="D46" i="58502"/>
  <c r="E382" i="58438"/>
  <c r="K414" i="58438"/>
  <c r="K415" i="58438"/>
  <c r="K417" i="58438"/>
  <c r="K409" i="58438"/>
  <c r="K410" i="58438" s="1"/>
  <c r="K413" i="58438"/>
  <c r="D34" i="58499"/>
  <c r="B65" i="58502"/>
  <c r="E60" i="58502"/>
  <c r="D60" i="58502"/>
  <c r="D58" i="58502"/>
  <c r="E58" i="58502"/>
  <c r="Z432" i="58438"/>
  <c r="R318" i="58438"/>
  <c r="R242" i="58438"/>
  <c r="N431" i="58438"/>
  <c r="N432" i="58438" s="1"/>
  <c r="N399" i="58438"/>
  <c r="N466" i="58438" s="1"/>
  <c r="Z286" i="6"/>
  <c r="AY286" i="6" s="1"/>
  <c r="IN692" i="58479"/>
  <c r="IM695" i="58479"/>
  <c r="IM696" i="58479" s="1"/>
  <c r="AF104" i="58479"/>
  <c r="O410" i="58438"/>
  <c r="M403" i="58438"/>
  <c r="M437" i="58438" s="1"/>
  <c r="L437" i="58438"/>
  <c r="L414" i="58438"/>
  <c r="L366" i="58438"/>
  <c r="AN295" i="58438"/>
  <c r="AN290" i="58438"/>
  <c r="AN38" i="58438" s="1"/>
  <c r="AM38" i="58438"/>
  <c r="BP226" i="58502"/>
  <c r="BP206" i="58502" s="1"/>
  <c r="BP208" i="58502" s="1"/>
  <c r="BQ225" i="58502"/>
  <c r="BP218" i="58502"/>
  <c r="AC415" i="58438"/>
  <c r="AC417" i="58438"/>
  <c r="AC416" i="58438"/>
  <c r="AC414" i="58438"/>
  <c r="AC413" i="58438"/>
  <c r="G39" i="58498"/>
  <c r="F39" i="58498"/>
  <c r="BB469" i="6"/>
  <c r="AP469" i="6"/>
  <c r="AZ521" i="6"/>
  <c r="AE160" i="6"/>
  <c r="AZ160" i="6" s="1"/>
  <c r="D23" i="58498"/>
  <c r="G21" i="58498"/>
  <c r="C406" i="58438"/>
  <c r="C416" i="58438" s="1"/>
  <c r="C439" i="58438"/>
  <c r="C437" i="58438"/>
  <c r="AD416" i="58438"/>
  <c r="AD413" i="58438"/>
  <c r="AD415" i="58438"/>
  <c r="AD414" i="58438"/>
  <c r="AD417" i="58438"/>
  <c r="D23" i="58501"/>
  <c r="G21" i="58501"/>
  <c r="AB103" i="58438"/>
  <c r="AB98" i="58438" s="1"/>
  <c r="AG109" i="58438"/>
  <c r="AG108" i="58438" s="1"/>
  <c r="AB99" i="58438"/>
  <c r="M364" i="58438"/>
  <c r="M335" i="58438"/>
  <c r="M362" i="58438"/>
  <c r="I366" i="58438"/>
  <c r="M71" i="58438"/>
  <c r="M224" i="58438"/>
  <c r="M309" i="58438" s="1"/>
  <c r="M303" i="58438" s="1"/>
  <c r="M398" i="58438" s="1"/>
  <c r="M259" i="58438"/>
  <c r="M343" i="58438" s="1"/>
  <c r="I437" i="58438"/>
  <c r="M274" i="58438"/>
  <c r="M37" i="58438" s="1"/>
  <c r="D440" i="58438"/>
  <c r="D445" i="58438" s="1"/>
  <c r="E45" i="58502"/>
  <c r="D45" i="58502"/>
  <c r="C66" i="58502"/>
  <c r="C65" i="58502"/>
  <c r="D44" i="58502"/>
  <c r="E44" i="58502"/>
  <c r="R438" i="58438"/>
  <c r="G381" i="58438"/>
  <c r="G383" i="58438"/>
  <c r="G376" i="58438"/>
  <c r="G380" i="58438"/>
  <c r="G382" i="58438"/>
  <c r="G384" i="58438"/>
  <c r="P432" i="58438"/>
  <c r="B66" i="58502"/>
  <c r="E66" i="58502" s="1"/>
  <c r="B64" i="58502"/>
  <c r="B47" i="58502"/>
  <c r="E440" i="58438"/>
  <c r="E57" i="58502"/>
  <c r="C61" i="58502"/>
  <c r="D57" i="58502"/>
  <c r="K407" i="58438"/>
  <c r="K471" i="58438" s="1"/>
  <c r="N436" i="58438"/>
  <c r="N406" i="58438"/>
  <c r="R402" i="58438"/>
  <c r="N439" i="58438"/>
  <c r="R405" i="58438"/>
  <c r="R324" i="58438"/>
  <c r="W325" i="58438" s="1"/>
  <c r="W234" i="58438" s="1"/>
  <c r="R303" i="58438"/>
  <c r="AB87" i="58438"/>
  <c r="AG92" i="58438" s="1"/>
  <c r="HT629" i="58479"/>
  <c r="EV322" i="58481"/>
  <c r="AB357" i="58438"/>
  <c r="AB456" i="58438" s="1"/>
  <c r="L413" i="58438"/>
  <c r="AE383" i="58438"/>
  <c r="AE380" i="58438"/>
  <c r="AE384" i="58438"/>
  <c r="AE381" i="58438"/>
  <c r="AE382" i="58438"/>
  <c r="B61" i="58502"/>
  <c r="S437" i="58438"/>
  <c r="S440" i="58438" s="1"/>
  <c r="W403" i="58438"/>
  <c r="W437" i="58438" s="1"/>
  <c r="S46" i="58438"/>
  <c r="S50" i="58438" s="1"/>
  <c r="Q399" i="58438"/>
  <c r="Q466" i="58438" s="1"/>
  <c r="W44" i="58438"/>
  <c r="W41" i="58438"/>
  <c r="W45" i="58438"/>
  <c r="W43" i="58438"/>
  <c r="C366" i="58438"/>
  <c r="C382" i="58438" s="1"/>
  <c r="I438" i="58438"/>
  <c r="M404" i="58438"/>
  <c r="M405" i="58438"/>
  <c r="M439" i="58438" s="1"/>
  <c r="I439" i="58438"/>
  <c r="I416" i="58438"/>
  <c r="M87" i="58438"/>
  <c r="M307" i="58438"/>
  <c r="R307" i="58438"/>
  <c r="M103" i="58438"/>
  <c r="R334" i="58438"/>
  <c r="AE415" i="58438"/>
  <c r="AE413" i="58438"/>
  <c r="AE414" i="58438"/>
  <c r="AE417" i="58438"/>
  <c r="AE416" i="58438"/>
  <c r="E7" i="58502"/>
  <c r="D7" i="58502"/>
  <c r="AB71" i="58438"/>
  <c r="AB65" i="58438" s="1"/>
  <c r="D380" i="58438"/>
  <c r="D384" i="58438"/>
  <c r="D383" i="58438"/>
  <c r="D382" i="58438"/>
  <c r="D376" i="58438"/>
  <c r="D381" i="58438"/>
  <c r="P50" i="58438"/>
  <c r="P51" i="58438"/>
  <c r="P53" i="58438"/>
  <c r="P52" i="58438"/>
  <c r="P49" i="58438"/>
  <c r="E414" i="58438"/>
  <c r="E417" i="58438"/>
  <c r="E409" i="58438"/>
  <c r="E415" i="58438"/>
  <c r="E413" i="58438"/>
  <c r="R316" i="58438"/>
  <c r="R322" i="58438"/>
  <c r="N50" i="58438"/>
  <c r="N53" i="58438"/>
  <c r="N52" i="58438"/>
  <c r="AE333" i="6"/>
  <c r="AZ333" i="6" s="1"/>
  <c r="B349" i="58438"/>
  <c r="V333" i="6"/>
  <c r="Q459" i="58438"/>
  <c r="Q58" i="58438" s="1"/>
  <c r="AD448" i="58438"/>
  <c r="AD445" i="58438"/>
  <c r="AD447" i="58438"/>
  <c r="AD444" i="58438"/>
  <c r="H444" i="58438"/>
  <c r="B337" i="58438"/>
  <c r="P469" i="58438"/>
  <c r="AF203" i="6"/>
  <c r="O459" i="58438"/>
  <c r="O58" i="58438" s="1"/>
  <c r="U333" i="6"/>
  <c r="AX333" i="6" s="1"/>
  <c r="P444" i="58438"/>
  <c r="O469" i="58438"/>
  <c r="P459" i="58438"/>
  <c r="P58" i="58438" s="1"/>
  <c r="AI701" i="58411"/>
  <c r="AI21" i="58438" s="1"/>
  <c r="AI44" i="58438" s="1"/>
  <c r="AH630" i="58411"/>
  <c r="AH631" i="58411" s="1"/>
  <c r="AH632" i="58411" s="1"/>
  <c r="AI772" i="58411"/>
  <c r="AH413" i="58438"/>
  <c r="AH414" i="58438"/>
  <c r="AH407" i="58438"/>
  <c r="AH471" i="58438" s="1"/>
  <c r="AI439" i="58438"/>
  <c r="AH22" i="58438"/>
  <c r="AH45" i="58438" s="1"/>
  <c r="AI702" i="58411"/>
  <c r="AI703" i="58411" s="1"/>
  <c r="AI402" i="58438"/>
  <c r="AH417" i="58438"/>
  <c r="AH415" i="58438"/>
  <c r="AI882" i="58411"/>
  <c r="AI883" i="58411" s="1"/>
  <c r="AI460" i="58438" s="1"/>
  <c r="AI387" i="58438"/>
  <c r="AH366" i="58438"/>
  <c r="AH436" i="58438"/>
  <c r="AH440" i="58438" s="1"/>
  <c r="AH444" i="58438" s="1"/>
  <c r="AH560" i="58411"/>
  <c r="AH561" i="58411" s="1"/>
  <c r="AH19" i="58438"/>
  <c r="AH42" i="58438" s="1"/>
  <c r="AH834" i="58411"/>
  <c r="AK310" i="6" s="1"/>
  <c r="AJ904" i="58411"/>
  <c r="AJ905" i="58411" s="1"/>
  <c r="AJ901" i="58411"/>
  <c r="AJ902" i="58411" s="1"/>
  <c r="AJ338" i="58411"/>
  <c r="K441" i="58438"/>
  <c r="AE188" i="6"/>
  <c r="AZ188" i="6" s="1"/>
  <c r="F447" i="58438"/>
  <c r="U54" i="58438"/>
  <c r="H446" i="58438"/>
  <c r="IP679" i="58479"/>
  <c r="AF390" i="6"/>
  <c r="AF391" i="6" s="1"/>
  <c r="AG333" i="6"/>
  <c r="AG334" i="6" s="1"/>
  <c r="IO679" i="58479"/>
  <c r="IM679" i="58479"/>
  <c r="AJ169" i="6"/>
  <c r="BA169" i="6" s="1"/>
  <c r="J12" i="58511"/>
  <c r="AK82" i="58438"/>
  <c r="AL82" i="58438" s="1"/>
  <c r="AL94" i="58438"/>
  <c r="AG87" i="58438"/>
  <c r="AL92" i="58438" s="1"/>
  <c r="AN653" i="6"/>
  <c r="AM576" i="6"/>
  <c r="AO657" i="6"/>
  <c r="AN582" i="6"/>
  <c r="AO70" i="6"/>
  <c r="K16" i="58482" s="1"/>
  <c r="G160" i="58480"/>
  <c r="G144" i="58480"/>
  <c r="O233" i="58511"/>
  <c r="P231" i="58511"/>
  <c r="GC403" i="58481"/>
  <c r="FY403" i="58481"/>
  <c r="GB403" i="58481"/>
  <c r="FX403" i="58481"/>
  <c r="GA403" i="58481"/>
  <c r="FZ403" i="58481"/>
  <c r="FW403" i="58481"/>
  <c r="AX359" i="58493"/>
  <c r="Q168" i="58480"/>
  <c r="AD31" i="58438"/>
  <c r="AE797" i="58411"/>
  <c r="AH202" i="6" s="1"/>
  <c r="AE112" i="58438"/>
  <c r="AC440" i="58438"/>
  <c r="AD46" i="58438"/>
  <c r="AD49" i="58438" s="1"/>
  <c r="AC380" i="58438"/>
  <c r="AC384" i="58438"/>
  <c r="AC383" i="58438"/>
  <c r="AE96" i="58438"/>
  <c r="AD797" i="58411"/>
  <c r="AG202" i="6" s="1"/>
  <c r="AG203" i="6" s="1"/>
  <c r="AG237" i="6" s="1"/>
  <c r="AD112" i="58438"/>
  <c r="AD96" i="58438"/>
  <c r="AE936" i="58411"/>
  <c r="AC381" i="58438"/>
  <c r="AD29" i="58438"/>
  <c r="AD27" i="58438"/>
  <c r="AD30" i="58438"/>
  <c r="AD28" i="58438"/>
  <c r="AE18" i="58438"/>
  <c r="AE879" i="58411"/>
  <c r="AE455" i="58438" s="1"/>
  <c r="K57" i="58512"/>
  <c r="K35" i="58512"/>
  <c r="L31" i="58512"/>
  <c r="J36" i="58512"/>
  <c r="J55" i="58512" s="1"/>
  <c r="M72" i="58512"/>
  <c r="M181" i="58512"/>
  <c r="I147" i="58511"/>
  <c r="I149" i="58511" s="1"/>
  <c r="I177" i="58511" s="1"/>
  <c r="I180" i="58511" s="1"/>
  <c r="J178" i="58511" s="1"/>
  <c r="I183" i="58511"/>
  <c r="D81" i="58511"/>
  <c r="H72" i="58511"/>
  <c r="AF431" i="58438"/>
  <c r="AF432" i="58438" s="1"/>
  <c r="AF399" i="58438"/>
  <c r="AF466" i="58438" s="1"/>
  <c r="V376" i="58438"/>
  <c r="V377" i="58438" s="1"/>
  <c r="V384" i="58438"/>
  <c r="V367" i="58438"/>
  <c r="V461" i="58438" s="1"/>
  <c r="V381" i="58438"/>
  <c r="V382" i="58438"/>
  <c r="V383" i="58438"/>
  <c r="U376" i="58438"/>
  <c r="U377" i="58438" s="1"/>
  <c r="U384" i="58438"/>
  <c r="U367" i="58438"/>
  <c r="U461" i="58438" s="1"/>
  <c r="U381" i="58438"/>
  <c r="U382" i="58438"/>
  <c r="U383" i="58438"/>
  <c r="T440" i="58438"/>
  <c r="T444" i="58438" s="1"/>
  <c r="W366" i="58438"/>
  <c r="W380" i="58438" s="1"/>
  <c r="H448" i="58438"/>
  <c r="H447" i="58438"/>
  <c r="U440" i="58438"/>
  <c r="Y406" i="58438"/>
  <c r="Y413" i="58438" s="1"/>
  <c r="Y436" i="58438"/>
  <c r="AN320" i="58438"/>
  <c r="W46" i="58438"/>
  <c r="V440" i="58438"/>
  <c r="Z436" i="58438"/>
  <c r="Z406" i="58438"/>
  <c r="Z413" i="58438" s="1"/>
  <c r="AB438" i="58438"/>
  <c r="AC357" i="58438"/>
  <c r="AC456" i="58438" s="1"/>
  <c r="AG356" i="58438"/>
  <c r="AG357" i="58438" s="1"/>
  <c r="AG456" i="58438" s="1"/>
  <c r="AC376" i="58438"/>
  <c r="R376" i="58438"/>
  <c r="R384" i="58438"/>
  <c r="R381" i="58438"/>
  <c r="R382" i="58438"/>
  <c r="Q448" i="58438"/>
  <c r="Q445" i="58438"/>
  <c r="AB431" i="58438"/>
  <c r="AI398" i="58438"/>
  <c r="V51" i="58438"/>
  <c r="V52" i="58438"/>
  <c r="V49" i="58438"/>
  <c r="V53" i="58438"/>
  <c r="J337" i="58438"/>
  <c r="J349" i="58438"/>
  <c r="J326" i="58438"/>
  <c r="AG438" i="58438"/>
  <c r="W436" i="58438"/>
  <c r="W406" i="58438"/>
  <c r="Q446" i="58438"/>
  <c r="AA436" i="58438"/>
  <c r="AA406" i="58438"/>
  <c r="AA413" i="58438" s="1"/>
  <c r="R383" i="58438"/>
  <c r="S384" i="58438"/>
  <c r="S367" i="58438"/>
  <c r="S461" i="58438" s="1"/>
  <c r="S376" i="58438"/>
  <c r="S382" i="58438"/>
  <c r="S381" i="58438"/>
  <c r="S383" i="58438"/>
  <c r="AA46" i="58438"/>
  <c r="Q447" i="58438"/>
  <c r="AL364" i="58438"/>
  <c r="X366" i="58438"/>
  <c r="AB362" i="58438"/>
  <c r="AM93" i="58438"/>
  <c r="AM88" i="58438" s="1"/>
  <c r="AL87" i="58438"/>
  <c r="AM92" i="58438" s="1"/>
  <c r="T384" i="58438"/>
  <c r="T367" i="58438"/>
  <c r="T461" i="58438" s="1"/>
  <c r="T376" i="58438"/>
  <c r="T377" i="58438" s="1"/>
  <c r="T382" i="58438"/>
  <c r="T381" i="58438"/>
  <c r="T383" i="58438"/>
  <c r="AC431" i="58438"/>
  <c r="AC432" i="58438" s="1"/>
  <c r="AC399" i="58438"/>
  <c r="AC466" i="58438" s="1"/>
  <c r="AG398" i="58438"/>
  <c r="AC409" i="58438"/>
  <c r="AB46" i="58438"/>
  <c r="AD357" i="58438"/>
  <c r="AD456" i="58438" s="1"/>
  <c r="AD376" i="58438"/>
  <c r="S417" i="58438"/>
  <c r="S409" i="58438"/>
  <c r="S407" i="58438"/>
  <c r="S471" i="58438" s="1"/>
  <c r="S416" i="58438"/>
  <c r="S415" i="58438"/>
  <c r="S414" i="58438"/>
  <c r="AF402" i="58438"/>
  <c r="AF362" i="58438"/>
  <c r="AK316" i="58438"/>
  <c r="AG316" i="58438"/>
  <c r="AG437" i="58438"/>
  <c r="Z54" i="58438"/>
  <c r="U417" i="58438"/>
  <c r="U407" i="58438"/>
  <c r="U471" i="58438" s="1"/>
  <c r="U409" i="58438"/>
  <c r="U410" i="58438" s="1"/>
  <c r="U414" i="58438"/>
  <c r="U416" i="58438"/>
  <c r="U415" i="58438"/>
  <c r="Y366" i="58438"/>
  <c r="Y380" i="58438" s="1"/>
  <c r="F448" i="58438"/>
  <c r="F445" i="58438"/>
  <c r="F446" i="58438"/>
  <c r="X436" i="58438"/>
  <c r="X406" i="58438"/>
  <c r="AB402" i="58438"/>
  <c r="V417" i="58438"/>
  <c r="V409" i="58438"/>
  <c r="V410" i="58438" s="1"/>
  <c r="V407" i="58438"/>
  <c r="V471" i="58438" s="1"/>
  <c r="V416" i="58438"/>
  <c r="V415" i="58438"/>
  <c r="V414" i="58438"/>
  <c r="T380" i="58438"/>
  <c r="O441" i="58438"/>
  <c r="O448" i="58438"/>
  <c r="O445" i="58438"/>
  <c r="O447" i="58438"/>
  <c r="O446" i="58438"/>
  <c r="AD431" i="58438"/>
  <c r="AD432" i="58438" s="1"/>
  <c r="AD399" i="58438"/>
  <c r="AD466" i="58438" s="1"/>
  <c r="AD409" i="58438"/>
  <c r="S413" i="58438"/>
  <c r="P448" i="58438"/>
  <c r="P441" i="58438"/>
  <c r="P446" i="58438"/>
  <c r="P445" i="58438"/>
  <c r="AA366" i="58438"/>
  <c r="AA380" i="58438" s="1"/>
  <c r="T409" i="58438"/>
  <c r="T410" i="58438" s="1"/>
  <c r="T407" i="58438"/>
  <c r="T471" i="58438" s="1"/>
  <c r="T417" i="58438"/>
  <c r="T415" i="58438"/>
  <c r="T414" i="58438"/>
  <c r="T416" i="58438"/>
  <c r="AN318" i="58438"/>
  <c r="X374" i="58438"/>
  <c r="AB370" i="58438"/>
  <c r="AB374" i="58438" s="1"/>
  <c r="AN94" i="58438"/>
  <c r="AN89" i="58438" s="1"/>
  <c r="V413" i="58438"/>
  <c r="Z366" i="58438"/>
  <c r="Z380" i="58438" s="1"/>
  <c r="Q469" i="58438"/>
  <c r="AH398" i="58438"/>
  <c r="AU303" i="58438"/>
  <c r="AB437" i="58438"/>
  <c r="AD921" i="58411"/>
  <c r="AE922" i="58411"/>
  <c r="AK188" i="6"/>
  <c r="AK189" i="6"/>
  <c r="AL766" i="58411"/>
  <c r="AM750" i="58411"/>
  <c r="AM536" i="58411"/>
  <c r="AL552" i="58411"/>
  <c r="AL25" i="58411"/>
  <c r="AK382" i="58411"/>
  <c r="AJ812" i="58411"/>
  <c r="AK453" i="58411"/>
  <c r="AI123" i="58411"/>
  <c r="Q859" i="58411"/>
  <c r="Q858" i="58411"/>
  <c r="V858" i="58411"/>
  <c r="Q489" i="58411"/>
  <c r="Q490" i="58411" s="1"/>
  <c r="V489" i="58411"/>
  <c r="V490" i="58411" s="1"/>
  <c r="AN682" i="58411"/>
  <c r="AN698" i="58411" s="1"/>
  <c r="AM698" i="58411"/>
  <c r="AM52" i="58411"/>
  <c r="AL758" i="58411"/>
  <c r="AM742" i="58411"/>
  <c r="AJ132" i="58411"/>
  <c r="AK116" i="58411"/>
  <c r="AK759" i="58411"/>
  <c r="AL743" i="58411"/>
  <c r="AK31" i="58411"/>
  <c r="AJ63" i="58411"/>
  <c r="AN678" i="58411"/>
  <c r="AN694" i="58411" s="1"/>
  <c r="AM694" i="58411"/>
  <c r="AJ764" i="58411"/>
  <c r="AK748" i="58411"/>
  <c r="AL331" i="58411"/>
  <c r="AJ226" i="58411"/>
  <c r="AI274" i="58411"/>
  <c r="AI235" i="58411"/>
  <c r="AJ898" i="58411"/>
  <c r="AJ820" i="58411"/>
  <c r="AK457" i="58411"/>
  <c r="AJ470" i="58411"/>
  <c r="AJ398" i="58438" s="1"/>
  <c r="AJ473" i="58411"/>
  <c r="AJ826" i="58411"/>
  <c r="AK463" i="58411"/>
  <c r="AN254" i="58411"/>
  <c r="AN674" i="58411"/>
  <c r="AN690" i="58411" s="1"/>
  <c r="AM690" i="58411"/>
  <c r="H940" i="58411"/>
  <c r="Q863" i="58411"/>
  <c r="AM96" i="58411"/>
  <c r="AK264" i="58411"/>
  <c r="AJ783" i="58411"/>
  <c r="AK428" i="58411"/>
  <c r="R852" i="58411"/>
  <c r="W852" i="58411"/>
  <c r="R857" i="58411"/>
  <c r="AK697" i="58411"/>
  <c r="AL681" i="58411"/>
  <c r="W921" i="58411"/>
  <c r="W923" i="58411"/>
  <c r="X922" i="58411"/>
  <c r="AL238" i="58411"/>
  <c r="AK270" i="58411"/>
  <c r="AF794" i="58411"/>
  <c r="AF96" i="58438" s="1"/>
  <c r="AJ760" i="58411"/>
  <c r="AK744" i="58411"/>
  <c r="AI122" i="58411"/>
  <c r="AH125" i="58411"/>
  <c r="AF857" i="58411"/>
  <c r="AF18" i="58438" s="1"/>
  <c r="AJ824" i="58411"/>
  <c r="AK461" i="58411"/>
  <c r="AJ207" i="58411"/>
  <c r="AK191" i="58411"/>
  <c r="AK336" i="58411"/>
  <c r="AJ553" i="58411"/>
  <c r="AK537" i="58411"/>
  <c r="AL37" i="58411"/>
  <c r="AN539" i="58411"/>
  <c r="AN555" i="58411" s="1"/>
  <c r="AM555" i="58411"/>
  <c r="AM567" i="58411"/>
  <c r="AL580" i="58411"/>
  <c r="AH886" i="58411"/>
  <c r="AH883" i="58411"/>
  <c r="AH460" i="58438" s="1"/>
  <c r="AH384" i="58411"/>
  <c r="AI27" i="58411"/>
  <c r="AD840" i="58411"/>
  <c r="AL151" i="58411"/>
  <c r="AK164" i="58411"/>
  <c r="AK273" i="58411"/>
  <c r="AL257" i="58411"/>
  <c r="AJ722" i="58411"/>
  <c r="AJ860" i="58411" s="1"/>
  <c r="AK709" i="58411"/>
  <c r="AG792" i="58411"/>
  <c r="AH437" i="58411"/>
  <c r="AG485" i="58411"/>
  <c r="AK332" i="58411"/>
  <c r="AJ348" i="58411"/>
  <c r="AJ407" i="58411"/>
  <c r="AL335" i="58411"/>
  <c r="AE137" i="58411"/>
  <c r="AF105" i="58411"/>
  <c r="AF248" i="58411"/>
  <c r="AE280" i="58411"/>
  <c r="AF247" i="58411"/>
  <c r="AE279" i="58411"/>
  <c r="AF177" i="58411"/>
  <c r="AE209" i="58411"/>
  <c r="AF176" i="58411"/>
  <c r="AE180" i="58411"/>
  <c r="AE208" i="58411"/>
  <c r="AJ405" i="58411"/>
  <c r="AK46" i="58411"/>
  <c r="AJ62" i="58411"/>
  <c r="AL186" i="58411"/>
  <c r="AK202" i="58411"/>
  <c r="AI928" i="58411"/>
  <c r="R929" i="58411"/>
  <c r="R794" i="58411"/>
  <c r="AM532" i="58411"/>
  <c r="AL548" i="58411"/>
  <c r="BA310" i="6"/>
  <c r="AJ313" i="6"/>
  <c r="BA313" i="6" s="1"/>
  <c r="AK16" i="58411"/>
  <c r="AJ64" i="58411"/>
  <c r="AM528" i="58411"/>
  <c r="AJ372" i="58411"/>
  <c r="AK17" i="58411"/>
  <c r="AN258" i="58411"/>
  <c r="S489" i="58411"/>
  <c r="S490" i="58411" s="1"/>
  <c r="X489" i="58411"/>
  <c r="X490" i="58411" s="1"/>
  <c r="AZ311" i="6"/>
  <c r="AE314" i="6"/>
  <c r="AZ314" i="6" s="1"/>
  <c r="AL263" i="58411"/>
  <c r="AI559" i="58411"/>
  <c r="AJ808" i="58411"/>
  <c r="AK449" i="58411"/>
  <c r="Q631" i="58411"/>
  <c r="Q632" i="58411" s="1"/>
  <c r="V631" i="58411"/>
  <c r="V632" i="58411" s="1"/>
  <c r="AL45" i="58411"/>
  <c r="AK366" i="58411"/>
  <c r="AL11" i="58411"/>
  <c r="AM118" i="58411"/>
  <c r="AL134" i="58411"/>
  <c r="AI624" i="58411"/>
  <c r="AJ608" i="58411"/>
  <c r="AG802" i="58411"/>
  <c r="AG814" i="58411" s="1"/>
  <c r="AH443" i="58411"/>
  <c r="AG454" i="58411"/>
  <c r="AG475" i="58411"/>
  <c r="AM675" i="58411"/>
  <c r="AL691" i="58411"/>
  <c r="AH384" i="6"/>
  <c r="AL623" i="58411"/>
  <c r="AM607" i="58411"/>
  <c r="AJ757" i="58411"/>
  <c r="AK741" i="58411"/>
  <c r="AJ754" i="58411"/>
  <c r="AJ423" i="58438" s="1"/>
  <c r="AJ405" i="58438" s="1"/>
  <c r="AF929" i="58411"/>
  <c r="AJ738" i="58411"/>
  <c r="AJ390" i="58438" s="1"/>
  <c r="AJ365" i="58438" s="1"/>
  <c r="AK725" i="58411"/>
  <c r="AL49" i="58411"/>
  <c r="AK65" i="58411"/>
  <c r="AN266" i="58411"/>
  <c r="Q797" i="58411"/>
  <c r="T202" i="6" s="1"/>
  <c r="T203" i="6" s="1"/>
  <c r="T237" i="6" s="1"/>
  <c r="Q837" i="58411"/>
  <c r="P945" i="58411"/>
  <c r="P935" i="58411"/>
  <c r="R631" i="58411"/>
  <c r="R632" i="58411" s="1"/>
  <c r="W631" i="58411"/>
  <c r="W632" i="58411" s="1"/>
  <c r="AD887" i="58411"/>
  <c r="AD894" i="58411"/>
  <c r="AD888" i="58411"/>
  <c r="AE888" i="58411"/>
  <c r="AI878" i="58411"/>
  <c r="AI879" i="58411" s="1"/>
  <c r="AI455" i="58438" s="1"/>
  <c r="AI870" i="58411"/>
  <c r="AJ892" i="58411"/>
  <c r="AM421" i="6"/>
  <c r="AJ809" i="58411"/>
  <c r="AK450" i="58411"/>
  <c r="L390" i="6"/>
  <c r="M390" i="6"/>
  <c r="M391" i="6" s="1"/>
  <c r="P389" i="6"/>
  <c r="AW389" i="6" s="1"/>
  <c r="AH331" i="6"/>
  <c r="AH332" i="6" s="1"/>
  <c r="AH333" i="6" s="1"/>
  <c r="AH334" i="6" s="1"/>
  <c r="AH309" i="6"/>
  <c r="AE840" i="58411"/>
  <c r="AI627" i="58411"/>
  <c r="AJ611" i="58411"/>
  <c r="AJ832" i="58411" s="1"/>
  <c r="AM121" i="58411"/>
  <c r="AY311" i="6"/>
  <c r="Z314" i="6"/>
  <c r="AY314" i="6" s="1"/>
  <c r="AK271" i="58411"/>
  <c r="AL255" i="58411"/>
  <c r="AK622" i="58411"/>
  <c r="AL606" i="58411"/>
  <c r="AJ781" i="58411"/>
  <c r="AK426" i="58411"/>
  <c r="AL365" i="58411"/>
  <c r="AM10" i="58411"/>
  <c r="AG788" i="58411"/>
  <c r="AH433" i="58411"/>
  <c r="AG481" i="58411"/>
  <c r="AK823" i="58411"/>
  <c r="AL460" i="58411"/>
  <c r="AL619" i="58411"/>
  <c r="AM603" i="58411"/>
  <c r="AJ346" i="58411"/>
  <c r="AK330" i="58411"/>
  <c r="P838" i="58411"/>
  <c r="P839" i="58411" s="1"/>
  <c r="U838" i="58411"/>
  <c r="U839" i="58411" s="1"/>
  <c r="AJ203" i="58411"/>
  <c r="AK187" i="58411"/>
  <c r="AK404" i="58411" s="1"/>
  <c r="AK386" i="58411"/>
  <c r="AL29" i="58411"/>
  <c r="AI368" i="58411"/>
  <c r="AG785" i="58411"/>
  <c r="AH430" i="58411"/>
  <c r="AG478" i="58411"/>
  <c r="AG848" i="58411"/>
  <c r="AK693" i="58411"/>
  <c r="AL677" i="58411"/>
  <c r="AV311" i="6"/>
  <c r="K314" i="6"/>
  <c r="AV314" i="6" s="1"/>
  <c r="P332" i="6"/>
  <c r="AW332" i="6" s="1"/>
  <c r="M333" i="6"/>
  <c r="M334" i="6" s="1"/>
  <c r="L333" i="6"/>
  <c r="AI625" i="58411"/>
  <c r="AJ609" i="58411"/>
  <c r="AJ830" i="58411" s="1"/>
  <c r="H923" i="58411"/>
  <c r="H921" i="58411"/>
  <c r="I922" i="58411"/>
  <c r="AJ761" i="58411"/>
  <c r="AK745" i="58411"/>
  <c r="AM654" i="58411"/>
  <c r="AM686" i="58411" s="1"/>
  <c r="AL667" i="58411"/>
  <c r="AL389" i="58438" s="1"/>
  <c r="AL133" i="58411"/>
  <c r="AM117" i="58411"/>
  <c r="S789" i="58411"/>
  <c r="S624" i="58411"/>
  <c r="AH194" i="58411"/>
  <c r="AK806" i="58411"/>
  <c r="AL447" i="58411"/>
  <c r="AL468" i="58411"/>
  <c r="AK763" i="58411"/>
  <c r="AL747" i="58411"/>
  <c r="AL261" i="58411"/>
  <c r="AJ801" i="58411"/>
  <c r="AK442" i="58411"/>
  <c r="AG204" i="6"/>
  <c r="AG205" i="6"/>
  <c r="AK370" i="58411"/>
  <c r="AL15" i="58411"/>
  <c r="AJ805" i="58411"/>
  <c r="AK446" i="58411"/>
  <c r="AJ811" i="58411"/>
  <c r="AK452" i="58411"/>
  <c r="AK484" i="58411" s="1"/>
  <c r="AE393" i="58411"/>
  <c r="AE68" i="58411"/>
  <c r="AF36" i="58411"/>
  <c r="AJ688" i="58411"/>
  <c r="AK672" i="58411"/>
  <c r="AJ683" i="58411"/>
  <c r="AJ422" i="58438" s="1"/>
  <c r="AJ404" i="58438" s="1"/>
  <c r="AJ438" i="58438" s="1"/>
  <c r="AI626" i="58411"/>
  <c r="AJ610" i="58411"/>
  <c r="AI831" i="58411"/>
  <c r="AK827" i="58411"/>
  <c r="AL464" i="58411"/>
  <c r="AJ387" i="58411"/>
  <c r="AK30" i="58411"/>
  <c r="AE388" i="58411"/>
  <c r="AE322" i="58411"/>
  <c r="AE347" i="58411"/>
  <c r="AF315" i="58411"/>
  <c r="AF107" i="58411"/>
  <c r="AE139" i="58411"/>
  <c r="AF317" i="58411"/>
  <c r="AE349" i="58411"/>
  <c r="AE394" i="58411"/>
  <c r="AF179" i="58411"/>
  <c r="AE211" i="58411"/>
  <c r="AI612" i="58411"/>
  <c r="AK343" i="58411"/>
  <c r="AL327" i="58411"/>
  <c r="AI846" i="58411"/>
  <c r="AI847" i="58411"/>
  <c r="S783" i="58411"/>
  <c r="S547" i="58411"/>
  <c r="S559" i="58411" s="1"/>
  <c r="S509" i="58411"/>
  <c r="AJ483" i="58411"/>
  <c r="AK467" i="58411"/>
  <c r="AJ367" i="58411"/>
  <c r="AK12" i="58411"/>
  <c r="AJ60" i="58411"/>
  <c r="AL385" i="58411"/>
  <c r="AM28" i="58411"/>
  <c r="AL200" i="58411"/>
  <c r="AM184" i="58411"/>
  <c r="AW311" i="6"/>
  <c r="P314" i="6"/>
  <c r="AW314" i="6" s="1"/>
  <c r="AJ525" i="58411"/>
  <c r="AK512" i="58411"/>
  <c r="AJ544" i="58411"/>
  <c r="AJ342" i="58411"/>
  <c r="AK326" i="58411"/>
  <c r="S788" i="58411"/>
  <c r="S931" i="58411" s="1"/>
  <c r="AJ617" i="58411"/>
  <c r="AK601" i="58411"/>
  <c r="AL389" i="58411"/>
  <c r="AM32" i="58411"/>
  <c r="AE937" i="58411"/>
  <c r="AF817" i="58411"/>
  <c r="AI205" i="58411"/>
  <c r="AJ189" i="58411"/>
  <c r="AI406" i="58411"/>
  <c r="AJ65" i="58411"/>
  <c r="M923" i="58411"/>
  <c r="M921" i="58411"/>
  <c r="N922" i="58411"/>
  <c r="Q933" i="58411"/>
  <c r="AC905" i="58411"/>
  <c r="AC907" i="58411"/>
  <c r="AL222" i="58411"/>
  <c r="AL190" i="58411"/>
  <c r="AK206" i="58411"/>
  <c r="AK550" i="58411"/>
  <c r="AL534" i="58411"/>
  <c r="AK374" i="58411"/>
  <c r="AL19" i="58411"/>
  <c r="S620" i="58411"/>
  <c r="S630" i="58411" s="1"/>
  <c r="S580" i="58411"/>
  <c r="S785" i="58411"/>
  <c r="S930" i="58411" s="1"/>
  <c r="AF922" i="58411"/>
  <c r="AF921" i="58411"/>
  <c r="AJ869" i="58411"/>
  <c r="AJ800" i="58411"/>
  <c r="AK441" i="58411"/>
  <c r="AK891" i="58411"/>
  <c r="AK836" i="58411"/>
  <c r="AL816" i="58411"/>
  <c r="AJ545" i="58411"/>
  <c r="AK529" i="58411"/>
  <c r="AJ541" i="58411"/>
  <c r="AJ420" i="58438" s="1"/>
  <c r="AL41" i="58411"/>
  <c r="AL373" i="58411"/>
  <c r="AM18" i="58411"/>
  <c r="AJ875" i="58411"/>
  <c r="AJ876" i="58411" s="1"/>
  <c r="AJ807" i="58411"/>
  <c r="AK448" i="58411"/>
  <c r="AH909" i="58411"/>
  <c r="AM48" i="58411"/>
  <c r="AN262" i="58411"/>
  <c r="AK345" i="58411"/>
  <c r="AL329" i="58411"/>
  <c r="AM309" i="58411"/>
  <c r="R237" i="6"/>
  <c r="R488" i="58411"/>
  <c r="AG916" i="58411"/>
  <c r="AG918" i="58411"/>
  <c r="AG920" i="58411"/>
  <c r="AG851" i="58411"/>
  <c r="AG787" i="58411"/>
  <c r="AH432" i="58411"/>
  <c r="AG480" i="58411"/>
  <c r="S204" i="6"/>
  <c r="S205" i="6"/>
  <c r="AJ821" i="58411"/>
  <c r="AK458" i="58411"/>
  <c r="AJ474" i="58411"/>
  <c r="AC945" i="58411"/>
  <c r="AC938" i="58411"/>
  <c r="AC937" i="58411"/>
  <c r="AJ227" i="58411"/>
  <c r="AI369" i="58411"/>
  <c r="AI275" i="58411"/>
  <c r="AJ368" i="58411"/>
  <c r="AK13" i="58411"/>
  <c r="AF930" i="58411"/>
  <c r="AJ825" i="58411"/>
  <c r="AK462" i="58411"/>
  <c r="AK115" i="58411"/>
  <c r="AJ131" i="58411"/>
  <c r="AJ403" i="58411"/>
  <c r="AI169" i="58411"/>
  <c r="AH201" i="58411"/>
  <c r="AJ765" i="58411"/>
  <c r="AK749" i="58411"/>
  <c r="AE945" i="58411"/>
  <c r="AE935" i="58411"/>
  <c r="AE940" i="58411" s="1"/>
  <c r="AJ401" i="58411"/>
  <c r="AK42" i="58411"/>
  <c r="AJ58" i="58411"/>
  <c r="AK554" i="58411"/>
  <c r="AL538" i="58411"/>
  <c r="AG390" i="6"/>
  <c r="AG391" i="6" s="1"/>
  <c r="AL265" i="58411"/>
  <c r="AJ376" i="58411"/>
  <c r="AK21" i="58411"/>
  <c r="AG392" i="6"/>
  <c r="AH389" i="6"/>
  <c r="AH390" i="6" s="1"/>
  <c r="AH391" i="6" s="1"/>
  <c r="AG393" i="6"/>
  <c r="AM638" i="58411"/>
  <c r="AL651" i="58411"/>
  <c r="AD933" i="58411"/>
  <c r="AD935" i="58411" s="1"/>
  <c r="AK469" i="58411"/>
  <c r="AM44" i="58411"/>
  <c r="AE391" i="58411"/>
  <c r="AE66" i="58411"/>
  <c r="AF34" i="58411"/>
  <c r="AE38" i="58411"/>
  <c r="AG335" i="6"/>
  <c r="AG336" i="6"/>
  <c r="AL337" i="58411"/>
  <c r="AH192" i="58411"/>
  <c r="AG409" i="58411"/>
  <c r="AG196" i="58411"/>
  <c r="W390" i="6"/>
  <c r="W391" i="6" s="1"/>
  <c r="Z389" i="6"/>
  <c r="AG789" i="58411"/>
  <c r="AH434" i="58411"/>
  <c r="AG482" i="58411"/>
  <c r="AE383" i="58411"/>
  <c r="AE109" i="58411"/>
  <c r="AE129" i="58411"/>
  <c r="AF249" i="58411"/>
  <c r="AE281" i="58411"/>
  <c r="AF106" i="58411"/>
  <c r="AE138" i="58411"/>
  <c r="AF178" i="58411"/>
  <c r="AE210" i="58411"/>
  <c r="AF319" i="58411"/>
  <c r="AE351" i="58411"/>
  <c r="AN535" i="58411"/>
  <c r="AN551" i="58411" s="1"/>
  <c r="AM551" i="58411"/>
  <c r="AK341" i="58411"/>
  <c r="AL325" i="58411"/>
  <c r="R560" i="58411"/>
  <c r="R561" i="58411" s="1"/>
  <c r="W560" i="58411"/>
  <c r="W561" i="58411" s="1"/>
  <c r="AJ276" i="58411"/>
  <c r="AK260" i="58411"/>
  <c r="AI830" i="58411"/>
  <c r="AM679" i="58411"/>
  <c r="AL695" i="58411"/>
  <c r="AL509" i="58411"/>
  <c r="AM496" i="58411"/>
  <c r="S853" i="58411"/>
  <c r="S852" i="58411"/>
  <c r="X852" i="58411"/>
  <c r="T853" i="58411"/>
  <c r="S857" i="58411"/>
  <c r="AJ375" i="58411"/>
  <c r="AK20" i="58411"/>
  <c r="AK596" i="58411"/>
  <c r="AK388" i="58438" s="1"/>
  <c r="AK363" i="58438" s="1"/>
  <c r="AL583" i="58411"/>
  <c r="AL615" i="58411" s="1"/>
  <c r="AJ404" i="58411"/>
  <c r="AJ620" i="58411"/>
  <c r="AK604" i="58411"/>
  <c r="AF402" i="58411"/>
  <c r="AF415" i="58411" s="1"/>
  <c r="AG43" i="58411"/>
  <c r="AF54" i="58411"/>
  <c r="AH195" i="58411"/>
  <c r="AG412" i="58411"/>
  <c r="AJ828" i="58411"/>
  <c r="AK465" i="58411"/>
  <c r="AM14" i="58411"/>
  <c r="AL93" i="58411"/>
  <c r="AM80" i="58411"/>
  <c r="AK328" i="58411"/>
  <c r="AJ344" i="58411"/>
  <c r="AA237" i="6"/>
  <c r="AE203" i="6"/>
  <c r="AZ203" i="6" s="1"/>
  <c r="AN670" i="58411"/>
  <c r="AJ136" i="58411"/>
  <c r="AK120" i="58411"/>
  <c r="AK408" i="58411" s="1"/>
  <c r="AJ140" i="58411"/>
  <c r="AK124" i="58411"/>
  <c r="AJ804" i="58411"/>
  <c r="AK445" i="58411"/>
  <c r="W418" i="58411"/>
  <c r="W419" i="58411" s="1"/>
  <c r="AB418" i="58411"/>
  <c r="AB419" i="58411" s="1"/>
  <c r="AL167" i="58411"/>
  <c r="AD864" i="58411"/>
  <c r="AD865" i="58411"/>
  <c r="AI907" i="58411"/>
  <c r="AI899" i="58411"/>
  <c r="AJ199" i="58411"/>
  <c r="AK183" i="58411"/>
  <c r="AK26" i="58411"/>
  <c r="AJ229" i="58411"/>
  <c r="AI277" i="58411"/>
  <c r="AK69" i="58411"/>
  <c r="AL53" i="58411"/>
  <c r="AL259" i="58411"/>
  <c r="S238" i="6"/>
  <c r="S240" i="6"/>
  <c r="X241" i="6" s="1"/>
  <c r="AK810" i="58411"/>
  <c r="AL451" i="58411"/>
  <c r="AK50" i="58411"/>
  <c r="AJ364" i="58411"/>
  <c r="AJ22" i="58411"/>
  <c r="AK9" i="58411"/>
  <c r="AK782" i="58411"/>
  <c r="AL427" i="58411"/>
  <c r="AG784" i="58411"/>
  <c r="AH429" i="58411"/>
  <c r="AG438" i="58411"/>
  <c r="AG477" i="58411"/>
  <c r="AC940" i="58411"/>
  <c r="AL762" i="58411"/>
  <c r="AM746" i="58411"/>
  <c r="AN51" i="58411"/>
  <c r="AH193" i="58411"/>
  <c r="AH915" i="58411"/>
  <c r="AH912" i="58411"/>
  <c r="AH470" i="58438" s="1"/>
  <c r="AL119" i="58411"/>
  <c r="AK135" i="58411"/>
  <c r="AK334" i="58411"/>
  <c r="AJ272" i="58411"/>
  <c r="AK256" i="58411"/>
  <c r="AK306" i="58411"/>
  <c r="AL293" i="58411"/>
  <c r="P938" i="58411"/>
  <c r="R923" i="58411"/>
  <c r="R921" i="58411"/>
  <c r="AJ549" i="58411"/>
  <c r="AK533" i="58411"/>
  <c r="AL204" i="58411"/>
  <c r="AM188" i="58411"/>
  <c r="U389" i="6"/>
  <c r="AX389" i="6" s="1"/>
  <c r="R390" i="6"/>
  <c r="R391" i="6" s="1"/>
  <c r="Q390" i="6"/>
  <c r="AJ696" i="58411"/>
  <c r="AK680" i="58411"/>
  <c r="AG313" i="6"/>
  <c r="AG311" i="6"/>
  <c r="AG314" i="6" s="1"/>
  <c r="AH203" i="6"/>
  <c r="AH237" i="6" s="1"/>
  <c r="AH205" i="6"/>
  <c r="AH204" i="6"/>
  <c r="AE865" i="58411"/>
  <c r="AE864" i="58411"/>
  <c r="AB923" i="58411"/>
  <c r="AB921" i="58411"/>
  <c r="AI862" i="58411"/>
  <c r="AI861" i="58411"/>
  <c r="AE392" i="58411"/>
  <c r="AE67" i="58411"/>
  <c r="AF35" i="58411"/>
  <c r="AJ769" i="58411"/>
  <c r="AK753" i="58411"/>
  <c r="AJ827" i="58411"/>
  <c r="AM113" i="58411"/>
  <c r="AF246" i="58411"/>
  <c r="AE278" i="58411"/>
  <c r="AE390" i="58411"/>
  <c r="AE251" i="58411"/>
  <c r="AE350" i="58411"/>
  <c r="AF318" i="58411"/>
  <c r="AF250" i="58411"/>
  <c r="AE282" i="58411"/>
  <c r="AF321" i="58411"/>
  <c r="AE353" i="58411"/>
  <c r="AE352" i="58411"/>
  <c r="AF320" i="58411"/>
  <c r="AJ616" i="58411"/>
  <c r="AK600" i="58411"/>
  <c r="AJ872" i="58411"/>
  <c r="AJ873" i="58411" s="1"/>
  <c r="AJ803" i="58411"/>
  <c r="AK444" i="58411"/>
  <c r="AJ845" i="58411"/>
  <c r="AJ780" i="58411"/>
  <c r="AK425" i="58411"/>
  <c r="AK689" i="58411"/>
  <c r="AL673" i="58411"/>
  <c r="AM599" i="58411"/>
  <c r="R860" i="58411"/>
  <c r="AJ391" i="6"/>
  <c r="BA391" i="6" s="1"/>
  <c r="AJ389" i="6"/>
  <c r="AJ392" i="6"/>
  <c r="BA392" i="6" s="1"/>
  <c r="BA388" i="6"/>
  <c r="AM671" i="58411"/>
  <c r="AL687" i="58411"/>
  <c r="AJ829" i="58411"/>
  <c r="AK466" i="58411"/>
  <c r="AK618" i="58411"/>
  <c r="AL602" i="58411"/>
  <c r="AJ128" i="58411"/>
  <c r="AK112" i="58411"/>
  <c r="AM540" i="58411"/>
  <c r="AL556" i="58411"/>
  <c r="AJ692" i="58411"/>
  <c r="AK676" i="58411"/>
  <c r="AJ621" i="58411"/>
  <c r="AK605" i="58411"/>
  <c r="AL33" i="58411"/>
  <c r="AN47" i="58411"/>
  <c r="AL333" i="58411"/>
  <c r="AF488" i="58411"/>
  <c r="AF489" i="58411" s="1"/>
  <c r="AF490" i="58411" s="1"/>
  <c r="AF59" i="58411"/>
  <c r="AE72" i="58411"/>
  <c r="AE73" i="58411" s="1"/>
  <c r="AE74" i="58411" s="1"/>
  <c r="AX311" i="6"/>
  <c r="U314" i="6"/>
  <c r="AX314" i="6" s="1"/>
  <c r="AJ822" i="58411"/>
  <c r="AK459" i="58411"/>
  <c r="AL185" i="58411"/>
  <c r="AK546" i="58411"/>
  <c r="AL530" i="58411"/>
  <c r="AG786" i="58411"/>
  <c r="AG929" i="58411" s="1"/>
  <c r="AH431" i="58411"/>
  <c r="AG479" i="58411"/>
  <c r="AN531" i="58411"/>
  <c r="AN547" i="58411" s="1"/>
  <c r="AM547" i="58411"/>
  <c r="AO81" i="6"/>
  <c r="AP80" i="6"/>
  <c r="L19" i="58482" s="1"/>
  <c r="BB80" i="6"/>
  <c r="H707" i="6"/>
  <c r="H708" i="6"/>
  <c r="H490" i="6"/>
  <c r="H513" i="6" s="1"/>
  <c r="H543" i="6" s="1"/>
  <c r="H105" i="6"/>
  <c r="H111" i="6" s="1"/>
  <c r="H121" i="6" s="1"/>
  <c r="H152" i="6"/>
  <c r="H157" i="6" s="1"/>
  <c r="H161" i="6" s="1"/>
  <c r="H71" i="6"/>
  <c r="H67" i="6"/>
  <c r="Y708" i="6"/>
  <c r="Y707" i="6"/>
  <c r="Y490" i="6"/>
  <c r="Y513" i="6" s="1"/>
  <c r="Y543" i="6" s="1"/>
  <c r="Y105" i="6"/>
  <c r="Y111" i="6" s="1"/>
  <c r="Y121" i="6" s="1"/>
  <c r="Y152" i="6"/>
  <c r="Y67" i="6"/>
  <c r="Y71" i="6"/>
  <c r="G99" i="6"/>
  <c r="G60" i="6"/>
  <c r="AK691" i="6"/>
  <c r="AJ437" i="6"/>
  <c r="AK437" i="6"/>
  <c r="AO437" i="6" s="1"/>
  <c r="AL650" i="6"/>
  <c r="AL689" i="6" s="1"/>
  <c r="AG98" i="6"/>
  <c r="AG100" i="6" s="1"/>
  <c r="AG99" i="6"/>
  <c r="AG60" i="6"/>
  <c r="AY521" i="6"/>
  <c r="Z160" i="6"/>
  <c r="AY160" i="6" s="1"/>
  <c r="AK443" i="6"/>
  <c r="AO443" i="6" s="1"/>
  <c r="AJ443" i="6"/>
  <c r="Y242" i="6"/>
  <c r="Z56" i="6"/>
  <c r="FP377" i="58481" s="1"/>
  <c r="AY47" i="6"/>
  <c r="AY281" i="6"/>
  <c r="Z136" i="6"/>
  <c r="T291" i="6"/>
  <c r="T15" i="6" s="1"/>
  <c r="T287" i="6"/>
  <c r="T136" i="6"/>
  <c r="J708" i="6"/>
  <c r="J707" i="6"/>
  <c r="J490" i="6"/>
  <c r="J513" i="6" s="1"/>
  <c r="J543" i="6" s="1"/>
  <c r="J152" i="6"/>
  <c r="J157" i="6" s="1"/>
  <c r="J161" i="6" s="1"/>
  <c r="J105" i="6"/>
  <c r="J111" i="6" s="1"/>
  <c r="J121" i="6" s="1"/>
  <c r="J67" i="6"/>
  <c r="J71" i="6"/>
  <c r="AC142" i="6"/>
  <c r="AM647" i="6"/>
  <c r="AM686" i="6" s="1"/>
  <c r="S475" i="6"/>
  <c r="S474" i="6"/>
  <c r="W287" i="6"/>
  <c r="W136" i="6"/>
  <c r="W291" i="6"/>
  <c r="W15" i="6" s="1"/>
  <c r="AF287" i="6"/>
  <c r="AF136" i="6"/>
  <c r="AQ497" i="6"/>
  <c r="BD497" i="6" s="1"/>
  <c r="BD116" i="6"/>
  <c r="AE147" i="6"/>
  <c r="AZ147" i="6" s="1"/>
  <c r="AZ43" i="6"/>
  <c r="AX521" i="6"/>
  <c r="U160" i="6"/>
  <c r="AX160" i="6" s="1"/>
  <c r="N708" i="6"/>
  <c r="N707" i="6"/>
  <c r="N490" i="6"/>
  <c r="N513" i="6" s="1"/>
  <c r="N543" i="6" s="1"/>
  <c r="N152" i="6"/>
  <c r="N157" i="6" s="1"/>
  <c r="N161" i="6" s="1"/>
  <c r="N105" i="6"/>
  <c r="D43" i="58499" s="1"/>
  <c r="N67" i="6"/>
  <c r="N71" i="6"/>
  <c r="AP112" i="6"/>
  <c r="BC112" i="6" s="1"/>
  <c r="AQ58" i="6"/>
  <c r="AQ584" i="6" s="1"/>
  <c r="BD584" i="6" s="1"/>
  <c r="BC58" i="6"/>
  <c r="AV472" i="6"/>
  <c r="K478" i="6"/>
  <c r="K159" i="6"/>
  <c r="AV159" i="6" s="1"/>
  <c r="AQ377" i="6"/>
  <c r="BC371" i="6"/>
  <c r="AP276" i="6"/>
  <c r="AP522" i="6"/>
  <c r="BC522" i="6" s="1"/>
  <c r="AQ470" i="6"/>
  <c r="BC470" i="6"/>
  <c r="Y154" i="6"/>
  <c r="AD154" i="6" s="1"/>
  <c r="X154" i="6"/>
  <c r="AC154" i="6" s="1"/>
  <c r="W154" i="6"/>
  <c r="AB154" i="6" s="1"/>
  <c r="AY154" i="6"/>
  <c r="V154" i="6"/>
  <c r="AA154" i="6" s="1"/>
  <c r="AJ691" i="6"/>
  <c r="BA691" i="6" s="1"/>
  <c r="AB707" i="6"/>
  <c r="AB708" i="6"/>
  <c r="AB490" i="6"/>
  <c r="AB513" i="6" s="1"/>
  <c r="AB543" i="6" s="1"/>
  <c r="AB105" i="6"/>
  <c r="AB111" i="6" s="1"/>
  <c r="AB121" i="6" s="1"/>
  <c r="AB152" i="6"/>
  <c r="AB157" i="6" s="1"/>
  <c r="AB161" i="6" s="1"/>
  <c r="AB71" i="6"/>
  <c r="AB67" i="6"/>
  <c r="AW714" i="6"/>
  <c r="K287" i="6"/>
  <c r="AV287" i="6" s="1"/>
  <c r="AV281" i="6"/>
  <c r="K136" i="6"/>
  <c r="R708" i="6"/>
  <c r="R707" i="6"/>
  <c r="R490" i="6"/>
  <c r="R513" i="6" s="1"/>
  <c r="R543" i="6" s="1"/>
  <c r="R152" i="6"/>
  <c r="R157" i="6" s="1"/>
  <c r="R161" i="6" s="1"/>
  <c r="R105" i="6"/>
  <c r="R67" i="6"/>
  <c r="R71" i="6"/>
  <c r="AN558" i="6"/>
  <c r="AO558" i="6" s="1"/>
  <c r="V287" i="6"/>
  <c r="V136" i="6"/>
  <c r="V291" i="6"/>
  <c r="P287" i="6"/>
  <c r="AW287" i="6" s="1"/>
  <c r="AW281" i="6"/>
  <c r="P136" i="6"/>
  <c r="Z147" i="6"/>
  <c r="AY147" i="6" s="1"/>
  <c r="AY43" i="6"/>
  <c r="AB242" i="6"/>
  <c r="AB651" i="6"/>
  <c r="AB605" i="6"/>
  <c r="AC627" i="6"/>
  <c r="AC666" i="6" s="1"/>
  <c r="L291" i="6"/>
  <c r="L287" i="6"/>
  <c r="L136" i="6"/>
  <c r="L142" i="6" s="1"/>
  <c r="AH99" i="6"/>
  <c r="AH100" i="6"/>
  <c r="AH60" i="6"/>
  <c r="AH490" i="6" s="1"/>
  <c r="AH513" i="6" s="1"/>
  <c r="AH543" i="6" s="1"/>
  <c r="AE286" i="6"/>
  <c r="AZ286" i="6" s="1"/>
  <c r="AE281" i="6"/>
  <c r="IP695" i="58479" s="1"/>
  <c r="IP696" i="58479" s="1"/>
  <c r="AZ279" i="6"/>
  <c r="V708" i="6"/>
  <c r="V490" i="6"/>
  <c r="V152" i="6"/>
  <c r="V157" i="6" s="1"/>
  <c r="V161" i="6" s="1"/>
  <c r="V105" i="6"/>
  <c r="V67" i="6"/>
  <c r="V707" i="6"/>
  <c r="V71" i="6"/>
  <c r="BC587" i="6"/>
  <c r="AQ587" i="6"/>
  <c r="BD587" i="6" s="1"/>
  <c r="AZ437" i="6"/>
  <c r="AE438" i="6"/>
  <c r="AZ438" i="6" s="1"/>
  <c r="AU281" i="6"/>
  <c r="F291" i="6"/>
  <c r="F15" i="6" s="1"/>
  <c r="AU15" i="6" s="1"/>
  <c r="F287" i="6"/>
  <c r="AU287" i="6" s="1"/>
  <c r="F136" i="6"/>
  <c r="Z606" i="6"/>
  <c r="AY606" i="6" s="1"/>
  <c r="AY607" i="6"/>
  <c r="Z610" i="6"/>
  <c r="H23" i="58482" s="1"/>
  <c r="AV610" i="6"/>
  <c r="K692" i="6"/>
  <c r="AE444" i="6"/>
  <c r="AZ444" i="6" s="1"/>
  <c r="AZ443" i="6"/>
  <c r="Z333" i="6"/>
  <c r="AY333" i="6" s="1"/>
  <c r="V334" i="6"/>
  <c r="P481" i="6"/>
  <c r="AW481" i="6" s="1"/>
  <c r="P47" i="6"/>
  <c r="P25" i="6"/>
  <c r="AW25" i="6" s="1"/>
  <c r="AW24" i="6"/>
  <c r="P453" i="6"/>
  <c r="AW453" i="6" s="1"/>
  <c r="AL704" i="6"/>
  <c r="AM590" i="6"/>
  <c r="Z700" i="6"/>
  <c r="AY700" i="6" s="1"/>
  <c r="AY698" i="6"/>
  <c r="AW691" i="6"/>
  <c r="P692" i="6"/>
  <c r="AW692" i="6" s="1"/>
  <c r="AW472" i="6"/>
  <c r="P478" i="6"/>
  <c r="P159" i="6"/>
  <c r="AW159" i="6" s="1"/>
  <c r="BC564" i="6"/>
  <c r="AQ564" i="6"/>
  <c r="BD564" i="6" s="1"/>
  <c r="Y291" i="6"/>
  <c r="Y15" i="6" s="1"/>
  <c r="Y287" i="6"/>
  <c r="Y136" i="6"/>
  <c r="Y142" i="6" s="1"/>
  <c r="BC497" i="6"/>
  <c r="AP592" i="6"/>
  <c r="S707" i="6"/>
  <c r="S708" i="6"/>
  <c r="S490" i="6"/>
  <c r="S513" i="6" s="1"/>
  <c r="S543" i="6" s="1"/>
  <c r="S152" i="6"/>
  <c r="S157" i="6" s="1"/>
  <c r="S161" i="6" s="1"/>
  <c r="S105" i="6"/>
  <c r="C43" i="58499" s="1"/>
  <c r="S67" i="6"/>
  <c r="S71" i="6"/>
  <c r="AM646" i="6"/>
  <c r="AA98" i="6"/>
  <c r="AA100" i="6" s="1"/>
  <c r="AA99" i="6"/>
  <c r="AA60" i="6"/>
  <c r="AN554" i="6"/>
  <c r="AO554" i="6" s="1"/>
  <c r="AW237" i="6"/>
  <c r="U481" i="6"/>
  <c r="AX481" i="6" s="1"/>
  <c r="AX24" i="6"/>
  <c r="U47" i="6"/>
  <c r="U25" i="6"/>
  <c r="AX25" i="6" s="1"/>
  <c r="U453" i="6"/>
  <c r="AX453" i="6" s="1"/>
  <c r="U691" i="6"/>
  <c r="BB568" i="6"/>
  <c r="AP568" i="6"/>
  <c r="M99" i="6"/>
  <c r="M60" i="6"/>
  <c r="AN81" i="6"/>
  <c r="AL615" i="6"/>
  <c r="AM552" i="6"/>
  <c r="X707" i="6"/>
  <c r="X708" i="6"/>
  <c r="X490" i="6"/>
  <c r="X513" i="6" s="1"/>
  <c r="X543" i="6" s="1"/>
  <c r="X105" i="6"/>
  <c r="X111" i="6" s="1"/>
  <c r="X121" i="6" s="1"/>
  <c r="X152" i="6"/>
  <c r="X157" i="6" s="1"/>
  <c r="X161" i="6" s="1"/>
  <c r="X71" i="6"/>
  <c r="X67" i="6"/>
  <c r="AX516" i="6"/>
  <c r="U485" i="6"/>
  <c r="AX485" i="6" s="1"/>
  <c r="U525" i="6"/>
  <c r="AX525" i="6" s="1"/>
  <c r="AM688" i="6"/>
  <c r="AM649" i="6"/>
  <c r="T476" i="6"/>
  <c r="T472" i="6"/>
  <c r="T159" i="6" s="1"/>
  <c r="T477" i="6"/>
  <c r="T465" i="6"/>
  <c r="AA690" i="6"/>
  <c r="AA655" i="6"/>
  <c r="AA607" i="6"/>
  <c r="X242" i="6"/>
  <c r="Z525" i="6"/>
  <c r="AY525" i="6" s="1"/>
  <c r="AJ651" i="6"/>
  <c r="BA634" i="6"/>
  <c r="AK634" i="6"/>
  <c r="AJ605" i="6"/>
  <c r="BA605" i="6" s="1"/>
  <c r="AQ41" i="6"/>
  <c r="BD41" i="6" s="1"/>
  <c r="BD18" i="6"/>
  <c r="AX279" i="6"/>
  <c r="U286" i="6"/>
  <c r="AX286" i="6" s="1"/>
  <c r="U281" i="6"/>
  <c r="M241" i="6"/>
  <c r="M242" i="6"/>
  <c r="R287" i="6"/>
  <c r="R291" i="6"/>
  <c r="R15" i="6" s="1"/>
  <c r="R136" i="6"/>
  <c r="R142" i="6" s="1"/>
  <c r="P147" i="6"/>
  <c r="AW147" i="6" s="1"/>
  <c r="AW43" i="6"/>
  <c r="Q241" i="6"/>
  <c r="Q242" i="6"/>
  <c r="AD708" i="6"/>
  <c r="AD707" i="6"/>
  <c r="AD490" i="6"/>
  <c r="AD513" i="6" s="1"/>
  <c r="AD543" i="6" s="1"/>
  <c r="AD105" i="6"/>
  <c r="AD111" i="6" s="1"/>
  <c r="AD121" i="6" s="1"/>
  <c r="AD152" i="6"/>
  <c r="AD157" i="6" s="1"/>
  <c r="AD161" i="6" s="1"/>
  <c r="AD67" i="6"/>
  <c r="AD71" i="6"/>
  <c r="O291" i="6"/>
  <c r="O15" i="6" s="1"/>
  <c r="O287" i="6"/>
  <c r="O136" i="6"/>
  <c r="O142" i="6" s="1"/>
  <c r="AM648" i="6"/>
  <c r="AN578" i="6"/>
  <c r="AM507" i="6"/>
  <c r="S291" i="6"/>
  <c r="S15" i="6" s="1"/>
  <c r="S287" i="6"/>
  <c r="S136" i="6"/>
  <c r="S142" i="6" s="1"/>
  <c r="AD287" i="6"/>
  <c r="AD136" i="6"/>
  <c r="AD142" i="6" s="1"/>
  <c r="AD291" i="6"/>
  <c r="AD15" i="6" s="1"/>
  <c r="AQ510" i="6"/>
  <c r="BD510" i="6" s="1"/>
  <c r="BC510" i="6"/>
  <c r="AF481" i="6"/>
  <c r="AF453" i="6"/>
  <c r="AF47" i="6"/>
  <c r="AF56" i="6" s="1"/>
  <c r="AF25" i="6"/>
  <c r="AC708" i="6"/>
  <c r="AC707" i="6"/>
  <c r="AC490" i="6"/>
  <c r="AC513" i="6" s="1"/>
  <c r="AC543" i="6" s="1"/>
  <c r="AC105" i="6"/>
  <c r="AC111" i="6" s="1"/>
  <c r="AC121" i="6" s="1"/>
  <c r="AC152" i="6"/>
  <c r="AC157" i="6" s="1"/>
  <c r="AC161" i="6" s="1"/>
  <c r="AC67" i="6"/>
  <c r="AC71" i="6"/>
  <c r="F709" i="6"/>
  <c r="AU709" i="6" s="1"/>
  <c r="F99" i="6"/>
  <c r="AU56" i="6"/>
  <c r="F60" i="6"/>
  <c r="HU640" i="58479" s="1"/>
  <c r="K481" i="6"/>
  <c r="AV481" i="6" s="1"/>
  <c r="AV24" i="6"/>
  <c r="K47" i="6"/>
  <c r="K25" i="6"/>
  <c r="AV25" i="6" s="1"/>
  <c r="K453" i="6"/>
  <c r="AV453" i="6" s="1"/>
  <c r="Z691" i="6"/>
  <c r="AY666" i="6"/>
  <c r="AL519" i="6"/>
  <c r="AM556" i="6"/>
  <c r="AB287" i="6"/>
  <c r="BC609" i="6"/>
  <c r="AQ609" i="6"/>
  <c r="BD609" i="6" s="1"/>
  <c r="AC241" i="6"/>
  <c r="AC242" i="6"/>
  <c r="Q98" i="6"/>
  <c r="Q99" i="6"/>
  <c r="Q100" i="6"/>
  <c r="Q60" i="6"/>
  <c r="AE481" i="6"/>
  <c r="AZ481" i="6" s="1"/>
  <c r="AZ24" i="6"/>
  <c r="AE47" i="6"/>
  <c r="AE25" i="6"/>
  <c r="AZ25" i="6" s="1"/>
  <c r="AE453" i="6"/>
  <c r="AZ453" i="6" s="1"/>
  <c r="AB91" i="6"/>
  <c r="AC91" i="6" s="1"/>
  <c r="U606" i="6"/>
  <c r="AX606" i="6" s="1"/>
  <c r="AX607" i="6"/>
  <c r="U610" i="6"/>
  <c r="G23" i="58482" s="1"/>
  <c r="BC569" i="6"/>
  <c r="U147" i="6"/>
  <c r="AX147" i="6" s="1"/>
  <c r="AX43" i="6"/>
  <c r="V100" i="6"/>
  <c r="AL83" i="6"/>
  <c r="AK530" i="6"/>
  <c r="AI655" i="6"/>
  <c r="AI581" i="6" s="1"/>
  <c r="AJ581" i="6" s="1"/>
  <c r="BA581" i="6" s="1"/>
  <c r="AI607" i="6"/>
  <c r="AQ431" i="6"/>
  <c r="BD429" i="6"/>
  <c r="K147" i="6"/>
  <c r="AV147" i="6" s="1"/>
  <c r="AV43" i="6"/>
  <c r="AG699" i="6"/>
  <c r="AG700" i="6" s="1"/>
  <c r="AG561" i="6"/>
  <c r="AZ698" i="6"/>
  <c r="AE700" i="6"/>
  <c r="AZ700" i="6" s="1"/>
  <c r="AO91" i="6"/>
  <c r="AP91" i="6" s="1"/>
  <c r="AQ91" i="6" s="1"/>
  <c r="AT47" i="6"/>
  <c r="E56" i="6"/>
  <c r="W98" i="6"/>
  <c r="Z98" i="6" s="1"/>
  <c r="W99" i="6"/>
  <c r="W60" i="6"/>
  <c r="AM645" i="6"/>
  <c r="AP492" i="6"/>
  <c r="BC492" i="6" s="1"/>
  <c r="AP153" i="6"/>
  <c r="BC153" i="6" s="1"/>
  <c r="AP109" i="6"/>
  <c r="BC109" i="6" s="1"/>
  <c r="AQ45" i="6"/>
  <c r="BC45" i="6"/>
  <c r="AL687" i="6"/>
  <c r="I99" i="6"/>
  <c r="I60" i="6"/>
  <c r="BC584" i="6"/>
  <c r="O707" i="6"/>
  <c r="O708" i="6"/>
  <c r="O490" i="6"/>
  <c r="O513" i="6" s="1"/>
  <c r="O543" i="6" s="1"/>
  <c r="O152" i="6"/>
  <c r="O157" i="6" s="1"/>
  <c r="O161" i="6" s="1"/>
  <c r="O105" i="6"/>
  <c r="O111" i="6" s="1"/>
  <c r="O121" i="6" s="1"/>
  <c r="O67" i="6"/>
  <c r="O71" i="6"/>
  <c r="AD241" i="6"/>
  <c r="Y474" i="6"/>
  <c r="Y475" i="6"/>
  <c r="Z465" i="6"/>
  <c r="BB283" i="6"/>
  <c r="BB276" i="6"/>
  <c r="AO12" i="6"/>
  <c r="BB12" i="6" s="1"/>
  <c r="L241" i="6"/>
  <c r="L242" i="6"/>
  <c r="P240" i="6"/>
  <c r="L715" i="6"/>
  <c r="L99" i="6"/>
  <c r="L60" i="6"/>
  <c r="BB557" i="6"/>
  <c r="AP557" i="6"/>
  <c r="AP504" i="6" s="1"/>
  <c r="BC504" i="6" s="1"/>
  <c r="AW610" i="6"/>
  <c r="T707" i="6"/>
  <c r="T708" i="6"/>
  <c r="T490" i="6"/>
  <c r="T513" i="6" s="1"/>
  <c r="T543" i="6" s="1"/>
  <c r="T105" i="6"/>
  <c r="T111" i="6" s="1"/>
  <c r="T121" i="6" s="1"/>
  <c r="T152" i="6"/>
  <c r="T157" i="6" s="1"/>
  <c r="T71" i="6"/>
  <c r="T67" i="6"/>
  <c r="AA287" i="6"/>
  <c r="AA136" i="6"/>
  <c r="AA142" i="6" s="1"/>
  <c r="AA291" i="6"/>
  <c r="BC431" i="6"/>
  <c r="AP137" i="6"/>
  <c r="Q291" i="6"/>
  <c r="Q287" i="6"/>
  <c r="Q136" i="6"/>
  <c r="Q142" i="6" s="1"/>
  <c r="AE469" i="58438" l="1"/>
  <c r="C414" i="58438"/>
  <c r="K469" i="58438"/>
  <c r="J469" i="58438"/>
  <c r="AZ469" i="6"/>
  <c r="AE472" i="6"/>
  <c r="G448" i="58438"/>
  <c r="G446" i="58438"/>
  <c r="G444" i="58438"/>
  <c r="G445" i="58438"/>
  <c r="G447" i="58438"/>
  <c r="M438" i="58438"/>
  <c r="S49" i="58438"/>
  <c r="S51" i="58438"/>
  <c r="P410" i="58438"/>
  <c r="X54" i="58438"/>
  <c r="T54" i="58438"/>
  <c r="M5" i="58471"/>
  <c r="K88" i="58502"/>
  <c r="M431" i="58438"/>
  <c r="HV629" i="58479"/>
  <c r="EV324" i="58481"/>
  <c r="FP387" i="58481"/>
  <c r="FP379" i="58481"/>
  <c r="P54" i="58438"/>
  <c r="C380" i="58438"/>
  <c r="B68" i="58502"/>
  <c r="AE459" i="58438"/>
  <c r="AE58" i="58438" s="1"/>
  <c r="R439" i="58438"/>
  <c r="N440" i="58438"/>
  <c r="C68" i="58502"/>
  <c r="E61" i="58502"/>
  <c r="D61" i="58502"/>
  <c r="E65" i="58502"/>
  <c r="D65" i="58502"/>
  <c r="D448" i="58438"/>
  <c r="D444" i="58438"/>
  <c r="D447" i="58438"/>
  <c r="R344" i="58438"/>
  <c r="M366" i="58438"/>
  <c r="D29" i="58501"/>
  <c r="G23" i="58501"/>
  <c r="AD469" i="58438"/>
  <c r="D29" i="58498"/>
  <c r="G23" i="58498"/>
  <c r="AP523" i="6"/>
  <c r="AQ469" i="6"/>
  <c r="BC469" i="6"/>
  <c r="AC469" i="58438"/>
  <c r="K459" i="58438"/>
  <c r="K58" i="58438" s="1"/>
  <c r="H329" i="58438"/>
  <c r="H330" i="58438" s="1"/>
  <c r="H239" i="58438"/>
  <c r="H341" i="58438"/>
  <c r="H342" i="58438" s="1"/>
  <c r="H238" i="58438"/>
  <c r="M93" i="58438"/>
  <c r="M83" i="58438" s="1"/>
  <c r="H87" i="58438"/>
  <c r="M92" i="58438" s="1"/>
  <c r="H35" i="58438"/>
  <c r="H237" i="58438"/>
  <c r="M297" i="58438"/>
  <c r="M287" i="58438" s="1"/>
  <c r="H287" i="58438"/>
  <c r="H335" i="58438"/>
  <c r="H336" i="58438" s="1"/>
  <c r="M263" i="58438"/>
  <c r="M253" i="58438" s="1"/>
  <c r="H253" i="58438"/>
  <c r="H36" i="58438"/>
  <c r="S53" i="58438"/>
  <c r="K377" i="58438"/>
  <c r="K446" i="58438"/>
  <c r="K444" i="58438"/>
  <c r="K448" i="58438"/>
  <c r="K445" i="58438"/>
  <c r="K447" i="58438"/>
  <c r="R332" i="58438"/>
  <c r="M436" i="58438"/>
  <c r="M440" i="58438" s="1"/>
  <c r="M444" i="58438" s="1"/>
  <c r="M406" i="58438"/>
  <c r="M413" i="58438" s="1"/>
  <c r="K23" i="58498"/>
  <c r="F23" i="58498"/>
  <c r="C29" i="58498"/>
  <c r="J23" i="58498"/>
  <c r="W357" i="58438"/>
  <c r="W456" i="58438" s="1"/>
  <c r="AG104" i="58479"/>
  <c r="HW629" i="58479"/>
  <c r="HW636" i="58479" s="1"/>
  <c r="EV325" i="58481"/>
  <c r="W142" i="6"/>
  <c r="HY629" i="58479"/>
  <c r="HY555" i="58481"/>
  <c r="EV327" i="58481"/>
  <c r="C381" i="58438"/>
  <c r="C376" i="58438"/>
  <c r="C377" i="58438" s="1"/>
  <c r="C384" i="58438"/>
  <c r="C367" i="58438"/>
  <c r="C461" i="58438" s="1"/>
  <c r="D66" i="58502"/>
  <c r="M310" i="58438"/>
  <c r="R310" i="58438"/>
  <c r="R336" i="58438"/>
  <c r="M336" i="58438"/>
  <c r="C440" i="58438"/>
  <c r="C446" i="58438" s="1"/>
  <c r="C447" i="58438"/>
  <c r="IS701" i="58479"/>
  <c r="AF107" i="58479"/>
  <c r="AI110" i="58479" s="1"/>
  <c r="D67" i="58502"/>
  <c r="E67" i="58502"/>
  <c r="C383" i="58438"/>
  <c r="H307" i="58438"/>
  <c r="H303" i="58438"/>
  <c r="H398" i="58438" s="1"/>
  <c r="M399" i="58438" s="1"/>
  <c r="M466" i="58438" s="1"/>
  <c r="H347" i="58438"/>
  <c r="H348" i="58438" s="1"/>
  <c r="M296" i="58438"/>
  <c r="M286" i="58438" s="1"/>
  <c r="H286" i="58438"/>
  <c r="R346" i="58438"/>
  <c r="Z287" i="6"/>
  <c r="AY287" i="6" s="1"/>
  <c r="IN695" i="58479"/>
  <c r="IN696" i="58479" s="1"/>
  <c r="HU629" i="58479"/>
  <c r="HU636" i="58479" s="1"/>
  <c r="EV323" i="58481"/>
  <c r="M416" i="58438"/>
  <c r="M82" i="58438"/>
  <c r="W303" i="58438"/>
  <c r="R398" i="58438"/>
  <c r="R436" i="58438"/>
  <c r="R440" i="58438" s="1"/>
  <c r="R447" i="58438" s="1"/>
  <c r="R406" i="58438"/>
  <c r="E448" i="58438"/>
  <c r="E444" i="58438"/>
  <c r="E446" i="58438"/>
  <c r="E447" i="58438"/>
  <c r="J441" i="58438"/>
  <c r="E445" i="58438"/>
  <c r="C409" i="58438"/>
  <c r="C410" i="58438" s="1"/>
  <c r="C407" i="58438"/>
  <c r="C471" i="58438" s="1"/>
  <c r="C417" i="58438"/>
  <c r="BR225" i="58502"/>
  <c r="BQ218" i="58502"/>
  <c r="BQ226" i="58502"/>
  <c r="BQ206" i="58502" s="1"/>
  <c r="D47" i="58502"/>
  <c r="E47" i="58502"/>
  <c r="H413" i="58438"/>
  <c r="H409" i="58438"/>
  <c r="H414" i="58438"/>
  <c r="H407" i="58438"/>
  <c r="H471" i="58438" s="1"/>
  <c r="H415" i="58438"/>
  <c r="H417" i="58438"/>
  <c r="O54" i="58438"/>
  <c r="M77" i="58438"/>
  <c r="M66" i="58438" s="1"/>
  <c r="H71" i="58438"/>
  <c r="M76" i="58438" s="1"/>
  <c r="M65" i="58438" s="1"/>
  <c r="M264" i="58438"/>
  <c r="M254" i="58438" s="1"/>
  <c r="H254" i="58438"/>
  <c r="H343" i="58438"/>
  <c r="H344" i="58438" s="1"/>
  <c r="M109" i="58438"/>
  <c r="M99" i="58438" s="1"/>
  <c r="H103" i="58438"/>
  <c r="M108" i="58438" s="1"/>
  <c r="M98" i="58438" s="1"/>
  <c r="H255" i="58438"/>
  <c r="H331" i="58438"/>
  <c r="H332" i="58438" s="1"/>
  <c r="M265" i="58438"/>
  <c r="M255" i="58438" s="1"/>
  <c r="H285" i="58438"/>
  <c r="H38" i="58438"/>
  <c r="M295" i="58438"/>
  <c r="M285" i="58438" s="1"/>
  <c r="S432" i="58438"/>
  <c r="L415" i="58438"/>
  <c r="L407" i="58438"/>
  <c r="L471" i="58438" s="1"/>
  <c r="L409" i="58438"/>
  <c r="L417" i="58438"/>
  <c r="Q407" i="58438"/>
  <c r="Q471" i="58438" s="1"/>
  <c r="X432" i="58438"/>
  <c r="N49" i="58438"/>
  <c r="N54" i="58438" s="1"/>
  <c r="N380" i="58438"/>
  <c r="N384" i="58438"/>
  <c r="N383" i="58438"/>
  <c r="N376" i="58438"/>
  <c r="S377" i="58438" s="1"/>
  <c r="N381" i="58438"/>
  <c r="N367" i="58438"/>
  <c r="N461" i="58438" s="1"/>
  <c r="N382" i="58438"/>
  <c r="K23" i="58499"/>
  <c r="F23" i="58499"/>
  <c r="J23" i="58499"/>
  <c r="C29" i="58499"/>
  <c r="G23" i="58499"/>
  <c r="H416" i="58438"/>
  <c r="AE444" i="58438"/>
  <c r="AE447" i="58438"/>
  <c r="AE448" i="58438"/>
  <c r="AE445" i="58438"/>
  <c r="AE446" i="58438"/>
  <c r="I417" i="58438"/>
  <c r="I409" i="58438"/>
  <c r="I410" i="58438" s="1"/>
  <c r="I407" i="58438"/>
  <c r="I471" i="58438" s="1"/>
  <c r="I415" i="58438"/>
  <c r="I413" i="58438"/>
  <c r="I414" i="58438"/>
  <c r="M84" i="58438"/>
  <c r="C413" i="58438"/>
  <c r="S52" i="58438"/>
  <c r="S54" i="58438" s="1"/>
  <c r="C29" i="58501"/>
  <c r="K23" i="58501"/>
  <c r="J23" i="58501"/>
  <c r="F23" i="58501"/>
  <c r="C49" i="58499"/>
  <c r="K43" i="58499"/>
  <c r="J43" i="58499"/>
  <c r="F43" i="58499"/>
  <c r="AN505" i="6"/>
  <c r="AO505" i="6" s="1"/>
  <c r="BB505" i="6" s="1"/>
  <c r="C43" i="58498"/>
  <c r="D43" i="58501"/>
  <c r="G43" i="58499"/>
  <c r="D49" i="58499"/>
  <c r="N407" i="58438"/>
  <c r="N471" i="58438" s="1"/>
  <c r="N414" i="58438"/>
  <c r="N409" i="58438"/>
  <c r="N410" i="58438" s="1"/>
  <c r="N416" i="58438"/>
  <c r="N417" i="58438"/>
  <c r="N415" i="58438"/>
  <c r="N413" i="58438"/>
  <c r="I383" i="58438"/>
  <c r="I367" i="58438"/>
  <c r="I461" i="58438" s="1"/>
  <c r="I381" i="58438"/>
  <c r="I376" i="58438"/>
  <c r="I377" i="58438" s="1"/>
  <c r="I380" i="58438"/>
  <c r="I382" i="58438"/>
  <c r="I384" i="58438"/>
  <c r="C445" i="58438"/>
  <c r="L383" i="58438"/>
  <c r="Q367" i="58438"/>
  <c r="Q461" i="58438" s="1"/>
  <c r="L382" i="58438"/>
  <c r="L384" i="58438"/>
  <c r="L380" i="58438"/>
  <c r="L381" i="58438"/>
  <c r="L367" i="58438"/>
  <c r="L461" i="58438" s="1"/>
  <c r="L376" i="58438"/>
  <c r="R237" i="58438"/>
  <c r="R11" i="58438" s="1"/>
  <c r="L5" i="58471" s="1"/>
  <c r="R35" i="58438"/>
  <c r="R42" i="58438" s="1"/>
  <c r="D37" i="58499"/>
  <c r="C415" i="58438"/>
  <c r="W46" i="58470"/>
  <c r="H270" i="58438"/>
  <c r="H345" i="58438"/>
  <c r="H346" i="58438" s="1"/>
  <c r="M280" i="58438"/>
  <c r="M270" i="58438" s="1"/>
  <c r="H271" i="58438"/>
  <c r="H333" i="58438"/>
  <c r="M281" i="58438"/>
  <c r="M271" i="58438" s="1"/>
  <c r="M279" i="58438"/>
  <c r="M269" i="58438" s="1"/>
  <c r="H269" i="58438"/>
  <c r="H37" i="58438"/>
  <c r="J410" i="58438"/>
  <c r="L440" i="58438"/>
  <c r="R357" i="58438"/>
  <c r="R456" i="58438" s="1"/>
  <c r="E64" i="58502"/>
  <c r="D64" i="58502"/>
  <c r="D446" i="58438"/>
  <c r="I440" i="58438"/>
  <c r="M348" i="58438"/>
  <c r="R348" i="58438"/>
  <c r="C444" i="58438"/>
  <c r="L416" i="58438"/>
  <c r="L469" i="58438" s="1"/>
  <c r="H367" i="58438"/>
  <c r="H461" i="58438" s="1"/>
  <c r="B324" i="58438"/>
  <c r="AD99" i="58438"/>
  <c r="AD104" i="58438" s="1"/>
  <c r="H349" i="58438"/>
  <c r="AD326" i="58438"/>
  <c r="AD98" i="58438" s="1"/>
  <c r="V459" i="58438"/>
  <c r="V58" i="58438" s="1"/>
  <c r="M448" i="58438"/>
  <c r="H337" i="58438"/>
  <c r="M338" i="58438" s="1"/>
  <c r="AD324" i="58438"/>
  <c r="U459" i="58438"/>
  <c r="U58" i="58438" s="1"/>
  <c r="AH448" i="58438"/>
  <c r="AP70" i="6"/>
  <c r="L16" i="58482" s="1"/>
  <c r="M445" i="58438"/>
  <c r="M447" i="58438"/>
  <c r="M446" i="58438"/>
  <c r="M441" i="58438"/>
  <c r="AI390" i="6"/>
  <c r="AI391" i="6" s="1"/>
  <c r="T459" i="58438"/>
  <c r="T58" i="58438" s="1"/>
  <c r="S459" i="58438"/>
  <c r="S58" i="58438" s="1"/>
  <c r="AJ612" i="58411"/>
  <c r="AJ421" i="58438" s="1"/>
  <c r="AJ403" i="58438" s="1"/>
  <c r="AJ437" i="58438" s="1"/>
  <c r="AI379" i="58411"/>
  <c r="AL187" i="6" s="1"/>
  <c r="AL189" i="6" s="1"/>
  <c r="AI630" i="58411"/>
  <c r="AI631" i="58411" s="1"/>
  <c r="AI632" i="58411" s="1"/>
  <c r="AH20" i="58438"/>
  <c r="AH43" i="58438" s="1"/>
  <c r="AJ772" i="58411"/>
  <c r="AH469" i="58438"/>
  <c r="AJ439" i="58438"/>
  <c r="AI773" i="58411"/>
  <c r="AI774" i="58411" s="1"/>
  <c r="AI22" i="58438"/>
  <c r="AI45" i="58438" s="1"/>
  <c r="AH447" i="58438"/>
  <c r="AF837" i="58411"/>
  <c r="AF838" i="58411" s="1"/>
  <c r="AI911" i="58411"/>
  <c r="AI912" i="58411" s="1"/>
  <c r="AI470" i="58438" s="1"/>
  <c r="AI421" i="58438"/>
  <c r="AI886" i="58411"/>
  <c r="AI887" i="58411" s="1"/>
  <c r="AH446" i="58438"/>
  <c r="AH445" i="58438"/>
  <c r="AL363" i="58438"/>
  <c r="AK388" i="6"/>
  <c r="AK389" i="6" s="1"/>
  <c r="AK390" i="6" s="1"/>
  <c r="AK391" i="6" s="1"/>
  <c r="AH441" i="58438"/>
  <c r="AJ402" i="58438"/>
  <c r="AJ882" i="58411"/>
  <c r="AJ883" i="58411" s="1"/>
  <c r="AJ460" i="58438" s="1"/>
  <c r="AJ387" i="58438"/>
  <c r="AH380" i="58438"/>
  <c r="AH382" i="58438"/>
  <c r="AH367" i="58438"/>
  <c r="AH461" i="58438" s="1"/>
  <c r="AH383" i="58438"/>
  <c r="AH384" i="58438"/>
  <c r="AH381" i="58438"/>
  <c r="AI391" i="58438"/>
  <c r="AI392" i="58438" s="1"/>
  <c r="AI362" i="58438"/>
  <c r="AI560" i="58411"/>
  <c r="AI561" i="58411" s="1"/>
  <c r="AI19" i="58438"/>
  <c r="AI42" i="58438" s="1"/>
  <c r="AI834" i="58411"/>
  <c r="AL388" i="6" s="1"/>
  <c r="AJ399" i="58438"/>
  <c r="AJ466" i="58438" s="1"/>
  <c r="AK338" i="58411"/>
  <c r="U469" i="58438"/>
  <c r="AC446" i="58438"/>
  <c r="P326" i="58438"/>
  <c r="F337" i="58438"/>
  <c r="AC445" i="58438"/>
  <c r="T469" i="58438"/>
  <c r="O326" i="58438"/>
  <c r="AC459" i="58438"/>
  <c r="AC58" i="58438" s="1"/>
  <c r="Q326" i="58438"/>
  <c r="R459" i="58438"/>
  <c r="R58" i="58438" s="1"/>
  <c r="E16" i="58477"/>
  <c r="F16" i="58477" s="1"/>
  <c r="G16" i="58477" s="1"/>
  <c r="E40" i="58477"/>
  <c r="F40" i="58477" s="1"/>
  <c r="G40" i="58477" s="1"/>
  <c r="DK372" i="58502"/>
  <c r="K6" i="58511"/>
  <c r="J13" i="58511"/>
  <c r="J30" i="58511"/>
  <c r="J39" i="58511" s="1"/>
  <c r="I46" i="58512"/>
  <c r="I43" i="58512" s="1"/>
  <c r="I58" i="58511"/>
  <c r="BB70" i="6"/>
  <c r="AO582" i="6"/>
  <c r="AN608" i="6"/>
  <c r="AP657" i="6"/>
  <c r="BB657" i="6"/>
  <c r="AO653" i="6"/>
  <c r="AN576" i="6"/>
  <c r="AO576" i="6" s="1"/>
  <c r="BB576" i="6" s="1"/>
  <c r="P233" i="58511"/>
  <c r="Q231" i="58511"/>
  <c r="Q233" i="58511" s="1"/>
  <c r="AH908" i="58411"/>
  <c r="AH465" i="58438" s="1"/>
  <c r="AC18" i="58438"/>
  <c r="AF23" i="58438"/>
  <c r="AF26" i="58438" s="1"/>
  <c r="AF41" i="58438"/>
  <c r="AF797" i="58411"/>
  <c r="AI202" i="6" s="1"/>
  <c r="AI203" i="6" s="1"/>
  <c r="AJ203" i="6" s="1"/>
  <c r="BA203" i="6" s="1"/>
  <c r="AF112" i="58438"/>
  <c r="AE23" i="58438"/>
  <c r="AE26" i="58438" s="1"/>
  <c r="AE41" i="58438"/>
  <c r="AD51" i="58438"/>
  <c r="AD50" i="58438"/>
  <c r="AD52" i="58438"/>
  <c r="AD53" i="58438"/>
  <c r="AC444" i="58438"/>
  <c r="AC447" i="58438"/>
  <c r="AC448" i="58438"/>
  <c r="M31" i="58512"/>
  <c r="J39" i="58512"/>
  <c r="K36" i="58512"/>
  <c r="K55" i="58512" s="1"/>
  <c r="L57" i="58512"/>
  <c r="L35" i="58512"/>
  <c r="I194" i="58511"/>
  <c r="I205" i="58511" s="1"/>
  <c r="D84" i="58511"/>
  <c r="H81" i="58511"/>
  <c r="AB436" i="58438"/>
  <c r="AB406" i="58438"/>
  <c r="AB413" i="58438" s="1"/>
  <c r="AG431" i="58438"/>
  <c r="AG432" i="58438" s="1"/>
  <c r="AG399" i="58438"/>
  <c r="AG466" i="58438" s="1"/>
  <c r="AM87" i="58438"/>
  <c r="AN93" i="58438"/>
  <c r="AN88" i="58438" s="1"/>
  <c r="W417" i="58438"/>
  <c r="W407" i="58438"/>
  <c r="W471" i="58438" s="1"/>
  <c r="W414" i="58438"/>
  <c r="W415" i="58438"/>
  <c r="W416" i="58438"/>
  <c r="W51" i="58438"/>
  <c r="W53" i="58438"/>
  <c r="W52" i="58438"/>
  <c r="W49" i="58438"/>
  <c r="R448" i="58438"/>
  <c r="R441" i="58438"/>
  <c r="R445" i="58438"/>
  <c r="R446" i="58438"/>
  <c r="AI109" i="58438"/>
  <c r="X409" i="58438"/>
  <c r="X410" i="58438" s="1"/>
  <c r="X407" i="58438"/>
  <c r="X471" i="58438" s="1"/>
  <c r="X417" i="58438"/>
  <c r="X415" i="58438"/>
  <c r="AC407" i="58438"/>
  <c r="AC471" i="58438" s="1"/>
  <c r="X414" i="58438"/>
  <c r="X416" i="58438"/>
  <c r="AK247" i="58438"/>
  <c r="AF35" i="58438"/>
  <c r="AF42" i="58438" s="1"/>
  <c r="AF436" i="58438"/>
  <c r="AF406" i="58438"/>
  <c r="AG402" i="58438"/>
  <c r="AB366" i="58438"/>
  <c r="AB380" i="58438" s="1"/>
  <c r="AA52" i="58438"/>
  <c r="AA53" i="58438"/>
  <c r="AA51" i="58438"/>
  <c r="AA49" i="58438"/>
  <c r="AA440" i="58438"/>
  <c r="AA444" i="58438" s="1"/>
  <c r="W413" i="58438"/>
  <c r="V54" i="58438"/>
  <c r="AI399" i="58438"/>
  <c r="AI466" i="58438" s="1"/>
  <c r="Z440" i="58438"/>
  <c r="Z444" i="58438" s="1"/>
  <c r="W50" i="58438"/>
  <c r="U448" i="58438"/>
  <c r="U441" i="58438"/>
  <c r="U445" i="58438"/>
  <c r="U446" i="58438"/>
  <c r="U447" i="58438"/>
  <c r="S441" i="58438"/>
  <c r="S448" i="58438"/>
  <c r="S445" i="58438"/>
  <c r="S446" i="58438"/>
  <c r="S447" i="58438"/>
  <c r="Z376" i="58438"/>
  <c r="Z384" i="58438"/>
  <c r="Z367" i="58438"/>
  <c r="Z461" i="58438" s="1"/>
  <c r="AE367" i="58438"/>
  <c r="AE461" i="58438" s="1"/>
  <c r="Z381" i="58438"/>
  <c r="Z382" i="58438"/>
  <c r="Z383" i="58438"/>
  <c r="R444" i="58438"/>
  <c r="M350" i="58438"/>
  <c r="X413" i="58438"/>
  <c r="AL316" i="58438"/>
  <c r="AU316" i="58438"/>
  <c r="AB51" i="58438"/>
  <c r="AB52" i="58438"/>
  <c r="AB53" i="58438"/>
  <c r="AB49" i="58438"/>
  <c r="X384" i="58438"/>
  <c r="X367" i="58438"/>
  <c r="X461" i="58438" s="1"/>
  <c r="X376" i="58438"/>
  <c r="X377" i="58438" s="1"/>
  <c r="X381" i="58438"/>
  <c r="X382" i="58438"/>
  <c r="AC367" i="58438"/>
  <c r="AC461" i="58438" s="1"/>
  <c r="X383" i="58438"/>
  <c r="AA50" i="58438"/>
  <c r="W440" i="58438"/>
  <c r="W444" i="58438" s="1"/>
  <c r="O350" i="58438"/>
  <c r="V448" i="58438"/>
  <c r="V441" i="58438"/>
  <c r="V445" i="58438"/>
  <c r="V446" i="58438"/>
  <c r="V447" i="58438"/>
  <c r="Y440" i="58438"/>
  <c r="Y444" i="58438" s="1"/>
  <c r="U444" i="58438"/>
  <c r="S444" i="58438"/>
  <c r="F349" i="58438"/>
  <c r="AH399" i="58438"/>
  <c r="AH466" i="58438" s="1"/>
  <c r="AH409" i="58438"/>
  <c r="AH410" i="58438" s="1"/>
  <c r="V469" i="58438"/>
  <c r="AA384" i="58438"/>
  <c r="AA367" i="58438"/>
  <c r="AA461" i="58438" s="1"/>
  <c r="AA376" i="58438"/>
  <c r="AA377" i="58438" s="1"/>
  <c r="AA383" i="58438"/>
  <c r="AA381" i="58438"/>
  <c r="AA382" i="58438"/>
  <c r="S469" i="58438"/>
  <c r="X440" i="58438"/>
  <c r="X444" i="58438" s="1"/>
  <c r="Y376" i="58438"/>
  <c r="Y377" i="58438" s="1"/>
  <c r="Y384" i="58438"/>
  <c r="Y367" i="58438"/>
  <c r="Y461" i="58438" s="1"/>
  <c r="Y382" i="58438"/>
  <c r="AD367" i="58438"/>
  <c r="AD461" i="58438" s="1"/>
  <c r="Y381" i="58438"/>
  <c r="Y383" i="58438"/>
  <c r="AF366" i="58438"/>
  <c r="AF380" i="58438" s="1"/>
  <c r="AG362" i="58438"/>
  <c r="AB50" i="58438"/>
  <c r="X380" i="58438"/>
  <c r="AA417" i="58438"/>
  <c r="AA409" i="58438"/>
  <c r="AA410" i="58438" s="1"/>
  <c r="AA407" i="58438"/>
  <c r="AA471" i="58438" s="1"/>
  <c r="AA416" i="58438"/>
  <c r="AA415" i="58438"/>
  <c r="AA414" i="58438"/>
  <c r="O338" i="58438"/>
  <c r="J324" i="58438"/>
  <c r="Z417" i="58438"/>
  <c r="Z407" i="58438"/>
  <c r="Z471" i="58438" s="1"/>
  <c r="Z409" i="58438"/>
  <c r="AE407" i="58438"/>
  <c r="AE471" i="58438" s="1"/>
  <c r="Z414" i="58438"/>
  <c r="Z415" i="58438"/>
  <c r="Z416" i="58438"/>
  <c r="V444" i="58438"/>
  <c r="Y417" i="58438"/>
  <c r="Y407" i="58438"/>
  <c r="Y471" i="58438" s="1"/>
  <c r="Y409" i="58438"/>
  <c r="Y410" i="58438" s="1"/>
  <c r="AD407" i="58438"/>
  <c r="AD471" i="58438" s="1"/>
  <c r="Y415" i="58438"/>
  <c r="Y416" i="58438"/>
  <c r="Y414" i="58438"/>
  <c r="W384" i="58438"/>
  <c r="W367" i="58438"/>
  <c r="W461" i="58438" s="1"/>
  <c r="W376" i="58438"/>
  <c r="W377" i="58438" s="1"/>
  <c r="W383" i="58438"/>
  <c r="W382" i="58438"/>
  <c r="W381" i="58438"/>
  <c r="T448" i="58438"/>
  <c r="T441" i="58438"/>
  <c r="T446" i="58438"/>
  <c r="T445" i="58438"/>
  <c r="T447" i="58438"/>
  <c r="AM33" i="58411"/>
  <c r="AK692" i="58411"/>
  <c r="AL676" i="58411"/>
  <c r="AK128" i="58411"/>
  <c r="AL112" i="58411"/>
  <c r="AL618" i="58411"/>
  <c r="AM602" i="58411"/>
  <c r="AK845" i="58411"/>
  <c r="AK780" i="58411"/>
  <c r="AL425" i="58411"/>
  <c r="AG321" i="58411"/>
  <c r="AF353" i="58411"/>
  <c r="AG246" i="58411"/>
  <c r="AF278" i="58411"/>
  <c r="AF390" i="58411"/>
  <c r="AF251" i="58411"/>
  <c r="AK769" i="58411"/>
  <c r="AL753" i="58411"/>
  <c r="Q391" i="6"/>
  <c r="U390" i="6"/>
  <c r="AX390" i="6" s="1"/>
  <c r="AL256" i="58411"/>
  <c r="AK272" i="58411"/>
  <c r="AM762" i="58411"/>
  <c r="AN746" i="58411"/>
  <c r="AN762" i="58411" s="1"/>
  <c r="AM167" i="58411"/>
  <c r="AK140" i="58411"/>
  <c r="AL124" i="58411"/>
  <c r="AA240" i="6"/>
  <c r="AE237" i="6"/>
  <c r="IH654" i="58479" s="1"/>
  <c r="IH655" i="58479" s="1"/>
  <c r="AN80" i="58411"/>
  <c r="AN93" i="58411" s="1"/>
  <c r="AM93" i="58411"/>
  <c r="AI384" i="6"/>
  <c r="AL596" i="58411"/>
  <c r="AL388" i="58438" s="1"/>
  <c r="AM583" i="58411"/>
  <c r="AL260" i="58411"/>
  <c r="AK276" i="58411"/>
  <c r="AL341" i="58411"/>
  <c r="AM325" i="58411"/>
  <c r="AH789" i="58411"/>
  <c r="AI434" i="58411"/>
  <c r="AH482" i="58411"/>
  <c r="V390" i="6"/>
  <c r="AL554" i="58411"/>
  <c r="AM538" i="58411"/>
  <c r="AK825" i="58411"/>
  <c r="AL462" i="58411"/>
  <c r="AK821" i="58411"/>
  <c r="AK474" i="58411"/>
  <c r="AL458" i="58411"/>
  <c r="T238" i="6"/>
  <c r="Y238" i="6"/>
  <c r="T240" i="6"/>
  <c r="R240" i="6"/>
  <c r="R238" i="6"/>
  <c r="U237" i="6"/>
  <c r="IF654" i="58479" s="1"/>
  <c r="IF655" i="58479" s="1"/>
  <c r="AM41" i="58411"/>
  <c r="AK545" i="58411"/>
  <c r="AL529" i="58411"/>
  <c r="AK541" i="58411"/>
  <c r="AK420" i="58438" s="1"/>
  <c r="AL374" i="58411"/>
  <c r="AM19" i="58411"/>
  <c r="AL326" i="58411"/>
  <c r="AK342" i="58411"/>
  <c r="AK525" i="58411"/>
  <c r="AK387" i="58438" s="1"/>
  <c r="AL512" i="58411"/>
  <c r="AK544" i="58411"/>
  <c r="AN184" i="58411"/>
  <c r="AN200" i="58411" s="1"/>
  <c r="AM200" i="58411"/>
  <c r="AK483" i="58411"/>
  <c r="AL467" i="58411"/>
  <c r="S560" i="58411"/>
  <c r="S561" i="58411" s="1"/>
  <c r="X560" i="58411"/>
  <c r="X561" i="58411" s="1"/>
  <c r="AG107" i="58411"/>
  <c r="AF139" i="58411"/>
  <c r="AM464" i="58411"/>
  <c r="AJ626" i="58411"/>
  <c r="AK610" i="58411"/>
  <c r="AJ831" i="58411"/>
  <c r="AJ834" i="58411" s="1"/>
  <c r="AJ701" i="58411"/>
  <c r="AK811" i="58411"/>
  <c r="AL452" i="58411"/>
  <c r="AL370" i="58411"/>
  <c r="AM15" i="58411"/>
  <c r="AM468" i="58411"/>
  <c r="AL484" i="58411"/>
  <c r="AM667" i="58411"/>
  <c r="AM389" i="58438" s="1"/>
  <c r="AM364" i="58438" s="1"/>
  <c r="AN654" i="58411"/>
  <c r="AN667" i="58411" s="1"/>
  <c r="AN389" i="58438" s="1"/>
  <c r="L334" i="6"/>
  <c r="P333" i="6"/>
  <c r="AW333" i="6" s="1"/>
  <c r="AG857" i="58411"/>
  <c r="AG18" i="58438" s="1"/>
  <c r="AM460" i="58411"/>
  <c r="AN121" i="58411"/>
  <c r="AM691" i="58411"/>
  <c r="AN675" i="58411"/>
  <c r="AN691" i="58411" s="1"/>
  <c r="AG817" i="58411"/>
  <c r="AM134" i="58411"/>
  <c r="AN118" i="58411"/>
  <c r="AN134" i="58411" s="1"/>
  <c r="AM45" i="58411"/>
  <c r="AK808" i="58411"/>
  <c r="AL449" i="58411"/>
  <c r="AM548" i="58411"/>
  <c r="AN532" i="58411"/>
  <c r="AN548" i="58411" s="1"/>
  <c r="AK405" i="58411"/>
  <c r="AL46" i="58411"/>
  <c r="AK62" i="58411"/>
  <c r="AG176" i="58411"/>
  <c r="AF180" i="58411"/>
  <c r="AF208" i="58411"/>
  <c r="AG247" i="58411"/>
  <c r="AF279" i="58411"/>
  <c r="AL164" i="58411"/>
  <c r="AM151" i="58411"/>
  <c r="AM580" i="58411"/>
  <c r="AN567" i="58411"/>
  <c r="AN580" i="58411" s="1"/>
  <c r="AK760" i="58411"/>
  <c r="AL744" i="58411"/>
  <c r="AM238" i="58411"/>
  <c r="AL270" i="58411"/>
  <c r="AN96" i="58411"/>
  <c r="AK226" i="58411"/>
  <c r="AJ274" i="58411"/>
  <c r="AJ235" i="58411"/>
  <c r="AL31" i="58411"/>
  <c r="AK63" i="58411"/>
  <c r="AM758" i="58411"/>
  <c r="AN742" i="58411"/>
  <c r="AN758" i="58411" s="1"/>
  <c r="AJ123" i="58411"/>
  <c r="AM552" i="58411"/>
  <c r="AN536" i="58411"/>
  <c r="AN552" i="58411" s="1"/>
  <c r="AH786" i="58411"/>
  <c r="AI431" i="58411"/>
  <c r="AH479" i="58411"/>
  <c r="AG59" i="58411"/>
  <c r="R861" i="58411"/>
  <c r="R863" i="58411"/>
  <c r="W861" i="58411"/>
  <c r="AL689" i="58411"/>
  <c r="AM673" i="58411"/>
  <c r="AJ928" i="58411"/>
  <c r="AG320" i="58411"/>
  <c r="AF352" i="58411"/>
  <c r="AN113" i="58411"/>
  <c r="AK549" i="58411"/>
  <c r="AL533" i="58411"/>
  <c r="AL135" i="58411"/>
  <c r="AM119" i="58411"/>
  <c r="AI193" i="58411"/>
  <c r="AH784" i="58411"/>
  <c r="AI429" i="58411"/>
  <c r="AH477" i="58411"/>
  <c r="AH438" i="58411"/>
  <c r="AK364" i="58411"/>
  <c r="AK22" i="58411"/>
  <c r="AL9" i="58411"/>
  <c r="AL50" i="58411"/>
  <c r="S242" i="6"/>
  <c r="S241" i="6"/>
  <c r="AM53" i="58411"/>
  <c r="AK199" i="58411"/>
  <c r="AL183" i="58411"/>
  <c r="AI909" i="58411"/>
  <c r="AI908" i="58411"/>
  <c r="AI465" i="58438" s="1"/>
  <c r="AK828" i="58411"/>
  <c r="AL465" i="58411"/>
  <c r="AI195" i="58411"/>
  <c r="AH412" i="58411"/>
  <c r="AK620" i="58411"/>
  <c r="AL604" i="58411"/>
  <c r="AG178" i="58411"/>
  <c r="AF210" i="58411"/>
  <c r="AG249" i="58411"/>
  <c r="AF281" i="58411"/>
  <c r="AE397" i="58411"/>
  <c r="AM337" i="58411"/>
  <c r="AD945" i="58411"/>
  <c r="AD938" i="58411"/>
  <c r="AD936" i="58411"/>
  <c r="AD940" i="58411" s="1"/>
  <c r="AD937" i="58411"/>
  <c r="AM265" i="58411"/>
  <c r="AN309" i="58411"/>
  <c r="AN48" i="58411"/>
  <c r="AM373" i="58411"/>
  <c r="AN18" i="58411"/>
  <c r="AN373" i="58411" s="1"/>
  <c r="AK892" i="58411"/>
  <c r="AN421" i="6"/>
  <c r="AJ878" i="58411"/>
  <c r="AJ879" i="58411" s="1"/>
  <c r="AJ455" i="58438" s="1"/>
  <c r="AJ870" i="58411"/>
  <c r="AL206" i="58411"/>
  <c r="AM190" i="58411"/>
  <c r="AJ205" i="58411"/>
  <c r="AK189" i="58411"/>
  <c r="AJ406" i="58411"/>
  <c r="AI309" i="6"/>
  <c r="AI331" i="6"/>
  <c r="AI332" i="6" s="1"/>
  <c r="AI333" i="6" s="1"/>
  <c r="AI334" i="6" s="1"/>
  <c r="AK617" i="58411"/>
  <c r="AL601" i="58411"/>
  <c r="AK367" i="58411"/>
  <c r="AL12" i="58411"/>
  <c r="AK60" i="58411"/>
  <c r="S929" i="58411"/>
  <c r="S794" i="58411"/>
  <c r="AG315" i="58411"/>
  <c r="AF388" i="58411"/>
  <c r="AF322" i="58411"/>
  <c r="AF347" i="58411"/>
  <c r="AK387" i="58411"/>
  <c r="AL30" i="58411"/>
  <c r="AF393" i="58411"/>
  <c r="AG36" i="58411"/>
  <c r="AK801" i="58411"/>
  <c r="AL442" i="58411"/>
  <c r="AL763" i="58411"/>
  <c r="AM747" i="58411"/>
  <c r="AI194" i="58411"/>
  <c r="AI411" i="58411" s="1"/>
  <c r="AN117" i="58411"/>
  <c r="AN133" i="58411" s="1"/>
  <c r="AM133" i="58411"/>
  <c r="AK761" i="58411"/>
  <c r="AL745" i="58411"/>
  <c r="AL386" i="58411"/>
  <c r="AM29" i="58411"/>
  <c r="AM619" i="58411"/>
  <c r="AN603" i="58411"/>
  <c r="AN619" i="58411" s="1"/>
  <c r="AH788" i="58411"/>
  <c r="AH931" i="58411" s="1"/>
  <c r="AI433" i="58411"/>
  <c r="AH481" i="58411"/>
  <c r="AK781" i="58411"/>
  <c r="AL426" i="58411"/>
  <c r="AK267" i="58411"/>
  <c r="AH312" i="6"/>
  <c r="AH311" i="6"/>
  <c r="AH314" i="6" s="1"/>
  <c r="L391" i="6"/>
  <c r="P390" i="6"/>
  <c r="AW390" i="6" s="1"/>
  <c r="AL725" i="58411"/>
  <c r="AK738" i="58411"/>
  <c r="AK390" i="58438" s="1"/>
  <c r="AK365" i="58438" s="1"/>
  <c r="AK754" i="58411"/>
  <c r="AK423" i="58438" s="1"/>
  <c r="AK405" i="58438" s="1"/>
  <c r="AL405" i="58438" s="1"/>
  <c r="AK757" i="58411"/>
  <c r="AL741" i="58411"/>
  <c r="AH385" i="6"/>
  <c r="AH386" i="6"/>
  <c r="AH393" i="6"/>
  <c r="AG488" i="58411"/>
  <c r="AG489" i="58411" s="1"/>
  <c r="AG490" i="58411" s="1"/>
  <c r="AJ624" i="58411"/>
  <c r="AK608" i="58411"/>
  <c r="AK829" i="58411" s="1"/>
  <c r="AL366" i="58411"/>
  <c r="AM11" i="58411"/>
  <c r="AL16" i="58411"/>
  <c r="AK64" i="58411"/>
  <c r="R797" i="58411"/>
  <c r="U202" i="6" s="1"/>
  <c r="IF648" i="58479" s="1"/>
  <c r="R837" i="58411"/>
  <c r="AM335" i="58411"/>
  <c r="AL332" i="58411"/>
  <c r="AK348" i="58411"/>
  <c r="AK722" i="58411"/>
  <c r="AK860" i="58411" s="1"/>
  <c r="AL709" i="58411"/>
  <c r="AL336" i="58411"/>
  <c r="AK824" i="58411"/>
  <c r="AL461" i="58411"/>
  <c r="AH410" i="58411"/>
  <c r="AL697" i="58411"/>
  <c r="AM681" i="58411"/>
  <c r="AL264" i="58411"/>
  <c r="Q865" i="58411"/>
  <c r="Q864" i="58411"/>
  <c r="V864" i="58411"/>
  <c r="AJ907" i="58411"/>
  <c r="AJ899" i="58411"/>
  <c r="AM331" i="58411"/>
  <c r="AM766" i="58411"/>
  <c r="AN750" i="58411"/>
  <c r="AN766" i="58411" s="1"/>
  <c r="AM185" i="58411"/>
  <c r="AK621" i="58411"/>
  <c r="AL605" i="58411"/>
  <c r="AM687" i="58411"/>
  <c r="AN671" i="58411"/>
  <c r="AN687" i="58411" s="1"/>
  <c r="AJ390" i="6"/>
  <c r="BA390" i="6" s="1"/>
  <c r="BA389" i="6"/>
  <c r="AM615" i="58411"/>
  <c r="AN599" i="58411"/>
  <c r="AJ847" i="58411"/>
  <c r="AJ846" i="58411"/>
  <c r="AG250" i="58411"/>
  <c r="AF282" i="58411"/>
  <c r="AF392" i="58411"/>
  <c r="AG35" i="58411"/>
  <c r="AH240" i="6"/>
  <c r="AH238" i="6"/>
  <c r="AK696" i="58411"/>
  <c r="AL680" i="58411"/>
  <c r="AL306" i="58411"/>
  <c r="AM293" i="58411"/>
  <c r="AL334" i="58411"/>
  <c r="AG794" i="58411"/>
  <c r="AG112" i="58438" s="1"/>
  <c r="AK229" i="58411"/>
  <c r="AJ277" i="58411"/>
  <c r="AK804" i="58411"/>
  <c r="AL445" i="58411"/>
  <c r="AK136" i="58411"/>
  <c r="AL120" i="58411"/>
  <c r="AN14" i="58411"/>
  <c r="AK375" i="58411"/>
  <c r="AL20" i="58411"/>
  <c r="S859" i="58411"/>
  <c r="S858" i="58411"/>
  <c r="T859" i="58411"/>
  <c r="X858" i="58411"/>
  <c r="AM695" i="58411"/>
  <c r="AN679" i="58411"/>
  <c r="AN695" i="58411" s="1"/>
  <c r="AF129" i="58411"/>
  <c r="AG97" i="58411"/>
  <c r="AF109" i="58411"/>
  <c r="AF383" i="58411"/>
  <c r="AY389" i="6"/>
  <c r="AA390" i="6"/>
  <c r="AA391" i="6" s="1"/>
  <c r="AE390" i="6"/>
  <c r="AZ390" i="6" s="1"/>
  <c r="AL469" i="58411"/>
  <c r="AL115" i="58411"/>
  <c r="AK131" i="58411"/>
  <c r="AK403" i="58411"/>
  <c r="AG923" i="58411"/>
  <c r="AG921" i="58411"/>
  <c r="R489" i="58411"/>
  <c r="R490" i="58411" s="1"/>
  <c r="W489" i="58411"/>
  <c r="W490" i="58411" s="1"/>
  <c r="AL407" i="58411"/>
  <c r="AK875" i="58411"/>
  <c r="AK876" i="58411" s="1"/>
  <c r="AK807" i="58411"/>
  <c r="AL448" i="58411"/>
  <c r="AK400" i="58411"/>
  <c r="AL891" i="58411"/>
  <c r="AM816" i="58411"/>
  <c r="AL836" i="58411"/>
  <c r="S631" i="58411"/>
  <c r="S632" i="58411" s="1"/>
  <c r="X631" i="58411"/>
  <c r="X632" i="58411" s="1"/>
  <c r="AL550" i="58411"/>
  <c r="AM534" i="58411"/>
  <c r="AC908" i="58411"/>
  <c r="AC465" i="58438" s="1"/>
  <c r="AC909" i="58411"/>
  <c r="AC915" i="58411"/>
  <c r="AD909" i="58411"/>
  <c r="Q945" i="58411"/>
  <c r="Q935" i="58411"/>
  <c r="Q940" i="58411" s="1"/>
  <c r="Q937" i="58411"/>
  <c r="AM385" i="58411"/>
  <c r="AN28" i="58411"/>
  <c r="AN385" i="58411" s="1"/>
  <c r="AG317" i="58411"/>
  <c r="AF349" i="58411"/>
  <c r="AE356" i="58411"/>
  <c r="AE357" i="58411" s="1"/>
  <c r="AE358" i="58411" s="1"/>
  <c r="AK904" i="58411"/>
  <c r="AK905" i="58411" s="1"/>
  <c r="AK805" i="58411"/>
  <c r="AL446" i="58411"/>
  <c r="AG240" i="6"/>
  <c r="AG238" i="6"/>
  <c r="AL806" i="58411"/>
  <c r="AM447" i="58411"/>
  <c r="AJ625" i="58411"/>
  <c r="AK609" i="58411"/>
  <c r="AL693" i="58411"/>
  <c r="AM677" i="58411"/>
  <c r="AH785" i="58411"/>
  <c r="AI430" i="58411"/>
  <c r="AH478" i="58411"/>
  <c r="AH848" i="58411"/>
  <c r="AK901" i="58411"/>
  <c r="AK902" i="58411" s="1"/>
  <c r="AG931" i="58411"/>
  <c r="AL271" i="58411"/>
  <c r="AM255" i="58411"/>
  <c r="AJ627" i="58411"/>
  <c r="AK611" i="58411"/>
  <c r="AH335" i="6"/>
  <c r="Q838" i="58411"/>
  <c r="Q839" i="58411" s="1"/>
  <c r="V838" i="58411"/>
  <c r="V839" i="58411" s="1"/>
  <c r="AJ371" i="58411"/>
  <c r="AJ379" i="58411" s="1"/>
  <c r="AM187" i="6" s="1"/>
  <c r="R933" i="58411"/>
  <c r="R936" i="58411" s="1"/>
  <c r="AL202" i="58411"/>
  <c r="AM186" i="58411"/>
  <c r="AE214" i="58411"/>
  <c r="AE215" i="58411" s="1"/>
  <c r="AE216" i="58411" s="1"/>
  <c r="AG177" i="58411"/>
  <c r="AF209" i="58411"/>
  <c r="AG248" i="58411"/>
  <c r="AF280" i="58411"/>
  <c r="AJ862" i="58411"/>
  <c r="AJ861" i="58411"/>
  <c r="Q938" i="58411"/>
  <c r="AH894" i="58411"/>
  <c r="AH887" i="58411"/>
  <c r="AK553" i="58411"/>
  <c r="AL537" i="58411"/>
  <c r="AK207" i="58411"/>
  <c r="AL191" i="58411"/>
  <c r="AK783" i="58411"/>
  <c r="AL428" i="58411"/>
  <c r="AK826" i="58411"/>
  <c r="AL463" i="58411"/>
  <c r="AK132" i="58411"/>
  <c r="AL116" i="58411"/>
  <c r="AN52" i="58411"/>
  <c r="AK812" i="58411"/>
  <c r="AL453" i="58411"/>
  <c r="AL382" i="58411"/>
  <c r="AM25" i="58411"/>
  <c r="AK407" i="58411"/>
  <c r="AL546" i="58411"/>
  <c r="AM530" i="58411"/>
  <c r="AK822" i="58411"/>
  <c r="AL459" i="58411"/>
  <c r="AM333" i="58411"/>
  <c r="AM556" i="58411"/>
  <c r="AN540" i="58411"/>
  <c r="AN556" i="58411" s="1"/>
  <c r="AL466" i="58411"/>
  <c r="AK872" i="58411"/>
  <c r="AK873" i="58411" s="1"/>
  <c r="AK803" i="58411"/>
  <c r="AL444" i="58411"/>
  <c r="AK616" i="58411"/>
  <c r="AL600" i="58411"/>
  <c r="AG318" i="58411"/>
  <c r="AF350" i="58411"/>
  <c r="AE285" i="58411"/>
  <c r="AE286" i="58411" s="1"/>
  <c r="AE287" i="58411" s="1"/>
  <c r="AN188" i="58411"/>
  <c r="AN204" i="58411" s="1"/>
  <c r="AM204" i="58411"/>
  <c r="AH920" i="58411"/>
  <c r="AH916" i="58411"/>
  <c r="AH917" i="58411"/>
  <c r="AL782" i="58411"/>
  <c r="AM427" i="58411"/>
  <c r="AL810" i="58411"/>
  <c r="AM451" i="58411"/>
  <c r="AM259" i="58411"/>
  <c r="AL26" i="58411"/>
  <c r="AL328" i="58411"/>
  <c r="AK344" i="58411"/>
  <c r="AG402" i="58411"/>
  <c r="AG415" i="58411" s="1"/>
  <c r="AH43" i="58411"/>
  <c r="AG54" i="58411"/>
  <c r="AN496" i="58411"/>
  <c r="AN509" i="58411" s="1"/>
  <c r="AM509" i="58411"/>
  <c r="AG319" i="58411"/>
  <c r="AF351" i="58411"/>
  <c r="AG106" i="58411"/>
  <c r="AF138" i="58411"/>
  <c r="AE143" i="58411"/>
  <c r="AE144" i="58411" s="1"/>
  <c r="AE145" i="58411" s="1"/>
  <c r="AI192" i="58411"/>
  <c r="AH409" i="58411"/>
  <c r="AH196" i="58411"/>
  <c r="AF391" i="58411"/>
  <c r="AG34" i="58411"/>
  <c r="AF66" i="58411"/>
  <c r="AF72" i="58411" s="1"/>
  <c r="AF73" i="58411" s="1"/>
  <c r="AF74" i="58411" s="1"/>
  <c r="AF38" i="58411"/>
  <c r="AN44" i="58411"/>
  <c r="AM651" i="58411"/>
  <c r="AN638" i="58411"/>
  <c r="AN651" i="58411" s="1"/>
  <c r="AK376" i="58411"/>
  <c r="AL21" i="58411"/>
  <c r="AK401" i="58411"/>
  <c r="AL42" i="58411"/>
  <c r="AK58" i="58411"/>
  <c r="AK765" i="58411"/>
  <c r="AL749" i="58411"/>
  <c r="AJ169" i="58411"/>
  <c r="AI201" i="58411"/>
  <c r="AK368" i="58411"/>
  <c r="AL13" i="58411"/>
  <c r="AK227" i="58411"/>
  <c r="AJ369" i="58411"/>
  <c r="AJ275" i="58411"/>
  <c r="AH851" i="58411"/>
  <c r="AH787" i="58411"/>
  <c r="AI432" i="58411"/>
  <c r="AH480" i="58411"/>
  <c r="U203" i="6"/>
  <c r="AX203" i="6" s="1"/>
  <c r="AL345" i="58411"/>
  <c r="AM329" i="58411"/>
  <c r="AK57" i="58411"/>
  <c r="AJ911" i="58411"/>
  <c r="AK869" i="58411"/>
  <c r="AK800" i="58411"/>
  <c r="AL441" i="58411"/>
  <c r="AM222" i="58411"/>
  <c r="Q936" i="58411"/>
  <c r="AM389" i="58411"/>
  <c r="AN32" i="58411"/>
  <c r="AN389" i="58411" s="1"/>
  <c r="AJ559" i="58411"/>
  <c r="S860" i="58411"/>
  <c r="AM327" i="58411"/>
  <c r="AL343" i="58411"/>
  <c r="AG179" i="58411"/>
  <c r="AF394" i="58411"/>
  <c r="AF211" i="58411"/>
  <c r="AK688" i="58411"/>
  <c r="AL672" i="58411"/>
  <c r="AK683" i="58411"/>
  <c r="AK422" i="58438" s="1"/>
  <c r="AK404" i="58438" s="1"/>
  <c r="AK438" i="58438" s="1"/>
  <c r="AM261" i="58411"/>
  <c r="AG930" i="58411"/>
  <c r="AK203" i="58411"/>
  <c r="AL187" i="58411"/>
  <c r="AK346" i="58411"/>
  <c r="AL330" i="58411"/>
  <c r="AK476" i="58411"/>
  <c r="AM365" i="58411"/>
  <c r="AN10" i="58411"/>
  <c r="AN365" i="58411" s="1"/>
  <c r="AL622" i="58411"/>
  <c r="AM606" i="58411"/>
  <c r="AK809" i="58411"/>
  <c r="AL450" i="58411"/>
  <c r="P940" i="58411"/>
  <c r="T205" i="6"/>
  <c r="T204" i="6"/>
  <c r="AM49" i="58411"/>
  <c r="AF933" i="58411"/>
  <c r="AF937" i="58411" s="1"/>
  <c r="AM623" i="58411"/>
  <c r="AN607" i="58411"/>
  <c r="AN623" i="58411" s="1"/>
  <c r="AH802" i="58411"/>
  <c r="AH814" i="58411" s="1"/>
  <c r="AI443" i="58411"/>
  <c r="AH475" i="58411"/>
  <c r="AH454" i="58411"/>
  <c r="AH356" i="58438" s="1"/>
  <c r="AK61" i="58411"/>
  <c r="AM263" i="58411"/>
  <c r="AK372" i="58411"/>
  <c r="AL17" i="58411"/>
  <c r="AL65" i="58411" s="1"/>
  <c r="AN528" i="58411"/>
  <c r="AF137" i="58411"/>
  <c r="AG105" i="58411"/>
  <c r="AH792" i="58411"/>
  <c r="AI437" i="58411"/>
  <c r="AH485" i="58411"/>
  <c r="AL273" i="58411"/>
  <c r="AM257" i="58411"/>
  <c r="AI384" i="58411"/>
  <c r="AJ27" i="58411"/>
  <c r="AM37" i="58411"/>
  <c r="AF859" i="58411"/>
  <c r="AF858" i="58411"/>
  <c r="AF863" i="58411"/>
  <c r="AF879" i="58411"/>
  <c r="AF455" i="58438" s="1"/>
  <c r="AJ122" i="58411"/>
  <c r="AI410" i="58411"/>
  <c r="AI125" i="58411"/>
  <c r="R858" i="58411"/>
  <c r="W858" i="58411"/>
  <c r="AK898" i="58411"/>
  <c r="AK820" i="58411"/>
  <c r="AL457" i="58411"/>
  <c r="AK470" i="58411"/>
  <c r="AK398" i="58438" s="1"/>
  <c r="AL398" i="58438" s="1"/>
  <c r="AK473" i="58411"/>
  <c r="AK764" i="58411"/>
  <c r="AL748" i="58411"/>
  <c r="AL759" i="58411"/>
  <c r="AM743" i="58411"/>
  <c r="AH411" i="58411"/>
  <c r="AK313" i="6"/>
  <c r="AC690" i="6"/>
  <c r="T619" i="6"/>
  <c r="T72" i="6"/>
  <c r="AH167" i="6"/>
  <c r="Z692" i="6"/>
  <c r="AY691" i="6"/>
  <c r="AC171" i="6"/>
  <c r="AC174" i="6"/>
  <c r="X619" i="6"/>
  <c r="X72" i="6"/>
  <c r="AM615" i="6"/>
  <c r="AN552" i="6"/>
  <c r="AN508" i="6" s="1"/>
  <c r="BB554" i="6"/>
  <c r="AP554" i="6"/>
  <c r="AP503" i="6" s="1"/>
  <c r="S174" i="6"/>
  <c r="S171" i="6"/>
  <c r="AE287" i="6"/>
  <c r="AZ287" i="6" s="1"/>
  <c r="AZ281" i="6"/>
  <c r="AE136" i="6"/>
  <c r="HZ629" i="58479" s="1"/>
  <c r="N174" i="6"/>
  <c r="N171" i="6"/>
  <c r="T620" i="6"/>
  <c r="T125" i="6"/>
  <c r="T101" i="6"/>
  <c r="T148" i="6"/>
  <c r="T140" i="6"/>
  <c r="T127" i="6"/>
  <c r="T126" i="6"/>
  <c r="BC557" i="6"/>
  <c r="AQ557" i="6"/>
  <c r="BD557" i="6" s="1"/>
  <c r="L716" i="6"/>
  <c r="M713" i="6" s="1"/>
  <c r="Z475" i="6"/>
  <c r="Z468" i="6"/>
  <c r="AY465" i="6"/>
  <c r="AV120" i="58481" s="1"/>
  <c r="AV124" i="58481" s="1"/>
  <c r="O174" i="6"/>
  <c r="O171" i="6"/>
  <c r="W707" i="6"/>
  <c r="W708" i="6"/>
  <c r="W490" i="6"/>
  <c r="W513" i="6" s="1"/>
  <c r="W543" i="6" s="1"/>
  <c r="W152" i="6"/>
  <c r="W157" i="6" s="1"/>
  <c r="W161" i="6" s="1"/>
  <c r="W105" i="6"/>
  <c r="C43" i="58501" s="1"/>
  <c r="W67" i="6"/>
  <c r="W71" i="6"/>
  <c r="Z71" i="6" s="1"/>
  <c r="AY71" i="6" s="1"/>
  <c r="E709" i="6"/>
  <c r="AT709" i="6" s="1"/>
  <c r="E99" i="6"/>
  <c r="E60" i="6"/>
  <c r="HT640" i="58479" s="1"/>
  <c r="HU641" i="58479" s="1"/>
  <c r="AT56" i="6"/>
  <c r="AE91" i="6"/>
  <c r="AE56" i="6"/>
  <c r="AZ47" i="6"/>
  <c r="Q708" i="6"/>
  <c r="Q490" i="6"/>
  <c r="Q152" i="6"/>
  <c r="Q157" i="6" s="1"/>
  <c r="Q161" i="6" s="1"/>
  <c r="Q105" i="6"/>
  <c r="Q707" i="6"/>
  <c r="Q67" i="6"/>
  <c r="Q71" i="6"/>
  <c r="U71" i="6" s="1"/>
  <c r="AX71" i="6" s="1"/>
  <c r="K56" i="6"/>
  <c r="FM377" i="58481" s="1"/>
  <c r="AV47" i="6"/>
  <c r="AC619" i="6"/>
  <c r="AC72" i="6"/>
  <c r="AC73" i="6" s="1"/>
  <c r="AO578" i="6"/>
  <c r="AN507" i="6"/>
  <c r="AD174" i="6"/>
  <c r="AD171" i="6"/>
  <c r="AK651" i="6"/>
  <c r="AL634" i="6"/>
  <c r="AK605" i="6"/>
  <c r="AB142" i="6"/>
  <c r="AN649" i="6"/>
  <c r="AO649" i="6" s="1"/>
  <c r="X620" i="6"/>
  <c r="X125" i="6"/>
  <c r="X101" i="6"/>
  <c r="X148" i="6"/>
  <c r="X140" i="6"/>
  <c r="X126" i="6"/>
  <c r="AM508" i="6"/>
  <c r="BC568" i="6"/>
  <c r="AN503" i="6"/>
  <c r="AA708" i="6"/>
  <c r="AA490" i="6"/>
  <c r="AA152" i="6"/>
  <c r="AA157" i="6" s="1"/>
  <c r="AA161" i="6" s="1"/>
  <c r="AA105" i="6"/>
  <c r="AA67" i="6"/>
  <c r="AA71" i="6"/>
  <c r="AE71" i="6" s="1"/>
  <c r="AZ71" i="6" s="1"/>
  <c r="AA707" i="6"/>
  <c r="S111" i="6"/>
  <c r="S121" i="6" s="1"/>
  <c r="X127" i="6" s="1"/>
  <c r="AM704" i="6"/>
  <c r="AN590" i="6"/>
  <c r="AY610" i="6"/>
  <c r="F142" i="6"/>
  <c r="AU142" i="6" s="1"/>
  <c r="V174" i="6"/>
  <c r="V171" i="6"/>
  <c r="AH708" i="6"/>
  <c r="AH152" i="6"/>
  <c r="AH105" i="6"/>
  <c r="AH111" i="6" s="1"/>
  <c r="AH121" i="6" s="1"/>
  <c r="AH67" i="6"/>
  <c r="AH619" i="6" s="1"/>
  <c r="AH71" i="6"/>
  <c r="P291" i="6"/>
  <c r="L15" i="6"/>
  <c r="AB655" i="6"/>
  <c r="AB607" i="6"/>
  <c r="R619" i="6"/>
  <c r="R72" i="6"/>
  <c r="AB619" i="6"/>
  <c r="AB72" i="6"/>
  <c r="AE154" i="6"/>
  <c r="AZ154" i="6" s="1"/>
  <c r="AP283" i="6"/>
  <c r="BC283" i="6" s="1"/>
  <c r="BC276" i="6"/>
  <c r="AP12" i="6"/>
  <c r="BC12" i="6" s="1"/>
  <c r="AQ112" i="6"/>
  <c r="BD112" i="6" s="1"/>
  <c r="BD58" i="6"/>
  <c r="N111" i="6"/>
  <c r="N121" i="6" s="1"/>
  <c r="AF142" i="6"/>
  <c r="T142" i="6"/>
  <c r="AK106" i="6"/>
  <c r="Y620" i="6"/>
  <c r="Y148" i="6"/>
  <c r="Y140" i="6"/>
  <c r="Y127" i="6"/>
  <c r="Y126" i="6"/>
  <c r="Y125" i="6"/>
  <c r="Y101" i="6"/>
  <c r="H619" i="6"/>
  <c r="H72" i="6"/>
  <c r="P242" i="6"/>
  <c r="AW242" i="6" s="1"/>
  <c r="AW240" i="6"/>
  <c r="AM83" i="6"/>
  <c r="AL530" i="6"/>
  <c r="AL169" i="6" s="1"/>
  <c r="AX610" i="6"/>
  <c r="AF98" i="6"/>
  <c r="AF100" i="6" s="1"/>
  <c r="AF99" i="6"/>
  <c r="AF60" i="6"/>
  <c r="AN648" i="6"/>
  <c r="AO648" i="6" s="1"/>
  <c r="M708" i="6"/>
  <c r="M707" i="6"/>
  <c r="M490" i="6"/>
  <c r="M513" i="6" s="1"/>
  <c r="M543" i="6" s="1"/>
  <c r="M152" i="6"/>
  <c r="M157" i="6" s="1"/>
  <c r="M161" i="6" s="1"/>
  <c r="M105" i="6"/>
  <c r="D43" i="58498" s="1"/>
  <c r="M67" i="6"/>
  <c r="M71" i="6"/>
  <c r="AN646" i="6"/>
  <c r="AO646" i="6" s="1"/>
  <c r="V513" i="6"/>
  <c r="V543" i="6" s="1"/>
  <c r="R111" i="6"/>
  <c r="R121" i="6" s="1"/>
  <c r="J619" i="6"/>
  <c r="J72" i="6"/>
  <c r="G707" i="6"/>
  <c r="G708" i="6"/>
  <c r="G490" i="6"/>
  <c r="G513" i="6" s="1"/>
  <c r="G543" i="6" s="1"/>
  <c r="G152" i="6"/>
  <c r="G157" i="6" s="1"/>
  <c r="G161" i="6" s="1"/>
  <c r="G105" i="6"/>
  <c r="G111" i="6" s="1"/>
  <c r="G121" i="6" s="1"/>
  <c r="G67" i="6"/>
  <c r="G71" i="6"/>
  <c r="AE291" i="6"/>
  <c r="FP588" i="58502" s="1"/>
  <c r="AA15" i="6"/>
  <c r="L708" i="6"/>
  <c r="L490" i="6"/>
  <c r="L513" i="6" s="1"/>
  <c r="L543" i="6" s="1"/>
  <c r="L152" i="6"/>
  <c r="L157" i="6" s="1"/>
  <c r="L161" i="6" s="1"/>
  <c r="L105" i="6"/>
  <c r="L111" i="6" s="1"/>
  <c r="L121" i="6" s="1"/>
  <c r="L707" i="6"/>
  <c r="L71" i="6"/>
  <c r="L67" i="6"/>
  <c r="O619" i="6"/>
  <c r="O72" i="6"/>
  <c r="I708" i="6"/>
  <c r="I707" i="6"/>
  <c r="I490" i="6"/>
  <c r="I513" i="6" s="1"/>
  <c r="I543" i="6" s="1"/>
  <c r="I152" i="6"/>
  <c r="I157" i="6" s="1"/>
  <c r="I161" i="6" s="1"/>
  <c r="I105" i="6"/>
  <c r="I111" i="6" s="1"/>
  <c r="I121" i="6" s="1"/>
  <c r="I67" i="6"/>
  <c r="I71" i="6"/>
  <c r="AQ492" i="6"/>
  <c r="BD492" i="6" s="1"/>
  <c r="AQ153" i="6"/>
  <c r="BD153" i="6" s="1"/>
  <c r="AQ109" i="6"/>
  <c r="BD109" i="6" s="1"/>
  <c r="BD45" i="6"/>
  <c r="AN645" i="6"/>
  <c r="AO645" i="6" s="1"/>
  <c r="BD431" i="6"/>
  <c r="AQ137" i="6"/>
  <c r="AQ569" i="6"/>
  <c r="BD569" i="6" s="1"/>
  <c r="AM519" i="6"/>
  <c r="AN556" i="6"/>
  <c r="AC620" i="6"/>
  <c r="AC148" i="6"/>
  <c r="AC140" i="6"/>
  <c r="AC127" i="6"/>
  <c r="AC126" i="6"/>
  <c r="AC125" i="6"/>
  <c r="AC101" i="6"/>
  <c r="AM687" i="6"/>
  <c r="U287" i="6"/>
  <c r="AX287" i="6" s="1"/>
  <c r="AX281" i="6"/>
  <c r="U136" i="6"/>
  <c r="BA651" i="6"/>
  <c r="AJ655" i="6"/>
  <c r="BA655" i="6" s="1"/>
  <c r="AJ607" i="6"/>
  <c r="U692" i="6"/>
  <c r="AX691" i="6"/>
  <c r="AM685" i="6"/>
  <c r="P56" i="6"/>
  <c r="FN377" i="58481" s="1"/>
  <c r="AW47" i="6"/>
  <c r="V619" i="6"/>
  <c r="V72" i="6"/>
  <c r="Z291" i="6"/>
  <c r="FL588" i="58502" s="1"/>
  <c r="V15" i="6"/>
  <c r="BB558" i="6"/>
  <c r="AP558" i="6"/>
  <c r="AP505" i="6" s="1"/>
  <c r="BC505" i="6" s="1"/>
  <c r="R174" i="6"/>
  <c r="R171" i="6"/>
  <c r="AB174" i="6"/>
  <c r="AB171" i="6"/>
  <c r="AQ522" i="6"/>
  <c r="BD522" i="6" s="1"/>
  <c r="BD470" i="6"/>
  <c r="J620" i="6"/>
  <c r="J148" i="6"/>
  <c r="J140" i="6"/>
  <c r="J138" i="6" s="1"/>
  <c r="J126" i="6"/>
  <c r="J125" i="6"/>
  <c r="Z100" i="6"/>
  <c r="AY56" i="6"/>
  <c r="Z60" i="6"/>
  <c r="HY640" i="58479" s="1"/>
  <c r="Z99" i="6"/>
  <c r="AJ444" i="6"/>
  <c r="BA444" i="6" s="1"/>
  <c r="BA443" i="6"/>
  <c r="AG708" i="6"/>
  <c r="AG490" i="6"/>
  <c r="AG513" i="6" s="1"/>
  <c r="AG543" i="6" s="1"/>
  <c r="AG152" i="6"/>
  <c r="AG157" i="6" s="1"/>
  <c r="AG161" i="6" s="1"/>
  <c r="AG105" i="6"/>
  <c r="AG111" i="6" s="1"/>
  <c r="AG121" i="6" s="1"/>
  <c r="AG707" i="6"/>
  <c r="AG67" i="6"/>
  <c r="AG71" i="6"/>
  <c r="AJ438" i="6"/>
  <c r="BA438" i="6" s="1"/>
  <c r="BA437" i="6"/>
  <c r="Y619" i="6"/>
  <c r="Y72" i="6"/>
  <c r="H174" i="6"/>
  <c r="H171" i="6"/>
  <c r="H177" i="6" s="1"/>
  <c r="AQ80" i="6"/>
  <c r="M19" i="58482" s="1"/>
  <c r="BC80" i="6"/>
  <c r="AH166" i="6"/>
  <c r="AI610" i="6"/>
  <c r="AI606" i="6"/>
  <c r="AI528" i="6"/>
  <c r="AD620" i="6"/>
  <c r="AD127" i="6"/>
  <c r="AD126" i="6"/>
  <c r="AD125" i="6"/>
  <c r="AD101" i="6"/>
  <c r="AD148" i="6"/>
  <c r="AD140" i="6"/>
  <c r="U56" i="6"/>
  <c r="FO377" i="58481" s="1"/>
  <c r="AX47" i="6"/>
  <c r="BC592" i="6"/>
  <c r="AQ592" i="6"/>
  <c r="BD592" i="6" s="1"/>
  <c r="AC651" i="6"/>
  <c r="AD627" i="6"/>
  <c r="AD666" i="6" s="1"/>
  <c r="AD690" i="6" s="1"/>
  <c r="AE690" i="6" s="1"/>
  <c r="AZ690" i="6" s="1"/>
  <c r="AC605" i="6"/>
  <c r="P142" i="6"/>
  <c r="AW142" i="6" s="1"/>
  <c r="AN647" i="6"/>
  <c r="AO647" i="6" s="1"/>
  <c r="AO438" i="6"/>
  <c r="BB438" i="6" s="1"/>
  <c r="BB437" i="6"/>
  <c r="AP437" i="6"/>
  <c r="U291" i="6"/>
  <c r="U15" i="6" s="1"/>
  <c r="AX15" i="6" s="1"/>
  <c r="Q15" i="6"/>
  <c r="T161" i="6"/>
  <c r="O620" i="6"/>
  <c r="O126" i="6"/>
  <c r="O125" i="6"/>
  <c r="O148" i="6"/>
  <c r="O140" i="6"/>
  <c r="O101" i="6"/>
  <c r="O127" i="6"/>
  <c r="AM684" i="6"/>
  <c r="W100" i="6"/>
  <c r="AH699" i="6"/>
  <c r="AH700" i="6" s="1"/>
  <c r="AI562" i="6"/>
  <c r="AK169" i="6"/>
  <c r="AQ70" i="6"/>
  <c r="F708" i="6"/>
  <c r="AU708" i="6" s="1"/>
  <c r="F490" i="6"/>
  <c r="F152" i="6"/>
  <c r="F105" i="6"/>
  <c r="F67" i="6"/>
  <c r="AU60" i="6"/>
  <c r="F71" i="6"/>
  <c r="AU71" i="6" s="1"/>
  <c r="AO507" i="6"/>
  <c r="BB507" i="6" s="1"/>
  <c r="AD619" i="6"/>
  <c r="AD72" i="6"/>
  <c r="AA610" i="6"/>
  <c r="AA606" i="6"/>
  <c r="T475" i="6"/>
  <c r="T474" i="6"/>
  <c r="U465" i="6"/>
  <c r="X174" i="6"/>
  <c r="X171" i="6"/>
  <c r="S619" i="6"/>
  <c r="S72" i="6"/>
  <c r="X142" i="6"/>
  <c r="Z105" i="6"/>
  <c r="V111" i="6"/>
  <c r="V121" i="6" s="1"/>
  <c r="V142" i="6"/>
  <c r="K142" i="6"/>
  <c r="AV142" i="6" s="1"/>
  <c r="AB620" i="6"/>
  <c r="AB125" i="6"/>
  <c r="AB101" i="6"/>
  <c r="AB148" i="6"/>
  <c r="AB140" i="6"/>
  <c r="AB126" i="6"/>
  <c r="BD371" i="6"/>
  <c r="AQ276" i="6"/>
  <c r="N619" i="6"/>
  <c r="N72" i="6"/>
  <c r="J174" i="6"/>
  <c r="J171" i="6"/>
  <c r="J177" i="6" s="1"/>
  <c r="BB443" i="6"/>
  <c r="AO444" i="6"/>
  <c r="BB444" i="6" s="1"/>
  <c r="AP443" i="6"/>
  <c r="AM650" i="6"/>
  <c r="AM689" i="6" s="1"/>
  <c r="Y157" i="6"/>
  <c r="Y161" i="6" s="1"/>
  <c r="H620" i="6"/>
  <c r="H148" i="6"/>
  <c r="H140" i="6"/>
  <c r="H138" i="6" s="1"/>
  <c r="H126" i="6"/>
  <c r="H125" i="6"/>
  <c r="AL691" i="6"/>
  <c r="AL51" i="6" s="1"/>
  <c r="AL106" i="6" s="1"/>
  <c r="BC70" i="6" l="1"/>
  <c r="AK612" i="58411"/>
  <c r="AK421" i="58438" s="1"/>
  <c r="AK403" i="58438" s="1"/>
  <c r="AK437" i="58438" s="1"/>
  <c r="N469" i="58438"/>
  <c r="AE159" i="6"/>
  <c r="AZ159" i="6" s="1"/>
  <c r="AZ472" i="6"/>
  <c r="I459" i="58438"/>
  <c r="I58" i="58438" s="1"/>
  <c r="G337" i="58438"/>
  <c r="G349" i="58438"/>
  <c r="L350" i="58438" s="1"/>
  <c r="Z142" i="6"/>
  <c r="AY142" i="6" s="1"/>
  <c r="HX629" i="58479"/>
  <c r="HX636" i="58479" s="1"/>
  <c r="EV326" i="58481"/>
  <c r="FM387" i="58481"/>
  <c r="FM379" i="58481"/>
  <c r="D55" i="58499"/>
  <c r="G49" i="58499"/>
  <c r="C469" i="58438"/>
  <c r="AE99" i="58438"/>
  <c r="AE104" i="58438" s="1"/>
  <c r="AE324" i="58438"/>
  <c r="AE326" i="58438"/>
  <c r="AE98" i="58438" s="1"/>
  <c r="H323" i="58438"/>
  <c r="H14" i="58438"/>
  <c r="B8" i="58471" s="1"/>
  <c r="BR226" i="58502"/>
  <c r="BR206" i="58502" s="1"/>
  <c r="BR218" i="58502"/>
  <c r="H377" i="58438"/>
  <c r="IS704" i="58479"/>
  <c r="IS713" i="58479" s="1"/>
  <c r="HY636" i="58479"/>
  <c r="R46" i="58438"/>
  <c r="R50" i="58438" s="1"/>
  <c r="IO696" i="58479"/>
  <c r="H319" i="58438"/>
  <c r="H12" i="58438"/>
  <c r="B6" i="58471" s="1"/>
  <c r="AQ523" i="6"/>
  <c r="BD523" i="6" s="1"/>
  <c r="BD469" i="6"/>
  <c r="FM588" i="58502"/>
  <c r="FL590" i="58502"/>
  <c r="FN387" i="58481"/>
  <c r="FN379" i="58481"/>
  <c r="D49" i="58498"/>
  <c r="G43" i="58498"/>
  <c r="K43" i="58501"/>
  <c r="C49" i="58501"/>
  <c r="F43" i="58501"/>
  <c r="J43" i="58501"/>
  <c r="H334" i="58438"/>
  <c r="M334" i="58438"/>
  <c r="L459" i="58438"/>
  <c r="L58" i="58438" s="1"/>
  <c r="C55" i="58499"/>
  <c r="K49" i="58499"/>
  <c r="J49" i="58499"/>
  <c r="F49" i="58499"/>
  <c r="C34" i="58501"/>
  <c r="K29" i="58501"/>
  <c r="J29" i="58501"/>
  <c r="F29" i="58501"/>
  <c r="N459" i="58438"/>
  <c r="N58" i="58438" s="1"/>
  <c r="E349" i="58438"/>
  <c r="J350" i="58438" s="1"/>
  <c r="E337" i="58438"/>
  <c r="R431" i="58438"/>
  <c r="R432" i="58438" s="1"/>
  <c r="R399" i="58438"/>
  <c r="R466" i="58438" s="1"/>
  <c r="AG107" i="58479"/>
  <c r="IS707" i="58479"/>
  <c r="M319" i="58438"/>
  <c r="M12" i="58438"/>
  <c r="G6" i="58471" s="1"/>
  <c r="H11" i="58438"/>
  <c r="B5" i="58471" s="1"/>
  <c r="H317" i="58438"/>
  <c r="BC523" i="6"/>
  <c r="AP567" i="6"/>
  <c r="M344" i="58438"/>
  <c r="D68" i="58502"/>
  <c r="F68" i="58502" s="1"/>
  <c r="E68" i="58502"/>
  <c r="FO387" i="58481"/>
  <c r="FO379" i="58481"/>
  <c r="FQ588" i="58502"/>
  <c r="FP590" i="58502"/>
  <c r="I447" i="58438"/>
  <c r="I444" i="58438"/>
  <c r="I446" i="58438"/>
  <c r="I445" i="58438"/>
  <c r="I448" i="58438"/>
  <c r="I441" i="58438"/>
  <c r="H13" i="58438"/>
  <c r="B7" i="58471" s="1"/>
  <c r="H321" i="58438"/>
  <c r="D40" i="58499"/>
  <c r="L377" i="58438"/>
  <c r="Q377" i="58438"/>
  <c r="D49" i="58501"/>
  <c r="G43" i="58501"/>
  <c r="N377" i="58438"/>
  <c r="L410" i="58438"/>
  <c r="Q410" i="58438"/>
  <c r="M14" i="58438"/>
  <c r="G8" i="58471" s="1"/>
  <c r="M323" i="58438"/>
  <c r="H410" i="58438"/>
  <c r="W398" i="58438"/>
  <c r="AB303" i="58438"/>
  <c r="AG303" i="58438" s="1"/>
  <c r="AL303" i="58438" s="1"/>
  <c r="AM303" i="58438" s="1"/>
  <c r="AN303" i="58438" s="1"/>
  <c r="C448" i="58438"/>
  <c r="C441" i="58438"/>
  <c r="H441" i="58438"/>
  <c r="M332" i="58438"/>
  <c r="K326" i="58438"/>
  <c r="K349" i="58438"/>
  <c r="P350" i="58438" s="1"/>
  <c r="K337" i="58438"/>
  <c r="K338" i="58438" s="1"/>
  <c r="D34" i="58501"/>
  <c r="G29" i="58501"/>
  <c r="N444" i="58438"/>
  <c r="N447" i="58438"/>
  <c r="N445" i="58438"/>
  <c r="N448" i="58438"/>
  <c r="N446" i="58438"/>
  <c r="N441" i="58438"/>
  <c r="S410" i="58438"/>
  <c r="AN687" i="6"/>
  <c r="AO687" i="6" s="1"/>
  <c r="HY645" i="58479"/>
  <c r="HZ636" i="58479"/>
  <c r="C337" i="58438"/>
  <c r="C349" i="58438"/>
  <c r="C326" i="58438"/>
  <c r="L446" i="58438"/>
  <c r="L441" i="58438"/>
  <c r="L447" i="58438"/>
  <c r="L444" i="58438"/>
  <c r="L445" i="58438"/>
  <c r="Q441" i="58438"/>
  <c r="L448" i="58438"/>
  <c r="M321" i="58438"/>
  <c r="M326" i="58438" s="1"/>
  <c r="M13" i="58438"/>
  <c r="G7" i="58471" s="1"/>
  <c r="C49" i="58498"/>
  <c r="K43" i="58498"/>
  <c r="J43" i="58498"/>
  <c r="F43" i="58498"/>
  <c r="I469" i="58438"/>
  <c r="K29" i="58499"/>
  <c r="F29" i="58499"/>
  <c r="C34" i="58499"/>
  <c r="J29" i="58499"/>
  <c r="G29" i="58499"/>
  <c r="R413" i="58438"/>
  <c r="R415" i="58438"/>
  <c r="R417" i="58438"/>
  <c r="R414" i="58438"/>
  <c r="R409" i="58438"/>
  <c r="R407" i="58438"/>
  <c r="R471" i="58438" s="1"/>
  <c r="M346" i="58438"/>
  <c r="H431" i="58438"/>
  <c r="H432" i="58438" s="1"/>
  <c r="H399" i="58438"/>
  <c r="H466" i="58438" s="1"/>
  <c r="AI113" i="58479"/>
  <c r="AI112" i="58479"/>
  <c r="AI111" i="58479"/>
  <c r="F66" i="58502"/>
  <c r="IC555" i="58481"/>
  <c r="HY557" i="58481"/>
  <c r="K29" i="58498"/>
  <c r="J29" i="58498"/>
  <c r="C34" i="58498"/>
  <c r="F29" i="58498"/>
  <c r="M409" i="58438"/>
  <c r="M410" i="58438" s="1"/>
  <c r="M417" i="58438"/>
  <c r="M415" i="58438"/>
  <c r="M407" i="58438"/>
  <c r="M471" i="58438" s="1"/>
  <c r="M414" i="58438"/>
  <c r="D34" i="58498"/>
  <c r="G29" i="58498"/>
  <c r="M383" i="58438"/>
  <c r="M384" i="58438"/>
  <c r="R367" i="58438"/>
  <c r="R461" i="58438" s="1"/>
  <c r="M367" i="58438"/>
  <c r="M461" i="58438" s="1"/>
  <c r="M380" i="58438"/>
  <c r="M382" i="58438"/>
  <c r="M376" i="58438"/>
  <c r="M381" i="58438"/>
  <c r="D337" i="58438"/>
  <c r="D349" i="58438"/>
  <c r="R416" i="58438"/>
  <c r="C459" i="58438"/>
  <c r="C58" i="58438" s="1"/>
  <c r="FP385" i="58481"/>
  <c r="FP383" i="58481"/>
  <c r="HV636" i="58479"/>
  <c r="AD100" i="58438"/>
  <c r="AD105" i="58438" s="1"/>
  <c r="AI110" i="58438" s="1"/>
  <c r="AL188" i="6"/>
  <c r="H338" i="58438"/>
  <c r="AH620" i="6"/>
  <c r="AJ424" i="58438"/>
  <c r="AJ425" i="58438" s="1"/>
  <c r="AI20" i="58438"/>
  <c r="AI43" i="58438" s="1"/>
  <c r="AJ630" i="58411"/>
  <c r="AJ20" i="58438" s="1"/>
  <c r="AJ43" i="58438" s="1"/>
  <c r="AK772" i="58411"/>
  <c r="AJ886" i="58411"/>
  <c r="AJ894" i="58411" s="1"/>
  <c r="AI894" i="58411"/>
  <c r="AK391" i="58438"/>
  <c r="AK392" i="58438" s="1"/>
  <c r="AL365" i="58438"/>
  <c r="AL439" i="58438" s="1"/>
  <c r="AK439" i="58438"/>
  <c r="AJ773" i="58411"/>
  <c r="AJ774" i="58411" s="1"/>
  <c r="AJ22" i="58438"/>
  <c r="AJ45" i="58438" s="1"/>
  <c r="AL404" i="58438"/>
  <c r="AL438" i="58438" s="1"/>
  <c r="AN364" i="58438"/>
  <c r="AJ702" i="58411"/>
  <c r="AJ703" i="58411" s="1"/>
  <c r="AJ21" i="58438"/>
  <c r="AJ44" i="58438" s="1"/>
  <c r="AK392" i="6"/>
  <c r="AI915" i="58411"/>
  <c r="AI917" i="58411" s="1"/>
  <c r="AL310" i="6"/>
  <c r="AL313" i="6" s="1"/>
  <c r="AK424" i="58438"/>
  <c r="AK425" i="58438" s="1"/>
  <c r="AI403" i="58438"/>
  <c r="AI424" i="58438"/>
  <c r="AI425" i="58438" s="1"/>
  <c r="AH326" i="58438"/>
  <c r="AH98" i="58438" s="1"/>
  <c r="AH100" i="58438" s="1"/>
  <c r="AH324" i="58438"/>
  <c r="AI204" i="6"/>
  <c r="AI205" i="6"/>
  <c r="AL389" i="6"/>
  <c r="AL390" i="6" s="1"/>
  <c r="AL391" i="6" s="1"/>
  <c r="AK402" i="58438"/>
  <c r="AL402" i="58438" s="1"/>
  <c r="AJ406" i="58438"/>
  <c r="AJ413" i="58438" s="1"/>
  <c r="AH459" i="58438"/>
  <c r="AH58" i="58438" s="1"/>
  <c r="AK362" i="58438"/>
  <c r="AI436" i="58438"/>
  <c r="AI366" i="58438"/>
  <c r="AJ391" i="58438"/>
  <c r="AJ392" i="58438" s="1"/>
  <c r="AJ362" i="58438"/>
  <c r="AL362" i="58438" s="1"/>
  <c r="AJ560" i="58411"/>
  <c r="AJ561" i="58411" s="1"/>
  <c r="AJ19" i="58438"/>
  <c r="AJ42" i="58438" s="1"/>
  <c r="AL904" i="58411"/>
  <c r="AL905" i="58411" s="1"/>
  <c r="AG933" i="58411"/>
  <c r="AG935" i="58411" s="1"/>
  <c r="AL901" i="58411"/>
  <c r="AL902" i="58411" s="1"/>
  <c r="AK399" i="58438"/>
  <c r="AK466" i="58438" s="1"/>
  <c r="AH488" i="58411"/>
  <c r="AH489" i="58411" s="1"/>
  <c r="AH490" i="58411" s="1"/>
  <c r="AL476" i="58411"/>
  <c r="AH376" i="58438"/>
  <c r="AH377" i="58438" s="1"/>
  <c r="AH431" i="58438"/>
  <c r="AH432" i="58438" s="1"/>
  <c r="AH357" i="58438"/>
  <c r="AH456" i="58438" s="1"/>
  <c r="AL408" i="58411"/>
  <c r="Y469" i="58438"/>
  <c r="AA469" i="58438"/>
  <c r="AC410" i="58438"/>
  <c r="AA459" i="58438"/>
  <c r="AA58" i="58438" s="1"/>
  <c r="AD377" i="58438"/>
  <c r="R326" i="58438"/>
  <c r="AC377" i="58438"/>
  <c r="AD54" i="58438"/>
  <c r="Y459" i="58438"/>
  <c r="Y58" i="58438" s="1"/>
  <c r="IF649" i="58479"/>
  <c r="IG649" i="58479"/>
  <c r="T326" i="58438"/>
  <c r="W459" i="58438"/>
  <c r="W58" i="58438" s="1"/>
  <c r="S326" i="58438"/>
  <c r="Z469" i="58438"/>
  <c r="X469" i="58438"/>
  <c r="Z459" i="58438"/>
  <c r="Z58" i="58438" s="1"/>
  <c r="W469" i="58438"/>
  <c r="O73" i="6"/>
  <c r="AQ568" i="6"/>
  <c r="BD568" i="6" s="1"/>
  <c r="J40" i="58511"/>
  <c r="J68" i="58511" s="1"/>
  <c r="K10" i="58511"/>
  <c r="K9" i="58511" s="1"/>
  <c r="K8" i="58511"/>
  <c r="K7" i="58511" s="1"/>
  <c r="K5" i="58511"/>
  <c r="DK378" i="58502"/>
  <c r="DO376" i="58502"/>
  <c r="DO374" i="58502"/>
  <c r="DO375" i="58502"/>
  <c r="I54" i="58511"/>
  <c r="I55" i="58511"/>
  <c r="Y73" i="6"/>
  <c r="AN684" i="6"/>
  <c r="AN688" i="6"/>
  <c r="AO688" i="6" s="1"/>
  <c r="AQ504" i="6"/>
  <c r="BD504" i="6" s="1"/>
  <c r="AP582" i="6"/>
  <c r="BC657" i="6"/>
  <c r="AQ657" i="6"/>
  <c r="AP653" i="6"/>
  <c r="BB653" i="6"/>
  <c r="BB582" i="6"/>
  <c r="AO608" i="6"/>
  <c r="BD70" i="6"/>
  <c r="M16" i="58482"/>
  <c r="AF356" i="58411"/>
  <c r="AF357" i="58411" s="1"/>
  <c r="AF358" i="58411" s="1"/>
  <c r="AG96" i="58438"/>
  <c r="AG23" i="58438"/>
  <c r="AG26" i="58438" s="1"/>
  <c r="AG41" i="58438"/>
  <c r="AC99" i="58438"/>
  <c r="AC104" i="58438" s="1"/>
  <c r="AC324" i="58438"/>
  <c r="AC326" i="58438"/>
  <c r="AC98" i="58438" s="1"/>
  <c r="AE46" i="58438"/>
  <c r="AE49" i="58438" s="1"/>
  <c r="AE29" i="58438"/>
  <c r="AE30" i="58438"/>
  <c r="AE28" i="58438"/>
  <c r="AE27" i="58438"/>
  <c r="AF28" i="58438"/>
  <c r="AF27" i="58438"/>
  <c r="AF30" i="58438"/>
  <c r="AF29" i="58438"/>
  <c r="AC23" i="58438"/>
  <c r="AC26" i="58438"/>
  <c r="AC41" i="58438"/>
  <c r="L39" i="58512"/>
  <c r="L36" i="58512"/>
  <c r="L55" i="58512" s="1"/>
  <c r="K39" i="58512"/>
  <c r="J107" i="58512"/>
  <c r="J126" i="58512" s="1"/>
  <c r="J146" i="58512" s="1"/>
  <c r="J149" i="58512" s="1"/>
  <c r="J53" i="58512"/>
  <c r="J59" i="58512" s="1"/>
  <c r="J65" i="58512" s="1"/>
  <c r="M57" i="58512"/>
  <c r="M35" i="58512"/>
  <c r="H84" i="58511"/>
  <c r="D85" i="58511"/>
  <c r="H85" i="58511" s="1"/>
  <c r="I209" i="58511"/>
  <c r="I211" i="58511" s="1"/>
  <c r="I212" i="58511" s="1"/>
  <c r="V326" i="58438"/>
  <c r="X459" i="58438"/>
  <c r="X58" i="58438" s="1"/>
  <c r="AF384" i="58438"/>
  <c r="AF367" i="58438"/>
  <c r="AF461" i="58438" s="1"/>
  <c r="AF376" i="58438"/>
  <c r="AF377" i="58438" s="1"/>
  <c r="AF383" i="58438"/>
  <c r="AF382" i="58438"/>
  <c r="AF381" i="58438"/>
  <c r="AL399" i="58438"/>
  <c r="AL466" i="58438" s="1"/>
  <c r="W441" i="58438"/>
  <c r="W448" i="58438"/>
  <c r="W446" i="58438"/>
  <c r="W447" i="58438"/>
  <c r="W445" i="58438"/>
  <c r="AF409" i="58438"/>
  <c r="AF410" i="58438" s="1"/>
  <c r="AF417" i="58438"/>
  <c r="AF407" i="58438"/>
  <c r="AF471" i="58438" s="1"/>
  <c r="AF416" i="58438"/>
  <c r="AF414" i="58438"/>
  <c r="AF415" i="58438"/>
  <c r="AG11" i="58438"/>
  <c r="O5" i="58471" s="1"/>
  <c r="AG35" i="58438"/>
  <c r="AG42" i="58438" s="1"/>
  <c r="AB440" i="58438"/>
  <c r="AB444" i="58438" s="1"/>
  <c r="Z410" i="58438"/>
  <c r="AE410" i="58438"/>
  <c r="O325" i="58438"/>
  <c r="O234" i="58438" s="1"/>
  <c r="U326" i="58438"/>
  <c r="AM316" i="58438"/>
  <c r="AA54" i="58438"/>
  <c r="AB384" i="58438"/>
  <c r="AB367" i="58438"/>
  <c r="AB461" i="58438" s="1"/>
  <c r="AB376" i="58438"/>
  <c r="AB377" i="58438" s="1"/>
  <c r="AB383" i="58438"/>
  <c r="AB381" i="58438"/>
  <c r="AB382" i="58438"/>
  <c r="AF413" i="58438"/>
  <c r="AF46" i="58438"/>
  <c r="AD103" i="58438"/>
  <c r="AI108" i="58438" s="1"/>
  <c r="Y448" i="58438"/>
  <c r="Y441" i="58438"/>
  <c r="Y446" i="58438"/>
  <c r="AD441" i="58438"/>
  <c r="Y447" i="58438"/>
  <c r="Y445" i="58438"/>
  <c r="AD410" i="58438"/>
  <c r="Z377" i="58438"/>
  <c r="AE377" i="58438"/>
  <c r="AF440" i="58438"/>
  <c r="AF444" i="58438" s="1"/>
  <c r="AK242" i="58438"/>
  <c r="AL247" i="58438"/>
  <c r="AI104" i="58438"/>
  <c r="W54" i="58438"/>
  <c r="AN87" i="58438"/>
  <c r="AB409" i="58438"/>
  <c r="AB417" i="58438"/>
  <c r="AB407" i="58438"/>
  <c r="AB471" i="58438" s="1"/>
  <c r="AB414" i="58438"/>
  <c r="AB416" i="58438"/>
  <c r="AB415" i="58438"/>
  <c r="AG366" i="58438"/>
  <c r="AG380" i="58438" s="1"/>
  <c r="X441" i="58438"/>
  <c r="X448" i="58438"/>
  <c r="X446" i="58438"/>
  <c r="AC441" i="58438"/>
  <c r="X447" i="58438"/>
  <c r="X445" i="58438"/>
  <c r="AB54" i="58438"/>
  <c r="Z448" i="58438"/>
  <c r="Z441" i="58438"/>
  <c r="AE441" i="58438"/>
  <c r="Z445" i="58438"/>
  <c r="Z446" i="58438"/>
  <c r="Z447" i="58438"/>
  <c r="AA441" i="58438"/>
  <c r="AA448" i="58438"/>
  <c r="AA447" i="58438"/>
  <c r="AA445" i="58438"/>
  <c r="AA446" i="58438"/>
  <c r="AG436" i="58438"/>
  <c r="AG406" i="58438"/>
  <c r="AG413" i="58438" s="1"/>
  <c r="AM82" i="58438"/>
  <c r="AN92" i="58438"/>
  <c r="F324" i="58438"/>
  <c r="AM189" i="6"/>
  <c r="AM188" i="6"/>
  <c r="AM388" i="6"/>
  <c r="AM389" i="6" s="1"/>
  <c r="AM310" i="6"/>
  <c r="AN49" i="58411"/>
  <c r="AL688" i="58411"/>
  <c r="AM672" i="58411"/>
  <c r="AL683" i="58411"/>
  <c r="AL422" i="58438" s="1"/>
  <c r="AJ192" i="58411"/>
  <c r="AI409" i="58411"/>
  <c r="AI196" i="58411"/>
  <c r="AH106" i="58411"/>
  <c r="AG138" i="58411"/>
  <c r="AH248" i="58411"/>
  <c r="AG280" i="58411"/>
  <c r="AM336" i="58411"/>
  <c r="AM16" i="58411"/>
  <c r="AL64" i="58411"/>
  <c r="AL620" i="58411"/>
  <c r="AM604" i="58411"/>
  <c r="AH794" i="58411"/>
  <c r="AH96" i="58438" s="1"/>
  <c r="AH247" i="58411"/>
  <c r="AG279" i="58411"/>
  <c r="AG858" i="58411"/>
  <c r="AG863" i="58411"/>
  <c r="AG879" i="58411"/>
  <c r="AG455" i="58438" s="1"/>
  <c r="AM370" i="58411"/>
  <c r="AN15" i="58411"/>
  <c r="AN370" i="58411" s="1"/>
  <c r="AM467" i="58411"/>
  <c r="AL483" i="58411"/>
  <c r="AL545" i="58411"/>
  <c r="AM529" i="58411"/>
  <c r="AL541" i="58411"/>
  <c r="AL420" i="58438" s="1"/>
  <c r="R242" i="6"/>
  <c r="R241" i="6"/>
  <c r="U240" i="6"/>
  <c r="AL821" i="58411"/>
  <c r="AL474" i="58411"/>
  <c r="AM458" i="58411"/>
  <c r="Z390" i="6"/>
  <c r="AY390" i="6" s="1"/>
  <c r="V391" i="6"/>
  <c r="AN325" i="58411"/>
  <c r="AM341" i="58411"/>
  <c r="AM260" i="58411"/>
  <c r="AL276" i="58411"/>
  <c r="AI386" i="6"/>
  <c r="AI385" i="6"/>
  <c r="AJ385" i="6" s="1"/>
  <c r="BA385" i="6" s="1"/>
  <c r="AI393" i="6"/>
  <c r="AH321" i="58411"/>
  <c r="AG353" i="58411"/>
  <c r="AK928" i="58411"/>
  <c r="AM618" i="58411"/>
  <c r="AN602" i="58411"/>
  <c r="AN618" i="58411" s="1"/>
  <c r="AN37" i="58411"/>
  <c r="AI792" i="58411"/>
  <c r="AJ437" i="58411"/>
  <c r="AI485" i="58411"/>
  <c r="AM622" i="58411"/>
  <c r="AN606" i="58411"/>
  <c r="AN622" i="58411" s="1"/>
  <c r="AN327" i="58411"/>
  <c r="AN343" i="58411" s="1"/>
  <c r="AM343" i="58411"/>
  <c r="AK878" i="58411"/>
  <c r="AK879" i="58411" s="1"/>
  <c r="AK455" i="58438" s="1"/>
  <c r="AK870" i="58411"/>
  <c r="AN329" i="58411"/>
  <c r="AN345" i="58411" s="1"/>
  <c r="AM345" i="58411"/>
  <c r="AI851" i="58411"/>
  <c r="AI787" i="58411"/>
  <c r="AJ432" i="58411"/>
  <c r="AI480" i="58411"/>
  <c r="AL376" i="58411"/>
  <c r="AM21" i="58411"/>
  <c r="AJ384" i="6"/>
  <c r="AM810" i="58411"/>
  <c r="AN451" i="58411"/>
  <c r="AN810" i="58411" s="1"/>
  <c r="AH318" i="58411"/>
  <c r="AG350" i="58411"/>
  <c r="AL872" i="58411"/>
  <c r="AL873" i="58411" s="1"/>
  <c r="AL803" i="58411"/>
  <c r="AM444" i="58411"/>
  <c r="AN333" i="58411"/>
  <c r="AL812" i="58411"/>
  <c r="AM453" i="58411"/>
  <c r="AM116" i="58411"/>
  <c r="AL132" i="58411"/>
  <c r="AL553" i="58411"/>
  <c r="AM537" i="58411"/>
  <c r="AM271" i="58411"/>
  <c r="AN255" i="58411"/>
  <c r="AH857" i="58411"/>
  <c r="AH18" i="58438" s="1"/>
  <c r="AM693" i="58411"/>
  <c r="AN677" i="58411"/>
  <c r="AN693" i="58411" s="1"/>
  <c r="AM806" i="58411"/>
  <c r="AN447" i="58411"/>
  <c r="AN806" i="58411" s="1"/>
  <c r="AL805" i="58411"/>
  <c r="AM446" i="58411"/>
  <c r="AC916" i="58411"/>
  <c r="AC920" i="58411"/>
  <c r="AC917" i="58411"/>
  <c r="AD917" i="58411"/>
  <c r="AL875" i="58411"/>
  <c r="AL876" i="58411" s="1"/>
  <c r="AL807" i="58411"/>
  <c r="AM448" i="58411"/>
  <c r="AM120" i="58411"/>
  <c r="AL136" i="58411"/>
  <c r="AM334" i="58411"/>
  <c r="AL696" i="58411"/>
  <c r="AM680" i="58411"/>
  <c r="AG392" i="58411"/>
  <c r="AH35" i="58411"/>
  <c r="AN185" i="58411"/>
  <c r="AK861" i="58411"/>
  <c r="AK862" i="58411"/>
  <c r="AN335" i="58411"/>
  <c r="AH315" i="58411"/>
  <c r="AG322" i="58411"/>
  <c r="AG347" i="58411"/>
  <c r="AG388" i="58411"/>
  <c r="AL367" i="58411"/>
  <c r="AM12" i="58411"/>
  <c r="AL60" i="58411"/>
  <c r="AL617" i="58411"/>
  <c r="AM601" i="58411"/>
  <c r="AI312" i="6"/>
  <c r="AI311" i="6"/>
  <c r="AI314" i="6" s="1"/>
  <c r="AN337" i="58411"/>
  <c r="AH249" i="58411"/>
  <c r="AG281" i="58411"/>
  <c r="AL199" i="58411"/>
  <c r="AM183" i="58411"/>
  <c r="AL69" i="58411"/>
  <c r="AI784" i="58411"/>
  <c r="AJ429" i="58411"/>
  <c r="AI438" i="58411"/>
  <c r="AI477" i="58411"/>
  <c r="AN119" i="58411"/>
  <c r="AN135" i="58411" s="1"/>
  <c r="AM135" i="58411"/>
  <c r="AH59" i="58411"/>
  <c r="AN238" i="58411"/>
  <c r="AM270" i="58411"/>
  <c r="AH176" i="58411"/>
  <c r="AG180" i="58411"/>
  <c r="AG208" i="58411"/>
  <c r="AL808" i="58411"/>
  <c r="AM449" i="58411"/>
  <c r="AL404" i="58411"/>
  <c r="AJ331" i="6"/>
  <c r="AJ309" i="6"/>
  <c r="AK882" i="58411"/>
  <c r="AK911" i="58411"/>
  <c r="AN41" i="58411"/>
  <c r="AL825" i="58411"/>
  <c r="AM462" i="58411"/>
  <c r="AL140" i="58411"/>
  <c r="AM124" i="58411"/>
  <c r="AN33" i="58411"/>
  <c r="AL392" i="6"/>
  <c r="AL764" i="58411"/>
  <c r="AM748" i="58411"/>
  <c r="AF865" i="58411"/>
  <c r="AF864" i="58411"/>
  <c r="AF887" i="58411"/>
  <c r="AN263" i="58411"/>
  <c r="AL346" i="58411"/>
  <c r="AM330" i="58411"/>
  <c r="S862" i="58411"/>
  <c r="S863" i="58411"/>
  <c r="S861" i="58411"/>
  <c r="X861" i="58411"/>
  <c r="T862" i="58411"/>
  <c r="AJ915" i="58411"/>
  <c r="AJ912" i="58411"/>
  <c r="AJ470" i="58438" s="1"/>
  <c r="AL227" i="58411"/>
  <c r="AK369" i="58411"/>
  <c r="AK275" i="58411"/>
  <c r="AL783" i="58411"/>
  <c r="AM428" i="58411"/>
  <c r="AH317" i="58411"/>
  <c r="AG349" i="58411"/>
  <c r="AL229" i="58411"/>
  <c r="AL371" i="58411" s="1"/>
  <c r="AK277" i="58411"/>
  <c r="AJ908" i="58411"/>
  <c r="AJ465" i="58438" s="1"/>
  <c r="AJ909" i="58411"/>
  <c r="AM264" i="58411"/>
  <c r="AM386" i="58411"/>
  <c r="AN29" i="58411"/>
  <c r="AN386" i="58411" s="1"/>
  <c r="AM763" i="58411"/>
  <c r="AN747" i="58411"/>
  <c r="AN763" i="58411" s="1"/>
  <c r="AG393" i="58411"/>
  <c r="AH36" i="58411"/>
  <c r="R864" i="58411"/>
  <c r="W864" i="58411"/>
  <c r="AK122" i="58411"/>
  <c r="AJ125" i="58411"/>
  <c r="AH105" i="58411"/>
  <c r="AG137" i="58411"/>
  <c r="AI802" i="58411"/>
  <c r="AI814" i="58411" s="1"/>
  <c r="AJ443" i="58411"/>
  <c r="AI454" i="58411"/>
  <c r="AI356" i="58438" s="1"/>
  <c r="AI475" i="58411"/>
  <c r="AF935" i="58411"/>
  <c r="AF938" i="58411"/>
  <c r="AL809" i="58411"/>
  <c r="AM450" i="58411"/>
  <c r="AN261" i="58411"/>
  <c r="AK701" i="58411"/>
  <c r="AH179" i="58411"/>
  <c r="AG394" i="58411"/>
  <c r="AG211" i="58411"/>
  <c r="AL368" i="58411"/>
  <c r="AM13" i="58411"/>
  <c r="AK169" i="58411"/>
  <c r="AJ201" i="58411"/>
  <c r="AL401" i="58411"/>
  <c r="AL58" i="58411"/>
  <c r="AM42" i="58411"/>
  <c r="AL344" i="58411"/>
  <c r="AM328" i="58411"/>
  <c r="AN259" i="58411"/>
  <c r="AL616" i="58411"/>
  <c r="AM600" i="58411"/>
  <c r="AL822" i="58411"/>
  <c r="AM459" i="58411"/>
  <c r="AM382" i="58411"/>
  <c r="AN25" i="58411"/>
  <c r="AL826" i="58411"/>
  <c r="AM463" i="58411"/>
  <c r="AL207" i="58411"/>
  <c r="AM191" i="58411"/>
  <c r="AI785" i="58411"/>
  <c r="AJ430" i="58411"/>
  <c r="AI848" i="58411"/>
  <c r="AI857" i="58411" s="1"/>
  <c r="AI18" i="58438" s="1"/>
  <c r="AI478" i="58411"/>
  <c r="AK625" i="58411"/>
  <c r="AL609" i="58411"/>
  <c r="AL830" i="58411" s="1"/>
  <c r="AL892" i="58411"/>
  <c r="AO421" i="6"/>
  <c r="BB421" i="6" s="1"/>
  <c r="AM469" i="58411"/>
  <c r="AF143" i="58411"/>
  <c r="AF144" i="58411" s="1"/>
  <c r="AF145" i="58411" s="1"/>
  <c r="AL375" i="58411"/>
  <c r="AM20" i="58411"/>
  <c r="AL804" i="58411"/>
  <c r="AM445" i="58411"/>
  <c r="AG797" i="58411"/>
  <c r="AJ202" i="6" s="1"/>
  <c r="AM306" i="58411"/>
  <c r="AN293" i="58411"/>
  <c r="AN306" i="58411" s="1"/>
  <c r="AM697" i="58411"/>
  <c r="AN681" i="58411"/>
  <c r="AN697" i="58411" s="1"/>
  <c r="AL824" i="58411"/>
  <c r="AM461" i="58411"/>
  <c r="AL348" i="58411"/>
  <c r="AM332" i="58411"/>
  <c r="AM407" i="58411" s="1"/>
  <c r="R838" i="58411"/>
  <c r="R839" i="58411" s="1"/>
  <c r="W838" i="58411"/>
  <c r="W839" i="58411" s="1"/>
  <c r="AK371" i="58411"/>
  <c r="AK379" i="58411" s="1"/>
  <c r="AN187" i="6" s="1"/>
  <c r="AL781" i="58411"/>
  <c r="AM426" i="58411"/>
  <c r="S936" i="58411"/>
  <c r="S933" i="58411"/>
  <c r="AL189" i="58411"/>
  <c r="AK205" i="58411"/>
  <c r="AK406" i="58411"/>
  <c r="AN265" i="58411"/>
  <c r="AH327" i="6"/>
  <c r="AE417" i="58411"/>
  <c r="AE418" i="58411" s="1"/>
  <c r="AE419" i="58411" s="1"/>
  <c r="AH178" i="58411"/>
  <c r="AG210" i="58411"/>
  <c r="AL549" i="58411"/>
  <c r="AM533" i="58411"/>
  <c r="AM689" i="58411"/>
  <c r="AN673" i="58411"/>
  <c r="AN689" i="58411" s="1"/>
  <c r="AI786" i="58411"/>
  <c r="AJ431" i="58411"/>
  <c r="AI479" i="58411"/>
  <c r="AL760" i="58411"/>
  <c r="AM744" i="58411"/>
  <c r="AM164" i="58411"/>
  <c r="AN151" i="58411"/>
  <c r="AN164" i="58411" s="1"/>
  <c r="AF214" i="58411"/>
  <c r="AF215" i="58411" s="1"/>
  <c r="AF216" i="58411" s="1"/>
  <c r="AL405" i="58411"/>
  <c r="AL62" i="58411"/>
  <c r="AM46" i="58411"/>
  <c r="AL61" i="58411"/>
  <c r="AM823" i="58411"/>
  <c r="AM476" i="58411"/>
  <c r="AN460" i="58411"/>
  <c r="AM827" i="58411"/>
  <c r="AN464" i="58411"/>
  <c r="AH107" i="58411"/>
  <c r="AG139" i="58411"/>
  <c r="AK559" i="58411"/>
  <c r="AL342" i="58411"/>
  <c r="AM326" i="58411"/>
  <c r="AL400" i="58411"/>
  <c r="T241" i="6"/>
  <c r="Y241" i="6"/>
  <c r="T242" i="6"/>
  <c r="AL338" i="58411"/>
  <c r="AZ237" i="6"/>
  <c r="AN167" i="58411"/>
  <c r="AL769" i="58411"/>
  <c r="AM753" i="58411"/>
  <c r="AF285" i="58411"/>
  <c r="AF286" i="58411" s="1"/>
  <c r="AF287" i="58411" s="1"/>
  <c r="AK847" i="58411"/>
  <c r="AK846" i="58411"/>
  <c r="AL692" i="58411"/>
  <c r="AM676" i="58411"/>
  <c r="AL898" i="58411"/>
  <c r="AL820" i="58411"/>
  <c r="AL470" i="58411"/>
  <c r="AL473" i="58411"/>
  <c r="AM457" i="58411"/>
  <c r="AN257" i="58411"/>
  <c r="AN273" i="58411" s="1"/>
  <c r="AM273" i="58411"/>
  <c r="AL869" i="58411"/>
  <c r="AL800" i="58411"/>
  <c r="AM441" i="58411"/>
  <c r="AG391" i="58411"/>
  <c r="AH34" i="58411"/>
  <c r="AG66" i="58411"/>
  <c r="AG72" i="58411" s="1"/>
  <c r="AG73" i="58411" s="1"/>
  <c r="AG74" i="58411" s="1"/>
  <c r="AG38" i="58411"/>
  <c r="AM26" i="58411"/>
  <c r="AM546" i="58411"/>
  <c r="AN530" i="58411"/>
  <c r="AN546" i="58411" s="1"/>
  <c r="AM202" i="58411"/>
  <c r="AN186" i="58411"/>
  <c r="AN202" i="58411" s="1"/>
  <c r="AL611" i="58411"/>
  <c r="AK627" i="58411"/>
  <c r="AM891" i="58411"/>
  <c r="AP421" i="6" s="1"/>
  <c r="BC421" i="6" s="1"/>
  <c r="AN816" i="58411"/>
  <c r="AM836" i="58411"/>
  <c r="AH97" i="58411"/>
  <c r="AG109" i="58411"/>
  <c r="AG129" i="58411"/>
  <c r="AG383" i="58411"/>
  <c r="AK624" i="58411"/>
  <c r="AL608" i="58411"/>
  <c r="AI788" i="58411"/>
  <c r="AJ433" i="58411"/>
  <c r="AI481" i="58411"/>
  <c r="S797" i="58411"/>
  <c r="V202" i="6" s="1"/>
  <c r="V203" i="6" s="1"/>
  <c r="S837" i="58411"/>
  <c r="AM206" i="58411"/>
  <c r="AN190" i="58411"/>
  <c r="AN206" i="58411" s="1"/>
  <c r="AJ195" i="58411"/>
  <c r="AI412" i="58411"/>
  <c r="AM50" i="58411"/>
  <c r="AM759" i="58411"/>
  <c r="AN743" i="58411"/>
  <c r="AN759" i="58411" s="1"/>
  <c r="AK907" i="58411"/>
  <c r="AK899" i="58411"/>
  <c r="AJ384" i="58411"/>
  <c r="AK27" i="58411"/>
  <c r="AL372" i="58411"/>
  <c r="AM17" i="58411"/>
  <c r="AH817" i="58411"/>
  <c r="AH837" i="58411"/>
  <c r="AH838" i="58411" s="1"/>
  <c r="AH839" i="58411" s="1"/>
  <c r="AF936" i="58411"/>
  <c r="AM187" i="58411"/>
  <c r="AM404" i="58411" s="1"/>
  <c r="AL203" i="58411"/>
  <c r="AN222" i="58411"/>
  <c r="AL765" i="58411"/>
  <c r="AM749" i="58411"/>
  <c r="AH319" i="58411"/>
  <c r="AG351" i="58411"/>
  <c r="AH402" i="58411"/>
  <c r="AH415" i="58411" s="1"/>
  <c r="AI43" i="58411"/>
  <c r="AH54" i="58411"/>
  <c r="AM782" i="58411"/>
  <c r="AN427" i="58411"/>
  <c r="AN782" i="58411" s="1"/>
  <c r="AH921" i="58411"/>
  <c r="AH922" i="58411"/>
  <c r="AL829" i="58411"/>
  <c r="AM466" i="58411"/>
  <c r="AH177" i="58411"/>
  <c r="AG209" i="58411"/>
  <c r="R935" i="58411"/>
  <c r="R938" i="58411"/>
  <c r="R937" i="58411"/>
  <c r="AL267" i="58411"/>
  <c r="AH930" i="58411"/>
  <c r="AG241" i="6"/>
  <c r="AG242" i="6"/>
  <c r="AM550" i="58411"/>
  <c r="AN534" i="58411"/>
  <c r="AN550" i="58411" s="1"/>
  <c r="AL131" i="58411"/>
  <c r="AM115" i="58411"/>
  <c r="AL403" i="58411"/>
  <c r="AK832" i="58411"/>
  <c r="AF397" i="58411"/>
  <c r="AN686" i="58411"/>
  <c r="AH242" i="6"/>
  <c r="AH241" i="6"/>
  <c r="AH250" i="58411"/>
  <c r="AG282" i="58411"/>
  <c r="AL621" i="58411"/>
  <c r="AM605" i="58411"/>
  <c r="AN331" i="58411"/>
  <c r="AL722" i="58411"/>
  <c r="AL860" i="58411" s="1"/>
  <c r="AM709" i="58411"/>
  <c r="AX202" i="6"/>
  <c r="U204" i="6"/>
  <c r="AX204" i="6" s="1"/>
  <c r="U205" i="6"/>
  <c r="AX205" i="6" s="1"/>
  <c r="Z204" i="6"/>
  <c r="AY204" i="6" s="1"/>
  <c r="AM366" i="58411"/>
  <c r="AN11" i="58411"/>
  <c r="AN366" i="58411" s="1"/>
  <c r="AL754" i="58411"/>
  <c r="AL423" i="58438" s="1"/>
  <c r="AL757" i="58411"/>
  <c r="AM741" i="58411"/>
  <c r="AM725" i="58411"/>
  <c r="AL738" i="58411"/>
  <c r="AL390" i="58438" s="1"/>
  <c r="AL761" i="58411"/>
  <c r="AM745" i="58411"/>
  <c r="AJ194" i="58411"/>
  <c r="AJ411" i="58411" s="1"/>
  <c r="AL801" i="58411"/>
  <c r="AM442" i="58411"/>
  <c r="AL387" i="58411"/>
  <c r="AM30" i="58411"/>
  <c r="AI335" i="6"/>
  <c r="AL828" i="58411"/>
  <c r="AM465" i="58411"/>
  <c r="AM69" i="58411"/>
  <c r="AN53" i="58411"/>
  <c r="AL364" i="58411"/>
  <c r="AL22" i="58411"/>
  <c r="AM9" i="58411"/>
  <c r="AM57" i="58411" s="1"/>
  <c r="AJ193" i="58411"/>
  <c r="AJ410" i="58411" s="1"/>
  <c r="AH320" i="58411"/>
  <c r="AG352" i="58411"/>
  <c r="AH929" i="58411"/>
  <c r="AK123" i="58411"/>
  <c r="AM31" i="58411"/>
  <c r="AL63" i="58411"/>
  <c r="AL226" i="58411"/>
  <c r="AK274" i="58411"/>
  <c r="AK235" i="58411"/>
  <c r="AM61" i="58411"/>
  <c r="AN45" i="58411"/>
  <c r="AG837" i="58411"/>
  <c r="AG838" i="58411" s="1"/>
  <c r="AG839" i="58411" s="1"/>
  <c r="AL823" i="58411"/>
  <c r="AN468" i="58411"/>
  <c r="AL811" i="58411"/>
  <c r="AM452" i="58411"/>
  <c r="AM484" i="58411" s="1"/>
  <c r="AK626" i="58411"/>
  <c r="AL610" i="58411"/>
  <c r="AK831" i="58411"/>
  <c r="AL827" i="58411"/>
  <c r="AK830" i="58411"/>
  <c r="AL525" i="58411"/>
  <c r="AM512" i="58411"/>
  <c r="AL544" i="58411"/>
  <c r="AM374" i="58411"/>
  <c r="AN19" i="58411"/>
  <c r="AN374" i="58411" s="1"/>
  <c r="AL57" i="58411"/>
  <c r="AX237" i="6"/>
  <c r="U238" i="6"/>
  <c r="AX238" i="6" s="1"/>
  <c r="AM554" i="58411"/>
  <c r="AN538" i="58411"/>
  <c r="AN554" i="58411" s="1"/>
  <c r="AI789" i="58411"/>
  <c r="AJ434" i="58411"/>
  <c r="AI482" i="58411"/>
  <c r="AM596" i="58411"/>
  <c r="AM388" i="58438" s="1"/>
  <c r="AN583" i="58411"/>
  <c r="AN596" i="58411" s="1"/>
  <c r="AN388" i="58438" s="1"/>
  <c r="AE240" i="6"/>
  <c r="AA242" i="6"/>
  <c r="AM256" i="58411"/>
  <c r="AM267" i="58411" s="1"/>
  <c r="AL272" i="58411"/>
  <c r="AH246" i="58411"/>
  <c r="AG251" i="58411"/>
  <c r="AG390" i="58411"/>
  <c r="AG278" i="58411"/>
  <c r="AL845" i="58411"/>
  <c r="AL780" i="58411"/>
  <c r="AM425" i="58411"/>
  <c r="AL128" i="58411"/>
  <c r="AM112" i="58411"/>
  <c r="AN650" i="6"/>
  <c r="AO650" i="6" s="1"/>
  <c r="V621" i="6"/>
  <c r="V620" i="6"/>
  <c r="V126" i="6"/>
  <c r="V125" i="6"/>
  <c r="V101" i="6"/>
  <c r="V148" i="6"/>
  <c r="V140" i="6"/>
  <c r="AD73" i="6"/>
  <c r="F111" i="6"/>
  <c r="AU105" i="6"/>
  <c r="AM691" i="6"/>
  <c r="AM51" i="6" s="1"/>
  <c r="AM106" i="6" s="1"/>
  <c r="AO684" i="6"/>
  <c r="AC655" i="6"/>
  <c r="AC607" i="6"/>
  <c r="U60" i="6"/>
  <c r="HX640" i="58479" s="1"/>
  <c r="HY641" i="58479" s="1"/>
  <c r="AX56" i="6"/>
  <c r="U98" i="6"/>
  <c r="U99" i="6"/>
  <c r="Z708" i="6"/>
  <c r="AY708" i="6" s="1"/>
  <c r="Z152" i="6"/>
  <c r="Z67" i="6"/>
  <c r="AY60" i="6"/>
  <c r="Z707" i="6"/>
  <c r="AY707" i="6" s="1"/>
  <c r="AB177" i="6"/>
  <c r="AC145" i="6"/>
  <c r="AC138" i="6"/>
  <c r="AO556" i="6"/>
  <c r="AN519" i="6"/>
  <c r="AO519" i="6" s="1"/>
  <c r="BB519" i="6" s="1"/>
  <c r="AP645" i="6"/>
  <c r="I620" i="6"/>
  <c r="I148" i="6"/>
  <c r="I140" i="6"/>
  <c r="I138" i="6" s="1"/>
  <c r="I126" i="6"/>
  <c r="I125" i="6"/>
  <c r="L619" i="6"/>
  <c r="L72" i="6"/>
  <c r="L174" i="6"/>
  <c r="L171" i="6"/>
  <c r="AE15" i="6"/>
  <c r="AZ15" i="6" s="1"/>
  <c r="G620" i="6"/>
  <c r="G148" i="6"/>
  <c r="G140" i="6"/>
  <c r="G138" i="6" s="1"/>
  <c r="G126" i="6"/>
  <c r="G125" i="6"/>
  <c r="Z490" i="6"/>
  <c r="AP648" i="6"/>
  <c r="AH72" i="6"/>
  <c r="AH73" i="6" s="1"/>
  <c r="AH707" i="6"/>
  <c r="S620" i="6"/>
  <c r="S126" i="6"/>
  <c r="S101" i="6"/>
  <c r="S125" i="6"/>
  <c r="S148" i="6"/>
  <c r="S140" i="6"/>
  <c r="S127" i="6"/>
  <c r="AE105" i="6"/>
  <c r="AA111" i="6"/>
  <c r="AA121" i="6" s="1"/>
  <c r="AO503" i="6"/>
  <c r="AP649" i="6"/>
  <c r="AP688" i="6" s="1"/>
  <c r="AM634" i="6"/>
  <c r="AL651" i="6"/>
  <c r="AL605" i="6"/>
  <c r="W111" i="6"/>
  <c r="W121" i="6" s="1"/>
  <c r="M716" i="6"/>
  <c r="N713" i="6" s="1"/>
  <c r="M715" i="6"/>
  <c r="T145" i="6"/>
  <c r="T138" i="6"/>
  <c r="AE142" i="6"/>
  <c r="AZ142" i="6" s="1"/>
  <c r="S172" i="6"/>
  <c r="S177" i="6"/>
  <c r="BC554" i="6"/>
  <c r="AQ554" i="6"/>
  <c r="BD554" i="6" s="1"/>
  <c r="Z111" i="6"/>
  <c r="AY105" i="6"/>
  <c r="X172" i="6"/>
  <c r="X177" i="6"/>
  <c r="F157" i="6"/>
  <c r="AU152" i="6"/>
  <c r="AI699" i="6"/>
  <c r="AJ562" i="6"/>
  <c r="T174" i="6"/>
  <c r="T171" i="6"/>
  <c r="AD145" i="6"/>
  <c r="AD138" i="6"/>
  <c r="AI539" i="6"/>
  <c r="AI167" i="6"/>
  <c r="AG620" i="6"/>
  <c r="AG148" i="6"/>
  <c r="AG140" i="6"/>
  <c r="AG127" i="6"/>
  <c r="AG126" i="6"/>
  <c r="AG125" i="6"/>
  <c r="AG101" i="6"/>
  <c r="Z15" i="6"/>
  <c r="AY15" i="6" s="1"/>
  <c r="Z292" i="6"/>
  <c r="P709" i="6"/>
  <c r="P60" i="6"/>
  <c r="HW640" i="58479" s="1"/>
  <c r="AW56" i="6"/>
  <c r="P99" i="6"/>
  <c r="I171" i="6"/>
  <c r="I177" i="6" s="1"/>
  <c r="I174" i="6"/>
  <c r="G174" i="6"/>
  <c r="G171" i="6"/>
  <c r="G177" i="6" s="1"/>
  <c r="M619" i="6"/>
  <c r="M72" i="6"/>
  <c r="M73" i="6" s="1"/>
  <c r="N620" i="6"/>
  <c r="N127" i="6"/>
  <c r="N126" i="6"/>
  <c r="N125" i="6"/>
  <c r="N148" i="6"/>
  <c r="N140" i="6"/>
  <c r="AH127" i="6"/>
  <c r="AH126" i="6"/>
  <c r="AH125" i="6"/>
  <c r="AH101" i="6"/>
  <c r="AH148" i="6"/>
  <c r="AH140" i="6"/>
  <c r="AN704" i="6"/>
  <c r="AO590" i="6"/>
  <c r="AA174" i="6"/>
  <c r="AA171" i="6"/>
  <c r="AK655" i="6"/>
  <c r="AK581" i="6" s="1"/>
  <c r="AK607" i="6"/>
  <c r="BB578" i="6"/>
  <c r="AP578" i="6"/>
  <c r="K709" i="6"/>
  <c r="AV56" i="6"/>
  <c r="K60" i="6"/>
  <c r="HV640" i="58479" s="1"/>
  <c r="HV641" i="58479" s="1"/>
  <c r="K99" i="6"/>
  <c r="U105" i="6"/>
  <c r="Q111" i="6"/>
  <c r="Q121" i="6" s="1"/>
  <c r="T621" i="6" s="1"/>
  <c r="U621" i="6" s="1"/>
  <c r="CQ251" i="58479" s="1"/>
  <c r="W174" i="6"/>
  <c r="AB175" i="6" s="1"/>
  <c r="W171" i="6"/>
  <c r="Z476" i="6"/>
  <c r="Z472" i="6"/>
  <c r="AY468" i="6"/>
  <c r="AE477" i="6"/>
  <c r="N177" i="6"/>
  <c r="S175" i="6"/>
  <c r="X73" i="6"/>
  <c r="T73" i="6"/>
  <c r="BC443" i="6"/>
  <c r="AQ443" i="6"/>
  <c r="BD443" i="6" s="1"/>
  <c r="BD276" i="6"/>
  <c r="AQ283" i="6"/>
  <c r="BD283" i="6" s="1"/>
  <c r="AQ12" i="6"/>
  <c r="BD12" i="6" s="1"/>
  <c r="X175" i="6"/>
  <c r="AU490" i="6"/>
  <c r="F513" i="6"/>
  <c r="AP647" i="6"/>
  <c r="AP686" i="6" s="1"/>
  <c r="BD80" i="6"/>
  <c r="AG174" i="6"/>
  <c r="AG171" i="6"/>
  <c r="BC558" i="6"/>
  <c r="AQ558" i="6"/>
  <c r="BD558" i="6" s="1"/>
  <c r="AJ610" i="6"/>
  <c r="J23" i="58482" s="1"/>
  <c r="BA607" i="6"/>
  <c r="AJ606" i="6"/>
  <c r="BA606" i="6" s="1"/>
  <c r="U142" i="6"/>
  <c r="AX142" i="6" s="1"/>
  <c r="R620" i="6"/>
  <c r="R126" i="6"/>
  <c r="R125" i="6"/>
  <c r="R101" i="6"/>
  <c r="R148" i="6"/>
  <c r="R140" i="6"/>
  <c r="AP646" i="6"/>
  <c r="M111" i="6"/>
  <c r="M121" i="6" s="1"/>
  <c r="O621" i="6" s="1"/>
  <c r="AF708" i="6"/>
  <c r="AF490" i="6"/>
  <c r="AF152" i="6"/>
  <c r="AF157" i="6" s="1"/>
  <c r="AF161" i="6" s="1"/>
  <c r="AF105" i="6"/>
  <c r="AF71" i="6"/>
  <c r="AF707" i="6"/>
  <c r="AF67" i="6"/>
  <c r="P15" i="6"/>
  <c r="AW15" i="6" s="1"/>
  <c r="P292" i="6"/>
  <c r="AH157" i="6"/>
  <c r="AH161" i="6" s="1"/>
  <c r="AH174" i="6" s="1"/>
  <c r="V177" i="6"/>
  <c r="AA513" i="6"/>
  <c r="AA543" i="6" s="1"/>
  <c r="AE490" i="6"/>
  <c r="X145" i="6"/>
  <c r="X138" i="6"/>
  <c r="AD177" i="6"/>
  <c r="Q171" i="6"/>
  <c r="Q174" i="6"/>
  <c r="AE100" i="6"/>
  <c r="AZ56" i="6"/>
  <c r="AE60" i="6"/>
  <c r="HZ640" i="58479" s="1"/>
  <c r="HZ641" i="58479" s="1"/>
  <c r="AE98" i="6"/>
  <c r="BP227" i="58502" s="1"/>
  <c r="BP209" i="58502" s="1"/>
  <c r="BP211" i="58502" s="1"/>
  <c r="BP215" i="58502" s="1"/>
  <c r="AE99" i="6"/>
  <c r="O172" i="6"/>
  <c r="O177" i="6"/>
  <c r="N175" i="6"/>
  <c r="BC503" i="6"/>
  <c r="AC175" i="6"/>
  <c r="AJ528" i="6"/>
  <c r="Y171" i="6"/>
  <c r="Y174" i="6"/>
  <c r="AB138" i="6"/>
  <c r="S73" i="6"/>
  <c r="U468" i="6"/>
  <c r="Z477" i="6" s="1"/>
  <c r="AX465" i="6"/>
  <c r="AU120" i="58481" s="1"/>
  <c r="AU124" i="58481" s="1"/>
  <c r="U475" i="6"/>
  <c r="F619" i="6"/>
  <c r="AU619" i="6" s="1"/>
  <c r="F72" i="6"/>
  <c r="AU67" i="6"/>
  <c r="O138" i="6"/>
  <c r="O144" i="6" s="1"/>
  <c r="O145" i="6"/>
  <c r="AQ437" i="6"/>
  <c r="BD437" i="6" s="1"/>
  <c r="BC437" i="6"/>
  <c r="AN686" i="6"/>
  <c r="AO686" i="6" s="1"/>
  <c r="AE627" i="6"/>
  <c r="AD651" i="6"/>
  <c r="FE567" i="58502" s="1"/>
  <c r="AD605" i="6"/>
  <c r="AG619" i="6"/>
  <c r="AG72" i="6"/>
  <c r="AG73" i="6" s="1"/>
  <c r="J621" i="6"/>
  <c r="R177" i="6"/>
  <c r="U292" i="6"/>
  <c r="I619" i="6"/>
  <c r="I72" i="6"/>
  <c r="N73" i="6" s="1"/>
  <c r="L621" i="6"/>
  <c r="L622" i="6" s="1"/>
  <c r="L620" i="6"/>
  <c r="L125" i="6"/>
  <c r="L148" i="6"/>
  <c r="L140" i="6"/>
  <c r="L127" i="6"/>
  <c r="L126" i="6"/>
  <c r="G619" i="6"/>
  <c r="G72" i="6"/>
  <c r="AN685" i="6"/>
  <c r="AO685" i="6" s="1"/>
  <c r="M171" i="6"/>
  <c r="R172" i="6" s="1"/>
  <c r="M174" i="6"/>
  <c r="R175" i="6" s="1"/>
  <c r="AN83" i="6"/>
  <c r="AN530" i="6" s="1"/>
  <c r="AN169" i="6" s="1"/>
  <c r="AM530" i="6"/>
  <c r="Y145" i="6"/>
  <c r="Y138" i="6"/>
  <c r="Y144" i="6" s="1"/>
  <c r="AB610" i="6"/>
  <c r="AB606" i="6"/>
  <c r="V175" i="6"/>
  <c r="AA619" i="6"/>
  <c r="AA72" i="6"/>
  <c r="AO508" i="6"/>
  <c r="BB508" i="6" s="1"/>
  <c r="AD175" i="6"/>
  <c r="Q619" i="6"/>
  <c r="Q72" i="6"/>
  <c r="V73" i="6" s="1"/>
  <c r="U490" i="6"/>
  <c r="Q513" i="6"/>
  <c r="Q543" i="6" s="1"/>
  <c r="E708" i="6"/>
  <c r="AT708" i="6" s="1"/>
  <c r="E490" i="6"/>
  <c r="E152" i="6"/>
  <c r="E105" i="6"/>
  <c r="E71" i="6"/>
  <c r="AT71" i="6" s="1"/>
  <c r="E67" i="6"/>
  <c r="AT60" i="6"/>
  <c r="W619" i="6"/>
  <c r="W72" i="6"/>
  <c r="W73" i="6" s="1"/>
  <c r="O175" i="6"/>
  <c r="Z474" i="6"/>
  <c r="AY474" i="6" s="1"/>
  <c r="AE292" i="6"/>
  <c r="AN615" i="6"/>
  <c r="AO552" i="6"/>
  <c r="AC177" i="6"/>
  <c r="AC172" i="6"/>
  <c r="AE666" i="6"/>
  <c r="M469" i="58438" l="1"/>
  <c r="G55" i="58499"/>
  <c r="U474" i="6"/>
  <c r="AX474" i="6" s="1"/>
  <c r="AE100" i="58438"/>
  <c r="AE105" i="58438" s="1"/>
  <c r="AJ110" i="58438" s="1"/>
  <c r="G324" i="58438"/>
  <c r="L325" i="58438" s="1"/>
  <c r="L234" i="58438" s="1"/>
  <c r="L338" i="58438"/>
  <c r="R621" i="6"/>
  <c r="N172" i="6"/>
  <c r="K138" i="6"/>
  <c r="D324" i="58438"/>
  <c r="M459" i="58438"/>
  <c r="M58" i="58438" s="1"/>
  <c r="C350" i="58438"/>
  <c r="H350" i="58438"/>
  <c r="IS710" i="58479"/>
  <c r="IS719" i="58479" s="1"/>
  <c r="J34" i="58501"/>
  <c r="K34" i="58501"/>
  <c r="F34" i="58501"/>
  <c r="C37" i="58501"/>
  <c r="K55" i="58499"/>
  <c r="J55" i="58499"/>
  <c r="F55" i="58499"/>
  <c r="IS714" i="58479"/>
  <c r="IS715" i="58479"/>
  <c r="AJ109" i="58438"/>
  <c r="AJ104" i="58438" s="1"/>
  <c r="AE103" i="58438"/>
  <c r="AJ108" i="58438" s="1"/>
  <c r="HW641" i="58479"/>
  <c r="U100" i="6"/>
  <c r="HW535" i="58481"/>
  <c r="J34" i="58498"/>
  <c r="K34" i="58498"/>
  <c r="F34" i="58498"/>
  <c r="C37" i="58498"/>
  <c r="K49" i="58498"/>
  <c r="C55" i="58498"/>
  <c r="J49" i="58498"/>
  <c r="F49" i="58498"/>
  <c r="C324" i="58438"/>
  <c r="C325" i="58438" s="1"/>
  <c r="C234" i="58438" s="1"/>
  <c r="C338" i="58438"/>
  <c r="G34" i="58501"/>
  <c r="D37" i="58501"/>
  <c r="AQ567" i="6"/>
  <c r="BD567" i="6" s="1"/>
  <c r="BC567" i="6"/>
  <c r="AJ113" i="58479"/>
  <c r="AJ112" i="58479"/>
  <c r="AJ111" i="58479"/>
  <c r="R49" i="58438"/>
  <c r="R54" i="58438" s="1"/>
  <c r="R51" i="58438"/>
  <c r="R53" i="58438"/>
  <c r="R52" i="58438"/>
  <c r="F64" i="58502"/>
  <c r="HW537" i="58481"/>
  <c r="AV111" i="58481"/>
  <c r="AV115" i="58481" s="1"/>
  <c r="AV106" i="58481"/>
  <c r="M377" i="58438"/>
  <c r="R377" i="58438"/>
  <c r="G34" i="58498"/>
  <c r="D37" i="58498"/>
  <c r="D40" i="58498" s="1"/>
  <c r="K34" i="58499"/>
  <c r="F34" i="58499"/>
  <c r="J34" i="58499"/>
  <c r="C37" i="58499"/>
  <c r="G34" i="58499"/>
  <c r="P338" i="58438"/>
  <c r="K324" i="58438"/>
  <c r="P325" i="58438" s="1"/>
  <c r="P234" i="58438" s="1"/>
  <c r="I349" i="58438"/>
  <c r="I337" i="58438"/>
  <c r="I326" i="58438"/>
  <c r="FO385" i="58481"/>
  <c r="FO383" i="58481"/>
  <c r="J338" i="58438"/>
  <c r="E324" i="58438"/>
  <c r="J325" i="58438" s="1"/>
  <c r="J234" i="58438" s="1"/>
  <c r="D55" i="58498"/>
  <c r="G55" i="58498" s="1"/>
  <c r="G49" i="58498"/>
  <c r="K350" i="58438"/>
  <c r="HX641" i="58479"/>
  <c r="R410" i="58438"/>
  <c r="R469" i="58438"/>
  <c r="L326" i="58438"/>
  <c r="N326" i="58438"/>
  <c r="W399" i="58438"/>
  <c r="W466" i="58438" s="1"/>
  <c r="W431" i="58438"/>
  <c r="AB399" i="58438"/>
  <c r="AB466" i="58438" s="1"/>
  <c r="W409" i="58438"/>
  <c r="W410" i="58438" s="1"/>
  <c r="D55" i="58501"/>
  <c r="G49" i="58501"/>
  <c r="F40" i="58499"/>
  <c r="G40" i="58499"/>
  <c r="F65" i="58502"/>
  <c r="H469" i="58438"/>
  <c r="H459" i="58438"/>
  <c r="H58" i="58438" s="1"/>
  <c r="H326" i="58438"/>
  <c r="AJ110" i="58479"/>
  <c r="F67" i="58502"/>
  <c r="J49" i="58501"/>
  <c r="F49" i="58501"/>
  <c r="K49" i="58501"/>
  <c r="C55" i="58501"/>
  <c r="FN383" i="58481"/>
  <c r="FN385" i="58481"/>
  <c r="M432" i="58438"/>
  <c r="IS716" i="58479"/>
  <c r="FM383" i="58481"/>
  <c r="FM385" i="58481"/>
  <c r="W326" i="58438"/>
  <c r="AQ505" i="6"/>
  <c r="BD505" i="6" s="1"/>
  <c r="AB459" i="58438"/>
  <c r="AB58" i="58438" s="1"/>
  <c r="AH325" i="58438"/>
  <c r="AJ631" i="58411"/>
  <c r="AJ632" i="58411" s="1"/>
  <c r="AI916" i="58411"/>
  <c r="AJ887" i="58411"/>
  <c r="AK630" i="58411"/>
  <c r="AK631" i="58411" s="1"/>
  <c r="AK632" i="58411" s="1"/>
  <c r="AL772" i="58411"/>
  <c r="AK773" i="58411"/>
  <c r="AK774" i="58411" s="1"/>
  <c r="AK22" i="58438"/>
  <c r="AI920" i="58411"/>
  <c r="AI922" i="58411" s="1"/>
  <c r="AK702" i="58411"/>
  <c r="AK703" i="58411" s="1"/>
  <c r="AK21" i="58438"/>
  <c r="AE31" i="58438"/>
  <c r="AI437" i="58438"/>
  <c r="AI440" i="58438" s="1"/>
  <c r="AI444" i="58438" s="1"/>
  <c r="AL403" i="58438"/>
  <c r="AL437" i="58438" s="1"/>
  <c r="AI406" i="58438"/>
  <c r="AN363" i="58438"/>
  <c r="AM363" i="58438"/>
  <c r="AM390" i="6"/>
  <c r="AM391" i="6" s="1"/>
  <c r="AG937" i="58411"/>
  <c r="AG936" i="58411"/>
  <c r="AK406" i="58438"/>
  <c r="AK413" i="58438" s="1"/>
  <c r="AJ415" i="58438"/>
  <c r="AJ407" i="58438"/>
  <c r="AJ471" i="58438" s="1"/>
  <c r="AJ417" i="58438"/>
  <c r="AJ416" i="58438"/>
  <c r="AJ414" i="58438"/>
  <c r="AJ409" i="58438"/>
  <c r="AJ410" i="58438" s="1"/>
  <c r="AK436" i="58438"/>
  <c r="AK440" i="58438" s="1"/>
  <c r="AK444" i="58438" s="1"/>
  <c r="AG938" i="58411"/>
  <c r="AK366" i="58438"/>
  <c r="AK380" i="58438" s="1"/>
  <c r="AI380" i="58438"/>
  <c r="AI382" i="58438"/>
  <c r="AI384" i="58438"/>
  <c r="AI383" i="58438"/>
  <c r="AI381" i="58438"/>
  <c r="AI367" i="58438"/>
  <c r="AI461" i="58438" s="1"/>
  <c r="AL882" i="58411"/>
  <c r="AL883" i="58411" s="1"/>
  <c r="AL460" i="58438" s="1"/>
  <c r="AL387" i="58438"/>
  <c r="AL391" i="58438" s="1"/>
  <c r="AL392" i="58438" s="1"/>
  <c r="AJ366" i="58438"/>
  <c r="AJ436" i="58438"/>
  <c r="AK560" i="58411"/>
  <c r="AK561" i="58411" s="1"/>
  <c r="AK19" i="58438"/>
  <c r="AU19" i="58438" s="1"/>
  <c r="AK834" i="58411"/>
  <c r="AN388" i="6" s="1"/>
  <c r="AN389" i="6" s="1"/>
  <c r="AN390" i="6" s="1"/>
  <c r="AN391" i="6" s="1"/>
  <c r="AM901" i="58411"/>
  <c r="AI431" i="58438"/>
  <c r="AI432" i="58438" s="1"/>
  <c r="AI357" i="58438"/>
  <c r="AI456" i="58438" s="1"/>
  <c r="AI376" i="58438"/>
  <c r="AI377" i="58438" s="1"/>
  <c r="AF31" i="58438"/>
  <c r="Y326" i="58438"/>
  <c r="Y324" i="58438" s="1"/>
  <c r="AD325" i="58438" s="1"/>
  <c r="AD234" i="58438" s="1"/>
  <c r="AA326" i="58438"/>
  <c r="AA324" i="58438" s="1"/>
  <c r="AA325" i="58438" s="1"/>
  <c r="AA234" i="58438" s="1"/>
  <c r="X326" i="58438"/>
  <c r="X324" i="58438" s="1"/>
  <c r="AC325" i="58438" s="1"/>
  <c r="AC234" i="58438" s="1"/>
  <c r="Z326" i="58438"/>
  <c r="Z324" i="58438" s="1"/>
  <c r="Z325" i="58438" s="1"/>
  <c r="Z234" i="58438" s="1"/>
  <c r="AB469" i="58438"/>
  <c r="AF459" i="58438"/>
  <c r="AF58" i="58438" s="1"/>
  <c r="AQ503" i="6"/>
  <c r="DL372" i="58502"/>
  <c r="L6" i="58511"/>
  <c r="L5" i="58511" s="1"/>
  <c r="K12" i="58511"/>
  <c r="J42" i="58511"/>
  <c r="Z72" i="6"/>
  <c r="H12" i="58482" s="1"/>
  <c r="AB73" i="6"/>
  <c r="AP608" i="6"/>
  <c r="BC582" i="6"/>
  <c r="AQ653" i="6"/>
  <c r="BC653" i="6"/>
  <c r="AP576" i="6"/>
  <c r="BC576" i="6" s="1"/>
  <c r="AQ582" i="6"/>
  <c r="BD657" i="6"/>
  <c r="AM169" i="6"/>
  <c r="AO530" i="6"/>
  <c r="BB530" i="6" s="1"/>
  <c r="AO83" i="6"/>
  <c r="AC100" i="58438"/>
  <c r="AC105" i="58438" s="1"/>
  <c r="AC103" i="58438" s="1"/>
  <c r="AH108" i="58438" s="1"/>
  <c r="AI794" i="58411"/>
  <c r="AI96" i="58438" s="1"/>
  <c r="AH109" i="58438"/>
  <c r="AH104" i="58438" s="1"/>
  <c r="AC72" i="58438"/>
  <c r="AI41" i="58438"/>
  <c r="AI23" i="58438"/>
  <c r="AI26" i="58438" s="1"/>
  <c r="AH41" i="58438"/>
  <c r="AH23" i="58438"/>
  <c r="AH26" i="58438" s="1"/>
  <c r="AH797" i="58411"/>
  <c r="AK202" i="6" s="1"/>
  <c r="AK203" i="6" s="1"/>
  <c r="AH112" i="58438"/>
  <c r="AC46" i="58438"/>
  <c r="AC49" i="58438" s="1"/>
  <c r="AC27" i="58438"/>
  <c r="AC31" i="58438" s="1"/>
  <c r="AC28" i="58438"/>
  <c r="AC30" i="58438"/>
  <c r="AC29" i="58438"/>
  <c r="AE50" i="58438"/>
  <c r="AE51" i="58438"/>
  <c r="AE53" i="58438"/>
  <c r="AE52" i="58438"/>
  <c r="AG29" i="58438"/>
  <c r="AG30" i="58438"/>
  <c r="AG28" i="58438"/>
  <c r="AG27" i="58438"/>
  <c r="J68" i="58512"/>
  <c r="K147" i="58512"/>
  <c r="J161" i="58512"/>
  <c r="K107" i="58512"/>
  <c r="K126" i="58512" s="1"/>
  <c r="K146" i="58512" s="1"/>
  <c r="K53" i="58512"/>
  <c r="K59" i="58512" s="1"/>
  <c r="K65" i="58512" s="1"/>
  <c r="M39" i="58512"/>
  <c r="M36" i="58512"/>
  <c r="M55" i="58512" s="1"/>
  <c r="L107" i="58512"/>
  <c r="L126" i="58512" s="1"/>
  <c r="L146" i="58512" s="1"/>
  <c r="L53" i="58512"/>
  <c r="L59" i="58512" s="1"/>
  <c r="L65" i="58512" s="1"/>
  <c r="L68" i="58512" s="1"/>
  <c r="AN82" i="58438"/>
  <c r="M6" i="58511" s="1"/>
  <c r="AB448" i="58438"/>
  <c r="AB441" i="58438"/>
  <c r="AB447" i="58438"/>
  <c r="AB446" i="58438"/>
  <c r="AB445" i="58438"/>
  <c r="AF49" i="58438"/>
  <c r="AF52" i="58438"/>
  <c r="AF51" i="58438"/>
  <c r="AF53" i="58438"/>
  <c r="AG417" i="58438"/>
  <c r="AG407" i="58438"/>
  <c r="AG471" i="58438" s="1"/>
  <c r="AG409" i="58438"/>
  <c r="AG410" i="58438" s="1"/>
  <c r="AG416" i="58438"/>
  <c r="AG414" i="58438"/>
  <c r="AG415" i="58438"/>
  <c r="AK35" i="58438"/>
  <c r="AL242" i="58438"/>
  <c r="AF50" i="58438"/>
  <c r="AN316" i="58438"/>
  <c r="AG46" i="58438"/>
  <c r="AG50" i="58438" s="1"/>
  <c r="H324" i="58438"/>
  <c r="H325" i="58438" s="1"/>
  <c r="H234" i="58438" s="1"/>
  <c r="K325" i="58438"/>
  <c r="K234" i="58438" s="1"/>
  <c r="AL366" i="58438"/>
  <c r="AL380" i="58438" s="1"/>
  <c r="AG440" i="58438"/>
  <c r="AG444" i="58438" s="1"/>
  <c r="AG376" i="58438"/>
  <c r="AG377" i="58438" s="1"/>
  <c r="AG384" i="58438"/>
  <c r="AG367" i="58438"/>
  <c r="AG461" i="58438" s="1"/>
  <c r="AG383" i="58438"/>
  <c r="AG382" i="58438"/>
  <c r="AG381" i="58438"/>
  <c r="AF448" i="58438"/>
  <c r="AF441" i="58438"/>
  <c r="AF447" i="58438"/>
  <c r="AF445" i="58438"/>
  <c r="AF446" i="58438"/>
  <c r="AF469" i="58438"/>
  <c r="AL436" i="58438"/>
  <c r="AN189" i="6"/>
  <c r="AN188" i="6"/>
  <c r="AO188" i="6" s="1"/>
  <c r="BB188" i="6" s="1"/>
  <c r="AL626" i="58411"/>
  <c r="AM610" i="58411"/>
  <c r="AL831" i="58411"/>
  <c r="AI320" i="58411"/>
  <c r="AH352" i="58411"/>
  <c r="V237" i="6"/>
  <c r="AM313" i="6"/>
  <c r="AM845" i="58411"/>
  <c r="AM780" i="58411"/>
  <c r="AN425" i="58411"/>
  <c r="AE242" i="6"/>
  <c r="AZ242" i="6" s="1"/>
  <c r="AZ240" i="6"/>
  <c r="AM525" i="58411"/>
  <c r="AM387" i="58438" s="1"/>
  <c r="AN512" i="58411"/>
  <c r="AM544" i="58411"/>
  <c r="AM226" i="58411"/>
  <c r="AM368" i="58411" s="1"/>
  <c r="AL274" i="58411"/>
  <c r="AL235" i="58411"/>
  <c r="AM22" i="58411"/>
  <c r="AN9" i="58411"/>
  <c r="AN57" i="58411" s="1"/>
  <c r="AM364" i="58411"/>
  <c r="AM801" i="58411"/>
  <c r="AN442" i="58411"/>
  <c r="AN801" i="58411" s="1"/>
  <c r="AM761" i="58411"/>
  <c r="AN745" i="58411"/>
  <c r="AN761" i="58411" s="1"/>
  <c r="AM754" i="58411"/>
  <c r="AM423" i="58438" s="1"/>
  <c r="AM405" i="58438" s="1"/>
  <c r="AM757" i="58411"/>
  <c r="AN741" i="58411"/>
  <c r="AL861" i="58411"/>
  <c r="AI250" i="58411"/>
  <c r="AH282" i="58411"/>
  <c r="AI327" i="6"/>
  <c r="AF417" i="58411"/>
  <c r="AF418" i="58411" s="1"/>
  <c r="AF419" i="58411" s="1"/>
  <c r="AI402" i="58411"/>
  <c r="AI415" i="58411" s="1"/>
  <c r="AJ43" i="58411"/>
  <c r="AI54" i="58411"/>
  <c r="AM765" i="58411"/>
  <c r="AN749" i="58411"/>
  <c r="AN765" i="58411" s="1"/>
  <c r="AK908" i="58411"/>
  <c r="AK465" i="58438" s="1"/>
  <c r="AK909" i="58411"/>
  <c r="AG143" i="58411"/>
  <c r="AG144" i="58411" s="1"/>
  <c r="AG145" i="58411" s="1"/>
  <c r="AL627" i="58411"/>
  <c r="AM611" i="58411"/>
  <c r="AM832" i="58411" s="1"/>
  <c r="AM692" i="58411"/>
  <c r="AN676" i="58411"/>
  <c r="AN692" i="58411" s="1"/>
  <c r="AM405" i="58411"/>
  <c r="AM62" i="58411"/>
  <c r="AN46" i="58411"/>
  <c r="AH329" i="6"/>
  <c r="AH328" i="6"/>
  <c r="AH336" i="6"/>
  <c r="S945" i="58411"/>
  <c r="S935" i="58411"/>
  <c r="S940" i="58411" s="1"/>
  <c r="S938" i="58411"/>
  <c r="S937" i="58411"/>
  <c r="AJ205" i="6"/>
  <c r="BA205" i="6" s="1"/>
  <c r="AJ204" i="6"/>
  <c r="BA204" i="6" s="1"/>
  <c r="BA202" i="6"/>
  <c r="AL832" i="58411"/>
  <c r="AI930" i="58411"/>
  <c r="AM616" i="58411"/>
  <c r="AN600" i="58411"/>
  <c r="AM344" i="58411"/>
  <c r="AN328" i="58411"/>
  <c r="AN344" i="58411" s="1"/>
  <c r="AN13" i="58411"/>
  <c r="AF940" i="58411"/>
  <c r="AI817" i="58411"/>
  <c r="AH393" i="58411"/>
  <c r="AI36" i="58411"/>
  <c r="AM227" i="58411"/>
  <c r="AL369" i="58411"/>
  <c r="AL275" i="58411"/>
  <c r="AM346" i="58411"/>
  <c r="AN330" i="58411"/>
  <c r="AN346" i="58411" s="1"/>
  <c r="AM825" i="58411"/>
  <c r="AN462" i="58411"/>
  <c r="AK886" i="58411"/>
  <c r="AK883" i="58411"/>
  <c r="AK460" i="58438" s="1"/>
  <c r="AJ334" i="6"/>
  <c r="BA334" i="6" s="1"/>
  <c r="AJ335" i="6"/>
  <c r="BA335" i="6" s="1"/>
  <c r="AJ332" i="6"/>
  <c r="BA331" i="6"/>
  <c r="AG214" i="58411"/>
  <c r="AG215" i="58411" s="1"/>
  <c r="AG216" i="58411" s="1"/>
  <c r="AJ784" i="58411"/>
  <c r="AK429" i="58411"/>
  <c r="AJ438" i="58411"/>
  <c r="AJ477" i="58411"/>
  <c r="AM617" i="58411"/>
  <c r="AN601" i="58411"/>
  <c r="AN617" i="58411" s="1"/>
  <c r="AI315" i="58411"/>
  <c r="AH322" i="58411"/>
  <c r="AH347" i="58411"/>
  <c r="AH388" i="58411"/>
  <c r="AM136" i="58411"/>
  <c r="AN120" i="58411"/>
  <c r="AN136" i="58411" s="1"/>
  <c r="AC921" i="58411"/>
  <c r="AC922" i="58411"/>
  <c r="AD922" i="58411"/>
  <c r="AH859" i="58411"/>
  <c r="AH858" i="58411"/>
  <c r="AH863" i="58411"/>
  <c r="AM553" i="58411"/>
  <c r="AN537" i="58411"/>
  <c r="AN553" i="58411" s="1"/>
  <c r="AM812" i="58411"/>
  <c r="AN453" i="58411"/>
  <c r="AN812" i="58411" s="1"/>
  <c r="AM872" i="58411"/>
  <c r="AM803" i="58411"/>
  <c r="AN444" i="58411"/>
  <c r="AI318" i="58411"/>
  <c r="AH350" i="58411"/>
  <c r="AJ792" i="58411"/>
  <c r="AK437" i="58411"/>
  <c r="AJ485" i="58411"/>
  <c r="AM276" i="58411"/>
  <c r="AN260" i="58411"/>
  <c r="AN276" i="58411" s="1"/>
  <c r="AN467" i="58411"/>
  <c r="AM483" i="58411"/>
  <c r="AI247" i="58411"/>
  <c r="AH279" i="58411"/>
  <c r="AM620" i="58411"/>
  <c r="AN604" i="58411"/>
  <c r="AN620" i="58411" s="1"/>
  <c r="AL701" i="58411"/>
  <c r="AK384" i="6"/>
  <c r="AK331" i="6"/>
  <c r="AK332" i="6" s="1"/>
  <c r="AK309" i="6"/>
  <c r="AJ788" i="58411"/>
  <c r="AJ931" i="58411" s="1"/>
  <c r="AK433" i="58411"/>
  <c r="AJ481" i="58411"/>
  <c r="AN891" i="58411"/>
  <c r="AQ421" i="6" s="1"/>
  <c r="BD421" i="6" s="1"/>
  <c r="AN836" i="58411"/>
  <c r="AN26" i="58411"/>
  <c r="AH391" i="58411"/>
  <c r="AI34" i="58411"/>
  <c r="AH66" i="58411"/>
  <c r="AH38" i="58411"/>
  <c r="AM348" i="58411"/>
  <c r="AN332" i="58411"/>
  <c r="AN348" i="58411" s="1"/>
  <c r="AM804" i="58411"/>
  <c r="AN445" i="58411"/>
  <c r="AN804" i="58411" s="1"/>
  <c r="AI179" i="58411"/>
  <c r="AH394" i="58411"/>
  <c r="AH211" i="58411"/>
  <c r="AI488" i="58411"/>
  <c r="AI489" i="58411" s="1"/>
  <c r="AI490" i="58411" s="1"/>
  <c r="AI317" i="58411"/>
  <c r="AH349" i="58411"/>
  <c r="AH392" i="58411"/>
  <c r="AI35" i="58411"/>
  <c r="AM338" i="58411"/>
  <c r="U241" i="6"/>
  <c r="AX241" i="6" s="1"/>
  <c r="U242" i="6"/>
  <c r="AX242" i="6" s="1"/>
  <c r="AX240" i="6"/>
  <c r="AM128" i="58411"/>
  <c r="AN112" i="58411"/>
  <c r="AL928" i="58411"/>
  <c r="AN61" i="58411"/>
  <c r="AN31" i="58411"/>
  <c r="AM63" i="58411"/>
  <c r="AL123" i="58411"/>
  <c r="AK193" i="58411"/>
  <c r="AK410" i="58411" s="1"/>
  <c r="AL379" i="58411"/>
  <c r="AO187" i="6" s="1"/>
  <c r="AM828" i="58411"/>
  <c r="AN465" i="58411"/>
  <c r="AM387" i="58411"/>
  <c r="AN30" i="58411"/>
  <c r="AN387" i="58411" s="1"/>
  <c r="AK194" i="58411"/>
  <c r="AK411" i="58411" s="1"/>
  <c r="AN615" i="58411"/>
  <c r="AM203" i="58411"/>
  <c r="AN187" i="58411"/>
  <c r="AN203" i="58411" s="1"/>
  <c r="AN17" i="58411"/>
  <c r="AN372" i="58411" s="1"/>
  <c r="AM372" i="58411"/>
  <c r="AN50" i="58411"/>
  <c r="AK195" i="58411"/>
  <c r="AJ412" i="58411"/>
  <c r="S838" i="58411"/>
  <c r="S839" i="58411" s="1"/>
  <c r="X838" i="58411"/>
  <c r="X839" i="58411" s="1"/>
  <c r="AI931" i="58411"/>
  <c r="AI97" i="58411"/>
  <c r="AH109" i="58411"/>
  <c r="AH129" i="58411"/>
  <c r="AH383" i="58411"/>
  <c r="AL878" i="58411"/>
  <c r="AL870" i="58411"/>
  <c r="AM898" i="58411"/>
  <c r="AM820" i="58411"/>
  <c r="AM473" i="58411"/>
  <c r="AN457" i="58411"/>
  <c r="AM470" i="58411"/>
  <c r="AL907" i="58411"/>
  <c r="AL899" i="58411"/>
  <c r="AM769" i="58411"/>
  <c r="AN753" i="58411"/>
  <c r="AN769" i="58411" s="1"/>
  <c r="AM342" i="58411"/>
  <c r="AN326" i="58411"/>
  <c r="AN342" i="58411" s="1"/>
  <c r="AI107" i="58411"/>
  <c r="AH139" i="58411"/>
  <c r="AM904" i="58411"/>
  <c r="AM760" i="58411"/>
  <c r="AN744" i="58411"/>
  <c r="AN760" i="58411" s="1"/>
  <c r="AJ786" i="58411"/>
  <c r="AJ929" i="58411" s="1"/>
  <c r="AK431" i="58411"/>
  <c r="AJ479" i="58411"/>
  <c r="AM549" i="58411"/>
  <c r="AN533" i="58411"/>
  <c r="AN549" i="58411" s="1"/>
  <c r="AI178" i="58411"/>
  <c r="AH210" i="58411"/>
  <c r="AN469" i="58411"/>
  <c r="AI858" i="58411"/>
  <c r="AI859" i="58411"/>
  <c r="AI863" i="58411"/>
  <c r="AM207" i="58411"/>
  <c r="AN191" i="58411"/>
  <c r="AN207" i="58411" s="1"/>
  <c r="AM826" i="58411"/>
  <c r="AN463" i="58411"/>
  <c r="AM401" i="58411"/>
  <c r="AM58" i="58411"/>
  <c r="AN42" i="58411"/>
  <c r="AI105" i="58411"/>
  <c r="AH137" i="58411"/>
  <c r="AM783" i="58411"/>
  <c r="AN428" i="58411"/>
  <c r="AN476" i="58411" s="1"/>
  <c r="AJ917" i="58411"/>
  <c r="AJ916" i="58411"/>
  <c r="AJ920" i="58411"/>
  <c r="S864" i="58411"/>
  <c r="S865" i="58411"/>
  <c r="T865" i="58411"/>
  <c r="X864" i="58411"/>
  <c r="AM140" i="58411"/>
  <c r="AN124" i="58411"/>
  <c r="AN140" i="58411" s="1"/>
  <c r="AM400" i="58411"/>
  <c r="AG840" i="58411"/>
  <c r="AM808" i="58411"/>
  <c r="AN449" i="58411"/>
  <c r="AN808" i="58411" s="1"/>
  <c r="AI176" i="58411"/>
  <c r="AH180" i="58411"/>
  <c r="AH208" i="58411"/>
  <c r="AG356" i="58411"/>
  <c r="AG357" i="58411" s="1"/>
  <c r="AG358" i="58411" s="1"/>
  <c r="AM875" i="58411"/>
  <c r="AM807" i="58411"/>
  <c r="AN448" i="58411"/>
  <c r="AM805" i="58411"/>
  <c r="AN446" i="58411"/>
  <c r="AN805" i="58411" s="1"/>
  <c r="AN271" i="58411"/>
  <c r="AN21" i="58411"/>
  <c r="AN376" i="58411" s="1"/>
  <c r="AM376" i="58411"/>
  <c r="AJ851" i="58411"/>
  <c r="AJ787" i="58411"/>
  <c r="AK432" i="58411"/>
  <c r="AJ480" i="58411"/>
  <c r="AM821" i="58411"/>
  <c r="AN458" i="58411"/>
  <c r="AM474" i="58411"/>
  <c r="AK192" i="58411"/>
  <c r="AJ196" i="58411"/>
  <c r="AJ409" i="58411"/>
  <c r="AM65" i="58411"/>
  <c r="AM392" i="6"/>
  <c r="AM272" i="58411"/>
  <c r="AN256" i="58411"/>
  <c r="AN272" i="58411" s="1"/>
  <c r="AJ789" i="58411"/>
  <c r="AK434" i="58411"/>
  <c r="AJ482" i="58411"/>
  <c r="AI177" i="58411"/>
  <c r="AH209" i="58411"/>
  <c r="AK384" i="58411"/>
  <c r="AL27" i="58411"/>
  <c r="AN382" i="58411"/>
  <c r="AM822" i="58411"/>
  <c r="AN459" i="58411"/>
  <c r="AM809" i="58411"/>
  <c r="AN450" i="58411"/>
  <c r="AN809" i="58411" s="1"/>
  <c r="AL122" i="58411"/>
  <c r="AK125" i="58411"/>
  <c r="AN270" i="58411"/>
  <c r="AN334" i="58411"/>
  <c r="AM545" i="58411"/>
  <c r="AN529" i="58411"/>
  <c r="AM541" i="58411"/>
  <c r="AM420" i="58438" s="1"/>
  <c r="AG864" i="58411"/>
  <c r="AG887" i="58411"/>
  <c r="AN336" i="58411"/>
  <c r="AI248" i="58411"/>
  <c r="AH280" i="58411"/>
  <c r="AN65" i="58411"/>
  <c r="AL846" i="58411"/>
  <c r="AI246" i="58411"/>
  <c r="AH278" i="58411"/>
  <c r="AH390" i="58411"/>
  <c r="AH251" i="58411"/>
  <c r="AL559" i="58411"/>
  <c r="AM811" i="58411"/>
  <c r="AN452" i="58411"/>
  <c r="AN811" i="58411" s="1"/>
  <c r="AH933" i="58411"/>
  <c r="AH936" i="58411" s="1"/>
  <c r="AN69" i="58411"/>
  <c r="AM738" i="58411"/>
  <c r="AM390" i="58438" s="1"/>
  <c r="AN725" i="58411"/>
  <c r="AN738" i="58411" s="1"/>
  <c r="AN390" i="58438" s="1"/>
  <c r="AM722" i="58411"/>
  <c r="AM860" i="58411" s="1"/>
  <c r="AN709" i="58411"/>
  <c r="AN722" i="58411" s="1"/>
  <c r="AN860" i="58411" s="1"/>
  <c r="AM621" i="58411"/>
  <c r="AN605" i="58411"/>
  <c r="AN621" i="58411" s="1"/>
  <c r="AG285" i="58411"/>
  <c r="AG286" i="58411" s="1"/>
  <c r="AG287" i="58411" s="1"/>
  <c r="AN115" i="58411"/>
  <c r="AM131" i="58411"/>
  <c r="AM403" i="58411"/>
  <c r="R940" i="58411"/>
  <c r="AN466" i="58411"/>
  <c r="AI319" i="58411"/>
  <c r="AH351" i="58411"/>
  <c r="W203" i="6"/>
  <c r="W237" i="6" s="1"/>
  <c r="V204" i="6"/>
  <c r="W204" i="6"/>
  <c r="V205" i="6"/>
  <c r="AL624" i="58411"/>
  <c r="AM608" i="58411"/>
  <c r="AM829" i="58411" s="1"/>
  <c r="AG397" i="58411"/>
  <c r="AM869" i="58411"/>
  <c r="AM800" i="58411"/>
  <c r="AN441" i="58411"/>
  <c r="AI929" i="58411"/>
  <c r="AM189" i="58411"/>
  <c r="AL205" i="58411"/>
  <c r="AL406" i="58411"/>
  <c r="AM781" i="58411"/>
  <c r="AN426" i="58411"/>
  <c r="AN781" i="58411" s="1"/>
  <c r="AM824" i="58411"/>
  <c r="AN461" i="58411"/>
  <c r="AG779" i="58411"/>
  <c r="AM375" i="58411"/>
  <c r="AN20" i="58411"/>
  <c r="AN375" i="58411" s="1"/>
  <c r="AL625" i="58411"/>
  <c r="AM609" i="58411"/>
  <c r="AJ785" i="58411"/>
  <c r="AJ930" i="58411" s="1"/>
  <c r="AK430" i="58411"/>
  <c r="AJ478" i="58411"/>
  <c r="AJ848" i="58411"/>
  <c r="AJ857" i="58411" s="1"/>
  <c r="AJ18" i="58438" s="1"/>
  <c r="AL612" i="58411"/>
  <c r="AL169" i="58411"/>
  <c r="AK201" i="58411"/>
  <c r="AJ802" i="58411"/>
  <c r="AJ814" i="58411" s="1"/>
  <c r="AK443" i="58411"/>
  <c r="AJ454" i="58411"/>
  <c r="AJ356" i="58438" s="1"/>
  <c r="AJ475" i="58411"/>
  <c r="AN264" i="58411"/>
  <c r="AM229" i="58411"/>
  <c r="AL277" i="58411"/>
  <c r="AM764" i="58411"/>
  <c r="AN748" i="58411"/>
  <c r="AN764" i="58411" s="1"/>
  <c r="AK915" i="58411"/>
  <c r="AK912" i="58411"/>
  <c r="AK470" i="58438" s="1"/>
  <c r="BA309" i="6"/>
  <c r="AJ312" i="6"/>
  <c r="BA312" i="6" s="1"/>
  <c r="AJ311" i="6"/>
  <c r="AI59" i="58411"/>
  <c r="AH72" i="58411"/>
  <c r="AH73" i="58411" s="1"/>
  <c r="AH74" i="58411" s="1"/>
  <c r="AM199" i="58411"/>
  <c r="AN183" i="58411"/>
  <c r="AI249" i="58411"/>
  <c r="AH281" i="58411"/>
  <c r="AM367" i="58411"/>
  <c r="AN12" i="58411"/>
  <c r="AM60" i="58411"/>
  <c r="AM696" i="58411"/>
  <c r="AN680" i="58411"/>
  <c r="AN696" i="58411" s="1"/>
  <c r="AM132" i="58411"/>
  <c r="AN116" i="58411"/>
  <c r="AN132" i="58411" s="1"/>
  <c r="BA384" i="6"/>
  <c r="AJ386" i="6"/>
  <c r="BA386" i="6" s="1"/>
  <c r="AJ393" i="6"/>
  <c r="BA393" i="6" s="1"/>
  <c r="AI321" i="58411"/>
  <c r="AH353" i="58411"/>
  <c r="AN341" i="58411"/>
  <c r="AM371" i="58411"/>
  <c r="AN16" i="58411"/>
  <c r="AM64" i="58411"/>
  <c r="AI106" i="58411"/>
  <c r="AH138" i="58411"/>
  <c r="AM688" i="58411"/>
  <c r="AN672" i="58411"/>
  <c r="AM683" i="58411"/>
  <c r="AM422" i="58438" s="1"/>
  <c r="AM408" i="58411"/>
  <c r="AX621" i="6"/>
  <c r="AC178" i="6"/>
  <c r="AE72" i="6"/>
  <c r="AA73" i="6"/>
  <c r="P621" i="6"/>
  <c r="CP251" i="58479" s="1"/>
  <c r="O622" i="6"/>
  <c r="AU72" i="6"/>
  <c r="AE708" i="6"/>
  <c r="AZ708" i="6" s="1"/>
  <c r="AE152" i="6"/>
  <c r="AE67" i="6"/>
  <c r="AZ60" i="6"/>
  <c r="AE707" i="6"/>
  <c r="AZ707" i="6" s="1"/>
  <c r="Q177" i="6"/>
  <c r="Q172" i="6"/>
  <c r="V172" i="6"/>
  <c r="AF619" i="6"/>
  <c r="AF72" i="6"/>
  <c r="AF174" i="6"/>
  <c r="AF171" i="6"/>
  <c r="M621" i="6"/>
  <c r="M622" i="6" s="1"/>
  <c r="M620" i="6"/>
  <c r="M148" i="6"/>
  <c r="M140" i="6"/>
  <c r="M127" i="6"/>
  <c r="M126" i="6"/>
  <c r="M125" i="6"/>
  <c r="R127" i="6"/>
  <c r="BA610" i="6"/>
  <c r="J709" i="6"/>
  <c r="I709" i="6"/>
  <c r="G709" i="6"/>
  <c r="AV709" i="6"/>
  <c r="H709" i="6"/>
  <c r="AO704" i="6"/>
  <c r="BB704" i="6" s="1"/>
  <c r="AP590" i="6"/>
  <c r="BB590" i="6"/>
  <c r="AH145" i="6"/>
  <c r="AH138" i="6"/>
  <c r="N621" i="6"/>
  <c r="N622" i="6" s="1"/>
  <c r="P708" i="6"/>
  <c r="AW708" i="6" s="1"/>
  <c r="P490" i="6"/>
  <c r="P105" i="6"/>
  <c r="P152" i="6"/>
  <c r="P71" i="6"/>
  <c r="AW71" i="6" s="1"/>
  <c r="P707" i="6"/>
  <c r="AW707" i="6" s="1"/>
  <c r="P67" i="6"/>
  <c r="AW60" i="6"/>
  <c r="T172" i="6"/>
  <c r="T177" i="6"/>
  <c r="AA620" i="6"/>
  <c r="AA621" i="6"/>
  <c r="AA126" i="6"/>
  <c r="AA101" i="6"/>
  <c r="AA125" i="6"/>
  <c r="AA148" i="6"/>
  <c r="AA140" i="6"/>
  <c r="AA127" i="6"/>
  <c r="AC621" i="6"/>
  <c r="AD621" i="6"/>
  <c r="AE621" i="6" s="1"/>
  <c r="CS251" i="58479" s="1"/>
  <c r="AB621" i="6"/>
  <c r="S621" i="6"/>
  <c r="Z157" i="6"/>
  <c r="H33" i="58482" s="1"/>
  <c r="AY152" i="6"/>
  <c r="AN689" i="6"/>
  <c r="AO689" i="6" s="1"/>
  <c r="BB689" i="6" s="1"/>
  <c r="AO615" i="6"/>
  <c r="BB615" i="6" s="1"/>
  <c r="BB552" i="6"/>
  <c r="AP552" i="6"/>
  <c r="AP508" i="6" s="1"/>
  <c r="BC508" i="6" s="1"/>
  <c r="AT105" i="6"/>
  <c r="E111" i="6"/>
  <c r="Y175" i="6"/>
  <c r="AZ490" i="6"/>
  <c r="AE513" i="6"/>
  <c r="AH175" i="6"/>
  <c r="AF513" i="6"/>
  <c r="AF543" i="6" s="1"/>
  <c r="AQ646" i="6"/>
  <c r="AQ685" i="6" s="1"/>
  <c r="F543" i="6"/>
  <c r="AU513" i="6"/>
  <c r="BC578" i="6"/>
  <c r="AQ578" i="6"/>
  <c r="AP507" i="6"/>
  <c r="BC507" i="6" s="1"/>
  <c r="AA172" i="6"/>
  <c r="AA177" i="6"/>
  <c r="N709" i="6"/>
  <c r="M709" i="6"/>
  <c r="O709" i="6"/>
  <c r="L709" i="6"/>
  <c r="AW709" i="6"/>
  <c r="T175" i="6"/>
  <c r="F161" i="6"/>
  <c r="AU157" i="6"/>
  <c r="AY111" i="6"/>
  <c r="Z121" i="6"/>
  <c r="BD503" i="6"/>
  <c r="N715" i="6"/>
  <c r="AL655" i="6"/>
  <c r="AL581" i="6" s="1"/>
  <c r="AL607" i="6"/>
  <c r="BB503" i="6"/>
  <c r="AE111" i="6"/>
  <c r="AZ105" i="6"/>
  <c r="AY490" i="6"/>
  <c r="Z513" i="6"/>
  <c r="L172" i="6"/>
  <c r="L177" i="6"/>
  <c r="BB556" i="6"/>
  <c r="AP556" i="6"/>
  <c r="AC610" i="6"/>
  <c r="FE527" i="58502" s="1"/>
  <c r="AC606" i="6"/>
  <c r="AE691" i="6"/>
  <c r="AZ666" i="6"/>
  <c r="E157" i="6"/>
  <c r="AT152" i="6"/>
  <c r="U513" i="6"/>
  <c r="AX490" i="6"/>
  <c r="M175" i="6"/>
  <c r="K621" i="6"/>
  <c r="AV621" i="6" s="1"/>
  <c r="J622" i="6"/>
  <c r="AD655" i="6"/>
  <c r="AD607" i="6"/>
  <c r="U477" i="6"/>
  <c r="AX468" i="6"/>
  <c r="U476" i="6"/>
  <c r="U472" i="6"/>
  <c r="Z478" i="6" s="1"/>
  <c r="Y177" i="6"/>
  <c r="Y172" i="6"/>
  <c r="AD172" i="6"/>
  <c r="AP685" i="6"/>
  <c r="AG177" i="6"/>
  <c r="AG172" i="6"/>
  <c r="W172" i="6"/>
  <c r="W177" i="6"/>
  <c r="AB178" i="6" s="1"/>
  <c r="Q621" i="6"/>
  <c r="Q620" i="6"/>
  <c r="Q148" i="6"/>
  <c r="Q140" i="6"/>
  <c r="V145" i="6" s="1"/>
  <c r="Q127" i="6"/>
  <c r="Q126" i="6"/>
  <c r="Q125" i="6"/>
  <c r="Q101" i="6"/>
  <c r="K708" i="6"/>
  <c r="AV708" i="6" s="1"/>
  <c r="K490" i="6"/>
  <c r="K152" i="6"/>
  <c r="K105" i="6"/>
  <c r="K67" i="6"/>
  <c r="AV60" i="6"/>
  <c r="K71" i="6"/>
  <c r="AV71" i="6" s="1"/>
  <c r="AA175" i="6"/>
  <c r="N145" i="6"/>
  <c r="N138" i="6"/>
  <c r="N144" i="6" s="1"/>
  <c r="AD144" i="6"/>
  <c r="AJ699" i="6"/>
  <c r="BA699" i="6" s="1"/>
  <c r="AK562" i="6"/>
  <c r="BA562" i="6"/>
  <c r="X178" i="6"/>
  <c r="S178" i="6"/>
  <c r="T144" i="6"/>
  <c r="AM651" i="6"/>
  <c r="AN634" i="6"/>
  <c r="AM605" i="6"/>
  <c r="AQ648" i="6"/>
  <c r="AQ687" i="6" s="1"/>
  <c r="L175" i="6"/>
  <c r="AQ645" i="6"/>
  <c r="AQ684" i="6" s="1"/>
  <c r="AC144" i="6"/>
  <c r="V138" i="6"/>
  <c r="E72" i="6"/>
  <c r="AT72" i="6" s="1"/>
  <c r="AT67" i="6"/>
  <c r="E513" i="6"/>
  <c r="AT490" i="6"/>
  <c r="Q73" i="6"/>
  <c r="U72" i="6"/>
  <c r="G12" i="58482" s="1"/>
  <c r="R73" i="6"/>
  <c r="M177" i="6"/>
  <c r="M172" i="6"/>
  <c r="L145" i="6"/>
  <c r="L138" i="6"/>
  <c r="AE651" i="6"/>
  <c r="AE605" i="6"/>
  <c r="AZ605" i="6" s="1"/>
  <c r="AZ627" i="6"/>
  <c r="AJ539" i="6"/>
  <c r="BA539" i="6" s="1"/>
  <c r="BA528" i="6"/>
  <c r="AJ167" i="6"/>
  <c r="BA167" i="6" s="1"/>
  <c r="O178" i="6"/>
  <c r="Q175" i="6"/>
  <c r="V178" i="6"/>
  <c r="AF111" i="6"/>
  <c r="AF121" i="6" s="1"/>
  <c r="AH621" i="6" s="1"/>
  <c r="R145" i="6"/>
  <c r="R138" i="6"/>
  <c r="AG175" i="6"/>
  <c r="AH171" i="6"/>
  <c r="AQ647" i="6"/>
  <c r="AQ686" i="6" s="1"/>
  <c r="N178" i="6"/>
  <c r="AY472" i="6"/>
  <c r="Z159" i="6"/>
  <c r="AY159" i="6" s="1"/>
  <c r="AE478" i="6"/>
  <c r="W175" i="6"/>
  <c r="AX105" i="6"/>
  <c r="U111" i="6"/>
  <c r="AK610" i="6"/>
  <c r="AK606" i="6"/>
  <c r="AK528" i="6"/>
  <c r="AG145" i="6"/>
  <c r="AG138" i="6"/>
  <c r="W620" i="6"/>
  <c r="W621" i="6"/>
  <c r="W126" i="6"/>
  <c r="W125" i="6"/>
  <c r="W101" i="6"/>
  <c r="W148" i="6"/>
  <c r="W140" i="6"/>
  <c r="W127" i="6"/>
  <c r="X621" i="6"/>
  <c r="Y621" i="6"/>
  <c r="Z621" i="6" s="1"/>
  <c r="CR251" i="58479" s="1"/>
  <c r="AB127" i="6"/>
  <c r="AQ649" i="6"/>
  <c r="AQ688" i="6" s="1"/>
  <c r="S138" i="6"/>
  <c r="S145" i="6"/>
  <c r="AP687" i="6"/>
  <c r="L73" i="6"/>
  <c r="AP684" i="6"/>
  <c r="AB172" i="6"/>
  <c r="Z619" i="6"/>
  <c r="AY619" i="6" s="1"/>
  <c r="AY67" i="6"/>
  <c r="U708" i="6"/>
  <c r="AX708" i="6" s="1"/>
  <c r="U152" i="6"/>
  <c r="U707" i="6"/>
  <c r="AX707" i="6" s="1"/>
  <c r="U67" i="6"/>
  <c r="AX60" i="6"/>
  <c r="AU111" i="6"/>
  <c r="F121" i="6"/>
  <c r="D8" i="58482" s="1"/>
  <c r="D30" i="58482" s="1"/>
  <c r="V127" i="6"/>
  <c r="BB650" i="6"/>
  <c r="AP650" i="6"/>
  <c r="AP689" i="6" s="1"/>
  <c r="BC689" i="6" s="1"/>
  <c r="AU111" i="58481" l="1"/>
  <c r="AU115" i="58481" s="1"/>
  <c r="AU106" i="58481"/>
  <c r="IS721" i="58479"/>
  <c r="IS720" i="58479"/>
  <c r="I338" i="58438"/>
  <c r="I324" i="58438"/>
  <c r="N338" i="58438"/>
  <c r="G37" i="58501"/>
  <c r="D40" i="58501"/>
  <c r="G40" i="58501" s="1"/>
  <c r="G37" i="58498"/>
  <c r="F37" i="58498"/>
  <c r="K37" i="58498"/>
  <c r="J37" i="58498"/>
  <c r="C40" i="58498"/>
  <c r="HV631" i="58479"/>
  <c r="EW324" i="58481"/>
  <c r="EX324" i="58481" s="1"/>
  <c r="EY324" i="58481" s="1"/>
  <c r="G55" i="58501"/>
  <c r="F55" i="58501"/>
  <c r="J55" i="58501"/>
  <c r="K55" i="58501"/>
  <c r="W432" i="58438"/>
  <c r="AB432" i="58438"/>
  <c r="N350" i="58438"/>
  <c r="I350" i="58438"/>
  <c r="K37" i="58499"/>
  <c r="F37" i="58499"/>
  <c r="J37" i="58499"/>
  <c r="G37" i="58499"/>
  <c r="AB410" i="58438"/>
  <c r="K55" i="58498"/>
  <c r="J55" i="58498"/>
  <c r="F55" i="58498"/>
  <c r="K37" i="58501"/>
  <c r="J37" i="58501"/>
  <c r="C40" i="58501"/>
  <c r="F37" i="58501"/>
  <c r="Y325" i="58438"/>
  <c r="Y234" i="58438" s="1"/>
  <c r="AH77" i="58438"/>
  <c r="AF99" i="58438"/>
  <c r="AF104" i="58438" s="1"/>
  <c r="AG104" i="58438" s="1"/>
  <c r="AL109" i="58438" s="1"/>
  <c r="AE325" i="58438"/>
  <c r="AE234" i="58438" s="1"/>
  <c r="AN823" i="58411"/>
  <c r="AN400" i="58411"/>
  <c r="AN338" i="58411"/>
  <c r="AK20" i="58438"/>
  <c r="AU20" i="58438" s="1"/>
  <c r="AM701" i="58411"/>
  <c r="AM21" i="58438" s="1"/>
  <c r="AM44" i="58438" s="1"/>
  <c r="AL630" i="58411"/>
  <c r="AL631" i="58411" s="1"/>
  <c r="AL632" i="58411" s="1"/>
  <c r="AM772" i="58411"/>
  <c r="AJ488" i="58411"/>
  <c r="AJ489" i="58411" s="1"/>
  <c r="AJ490" i="58411" s="1"/>
  <c r="AN484" i="58411"/>
  <c r="AI921" i="58411"/>
  <c r="AK367" i="58438"/>
  <c r="AK461" i="58438" s="1"/>
  <c r="AN365" i="58438"/>
  <c r="AM391" i="58438"/>
  <c r="AM392" i="58438" s="1"/>
  <c r="AM365" i="58438"/>
  <c r="AM439" i="58438" s="1"/>
  <c r="AK205" i="6"/>
  <c r="AL773" i="58411"/>
  <c r="AL774" i="58411" s="1"/>
  <c r="AL22" i="58438"/>
  <c r="AL45" i="58438" s="1"/>
  <c r="AU22" i="58438"/>
  <c r="AK45" i="58438"/>
  <c r="AM404" i="58438"/>
  <c r="AM438" i="58438" s="1"/>
  <c r="AU21" i="58438"/>
  <c r="AK44" i="58438"/>
  <c r="AK204" i="6"/>
  <c r="AL702" i="58411"/>
  <c r="AL703" i="58411" s="1"/>
  <c r="AL21" i="58438"/>
  <c r="AL44" i="58438" s="1"/>
  <c r="AI413" i="58438"/>
  <c r="AI409" i="58438"/>
  <c r="AI410" i="58438" s="1"/>
  <c r="AI417" i="58438"/>
  <c r="AI415" i="58438"/>
  <c r="AI414" i="58438"/>
  <c r="AI416" i="58438"/>
  <c r="AI407" i="58438"/>
  <c r="AI471" i="58438" s="1"/>
  <c r="AL911" i="58411"/>
  <c r="AL914" i="58411" s="1"/>
  <c r="AL421" i="58438"/>
  <c r="AL406" i="58438"/>
  <c r="AL409" i="58438" s="1"/>
  <c r="AL410" i="58438" s="1"/>
  <c r="AI797" i="58411"/>
  <c r="AL202" i="6" s="1"/>
  <c r="AL204" i="6" s="1"/>
  <c r="AG940" i="58411"/>
  <c r="AK414" i="58438"/>
  <c r="AK416" i="58438"/>
  <c r="AK417" i="58438"/>
  <c r="AK409" i="58438"/>
  <c r="AK410" i="58438" s="1"/>
  <c r="AK415" i="58438"/>
  <c r="AK407" i="58438"/>
  <c r="AK471" i="58438" s="1"/>
  <c r="AN310" i="6"/>
  <c r="AN313" i="6" s="1"/>
  <c r="AJ469" i="58438"/>
  <c r="AM402" i="58438"/>
  <c r="AK381" i="58438"/>
  <c r="AL886" i="58411"/>
  <c r="AL889" i="58411" s="1"/>
  <c r="AK383" i="58438"/>
  <c r="AK382" i="58438"/>
  <c r="AK384" i="58438"/>
  <c r="AL885" i="58411"/>
  <c r="AJ440" i="58438"/>
  <c r="AJ444" i="58438" s="1"/>
  <c r="AM362" i="58438"/>
  <c r="AJ382" i="58438"/>
  <c r="AJ381" i="58438"/>
  <c r="AJ384" i="58438"/>
  <c r="AJ367" i="58438"/>
  <c r="AJ461" i="58438" s="1"/>
  <c r="AJ383" i="58438"/>
  <c r="AK42" i="58438"/>
  <c r="AJ380" i="58438"/>
  <c r="AI446" i="58438"/>
  <c r="AI447" i="58438"/>
  <c r="AI441" i="58438"/>
  <c r="AI445" i="58438"/>
  <c r="AI448" i="58438"/>
  <c r="AI459" i="58438"/>
  <c r="AI58" i="58438" s="1"/>
  <c r="AH840" i="58411"/>
  <c r="AI112" i="58438"/>
  <c r="AL560" i="58411"/>
  <c r="AL561" i="58411" s="1"/>
  <c r="AL19" i="58438"/>
  <c r="AN904" i="58411"/>
  <c r="AL834" i="58411"/>
  <c r="AO388" i="6" s="1"/>
  <c r="AH937" i="58411"/>
  <c r="AM907" i="58411"/>
  <c r="AM398" i="58438"/>
  <c r="AM399" i="58438" s="1"/>
  <c r="AM466" i="58438" s="1"/>
  <c r="O9" i="58471"/>
  <c r="AJ357" i="58438"/>
  <c r="AJ456" i="58438" s="1"/>
  <c r="AJ376" i="58438"/>
  <c r="AJ377" i="58438" s="1"/>
  <c r="AJ431" i="58438"/>
  <c r="AJ432" i="58438" s="1"/>
  <c r="AI837" i="58411"/>
  <c r="AI838" i="58411" s="1"/>
  <c r="AI839" i="58411" s="1"/>
  <c r="AH72" i="58438"/>
  <c r="AH66" i="58438" s="1"/>
  <c r="AG31" i="58438"/>
  <c r="AN408" i="58411"/>
  <c r="AG469" i="58438"/>
  <c r="AB326" i="58438"/>
  <c r="AB324" i="58438" s="1"/>
  <c r="AB325" i="58438" s="1"/>
  <c r="AB234" i="58438" s="1"/>
  <c r="AF326" i="58438"/>
  <c r="X325" i="58438"/>
  <c r="X234" i="58438" s="1"/>
  <c r="M5" i="58511"/>
  <c r="AG53" i="58470"/>
  <c r="W53" i="58470"/>
  <c r="H8" i="58482"/>
  <c r="AF53" i="58470"/>
  <c r="V53" i="58470"/>
  <c r="B14" i="58470"/>
  <c r="AE53" i="58470"/>
  <c r="X53" i="58470"/>
  <c r="HY560" i="58481"/>
  <c r="DN248" i="58481"/>
  <c r="AK333" i="6"/>
  <c r="AK334" i="6" s="1"/>
  <c r="AF324" i="58438"/>
  <c r="AF325" i="58438" s="1"/>
  <c r="AF234" i="58438" s="1"/>
  <c r="AY72" i="6"/>
  <c r="H40" i="58482"/>
  <c r="H39" i="58482"/>
  <c r="H38" i="58482"/>
  <c r="J101" i="58511"/>
  <c r="J110" i="58511" s="1"/>
  <c r="J116" i="58511" s="1"/>
  <c r="J48" i="58511"/>
  <c r="J51" i="58511" s="1"/>
  <c r="J45" i="58511"/>
  <c r="J65" i="58511"/>
  <c r="J72" i="58511" s="1"/>
  <c r="J81" i="58511" s="1"/>
  <c r="J129" i="58511"/>
  <c r="J149" i="58511" s="1"/>
  <c r="M10" i="58511"/>
  <c r="M8" i="58511"/>
  <c r="K13" i="58511"/>
  <c r="K30" i="58511"/>
  <c r="K39" i="58511" s="1"/>
  <c r="L10" i="58511"/>
  <c r="L9" i="58511" s="1"/>
  <c r="L8" i="58511"/>
  <c r="L7" i="58511" s="1"/>
  <c r="DL378" i="58502"/>
  <c r="DP376" i="58502"/>
  <c r="DP374" i="58502"/>
  <c r="DP375" i="58502"/>
  <c r="I12" i="58482"/>
  <c r="I13" i="58482" s="1"/>
  <c r="DP344" i="58479"/>
  <c r="H13" i="58482"/>
  <c r="BD653" i="6"/>
  <c r="AQ576" i="6"/>
  <c r="BD576" i="6" s="1"/>
  <c r="AQ608" i="6"/>
  <c r="BD582" i="6"/>
  <c r="AP83" i="6"/>
  <c r="BB83" i="6"/>
  <c r="AO169" i="6"/>
  <c r="BB169" i="6" s="1"/>
  <c r="AC77" i="58438"/>
  <c r="AG459" i="58438"/>
  <c r="AG58" i="58438" s="1"/>
  <c r="AE54" i="58438"/>
  <c r="AH285" i="58411"/>
  <c r="AH286" i="58411" s="1"/>
  <c r="AH287" i="58411" s="1"/>
  <c r="AH110" i="58438"/>
  <c r="AC73" i="58438"/>
  <c r="AC78" i="58438" s="1"/>
  <c r="AJ23" i="58438"/>
  <c r="AJ26" i="58438" s="1"/>
  <c r="AJ41" i="58438"/>
  <c r="AC50" i="58438"/>
  <c r="AC53" i="58438"/>
  <c r="AC52" i="58438"/>
  <c r="AC51" i="58438"/>
  <c r="AH29" i="58438"/>
  <c r="AH28" i="58438"/>
  <c r="AH27" i="58438"/>
  <c r="AH30" i="58438"/>
  <c r="AH46" i="58438"/>
  <c r="AH49" i="58438" s="1"/>
  <c r="AI27" i="58438"/>
  <c r="AI30" i="58438"/>
  <c r="AI29" i="58438"/>
  <c r="AI28" i="58438"/>
  <c r="AI46" i="58438"/>
  <c r="AI49" i="58438" s="1"/>
  <c r="K68" i="58512"/>
  <c r="K149" i="58512"/>
  <c r="M107" i="58512"/>
  <c r="M126" i="58512" s="1"/>
  <c r="M146" i="58512" s="1"/>
  <c r="M53" i="58512"/>
  <c r="M59" i="58512" s="1"/>
  <c r="M65" i="58512" s="1"/>
  <c r="M68" i="58512" s="1"/>
  <c r="M69" i="58512" s="1"/>
  <c r="J73" i="58512"/>
  <c r="J75" i="58512" s="1"/>
  <c r="J170" i="58512"/>
  <c r="J188" i="58512" s="1"/>
  <c r="J69" i="58512"/>
  <c r="O245" i="58511"/>
  <c r="AL440" i="58438"/>
  <c r="AF54" i="58438"/>
  <c r="AL384" i="58438"/>
  <c r="AL367" i="58438"/>
  <c r="AL461" i="58438" s="1"/>
  <c r="AL383" i="58438"/>
  <c r="AL381" i="58438"/>
  <c r="AL382" i="58438"/>
  <c r="AG448" i="58438"/>
  <c r="AG441" i="58438"/>
  <c r="AG447" i="58438"/>
  <c r="AG445" i="58438"/>
  <c r="AG446" i="58438"/>
  <c r="AM242" i="58438"/>
  <c r="AL237" i="58438"/>
  <c r="AL11" i="58438" s="1"/>
  <c r="P5" i="58471" s="1"/>
  <c r="AM247" i="58438"/>
  <c r="AL35" i="58438"/>
  <c r="AK448" i="58438"/>
  <c r="AK441" i="58438"/>
  <c r="AK447" i="58438"/>
  <c r="AK445" i="58438"/>
  <c r="AK446" i="58438"/>
  <c r="AG49" i="58438"/>
  <c r="AG51" i="58438"/>
  <c r="AG53" i="58438"/>
  <c r="AG52" i="58438"/>
  <c r="AJ249" i="58411"/>
  <c r="AI281" i="58411"/>
  <c r="AK802" i="58411"/>
  <c r="AK814" i="58411" s="1"/>
  <c r="AL443" i="58411"/>
  <c r="AK475" i="58411"/>
  <c r="AK454" i="58411"/>
  <c r="AK356" i="58438" s="1"/>
  <c r="AM169" i="58411"/>
  <c r="AL201" i="58411"/>
  <c r="AN824" i="58411"/>
  <c r="AI933" i="58411"/>
  <c r="AI935" i="58411" s="1"/>
  <c r="AN869" i="58411"/>
  <c r="AN800" i="58411"/>
  <c r="AJ327" i="6"/>
  <c r="AG417" i="58411"/>
  <c r="AG418" i="58411" s="1"/>
  <c r="AG419" i="58411" s="1"/>
  <c r="AH935" i="58411"/>
  <c r="AH938" i="58411"/>
  <c r="AN545" i="58411"/>
  <c r="AN541" i="58411"/>
  <c r="AN420" i="58438" s="1"/>
  <c r="AJ177" i="58411"/>
  <c r="AI209" i="58411"/>
  <c r="AK789" i="58411"/>
  <c r="AL434" i="58411"/>
  <c r="AK482" i="58411"/>
  <c r="AL881" i="58411"/>
  <c r="AJ97" i="58411"/>
  <c r="AI109" i="58411"/>
  <c r="AI129" i="58411"/>
  <c r="AI383" i="58411"/>
  <c r="AN63" i="58411"/>
  <c r="AK312" i="6"/>
  <c r="AK311" i="6"/>
  <c r="AK314" i="6" s="1"/>
  <c r="AJ247" i="58411"/>
  <c r="AI279" i="58411"/>
  <c r="AK792" i="58411"/>
  <c r="AL437" i="58411"/>
  <c r="AK485" i="58411"/>
  <c r="AN872" i="58411"/>
  <c r="AN803" i="58411"/>
  <c r="AH356" i="58411"/>
  <c r="AH357" i="58411" s="1"/>
  <c r="AH358" i="58411" s="1"/>
  <c r="AN227" i="58411"/>
  <c r="AM369" i="58411"/>
  <c r="AM275" i="58411"/>
  <c r="AL331" i="6"/>
  <c r="AL332" i="6" s="1"/>
  <c r="AL333" i="6" s="1"/>
  <c r="AL334" i="6" s="1"/>
  <c r="AL309" i="6"/>
  <c r="AN616" i="58411"/>
  <c r="AN407" i="58411"/>
  <c r="AN405" i="58411"/>
  <c r="AN62" i="58411"/>
  <c r="AN525" i="58411"/>
  <c r="AN544" i="58411"/>
  <c r="AM846" i="58411"/>
  <c r="Z203" i="6"/>
  <c r="AY203" i="6" s="1"/>
  <c r="AM626" i="58411"/>
  <c r="AN610" i="58411"/>
  <c r="AM831" i="58411"/>
  <c r="AN392" i="6"/>
  <c r="AN861" i="58411"/>
  <c r="AJ248" i="58411"/>
  <c r="AI280" i="58411"/>
  <c r="AM122" i="58411"/>
  <c r="AL125" i="58411"/>
  <c r="AN822" i="58411"/>
  <c r="AL192" i="58411"/>
  <c r="AK196" i="58411"/>
  <c r="AK409" i="58411"/>
  <c r="AK851" i="58411"/>
  <c r="AK787" i="58411"/>
  <c r="AL432" i="58411"/>
  <c r="AK480" i="58411"/>
  <c r="AJ933" i="58411"/>
  <c r="AJ935" i="58411" s="1"/>
  <c r="AH143" i="58411"/>
  <c r="AH144" i="58411" s="1"/>
  <c r="AH145" i="58411" s="1"/>
  <c r="AN828" i="58411"/>
  <c r="AL193" i="58411"/>
  <c r="AL410" i="58411" s="1"/>
  <c r="AN128" i="58411"/>
  <c r="AJ317" i="58411"/>
  <c r="AI349" i="58411"/>
  <c r="AK386" i="6"/>
  <c r="AK385" i="6"/>
  <c r="AK393" i="6"/>
  <c r="AN483" i="58411"/>
  <c r="AJ315" i="58411"/>
  <c r="AI322" i="58411"/>
  <c r="AI347" i="58411"/>
  <c r="AI388" i="58411"/>
  <c r="AJ794" i="58411"/>
  <c r="AJ96" i="58438" s="1"/>
  <c r="AJ402" i="58411"/>
  <c r="AJ415" i="58411" s="1"/>
  <c r="AK43" i="58411"/>
  <c r="AJ54" i="58411"/>
  <c r="AN757" i="58411"/>
  <c r="AN754" i="58411"/>
  <c r="AN423" i="58438" s="1"/>
  <c r="AN405" i="58438" s="1"/>
  <c r="AN226" i="58411"/>
  <c r="AM274" i="58411"/>
  <c r="AM235" i="58411"/>
  <c r="AN845" i="58411"/>
  <c r="AN780" i="58411"/>
  <c r="AJ106" i="58411"/>
  <c r="AI138" i="58411"/>
  <c r="AN199" i="58411"/>
  <c r="AJ59" i="58411"/>
  <c r="AJ817" i="58411"/>
  <c r="AK785" i="58411"/>
  <c r="AL430" i="58411"/>
  <c r="AK848" i="58411"/>
  <c r="AK478" i="58411"/>
  <c r="AN827" i="58411"/>
  <c r="AM624" i="58411"/>
  <c r="AN608" i="58411"/>
  <c r="AN624" i="58411" s="1"/>
  <c r="AJ319" i="58411"/>
  <c r="AI351" i="58411"/>
  <c r="AN131" i="58411"/>
  <c r="AN403" i="58411"/>
  <c r="AJ246" i="58411"/>
  <c r="AI278" i="58411"/>
  <c r="AI251" i="58411"/>
  <c r="AI390" i="58411"/>
  <c r="AL384" i="58411"/>
  <c r="AM27" i="58411"/>
  <c r="AN821" i="58411"/>
  <c r="AN474" i="58411"/>
  <c r="AH214" i="58411"/>
  <c r="AH215" i="58411" s="1"/>
  <c r="AH216" i="58411" s="1"/>
  <c r="AN826" i="58411"/>
  <c r="AI865" i="58411"/>
  <c r="AI864" i="58411"/>
  <c r="AJ178" i="58411"/>
  <c r="AI210" i="58411"/>
  <c r="AK786" i="58411"/>
  <c r="AL431" i="58411"/>
  <c r="AK479" i="58411"/>
  <c r="AL910" i="58411"/>
  <c r="AL908" i="58411"/>
  <c r="AL465" i="58438" s="1"/>
  <c r="AH397" i="58411"/>
  <c r="AL195" i="58411"/>
  <c r="AK412" i="58411"/>
  <c r="BB187" i="6"/>
  <c r="AO189" i="6"/>
  <c r="BB189" i="6" s="1"/>
  <c r="AI391" i="58411"/>
  <c r="AJ34" i="58411"/>
  <c r="AI66" i="58411"/>
  <c r="AI72" i="58411" s="1"/>
  <c r="AI73" i="58411" s="1"/>
  <c r="AI74" i="58411" s="1"/>
  <c r="AI38" i="58411"/>
  <c r="AK788" i="58411"/>
  <c r="AK931" i="58411" s="1"/>
  <c r="AL433" i="58411"/>
  <c r="AK481" i="58411"/>
  <c r="AK335" i="6"/>
  <c r="AK784" i="58411"/>
  <c r="AL429" i="58411"/>
  <c r="AK438" i="58411"/>
  <c r="AK477" i="58411"/>
  <c r="AN825" i="58411"/>
  <c r="AI393" i="58411"/>
  <c r="AJ36" i="58411"/>
  <c r="AM627" i="58411"/>
  <c r="AN611" i="58411"/>
  <c r="AN627" i="58411" s="1"/>
  <c r="AI329" i="6"/>
  <c r="AI328" i="6"/>
  <c r="AJ328" i="6" s="1"/>
  <c r="BA328" i="6" s="1"/>
  <c r="AI336" i="6"/>
  <c r="AM379" i="58411"/>
  <c r="AP187" i="6" s="1"/>
  <c r="AM882" i="58411"/>
  <c r="AN688" i="58411"/>
  <c r="AN701" i="58411" s="1"/>
  <c r="AN683" i="58411"/>
  <c r="AN422" i="58438" s="1"/>
  <c r="AN404" i="58438" s="1"/>
  <c r="AN438" i="58438" s="1"/>
  <c r="W240" i="6"/>
  <c r="W238" i="6"/>
  <c r="AB238" i="6"/>
  <c r="AN783" i="58411"/>
  <c r="AJ105" i="58411"/>
  <c r="AI137" i="58411"/>
  <c r="AM908" i="58411"/>
  <c r="AM465" i="58438" s="1"/>
  <c r="AM910" i="58411"/>
  <c r="AM123" i="58411"/>
  <c r="AJ179" i="58411"/>
  <c r="AI394" i="58411"/>
  <c r="AI211" i="58411"/>
  <c r="AJ333" i="6"/>
  <c r="BA333" i="6" s="1"/>
  <c r="BA332" i="6"/>
  <c r="AN364" i="58411"/>
  <c r="AN22" i="58411"/>
  <c r="AJ320" i="58411"/>
  <c r="AI352" i="58411"/>
  <c r="AN64" i="58411"/>
  <c r="AJ321" i="58411"/>
  <c r="AI353" i="58411"/>
  <c r="AN367" i="58411"/>
  <c r="AN60" i="58411"/>
  <c r="BA311" i="6"/>
  <c r="AJ314" i="6"/>
  <c r="BA314" i="6" s="1"/>
  <c r="AK916" i="58411"/>
  <c r="AK917" i="58411"/>
  <c r="AK920" i="58411"/>
  <c r="AN229" i="58411"/>
  <c r="AN277" i="58411" s="1"/>
  <c r="AM277" i="58411"/>
  <c r="AJ859" i="58411"/>
  <c r="AJ858" i="58411"/>
  <c r="AJ863" i="58411"/>
  <c r="AM625" i="58411"/>
  <c r="AN609" i="58411"/>
  <c r="AN625" i="58411" s="1"/>
  <c r="AM205" i="58411"/>
  <c r="AN189" i="58411"/>
  <c r="AM406" i="58411"/>
  <c r="AN901" i="58411"/>
  <c r="AM878" i="58411"/>
  <c r="AM861" i="58411"/>
  <c r="AN267" i="58411"/>
  <c r="AN875" i="58411"/>
  <c r="AN807" i="58411"/>
  <c r="AJ176" i="58411"/>
  <c r="AI180" i="58411"/>
  <c r="AI208" i="58411"/>
  <c r="AJ922" i="58411"/>
  <c r="AJ921" i="58411"/>
  <c r="AN401" i="58411"/>
  <c r="AN58" i="58411"/>
  <c r="AJ107" i="58411"/>
  <c r="AI139" i="58411"/>
  <c r="AN898" i="58411"/>
  <c r="AN820" i="58411"/>
  <c r="AN470" i="58411"/>
  <c r="AN398" i="58438" s="1"/>
  <c r="AN473" i="58411"/>
  <c r="AL194" i="58411"/>
  <c r="AL411" i="58411" s="1"/>
  <c r="AN404" i="58411"/>
  <c r="AI392" i="58411"/>
  <c r="AJ35" i="58411"/>
  <c r="AM830" i="58411"/>
  <c r="AJ318" i="58411"/>
  <c r="AI350" i="58411"/>
  <c r="AH865" i="58411"/>
  <c r="AH864" i="58411"/>
  <c r="AK894" i="58411"/>
  <c r="AK887" i="58411"/>
  <c r="AN368" i="58411"/>
  <c r="AM612" i="58411"/>
  <c r="AL384" i="6"/>
  <c r="AJ250" i="58411"/>
  <c r="AI282" i="58411"/>
  <c r="AM559" i="58411"/>
  <c r="AM928" i="58411"/>
  <c r="V240" i="6"/>
  <c r="V238" i="6"/>
  <c r="Z237" i="6"/>
  <c r="IG654" i="58479" s="1"/>
  <c r="IG655" i="58479" s="1"/>
  <c r="AA238" i="6"/>
  <c r="S144" i="6"/>
  <c r="AY621" i="6"/>
  <c r="AK539" i="6"/>
  <c r="AK167" i="6"/>
  <c r="AX72" i="6"/>
  <c r="AO634" i="6"/>
  <c r="AN651" i="6"/>
  <c r="AN605" i="6"/>
  <c r="AK699" i="6"/>
  <c r="AL562" i="6"/>
  <c r="K619" i="6"/>
  <c r="AV619" i="6" s="1"/>
  <c r="K72" i="6"/>
  <c r="E12" i="58482" s="1"/>
  <c r="H14" i="58482" s="1"/>
  <c r="AV67" i="6"/>
  <c r="AD610" i="6"/>
  <c r="FH527" i="58502" s="1"/>
  <c r="AD606" i="6"/>
  <c r="U543" i="6"/>
  <c r="AX513" i="6"/>
  <c r="AZ691" i="6"/>
  <c r="N716" i="6"/>
  <c r="O713" i="6" s="1"/>
  <c r="Z620" i="6"/>
  <c r="AY620" i="6" s="1"/>
  <c r="Z126" i="6"/>
  <c r="AY126" i="6" s="1"/>
  <c r="O15" i="58481" s="1"/>
  <c r="Z125" i="6"/>
  <c r="FN494" i="58479" s="1"/>
  <c r="Z101" i="6"/>
  <c r="Z148" i="6"/>
  <c r="AY148" i="6" s="1"/>
  <c r="Z140" i="6"/>
  <c r="HY633" i="58479" s="1"/>
  <c r="AY121" i="6"/>
  <c r="Z272" i="6"/>
  <c r="BD578" i="6"/>
  <c r="AQ507" i="6"/>
  <c r="BD507" i="6" s="1"/>
  <c r="AP615" i="6"/>
  <c r="BC615" i="6" s="1"/>
  <c r="BC552" i="6"/>
  <c r="AQ552" i="6"/>
  <c r="AQ508" i="6" s="1"/>
  <c r="BD508" i="6" s="1"/>
  <c r="AO691" i="6"/>
  <c r="BB691" i="6" s="1"/>
  <c r="AA138" i="6"/>
  <c r="AA145" i="6"/>
  <c r="AH144" i="6"/>
  <c r="AF73" i="6"/>
  <c r="Q178" i="6"/>
  <c r="AE619" i="6"/>
  <c r="AZ619" i="6" s="1"/>
  <c r="AZ67" i="6"/>
  <c r="F73" i="6"/>
  <c r="AU73" i="6" s="1"/>
  <c r="BC650" i="6"/>
  <c r="AQ650" i="6"/>
  <c r="BD650" i="6" s="1"/>
  <c r="F621" i="6"/>
  <c r="AU621" i="6" s="1"/>
  <c r="F126" i="6"/>
  <c r="AU126" i="6" s="1"/>
  <c r="K15" i="58481" s="1"/>
  <c r="F140" i="6"/>
  <c r="HU633" i="58479" s="1"/>
  <c r="F125" i="6"/>
  <c r="AU125" i="6" s="1"/>
  <c r="F148" i="6"/>
  <c r="AU148" i="6" s="1"/>
  <c r="AU121" i="6"/>
  <c r="U619" i="6"/>
  <c r="AX619" i="6" s="1"/>
  <c r="AX67" i="6"/>
  <c r="AM655" i="6"/>
  <c r="AM581" i="6" s="1"/>
  <c r="AM607" i="6"/>
  <c r="K111" i="6"/>
  <c r="AV105" i="6"/>
  <c r="Q145" i="6"/>
  <c r="Q138" i="6"/>
  <c r="V144" i="6" s="1"/>
  <c r="W178" i="6"/>
  <c r="Y178" i="6"/>
  <c r="AP519" i="6"/>
  <c r="BC519" i="6" s="1"/>
  <c r="AQ556" i="6"/>
  <c r="BC556" i="6"/>
  <c r="AZ111" i="6"/>
  <c r="AE121" i="6"/>
  <c r="AL610" i="6"/>
  <c r="AL606" i="6"/>
  <c r="AL528" i="6"/>
  <c r="AA178" i="6"/>
  <c r="AE543" i="6"/>
  <c r="AZ513" i="6"/>
  <c r="E121" i="6"/>
  <c r="F127" i="6" s="1"/>
  <c r="AU127" i="6" s="1"/>
  <c r="AT111" i="6"/>
  <c r="AZ621" i="6"/>
  <c r="P157" i="6"/>
  <c r="F33" i="58482" s="1"/>
  <c r="AW152" i="6"/>
  <c r="AN691" i="6"/>
  <c r="AN51" i="6" s="1"/>
  <c r="AE157" i="6"/>
  <c r="I33" i="58482" s="1"/>
  <c r="AZ152" i="6"/>
  <c r="AP691" i="6"/>
  <c r="AG144" i="6"/>
  <c r="AF621" i="6"/>
  <c r="AF620" i="6"/>
  <c r="AF125" i="6"/>
  <c r="AF101" i="6"/>
  <c r="AF148" i="6"/>
  <c r="AF140" i="6"/>
  <c r="AF127" i="6"/>
  <c r="AF126" i="6"/>
  <c r="X144" i="6"/>
  <c r="AE655" i="6"/>
  <c r="AZ655" i="6" s="1"/>
  <c r="AZ651" i="6"/>
  <c r="AE607" i="6"/>
  <c r="M178" i="6"/>
  <c r="K157" i="6"/>
  <c r="E33" i="58482" s="1"/>
  <c r="AV152" i="6"/>
  <c r="E161" i="6"/>
  <c r="AT157" i="6"/>
  <c r="Z543" i="6"/>
  <c r="AY513" i="6"/>
  <c r="Z73" i="6"/>
  <c r="AY73" i="6" s="1"/>
  <c r="Z161" i="6"/>
  <c r="AY157" i="6"/>
  <c r="T178" i="6"/>
  <c r="P619" i="6"/>
  <c r="AW619" i="6" s="1"/>
  <c r="AW67" i="6"/>
  <c r="P72" i="6"/>
  <c r="F12" i="58482" s="1"/>
  <c r="P111" i="6"/>
  <c r="AW105" i="6"/>
  <c r="M145" i="6"/>
  <c r="M138" i="6"/>
  <c r="M144" i="6" s="1"/>
  <c r="AF172" i="6"/>
  <c r="AF177" i="6"/>
  <c r="AW621" i="6"/>
  <c r="AZ72" i="6"/>
  <c r="AE73" i="6"/>
  <c r="AZ73" i="6" s="1"/>
  <c r="U157" i="6"/>
  <c r="G33" i="58482" s="1"/>
  <c r="AX152" i="6"/>
  <c r="W138" i="6"/>
  <c r="Z138" i="6" s="1"/>
  <c r="W145" i="6"/>
  <c r="AB145" i="6"/>
  <c r="U121" i="6"/>
  <c r="AX111" i="6"/>
  <c r="AH172" i="6"/>
  <c r="AH177" i="6"/>
  <c r="L144" i="6"/>
  <c r="E543" i="6"/>
  <c r="AT513" i="6"/>
  <c r="AV490" i="6"/>
  <c r="K513" i="6"/>
  <c r="AG178" i="6"/>
  <c r="U478" i="6"/>
  <c r="AX472" i="6"/>
  <c r="U159" i="6"/>
  <c r="AX159" i="6" s="1"/>
  <c r="L178" i="6"/>
  <c r="F174" i="6"/>
  <c r="F171" i="6"/>
  <c r="AU161" i="6"/>
  <c r="AU543" i="6"/>
  <c r="AD178" i="6"/>
  <c r="P513" i="6"/>
  <c r="AW490" i="6"/>
  <c r="AP704" i="6"/>
  <c r="BC704" i="6" s="1"/>
  <c r="BC590" i="6"/>
  <c r="AQ590" i="6"/>
  <c r="AF175" i="6"/>
  <c r="R178" i="6"/>
  <c r="IS722" i="58479" l="1"/>
  <c r="M7" i="58511"/>
  <c r="HY631" i="58479"/>
  <c r="EW327" i="58481"/>
  <c r="EX327" i="58481" s="1"/>
  <c r="EY327" i="58481" s="1"/>
  <c r="DN253" i="58481"/>
  <c r="DN254" i="58481" s="1"/>
  <c r="K40" i="58501"/>
  <c r="J40" i="58501"/>
  <c r="F40" i="58501"/>
  <c r="F40" i="58482"/>
  <c r="F39" i="58482"/>
  <c r="F38" i="58482"/>
  <c r="G40" i="58498"/>
  <c r="J40" i="58498"/>
  <c r="K40" i="58498"/>
  <c r="F40" i="58498"/>
  <c r="M324" i="58438"/>
  <c r="I325" i="58438"/>
  <c r="I234" i="58438" s="1"/>
  <c r="N325" i="58438"/>
  <c r="N234" i="58438" s="1"/>
  <c r="E38" i="58482"/>
  <c r="E39" i="58482"/>
  <c r="E40" i="58482"/>
  <c r="G39" i="58482"/>
  <c r="G38" i="58482"/>
  <c r="G40" i="58482"/>
  <c r="AK109" i="58438"/>
  <c r="AK104" i="58438" s="1"/>
  <c r="AL104" i="58438" s="1"/>
  <c r="AL99" i="58438" s="1"/>
  <c r="AG99" i="58438"/>
  <c r="AF98" i="58438"/>
  <c r="AF100" i="58438" s="1"/>
  <c r="AF105" i="58438" s="1"/>
  <c r="AL915" i="58411"/>
  <c r="AL920" i="58411" s="1"/>
  <c r="AN829" i="58411"/>
  <c r="AK43" i="58438"/>
  <c r="AL912" i="58411"/>
  <c r="AL470" i="58438" s="1"/>
  <c r="AM702" i="58411"/>
  <c r="AM703" i="58411" s="1"/>
  <c r="AL20" i="58438"/>
  <c r="AL43" i="58438" s="1"/>
  <c r="AI285" i="58411"/>
  <c r="AI286" i="58411" s="1"/>
  <c r="AI287" i="58411" s="1"/>
  <c r="AM630" i="58411"/>
  <c r="AM631" i="58411" s="1"/>
  <c r="AM632" i="58411" s="1"/>
  <c r="AN772" i="58411"/>
  <c r="AN773" i="58411" s="1"/>
  <c r="AN774" i="58411" s="1"/>
  <c r="AN439" i="58438"/>
  <c r="AM366" i="58438"/>
  <c r="AM381" i="58438" s="1"/>
  <c r="AM773" i="58411"/>
  <c r="AM774" i="58411" s="1"/>
  <c r="AM22" i="58438"/>
  <c r="AM45" i="58438" s="1"/>
  <c r="AL417" i="58438"/>
  <c r="AN702" i="58411"/>
  <c r="AN703" i="58411" s="1"/>
  <c r="AN21" i="58438"/>
  <c r="AN44" i="58438" s="1"/>
  <c r="AL415" i="58438"/>
  <c r="AL416" i="58438"/>
  <c r="AL407" i="58438"/>
  <c r="AL471" i="58438" s="1"/>
  <c r="AL413" i="58438"/>
  <c r="AL414" i="58438"/>
  <c r="AM911" i="58411"/>
  <c r="AM915" i="58411" s="1"/>
  <c r="AM421" i="58438"/>
  <c r="AL424" i="58438"/>
  <c r="AL425" i="58438" s="1"/>
  <c r="AI469" i="58438"/>
  <c r="AL894" i="58411"/>
  <c r="AI72" i="58438"/>
  <c r="AI840" i="58411"/>
  <c r="AI78" i="58438"/>
  <c r="AL203" i="6"/>
  <c r="AL205" i="6"/>
  <c r="AO310" i="6"/>
  <c r="BB310" i="6" s="1"/>
  <c r="AM436" i="58438"/>
  <c r="AK469" i="58438"/>
  <c r="AN402" i="58438"/>
  <c r="AI937" i="58411"/>
  <c r="AI938" i="58411"/>
  <c r="AL42" i="58438"/>
  <c r="AK459" i="58438"/>
  <c r="AK58" i="58438" s="1"/>
  <c r="AI326" i="58438"/>
  <c r="AI98" i="58438" s="1"/>
  <c r="AI100" i="58438" s="1"/>
  <c r="AI105" i="58438" s="1"/>
  <c r="AI103" i="58438" s="1"/>
  <c r="AN559" i="58411"/>
  <c r="AN19" i="58438" s="1"/>
  <c r="AI324" i="58438"/>
  <c r="AI325" i="58438" s="1"/>
  <c r="AJ446" i="58438"/>
  <c r="AJ448" i="58438"/>
  <c r="AJ441" i="58438"/>
  <c r="AJ445" i="58438"/>
  <c r="AJ447" i="58438"/>
  <c r="AN882" i="58411"/>
  <c r="AN885" i="58411" s="1"/>
  <c r="AN387" i="58438"/>
  <c r="AJ459" i="58438"/>
  <c r="AJ58" i="58438" s="1"/>
  <c r="AM560" i="58411"/>
  <c r="AM561" i="58411" s="1"/>
  <c r="AM19" i="58438"/>
  <c r="AI77" i="58438"/>
  <c r="AM834" i="58411"/>
  <c r="AP388" i="6" s="1"/>
  <c r="AP389" i="6" s="1"/>
  <c r="AN399" i="58438"/>
  <c r="AN466" i="58438" s="1"/>
  <c r="DJ363" i="58502"/>
  <c r="DN367" i="58502" s="1"/>
  <c r="AJ938" i="58411"/>
  <c r="AJ937" i="58411"/>
  <c r="AI15" i="58438"/>
  <c r="AI215" i="58438" s="1"/>
  <c r="AH31" i="58438"/>
  <c r="AK357" i="58438"/>
  <c r="AK456" i="58438" s="1"/>
  <c r="AK431" i="58438"/>
  <c r="AK432" i="58438" s="1"/>
  <c r="AK376" i="58438"/>
  <c r="AK377" i="58438" s="1"/>
  <c r="AL356" i="58438"/>
  <c r="AH15" i="58438"/>
  <c r="AH215" i="58438" s="1"/>
  <c r="AG324" i="58438"/>
  <c r="AG325" i="58438" s="1"/>
  <c r="AG234" i="58438" s="1"/>
  <c r="I8" i="58482"/>
  <c r="HR507" i="58481"/>
  <c r="HR509" i="58481" s="1"/>
  <c r="H30" i="58482"/>
  <c r="F14" i="58470"/>
  <c r="AF52" i="58470"/>
  <c r="V52" i="58470"/>
  <c r="B3" i="58470"/>
  <c r="HW524" i="58481"/>
  <c r="HW531" i="58481" s="1"/>
  <c r="AE52" i="58470"/>
  <c r="X52" i="58470"/>
  <c r="G8" i="58482"/>
  <c r="AG52" i="58470"/>
  <c r="W52" i="58470"/>
  <c r="DM248" i="58481"/>
  <c r="AC54" i="58438"/>
  <c r="HY559" i="58481"/>
  <c r="IC559" i="58481" s="1"/>
  <c r="W59" i="58470"/>
  <c r="W62" i="58470" s="1"/>
  <c r="X59" i="58470"/>
  <c r="X62" i="58470" s="1"/>
  <c r="AG59" i="58470"/>
  <c r="AG62" i="58470" s="1"/>
  <c r="V59" i="58470"/>
  <c r="V62" i="58470" s="1"/>
  <c r="HW534" i="58481"/>
  <c r="HW539" i="58481" s="1"/>
  <c r="AF59" i="58470"/>
  <c r="AF62" i="58470" s="1"/>
  <c r="AE59" i="58470"/>
  <c r="AE62" i="58470" s="1"/>
  <c r="I40" i="58482"/>
  <c r="I38" i="58482"/>
  <c r="I39" i="58482"/>
  <c r="AK326" i="58438"/>
  <c r="AK98" i="58438" s="1"/>
  <c r="AK100" i="58438" s="1"/>
  <c r="AL459" i="58438"/>
  <c r="AL58" i="58438" s="1"/>
  <c r="J84" i="58511"/>
  <c r="CC267" i="58502"/>
  <c r="L12" i="58511"/>
  <c r="M9" i="58511"/>
  <c r="M12" i="58511" s="1"/>
  <c r="K40" i="58511"/>
  <c r="K68" i="58511" s="1"/>
  <c r="J123" i="58511"/>
  <c r="J119" i="58511"/>
  <c r="F13" i="58482"/>
  <c r="DD302" i="58479"/>
  <c r="G13" i="58482"/>
  <c r="AQ689" i="6"/>
  <c r="AP530" i="6"/>
  <c r="AQ83" i="6"/>
  <c r="BC83" i="6"/>
  <c r="AH105" i="58438"/>
  <c r="AH78" i="58438"/>
  <c r="AH76" i="58438" s="1"/>
  <c r="AK929" i="58411"/>
  <c r="AJ936" i="58411"/>
  <c r="AI31" i="58438"/>
  <c r="AI214" i="58411"/>
  <c r="AI215" i="58411" s="1"/>
  <c r="AI216" i="58411" s="1"/>
  <c r="AK930" i="58411"/>
  <c r="AI936" i="58411"/>
  <c r="AC71" i="58438"/>
  <c r="AC76" i="58438" s="1"/>
  <c r="AI76" i="58438"/>
  <c r="AG326" i="58438"/>
  <c r="AJ797" i="58411"/>
  <c r="AM202" i="6" s="1"/>
  <c r="AM204" i="6" s="1"/>
  <c r="AJ112" i="58438"/>
  <c r="AJ77" i="58438" s="1"/>
  <c r="AI50" i="58438"/>
  <c r="AI51" i="58438"/>
  <c r="AI53" i="58438"/>
  <c r="AI52" i="58438"/>
  <c r="AH50" i="58438"/>
  <c r="AH53" i="58438"/>
  <c r="AH51" i="58438"/>
  <c r="AH52" i="58438"/>
  <c r="AJ46" i="58438"/>
  <c r="AJ49" i="58438" s="1"/>
  <c r="AJ28" i="58438"/>
  <c r="AJ27" i="58438"/>
  <c r="AJ29" i="58438"/>
  <c r="AJ30" i="58438"/>
  <c r="J186" i="58512"/>
  <c r="J190" i="58512"/>
  <c r="J77" i="58512"/>
  <c r="O249" i="58511"/>
  <c r="P249" i="58511" s="1"/>
  <c r="Q249" i="58511" s="1"/>
  <c r="K69" i="58512"/>
  <c r="O248" i="58511"/>
  <c r="O251" i="58511" s="1"/>
  <c r="P245" i="58511"/>
  <c r="K161" i="58512"/>
  <c r="L147" i="58512"/>
  <c r="L149" i="58512" s="1"/>
  <c r="L69" i="58512"/>
  <c r="AK324" i="58438"/>
  <c r="AL448" i="58438"/>
  <c r="AL441" i="58438"/>
  <c r="AL447" i="58438"/>
  <c r="AL446" i="58438"/>
  <c r="AL445" i="58438"/>
  <c r="AG54" i="58438"/>
  <c r="AN247" i="58438"/>
  <c r="AN242" i="58438"/>
  <c r="AN35" i="58438" s="1"/>
  <c r="AM35" i="58438"/>
  <c r="AL444" i="58438"/>
  <c r="AN907" i="58411"/>
  <c r="AN205" i="58411"/>
  <c r="AN406" i="58411"/>
  <c r="AJ865" i="58411"/>
  <c r="AJ864" i="58411"/>
  <c r="AN371" i="58411"/>
  <c r="W241" i="6"/>
  <c r="W242" i="6"/>
  <c r="AB241" i="6"/>
  <c r="AJ393" i="58411"/>
  <c r="AK36" i="58411"/>
  <c r="AL788" i="58411"/>
  <c r="AL931" i="58411" s="1"/>
  <c r="AM433" i="58411"/>
  <c r="AL481" i="58411"/>
  <c r="AJ391" i="58411"/>
  <c r="AK34" i="58411"/>
  <c r="AJ66" i="58411"/>
  <c r="AJ72" i="58411" s="1"/>
  <c r="AJ73" i="58411" s="1"/>
  <c r="AJ74" i="58411" s="1"/>
  <c r="AJ38" i="58411"/>
  <c r="AM195" i="58411"/>
  <c r="AL412" i="58411"/>
  <c r="AK857" i="58411"/>
  <c r="AK18" i="58438" s="1"/>
  <c r="AM309" i="6"/>
  <c r="AM331" i="6"/>
  <c r="AM332" i="6" s="1"/>
  <c r="AM333" i="6" s="1"/>
  <c r="AM334" i="6" s="1"/>
  <c r="AK315" i="58411"/>
  <c r="AJ322" i="58411"/>
  <c r="AJ347" i="58411"/>
  <c r="AJ388" i="58411"/>
  <c r="AK317" i="58411"/>
  <c r="AJ349" i="58411"/>
  <c r="AM193" i="58411"/>
  <c r="AM410" i="58411" s="1"/>
  <c r="AL851" i="58411"/>
  <c r="AL787" i="58411"/>
  <c r="AM432" i="58411"/>
  <c r="AL480" i="58411"/>
  <c r="AN612" i="58411"/>
  <c r="AN421" i="58438" s="1"/>
  <c r="AN424" i="58438" s="1"/>
  <c r="AL335" i="6"/>
  <c r="AL792" i="58411"/>
  <c r="AM437" i="58411"/>
  <c r="AL485" i="58411"/>
  <c r="AK97" i="58411"/>
  <c r="AJ109" i="58411"/>
  <c r="AJ129" i="58411"/>
  <c r="AJ383" i="58411"/>
  <c r="AN878" i="58411"/>
  <c r="Z238" i="6"/>
  <c r="AY238" i="6" s="1"/>
  <c r="AY237" i="6"/>
  <c r="AE238" i="6"/>
  <c r="AZ238" i="6" s="1"/>
  <c r="AK250" i="58411"/>
  <c r="AJ282" i="58411"/>
  <c r="AM194" i="58411"/>
  <c r="AM411" i="58411" s="1"/>
  <c r="AM881" i="58411"/>
  <c r="AM879" i="58411"/>
  <c r="AM455" i="58438" s="1"/>
  <c r="AK921" i="58411"/>
  <c r="AK922" i="58411"/>
  <c r="AN123" i="58411"/>
  <c r="BC187" i="6"/>
  <c r="AP189" i="6"/>
  <c r="BC189" i="6" s="1"/>
  <c r="AP188" i="6"/>
  <c r="BC188" i="6" s="1"/>
  <c r="AL785" i="58411"/>
  <c r="AL930" i="58411" s="1"/>
  <c r="AM430" i="58411"/>
  <c r="AL478" i="58411"/>
  <c r="AL848" i="58411"/>
  <c r="AL857" i="58411" s="1"/>
  <c r="AL18" i="58438" s="1"/>
  <c r="AN928" i="58411"/>
  <c r="AN274" i="58411"/>
  <c r="AN235" i="58411"/>
  <c r="AK402" i="58411"/>
  <c r="AK415" i="58411" s="1"/>
  <c r="AL43" i="58411"/>
  <c r="AK54" i="58411"/>
  <c r="AO391" i="6"/>
  <c r="BB391" i="6" s="1"/>
  <c r="AO389" i="6"/>
  <c r="BB388" i="6"/>
  <c r="AO392" i="6"/>
  <c r="BB392" i="6" s="1"/>
  <c r="AM192" i="58411"/>
  <c r="AL409" i="58411"/>
  <c r="AL196" i="58411"/>
  <c r="AK248" i="58411"/>
  <c r="AJ280" i="58411"/>
  <c r="AN626" i="58411"/>
  <c r="AN630" i="58411" s="1"/>
  <c r="AN831" i="58411"/>
  <c r="AI397" i="58411"/>
  <c r="AN832" i="58411"/>
  <c r="BA327" i="6"/>
  <c r="AJ329" i="6"/>
  <c r="BA329" i="6" s="1"/>
  <c r="AJ336" i="6"/>
  <c r="BA336" i="6" s="1"/>
  <c r="AK488" i="58411"/>
  <c r="AK489" i="58411" s="1"/>
  <c r="AK490" i="58411" s="1"/>
  <c r="AL385" i="6"/>
  <c r="AL386" i="6"/>
  <c r="AL393" i="6"/>
  <c r="AJ392" i="58411"/>
  <c r="AK35" i="58411"/>
  <c r="AK107" i="58411"/>
  <c r="AJ139" i="58411"/>
  <c r="AK321" i="58411"/>
  <c r="AJ353" i="58411"/>
  <c r="AK320" i="58411"/>
  <c r="AJ352" i="58411"/>
  <c r="AK105" i="58411"/>
  <c r="AJ137" i="58411"/>
  <c r="AL784" i="58411"/>
  <c r="AM429" i="58411"/>
  <c r="AL438" i="58411"/>
  <c r="AL477" i="58411"/>
  <c r="AK327" i="6"/>
  <c r="AH417" i="58411"/>
  <c r="AH418" i="58411" s="1"/>
  <c r="AH419" i="58411" s="1"/>
  <c r="AK178" i="58411"/>
  <c r="AJ210" i="58411"/>
  <c r="AK59" i="58411"/>
  <c r="AN846" i="58411"/>
  <c r="AM384" i="6"/>
  <c r="AI356" i="58411"/>
  <c r="AI357" i="58411" s="1"/>
  <c r="AI358" i="58411" s="1"/>
  <c r="AN830" i="58411"/>
  <c r="AI143" i="58411"/>
  <c r="AI144" i="58411" s="1"/>
  <c r="AI145" i="58411" s="1"/>
  <c r="AK177" i="58411"/>
  <c r="AJ209" i="58411"/>
  <c r="AL802" i="58411"/>
  <c r="AL814" i="58411" s="1"/>
  <c r="AM443" i="58411"/>
  <c r="AL475" i="58411"/>
  <c r="AL454" i="58411"/>
  <c r="AK249" i="58411"/>
  <c r="AJ281" i="58411"/>
  <c r="J237" i="6"/>
  <c r="Z240" i="6"/>
  <c r="V241" i="6"/>
  <c r="V242" i="6"/>
  <c r="AA241" i="6"/>
  <c r="AK318" i="58411"/>
  <c r="AJ350" i="58411"/>
  <c r="AK176" i="58411"/>
  <c r="AJ180" i="58411"/>
  <c r="AJ208" i="58411"/>
  <c r="AK179" i="58411"/>
  <c r="AJ394" i="58411"/>
  <c r="AJ211" i="58411"/>
  <c r="AM886" i="58411"/>
  <c r="AM885" i="58411"/>
  <c r="AK794" i="58411"/>
  <c r="AK96" i="58438" s="1"/>
  <c r="AL786" i="58411"/>
  <c r="AM431" i="58411"/>
  <c r="AL479" i="58411"/>
  <c r="AM384" i="58411"/>
  <c r="AN27" i="58411"/>
  <c r="AK246" i="58411"/>
  <c r="AJ278" i="58411"/>
  <c r="AJ251" i="58411"/>
  <c r="AJ390" i="58411"/>
  <c r="AK319" i="58411"/>
  <c r="AJ351" i="58411"/>
  <c r="AJ837" i="58411"/>
  <c r="AJ838" i="58411" s="1"/>
  <c r="AJ839" i="58411" s="1"/>
  <c r="AK106" i="58411"/>
  <c r="AJ138" i="58411"/>
  <c r="AN122" i="58411"/>
  <c r="AM125" i="58411"/>
  <c r="AL312" i="6"/>
  <c r="AL311" i="6"/>
  <c r="AL314" i="6" s="1"/>
  <c r="AN369" i="58411"/>
  <c r="AN379" i="58411" s="1"/>
  <c r="AQ187" i="6" s="1"/>
  <c r="AN275" i="58411"/>
  <c r="AK247" i="58411"/>
  <c r="AJ279" i="58411"/>
  <c r="AL789" i="58411"/>
  <c r="AM434" i="58411"/>
  <c r="AL482" i="58411"/>
  <c r="AH940" i="58411"/>
  <c r="AN169" i="58411"/>
  <c r="AM201" i="58411"/>
  <c r="AK817" i="58411"/>
  <c r="AL918" i="58411"/>
  <c r="AQ704" i="6"/>
  <c r="BD704" i="6" s="1"/>
  <c r="BD590" i="6"/>
  <c r="P138" i="6"/>
  <c r="W144" i="6"/>
  <c r="AB144" i="6"/>
  <c r="AW72" i="6"/>
  <c r="P73" i="6"/>
  <c r="AW73" i="6" s="1"/>
  <c r="K161" i="6"/>
  <c r="AV157" i="6"/>
  <c r="AE606" i="6"/>
  <c r="AZ606" i="6" s="1"/>
  <c r="AZ607" i="6"/>
  <c r="AE610" i="6"/>
  <c r="I23" i="58482" s="1"/>
  <c r="AW157" i="6"/>
  <c r="P161" i="6"/>
  <c r="BD556" i="6"/>
  <c r="AQ519" i="6"/>
  <c r="BD519" i="6" s="1"/>
  <c r="Q144" i="6"/>
  <c r="U138" i="6"/>
  <c r="DM253" i="58481" s="1"/>
  <c r="DM254" i="58481" s="1"/>
  <c r="AQ615" i="6"/>
  <c r="BD615" i="6" s="1"/>
  <c r="BD552" i="6"/>
  <c r="AY125" i="6"/>
  <c r="O715" i="6"/>
  <c r="P715" i="6" s="1"/>
  <c r="AX543" i="6"/>
  <c r="AV72" i="6"/>
  <c r="K73" i="6"/>
  <c r="AV73" i="6" s="1"/>
  <c r="P543" i="6"/>
  <c r="AW513" i="6"/>
  <c r="F177" i="6"/>
  <c r="AU171" i="6"/>
  <c r="U620" i="6"/>
  <c r="AX620" i="6" s="1"/>
  <c r="U148" i="6"/>
  <c r="AX148" i="6" s="1"/>
  <c r="U140" i="6"/>
  <c r="HX633" i="58479" s="1"/>
  <c r="HY634" i="58479" s="1"/>
  <c r="AX121" i="6"/>
  <c r="HP507" i="58481" s="1"/>
  <c r="HP509" i="58481" s="1"/>
  <c r="U126" i="6"/>
  <c r="AX126" i="6" s="1"/>
  <c r="N15" i="58481" s="1"/>
  <c r="N18" i="58481" s="1"/>
  <c r="U125" i="6"/>
  <c r="U101" i="6"/>
  <c r="AF178" i="6"/>
  <c r="R144" i="6"/>
  <c r="BC691" i="6"/>
  <c r="AP51" i="6"/>
  <c r="E621" i="6"/>
  <c r="AT621" i="6" s="1"/>
  <c r="E148" i="6"/>
  <c r="AT148" i="6" s="1"/>
  <c r="E126" i="6"/>
  <c r="AT126" i="6" s="1"/>
  <c r="J15" i="58481" s="1"/>
  <c r="AT121" i="6"/>
  <c r="E125" i="6"/>
  <c r="AT125" i="6" s="1"/>
  <c r="E140" i="6"/>
  <c r="HT633" i="58479" s="1"/>
  <c r="HU634" i="58479" s="1"/>
  <c r="AE620" i="6"/>
  <c r="AZ620" i="6" s="1"/>
  <c r="AE126" i="6"/>
  <c r="AZ126" i="6" s="1"/>
  <c r="AE101" i="6"/>
  <c r="AE125" i="6"/>
  <c r="FO494" i="58479" s="1"/>
  <c r="AE148" i="6"/>
  <c r="AZ148" i="6" s="1"/>
  <c r="AE140" i="6"/>
  <c r="HZ633" i="58479" s="1"/>
  <c r="AZ121" i="6"/>
  <c r="AE127" i="6"/>
  <c r="AZ127" i="6" s="1"/>
  <c r="AA144" i="6"/>
  <c r="AE138" i="6"/>
  <c r="HZ631" i="58479" s="1"/>
  <c r="AN655" i="6"/>
  <c r="AN581" i="6" s="1"/>
  <c r="AO581" i="6" s="1"/>
  <c r="BB581" i="6" s="1"/>
  <c r="AN607" i="6"/>
  <c r="U73" i="6"/>
  <c r="AX73" i="6" s="1"/>
  <c r="AU174" i="6"/>
  <c r="K543" i="6"/>
  <c r="AV513" i="6"/>
  <c r="AH178" i="6"/>
  <c r="U161" i="6"/>
  <c r="AX157" i="6"/>
  <c r="AY543" i="6"/>
  <c r="AT161" i="6"/>
  <c r="E174" i="6"/>
  <c r="F175" i="6" s="1"/>
  <c r="AU175" i="6" s="1"/>
  <c r="E171" i="6"/>
  <c r="AN106" i="6"/>
  <c r="AO106" i="6" s="1"/>
  <c r="BB106" i="6" s="1"/>
  <c r="AO51" i="6"/>
  <c r="BB51" i="6" s="1"/>
  <c r="AL539" i="6"/>
  <c r="AL167" i="6"/>
  <c r="AM610" i="6"/>
  <c r="AM606" i="6"/>
  <c r="AM528" i="6"/>
  <c r="F138" i="6"/>
  <c r="Z127" i="6"/>
  <c r="AY127" i="6" s="1"/>
  <c r="AL699" i="6"/>
  <c r="AM562" i="6"/>
  <c r="AO651" i="6"/>
  <c r="BB634" i="6"/>
  <c r="AP634" i="6"/>
  <c r="AO605" i="6"/>
  <c r="BB605" i="6" s="1"/>
  <c r="AT543" i="6"/>
  <c r="E545" i="6"/>
  <c r="P121" i="6"/>
  <c r="F8" i="58482" s="1"/>
  <c r="AW111" i="6"/>
  <c r="Z174" i="6"/>
  <c r="Z171" i="6"/>
  <c r="AY161" i="6"/>
  <c r="AF145" i="6"/>
  <c r="AF138" i="6"/>
  <c r="AE161" i="6"/>
  <c r="AZ157" i="6"/>
  <c r="AZ543" i="6"/>
  <c r="AV111" i="6"/>
  <c r="K121" i="6"/>
  <c r="E8" i="58482" s="1"/>
  <c r="H10" i="58482" s="1"/>
  <c r="AE208" i="6"/>
  <c r="IH651" i="58479" s="1"/>
  <c r="G347" i="6"/>
  <c r="R400" i="6"/>
  <c r="R347" i="6"/>
  <c r="H400" i="6"/>
  <c r="H347" i="6"/>
  <c r="M400" i="6"/>
  <c r="Q400" i="6"/>
  <c r="Q347" i="6"/>
  <c r="J347" i="6"/>
  <c r="O347" i="6"/>
  <c r="O400" i="6"/>
  <c r="F400" i="6"/>
  <c r="F347" i="6"/>
  <c r="V400" i="6"/>
  <c r="V347" i="6"/>
  <c r="E400" i="6"/>
  <c r="E347" i="6"/>
  <c r="L400" i="6"/>
  <c r="L347" i="6"/>
  <c r="AL916" i="58411" l="1"/>
  <c r="HW631" i="58479"/>
  <c r="HW638" i="58479" s="1"/>
  <c r="EW325" i="58481"/>
  <c r="EX325" i="58481" s="1"/>
  <c r="EY325" i="58481" s="1"/>
  <c r="HU631" i="58479"/>
  <c r="EW323" i="58481"/>
  <c r="EX323" i="58481" s="1"/>
  <c r="EY323" i="58481" s="1"/>
  <c r="O716" i="6"/>
  <c r="HX631" i="58479"/>
  <c r="HY638" i="58479" s="1"/>
  <c r="EW326" i="58481"/>
  <c r="EX326" i="58481" s="1"/>
  <c r="EY326" i="58481" s="1"/>
  <c r="Z144" i="6"/>
  <c r="AY144" i="6" s="1"/>
  <c r="M325" i="58438"/>
  <c r="M234" i="58438" s="1"/>
  <c r="R325" i="58438"/>
  <c r="R234" i="58438" s="1"/>
  <c r="X58" i="58470"/>
  <c r="X61" i="58470" s="1"/>
  <c r="AG58" i="58470"/>
  <c r="AG61" i="58470" s="1"/>
  <c r="W58" i="58470"/>
  <c r="W61" i="58470" s="1"/>
  <c r="AF58" i="58470"/>
  <c r="AF61" i="58470" s="1"/>
  <c r="V58" i="58470"/>
  <c r="V61" i="58470" s="1"/>
  <c r="AE58" i="58470"/>
  <c r="AE61" i="58470" s="1"/>
  <c r="HY647" i="58479"/>
  <c r="HZ638" i="58479"/>
  <c r="AM109" i="58438"/>
  <c r="AM104" i="58438" s="1"/>
  <c r="AN109" i="58438" s="1"/>
  <c r="AN104" i="58438" s="1"/>
  <c r="AK110" i="58438"/>
  <c r="AK105" i="58438" s="1"/>
  <c r="AG105" i="58438"/>
  <c r="AG100" i="58438" s="1"/>
  <c r="AF103" i="58438"/>
  <c r="AK108" i="58438" s="1"/>
  <c r="AI73" i="58438"/>
  <c r="AM383" i="58438"/>
  <c r="AN560" i="58411"/>
  <c r="AN561" i="58411" s="1"/>
  <c r="AM384" i="58438"/>
  <c r="AM367" i="58438"/>
  <c r="AM461" i="58438" s="1"/>
  <c r="AM20" i="58438"/>
  <c r="AM43" i="58438" s="1"/>
  <c r="AN22" i="58438"/>
  <c r="AN45" i="58438" s="1"/>
  <c r="AO313" i="6"/>
  <c r="BB313" i="6" s="1"/>
  <c r="AM914" i="58411"/>
  <c r="AM382" i="58438"/>
  <c r="AM380" i="58438"/>
  <c r="AL469" i="58438"/>
  <c r="AN403" i="58438"/>
  <c r="AN437" i="58438" s="1"/>
  <c r="AM424" i="58438"/>
  <c r="AM425" i="58438" s="1"/>
  <c r="AN911" i="58411"/>
  <c r="AN915" i="58411" s="1"/>
  <c r="AM403" i="58438"/>
  <c r="AI66" i="58438"/>
  <c r="AN631" i="58411"/>
  <c r="AN632" i="58411" s="1"/>
  <c r="AN20" i="58438"/>
  <c r="AN43" i="58438" s="1"/>
  <c r="AN42" i="58438"/>
  <c r="AI940" i="58411"/>
  <c r="AN886" i="58411"/>
  <c r="AN894" i="58411" s="1"/>
  <c r="AM42" i="58438"/>
  <c r="AJ324" i="58438"/>
  <c r="AJ325" i="58438" s="1"/>
  <c r="AJ326" i="58438"/>
  <c r="AJ98" i="58438" s="1"/>
  <c r="AJ100" i="58438" s="1"/>
  <c r="AJ105" i="58438" s="1"/>
  <c r="AJ103" i="58438" s="1"/>
  <c r="AN391" i="58438"/>
  <c r="AN392" i="58438" s="1"/>
  <c r="AN362" i="58438"/>
  <c r="AN834" i="58411"/>
  <c r="AQ310" i="6" s="1"/>
  <c r="AP310" i="6"/>
  <c r="BC310" i="6" s="1"/>
  <c r="DN387" i="58502"/>
  <c r="AK933" i="58411"/>
  <c r="AK937" i="58411" s="1"/>
  <c r="DN366" i="58502"/>
  <c r="DN365" i="58502"/>
  <c r="DJ369" i="58502"/>
  <c r="DN369" i="58502" s="1"/>
  <c r="DN396" i="58502"/>
  <c r="DN378" i="58502"/>
  <c r="AJ940" i="58411"/>
  <c r="AJ31" i="58438"/>
  <c r="AL431" i="58438"/>
  <c r="AL432" i="58438" s="1"/>
  <c r="AL357" i="58438"/>
  <c r="AL456" i="58438" s="1"/>
  <c r="AL376" i="58438"/>
  <c r="AL377" i="58438" s="1"/>
  <c r="AM203" i="6"/>
  <c r="AM205" i="6"/>
  <c r="AJ840" i="58411"/>
  <c r="DP343" i="58479"/>
  <c r="G30" i="58482"/>
  <c r="G9" i="58482"/>
  <c r="F30" i="58482"/>
  <c r="F9" i="58482"/>
  <c r="HZ634" i="58479"/>
  <c r="U127" i="6"/>
  <c r="AX127" i="6" s="1"/>
  <c r="FM494" i="58479"/>
  <c r="M14" i="58477"/>
  <c r="F3" i="58470"/>
  <c r="L41" i="58470"/>
  <c r="M41" i="58470"/>
  <c r="O41" i="58470"/>
  <c r="N41" i="58470"/>
  <c r="P41" i="58470"/>
  <c r="Q41" i="58470"/>
  <c r="R41" i="58470"/>
  <c r="S41" i="58470"/>
  <c r="T41" i="58470"/>
  <c r="E30" i="58482"/>
  <c r="E9" i="58482"/>
  <c r="H9" i="58482"/>
  <c r="Z145" i="6"/>
  <c r="AY145" i="6" s="1"/>
  <c r="I30" i="58482"/>
  <c r="I9" i="58482"/>
  <c r="AI54" i="58438"/>
  <c r="AH54" i="58438"/>
  <c r="M13" i="58511"/>
  <c r="M30" i="58511"/>
  <c r="M39" i="58511" s="1"/>
  <c r="O255" i="58511"/>
  <c r="P255" i="58511" s="1"/>
  <c r="Q255" i="58511" s="1"/>
  <c r="J170" i="58511"/>
  <c r="J124" i="58511"/>
  <c r="J127" i="58511"/>
  <c r="L13" i="58511"/>
  <c r="L30" i="58511"/>
  <c r="L39" i="58511" s="1"/>
  <c r="K42" i="58511"/>
  <c r="CG271" i="58502"/>
  <c r="CO305" i="58502"/>
  <c r="CG270" i="58502"/>
  <c r="CG269" i="58502"/>
  <c r="CC273" i="58502"/>
  <c r="CO306" i="58502" s="1"/>
  <c r="J86" i="58511"/>
  <c r="J85" i="58511"/>
  <c r="BD689" i="6"/>
  <c r="AQ691" i="6"/>
  <c r="BD83" i="6"/>
  <c r="AQ530" i="6"/>
  <c r="BC530" i="6"/>
  <c r="AP169" i="6"/>
  <c r="AJ15" i="58438"/>
  <c r="AJ215" i="58438" s="1"/>
  <c r="AJ73" i="58438"/>
  <c r="AH73" i="58438"/>
  <c r="AH103" i="58438"/>
  <c r="AJ72" i="58438"/>
  <c r="AJ78" i="58438"/>
  <c r="AJ76" i="58438" s="1"/>
  <c r="AL794" i="58411"/>
  <c r="AL96" i="58438" s="1"/>
  <c r="AK797" i="58411"/>
  <c r="AN202" i="6" s="1"/>
  <c r="AN205" i="6" s="1"/>
  <c r="AK112" i="58438"/>
  <c r="AK77" i="58438" s="1"/>
  <c r="AL23" i="58438"/>
  <c r="AL41" i="58438"/>
  <c r="AL46" i="58438" s="1"/>
  <c r="AL50" i="58438" s="1"/>
  <c r="AU18" i="58438"/>
  <c r="AK23" i="58438"/>
  <c r="AK26" i="58438" s="1"/>
  <c r="AK41" i="58438"/>
  <c r="AJ53" i="58438"/>
  <c r="AJ52" i="58438"/>
  <c r="AJ51" i="58438"/>
  <c r="AJ50" i="58438"/>
  <c r="L161" i="58512"/>
  <c r="M147" i="58512"/>
  <c r="M149" i="58512" s="1"/>
  <c r="M161" i="58512" s="1"/>
  <c r="P248" i="58511"/>
  <c r="P251" i="58511" s="1"/>
  <c r="Q245" i="58511"/>
  <c r="Q248" i="58511" s="1"/>
  <c r="Q251" i="58511" s="1"/>
  <c r="K170" i="58512"/>
  <c r="K188" i="58512" s="1"/>
  <c r="K73" i="58512"/>
  <c r="K75" i="58512" s="1"/>
  <c r="K77" i="58512" s="1"/>
  <c r="AL326" i="58438"/>
  <c r="AL324" i="58438"/>
  <c r="AK325" i="58438"/>
  <c r="BD187" i="6"/>
  <c r="AQ188" i="6"/>
  <c r="BD188" i="6" s="1"/>
  <c r="AQ189" i="6"/>
  <c r="BD189" i="6" s="1"/>
  <c r="J240" i="6"/>
  <c r="O238" i="6"/>
  <c r="K237" i="6"/>
  <c r="ID654" i="58479" s="1"/>
  <c r="ID655" i="58479" s="1"/>
  <c r="AL247" i="58411"/>
  <c r="AK279" i="58411"/>
  <c r="AL318" i="58411"/>
  <c r="AK350" i="58411"/>
  <c r="AL488" i="58411"/>
  <c r="AL489" i="58411" s="1"/>
  <c r="AL490" i="58411" s="1"/>
  <c r="AL177" i="58411"/>
  <c r="AK209" i="58411"/>
  <c r="AK328" i="6"/>
  <c r="AK329" i="6"/>
  <c r="AK336" i="6"/>
  <c r="AL320" i="58411"/>
  <c r="AK352" i="58411"/>
  <c r="AL107" i="58411"/>
  <c r="AK139" i="58411"/>
  <c r="AN192" i="58411"/>
  <c r="AM196" i="58411"/>
  <c r="AM409" i="58411"/>
  <c r="AL858" i="58411"/>
  <c r="AL863" i="58411"/>
  <c r="AL879" i="58411"/>
  <c r="AL455" i="58438" s="1"/>
  <c r="AJ143" i="58411"/>
  <c r="AJ144" i="58411" s="1"/>
  <c r="AJ145" i="58411" s="1"/>
  <c r="AM851" i="58411"/>
  <c r="AM787" i="58411"/>
  <c r="AN432" i="58411"/>
  <c r="AM480" i="58411"/>
  <c r="AJ356" i="58411"/>
  <c r="AJ357" i="58411" s="1"/>
  <c r="AJ358" i="58411" s="1"/>
  <c r="AK859" i="58411"/>
  <c r="AK858" i="58411"/>
  <c r="AK863" i="58411"/>
  <c r="AK391" i="58411"/>
  <c r="AL34" i="58411"/>
  <c r="AK66" i="58411"/>
  <c r="AK72" i="58411" s="1"/>
  <c r="AK73" i="58411" s="1"/>
  <c r="AK74" i="58411" s="1"/>
  <c r="AK38" i="58411"/>
  <c r="AN384" i="58411"/>
  <c r="AL929" i="58411"/>
  <c r="AJ214" i="58411"/>
  <c r="AJ215" i="58411" s="1"/>
  <c r="AJ216" i="58411" s="1"/>
  <c r="AL59" i="58411"/>
  <c r="AM784" i="58411"/>
  <c r="AN429" i="58411"/>
  <c r="AM438" i="58411"/>
  <c r="AM477" i="58411"/>
  <c r="AO390" i="6"/>
  <c r="BB390" i="6" s="1"/>
  <c r="BB389" i="6"/>
  <c r="AN384" i="6"/>
  <c r="AL250" i="58411"/>
  <c r="AK282" i="58411"/>
  <c r="AJ397" i="58411"/>
  <c r="AM312" i="6"/>
  <c r="AM311" i="6"/>
  <c r="AM314" i="6" s="1"/>
  <c r="AM788" i="58411"/>
  <c r="AM931" i="58411" s="1"/>
  <c r="AN433" i="58411"/>
  <c r="AM481" i="58411"/>
  <c r="AM920" i="58411"/>
  <c r="AM916" i="58411"/>
  <c r="AM918" i="58411"/>
  <c r="AT347" i="6"/>
  <c r="AK837" i="58411"/>
  <c r="AN201" i="58411"/>
  <c r="AM789" i="58411"/>
  <c r="AN434" i="58411"/>
  <c r="AM482" i="58411"/>
  <c r="AN125" i="58411"/>
  <c r="AL106" i="58411"/>
  <c r="AK138" i="58411"/>
  <c r="AL319" i="58411"/>
  <c r="AK351" i="58411"/>
  <c r="AL246" i="58411"/>
  <c r="AK278" i="58411"/>
  <c r="AK251" i="58411"/>
  <c r="AK390" i="58411"/>
  <c r="AL176" i="58411"/>
  <c r="AK180" i="58411"/>
  <c r="AK208" i="58411"/>
  <c r="AM802" i="58411"/>
  <c r="AM814" i="58411" s="1"/>
  <c r="AN443" i="58411"/>
  <c r="AM475" i="58411"/>
  <c r="AM454" i="58411"/>
  <c r="AK392" i="58411"/>
  <c r="AL35" i="58411"/>
  <c r="AL327" i="6"/>
  <c r="AI417" i="58411"/>
  <c r="AI418" i="58411" s="1"/>
  <c r="AI419" i="58411" s="1"/>
  <c r="AL248" i="58411"/>
  <c r="AK280" i="58411"/>
  <c r="BC389" i="6"/>
  <c r="AP390" i="6"/>
  <c r="AN881" i="58411"/>
  <c r="AN879" i="58411"/>
  <c r="AN455" i="58438" s="1"/>
  <c r="AM792" i="58411"/>
  <c r="AN437" i="58411"/>
  <c r="AM485" i="58411"/>
  <c r="AN195" i="58411"/>
  <c r="AM412" i="58411"/>
  <c r="AK393" i="58411"/>
  <c r="AL36" i="58411"/>
  <c r="BC388" i="6"/>
  <c r="AP392" i="6"/>
  <c r="BC392" i="6" s="1"/>
  <c r="AL923" i="58411"/>
  <c r="AL921" i="58411"/>
  <c r="AE241" i="6"/>
  <c r="AZ241" i="6" s="1"/>
  <c r="AY240" i="6"/>
  <c r="Z241" i="6"/>
  <c r="AY241" i="6" s="1"/>
  <c r="Z242" i="6"/>
  <c r="AY242" i="6" s="1"/>
  <c r="AN194" i="58411"/>
  <c r="AN193" i="58411"/>
  <c r="AN410" i="58411" s="1"/>
  <c r="AN908" i="58411"/>
  <c r="AN465" i="58438" s="1"/>
  <c r="AN910" i="58411"/>
  <c r="AT400" i="6"/>
  <c r="AN331" i="6"/>
  <c r="AN309" i="6"/>
  <c r="AM786" i="58411"/>
  <c r="AM929" i="58411" s="1"/>
  <c r="AN431" i="58411"/>
  <c r="AM479" i="58411"/>
  <c r="AM894" i="58411"/>
  <c r="AM889" i="58411"/>
  <c r="AM887" i="58411"/>
  <c r="AL179" i="58411"/>
  <c r="AK394" i="58411"/>
  <c r="AK211" i="58411"/>
  <c r="AL249" i="58411"/>
  <c r="AK281" i="58411"/>
  <c r="AL817" i="58411"/>
  <c r="AL837" i="58411"/>
  <c r="AL838" i="58411" s="1"/>
  <c r="AL839" i="58411" s="1"/>
  <c r="AM386" i="6"/>
  <c r="AM385" i="6"/>
  <c r="AM393" i="6"/>
  <c r="AL178" i="58411"/>
  <c r="AK210" i="58411"/>
  <c r="AL105" i="58411"/>
  <c r="AK137" i="58411"/>
  <c r="AL321" i="58411"/>
  <c r="AK353" i="58411"/>
  <c r="AL402" i="58411"/>
  <c r="AL415" i="58411" s="1"/>
  <c r="AM43" i="58411"/>
  <c r="AL54" i="58411"/>
  <c r="AM785" i="58411"/>
  <c r="AM930" i="58411" s="1"/>
  <c r="AN430" i="58411"/>
  <c r="AM478" i="58411"/>
  <c r="AM848" i="58411"/>
  <c r="AM857" i="58411" s="1"/>
  <c r="AM18" i="58438" s="1"/>
  <c r="AJ285" i="58411"/>
  <c r="AJ286" i="58411" s="1"/>
  <c r="AJ287" i="58411" s="1"/>
  <c r="AL97" i="58411"/>
  <c r="AK109" i="58411"/>
  <c r="AK129" i="58411"/>
  <c r="AK383" i="58411"/>
  <c r="AL317" i="58411"/>
  <c r="AK349" i="58411"/>
  <c r="AL315" i="58411"/>
  <c r="AK322" i="58411"/>
  <c r="AK347" i="58411"/>
  <c r="AK388" i="58411"/>
  <c r="AM335" i="6"/>
  <c r="F403" i="6"/>
  <c r="AU403" i="6" s="1"/>
  <c r="AU400" i="6"/>
  <c r="Q403" i="6"/>
  <c r="AZ208" i="6"/>
  <c r="AT545" i="6"/>
  <c r="F544" i="6"/>
  <c r="E551" i="6"/>
  <c r="E138" i="6"/>
  <c r="F144" i="6" s="1"/>
  <c r="AU144" i="6" s="1"/>
  <c r="F350" i="6"/>
  <c r="AU350" i="6" s="1"/>
  <c r="AU347" i="6"/>
  <c r="Q350" i="6"/>
  <c r="P620" i="6"/>
  <c r="AW620" i="6" s="1"/>
  <c r="P125" i="6"/>
  <c r="FL494" i="58479" s="1"/>
  <c r="P148" i="6"/>
  <c r="AW148" i="6" s="1"/>
  <c r="P140" i="6"/>
  <c r="HW633" i="58479" s="1"/>
  <c r="AW121" i="6"/>
  <c r="HO507" i="58481" s="1"/>
  <c r="HO508" i="58481" s="1"/>
  <c r="HO509" i="58481" s="1"/>
  <c r="P127" i="6"/>
  <c r="AW127" i="6" s="1"/>
  <c r="P126" i="6"/>
  <c r="AW126" i="6" s="1"/>
  <c r="M15" i="58481" s="1"/>
  <c r="M18" i="58481" s="1"/>
  <c r="AO655" i="6"/>
  <c r="BB655" i="6" s="1"/>
  <c r="BB651" i="6"/>
  <c r="AO607" i="6"/>
  <c r="F145" i="6"/>
  <c r="AU145" i="6" s="1"/>
  <c r="AT171" i="6"/>
  <c r="E177" i="6"/>
  <c r="F178" i="6" s="1"/>
  <c r="AU178" i="6" s="1"/>
  <c r="AN610" i="6"/>
  <c r="AN606" i="6"/>
  <c r="AN528" i="6"/>
  <c r="AZ125" i="6"/>
  <c r="AU177" i="6"/>
  <c r="AW715" i="6"/>
  <c r="P716" i="6"/>
  <c r="P174" i="6"/>
  <c r="P171" i="6"/>
  <c r="AW161" i="6"/>
  <c r="K174" i="6"/>
  <c r="K171" i="6"/>
  <c r="AV161" i="6"/>
  <c r="AE174" i="6"/>
  <c r="AE171" i="6"/>
  <c r="AZ161" i="6"/>
  <c r="AY171" i="6"/>
  <c r="Z177" i="6"/>
  <c r="AM699" i="6"/>
  <c r="AN562" i="6"/>
  <c r="V350" i="6"/>
  <c r="M347" i="6"/>
  <c r="R403" i="6"/>
  <c r="AF144" i="6"/>
  <c r="AY174" i="6"/>
  <c r="AQ634" i="6"/>
  <c r="AP651" i="6"/>
  <c r="AP605" i="6"/>
  <c r="BC605" i="6" s="1"/>
  <c r="BC634" i="6"/>
  <c r="AE144" i="6"/>
  <c r="AZ144" i="6" s="1"/>
  <c r="AE145" i="6"/>
  <c r="AZ145" i="6" s="1"/>
  <c r="F172" i="6"/>
  <c r="AU172" i="6" s="1"/>
  <c r="AW543" i="6"/>
  <c r="U144" i="6"/>
  <c r="AX144" i="6" s="1"/>
  <c r="P144" i="6"/>
  <c r="AW144" i="6" s="1"/>
  <c r="J400" i="6"/>
  <c r="AM539" i="6"/>
  <c r="AM167" i="6"/>
  <c r="AT174" i="6"/>
  <c r="L350" i="6"/>
  <c r="V403" i="6"/>
  <c r="O350" i="6"/>
  <c r="M403" i="6"/>
  <c r="G400" i="6"/>
  <c r="L403" i="6" s="1"/>
  <c r="K620" i="6"/>
  <c r="AV620" i="6" s="1"/>
  <c r="K126" i="6"/>
  <c r="AV126" i="6" s="1"/>
  <c r="L15" i="58481" s="1"/>
  <c r="L22" i="58481" s="1"/>
  <c r="K125" i="6"/>
  <c r="AV125" i="6" s="1"/>
  <c r="K148" i="6"/>
  <c r="AV148" i="6" s="1"/>
  <c r="K140" i="6"/>
  <c r="HV633" i="58479" s="1"/>
  <c r="HV634" i="58479" s="1"/>
  <c r="AV121" i="6"/>
  <c r="K127" i="6"/>
  <c r="AV127" i="6" s="1"/>
  <c r="K144" i="6"/>
  <c r="AV144" i="6" s="1"/>
  <c r="U171" i="6"/>
  <c r="AX161" i="6"/>
  <c r="U174" i="6"/>
  <c r="AV543" i="6"/>
  <c r="AP106" i="6"/>
  <c r="BC106" i="6" s="1"/>
  <c r="BC51" i="6"/>
  <c r="AX125" i="6"/>
  <c r="AZ610" i="6"/>
  <c r="AE692" i="6"/>
  <c r="AH401" i="6"/>
  <c r="I401" i="6"/>
  <c r="AA364" i="6"/>
  <c r="AA347" i="6"/>
  <c r="AA400" i="6"/>
  <c r="L401" i="6"/>
  <c r="N400" i="6"/>
  <c r="N347" i="6"/>
  <c r="G401" i="6"/>
  <c r="F348" i="6"/>
  <c r="H348" i="6"/>
  <c r="T400" i="6"/>
  <c r="K400" i="6"/>
  <c r="P400" i="6"/>
  <c r="F401" i="6"/>
  <c r="J348" i="6"/>
  <c r="E401" i="6"/>
  <c r="N348" i="6"/>
  <c r="I347" i="6"/>
  <c r="S400" i="6"/>
  <c r="W400" i="6"/>
  <c r="P209" i="6"/>
  <c r="AW209" i="6" s="1"/>
  <c r="P208" i="6"/>
  <c r="IE651" i="58479" s="1"/>
  <c r="P210" i="6"/>
  <c r="AW210" i="6" s="1"/>
  <c r="Z176" i="6"/>
  <c r="AL105" i="58438" l="1"/>
  <c r="AL103" i="58438" s="1"/>
  <c r="AK103" i="58438"/>
  <c r="HT631" i="58479"/>
  <c r="HU638" i="58479" s="1"/>
  <c r="EW322" i="58481"/>
  <c r="EX322" i="58481" s="1"/>
  <c r="EY322" i="58481" s="1"/>
  <c r="HV638" i="58479"/>
  <c r="HX638" i="58479"/>
  <c r="U145" i="6"/>
  <c r="AX145" i="6" s="1"/>
  <c r="AG103" i="58438"/>
  <c r="AG98" i="58438" s="1"/>
  <c r="AL110" i="58438"/>
  <c r="AL108" i="58438" s="1"/>
  <c r="AI67" i="58438"/>
  <c r="AI71" i="58438"/>
  <c r="AI65" i="58438" s="1"/>
  <c r="AM459" i="58438"/>
  <c r="AM58" i="58438" s="1"/>
  <c r="CG273" i="58502"/>
  <c r="CO307" i="58502" s="1"/>
  <c r="AN914" i="58411"/>
  <c r="AK838" i="58411"/>
  <c r="AK839" i="58411" s="1"/>
  <c r="AN889" i="58411"/>
  <c r="AN204" i="6"/>
  <c r="AN203" i="6"/>
  <c r="AO203" i="6" s="1"/>
  <c r="BB203" i="6" s="1"/>
  <c r="AL112" i="58438"/>
  <c r="AM437" i="58438"/>
  <c r="AM406" i="58438"/>
  <c r="AM414" i="58438" s="1"/>
  <c r="AN406" i="58438"/>
  <c r="AN425" i="58438"/>
  <c r="AN887" i="58411"/>
  <c r="AK840" i="58411"/>
  <c r="AK73" i="58438"/>
  <c r="AL73" i="58438" s="1"/>
  <c r="AK936" i="58411"/>
  <c r="AQ388" i="6"/>
  <c r="AQ389" i="6" s="1"/>
  <c r="BD389" i="6" s="1"/>
  <c r="AU324" i="58438"/>
  <c r="AN436" i="58438"/>
  <c r="AN440" i="58438" s="1"/>
  <c r="AN444" i="58438" s="1"/>
  <c r="AN366" i="58438"/>
  <c r="AL797" i="58411"/>
  <c r="AO202" i="6" s="1"/>
  <c r="BB202" i="6" s="1"/>
  <c r="AP313" i="6"/>
  <c r="BC313" i="6" s="1"/>
  <c r="AK938" i="58411"/>
  <c r="AK935" i="58411"/>
  <c r="AM356" i="58438"/>
  <c r="AK143" i="58411"/>
  <c r="AK144" i="58411" s="1"/>
  <c r="AK145" i="58411" s="1"/>
  <c r="J27" i="58470"/>
  <c r="HW634" i="58479"/>
  <c r="HY649" i="58479"/>
  <c r="HX634" i="58479"/>
  <c r="AL49" i="58438"/>
  <c r="AL53" i="58438"/>
  <c r="AJ54" i="58438"/>
  <c r="AL51" i="58438"/>
  <c r="AL52" i="58438"/>
  <c r="L40" i="58511"/>
  <c r="L68" i="58511" s="1"/>
  <c r="J174" i="58511"/>
  <c r="J177" i="58511" s="1"/>
  <c r="J180" i="58511" s="1"/>
  <c r="J205" i="58511"/>
  <c r="CN324" i="58502"/>
  <c r="CM342" i="58502"/>
  <c r="CN325" i="58502"/>
  <c r="CN342" i="58502"/>
  <c r="M40" i="58511"/>
  <c r="M68" i="58511" s="1"/>
  <c r="K129" i="58511"/>
  <c r="K149" i="58511" s="1"/>
  <c r="K45" i="58511"/>
  <c r="K65" i="58511"/>
  <c r="K72" i="58511" s="1"/>
  <c r="K81" i="58511" s="1"/>
  <c r="K101" i="58511"/>
  <c r="K110" i="58511" s="1"/>
  <c r="K116" i="58511" s="1"/>
  <c r="K48" i="58511"/>
  <c r="K51" i="58511" s="1"/>
  <c r="BD691" i="6"/>
  <c r="AQ51" i="6"/>
  <c r="BC169" i="6"/>
  <c r="BF168" i="6"/>
  <c r="AQ169" i="6"/>
  <c r="BD169" i="6" s="1"/>
  <c r="BD530" i="6"/>
  <c r="AL77" i="58438"/>
  <c r="AK285" i="58411"/>
  <c r="AK286" i="58411" s="1"/>
  <c r="AK287" i="58411" s="1"/>
  <c r="AJ66" i="58438"/>
  <c r="AJ71" i="58438"/>
  <c r="AJ65" i="58438" s="1"/>
  <c r="AJ67" i="58438"/>
  <c r="AK46" i="58438"/>
  <c r="AK49" i="58438" s="1"/>
  <c r="AK78" i="58438"/>
  <c r="AL78" i="58438" s="1"/>
  <c r="AH67" i="58438"/>
  <c r="AH71" i="58438"/>
  <c r="AH65" i="58438" s="1"/>
  <c r="AK72" i="58438"/>
  <c r="AK66" i="58438" s="1"/>
  <c r="AL72" i="58438"/>
  <c r="AM77" i="58438" s="1"/>
  <c r="AM23" i="58438"/>
  <c r="AM26" i="58438" s="1"/>
  <c r="AM41" i="58438"/>
  <c r="AM46" i="58438" s="1"/>
  <c r="AM50" i="58438" s="1"/>
  <c r="AU23" i="58438"/>
  <c r="AK30" i="58438"/>
  <c r="AK29" i="58438"/>
  <c r="AK28" i="58438"/>
  <c r="AK27" i="58438"/>
  <c r="AL26" i="58438"/>
  <c r="AL30" i="58438"/>
  <c r="AL29" i="58438"/>
  <c r="AL27" i="58438"/>
  <c r="AL28" i="58438"/>
  <c r="L73" i="58512"/>
  <c r="L75" i="58512" s="1"/>
  <c r="L77" i="58512" s="1"/>
  <c r="L170" i="58512"/>
  <c r="L188" i="58512" s="1"/>
  <c r="K186" i="58512"/>
  <c r="K190" i="58512"/>
  <c r="M73" i="58512"/>
  <c r="M75" i="58512" s="1"/>
  <c r="M77" i="58512" s="1"/>
  <c r="M170" i="58512"/>
  <c r="M188" i="58512" s="1"/>
  <c r="AL325" i="58438"/>
  <c r="AM110" i="58438"/>
  <c r="AN786" i="58411"/>
  <c r="AN479" i="58411"/>
  <c r="AN788" i="58411"/>
  <c r="AN481" i="58411"/>
  <c r="AM250" i="58411"/>
  <c r="AL282" i="58411"/>
  <c r="E402" i="6"/>
  <c r="E397" i="6" s="1"/>
  <c r="AT397" i="6" s="1"/>
  <c r="AT401" i="6"/>
  <c r="AK397" i="58411"/>
  <c r="AM858" i="58411"/>
  <c r="AM863" i="58411"/>
  <c r="AM864" i="58411" s="1"/>
  <c r="AM249" i="58411"/>
  <c r="AL281" i="58411"/>
  <c r="AM179" i="58411"/>
  <c r="AL394" i="58411"/>
  <c r="AL211" i="58411"/>
  <c r="AN312" i="6"/>
  <c r="AN311" i="6"/>
  <c r="AN314" i="6" s="1"/>
  <c r="AK214" i="58411"/>
  <c r="AK215" i="58411" s="1"/>
  <c r="AK216" i="58411" s="1"/>
  <c r="AM319" i="58411"/>
  <c r="AL351" i="58411"/>
  <c r="AM794" i="58411"/>
  <c r="AM96" i="58438" s="1"/>
  <c r="AL864" i="58411"/>
  <c r="AL887" i="58411"/>
  <c r="AN409" i="58411"/>
  <c r="AN196" i="58411"/>
  <c r="AM315" i="58411"/>
  <c r="AL322" i="58411"/>
  <c r="AL347" i="58411"/>
  <c r="AL388" i="58411"/>
  <c r="AN918" i="58411"/>
  <c r="AN920" i="58411"/>
  <c r="AN916" i="58411"/>
  <c r="AM402" i="58411"/>
  <c r="AM415" i="58411" s="1"/>
  <c r="AN43" i="58411"/>
  <c r="AM54" i="58411"/>
  <c r="AM178" i="58411"/>
  <c r="AL210" i="58411"/>
  <c r="AM248" i="58411"/>
  <c r="AL280" i="58411"/>
  <c r="AK865" i="58411"/>
  <c r="AK864" i="58411"/>
  <c r="AM320" i="58411"/>
  <c r="AL352" i="58411"/>
  <c r="AM318" i="58411"/>
  <c r="AL350" i="58411"/>
  <c r="P238" i="6"/>
  <c r="AW238" i="6" s="1"/>
  <c r="AV237" i="6"/>
  <c r="P347" i="6"/>
  <c r="AW347" i="6" s="1"/>
  <c r="AN785" i="58411"/>
  <c r="AN478" i="58411"/>
  <c r="AN848" i="58411"/>
  <c r="AO384" i="6"/>
  <c r="AO309" i="6"/>
  <c r="AO331" i="6"/>
  <c r="AM933" i="58411"/>
  <c r="AM935" i="58411" s="1"/>
  <c r="AN412" i="58411"/>
  <c r="AN792" i="58411"/>
  <c r="AN485" i="58411"/>
  <c r="AP391" i="6"/>
  <c r="BC391" i="6" s="1"/>
  <c r="BC390" i="6"/>
  <c r="AL392" i="58411"/>
  <c r="AM35" i="58411"/>
  <c r="AN802" i="58411"/>
  <c r="AN814" i="58411" s="1"/>
  <c r="AN454" i="58411"/>
  <c r="AN356" i="58438" s="1"/>
  <c r="AN475" i="58411"/>
  <c r="AM176" i="58411"/>
  <c r="AL180" i="58411"/>
  <c r="AL208" i="58411"/>
  <c r="AM246" i="58411"/>
  <c r="AL278" i="58411"/>
  <c r="AL251" i="58411"/>
  <c r="AL390" i="58411"/>
  <c r="AM106" i="58411"/>
  <c r="AL138" i="58411"/>
  <c r="AN789" i="58411"/>
  <c r="AN482" i="58411"/>
  <c r="AM327" i="6"/>
  <c r="AJ417" i="58411"/>
  <c r="AJ418" i="58411" s="1"/>
  <c r="AJ419" i="58411" s="1"/>
  <c r="AM59" i="58411"/>
  <c r="AN851" i="58411"/>
  <c r="AN787" i="58411"/>
  <c r="AN480" i="58411"/>
  <c r="AM177" i="58411"/>
  <c r="AL209" i="58411"/>
  <c r="AM321" i="58411"/>
  <c r="AL353" i="58411"/>
  <c r="AN335" i="6"/>
  <c r="AM488" i="58411"/>
  <c r="AM489" i="58411" s="1"/>
  <c r="AM490" i="58411" s="1"/>
  <c r="AN385" i="6"/>
  <c r="AO385" i="6" s="1"/>
  <c r="BB385" i="6" s="1"/>
  <c r="AN386" i="6"/>
  <c r="AN393" i="6"/>
  <c r="AL933" i="58411"/>
  <c r="BD310" i="6"/>
  <c r="AQ313" i="6"/>
  <c r="BD313" i="6" s="1"/>
  <c r="E348" i="6"/>
  <c r="F351" i="6" s="1"/>
  <c r="AU351" i="6" s="1"/>
  <c r="AN332" i="6"/>
  <c r="AN333" i="6" s="1"/>
  <c r="AN334" i="6" s="1"/>
  <c r="AK356" i="58411"/>
  <c r="AK357" i="58411" s="1"/>
  <c r="AK358" i="58411" s="1"/>
  <c r="AM317" i="58411"/>
  <c r="AL349" i="58411"/>
  <c r="AM97" i="58411"/>
  <c r="AL109" i="58411"/>
  <c r="AL129" i="58411"/>
  <c r="AL383" i="58411"/>
  <c r="AM105" i="58411"/>
  <c r="AL137" i="58411"/>
  <c r="AL393" i="58411"/>
  <c r="AM36" i="58411"/>
  <c r="AN411" i="58411"/>
  <c r="AL328" i="6"/>
  <c r="AL329" i="6"/>
  <c r="AL336" i="6"/>
  <c r="AM817" i="58411"/>
  <c r="AM923" i="58411"/>
  <c r="AM926" i="58411" s="1"/>
  <c r="AM921" i="58411"/>
  <c r="D15" i="58477" s="1"/>
  <c r="B75" i="58477" s="1"/>
  <c r="AN784" i="58411"/>
  <c r="AN477" i="58411"/>
  <c r="AN438" i="58411"/>
  <c r="AL391" i="58411"/>
  <c r="AM34" i="58411"/>
  <c r="AL66" i="58411"/>
  <c r="AL72" i="58411" s="1"/>
  <c r="AL73" i="58411" s="1"/>
  <c r="AL74" i="58411" s="1"/>
  <c r="AL38" i="58411"/>
  <c r="AM107" i="58411"/>
  <c r="AL139" i="58411"/>
  <c r="AM247" i="58411"/>
  <c r="AL279" i="58411"/>
  <c r="J242" i="6"/>
  <c r="O241" i="6"/>
  <c r="K240" i="6"/>
  <c r="AW208" i="6"/>
  <c r="W347" i="6"/>
  <c r="L348" i="6"/>
  <c r="N401" i="6"/>
  <c r="AU401" i="6"/>
  <c r="F402" i="6"/>
  <c r="F397" i="6" s="1"/>
  <c r="AU397" i="6" s="1"/>
  <c r="F404" i="6"/>
  <c r="AU404" i="6" s="1"/>
  <c r="P403" i="6"/>
  <c r="AW403" i="6" s="1"/>
  <c r="AW400" i="6"/>
  <c r="G348" i="6"/>
  <c r="T403" i="6"/>
  <c r="I348" i="6"/>
  <c r="N351" i="6" s="1"/>
  <c r="AJ321" i="6"/>
  <c r="BA321" i="6" s="1"/>
  <c r="AO319" i="6"/>
  <c r="BB319" i="6" s="1"/>
  <c r="AA350" i="6"/>
  <c r="U177" i="6"/>
  <c r="AX171" i="6"/>
  <c r="U172" i="6"/>
  <c r="AX172" i="6" s="1"/>
  <c r="AP655" i="6"/>
  <c r="BC651" i="6"/>
  <c r="AP607" i="6"/>
  <c r="M350" i="6"/>
  <c r="R350" i="6"/>
  <c r="K175" i="6"/>
  <c r="AV175" i="6" s="1"/>
  <c r="AV174" i="6"/>
  <c r="K176" i="6"/>
  <c r="AW716" i="6"/>
  <c r="Q713" i="6"/>
  <c r="BB607" i="6"/>
  <c r="AO610" i="6"/>
  <c r="K23" i="58482" s="1"/>
  <c r="AO606" i="6"/>
  <c r="BB606" i="6" s="1"/>
  <c r="AJ319" i="6"/>
  <c r="BA319" i="6" s="1"/>
  <c r="I400" i="6"/>
  <c r="I402" i="6" s="1"/>
  <c r="I409" i="6" s="1"/>
  <c r="M348" i="6"/>
  <c r="N349" i="6"/>
  <c r="H349" i="6"/>
  <c r="H344" i="6" s="1"/>
  <c r="K145" i="6"/>
  <c r="AV145" i="6" s="1"/>
  <c r="AQ651" i="6"/>
  <c r="BD634" i="6"/>
  <c r="AQ605" i="6"/>
  <c r="BD605" i="6" s="1"/>
  <c r="AY177" i="6"/>
  <c r="Z179" i="6"/>
  <c r="AZ171" i="6"/>
  <c r="AE172" i="6"/>
  <c r="AZ172" i="6" s="1"/>
  <c r="AE177" i="6"/>
  <c r="AT177" i="6"/>
  <c r="E179" i="6"/>
  <c r="AW125" i="6"/>
  <c r="E614" i="6"/>
  <c r="AT614" i="6" s="1"/>
  <c r="AT551" i="6"/>
  <c r="V176" i="6"/>
  <c r="H179" i="6"/>
  <c r="H176" i="6"/>
  <c r="AB176" i="6"/>
  <c r="N176" i="6"/>
  <c r="AD176" i="6"/>
  <c r="R176" i="6"/>
  <c r="S176" i="6"/>
  <c r="AC176" i="6"/>
  <c r="O176" i="6"/>
  <c r="J179" i="6"/>
  <c r="X176" i="6"/>
  <c r="J176" i="6"/>
  <c r="AA176" i="6"/>
  <c r="I176" i="6"/>
  <c r="L176" i="6"/>
  <c r="G179" i="6"/>
  <c r="G176" i="6"/>
  <c r="Y176" i="6"/>
  <c r="X179" i="6"/>
  <c r="AB179" i="6"/>
  <c r="I179" i="6"/>
  <c r="T176" i="6"/>
  <c r="M176" i="6"/>
  <c r="V179" i="6"/>
  <c r="AG176" i="6"/>
  <c r="W176" i="6"/>
  <c r="AC179" i="6"/>
  <c r="R179" i="6"/>
  <c r="AD179" i="6"/>
  <c r="AH176" i="6"/>
  <c r="S179" i="6"/>
  <c r="O179" i="6"/>
  <c r="Q176" i="6"/>
  <c r="N179" i="6"/>
  <c r="W179" i="6"/>
  <c r="M179" i="6"/>
  <c r="Q179" i="6"/>
  <c r="Y179" i="6"/>
  <c r="AA179" i="6"/>
  <c r="AG179" i="6"/>
  <c r="AF176" i="6"/>
  <c r="T179" i="6"/>
  <c r="L179" i="6"/>
  <c r="AF179" i="6"/>
  <c r="F176" i="6"/>
  <c r="AH179" i="6"/>
  <c r="S403" i="6"/>
  <c r="J401" i="6"/>
  <c r="AH348" i="6"/>
  <c r="T347" i="6"/>
  <c r="AF401" i="6"/>
  <c r="AG401" i="6"/>
  <c r="AU348" i="6"/>
  <c r="F349" i="6"/>
  <c r="F344" i="6" s="1"/>
  <c r="AU344" i="6" s="1"/>
  <c r="U176" i="6"/>
  <c r="U175" i="6"/>
  <c r="AX175" i="6" s="1"/>
  <c r="AX174" i="6"/>
  <c r="Z172" i="6"/>
  <c r="AY172" i="6" s="1"/>
  <c r="AE175" i="6"/>
  <c r="AZ175" i="6" s="1"/>
  <c r="AZ174" i="6"/>
  <c r="AE176" i="6"/>
  <c r="P172" i="6"/>
  <c r="AW172" i="6" s="1"/>
  <c r="P177" i="6"/>
  <c r="AW171" i="6"/>
  <c r="F179" i="6"/>
  <c r="AN539" i="6"/>
  <c r="AN167" i="6"/>
  <c r="AO528" i="6"/>
  <c r="AU544" i="6"/>
  <c r="F545" i="6"/>
  <c r="AJ320" i="6"/>
  <c r="BA320" i="6" s="1"/>
  <c r="W403" i="6"/>
  <c r="S347" i="6"/>
  <c r="M401" i="6"/>
  <c r="AO321" i="6"/>
  <c r="BB321" i="6" s="1"/>
  <c r="H401" i="6"/>
  <c r="J349" i="6"/>
  <c r="J344" i="6" s="1"/>
  <c r="P318" i="6"/>
  <c r="IM682" i="58479" s="1"/>
  <c r="K403" i="6"/>
  <c r="AV403" i="6" s="1"/>
  <c r="AV400" i="6"/>
  <c r="U318" i="6"/>
  <c r="IN682" i="58479" s="1"/>
  <c r="G402" i="6"/>
  <c r="G409" i="6" s="1"/>
  <c r="N350" i="6"/>
  <c r="N343" i="6"/>
  <c r="L402" i="6"/>
  <c r="L397" i="6" s="1"/>
  <c r="L404" i="6"/>
  <c r="AA403" i="6"/>
  <c r="E176" i="6"/>
  <c r="Z175" i="6"/>
  <c r="AY175" i="6" s="1"/>
  <c r="O403" i="6"/>
  <c r="AN699" i="6"/>
  <c r="AO562" i="6"/>
  <c r="AV171" i="6"/>
  <c r="K172" i="6"/>
  <c r="AV172" i="6" s="1"/>
  <c r="K177" i="6"/>
  <c r="AW174" i="6"/>
  <c r="P176" i="6"/>
  <c r="P175" i="6"/>
  <c r="AW175" i="6" s="1"/>
  <c r="P145" i="6"/>
  <c r="AW145" i="6" s="1"/>
  <c r="S401" i="6"/>
  <c r="O348" i="6"/>
  <c r="Q401" i="6"/>
  <c r="AK401" i="6"/>
  <c r="U400" i="6"/>
  <c r="O401" i="6"/>
  <c r="AF400" i="6"/>
  <c r="AF347" i="6"/>
  <c r="X400" i="6"/>
  <c r="AM348" i="6"/>
  <c r="K348" i="6"/>
  <c r="S348" i="6"/>
  <c r="Q348" i="6"/>
  <c r="F340" i="6"/>
  <c r="AU340" i="6" s="1"/>
  <c r="AL348" i="6"/>
  <c r="AB400" i="6"/>
  <c r="AB364" i="6"/>
  <c r="AK348" i="6"/>
  <c r="R348" i="6"/>
  <c r="Y400" i="6"/>
  <c r="AL100" i="58438" l="1"/>
  <c r="CO324" i="58502"/>
  <c r="BD388" i="6"/>
  <c r="AQ390" i="6"/>
  <c r="BD390" i="6" s="1"/>
  <c r="AN407" i="58438"/>
  <c r="AN471" i="58438" s="1"/>
  <c r="AN415" i="58438"/>
  <c r="AN416" i="58438"/>
  <c r="AN413" i="58438"/>
  <c r="AN417" i="58438"/>
  <c r="AN409" i="58438"/>
  <c r="AN414" i="58438"/>
  <c r="AM413" i="58438"/>
  <c r="AM409" i="58438"/>
  <c r="AM410" i="58438" s="1"/>
  <c r="AM415" i="58438"/>
  <c r="AM416" i="58438"/>
  <c r="AM407" i="58438"/>
  <c r="AM471" i="58438" s="1"/>
  <c r="AM417" i="58438"/>
  <c r="AM440" i="58438"/>
  <c r="AN441" i="58438" s="1"/>
  <c r="AL66" i="58438"/>
  <c r="AL840" i="58411"/>
  <c r="AQ392" i="6"/>
  <c r="BD392" i="6" s="1"/>
  <c r="AN445" i="58438"/>
  <c r="AN446" i="58438"/>
  <c r="AN447" i="58438"/>
  <c r="AN448" i="58438"/>
  <c r="AN380" i="58438"/>
  <c r="AN367" i="58438"/>
  <c r="AN461" i="58438" s="1"/>
  <c r="AN383" i="58438"/>
  <c r="AN381" i="58438"/>
  <c r="AN384" i="58438"/>
  <c r="AN382" i="58438"/>
  <c r="AO205" i="6"/>
  <c r="BB205" i="6" s="1"/>
  <c r="AO204" i="6"/>
  <c r="BB204" i="6" s="1"/>
  <c r="AK940" i="58411"/>
  <c r="AN357" i="58438"/>
  <c r="AN456" i="58438" s="1"/>
  <c r="AN431" i="58438"/>
  <c r="AN376" i="58438"/>
  <c r="D39" i="58477"/>
  <c r="B82" i="58477" s="1"/>
  <c r="AM431" i="58438"/>
  <c r="AM432" i="58438" s="1"/>
  <c r="AM357" i="58438"/>
  <c r="AM456" i="58438" s="1"/>
  <c r="AM376" i="58438"/>
  <c r="AM377" i="58438" s="1"/>
  <c r="AK71" i="58438"/>
  <c r="AK15" i="58438"/>
  <c r="AK215" i="58438" s="1"/>
  <c r="AK31" i="58438"/>
  <c r="AM837" i="58411"/>
  <c r="AM838" i="58411" s="1"/>
  <c r="AM839" i="58411" s="1"/>
  <c r="AL76" i="58438"/>
  <c r="L42" i="58511"/>
  <c r="L48" i="58511" s="1"/>
  <c r="L51" i="58511" s="1"/>
  <c r="M42" i="58511"/>
  <c r="M48" i="58511" s="1"/>
  <c r="M51" i="58511" s="1"/>
  <c r="G396" i="6"/>
  <c r="AL54" i="58438"/>
  <c r="AM51" i="58438"/>
  <c r="AM53" i="58438"/>
  <c r="AM52" i="58438"/>
  <c r="K178" i="58511"/>
  <c r="J183" i="58511"/>
  <c r="K123" i="58511"/>
  <c r="K119" i="58511"/>
  <c r="K84" i="58511"/>
  <c r="CD267" i="58502"/>
  <c r="AK67" i="58438"/>
  <c r="AL67" i="58438" s="1"/>
  <c r="J209" i="58511"/>
  <c r="J211" i="58511" s="1"/>
  <c r="AQ106" i="6"/>
  <c r="BD106" i="6" s="1"/>
  <c r="BD51" i="6"/>
  <c r="AL214" i="58411"/>
  <c r="AL215" i="58411" s="1"/>
  <c r="AL216" i="58411" s="1"/>
  <c r="AL31" i="58438"/>
  <c r="AM49" i="58438"/>
  <c r="AK76" i="58438"/>
  <c r="AL15" i="58438"/>
  <c r="P9" i="58471" s="1"/>
  <c r="AK50" i="58438"/>
  <c r="AK53" i="58438"/>
  <c r="AK52" i="58438"/>
  <c r="AK51" i="58438"/>
  <c r="AM797" i="58411"/>
  <c r="AP202" i="6" s="1"/>
  <c r="AP204" i="6" s="1"/>
  <c r="BC204" i="6" s="1"/>
  <c r="AM112" i="58438"/>
  <c r="AM72" i="58438" s="1"/>
  <c r="AM27" i="58438"/>
  <c r="AM29" i="58438"/>
  <c r="AM28" i="58438"/>
  <c r="AM30" i="58438"/>
  <c r="M186" i="58512"/>
  <c r="M190" i="58512"/>
  <c r="L186" i="58512"/>
  <c r="L190" i="58512"/>
  <c r="AM78" i="58438"/>
  <c r="AL71" i="58438"/>
  <c r="AL98" i="58438"/>
  <c r="AM108" i="58438"/>
  <c r="G397" i="6"/>
  <c r="AN105" i="58411"/>
  <c r="AN137" i="58411" s="1"/>
  <c r="AM137" i="58411"/>
  <c r="AN59" i="58411"/>
  <c r="AN402" i="58411"/>
  <c r="AN415" i="58411" s="1"/>
  <c r="AN54" i="58411"/>
  <c r="AM391" i="58411"/>
  <c r="AN34" i="58411"/>
  <c r="AM66" i="58411"/>
  <c r="AM72" i="58411" s="1"/>
  <c r="AM73" i="58411" s="1"/>
  <c r="AM74" i="58411" s="1"/>
  <c r="AM38" i="58411"/>
  <c r="AN794" i="58411"/>
  <c r="AN96" i="58438" s="1"/>
  <c r="AL143" i="58411"/>
  <c r="AL144" i="58411" s="1"/>
  <c r="AL145" i="58411" s="1"/>
  <c r="AN317" i="58411"/>
  <c r="AN349" i="58411" s="1"/>
  <c r="AM349" i="58411"/>
  <c r="AN177" i="58411"/>
  <c r="AN209" i="58411" s="1"/>
  <c r="AM209" i="58411"/>
  <c r="AM938" i="58411"/>
  <c r="AN106" i="58411"/>
  <c r="AN138" i="58411" s="1"/>
  <c r="AM138" i="58411"/>
  <c r="AN246" i="58411"/>
  <c r="AM278" i="58411"/>
  <c r="AM390" i="58411"/>
  <c r="AM251" i="58411"/>
  <c r="AN488" i="58411"/>
  <c r="AN489" i="58411" s="1"/>
  <c r="AN490" i="58411" s="1"/>
  <c r="BB331" i="6"/>
  <c r="AO332" i="6"/>
  <c r="AO334" i="6"/>
  <c r="BB334" i="6" s="1"/>
  <c r="AO335" i="6"/>
  <c r="BB335" i="6" s="1"/>
  <c r="AN857" i="58411"/>
  <c r="AN18" i="58438" s="1"/>
  <c r="AN923" i="58411"/>
  <c r="AN921" i="58411"/>
  <c r="AQ391" i="6"/>
  <c r="BD391" i="6" s="1"/>
  <c r="AN249" i="58411"/>
  <c r="AN281" i="58411" s="1"/>
  <c r="AM281" i="58411"/>
  <c r="AN931" i="58411"/>
  <c r="AL935" i="58411"/>
  <c r="AL937" i="58411"/>
  <c r="AL938" i="58411"/>
  <c r="BB309" i="6"/>
  <c r="AO312" i="6"/>
  <c r="BB312" i="6" s="1"/>
  <c r="AO311" i="6"/>
  <c r="AN248" i="58411"/>
  <c r="AN280" i="58411" s="1"/>
  <c r="AM280" i="58411"/>
  <c r="AN315" i="58411"/>
  <c r="AM322" i="58411"/>
  <c r="AM347" i="58411"/>
  <c r="AM388" i="58411"/>
  <c r="AM393" i="58411"/>
  <c r="AN36" i="58411"/>
  <c r="AM937" i="58411"/>
  <c r="AN97" i="58411"/>
  <c r="AM129" i="58411"/>
  <c r="AM109" i="58411"/>
  <c r="AM383" i="58411"/>
  <c r="AL936" i="58411"/>
  <c r="AN817" i="58411"/>
  <c r="AM936" i="58411"/>
  <c r="BB384" i="6"/>
  <c r="AO386" i="6"/>
  <c r="BB386" i="6" s="1"/>
  <c r="AO393" i="6"/>
  <c r="BB393" i="6" s="1"/>
  <c r="AN930" i="58411"/>
  <c r="AP384" i="6"/>
  <c r="AN319" i="58411"/>
  <c r="AN351" i="58411" s="1"/>
  <c r="AM351" i="58411"/>
  <c r="AN179" i="58411"/>
  <c r="AM394" i="58411"/>
  <c r="AM211" i="58411"/>
  <c r="AN250" i="58411"/>
  <c r="AN282" i="58411" s="1"/>
  <c r="AM282" i="58411"/>
  <c r="AN929" i="58411"/>
  <c r="AN107" i="58411"/>
  <c r="AN139" i="58411" s="1"/>
  <c r="AM139" i="58411"/>
  <c r="AP309" i="6"/>
  <c r="AP331" i="6"/>
  <c r="AP332" i="6" s="1"/>
  <c r="BC332" i="6" s="1"/>
  <c r="AN320" i="58411"/>
  <c r="AN352" i="58411" s="1"/>
  <c r="AM352" i="58411"/>
  <c r="AH340" i="6"/>
  <c r="K242" i="6"/>
  <c r="AV242" i="6" s="1"/>
  <c r="AV240" i="6"/>
  <c r="P241" i="6"/>
  <c r="AW241" i="6" s="1"/>
  <c r="AN247" i="58411"/>
  <c r="AN279" i="58411" s="1"/>
  <c r="AM279" i="58411"/>
  <c r="AL397" i="58411"/>
  <c r="E349" i="6"/>
  <c r="E344" i="6" s="1"/>
  <c r="AT344" i="6" s="1"/>
  <c r="AT348" i="6"/>
  <c r="AN321" i="58411"/>
  <c r="AN353" i="58411" s="1"/>
  <c r="AM353" i="58411"/>
  <c r="AM329" i="6"/>
  <c r="AM328" i="6"/>
  <c r="AM336" i="6"/>
  <c r="AL285" i="58411"/>
  <c r="AL286" i="58411" s="1"/>
  <c r="AL287" i="58411" s="1"/>
  <c r="AN176" i="58411"/>
  <c r="AM180" i="58411"/>
  <c r="AM208" i="58411"/>
  <c r="AM392" i="58411"/>
  <c r="AN35" i="58411"/>
  <c r="AN318" i="58411"/>
  <c r="AN350" i="58411" s="1"/>
  <c r="AM350" i="58411"/>
  <c r="AN178" i="58411"/>
  <c r="AN210" i="58411" s="1"/>
  <c r="AM210" i="58411"/>
  <c r="AL356" i="58411"/>
  <c r="AL357" i="58411" s="1"/>
  <c r="AL358" i="58411" s="1"/>
  <c r="AN327" i="6"/>
  <c r="AK417" i="58411"/>
  <c r="AK418" i="58411" s="1"/>
  <c r="AK419" i="58411" s="1"/>
  <c r="AT402" i="6"/>
  <c r="E409" i="6"/>
  <c r="AT409" i="6" s="1"/>
  <c r="E396" i="6"/>
  <c r="AT396" i="6" s="1"/>
  <c r="AL401" i="6"/>
  <c r="Y403" i="6"/>
  <c r="K319" i="6"/>
  <c r="IL683" i="58479" s="1"/>
  <c r="K320" i="6"/>
  <c r="IL684" i="58479" s="1"/>
  <c r="K401" i="6"/>
  <c r="AX400" i="6"/>
  <c r="U403" i="6"/>
  <c r="AX403" i="6" s="1"/>
  <c r="K321" i="6"/>
  <c r="IL685" i="58479" s="1"/>
  <c r="K318" i="6"/>
  <c r="IL682" i="58479" s="1"/>
  <c r="AV177" i="6"/>
  <c r="K179" i="6"/>
  <c r="K178" i="6"/>
  <c r="AV178" i="6" s="1"/>
  <c r="AX318" i="6"/>
  <c r="S350" i="6"/>
  <c r="BB528" i="6"/>
  <c r="AO539" i="6"/>
  <c r="BB539" i="6" s="1"/>
  <c r="AO167" i="6"/>
  <c r="BB167" i="6" s="1"/>
  <c r="T350" i="6"/>
  <c r="AZ177" i="6"/>
  <c r="AE179" i="6"/>
  <c r="AE178" i="6"/>
  <c r="AZ178" i="6" s="1"/>
  <c r="AQ655" i="6"/>
  <c r="BD651" i="6"/>
  <c r="AQ607" i="6"/>
  <c r="N356" i="6"/>
  <c r="N373" i="6"/>
  <c r="K347" i="6"/>
  <c r="K349" i="6" s="1"/>
  <c r="K344" i="6" s="1"/>
  <c r="AV344" i="6" s="1"/>
  <c r="I349" i="6"/>
  <c r="N352" i="6" s="1"/>
  <c r="G349" i="6"/>
  <c r="U347" i="6"/>
  <c r="Q349" i="6"/>
  <c r="Q344" i="6" s="1"/>
  <c r="Q351" i="6"/>
  <c r="K351" i="6"/>
  <c r="AV351" i="6" s="1"/>
  <c r="AV348" i="6"/>
  <c r="X347" i="6"/>
  <c r="P321" i="6"/>
  <c r="IM685" i="58479" s="1"/>
  <c r="Z318" i="6"/>
  <c r="IO682" i="58479" s="1"/>
  <c r="S404" i="6"/>
  <c r="S402" i="6"/>
  <c r="S397" i="6" s="1"/>
  <c r="AW318" i="6"/>
  <c r="J356" i="6"/>
  <c r="J373" i="6"/>
  <c r="J343" i="6"/>
  <c r="P179" i="6"/>
  <c r="P178" i="6"/>
  <c r="AW178" i="6" s="1"/>
  <c r="AW177" i="6"/>
  <c r="U713" i="6"/>
  <c r="Q715" i="6"/>
  <c r="BC607" i="6"/>
  <c r="AP606" i="6"/>
  <c r="BC606" i="6" s="1"/>
  <c r="AP528" i="6"/>
  <c r="AP610" i="6"/>
  <c r="L23" i="58482" s="1"/>
  <c r="N404" i="6"/>
  <c r="N402" i="6"/>
  <c r="AM401" i="6"/>
  <c r="AB347" i="6"/>
  <c r="AM351" i="6"/>
  <c r="X403" i="6"/>
  <c r="AF350" i="6"/>
  <c r="O404" i="6"/>
  <c r="O402" i="6"/>
  <c r="O397" i="6" s="1"/>
  <c r="AO320" i="6"/>
  <c r="BB320" i="6" s="1"/>
  <c r="AK404" i="6"/>
  <c r="P348" i="6"/>
  <c r="Q402" i="6"/>
  <c r="Q397" i="6" s="1"/>
  <c r="Q404" i="6"/>
  <c r="O351" i="6"/>
  <c r="O349" i="6"/>
  <c r="O344" i="6" s="1"/>
  <c r="H402" i="6"/>
  <c r="H397" i="6" s="1"/>
  <c r="M402" i="6"/>
  <c r="M397" i="6" s="1"/>
  <c r="M404" i="6"/>
  <c r="F551" i="6"/>
  <c r="AU545" i="6"/>
  <c r="K544" i="6"/>
  <c r="G544" i="6"/>
  <c r="G545" i="6" s="1"/>
  <c r="H544" i="6" s="1"/>
  <c r="H545" i="6" s="1"/>
  <c r="I544" i="6" s="1"/>
  <c r="I545" i="6" s="1"/>
  <c r="J544" i="6" s="1"/>
  <c r="J545" i="6" s="1"/>
  <c r="AU349" i="6"/>
  <c r="F356" i="6"/>
  <c r="AU356" i="6" s="1"/>
  <c r="F373" i="6"/>
  <c r="AU373" i="6" s="1"/>
  <c r="F343" i="6"/>
  <c r="AU343" i="6" s="1"/>
  <c r="AF402" i="6"/>
  <c r="M349" i="6"/>
  <c r="M344" i="6" s="1"/>
  <c r="M351" i="6"/>
  <c r="I396" i="6"/>
  <c r="BB610" i="6"/>
  <c r="AX177" i="6"/>
  <c r="U179" i="6"/>
  <c r="U178" i="6"/>
  <c r="AX178" i="6" s="1"/>
  <c r="W350" i="6"/>
  <c r="Y347" i="6"/>
  <c r="R351" i="6"/>
  <c r="R349" i="6"/>
  <c r="P320" i="6"/>
  <c r="IM684" i="58479" s="1"/>
  <c r="AB403" i="6"/>
  <c r="S351" i="6"/>
  <c r="S349" i="6"/>
  <c r="AF403" i="6"/>
  <c r="R401" i="6"/>
  <c r="P319" i="6"/>
  <c r="IM683" i="58479" s="1"/>
  <c r="AO699" i="6"/>
  <c r="BB699" i="6" s="1"/>
  <c r="BB562" i="6"/>
  <c r="AP562" i="6"/>
  <c r="L409" i="6"/>
  <c r="L405" i="6"/>
  <c r="L396" i="6"/>
  <c r="J402" i="6"/>
  <c r="J397" i="6" s="1"/>
  <c r="Z178" i="6"/>
  <c r="AY178" i="6" s="1"/>
  <c r="I397" i="6"/>
  <c r="H373" i="6"/>
  <c r="H356" i="6"/>
  <c r="H343" i="6"/>
  <c r="N344" i="6"/>
  <c r="BC655" i="6"/>
  <c r="AP581" i="6"/>
  <c r="BC581" i="6" s="1"/>
  <c r="AF340" i="6"/>
  <c r="AF348" i="6"/>
  <c r="AK351" i="6" s="1"/>
  <c r="N403" i="6"/>
  <c r="AU402" i="6"/>
  <c r="F405" i="6"/>
  <c r="AU405" i="6" s="1"/>
  <c r="F409" i="6"/>
  <c r="AU409" i="6" s="1"/>
  <c r="F396" i="6"/>
  <c r="AU396" i="6" s="1"/>
  <c r="L349" i="6"/>
  <c r="L344" i="6" s="1"/>
  <c r="L351" i="6"/>
  <c r="T401" i="6"/>
  <c r="AD400" i="6"/>
  <c r="AD364" i="6"/>
  <c r="M340" i="6"/>
  <c r="Q340" i="6"/>
  <c r="S340" i="6"/>
  <c r="AB365" i="6"/>
  <c r="AB366" i="6" s="1"/>
  <c r="V348" i="6"/>
  <c r="AC365" i="6"/>
  <c r="W348" i="6"/>
  <c r="AC400" i="6"/>
  <c r="V401" i="6"/>
  <c r="X348" i="6"/>
  <c r="N340" i="6"/>
  <c r="AE400" i="6"/>
  <c r="W401" i="6"/>
  <c r="T348" i="6"/>
  <c r="X401" i="6"/>
  <c r="L340" i="6"/>
  <c r="AG400" i="6"/>
  <c r="AG347" i="6"/>
  <c r="AK400" i="6"/>
  <c r="AK347" i="6"/>
  <c r="AK350" i="6" s="1"/>
  <c r="P401" i="6"/>
  <c r="Z400" i="6"/>
  <c r="AN392" i="58411" l="1"/>
  <c r="AF397" i="6"/>
  <c r="AF415" i="6"/>
  <c r="AP205" i="6"/>
  <c r="BC205" i="6" s="1"/>
  <c r="BC202" i="6"/>
  <c r="F352" i="6"/>
  <c r="AU352" i="6" s="1"/>
  <c r="M101" i="58511"/>
  <c r="M110" i="58511" s="1"/>
  <c r="M116" i="58511" s="1"/>
  <c r="M119" i="58511" s="1"/>
  <c r="M45" i="58511"/>
  <c r="M129" i="58511"/>
  <c r="M149" i="58511" s="1"/>
  <c r="L65" i="58511"/>
  <c r="L72" i="58511" s="1"/>
  <c r="L81" i="58511" s="1"/>
  <c r="L84" i="58511" s="1"/>
  <c r="L86" i="58511" s="1"/>
  <c r="M65" i="58511"/>
  <c r="M72" i="58511" s="1"/>
  <c r="M81" i="58511" s="1"/>
  <c r="M84" i="58511" s="1"/>
  <c r="AM445" i="58438"/>
  <c r="AM469" i="58438"/>
  <c r="AN469" i="58438"/>
  <c r="AM444" i="58438"/>
  <c r="AM441" i="58438"/>
  <c r="AM446" i="58438"/>
  <c r="AM447" i="58438"/>
  <c r="AM448" i="58438"/>
  <c r="AN410" i="58438"/>
  <c r="AM840" i="58411"/>
  <c r="AN326" i="58438"/>
  <c r="AN98" i="58438" s="1"/>
  <c r="AN100" i="58438" s="1"/>
  <c r="AK65" i="58438"/>
  <c r="AN459" i="58438"/>
  <c r="AN58" i="58438" s="1"/>
  <c r="AM940" i="58411"/>
  <c r="AN377" i="58438"/>
  <c r="AN432" i="58438"/>
  <c r="AP203" i="6"/>
  <c r="BC203" i="6" s="1"/>
  <c r="AM15" i="58438"/>
  <c r="Q9" i="58471" s="1"/>
  <c r="AM31" i="58438"/>
  <c r="AN837" i="58411"/>
  <c r="AN838" i="58411" s="1"/>
  <c r="AN839" i="58411" s="1"/>
  <c r="AF396" i="6"/>
  <c r="L129" i="58511"/>
  <c r="L149" i="58511" s="1"/>
  <c r="L45" i="58511"/>
  <c r="L101" i="58511"/>
  <c r="L110" i="58511" s="1"/>
  <c r="L116" i="58511" s="1"/>
  <c r="L123" i="58511" s="1"/>
  <c r="AG350" i="6"/>
  <c r="AM54" i="58438"/>
  <c r="K85" i="58511"/>
  <c r="K86" i="58511"/>
  <c r="K124" i="58511"/>
  <c r="K170" i="58511"/>
  <c r="AK54" i="58438"/>
  <c r="J90" i="58511"/>
  <c r="J92" i="58511" s="1"/>
  <c r="J194" i="58511"/>
  <c r="J212" i="58511" s="1"/>
  <c r="CH271" i="58502"/>
  <c r="CH270" i="58502"/>
  <c r="CD273" i="58502"/>
  <c r="CP306" i="58502" s="1"/>
  <c r="CP305" i="58502"/>
  <c r="CH269" i="58502"/>
  <c r="AN77" i="58438"/>
  <c r="AM66" i="58438"/>
  <c r="AM397" i="58411"/>
  <c r="AP327" i="6" s="1"/>
  <c r="AL215" i="58438"/>
  <c r="DK363" i="58502"/>
  <c r="AN23" i="58438"/>
  <c r="AN26" i="58438" s="1"/>
  <c r="AN41" i="58438"/>
  <c r="AN797" i="58411"/>
  <c r="AQ202" i="6" s="1"/>
  <c r="AQ203" i="6" s="1"/>
  <c r="BD203" i="6" s="1"/>
  <c r="AN112" i="58438"/>
  <c r="AN72" i="58438" s="1"/>
  <c r="DL363" i="58502"/>
  <c r="AM76" i="58438"/>
  <c r="AL65" i="58438"/>
  <c r="I344" i="6"/>
  <c r="P340" i="6"/>
  <c r="AW340" i="6" s="1"/>
  <c r="R340" i="6"/>
  <c r="AM214" i="58411"/>
  <c r="AM215" i="58411" s="1"/>
  <c r="AM216" i="58411" s="1"/>
  <c r="AO327" i="6"/>
  <c r="AL417" i="58411"/>
  <c r="AL418" i="58411" s="1"/>
  <c r="AL419" i="58411" s="1"/>
  <c r="AN129" i="58411"/>
  <c r="AN143" i="58411" s="1"/>
  <c r="AN109" i="58411"/>
  <c r="AN383" i="58411"/>
  <c r="BB311" i="6"/>
  <c r="AO314" i="6"/>
  <c r="BB314" i="6" s="1"/>
  <c r="AM285" i="58411"/>
  <c r="AM286" i="58411" s="1"/>
  <c r="AM287" i="58411" s="1"/>
  <c r="AN322" i="58411"/>
  <c r="AN347" i="58411"/>
  <c r="AN356" i="58411" s="1"/>
  <c r="AN388" i="58411"/>
  <c r="AN278" i="58411"/>
  <c r="AN285" i="58411" s="1"/>
  <c r="AN390" i="58411"/>
  <c r="AN251" i="58411"/>
  <c r="AN180" i="58411"/>
  <c r="AN208" i="58411"/>
  <c r="BC331" i="6"/>
  <c r="AP334" i="6"/>
  <c r="BC334" i="6" s="1"/>
  <c r="AP335" i="6"/>
  <c r="BC335" i="6" s="1"/>
  <c r="AN933" i="58411"/>
  <c r="AN935" i="58411" s="1"/>
  <c r="AN393" i="58411"/>
  <c r="AL940" i="58411"/>
  <c r="AN858" i="58411"/>
  <c r="AN863" i="58411"/>
  <c r="AN864" i="58411" s="1"/>
  <c r="AP333" i="6"/>
  <c r="BC333" i="6" s="1"/>
  <c r="BB332" i="6"/>
  <c r="AO333" i="6"/>
  <c r="BB333" i="6" s="1"/>
  <c r="AN391" i="58411"/>
  <c r="AN66" i="58411"/>
  <c r="AN72" i="58411" s="1"/>
  <c r="AN73" i="58411" s="1"/>
  <c r="AN74" i="58411" s="1"/>
  <c r="AN38" i="58411"/>
  <c r="AN329" i="6"/>
  <c r="AN328" i="6"/>
  <c r="AO328" i="6" s="1"/>
  <c r="BB328" i="6" s="1"/>
  <c r="AN336" i="6"/>
  <c r="AT349" i="6"/>
  <c r="E356" i="6"/>
  <c r="AT356" i="6" s="1"/>
  <c r="E373" i="6"/>
  <c r="AT373" i="6" s="1"/>
  <c r="E343" i="6"/>
  <c r="AT343" i="6" s="1"/>
  <c r="BC309" i="6"/>
  <c r="AP312" i="6"/>
  <c r="BC312" i="6" s="1"/>
  <c r="AP311" i="6"/>
  <c r="AN394" i="58411"/>
  <c r="AN211" i="58411"/>
  <c r="AP386" i="6"/>
  <c r="BC386" i="6" s="1"/>
  <c r="BC384" i="6"/>
  <c r="AP385" i="6"/>
  <c r="BC385" i="6" s="1"/>
  <c r="AP393" i="6"/>
  <c r="BC393" i="6" s="1"/>
  <c r="AQ309" i="6"/>
  <c r="AQ331" i="6"/>
  <c r="AQ332" i="6" s="1"/>
  <c r="AM143" i="58411"/>
  <c r="AM144" i="58411" s="1"/>
  <c r="AM145" i="58411" s="1"/>
  <c r="AM356" i="58411"/>
  <c r="AM357" i="58411" s="1"/>
  <c r="AM358" i="58411" s="1"/>
  <c r="AQ384" i="6"/>
  <c r="AB380" i="6"/>
  <c r="AB369" i="6"/>
  <c r="P402" i="6"/>
  <c r="P397" i="6" s="1"/>
  <c r="AW397" i="6" s="1"/>
  <c r="AW401" i="6"/>
  <c r="P404" i="6"/>
  <c r="AW404" i="6" s="1"/>
  <c r="AK403" i="6"/>
  <c r="K340" i="6"/>
  <c r="AV340" i="6" s="1"/>
  <c r="AC403" i="6"/>
  <c r="V351" i="6"/>
  <c r="V349" i="6"/>
  <c r="V344" i="6" s="1"/>
  <c r="AD403" i="6"/>
  <c r="S356" i="6"/>
  <c r="S373" i="6"/>
  <c r="S352" i="6"/>
  <c r="R352" i="6"/>
  <c r="R356" i="6"/>
  <c r="R373" i="6"/>
  <c r="R343" i="6"/>
  <c r="AV544" i="6"/>
  <c r="K545" i="6"/>
  <c r="AB350" i="6"/>
  <c r="AM404" i="6"/>
  <c r="N405" i="6"/>
  <c r="N409" i="6"/>
  <c r="N396" i="6"/>
  <c r="AX713" i="6"/>
  <c r="AY318" i="6"/>
  <c r="G356" i="6"/>
  <c r="G373" i="6"/>
  <c r="G343" i="6"/>
  <c r="AQ610" i="6"/>
  <c r="M23" i="58482" s="1"/>
  <c r="BD607" i="6"/>
  <c r="AQ528" i="6"/>
  <c r="AQ606" i="6"/>
  <c r="BD606" i="6" s="1"/>
  <c r="AV321" i="6"/>
  <c r="O340" i="6"/>
  <c r="AY400" i="6"/>
  <c r="Z403" i="6"/>
  <c r="AY403" i="6" s="1"/>
  <c r="AG403" i="6"/>
  <c r="T349" i="6"/>
  <c r="T344" i="6" s="1"/>
  <c r="T351" i="6"/>
  <c r="W404" i="6"/>
  <c r="W402" i="6"/>
  <c r="W397" i="6" s="1"/>
  <c r="W351" i="6"/>
  <c r="W349" i="6"/>
  <c r="W344" i="6" s="1"/>
  <c r="Z347" i="6"/>
  <c r="T402" i="6"/>
  <c r="T397" i="6" s="1"/>
  <c r="T404" i="6"/>
  <c r="L373" i="6"/>
  <c r="L352" i="6"/>
  <c r="L356" i="6"/>
  <c r="L343" i="6"/>
  <c r="J409" i="6"/>
  <c r="J396" i="6"/>
  <c r="M352" i="6"/>
  <c r="M356" i="6"/>
  <c r="M373" i="6"/>
  <c r="M343" i="6"/>
  <c r="AF409" i="6"/>
  <c r="M409" i="6"/>
  <c r="M405" i="6"/>
  <c r="M396" i="6"/>
  <c r="O356" i="6"/>
  <c r="O373" i="6"/>
  <c r="O352" i="6"/>
  <c r="O343" i="6"/>
  <c r="Q409" i="6"/>
  <c r="Q405" i="6"/>
  <c r="Q396" i="6"/>
  <c r="AW321" i="6"/>
  <c r="AX347" i="6"/>
  <c r="U350" i="6"/>
  <c r="AX350" i="6" s="1"/>
  <c r="I356" i="6"/>
  <c r="I373" i="6"/>
  <c r="I343" i="6"/>
  <c r="AE318" i="6"/>
  <c r="IP682" i="58479" s="1"/>
  <c r="V404" i="6"/>
  <c r="V402" i="6"/>
  <c r="V397" i="6" s="1"/>
  <c r="AC364" i="6"/>
  <c r="AD347" i="6"/>
  <c r="AP699" i="6"/>
  <c r="BC699" i="6" s="1"/>
  <c r="BC562" i="6"/>
  <c r="AQ562" i="6"/>
  <c r="AW319" i="6"/>
  <c r="AW320" i="6"/>
  <c r="F614" i="6"/>
  <c r="D24" i="58482" s="1"/>
  <c r="D25" i="58482" s="1"/>
  <c r="D27" i="58482" s="1"/>
  <c r="AU551" i="6"/>
  <c r="F559" i="6"/>
  <c r="P349" i="6"/>
  <c r="AW348" i="6"/>
  <c r="P351" i="6"/>
  <c r="AW351" i="6" s="1"/>
  <c r="AK402" i="6"/>
  <c r="AK396" i="6" s="1"/>
  <c r="O409" i="6"/>
  <c r="O405" i="6"/>
  <c r="O396" i="6"/>
  <c r="BC610" i="6"/>
  <c r="X350" i="6"/>
  <c r="BD655" i="6"/>
  <c r="AQ581" i="6"/>
  <c r="BD581" i="6" s="1"/>
  <c r="AG402" i="6"/>
  <c r="S343" i="6"/>
  <c r="AV318" i="6"/>
  <c r="AV320" i="6"/>
  <c r="AV319" i="6"/>
  <c r="AL404" i="6"/>
  <c r="X402" i="6"/>
  <c r="X397" i="6" s="1"/>
  <c r="X404" i="6"/>
  <c r="AE403" i="6"/>
  <c r="AZ403" i="6" s="1"/>
  <c r="AZ400" i="6"/>
  <c r="X349" i="6"/>
  <c r="X344" i="6" s="1"/>
  <c r="X351" i="6"/>
  <c r="AC347" i="6"/>
  <c r="AF349" i="6"/>
  <c r="R404" i="6"/>
  <c r="R402" i="6"/>
  <c r="R397" i="6" s="1"/>
  <c r="S344" i="6"/>
  <c r="R344" i="6"/>
  <c r="Y350" i="6"/>
  <c r="H409" i="6"/>
  <c r="H396" i="6"/>
  <c r="AK349" i="6"/>
  <c r="N397" i="6"/>
  <c r="AP539" i="6"/>
  <c r="BC539" i="6" s="1"/>
  <c r="BC528" i="6"/>
  <c r="AP167" i="6"/>
  <c r="BC167" i="6" s="1"/>
  <c r="Q716" i="6"/>
  <c r="R713" i="6" s="1"/>
  <c r="S409" i="6"/>
  <c r="S405" i="6"/>
  <c r="S396" i="6"/>
  <c r="K373" i="6"/>
  <c r="AV373" i="6" s="1"/>
  <c r="AV349" i="6"/>
  <c r="K352" i="6"/>
  <c r="AV352" i="6" s="1"/>
  <c r="K356" i="6"/>
  <c r="AV356" i="6" s="1"/>
  <c r="Q352" i="6"/>
  <c r="Q356" i="6"/>
  <c r="Q373" i="6"/>
  <c r="Q343" i="6"/>
  <c r="G344" i="6"/>
  <c r="K350" i="6"/>
  <c r="AV350" i="6" s="1"/>
  <c r="K343" i="6"/>
  <c r="AV343" i="6" s="1"/>
  <c r="AV347" i="6"/>
  <c r="P350" i="6"/>
  <c r="AW350" i="6" s="1"/>
  <c r="K404" i="6"/>
  <c r="AV404" i="6" s="1"/>
  <c r="K402" i="6"/>
  <c r="K397" i="6" s="1"/>
  <c r="AV397" i="6" s="1"/>
  <c r="AV401" i="6"/>
  <c r="Z348" i="6"/>
  <c r="AA348" i="6"/>
  <c r="Y401" i="6"/>
  <c r="AH400" i="6"/>
  <c r="AH347" i="6"/>
  <c r="AC401" i="6"/>
  <c r="AB348" i="6"/>
  <c r="AP400" i="6"/>
  <c r="AP347" i="6"/>
  <c r="AM340" i="6"/>
  <c r="AA401" i="6"/>
  <c r="U348" i="6"/>
  <c r="AA365" i="6"/>
  <c r="Y348" i="6"/>
  <c r="AB401" i="6"/>
  <c r="AL340" i="6"/>
  <c r="AL400" i="6"/>
  <c r="AL402" i="6" s="1"/>
  <c r="AL347" i="6"/>
  <c r="AK340" i="6"/>
  <c r="AD365" i="6"/>
  <c r="AD366" i="6" s="1"/>
  <c r="AC348" i="6"/>
  <c r="AI400" i="6"/>
  <c r="AG396" i="6" l="1"/>
  <c r="AG415" i="6"/>
  <c r="AF344" i="6"/>
  <c r="AG344" i="6" s="1"/>
  <c r="AG343" i="6" s="1"/>
  <c r="AF361" i="6"/>
  <c r="AK356" i="6" s="1"/>
  <c r="L85" i="58511"/>
  <c r="M86" i="58511"/>
  <c r="J94" i="58511"/>
  <c r="L34" i="58483"/>
  <c r="L36" i="58483" s="1"/>
  <c r="L38" i="58483" s="1"/>
  <c r="M123" i="58511"/>
  <c r="M124" i="58511" s="1"/>
  <c r="L119" i="58511"/>
  <c r="M85" i="58511"/>
  <c r="AM326" i="58438"/>
  <c r="AN840" i="58411"/>
  <c r="AN938" i="58411"/>
  <c r="AM215" i="58438"/>
  <c r="AN936" i="58411"/>
  <c r="AP328" i="6"/>
  <c r="BC328" i="6" s="1"/>
  <c r="BC327" i="6"/>
  <c r="AP329" i="6"/>
  <c r="BC329" i="6" s="1"/>
  <c r="AP336" i="6"/>
  <c r="BC336" i="6" s="1"/>
  <c r="AM417" i="58411"/>
  <c r="AM418" i="58411" s="1"/>
  <c r="AM419" i="58411" s="1"/>
  <c r="BD202" i="6"/>
  <c r="AQ204" i="6"/>
  <c r="BD204" i="6" s="1"/>
  <c r="AQ205" i="6"/>
  <c r="BD205" i="6" s="1"/>
  <c r="AN66" i="58438"/>
  <c r="CP342" i="58502"/>
  <c r="CN327" i="58502"/>
  <c r="K174" i="58511"/>
  <c r="K177" i="58511" s="1"/>
  <c r="K180" i="58511" s="1"/>
  <c r="K205" i="58511"/>
  <c r="CH273" i="58502"/>
  <c r="CP307" i="58502" s="1"/>
  <c r="L170" i="58511"/>
  <c r="L174" i="58511" s="1"/>
  <c r="L177" i="58511" s="1"/>
  <c r="L124" i="58511"/>
  <c r="CO342" i="58502"/>
  <c r="CN326" i="58502"/>
  <c r="AN357" i="58411"/>
  <c r="AN358" i="58411" s="1"/>
  <c r="DO367" i="58502"/>
  <c r="DO396" i="58502"/>
  <c r="DO365" i="58502"/>
  <c r="DO387" i="58502"/>
  <c r="DO366" i="58502"/>
  <c r="DK369" i="58502"/>
  <c r="DO369" i="58502" s="1"/>
  <c r="DO378" i="58502"/>
  <c r="AN46" i="58438"/>
  <c r="AN49" i="58438" s="1"/>
  <c r="DP366" i="58502"/>
  <c r="DP396" i="58502"/>
  <c r="DP367" i="58502"/>
  <c r="DP365" i="58502"/>
  <c r="DL369" i="58502"/>
  <c r="DP369" i="58502" s="1"/>
  <c r="DP378" i="58502"/>
  <c r="DP387" i="58502"/>
  <c r="AN28" i="58438"/>
  <c r="AN29" i="58438"/>
  <c r="AN30" i="58438"/>
  <c r="AN27" i="58438"/>
  <c r="BD309" i="6"/>
  <c r="AQ312" i="6"/>
  <c r="BD312" i="6" s="1"/>
  <c r="AQ311" i="6"/>
  <c r="AO329" i="6"/>
  <c r="BB329" i="6" s="1"/>
  <c r="BB327" i="6"/>
  <c r="AO336" i="6"/>
  <c r="BB336" i="6" s="1"/>
  <c r="BD384" i="6"/>
  <c r="AQ385" i="6"/>
  <c r="BD385" i="6" s="1"/>
  <c r="AQ386" i="6"/>
  <c r="BD386" i="6" s="1"/>
  <c r="AQ393" i="6"/>
  <c r="BD393" i="6" s="1"/>
  <c r="AQ333" i="6"/>
  <c r="BD333" i="6" s="1"/>
  <c r="BD332" i="6"/>
  <c r="AN144" i="58411"/>
  <c r="AN145" i="58411" s="1"/>
  <c r="AQ335" i="6"/>
  <c r="BD335" i="6" s="1"/>
  <c r="AQ334" i="6"/>
  <c r="BD334" i="6" s="1"/>
  <c r="BD331" i="6"/>
  <c r="BC311" i="6"/>
  <c r="AP314" i="6"/>
  <c r="BC314" i="6" s="1"/>
  <c r="AN214" i="58411"/>
  <c r="AN215" i="58411" s="1"/>
  <c r="AN216" i="58411" s="1"/>
  <c r="AN286" i="58411"/>
  <c r="AN287" i="58411" s="1"/>
  <c r="AN937" i="58411"/>
  <c r="AN397" i="58411"/>
  <c r="AH344" i="6"/>
  <c r="AL405" i="6"/>
  <c r="AL397" i="6"/>
  <c r="AE365" i="6"/>
  <c r="AA366" i="6"/>
  <c r="U349" i="6"/>
  <c r="U344" i="6" s="1"/>
  <c r="AX344" i="6" s="1"/>
  <c r="AX348" i="6"/>
  <c r="U351" i="6"/>
  <c r="AX351" i="6" s="1"/>
  <c r="AA404" i="6"/>
  <c r="AA402" i="6"/>
  <c r="AA397" i="6" s="1"/>
  <c r="AF404" i="6"/>
  <c r="Y402" i="6"/>
  <c r="Y397" i="6" s="1"/>
  <c r="Y404" i="6"/>
  <c r="AW349" i="6"/>
  <c r="P352" i="6"/>
  <c r="AW352" i="6" s="1"/>
  <c r="P373" i="6"/>
  <c r="AW373" i="6" s="1"/>
  <c r="P356" i="6"/>
  <c r="AW356" i="6" s="1"/>
  <c r="P343" i="6"/>
  <c r="AW343" i="6" s="1"/>
  <c r="AI347" i="6"/>
  <c r="AI350" i="6" s="1"/>
  <c r="W340" i="6"/>
  <c r="AH403" i="6"/>
  <c r="AH402" i="6"/>
  <c r="AH415" i="6" s="1"/>
  <c r="AG348" i="6"/>
  <c r="R715" i="6"/>
  <c r="R716" i="6" s="1"/>
  <c r="S713" i="6" s="1"/>
  <c r="X373" i="6"/>
  <c r="X352" i="6"/>
  <c r="X356" i="6"/>
  <c r="AC366" i="6"/>
  <c r="AE364" i="6"/>
  <c r="T409" i="6"/>
  <c r="T405" i="6"/>
  <c r="T396" i="6"/>
  <c r="W356" i="6"/>
  <c r="W373" i="6"/>
  <c r="W352" i="6"/>
  <c r="W343" i="6"/>
  <c r="W409" i="6"/>
  <c r="W405" i="6"/>
  <c r="W396" i="6"/>
  <c r="AL350" i="6"/>
  <c r="AL349" i="6"/>
  <c r="AB402" i="6"/>
  <c r="AB397" i="6" s="1"/>
  <c r="AB404" i="6"/>
  <c r="AG404" i="6"/>
  <c r="Y349" i="6"/>
  <c r="Y344" i="6" s="1"/>
  <c r="Y351" i="6"/>
  <c r="AA351" i="6"/>
  <c r="AA349" i="6"/>
  <c r="AA344" i="6" s="1"/>
  <c r="AZ318" i="6"/>
  <c r="AC349" i="6"/>
  <c r="AC344" i="6" s="1"/>
  <c r="AC351" i="6"/>
  <c r="AH351" i="6"/>
  <c r="AE347" i="6"/>
  <c r="T340" i="6"/>
  <c r="U401" i="6"/>
  <c r="AK352" i="6"/>
  <c r="AK373" i="6"/>
  <c r="R405" i="6"/>
  <c r="R409" i="6"/>
  <c r="R396" i="6"/>
  <c r="AF373" i="6"/>
  <c r="AF356" i="6"/>
  <c r="AK354" i="6" s="1"/>
  <c r="AK360" i="6" s="1"/>
  <c r="AK361" i="6" s="1"/>
  <c r="AF343" i="6"/>
  <c r="X343" i="6"/>
  <c r="P344" i="6"/>
  <c r="AW344" i="6" s="1"/>
  <c r="AU614" i="6"/>
  <c r="F616" i="6"/>
  <c r="AD350" i="6"/>
  <c r="AY347" i="6"/>
  <c r="Z350" i="6"/>
  <c r="AY350" i="6" s="1"/>
  <c r="T373" i="6"/>
  <c r="T352" i="6"/>
  <c r="T356" i="6"/>
  <c r="T343" i="6"/>
  <c r="AQ539" i="6"/>
  <c r="BD539" i="6" s="1"/>
  <c r="BD528" i="6"/>
  <c r="AQ167" i="6"/>
  <c r="BD167" i="6" s="1"/>
  <c r="P409" i="6"/>
  <c r="AW409" i="6" s="1"/>
  <c r="AW402" i="6"/>
  <c r="P405" i="6"/>
  <c r="AW405" i="6" s="1"/>
  <c r="P396" i="6"/>
  <c r="AW396" i="6" s="1"/>
  <c r="BC347" i="6"/>
  <c r="AC402" i="6"/>
  <c r="AC397" i="6" s="1"/>
  <c r="AC404" i="6"/>
  <c r="AH404" i="6"/>
  <c r="AV402" i="6"/>
  <c r="K405" i="6"/>
  <c r="AV405" i="6" s="1"/>
  <c r="K409" i="6"/>
  <c r="AV409" i="6" s="1"/>
  <c r="K396" i="6"/>
  <c r="AV396" i="6" s="1"/>
  <c r="AD380" i="6"/>
  <c r="AD369" i="6"/>
  <c r="AG409" i="6"/>
  <c r="AL407" i="6" s="1"/>
  <c r="AG397" i="6"/>
  <c r="AK405" i="6"/>
  <c r="AK407" i="6"/>
  <c r="AK397" i="6"/>
  <c r="AQ699" i="6"/>
  <c r="BD699" i="6" s="1"/>
  <c r="BD562" i="6"/>
  <c r="AI403" i="6"/>
  <c r="AL403" i="6"/>
  <c r="AL396" i="6"/>
  <c r="BC400" i="6"/>
  <c r="AB349" i="6"/>
  <c r="AB344" i="6" s="1"/>
  <c r="AB351" i="6"/>
  <c r="AH350" i="6"/>
  <c r="AH349" i="6"/>
  <c r="AH361" i="6" s="1"/>
  <c r="AM356" i="6" s="1"/>
  <c r="AY348" i="6"/>
  <c r="Z351" i="6"/>
  <c r="AY351" i="6" s="1"/>
  <c r="Z349" i="6"/>
  <c r="Z343" i="6" s="1"/>
  <c r="AY343" i="6" s="1"/>
  <c r="AF351" i="6"/>
  <c r="AC350" i="6"/>
  <c r="X409" i="6"/>
  <c r="X405" i="6"/>
  <c r="X396" i="6"/>
  <c r="AU559" i="6"/>
  <c r="F572" i="6"/>
  <c r="V405" i="6"/>
  <c r="V409" i="6"/>
  <c r="V396" i="6"/>
  <c r="BD610" i="6"/>
  <c r="K551" i="6"/>
  <c r="AV545" i="6"/>
  <c r="P544" i="6"/>
  <c r="L544" i="6"/>
  <c r="L545" i="6" s="1"/>
  <c r="M544" i="6" s="1"/>
  <c r="M545" i="6" s="1"/>
  <c r="N544" i="6" s="1"/>
  <c r="N545" i="6" s="1"/>
  <c r="O544" i="6" s="1"/>
  <c r="O545" i="6" s="1"/>
  <c r="V352" i="6"/>
  <c r="V356" i="6"/>
  <c r="V373" i="6"/>
  <c r="V343" i="6"/>
  <c r="AN400" i="6"/>
  <c r="AD348" i="6"/>
  <c r="Z401" i="6"/>
  <c r="AE401" i="6"/>
  <c r="AQ400" i="6"/>
  <c r="AM347" i="6"/>
  <c r="V340" i="6"/>
  <c r="AD401" i="6"/>
  <c r="AJ400" i="6"/>
  <c r="X340" i="6"/>
  <c r="AL414" i="6" l="1"/>
  <c r="AL415" i="6" s="1"/>
  <c r="AL408" i="6"/>
  <c r="AK414" i="6"/>
  <c r="AK415" i="6" s="1"/>
  <c r="AK408" i="6"/>
  <c r="M170" i="58511"/>
  <c r="M174" i="58511" s="1"/>
  <c r="M177" i="58511" s="1"/>
  <c r="AC343" i="6"/>
  <c r="AM324" i="58438"/>
  <c r="AM325" i="58438" s="1"/>
  <c r="AM98" i="58438"/>
  <c r="AM100" i="58438" s="1"/>
  <c r="AN940" i="58411"/>
  <c r="AN31" i="58438"/>
  <c r="Z344" i="6"/>
  <c r="AY344" i="6" s="1"/>
  <c r="K209" i="58511"/>
  <c r="K211" i="58511" s="1"/>
  <c r="L205" i="58511"/>
  <c r="CO326" i="58502"/>
  <c r="L178" i="58511"/>
  <c r="L180" i="58511" s="1"/>
  <c r="K183" i="58511"/>
  <c r="AN15" i="58438"/>
  <c r="AN52" i="58438"/>
  <c r="AN51" i="58438"/>
  <c r="AN53" i="58438"/>
  <c r="AN50" i="58438"/>
  <c r="AE366" i="6"/>
  <c r="AE369" i="6" s="1"/>
  <c r="AF352" i="6"/>
  <c r="AQ327" i="6"/>
  <c r="AN417" i="58411"/>
  <c r="AN418" i="58411" s="1"/>
  <c r="AN419" i="58411" s="1"/>
  <c r="AG405" i="6"/>
  <c r="BD311" i="6"/>
  <c r="AQ314" i="6"/>
  <c r="BD314" i="6" s="1"/>
  <c r="AL278" i="6"/>
  <c r="AL285" i="6" s="1"/>
  <c r="AK275" i="6"/>
  <c r="S715" i="6"/>
  <c r="S716" i="6" s="1"/>
  <c r="T713" i="6" s="1"/>
  <c r="U340" i="6"/>
  <c r="AX340" i="6" s="1"/>
  <c r="AQ403" i="6"/>
  <c r="BD403" i="6" s="1"/>
  <c r="BD400" i="6"/>
  <c r="AE404" i="6"/>
  <c r="AZ404" i="6" s="1"/>
  <c r="AE402" i="6"/>
  <c r="AE397" i="6" s="1"/>
  <c r="AZ397" i="6" s="1"/>
  <c r="AZ401" i="6"/>
  <c r="AA340" i="6"/>
  <c r="Y340" i="6"/>
  <c r="K614" i="6"/>
  <c r="E24" i="58482" s="1"/>
  <c r="E25" i="58482" s="1"/>
  <c r="E27" i="58482" s="1"/>
  <c r="K559" i="6"/>
  <c r="AV551" i="6"/>
  <c r="AY349" i="6"/>
  <c r="Z352" i="6"/>
  <c r="AY352" i="6" s="1"/>
  <c r="Z373" i="6"/>
  <c r="AY373" i="6" s="1"/>
  <c r="Z356" i="6"/>
  <c r="AY356" i="6" s="1"/>
  <c r="AC405" i="6"/>
  <c r="AC418" i="6"/>
  <c r="AC409" i="6"/>
  <c r="AC396" i="6"/>
  <c r="F622" i="6"/>
  <c r="AU622" i="6" s="1"/>
  <c r="AU616" i="6"/>
  <c r="AJ347" i="6"/>
  <c r="AH405" i="6"/>
  <c r="AH409" i="6"/>
  <c r="AH397" i="6"/>
  <c r="Y405" i="6"/>
  <c r="Y409" i="6"/>
  <c r="Y396" i="6"/>
  <c r="AX349" i="6"/>
  <c r="U352" i="6"/>
  <c r="AX352" i="6" s="1"/>
  <c r="U356" i="6"/>
  <c r="AX356" i="6" s="1"/>
  <c r="U373" i="6"/>
  <c r="AX373" i="6" s="1"/>
  <c r="U343" i="6"/>
  <c r="AX343" i="6" s="1"/>
  <c r="AY401" i="6"/>
  <c r="Z404" i="6"/>
  <c r="AY404" i="6" s="1"/>
  <c r="Z402" i="6"/>
  <c r="Z397" i="6" s="1"/>
  <c r="AY397" i="6" s="1"/>
  <c r="AN403" i="6"/>
  <c r="AK278" i="6"/>
  <c r="AK285" i="6" s="1"/>
  <c r="AE350" i="6"/>
  <c r="AZ350" i="6" s="1"/>
  <c r="AZ347" i="6"/>
  <c r="AL373" i="6"/>
  <c r="AJ403" i="6"/>
  <c r="BA403" i="6" s="1"/>
  <c r="BA400" i="6"/>
  <c r="AD404" i="6"/>
  <c r="AD402" i="6"/>
  <c r="AD397" i="6" s="1"/>
  <c r="AC340" i="6"/>
  <c r="AF237" i="6"/>
  <c r="AQ347" i="6"/>
  <c r="AN347" i="6"/>
  <c r="AN350" i="6" s="1"/>
  <c r="AH352" i="6"/>
  <c r="AH356" i="6"/>
  <c r="AH373" i="6"/>
  <c r="AB373" i="6"/>
  <c r="AB352" i="6"/>
  <c r="AB356" i="6"/>
  <c r="AB343" i="6"/>
  <c r="U402" i="6"/>
  <c r="U397" i="6" s="1"/>
  <c r="AX397" i="6" s="1"/>
  <c r="AX401" i="6"/>
  <c r="U404" i="6"/>
  <c r="AX404" i="6" s="1"/>
  <c r="AA356" i="6"/>
  <c r="AA373" i="6"/>
  <c r="AA352" i="6"/>
  <c r="AA343" i="6"/>
  <c r="Y352" i="6"/>
  <c r="Y356" i="6"/>
  <c r="Y373" i="6"/>
  <c r="Y343" i="6"/>
  <c r="AB409" i="6"/>
  <c r="AB405" i="6"/>
  <c r="AB418" i="6"/>
  <c r="AB396" i="6"/>
  <c r="AG349" i="6"/>
  <c r="AG351" i="6"/>
  <c r="AL351" i="6"/>
  <c r="AH396" i="6"/>
  <c r="AA369" i="6"/>
  <c r="AA380" i="6"/>
  <c r="AO400" i="6"/>
  <c r="AM400" i="6"/>
  <c r="AO347" i="6"/>
  <c r="AD351" i="6"/>
  <c r="AD349" i="6"/>
  <c r="AD344" i="6" s="1"/>
  <c r="AW544" i="6"/>
  <c r="P545" i="6"/>
  <c r="Z340" i="6"/>
  <c r="AY340" i="6" s="1"/>
  <c r="AM350" i="6"/>
  <c r="AM349" i="6"/>
  <c r="AJ318" i="6"/>
  <c r="BA318" i="6" s="1"/>
  <c r="F599" i="6"/>
  <c r="AU599" i="6" s="1"/>
  <c r="AU572" i="6"/>
  <c r="AC352" i="6"/>
  <c r="AC356" i="6"/>
  <c r="AC373" i="6"/>
  <c r="AC380" i="6"/>
  <c r="AC369" i="6"/>
  <c r="AA418" i="6"/>
  <c r="AA409" i="6"/>
  <c r="AA405" i="6"/>
  <c r="AA396" i="6"/>
  <c r="AF405" i="6"/>
  <c r="AI344" i="6"/>
  <c r="AH343" i="6"/>
  <c r="AG340" i="6"/>
  <c r="AI348" i="6"/>
  <c r="AB340" i="6"/>
  <c r="AI401" i="6"/>
  <c r="AE348" i="6"/>
  <c r="AL352" i="6" l="1"/>
  <c r="AG361" i="6"/>
  <c r="AL356" i="6" s="1"/>
  <c r="AN324" i="58438"/>
  <c r="AN325" i="58438" s="1"/>
  <c r="AN215" i="58438"/>
  <c r="R9" i="58471"/>
  <c r="AE380" i="6"/>
  <c r="AN54" i="58438"/>
  <c r="L183" i="58511"/>
  <c r="M178" i="58511"/>
  <c r="M180" i="58511" s="1"/>
  <c r="M183" i="58511" s="1"/>
  <c r="L209" i="58511"/>
  <c r="L211" i="58511" s="1"/>
  <c r="M205" i="58511"/>
  <c r="M209" i="58511" s="1"/>
  <c r="M211" i="58511" s="1"/>
  <c r="K194" i="58511"/>
  <c r="K212" i="58511" s="1"/>
  <c r="K90" i="58511"/>
  <c r="K92" i="58511" s="1"/>
  <c r="K94" i="58511" s="1"/>
  <c r="AQ328" i="6"/>
  <c r="BD328" i="6" s="1"/>
  <c r="BD327" i="6"/>
  <c r="AQ329" i="6"/>
  <c r="BD329" i="6" s="1"/>
  <c r="AQ336" i="6"/>
  <c r="BD336" i="6" s="1"/>
  <c r="T715" i="6"/>
  <c r="U715" i="6" s="1"/>
  <c r="AI351" i="6"/>
  <c r="AI349" i="6"/>
  <c r="AK344" i="6"/>
  <c r="AI343" i="6"/>
  <c r="BB347" i="6"/>
  <c r="AO350" i="6"/>
  <c r="BB350" i="6" s="1"/>
  <c r="AP350" i="6"/>
  <c r="BC350" i="6" s="1"/>
  <c r="K572" i="6"/>
  <c r="AV559" i="6"/>
  <c r="AM403" i="6"/>
  <c r="AM402" i="6"/>
  <c r="AE409" i="6"/>
  <c r="AZ409" i="6" s="1"/>
  <c r="AZ402" i="6"/>
  <c r="AE405" i="6"/>
  <c r="AZ405" i="6" s="1"/>
  <c r="AE418" i="6"/>
  <c r="AE396" i="6"/>
  <c r="AZ396" i="6" s="1"/>
  <c r="AL13" i="6"/>
  <c r="AI404" i="6"/>
  <c r="AI402" i="6"/>
  <c r="AI415" i="6" s="1"/>
  <c r="AD340" i="6"/>
  <c r="AG352" i="6"/>
  <c r="AG356" i="6"/>
  <c r="AG373" i="6"/>
  <c r="AX402" i="6"/>
  <c r="U405" i="6"/>
  <c r="AX405" i="6" s="1"/>
  <c r="U409" i="6"/>
  <c r="AX409" i="6" s="1"/>
  <c r="U396" i="6"/>
  <c r="AX396" i="6" s="1"/>
  <c r="AQ350" i="6"/>
  <c r="BD350" i="6" s="1"/>
  <c r="BD347" i="6"/>
  <c r="AY402" i="6"/>
  <c r="Z405" i="6"/>
  <c r="AY405" i="6" s="1"/>
  <c r="Z409" i="6"/>
  <c r="AY409" i="6" s="1"/>
  <c r="Z396" i="6"/>
  <c r="AY396" i="6" s="1"/>
  <c r="AV614" i="6"/>
  <c r="K616" i="6"/>
  <c r="AD352" i="6"/>
  <c r="AD356" i="6"/>
  <c r="AD373" i="6"/>
  <c r="AD343" i="6"/>
  <c r="AE351" i="6"/>
  <c r="AZ351" i="6" s="1"/>
  <c r="AE349" i="6"/>
  <c r="AE344" i="6" s="1"/>
  <c r="AZ344" i="6" s="1"/>
  <c r="AZ348" i="6"/>
  <c r="AM354" i="6"/>
  <c r="AM373" i="6"/>
  <c r="AM352" i="6"/>
  <c r="AW545" i="6"/>
  <c r="U544" i="6"/>
  <c r="Q544" i="6"/>
  <c r="Q545" i="6" s="1"/>
  <c r="P551" i="6"/>
  <c r="BB400" i="6"/>
  <c r="AO403" i="6"/>
  <c r="BB403" i="6" s="1"/>
  <c r="AP403" i="6"/>
  <c r="BC403" i="6" s="1"/>
  <c r="AF240" i="6"/>
  <c r="AF238" i="6"/>
  <c r="AD405" i="6"/>
  <c r="AD418" i="6"/>
  <c r="AD409" i="6"/>
  <c r="AD396" i="6"/>
  <c r="AK13" i="6"/>
  <c r="AJ350" i="6"/>
  <c r="BA350" i="6" s="1"/>
  <c r="BA347" i="6"/>
  <c r="AK277" i="6"/>
  <c r="AK284" i="6" s="1"/>
  <c r="AK11" i="6"/>
  <c r="AI322" i="6"/>
  <c r="HS512" i="58481" s="1"/>
  <c r="HS514" i="58481" s="1"/>
  <c r="AN348" i="6"/>
  <c r="AN401" i="6"/>
  <c r="AE340" i="6"/>
  <c r="AZ340" i="6" s="1"/>
  <c r="AJ348" i="6"/>
  <c r="AM360" i="6" l="1"/>
  <c r="AM361" i="6" s="1"/>
  <c r="AM355" i="6"/>
  <c r="AL354" i="6"/>
  <c r="AI356" i="6"/>
  <c r="AI361" i="6"/>
  <c r="AN356" i="6" s="1"/>
  <c r="AI397" i="6"/>
  <c r="AI409" i="6"/>
  <c r="L194" i="58511"/>
  <c r="L212" i="58511" s="1"/>
  <c r="L90" i="58511"/>
  <c r="L92" i="58511" s="1"/>
  <c r="L94" i="58511" s="1"/>
  <c r="M194" i="58511"/>
  <c r="M212" i="58511" s="1"/>
  <c r="M90" i="58511"/>
  <c r="M92" i="58511" s="1"/>
  <c r="M94" i="58511" s="1"/>
  <c r="AO318" i="6"/>
  <c r="BB318" i="6" s="1"/>
  <c r="AJ401" i="6"/>
  <c r="AM275" i="6"/>
  <c r="AM282" i="6" s="1"/>
  <c r="AL344" i="6"/>
  <c r="AK343" i="6"/>
  <c r="AN402" i="6"/>
  <c r="AN397" i="6" s="1"/>
  <c r="AN404" i="6"/>
  <c r="P614" i="6"/>
  <c r="F24" i="58482" s="1"/>
  <c r="F25" i="58482" s="1"/>
  <c r="P559" i="6"/>
  <c r="AW551" i="6"/>
  <c r="K622" i="6"/>
  <c r="AV622" i="6" s="1"/>
  <c r="AV616" i="6"/>
  <c r="AM407" i="6"/>
  <c r="AM405" i="6"/>
  <c r="AM397" i="6"/>
  <c r="K599" i="6"/>
  <c r="AV599" i="6" s="1"/>
  <c r="AV572" i="6"/>
  <c r="AJ349" i="6"/>
  <c r="BA348" i="6"/>
  <c r="AJ351" i="6"/>
  <c r="BA351" i="6" s="1"/>
  <c r="AX544" i="6"/>
  <c r="U545" i="6"/>
  <c r="AX715" i="6"/>
  <c r="U716" i="6"/>
  <c r="AN349" i="6"/>
  <c r="AN351" i="6"/>
  <c r="AI340" i="6"/>
  <c r="AK279" i="6"/>
  <c r="AK286" i="6" s="1"/>
  <c r="R544" i="6"/>
  <c r="R545" i="6" s="1"/>
  <c r="Q551" i="6"/>
  <c r="AE373" i="6"/>
  <c r="AZ373" i="6" s="1"/>
  <c r="AZ349" i="6"/>
  <c r="AE352" i="6"/>
  <c r="AZ352" i="6" s="1"/>
  <c r="AE356" i="6"/>
  <c r="AZ356" i="6" s="1"/>
  <c r="AE343" i="6"/>
  <c r="AZ343" i="6" s="1"/>
  <c r="AM396" i="6"/>
  <c r="AF241" i="6"/>
  <c r="AF242" i="6"/>
  <c r="AI405" i="6"/>
  <c r="AI396" i="6"/>
  <c r="AI352" i="6"/>
  <c r="AI373" i="6"/>
  <c r="T716" i="6"/>
  <c r="AO401" i="6"/>
  <c r="AO348" i="6"/>
  <c r="AL360" i="6" l="1"/>
  <c r="AL361" i="6" s="1"/>
  <c r="AL355" i="6"/>
  <c r="AM414" i="6"/>
  <c r="AM415" i="6" s="1"/>
  <c r="AM408" i="6"/>
  <c r="F28" i="58482"/>
  <c r="F27" i="58482"/>
  <c r="AL275" i="6"/>
  <c r="AJ322" i="6"/>
  <c r="AJ209" i="6"/>
  <c r="BA209" i="6" s="1"/>
  <c r="AI209" i="6"/>
  <c r="AN340" i="6"/>
  <c r="S544" i="6"/>
  <c r="S545" i="6" s="1"/>
  <c r="R551" i="6"/>
  <c r="AN352" i="6"/>
  <c r="AN354" i="6"/>
  <c r="AN373" i="6"/>
  <c r="AO349" i="6"/>
  <c r="AO344" i="6" s="1"/>
  <c r="BB348" i="6"/>
  <c r="AO351" i="6"/>
  <c r="BB351" i="6" s="1"/>
  <c r="AI355" i="6"/>
  <c r="AJ354" i="6"/>
  <c r="AJ360" i="6" s="1"/>
  <c r="AJ361" i="6" s="1"/>
  <c r="AI275" i="6"/>
  <c r="AX716" i="6"/>
  <c r="V713" i="6"/>
  <c r="AW614" i="6"/>
  <c r="P616" i="6"/>
  <c r="AM277" i="6"/>
  <c r="AM284" i="6" s="1"/>
  <c r="AM11" i="6"/>
  <c r="AJ402" i="6"/>
  <c r="BA401" i="6"/>
  <c r="AJ404" i="6"/>
  <c r="BA404" i="6" s="1"/>
  <c r="BA349" i="6"/>
  <c r="AJ352" i="6"/>
  <c r="BA352" i="6" s="1"/>
  <c r="AJ373" i="6"/>
  <c r="BA373" i="6" s="1"/>
  <c r="AJ343" i="6"/>
  <c r="BA343" i="6" s="1"/>
  <c r="AO402" i="6"/>
  <c r="BB401" i="6"/>
  <c r="AO404" i="6"/>
  <c r="BB404" i="6" s="1"/>
  <c r="R694" i="6"/>
  <c r="Q614" i="6"/>
  <c r="Q616" i="6" s="1"/>
  <c r="Q622" i="6" s="1"/>
  <c r="Q559" i="6"/>
  <c r="Q572" i="6" s="1"/>
  <c r="Q599" i="6" s="1"/>
  <c r="U551" i="6"/>
  <c r="AX545" i="6"/>
  <c r="Z544" i="6"/>
  <c r="V544" i="6"/>
  <c r="V545" i="6" s="1"/>
  <c r="AJ344" i="6"/>
  <c r="BA344" i="6" s="1"/>
  <c r="AN407" i="6"/>
  <c r="AN408" i="6" s="1"/>
  <c r="AN405" i="6"/>
  <c r="AN396" i="6"/>
  <c r="AJ407" i="6"/>
  <c r="AJ414" i="6" s="1"/>
  <c r="AI408" i="6"/>
  <c r="AI278" i="6"/>
  <c r="AK281" i="6"/>
  <c r="AM278" i="6"/>
  <c r="AM285" i="6" s="1"/>
  <c r="P572" i="6"/>
  <c r="AW559" i="6"/>
  <c r="AM344" i="6"/>
  <c r="AL343" i="6"/>
  <c r="AK209" i="6"/>
  <c r="AP348" i="6"/>
  <c r="AJ340" i="6"/>
  <c r="BA340" i="6" s="1"/>
  <c r="AP401" i="6"/>
  <c r="AK287" i="6" l="1"/>
  <c r="AK136" i="6"/>
  <c r="AL11" i="6"/>
  <c r="AL282" i="6"/>
  <c r="AN360" i="6"/>
  <c r="AN361" i="6" s="1"/>
  <c r="AN355" i="6"/>
  <c r="AL277" i="6"/>
  <c r="AJ415" i="6"/>
  <c r="CP250" i="58479"/>
  <c r="CP252" i="58479" s="1"/>
  <c r="F5" i="58470"/>
  <c r="DM249" i="58481"/>
  <c r="AO407" i="6"/>
  <c r="AN414" i="6"/>
  <c r="AN415" i="6" s="1"/>
  <c r="BA322" i="6"/>
  <c r="HT512" i="58481"/>
  <c r="HT514" i="58481" s="1"/>
  <c r="AK322" i="6"/>
  <c r="AK501" i="6" s="1"/>
  <c r="AW572" i="6"/>
  <c r="P599" i="6"/>
  <c r="AW599" i="6" s="1"/>
  <c r="Z713" i="6"/>
  <c r="V715" i="6"/>
  <c r="V716" i="6" s="1"/>
  <c r="W713" i="6" s="1"/>
  <c r="BB344" i="6"/>
  <c r="AP344" i="6"/>
  <c r="BC401" i="6"/>
  <c r="AP404" i="6"/>
  <c r="BC404" i="6" s="1"/>
  <c r="AP402" i="6"/>
  <c r="AP397" i="6" s="1"/>
  <c r="BC397" i="6" s="1"/>
  <c r="BC348" i="6"/>
  <c r="AP351" i="6"/>
  <c r="BC351" i="6" s="1"/>
  <c r="AP349" i="6"/>
  <c r="AN278" i="6"/>
  <c r="BB402" i="6"/>
  <c r="AO405" i="6"/>
  <c r="BB405" i="6" s="1"/>
  <c r="AO396" i="6"/>
  <c r="BB396" i="6" s="1"/>
  <c r="AM279" i="6"/>
  <c r="AM286" i="6" s="1"/>
  <c r="BA354" i="6"/>
  <c r="AJ356" i="6"/>
  <c r="BA356" i="6" s="1"/>
  <c r="AJ355" i="6"/>
  <c r="BA355" i="6" s="1"/>
  <c r="AN275" i="6"/>
  <c r="AN282" i="6" s="1"/>
  <c r="AO354" i="6"/>
  <c r="AK16" i="6"/>
  <c r="BA402" i="6"/>
  <c r="AJ405" i="6"/>
  <c r="BA405" i="6" s="1"/>
  <c r="AJ396" i="6"/>
  <c r="BA396" i="6" s="1"/>
  <c r="P622" i="6"/>
  <c r="AW622" i="6" s="1"/>
  <c r="AW616" i="6"/>
  <c r="BB349" i="6"/>
  <c r="AO352" i="6"/>
  <c r="BB352" i="6" s="1"/>
  <c r="AO373" i="6"/>
  <c r="BB373" i="6" s="1"/>
  <c r="AO343" i="6"/>
  <c r="BB343" i="6" s="1"/>
  <c r="S694" i="6"/>
  <c r="R614" i="6"/>
  <c r="R616" i="6" s="1"/>
  <c r="R622" i="6" s="1"/>
  <c r="R559" i="6"/>
  <c r="R572" i="6" s="1"/>
  <c r="R599" i="6" s="1"/>
  <c r="AJ409" i="6"/>
  <c r="BA409" i="6" s="1"/>
  <c r="BA407" i="6"/>
  <c r="AJ408" i="6"/>
  <c r="BA408" i="6" s="1"/>
  <c r="U614" i="6"/>
  <c r="G24" i="58482" s="1"/>
  <c r="G25" i="58482" s="1"/>
  <c r="AX551" i="6"/>
  <c r="U559" i="6"/>
  <c r="V551" i="6"/>
  <c r="W544" i="6"/>
  <c r="W545" i="6" s="1"/>
  <c r="AO340" i="6"/>
  <c r="BB340" i="6" s="1"/>
  <c r="AN344" i="6"/>
  <c r="AN343" i="6" s="1"/>
  <c r="AM343" i="6"/>
  <c r="AM13" i="6"/>
  <c r="AI285" i="6"/>
  <c r="AJ278" i="6"/>
  <c r="FS579" i="58502" s="1"/>
  <c r="FT579" i="58502" s="1"/>
  <c r="AI13" i="6"/>
  <c r="AY544" i="6"/>
  <c r="Z545" i="6"/>
  <c r="AO397" i="6"/>
  <c r="BB397" i="6" s="1"/>
  <c r="AJ397" i="6"/>
  <c r="BA397" i="6" s="1"/>
  <c r="AI282" i="6"/>
  <c r="AI277" i="6"/>
  <c r="AJ275" i="6"/>
  <c r="FS574" i="58502" s="1"/>
  <c r="AI11" i="6"/>
  <c r="S551" i="6"/>
  <c r="T544" i="6"/>
  <c r="T545" i="6" s="1"/>
  <c r="T551" i="6" s="1"/>
  <c r="AK210" i="6"/>
  <c r="AL210" i="6"/>
  <c r="AQ348" i="6"/>
  <c r="AQ401" i="6"/>
  <c r="AK142" i="6" l="1"/>
  <c r="AL279" i="6"/>
  <c r="AL286" i="6" s="1"/>
  <c r="AL284" i="6"/>
  <c r="AO360" i="6"/>
  <c r="AO361" i="6" s="1"/>
  <c r="AP356" i="6" s="1"/>
  <c r="AO355" i="6"/>
  <c r="BB355" i="6" s="1"/>
  <c r="AO414" i="6"/>
  <c r="AO415" i="6" s="1"/>
  <c r="AP409" i="6" s="1"/>
  <c r="AO408" i="6"/>
  <c r="BB408" i="6" s="1"/>
  <c r="BB407" i="6"/>
  <c r="AO278" i="6"/>
  <c r="AO285" i="6" s="1"/>
  <c r="BB285" i="6" s="1"/>
  <c r="AN285" i="6"/>
  <c r="G28" i="58482"/>
  <c r="G27" i="58482"/>
  <c r="DN249" i="58481"/>
  <c r="DM256" i="58481"/>
  <c r="DM250" i="58481"/>
  <c r="W49" i="58470"/>
  <c r="AF49" i="58470"/>
  <c r="AF50" i="58470" s="1"/>
  <c r="G7" i="58470"/>
  <c r="G10" i="58470" s="1"/>
  <c r="O40" i="58470"/>
  <c r="O39" i="58470" s="1"/>
  <c r="O43" i="58470" s="1"/>
  <c r="O44" i="58470" s="1"/>
  <c r="O45" i="58470" s="1"/>
  <c r="Q40" i="58470"/>
  <c r="Q39" i="58470" s="1"/>
  <c r="Q43" i="58470" s="1"/>
  <c r="Q44" i="58470" s="1"/>
  <c r="Q45" i="58470" s="1"/>
  <c r="H7" i="58470"/>
  <c r="H10" i="58470" s="1"/>
  <c r="N40" i="58470"/>
  <c r="N39" i="58470" s="1"/>
  <c r="N43" i="58470" s="1"/>
  <c r="N44" i="58470" s="1"/>
  <c r="N45" i="58470" s="1"/>
  <c r="P40" i="58470"/>
  <c r="P39" i="58470" s="1"/>
  <c r="P43" i="58470" s="1"/>
  <c r="P44" i="58470" s="1"/>
  <c r="P45" i="58470" s="1"/>
  <c r="R40" i="58470"/>
  <c r="R39" i="58470" s="1"/>
  <c r="R43" i="58470" s="1"/>
  <c r="R44" i="58470" s="1"/>
  <c r="R45" i="58470" s="1"/>
  <c r="T40" i="58470"/>
  <c r="T39" i="58470" s="1"/>
  <c r="T43" i="58470" s="1"/>
  <c r="T44" i="58470" s="1"/>
  <c r="T45" i="58470" s="1"/>
  <c r="L40" i="58470"/>
  <c r="L39" i="58470" s="1"/>
  <c r="L43" i="58470" s="1"/>
  <c r="L44" i="58470" s="1"/>
  <c r="L45" i="58470" s="1"/>
  <c r="M40" i="58470"/>
  <c r="M39" i="58470" s="1"/>
  <c r="M43" i="58470" s="1"/>
  <c r="M44" i="58470" s="1"/>
  <c r="M45" i="58470" s="1"/>
  <c r="S40" i="58470"/>
  <c r="S39" i="58470" s="1"/>
  <c r="S43" i="58470" s="1"/>
  <c r="S44" i="58470" s="1"/>
  <c r="S45" i="58470" s="1"/>
  <c r="F7" i="58470"/>
  <c r="AO409" i="6"/>
  <c r="FT574" i="58502"/>
  <c r="FS577" i="58502"/>
  <c r="AP340" i="6"/>
  <c r="BC340" i="6" s="1"/>
  <c r="AL322" i="6"/>
  <c r="AL501" i="6" s="1"/>
  <c r="AK208" i="6"/>
  <c r="AK237" i="6"/>
  <c r="AX559" i="6"/>
  <c r="U572" i="6"/>
  <c r="AQ404" i="6"/>
  <c r="BD404" i="6" s="1"/>
  <c r="AQ402" i="6"/>
  <c r="AQ397" i="6" s="1"/>
  <c r="BD397" i="6" s="1"/>
  <c r="BD401" i="6"/>
  <c r="AQ351" i="6"/>
  <c r="BD351" i="6" s="1"/>
  <c r="AQ349" i="6"/>
  <c r="BD348" i="6"/>
  <c r="AJ277" i="6"/>
  <c r="BA275" i="6"/>
  <c r="AJ282" i="6"/>
  <c r="BA282" i="6" s="1"/>
  <c r="AJ11" i="6"/>
  <c r="DT400" i="58502" s="1"/>
  <c r="T614" i="6"/>
  <c r="T616" i="6" s="1"/>
  <c r="T622" i="6" s="1"/>
  <c r="T559" i="6"/>
  <c r="T572" i="6" s="1"/>
  <c r="T599" i="6" s="1"/>
  <c r="AI284" i="6"/>
  <c r="AI279" i="6"/>
  <c r="W551" i="6"/>
  <c r="B24" i="58482" s="1"/>
  <c r="B25" i="58482" s="1"/>
  <c r="X544" i="6"/>
  <c r="X545" i="6" s="1"/>
  <c r="AX614" i="6"/>
  <c r="U616" i="6"/>
  <c r="AM281" i="6"/>
  <c r="AM287" i="6" s="1"/>
  <c r="T694" i="6"/>
  <c r="U694" i="6" s="1"/>
  <c r="AX694" i="6" s="1"/>
  <c r="S559" i="6"/>
  <c r="S572" i="6" s="1"/>
  <c r="S599" i="6" s="1"/>
  <c r="S614" i="6"/>
  <c r="S616" i="6" s="1"/>
  <c r="S622" i="6" s="1"/>
  <c r="AJ285" i="6"/>
  <c r="BA285" i="6" s="1"/>
  <c r="BA278" i="6"/>
  <c r="AJ13" i="6"/>
  <c r="DT401" i="58502" s="1"/>
  <c r="V614" i="6"/>
  <c r="V616" i="6" s="1"/>
  <c r="V622" i="6" s="1"/>
  <c r="V559" i="6"/>
  <c r="V572" i="6" s="1"/>
  <c r="V599" i="6" s="1"/>
  <c r="AO356" i="6"/>
  <c r="BB356" i="6" s="1"/>
  <c r="BB354" i="6"/>
  <c r="AN13" i="6"/>
  <c r="BC349" i="6"/>
  <c r="AP352" i="6"/>
  <c r="BC352" i="6" s="1"/>
  <c r="AP373" i="6"/>
  <c r="BC373" i="6" s="1"/>
  <c r="BC402" i="6"/>
  <c r="AP405" i="6"/>
  <c r="BC405" i="6" s="1"/>
  <c r="AP396" i="6"/>
  <c r="BC396" i="6" s="1"/>
  <c r="AY713" i="6"/>
  <c r="Z551" i="6"/>
  <c r="AY545" i="6"/>
  <c r="AE544" i="6"/>
  <c r="AA544" i="6"/>
  <c r="AA545" i="6" s="1"/>
  <c r="AK40" i="6"/>
  <c r="AN277" i="6"/>
  <c r="AN284" i="6" s="1"/>
  <c r="AN11" i="6"/>
  <c r="AO275" i="6"/>
  <c r="AO282" i="6" s="1"/>
  <c r="AQ344" i="6"/>
  <c r="AP343" i="6"/>
  <c r="BC343" i="6" s="1"/>
  <c r="BC344" i="6"/>
  <c r="W715" i="6"/>
  <c r="AM210" i="6"/>
  <c r="AL209" i="6"/>
  <c r="AL237" i="6"/>
  <c r="AJ208" i="6"/>
  <c r="BA208" i="6" s="1"/>
  <c r="AL281" i="6" l="1"/>
  <c r="AL287" i="6" s="1"/>
  <c r="AO13" i="6"/>
  <c r="BB13" i="6" s="1"/>
  <c r="BB278" i="6"/>
  <c r="CQ250" i="58479"/>
  <c r="CQ252" i="58479" s="1"/>
  <c r="IC550" i="58481"/>
  <c r="IC551" i="58481" s="1"/>
  <c r="IC560" i="58481" s="1"/>
  <c r="HW523" i="58481"/>
  <c r="F16" i="58470"/>
  <c r="J25" i="58470"/>
  <c r="F10" i="58470"/>
  <c r="J23" i="58470" s="1"/>
  <c r="J29" i="58470" s="1"/>
  <c r="J31" i="58470" s="1"/>
  <c r="J33" i="58470" s="1"/>
  <c r="AF56" i="58470"/>
  <c r="AF55" i="58470"/>
  <c r="DN250" i="58481"/>
  <c r="DN256" i="58481"/>
  <c r="AE49" i="58470"/>
  <c r="AE50" i="58470" s="1"/>
  <c r="X49" i="58470"/>
  <c r="X50" i="58470" s="1"/>
  <c r="V49" i="58470"/>
  <c r="V50" i="58470" s="1"/>
  <c r="AG49" i="58470"/>
  <c r="AG50" i="58470" s="1"/>
  <c r="W50" i="58470"/>
  <c r="AP407" i="6"/>
  <c r="BB409" i="6"/>
  <c r="FT577" i="58502"/>
  <c r="FS581" i="58502"/>
  <c r="AM322" i="6"/>
  <c r="AM501" i="6" s="1"/>
  <c r="W716" i="6"/>
  <c r="X713" i="6" s="1"/>
  <c r="AP354" i="6"/>
  <c r="AQ340" i="6"/>
  <c r="BD340" i="6" s="1"/>
  <c r="AJ210" i="6"/>
  <c r="BA210" i="6" s="1"/>
  <c r="AI210" i="6"/>
  <c r="AL240" i="6"/>
  <c r="AL241" i="6" s="1"/>
  <c r="AL238" i="6"/>
  <c r="AE694" i="6"/>
  <c r="AZ694" i="6" s="1"/>
  <c r="Z614" i="6"/>
  <c r="H24" i="58482" s="1"/>
  <c r="H25" i="58482" s="1"/>
  <c r="AY551" i="6"/>
  <c r="Z559" i="6"/>
  <c r="BA13" i="6"/>
  <c r="X551" i="6"/>
  <c r="Y544" i="6"/>
  <c r="Y545" i="6" s="1"/>
  <c r="Y551" i="6" s="1"/>
  <c r="AI286" i="6"/>
  <c r="AI281" i="6"/>
  <c r="BA11" i="6"/>
  <c r="AN279" i="6"/>
  <c r="AN286" i="6" s="1"/>
  <c r="AA551" i="6"/>
  <c r="AB544" i="6"/>
  <c r="AB545" i="6" s="1"/>
  <c r="AX616" i="6"/>
  <c r="U622" i="6"/>
  <c r="AX622" i="6" s="1"/>
  <c r="W614" i="6"/>
  <c r="W616" i="6" s="1"/>
  <c r="W622" i="6" s="1"/>
  <c r="W559" i="6"/>
  <c r="W572" i="6" s="1"/>
  <c r="W599" i="6" s="1"/>
  <c r="BD349" i="6"/>
  <c r="AQ352" i="6"/>
  <c r="BD352" i="6" s="1"/>
  <c r="AQ373" i="6"/>
  <c r="BD373" i="6" s="1"/>
  <c r="BD402" i="6"/>
  <c r="AQ405" i="6"/>
  <c r="BD405" i="6" s="1"/>
  <c r="AQ396" i="6"/>
  <c r="BD396" i="6" s="1"/>
  <c r="AK240" i="6"/>
  <c r="AK244" i="6" s="1"/>
  <c r="AK238" i="6"/>
  <c r="AQ343" i="6"/>
  <c r="BD343" i="6" s="1"/>
  <c r="BD344" i="6"/>
  <c r="AZ544" i="6"/>
  <c r="AE545" i="6"/>
  <c r="BC409" i="6"/>
  <c r="AI208" i="6"/>
  <c r="AI237" i="6"/>
  <c r="AO277" i="6"/>
  <c r="AO284" i="6" s="1"/>
  <c r="BB275" i="6"/>
  <c r="BB282" i="6"/>
  <c r="AO11" i="6"/>
  <c r="BB11" i="6" s="1"/>
  <c r="AM136" i="6"/>
  <c r="AM142" i="6" s="1"/>
  <c r="AM16" i="6"/>
  <c r="AM40" i="6" s="1"/>
  <c r="AJ279" i="6"/>
  <c r="AJ284" i="6"/>
  <c r="BA277" i="6"/>
  <c r="U599" i="6"/>
  <c r="AX599" i="6" s="1"/>
  <c r="AX572" i="6"/>
  <c r="AL208" i="6"/>
  <c r="AN209" i="6"/>
  <c r="AL136" i="6" l="1"/>
  <c r="AL142" i="6" s="1"/>
  <c r="AL16" i="6"/>
  <c r="AL40" i="6" s="1"/>
  <c r="AP360" i="6"/>
  <c r="AP361" i="6" s="1"/>
  <c r="AQ356" i="6" s="1"/>
  <c r="AP355" i="6"/>
  <c r="AP414" i="6"/>
  <c r="AP415" i="6" s="1"/>
  <c r="AQ409" i="6" s="1"/>
  <c r="BD409" i="6" s="1"/>
  <c r="AP408" i="6"/>
  <c r="BC408" i="6" s="1"/>
  <c r="H28" i="58482"/>
  <c r="H27" i="58482"/>
  <c r="X56" i="58470"/>
  <c r="X55" i="58470"/>
  <c r="H18" i="58470"/>
  <c r="H21" i="58470" s="1"/>
  <c r="G18" i="58470"/>
  <c r="G21" i="58470" s="1"/>
  <c r="F18" i="58470"/>
  <c r="F21" i="58470" s="1"/>
  <c r="W56" i="58470"/>
  <c r="W55" i="58470"/>
  <c r="AE56" i="58470"/>
  <c r="AE55" i="58470"/>
  <c r="HW530" i="58481"/>
  <c r="HW532" i="58481" s="1"/>
  <c r="HW525" i="58481"/>
  <c r="AG56" i="58470"/>
  <c r="AG55" i="58470"/>
  <c r="IA560" i="58481"/>
  <c r="IC556" i="58481"/>
  <c r="V56" i="58470"/>
  <c r="V55" i="58470"/>
  <c r="BC407" i="6"/>
  <c r="AP278" i="6"/>
  <c r="AP285" i="6" s="1"/>
  <c r="BC285" i="6" s="1"/>
  <c r="FT581" i="58502"/>
  <c r="FS585" i="58502"/>
  <c r="AL244" i="6"/>
  <c r="AL245" i="6" s="1"/>
  <c r="AN322" i="6"/>
  <c r="X614" i="6"/>
  <c r="X616" i="6" s="1"/>
  <c r="X622" i="6" s="1"/>
  <c r="X559" i="6"/>
  <c r="X572" i="6" s="1"/>
  <c r="X599" i="6" s="1"/>
  <c r="AI238" i="6"/>
  <c r="AJ237" i="6"/>
  <c r="AK241" i="6"/>
  <c r="AJ281" i="6"/>
  <c r="BA279" i="6"/>
  <c r="AJ286" i="6"/>
  <c r="BA286" i="6" s="1"/>
  <c r="AA559" i="6"/>
  <c r="AA572" i="6" s="1"/>
  <c r="AA599" i="6" s="1"/>
  <c r="AA614" i="6"/>
  <c r="AA616" i="6" s="1"/>
  <c r="AA622" i="6" s="1"/>
  <c r="Y614" i="6"/>
  <c r="Y616" i="6" s="1"/>
  <c r="Y622" i="6" s="1"/>
  <c r="Y559" i="6"/>
  <c r="Y572" i="6" s="1"/>
  <c r="Y599" i="6" s="1"/>
  <c r="AY559" i="6"/>
  <c r="Z572" i="6"/>
  <c r="BB277" i="6"/>
  <c r="AO279" i="6"/>
  <c r="AO286" i="6" s="1"/>
  <c r="AN281" i="6"/>
  <c r="AN287" i="6" s="1"/>
  <c r="AK245" i="6"/>
  <c r="AK249" i="6"/>
  <c r="AI287" i="6"/>
  <c r="AI136" i="6"/>
  <c r="AI142" i="6" s="1"/>
  <c r="AY614" i="6"/>
  <c r="Z616" i="6"/>
  <c r="CR250" i="58479" s="1"/>
  <c r="CR252" i="58479" s="1"/>
  <c r="AQ354" i="6"/>
  <c r="BC356" i="6"/>
  <c r="BC355" i="6"/>
  <c r="BC354" i="6"/>
  <c r="AP275" i="6"/>
  <c r="AO209" i="6"/>
  <c r="BB209" i="6" s="1"/>
  <c r="AM209" i="6"/>
  <c r="AM208" i="6"/>
  <c r="AM237" i="6"/>
  <c r="AZ545" i="6"/>
  <c r="AJ544" i="6"/>
  <c r="BA544" i="6" s="1"/>
  <c r="AE551" i="6"/>
  <c r="FH534" i="58502" s="1"/>
  <c r="AF544" i="6"/>
  <c r="AF545" i="6" s="1"/>
  <c r="AC544" i="6"/>
  <c r="AC545" i="6" s="1"/>
  <c r="AB551" i="6"/>
  <c r="X715" i="6"/>
  <c r="X716" i="6" s="1"/>
  <c r="Y713" i="6" s="1"/>
  <c r="AQ360" i="6" l="1"/>
  <c r="AQ361" i="6" s="1"/>
  <c r="AQ355" i="6"/>
  <c r="BD355" i="6" s="1"/>
  <c r="AQ407" i="6"/>
  <c r="AQ414" i="6" s="1"/>
  <c r="AQ415" i="6" s="1"/>
  <c r="AP13" i="6"/>
  <c r="BC13" i="6" s="1"/>
  <c r="IA556" i="58481"/>
  <c r="IC557" i="58481"/>
  <c r="IA557" i="58481" s="1"/>
  <c r="FH558" i="58502"/>
  <c r="FH536" i="58502"/>
  <c r="AL249" i="6"/>
  <c r="AL9" i="6" s="1"/>
  <c r="BC278" i="6"/>
  <c r="BT232" i="58502"/>
  <c r="BT231" i="58502"/>
  <c r="FT585" i="58502"/>
  <c r="FS590" i="58502"/>
  <c r="FT590" i="58502" s="1"/>
  <c r="E39" i="58477"/>
  <c r="F39" i="58477" s="1"/>
  <c r="G39" i="58477" s="1"/>
  <c r="E38" i="58477"/>
  <c r="E15" i="58477"/>
  <c r="F15" i="58477" s="1"/>
  <c r="G15" i="58477" s="1"/>
  <c r="E14" i="58477"/>
  <c r="Y715" i="6"/>
  <c r="Y716" i="6" s="1"/>
  <c r="BC275" i="6"/>
  <c r="AP282" i="6"/>
  <c r="BC282" i="6" s="1"/>
  <c r="AP277" i="6"/>
  <c r="AP11" i="6"/>
  <c r="BC11" i="6" s="1"/>
  <c r="AI40" i="6"/>
  <c r="AJ16" i="6"/>
  <c r="AO210" i="6"/>
  <c r="BB210" i="6" s="1"/>
  <c r="AN210" i="6"/>
  <c r="AD544" i="6"/>
  <c r="AD545" i="6" s="1"/>
  <c r="AD551" i="6" s="1"/>
  <c r="FH528" i="58502" s="1"/>
  <c r="FH530" i="58502" s="1"/>
  <c r="AC551" i="6"/>
  <c r="FE528" i="58502" s="1"/>
  <c r="FE530" i="58502" s="1"/>
  <c r="AE614" i="6"/>
  <c r="I24" i="58482" s="1"/>
  <c r="I25" i="58482" s="1"/>
  <c r="AE559" i="6"/>
  <c r="AZ551" i="6"/>
  <c r="AN208" i="6"/>
  <c r="AN237" i="6"/>
  <c r="AO237" i="6" s="1"/>
  <c r="AY616" i="6"/>
  <c r="Z622" i="6"/>
  <c r="AY622" i="6" s="1"/>
  <c r="AN136" i="6"/>
  <c r="AN142" i="6" s="1"/>
  <c r="AN16" i="6"/>
  <c r="Z599" i="6"/>
  <c r="AY599" i="6" s="1"/>
  <c r="AY572" i="6"/>
  <c r="AJ287" i="6"/>
  <c r="BA287" i="6" s="1"/>
  <c r="BA281" i="6"/>
  <c r="AJ136" i="6"/>
  <c r="AJ142" i="6" s="1"/>
  <c r="BA142" i="6" s="1"/>
  <c r="Z715" i="6"/>
  <c r="BD356" i="6"/>
  <c r="BD354" i="6"/>
  <c r="AQ275" i="6"/>
  <c r="AO322" i="6"/>
  <c r="HU512" i="58481" s="1"/>
  <c r="HU514" i="58481" s="1"/>
  <c r="AB614" i="6"/>
  <c r="AB616" i="6" s="1"/>
  <c r="AB622" i="6" s="1"/>
  <c r="AB559" i="6"/>
  <c r="AB572" i="6" s="1"/>
  <c r="AB599" i="6" s="1"/>
  <c r="AG544" i="6"/>
  <c r="AG545" i="6" s="1"/>
  <c r="AH544" i="6" s="1"/>
  <c r="AH545" i="6" s="1"/>
  <c r="AH551" i="6" s="1"/>
  <c r="AF551" i="6"/>
  <c r="AM238" i="6"/>
  <c r="AM240" i="6"/>
  <c r="AM244" i="6" s="1"/>
  <c r="AK250" i="6"/>
  <c r="AK256" i="6"/>
  <c r="AK259" i="6" s="1"/>
  <c r="AK9" i="6"/>
  <c r="BB279" i="6"/>
  <c r="BB286" i="6"/>
  <c r="AO281" i="6"/>
  <c r="AO287" i="6" s="1"/>
  <c r="BA237" i="6"/>
  <c r="AJ238" i="6"/>
  <c r="BA238" i="6" s="1"/>
  <c r="AP209" i="6"/>
  <c r="BC209" i="6" s="1"/>
  <c r="AQ209" i="6"/>
  <c r="BD209" i="6" s="1"/>
  <c r="AL250" i="6" l="1"/>
  <c r="AQ278" i="6"/>
  <c r="AQ13" i="6" s="1"/>
  <c r="BD13" i="6" s="1"/>
  <c r="AQ408" i="6"/>
  <c r="BD408" i="6" s="1"/>
  <c r="BD407" i="6"/>
  <c r="I28" i="58482"/>
  <c r="I27" i="58482"/>
  <c r="FJ558" i="58502"/>
  <c r="FH560" i="58502"/>
  <c r="FE563" i="58502"/>
  <c r="FE565" i="58502"/>
  <c r="FE568" i="58502" s="1"/>
  <c r="AL256" i="6"/>
  <c r="AL259" i="6" s="1"/>
  <c r="AL264" i="6" s="1"/>
  <c r="AH559" i="6"/>
  <c r="AH572" i="6" s="1"/>
  <c r="AH599" i="6" s="1"/>
  <c r="AH614" i="6"/>
  <c r="AH616" i="6" s="1"/>
  <c r="AH622" i="6" s="1"/>
  <c r="E17" i="58477"/>
  <c r="F14" i="58477"/>
  <c r="F38" i="58477"/>
  <c r="E41" i="58477"/>
  <c r="AP322" i="6"/>
  <c r="D14" i="58477" s="1"/>
  <c r="B74" i="58477" s="1"/>
  <c r="AM249" i="6"/>
  <c r="AM245" i="6"/>
  <c r="AK264" i="6"/>
  <c r="AK260" i="6"/>
  <c r="AQ282" i="6"/>
  <c r="BD282" i="6" s="1"/>
  <c r="AQ277" i="6"/>
  <c r="BD275" i="6"/>
  <c r="AQ11" i="6"/>
  <c r="BD11" i="6" s="1"/>
  <c r="AK257" i="6"/>
  <c r="AK31" i="6"/>
  <c r="AK39" i="6" s="1"/>
  <c r="AK43" i="6" s="1"/>
  <c r="AK147" i="6" s="1"/>
  <c r="AZ614" i="6"/>
  <c r="AE616" i="6"/>
  <c r="CS250" i="58479" s="1"/>
  <c r="CS252" i="58479" s="1"/>
  <c r="BB237" i="6"/>
  <c r="AO238" i="6"/>
  <c r="BB238" i="6" s="1"/>
  <c r="AF614" i="6"/>
  <c r="AF616" i="6" s="1"/>
  <c r="AF622" i="6" s="1"/>
  <c r="AF559" i="6"/>
  <c r="AF572" i="6" s="1"/>
  <c r="AF599" i="6" s="1"/>
  <c r="AN455" i="6"/>
  <c r="AJ455" i="6"/>
  <c r="AK465" i="6"/>
  <c r="AK20" i="6"/>
  <c r="AK24" i="6" s="1"/>
  <c r="AM241" i="6"/>
  <c r="AG551" i="6"/>
  <c r="AD614" i="6"/>
  <c r="AD616" i="6" s="1"/>
  <c r="AD622" i="6" s="1"/>
  <c r="AD559" i="6"/>
  <c r="AD572" i="6" s="1"/>
  <c r="AD599" i="6" s="1"/>
  <c r="AL465" i="6"/>
  <c r="AL20" i="6"/>
  <c r="AL24" i="6" s="1"/>
  <c r="BB322" i="6"/>
  <c r="AC614" i="6"/>
  <c r="AC616" i="6" s="1"/>
  <c r="AC622" i="6" s="1"/>
  <c r="AC559" i="6"/>
  <c r="AC572" i="6" s="1"/>
  <c r="AC599" i="6" s="1"/>
  <c r="BB287" i="6"/>
  <c r="BB281" i="6"/>
  <c r="AO136" i="6"/>
  <c r="C7" i="58483" s="1"/>
  <c r="H7" i="58483" s="1"/>
  <c r="AY715" i="6"/>
  <c r="Z716" i="6"/>
  <c r="AN40" i="6"/>
  <c r="AO16" i="6"/>
  <c r="AN240" i="6"/>
  <c r="AN238" i="6"/>
  <c r="AE572" i="6"/>
  <c r="AZ559" i="6"/>
  <c r="AJ40" i="6"/>
  <c r="BA40" i="6" s="1"/>
  <c r="BA16" i="6"/>
  <c r="BC277" i="6"/>
  <c r="AP279" i="6"/>
  <c r="AP284" i="6"/>
  <c r="AQ322" i="6"/>
  <c r="BD322" i="6" s="1"/>
  <c r="AO208" i="6"/>
  <c r="BB208" i="6" s="1"/>
  <c r="BD278" i="6" l="1"/>
  <c r="AQ285" i="6"/>
  <c r="BD285" i="6" s="1"/>
  <c r="FH563" i="58502"/>
  <c r="FH561" i="58502"/>
  <c r="FH565" i="58502" s="1"/>
  <c r="FH568" i="58502" s="1"/>
  <c r="FJ560" i="58502"/>
  <c r="AL260" i="6"/>
  <c r="AL31" i="6"/>
  <c r="AL36" i="6" s="1"/>
  <c r="AL483" i="6" s="1"/>
  <c r="AL257" i="6"/>
  <c r="AP323" i="6"/>
  <c r="D34" i="58477"/>
  <c r="D38" i="58477"/>
  <c r="B81" i="58477" s="1"/>
  <c r="D10" i="58477"/>
  <c r="F41" i="58477"/>
  <c r="G38" i="58477"/>
  <c r="G41" i="58477" s="1"/>
  <c r="H41" i="58477" s="1"/>
  <c r="G14" i="58477"/>
  <c r="G17" i="58477" s="1"/>
  <c r="H17" i="58477" s="1"/>
  <c r="F17" i="58477"/>
  <c r="BC322" i="6"/>
  <c r="AO142" i="6"/>
  <c r="BB142" i="6" s="1"/>
  <c r="BA455" i="6"/>
  <c r="AJ456" i="6"/>
  <c r="BA456" i="6" s="1"/>
  <c r="AK36" i="6"/>
  <c r="AN244" i="6"/>
  <c r="AA713" i="6"/>
  <c r="AY716" i="6"/>
  <c r="AK453" i="6"/>
  <c r="AK25" i="6"/>
  <c r="AI35" i="6"/>
  <c r="AJ23" i="6"/>
  <c r="AJ9" i="6"/>
  <c r="AI20" i="6"/>
  <c r="AI24" i="6" s="1"/>
  <c r="AI453" i="6" s="1"/>
  <c r="AQ279" i="6"/>
  <c r="AQ284" i="6"/>
  <c r="BD277" i="6"/>
  <c r="AM250" i="6"/>
  <c r="AM256" i="6"/>
  <c r="AM9" i="6"/>
  <c r="AG614" i="6"/>
  <c r="AG616" i="6" s="1"/>
  <c r="AG622" i="6" s="1"/>
  <c r="AG559" i="6"/>
  <c r="AG572" i="6" s="1"/>
  <c r="AG599" i="6" s="1"/>
  <c r="BC279" i="6"/>
  <c r="AP286" i="6"/>
  <c r="BC286" i="6" s="1"/>
  <c r="AP280" i="6"/>
  <c r="AP281" i="6" s="1"/>
  <c r="D7" i="58483" s="1"/>
  <c r="AL25" i="6"/>
  <c r="AL453" i="6"/>
  <c r="AO240" i="6"/>
  <c r="AN23" i="6"/>
  <c r="AO455" i="6"/>
  <c r="AE622" i="6"/>
  <c r="AZ622" i="6" s="1"/>
  <c r="AZ616" i="6"/>
  <c r="AK267" i="6"/>
  <c r="AK265" i="6"/>
  <c r="AK266" i="6"/>
  <c r="AK135" i="6"/>
  <c r="AE599" i="6"/>
  <c r="AZ599" i="6" s="1"/>
  <c r="AZ572" i="6"/>
  <c r="BB16" i="6"/>
  <c r="AO40" i="6"/>
  <c r="BB40" i="6" s="1"/>
  <c r="AL468" i="6"/>
  <c r="AK468" i="6"/>
  <c r="AL267" i="6"/>
  <c r="AL265" i="6"/>
  <c r="AL266" i="6"/>
  <c r="AL135" i="6"/>
  <c r="AL714" i="6" l="1"/>
  <c r="AL47" i="6"/>
  <c r="AL39" i="6"/>
  <c r="AL43" i="6" s="1"/>
  <c r="AL147" i="6" s="1"/>
  <c r="M126" i="58511"/>
  <c r="FS391" i="58481"/>
  <c r="FU391" i="58481" s="1"/>
  <c r="K126" i="58511"/>
  <c r="BR217" i="58502"/>
  <c r="BR220" i="58502" s="1"/>
  <c r="AJ31" i="6"/>
  <c r="DT403" i="58502" s="1"/>
  <c r="DT404" i="58502" s="1"/>
  <c r="AP287" i="6"/>
  <c r="BC287" i="6" s="1"/>
  <c r="BC281" i="6"/>
  <c r="AP136" i="6"/>
  <c r="I7" i="58483" s="1"/>
  <c r="AP16" i="6"/>
  <c r="AM257" i="6"/>
  <c r="AM31" i="6"/>
  <c r="AM39" i="6" s="1"/>
  <c r="AM43" i="6" s="1"/>
  <c r="AM147" i="6" s="1"/>
  <c r="AI39" i="6"/>
  <c r="AK714" i="6"/>
  <c r="AK483" i="6"/>
  <c r="AL141" i="6"/>
  <c r="AK141" i="6"/>
  <c r="AN35" i="6"/>
  <c r="AO23" i="6"/>
  <c r="AM259" i="6"/>
  <c r="AI25" i="6"/>
  <c r="AI481" i="6"/>
  <c r="AI553" i="6" s="1"/>
  <c r="AJ35" i="6"/>
  <c r="BA35" i="6" s="1"/>
  <c r="BA23" i="6"/>
  <c r="AE713" i="6"/>
  <c r="AA715" i="6"/>
  <c r="AA716" i="6" s="1"/>
  <c r="AB713" i="6" s="1"/>
  <c r="AL477" i="6"/>
  <c r="AL516" i="6"/>
  <c r="AL476" i="6"/>
  <c r="AL472" i="6"/>
  <c r="AL159" i="6" s="1"/>
  <c r="AK477" i="6"/>
  <c r="AK516" i="6"/>
  <c r="AK476" i="6"/>
  <c r="AK472" i="6"/>
  <c r="AK159" i="6" s="1"/>
  <c r="AK474" i="6"/>
  <c r="BB240" i="6"/>
  <c r="AO242" i="6"/>
  <c r="AP242" i="6" s="1"/>
  <c r="AQ280" i="6"/>
  <c r="AQ281" i="6" s="1"/>
  <c r="BC280" i="6"/>
  <c r="AP14" i="6"/>
  <c r="BC14" i="6" s="1"/>
  <c r="AM465" i="6"/>
  <c r="AM20" i="6"/>
  <c r="AM24" i="6" s="1"/>
  <c r="BA9" i="6"/>
  <c r="AJ20" i="6"/>
  <c r="AN249" i="6"/>
  <c r="AO244" i="6"/>
  <c r="AI544" i="6"/>
  <c r="AL474" i="6"/>
  <c r="BB455" i="6"/>
  <c r="AO456" i="6"/>
  <c r="BB456" i="6" s="1"/>
  <c r="AQ286" i="6"/>
  <c r="BD286" i="6" s="1"/>
  <c r="BD279" i="6"/>
  <c r="AK47" i="6"/>
  <c r="BP217" i="58502" l="1"/>
  <c r="BP220" i="58502" s="1"/>
  <c r="BP222" i="58502" s="1"/>
  <c r="J126" i="58511"/>
  <c r="G147" i="58480"/>
  <c r="G148" i="58480" s="1"/>
  <c r="L126" i="58511"/>
  <c r="I61" i="58511"/>
  <c r="J61" i="58511" s="1"/>
  <c r="J57" i="58511" s="1"/>
  <c r="Q170" i="58480"/>
  <c r="Q171" i="58480" s="1"/>
  <c r="Q173" i="58480" s="1"/>
  <c r="BQ217" i="58502"/>
  <c r="BQ220" i="58502" s="1"/>
  <c r="GB391" i="58481"/>
  <c r="FW391" i="58481"/>
  <c r="GA391" i="58481"/>
  <c r="GC391" i="58481"/>
  <c r="FY391" i="58481"/>
  <c r="FZ391" i="58481"/>
  <c r="FX391" i="58481"/>
  <c r="AP142" i="6"/>
  <c r="BC142" i="6" s="1"/>
  <c r="AI518" i="6"/>
  <c r="AJ553" i="6"/>
  <c r="AI502" i="6"/>
  <c r="AB715" i="6"/>
  <c r="AQ287" i="6"/>
  <c r="BD287" i="6" s="1"/>
  <c r="BD281" i="6"/>
  <c r="AQ136" i="6"/>
  <c r="AQ142" i="6" s="1"/>
  <c r="BD142" i="6" s="1"/>
  <c r="AQ16" i="6"/>
  <c r="AJ24" i="6"/>
  <c r="BA20" i="6"/>
  <c r="AN451" i="6"/>
  <c r="AJ451" i="6"/>
  <c r="AM36" i="6"/>
  <c r="AM47" i="6" s="1"/>
  <c r="AN256" i="6"/>
  <c r="AN259" i="6" s="1"/>
  <c r="AN9" i="6"/>
  <c r="AO249" i="6"/>
  <c r="BA31" i="6"/>
  <c r="AJ39" i="6"/>
  <c r="BQ202" i="58502" s="1"/>
  <c r="BB244" i="6"/>
  <c r="BB242" i="6"/>
  <c r="AM468" i="6"/>
  <c r="AL485" i="6"/>
  <c r="AZ713" i="6"/>
  <c r="AM264" i="6"/>
  <c r="AM260" i="6"/>
  <c r="AP456" i="6"/>
  <c r="BC16" i="6"/>
  <c r="AP40" i="6"/>
  <c r="BC40" i="6" s="1"/>
  <c r="AM453" i="6"/>
  <c r="AM25" i="6"/>
  <c r="BD280" i="6"/>
  <c r="AQ14" i="6"/>
  <c r="BD14" i="6" s="1"/>
  <c r="AK485" i="6"/>
  <c r="AO35" i="6"/>
  <c r="BB35" i="6" s="1"/>
  <c r="BB23" i="6"/>
  <c r="K61" i="58511" l="1"/>
  <c r="L61" i="58511" s="1"/>
  <c r="M61" i="58511" s="1"/>
  <c r="J58" i="58511"/>
  <c r="BQ205" i="58502"/>
  <c r="BQ208" i="58502" s="1"/>
  <c r="BQ224" i="58502"/>
  <c r="AM516" i="6"/>
  <c r="AM476" i="6"/>
  <c r="AM472" i="6"/>
  <c r="AM159" i="6" s="1"/>
  <c r="AM477" i="6"/>
  <c r="BB249" i="6"/>
  <c r="AO253" i="6"/>
  <c r="AN31" i="6"/>
  <c r="AN39" i="6" s="1"/>
  <c r="AO256" i="6"/>
  <c r="AB716" i="6"/>
  <c r="AC713" i="6" s="1"/>
  <c r="BC456" i="6"/>
  <c r="AP455" i="6"/>
  <c r="AM266" i="6"/>
  <c r="AM267" i="6"/>
  <c r="AM265" i="6"/>
  <c r="AM135" i="6"/>
  <c r="AM474" i="6"/>
  <c r="AI525" i="6"/>
  <c r="AI485" i="6"/>
  <c r="AJ516" i="6"/>
  <c r="AI563" i="6"/>
  <c r="BA39" i="6"/>
  <c r="AN465" i="6"/>
  <c r="AN20" i="6"/>
  <c r="AN24" i="6" s="1"/>
  <c r="AN453" i="6" s="1"/>
  <c r="AO9" i="6"/>
  <c r="AJ33" i="6"/>
  <c r="AI42" i="6"/>
  <c r="AI43" i="6" s="1"/>
  <c r="AI147" i="6" s="1"/>
  <c r="AI36" i="6"/>
  <c r="AJ481" i="6"/>
  <c r="BA481" i="6" s="1"/>
  <c r="AJ27" i="6"/>
  <c r="AJ28" i="6" s="1"/>
  <c r="AJ25" i="6"/>
  <c r="BA25" i="6" s="1"/>
  <c r="BA24" i="6"/>
  <c r="AJ502" i="6"/>
  <c r="AQ242" i="6"/>
  <c r="BC242" i="6"/>
  <c r="AM714" i="6"/>
  <c r="AM483" i="6"/>
  <c r="BA452" i="6"/>
  <c r="AJ453" i="6"/>
  <c r="BA453" i="6" s="1"/>
  <c r="BA451" i="6"/>
  <c r="AQ456" i="6"/>
  <c r="BD456" i="6" s="1"/>
  <c r="BD16" i="6"/>
  <c r="AQ40" i="6"/>
  <c r="BD40" i="6" s="1"/>
  <c r="BA553" i="6"/>
  <c r="AK481" i="6"/>
  <c r="AK553" i="6" s="1"/>
  <c r="AK502" i="6" s="1"/>
  <c r="AN264" i="6"/>
  <c r="AO451" i="6"/>
  <c r="AN33" i="6"/>
  <c r="AI166" i="6"/>
  <c r="AJ518" i="6"/>
  <c r="K57" i="58511" l="1"/>
  <c r="L57" i="58511" s="1"/>
  <c r="J54" i="58511"/>
  <c r="J55" i="58511"/>
  <c r="J59" i="58511"/>
  <c r="BA33" i="6"/>
  <c r="AJ42" i="6"/>
  <c r="AJ36" i="6"/>
  <c r="BB9" i="6"/>
  <c r="AO20" i="6"/>
  <c r="AM141" i="6"/>
  <c r="AQ455" i="6"/>
  <c r="BC455" i="6"/>
  <c r="AP23" i="6"/>
  <c r="BB256" i="6"/>
  <c r="AO259" i="6"/>
  <c r="AN36" i="6"/>
  <c r="AN47" i="6" s="1"/>
  <c r="AO31" i="6"/>
  <c r="AO261" i="6"/>
  <c r="AP261" i="6" s="1"/>
  <c r="AQ261" i="6" s="1"/>
  <c r="AM485" i="6"/>
  <c r="BD242" i="6"/>
  <c r="BA518" i="6"/>
  <c r="AJ166" i="6"/>
  <c r="AN42" i="6"/>
  <c r="AN43" i="6" s="1"/>
  <c r="AN147" i="6" s="1"/>
  <c r="AO33" i="6"/>
  <c r="AN266" i="6"/>
  <c r="AN135" i="6"/>
  <c r="AI714" i="6"/>
  <c r="AJ714" i="6" s="1"/>
  <c r="BA714" i="6" s="1"/>
  <c r="AI483" i="6"/>
  <c r="AI482" i="6"/>
  <c r="AI575" i="6" s="1"/>
  <c r="AI47" i="6"/>
  <c r="AN25" i="6"/>
  <c r="AI698" i="6"/>
  <c r="AI700" i="6" s="1"/>
  <c r="AI561" i="6"/>
  <c r="AJ561" i="6" s="1"/>
  <c r="BB451" i="6"/>
  <c r="AO452" i="6"/>
  <c r="BB452" i="6" s="1"/>
  <c r="AP451" i="6"/>
  <c r="AK518" i="6"/>
  <c r="AL481" i="6"/>
  <c r="AL553" i="6" s="1"/>
  <c r="BA502" i="6"/>
  <c r="AN468" i="6"/>
  <c r="AN474" i="6" s="1"/>
  <c r="AO465" i="6"/>
  <c r="BR213" i="58502" s="1"/>
  <c r="AJ525" i="6"/>
  <c r="BA525" i="6" s="1"/>
  <c r="AJ485" i="6"/>
  <c r="BA485" i="6" s="1"/>
  <c r="BA516" i="6"/>
  <c r="AO264" i="6"/>
  <c r="AC715" i="6"/>
  <c r="AC716" i="6" s="1"/>
  <c r="AD713" i="6" s="1"/>
  <c r="K58" i="58511" l="1"/>
  <c r="K59" i="58511" s="1"/>
  <c r="M57" i="58511"/>
  <c r="F46" i="58477"/>
  <c r="D22" i="58477"/>
  <c r="F22" i="58477"/>
  <c r="D46" i="58477"/>
  <c r="AI579" i="6"/>
  <c r="AJ575" i="6"/>
  <c r="AI506" i="6"/>
  <c r="AI501" i="6" s="1"/>
  <c r="AK166" i="6"/>
  <c r="AK525" i="6"/>
  <c r="BB33" i="6"/>
  <c r="AO42" i="6"/>
  <c r="BB42" i="6" s="1"/>
  <c r="AO36" i="6"/>
  <c r="BB31" i="6"/>
  <c r="AP35" i="6"/>
  <c r="BC35" i="6" s="1"/>
  <c r="BC23" i="6"/>
  <c r="AJ483" i="6"/>
  <c r="BA483" i="6" s="1"/>
  <c r="AJ482" i="6"/>
  <c r="BA482" i="6" s="1"/>
  <c r="BA36" i="6"/>
  <c r="AJ47" i="6"/>
  <c r="AQ451" i="6"/>
  <c r="BC451" i="6"/>
  <c r="AP33" i="6"/>
  <c r="BA561" i="6"/>
  <c r="AJ563" i="6"/>
  <c r="AN714" i="6"/>
  <c r="AN483" i="6"/>
  <c r="BB259" i="6"/>
  <c r="AO39" i="6"/>
  <c r="BR202" i="58502" s="1"/>
  <c r="BA42" i="6"/>
  <c r="AJ43" i="6"/>
  <c r="AN516" i="6"/>
  <c r="AN476" i="6"/>
  <c r="AN472" i="6"/>
  <c r="AN159" i="6" s="1"/>
  <c r="BA166" i="6"/>
  <c r="BD455" i="6"/>
  <c r="AQ23" i="6"/>
  <c r="AO24" i="6"/>
  <c r="BB20" i="6"/>
  <c r="AD715" i="6"/>
  <c r="AD716" i="6" s="1"/>
  <c r="AL518" i="6"/>
  <c r="AM481" i="6"/>
  <c r="AM553" i="6" s="1"/>
  <c r="AM502" i="6" s="1"/>
  <c r="AO270" i="6"/>
  <c r="AO266" i="6"/>
  <c r="GJ530" i="58479" s="1"/>
  <c r="BB264" i="6"/>
  <c r="AO135" i="6"/>
  <c r="C6" i="58483" s="1"/>
  <c r="H6" i="58483" s="1"/>
  <c r="F8" i="58483" s="1"/>
  <c r="AO475" i="6"/>
  <c r="AP475" i="6" s="1"/>
  <c r="AQ475" i="6" s="1"/>
  <c r="BB465" i="6"/>
  <c r="AO468" i="6"/>
  <c r="AO474" i="6" s="1"/>
  <c r="BB474" i="6" s="1"/>
  <c r="AL502" i="6"/>
  <c r="AE715" i="6" l="1"/>
  <c r="AZ715" i="6" s="1"/>
  <c r="AI586" i="6"/>
  <c r="AJ586" i="6" s="1"/>
  <c r="AJ501" i="6"/>
  <c r="AN501" i="6"/>
  <c r="AO501" i="6" s="1"/>
  <c r="AP501" i="6" s="1"/>
  <c r="AQ501" i="6" s="1"/>
  <c r="K55" i="58511"/>
  <c r="K54" i="58511"/>
  <c r="L58" i="58511"/>
  <c r="L59" i="58511" s="1"/>
  <c r="BA43" i="6"/>
  <c r="DT405" i="58502"/>
  <c r="BR205" i="58502"/>
  <c r="BR208" i="58502" s="1"/>
  <c r="BR224" i="58502"/>
  <c r="F23" i="58477"/>
  <c r="G22" i="58477"/>
  <c r="G23" i="58477" s="1"/>
  <c r="F47" i="58477"/>
  <c r="G46" i="58477"/>
  <c r="G47" i="58477" s="1"/>
  <c r="AN485" i="6"/>
  <c r="AO516" i="6"/>
  <c r="AL166" i="6"/>
  <c r="AL525" i="6"/>
  <c r="AO27" i="6"/>
  <c r="AO28" i="6" s="1"/>
  <c r="BB24" i="6"/>
  <c r="AO47" i="6"/>
  <c r="AO25" i="6"/>
  <c r="BB25" i="6" s="1"/>
  <c r="AO481" i="6"/>
  <c r="BB481" i="6" s="1"/>
  <c r="AO453" i="6"/>
  <c r="BB453" i="6" s="1"/>
  <c r="AJ147" i="6"/>
  <c r="BA147" i="6" s="1"/>
  <c r="BA47" i="6"/>
  <c r="AJ506" i="6"/>
  <c r="AJ698" i="6"/>
  <c r="BA563" i="6"/>
  <c r="AK563" i="6"/>
  <c r="AP42" i="6"/>
  <c r="BC42" i="6" s="1"/>
  <c r="BC33" i="6"/>
  <c r="AO714" i="6"/>
  <c r="BB714" i="6" s="1"/>
  <c r="AO483" i="6"/>
  <c r="BB483" i="6" s="1"/>
  <c r="BB36" i="6"/>
  <c r="BB468" i="6"/>
  <c r="AO476" i="6"/>
  <c r="AO472" i="6"/>
  <c r="BD23" i="6"/>
  <c r="AQ35" i="6"/>
  <c r="BD35" i="6" s="1"/>
  <c r="AI108" i="6"/>
  <c r="AJ108" i="6" s="1"/>
  <c r="BA108" i="6" s="1"/>
  <c r="AJ57" i="6"/>
  <c r="AJ579" i="6"/>
  <c r="BA579" i="6" s="1"/>
  <c r="BA575" i="6"/>
  <c r="AO482" i="6"/>
  <c r="BB482" i="6" s="1"/>
  <c r="AK482" i="6"/>
  <c r="AK575" i="6" s="1"/>
  <c r="AE716" i="6"/>
  <c r="BB266" i="6"/>
  <c r="AM518" i="6"/>
  <c r="AN481" i="6"/>
  <c r="AN553" i="6" s="1"/>
  <c r="BB39" i="6"/>
  <c r="AO43" i="6"/>
  <c r="BB43" i="6" s="1"/>
  <c r="BD451" i="6"/>
  <c r="AQ33" i="6"/>
  <c r="BA586" i="6" l="1"/>
  <c r="AK586" i="6"/>
  <c r="AL586" i="6" s="1"/>
  <c r="AM586" i="6" s="1"/>
  <c r="AN586" i="6" s="1"/>
  <c r="AO586" i="6" s="1"/>
  <c r="M58" i="58511"/>
  <c r="M59" i="58511" s="1"/>
  <c r="L54" i="58511"/>
  <c r="L55" i="58511"/>
  <c r="F152" i="58480"/>
  <c r="FT393" i="58481"/>
  <c r="BC188" i="58502"/>
  <c r="CK276" i="58502"/>
  <c r="B57" i="58477"/>
  <c r="H47" i="58477"/>
  <c r="C8" i="58489" s="1"/>
  <c r="F8" i="58489" s="1"/>
  <c r="H23" i="58477"/>
  <c r="C12" i="58489" s="1"/>
  <c r="F12" i="58489" s="1"/>
  <c r="AM166" i="6"/>
  <c r="AM525" i="6"/>
  <c r="BB472" i="6"/>
  <c r="AO159" i="6"/>
  <c r="BB159" i="6" s="1"/>
  <c r="BA506" i="6"/>
  <c r="BA57" i="6"/>
  <c r="BA698" i="6"/>
  <c r="AJ700" i="6"/>
  <c r="BA700" i="6" s="1"/>
  <c r="AK698" i="6"/>
  <c r="AK700" i="6" s="1"/>
  <c r="AL563" i="6"/>
  <c r="AK561" i="6"/>
  <c r="AO147" i="6"/>
  <c r="BB147" i="6" s="1"/>
  <c r="BB47" i="6"/>
  <c r="AK579" i="6"/>
  <c r="AK506" i="6"/>
  <c r="AL482" i="6"/>
  <c r="AL575" i="6" s="1"/>
  <c r="BB516" i="6"/>
  <c r="AO485" i="6"/>
  <c r="BB485" i="6" s="1"/>
  <c r="BD33" i="6"/>
  <c r="AQ42" i="6"/>
  <c r="BD42" i="6" s="1"/>
  <c r="AN518" i="6"/>
  <c r="AO518" i="6" s="1"/>
  <c r="AO553" i="6"/>
  <c r="AN502" i="6"/>
  <c r="AF713" i="6"/>
  <c r="AZ716" i="6"/>
  <c r="BB586" i="6" l="1"/>
  <c r="AP586" i="6"/>
  <c r="M55" i="58511"/>
  <c r="M54" i="58511"/>
  <c r="CK282" i="58502"/>
  <c r="CS311" i="58502" s="1"/>
  <c r="CS310" i="58502"/>
  <c r="BB518" i="6"/>
  <c r="AO166" i="6"/>
  <c r="AO525" i="6"/>
  <c r="BB525" i="6" s="1"/>
  <c r="AJ713" i="6"/>
  <c r="AF715" i="6"/>
  <c r="AF716" i="6" s="1"/>
  <c r="AG713" i="6" s="1"/>
  <c r="AL698" i="6"/>
  <c r="AL700" i="6" s="1"/>
  <c r="AL561" i="6"/>
  <c r="AM563" i="6"/>
  <c r="BB553" i="6"/>
  <c r="AN166" i="6"/>
  <c r="AN525" i="6"/>
  <c r="AL579" i="6"/>
  <c r="AM482" i="6"/>
  <c r="AM575" i="6" s="1"/>
  <c r="AL506" i="6"/>
  <c r="AO502" i="6"/>
  <c r="BC586" i="6" l="1"/>
  <c r="AQ586" i="6"/>
  <c r="BD586" i="6" s="1"/>
  <c r="CS312" i="58502"/>
  <c r="AM698" i="6"/>
  <c r="AM700" i="6" s="1"/>
  <c r="AM561" i="6"/>
  <c r="AN563" i="6"/>
  <c r="BA713" i="6"/>
  <c r="BB502" i="6"/>
  <c r="AM579" i="6"/>
  <c r="AN482" i="6"/>
  <c r="AN575" i="6" s="1"/>
  <c r="AM506" i="6"/>
  <c r="BB166" i="6"/>
  <c r="AG715" i="6"/>
  <c r="AG716" i="6" s="1"/>
  <c r="AH713" i="6" s="1"/>
  <c r="AH715" i="6" l="1"/>
  <c r="AH716" i="6" s="1"/>
  <c r="AI713" i="6" s="1"/>
  <c r="AN579" i="6"/>
  <c r="AO575" i="6"/>
  <c r="AN506" i="6"/>
  <c r="AN698" i="6"/>
  <c r="AN700" i="6" s="1"/>
  <c r="AN561" i="6"/>
  <c r="AO561" i="6" s="1"/>
  <c r="AO506" i="6" l="1"/>
  <c r="AO579" i="6"/>
  <c r="BB579" i="6" s="1"/>
  <c r="BB575" i="6"/>
  <c r="AO563" i="6"/>
  <c r="BB561" i="6"/>
  <c r="AO698" i="6" l="1"/>
  <c r="BB563" i="6"/>
  <c r="BB506" i="6"/>
  <c r="BB698" i="6" l="1"/>
  <c r="AO700" i="6"/>
  <c r="BB700" i="6" s="1"/>
  <c r="G117" i="58407" l="1"/>
  <c r="H117" i="58407"/>
  <c r="I117" i="58407"/>
  <c r="J117" i="58407"/>
  <c r="K117" i="58407"/>
  <c r="L117" i="58407"/>
  <c r="M117" i="58407"/>
  <c r="N117" i="58407"/>
  <c r="G132" i="58407"/>
  <c r="K132" i="58407"/>
  <c r="L132" i="58407"/>
  <c r="M132" i="58407"/>
  <c r="N132" i="58407"/>
  <c r="G142" i="58407"/>
  <c r="H142" i="58407"/>
  <c r="I142" i="58407"/>
  <c r="J142" i="58407"/>
  <c r="K142" i="58407"/>
  <c r="L142" i="58407"/>
  <c r="M142" i="58407"/>
  <c r="N142" i="58407"/>
  <c r="G150" i="58407"/>
  <c r="H150" i="58407"/>
  <c r="I150" i="58407"/>
  <c r="J150" i="58407"/>
  <c r="K150" i="58407"/>
  <c r="L150" i="58407"/>
  <c r="M150" i="58407"/>
  <c r="N150" i="58407"/>
  <c r="G160" i="58407"/>
  <c r="M160" i="58407"/>
  <c r="N160" i="58407"/>
  <c r="G162" i="58407"/>
  <c r="G161" i="58407" s="1"/>
  <c r="H162" i="58407"/>
  <c r="H161" i="58407" s="1"/>
  <c r="I162" i="58407"/>
  <c r="I161" i="58407" s="1"/>
  <c r="J162" i="58407"/>
  <c r="J161" i="58407" s="1"/>
  <c r="K162" i="58407"/>
  <c r="K161" i="58407" s="1"/>
  <c r="L162" i="58407"/>
  <c r="M162" i="58407"/>
  <c r="N162" i="58407"/>
  <c r="L164" i="58407"/>
  <c r="M164" i="58407"/>
  <c r="N164" i="58407"/>
  <c r="G170" i="58407"/>
  <c r="H170" i="58407"/>
  <c r="J170" i="58407"/>
  <c r="K170" i="58407"/>
  <c r="M170" i="58407"/>
  <c r="N170" i="58407"/>
  <c r="G174" i="58407"/>
  <c r="H174" i="58407"/>
  <c r="I174" i="58407"/>
  <c r="J174" i="58407"/>
  <c r="G179" i="58407"/>
  <c r="H179" i="58407"/>
  <c r="I179" i="58407"/>
  <c r="J179" i="58407"/>
  <c r="K179" i="58407"/>
  <c r="L179" i="58407"/>
  <c r="M179" i="58407"/>
  <c r="N179" i="58407"/>
  <c r="I182" i="58407"/>
  <c r="K182" i="58407"/>
  <c r="L182" i="58407"/>
  <c r="M182" i="58407"/>
  <c r="N182" i="58407"/>
  <c r="G183" i="58407"/>
  <c r="H183" i="58407"/>
  <c r="I183" i="58407"/>
  <c r="J183" i="58407"/>
  <c r="K183" i="58407"/>
  <c r="L183" i="58407"/>
  <c r="M183" i="58407"/>
  <c r="N183" i="58407"/>
  <c r="G188" i="58407"/>
  <c r="G187" i="58407" s="1"/>
  <c r="G186" i="58407" s="1"/>
  <c r="H188" i="58407"/>
  <c r="H187" i="58407" s="1"/>
  <c r="H186" i="58407" s="1"/>
  <c r="I188" i="58407"/>
  <c r="I187" i="58407" s="1"/>
  <c r="I186" i="58407" s="1"/>
  <c r="J188" i="58407"/>
  <c r="J187" i="58407" s="1"/>
  <c r="J186" i="58407" s="1"/>
  <c r="K188" i="58407"/>
  <c r="K187" i="58407" s="1"/>
  <c r="K186" i="58407" s="1"/>
  <c r="L188" i="58407"/>
  <c r="L187" i="58407" s="1"/>
  <c r="L186" i="58407" s="1"/>
  <c r="M188" i="58407"/>
  <c r="M187" i="58407" s="1"/>
  <c r="M186" i="58407" s="1"/>
  <c r="N188" i="58407"/>
  <c r="N187" i="58407" s="1"/>
  <c r="N186" i="58407" s="1"/>
  <c r="K190" i="58407"/>
  <c r="G191" i="58407"/>
  <c r="H191" i="58407"/>
  <c r="I191" i="58407"/>
  <c r="J191" i="58407"/>
  <c r="K191" i="58407"/>
  <c r="L191" i="58407"/>
  <c r="M191" i="58407"/>
  <c r="N191" i="58407"/>
  <c r="K201" i="58407"/>
  <c r="G202" i="58407"/>
  <c r="H202" i="58407"/>
  <c r="I202" i="58407"/>
  <c r="J202" i="58407"/>
  <c r="K202" i="58407"/>
  <c r="L202" i="58407"/>
  <c r="M202" i="58407"/>
  <c r="N202" i="58407"/>
  <c r="G208" i="58407"/>
  <c r="H208" i="58407"/>
  <c r="I208" i="58407"/>
  <c r="J208" i="58407"/>
  <c r="K208" i="58407"/>
  <c r="L208" i="58407"/>
  <c r="M208" i="58407"/>
  <c r="N208" i="58407"/>
  <c r="G211" i="58407"/>
  <c r="G207" i="58407" s="1"/>
  <c r="H211" i="58407"/>
  <c r="I211" i="58407"/>
  <c r="J211" i="58407"/>
  <c r="K211" i="58407"/>
  <c r="L211" i="58407"/>
  <c r="M211" i="58407"/>
  <c r="N211" i="58407"/>
  <c r="J215" i="58407"/>
  <c r="M215" i="58407"/>
  <c r="N215" i="58407"/>
  <c r="I216" i="58407"/>
  <c r="K216" i="58407"/>
  <c r="G219" i="58407"/>
  <c r="H219" i="58407"/>
  <c r="J219" i="58407"/>
  <c r="K219" i="58407"/>
  <c r="L219" i="58407"/>
  <c r="M220" i="58407"/>
  <c r="G223" i="58407"/>
  <c r="H223" i="58407"/>
  <c r="I223" i="58407"/>
  <c r="J223" i="58407"/>
  <c r="K223" i="58407"/>
  <c r="L223" i="58407"/>
  <c r="M223" i="58407"/>
  <c r="N223" i="58407"/>
  <c r="G227" i="58407"/>
  <c r="H227" i="58407"/>
  <c r="I227" i="58407"/>
  <c r="J227" i="58407"/>
  <c r="K227" i="58407"/>
  <c r="L227" i="58407"/>
  <c r="M227" i="58407"/>
  <c r="N227" i="58407"/>
  <c r="G236" i="58407"/>
  <c r="H236" i="58407"/>
  <c r="I236" i="58407"/>
  <c r="J236" i="58407"/>
  <c r="K236" i="58407"/>
  <c r="L236" i="58407"/>
  <c r="M236" i="58407"/>
  <c r="N236" i="58407"/>
  <c r="H241" i="58407"/>
  <c r="K241" i="58407"/>
  <c r="L241" i="58407"/>
  <c r="M241" i="58407"/>
  <c r="N241" i="58407"/>
  <c r="G243" i="58407"/>
  <c r="G241" i="58407" s="1"/>
  <c r="K244" i="58407"/>
  <c r="I245" i="58407"/>
  <c r="I244" i="58407" s="1"/>
  <c r="J245" i="58407"/>
  <c r="J244" i="58407" s="1"/>
  <c r="N245" i="58407"/>
  <c r="N244" i="58407" s="1"/>
  <c r="H246" i="58407"/>
  <c r="H245" i="58407" s="1"/>
  <c r="H244" i="58407" s="1"/>
  <c r="L246" i="58407"/>
  <c r="L245" i="58407" s="1"/>
  <c r="L244" i="58407" s="1"/>
  <c r="G249" i="58407"/>
  <c r="H249" i="58407"/>
  <c r="I249" i="58407"/>
  <c r="J249" i="58407"/>
  <c r="K249" i="58407"/>
  <c r="L249" i="58407"/>
  <c r="M249" i="58407"/>
  <c r="N249" i="58407"/>
  <c r="K259" i="58407"/>
  <c r="L259" i="58407"/>
  <c r="M259" i="58407"/>
  <c r="N259" i="58407"/>
  <c r="K261" i="58407"/>
  <c r="L261" i="58407"/>
  <c r="M261" i="58407"/>
  <c r="N261" i="58407"/>
  <c r="G267" i="58407"/>
  <c r="G217" i="58407" s="1"/>
  <c r="G215" i="58407" s="1"/>
  <c r="I267" i="58407"/>
  <c r="I221" i="58407" s="1"/>
  <c r="G275" i="58407"/>
  <c r="G274" i="58407" s="1"/>
  <c r="H275" i="58407"/>
  <c r="H274" i="58407" s="1"/>
  <c r="I275" i="58407"/>
  <c r="I274" i="58407" s="1"/>
  <c r="J275" i="58407"/>
  <c r="J274" i="58407" s="1"/>
  <c r="K275" i="58407"/>
  <c r="K274" i="58407" s="1"/>
  <c r="L275" i="58407"/>
  <c r="L274" i="58407" s="1"/>
  <c r="M275" i="58407"/>
  <c r="M274" i="58407" s="1"/>
  <c r="N275" i="58407"/>
  <c r="N274" i="58407" s="1"/>
  <c r="G277" i="58407"/>
  <c r="H277" i="58407"/>
  <c r="I277" i="58407"/>
  <c r="J277" i="58407"/>
  <c r="K277" i="58407"/>
  <c r="L277" i="58407"/>
  <c r="M277" i="58407"/>
  <c r="N277" i="58407"/>
  <c r="G280" i="58407"/>
  <c r="H280" i="58407"/>
  <c r="I280" i="58407"/>
  <c r="J280" i="58407"/>
  <c r="K280" i="58407"/>
  <c r="L280" i="58407"/>
  <c r="M280" i="58407"/>
  <c r="N280" i="58407"/>
  <c r="G283" i="58407"/>
  <c r="G335" i="58407" s="1"/>
  <c r="G333" i="58407" s="1"/>
  <c r="H283" i="58407"/>
  <c r="I283" i="58407"/>
  <c r="J283" i="58407"/>
  <c r="K283" i="58407"/>
  <c r="L283" i="58407"/>
  <c r="M283" i="58407"/>
  <c r="N283" i="58407"/>
  <c r="G286" i="58407"/>
  <c r="H286" i="58407"/>
  <c r="I286" i="58407"/>
  <c r="J286" i="58407"/>
  <c r="K286" i="58407"/>
  <c r="L286" i="58407"/>
  <c r="M286" i="58407"/>
  <c r="N286" i="58407"/>
  <c r="G289" i="58407"/>
  <c r="H289" i="58407"/>
  <c r="I289" i="58407"/>
  <c r="J289" i="58407"/>
  <c r="K289" i="58407"/>
  <c r="L289" i="58407"/>
  <c r="M289" i="58407"/>
  <c r="N289" i="58407"/>
  <c r="G292" i="58407"/>
  <c r="H292" i="58407"/>
  <c r="I292" i="58407"/>
  <c r="J292" i="58407"/>
  <c r="K292" i="58407"/>
  <c r="L292" i="58407"/>
  <c r="M292" i="58407"/>
  <c r="N292" i="58407"/>
  <c r="G295" i="58407"/>
  <c r="H295" i="58407"/>
  <c r="I295" i="58407"/>
  <c r="J295" i="58407"/>
  <c r="K295" i="58407"/>
  <c r="L295" i="58407"/>
  <c r="M295" i="58407"/>
  <c r="N295" i="58407"/>
  <c r="K302" i="58407"/>
  <c r="K299" i="58407" s="1"/>
  <c r="L302" i="58407"/>
  <c r="L299" i="58407" s="1"/>
  <c r="M305" i="58407"/>
  <c r="M302" i="58407" s="1"/>
  <c r="M299" i="58407" s="1"/>
  <c r="N305" i="58407"/>
  <c r="N302" i="58407" s="1"/>
  <c r="N299" i="58407" s="1"/>
  <c r="G307" i="58407"/>
  <c r="G306" i="58407" s="1"/>
  <c r="H307" i="58407"/>
  <c r="H306" i="58407" s="1"/>
  <c r="I307" i="58407"/>
  <c r="I306" i="58407" s="1"/>
  <c r="J307" i="58407"/>
  <c r="J306" i="58407" s="1"/>
  <c r="K307" i="58407"/>
  <c r="K306" i="58407" s="1"/>
  <c r="L307" i="58407"/>
  <c r="L306" i="58407" s="1"/>
  <c r="M307" i="58407"/>
  <c r="M306" i="58407" s="1"/>
  <c r="N307" i="58407"/>
  <c r="N306" i="58407" s="1"/>
  <c r="J313" i="58407"/>
  <c r="J317" i="58407" s="1"/>
  <c r="J316" i="58407" s="1"/>
  <c r="G314" i="58407"/>
  <c r="G313" i="58407" s="1"/>
  <c r="H314" i="58407"/>
  <c r="H313" i="58407" s="1"/>
  <c r="I314" i="58407"/>
  <c r="I313" i="58407" s="1"/>
  <c r="K315" i="58407"/>
  <c r="K314" i="58407" s="1"/>
  <c r="K313" i="58407" s="1"/>
  <c r="G316" i="58407"/>
  <c r="H316" i="58407"/>
  <c r="I316" i="58407"/>
  <c r="K317" i="58407"/>
  <c r="K316" i="58407" s="1"/>
  <c r="L317" i="58407"/>
  <c r="L316" i="58407" s="1"/>
  <c r="M317" i="58407"/>
  <c r="M316" i="58407" s="1"/>
  <c r="N317" i="58407"/>
  <c r="N316" i="58407" s="1"/>
  <c r="G322" i="58407"/>
  <c r="H322" i="58407"/>
  <c r="I322" i="58407"/>
  <c r="J322" i="58407"/>
  <c r="K322" i="58407"/>
  <c r="L322" i="58407"/>
  <c r="M322" i="58407"/>
  <c r="N322" i="58407"/>
  <c r="G327" i="58407"/>
  <c r="H327" i="58407"/>
  <c r="I327" i="58407"/>
  <c r="J327" i="58407"/>
  <c r="K327" i="58407"/>
  <c r="L327" i="58407"/>
  <c r="M327" i="58407"/>
  <c r="N327" i="58407"/>
  <c r="G331" i="58407"/>
  <c r="G95" i="58407" s="1"/>
  <c r="H331" i="58407"/>
  <c r="I331" i="58407"/>
  <c r="J331" i="58407"/>
  <c r="K331" i="58407"/>
  <c r="K95" i="58407" s="1"/>
  <c r="L331" i="58407"/>
  <c r="M331" i="58407"/>
  <c r="N331" i="58407"/>
  <c r="H333" i="58407"/>
  <c r="I333" i="58407"/>
  <c r="J333" i="58407"/>
  <c r="K335" i="58407"/>
  <c r="K333" i="58407" s="1"/>
  <c r="L335" i="58407"/>
  <c r="L333" i="58407" s="1"/>
  <c r="M335" i="58407"/>
  <c r="M333" i="58407" s="1"/>
  <c r="N335" i="58407"/>
  <c r="N333" i="58407" s="1"/>
  <c r="G336" i="58407"/>
  <c r="H336" i="58407"/>
  <c r="I336" i="58407"/>
  <c r="J336" i="58407"/>
  <c r="K336" i="58407"/>
  <c r="L336" i="58407"/>
  <c r="M336" i="58407"/>
  <c r="N336" i="58407"/>
  <c r="G339" i="58407"/>
  <c r="G342" i="58407"/>
  <c r="H342" i="58407"/>
  <c r="I342" i="58407"/>
  <c r="J342" i="58407"/>
  <c r="K342" i="58407"/>
  <c r="L342" i="58407"/>
  <c r="M342" i="58407"/>
  <c r="N342" i="58407"/>
  <c r="G345" i="58407"/>
  <c r="H345" i="58407"/>
  <c r="I345" i="58407"/>
  <c r="J345" i="58407"/>
  <c r="K345" i="58407"/>
  <c r="L345" i="58407"/>
  <c r="M345" i="58407"/>
  <c r="M341" i="58407" s="1"/>
  <c r="N345" i="58407"/>
  <c r="N341" i="58407" s="1"/>
  <c r="G350" i="58407"/>
  <c r="H350" i="58407"/>
  <c r="I350" i="58407"/>
  <c r="J350" i="58407"/>
  <c r="K350" i="58407"/>
  <c r="L350" i="58407"/>
  <c r="M350" i="58407"/>
  <c r="N350" i="58407"/>
  <c r="G355" i="58407"/>
  <c r="H355" i="58407"/>
  <c r="I355" i="58407"/>
  <c r="J355" i="58407"/>
  <c r="K355" i="58407"/>
  <c r="L355" i="58407"/>
  <c r="M355" i="58407"/>
  <c r="N355" i="58407"/>
  <c r="G362" i="58407"/>
  <c r="G359" i="58407" s="1"/>
  <c r="H362" i="58407"/>
  <c r="H359" i="58407" s="1"/>
  <c r="I362" i="58407"/>
  <c r="I359" i="58407" s="1"/>
  <c r="J362" i="58407"/>
  <c r="J359" i="58407" s="1"/>
  <c r="K362" i="58407"/>
  <c r="K359" i="58407" s="1"/>
  <c r="L362" i="58407"/>
  <c r="L359" i="58407" s="1"/>
  <c r="M362" i="58407"/>
  <c r="M359" i="58407" s="1"/>
  <c r="N362" i="58407"/>
  <c r="N359" i="58407" s="1"/>
  <c r="G368" i="58407"/>
  <c r="G364" i="58407" s="1"/>
  <c r="H368" i="58407"/>
  <c r="H365" i="58407" s="1"/>
  <c r="H364" i="58407" s="1"/>
  <c r="I368" i="58407"/>
  <c r="I365" i="58407" s="1"/>
  <c r="I364" i="58407" s="1"/>
  <c r="J368" i="58407"/>
  <c r="J365" i="58407" s="1"/>
  <c r="J364" i="58407" s="1"/>
  <c r="K368" i="58407"/>
  <c r="K365" i="58407" s="1"/>
  <c r="K364" i="58407" s="1"/>
  <c r="L368" i="58407"/>
  <c r="L365" i="58407" s="1"/>
  <c r="L364" i="58407" s="1"/>
  <c r="M368" i="58407"/>
  <c r="M365" i="58407" s="1"/>
  <c r="M364" i="58407" s="1"/>
  <c r="N368" i="58407"/>
  <c r="N365" i="58407" s="1"/>
  <c r="N364" i="58407" s="1"/>
  <c r="G369" i="58407"/>
  <c r="H369" i="58407"/>
  <c r="I369" i="58407"/>
  <c r="J369" i="58407"/>
  <c r="K369" i="58407"/>
  <c r="L369" i="58407"/>
  <c r="M369" i="58407"/>
  <c r="N369" i="58407"/>
  <c r="G378" i="58407"/>
  <c r="H378" i="58407"/>
  <c r="I378" i="58407"/>
  <c r="J378" i="58407"/>
  <c r="K378" i="58407"/>
  <c r="L378" i="58407"/>
  <c r="M378" i="58407"/>
  <c r="N378" i="58407"/>
  <c r="G381" i="58407"/>
  <c r="H381" i="58407"/>
  <c r="I381" i="58407"/>
  <c r="J381" i="58407"/>
  <c r="K381" i="58407"/>
  <c r="L381" i="58407"/>
  <c r="M381" i="58407"/>
  <c r="N381" i="58407"/>
  <c r="G384" i="58407"/>
  <c r="H384" i="58407"/>
  <c r="I384" i="58407"/>
  <c r="J384" i="58407"/>
  <c r="K384" i="58407"/>
  <c r="L384" i="58407"/>
  <c r="M384" i="58407"/>
  <c r="N384" i="58407"/>
  <c r="G392" i="58407"/>
  <c r="H392" i="58407"/>
  <c r="I392" i="58407"/>
  <c r="J392" i="58407"/>
  <c r="K392" i="58407"/>
  <c r="L392" i="58407"/>
  <c r="M392" i="58407"/>
  <c r="N392" i="58407"/>
  <c r="F398" i="58407"/>
  <c r="G400" i="58407"/>
  <c r="G399" i="58407" s="1"/>
  <c r="H400" i="58407"/>
  <c r="H399" i="58407" s="1"/>
  <c r="I400" i="58407"/>
  <c r="I399" i="58407" s="1"/>
  <c r="J400" i="58407"/>
  <c r="J399" i="58407" s="1"/>
  <c r="K400" i="58407"/>
  <c r="K399" i="58407" s="1"/>
  <c r="L400" i="58407"/>
  <c r="L399" i="58407" s="1"/>
  <c r="M400" i="58407"/>
  <c r="M399" i="58407" s="1"/>
  <c r="N400" i="58407"/>
  <c r="N399" i="58407" s="1"/>
  <c r="L403" i="58407"/>
  <c r="M403" i="58407"/>
  <c r="N403" i="58407"/>
  <c r="J404" i="58407"/>
  <c r="I404" i="58407"/>
  <c r="H404" i="58407" s="1"/>
  <c r="G404" i="58407" s="1"/>
  <c r="K406" i="58407"/>
  <c r="K403" i="58407" s="1"/>
  <c r="J420" i="58407"/>
  <c r="K420" i="58407"/>
  <c r="L422" i="58407"/>
  <c r="M422" i="58407"/>
  <c r="N422" i="58407"/>
  <c r="I426" i="58407"/>
  <c r="K438" i="58407"/>
  <c r="L438" i="58407"/>
  <c r="N438" i="58407"/>
  <c r="J448" i="58407"/>
  <c r="G454" i="58407"/>
  <c r="H454" i="58407"/>
  <c r="I454" i="58407"/>
  <c r="J454" i="58407"/>
  <c r="K454" i="58407"/>
  <c r="L454" i="58407"/>
  <c r="M454" i="58407"/>
  <c r="N454" i="58407"/>
  <c r="G489" i="58407"/>
  <c r="H489" i="58407"/>
  <c r="I489" i="58407"/>
  <c r="J489" i="58407"/>
  <c r="K489" i="58407"/>
  <c r="K131" i="58407" s="1"/>
  <c r="L489" i="58407"/>
  <c r="M489" i="58407"/>
  <c r="N489" i="58407"/>
  <c r="G491" i="58407"/>
  <c r="H491" i="58407"/>
  <c r="I491" i="58407"/>
  <c r="J491" i="58407"/>
  <c r="K491" i="58407"/>
  <c r="L491" i="58407"/>
  <c r="M491" i="58407"/>
  <c r="N491" i="58407"/>
  <c r="G498" i="58407"/>
  <c r="H498" i="58407"/>
  <c r="I498" i="58407"/>
  <c r="J498" i="58407"/>
  <c r="K498" i="58407"/>
  <c r="L498" i="58407"/>
  <c r="M498" i="58407"/>
  <c r="N498" i="58407"/>
  <c r="G501" i="58407"/>
  <c r="H501" i="58407"/>
  <c r="I501" i="58407"/>
  <c r="J501" i="58407"/>
  <c r="K501" i="58407"/>
  <c r="L501" i="58407"/>
  <c r="M501" i="58407"/>
  <c r="N501" i="58407"/>
  <c r="G504" i="58407"/>
  <c r="H504" i="58407"/>
  <c r="I504" i="58407"/>
  <c r="J504" i="58407"/>
  <c r="K504" i="58407"/>
  <c r="L504" i="58407"/>
  <c r="M504" i="58407"/>
  <c r="N504" i="58407"/>
  <c r="G512" i="58407"/>
  <c r="H512" i="58407"/>
  <c r="I512" i="58407"/>
  <c r="J512" i="58407"/>
  <c r="K512" i="58407"/>
  <c r="L512" i="58407"/>
  <c r="M512" i="58407"/>
  <c r="N512" i="58407"/>
  <c r="G515" i="58407"/>
  <c r="H515" i="58407"/>
  <c r="I515" i="58407"/>
  <c r="J515" i="58407"/>
  <c r="J511" i="58407" s="1"/>
  <c r="K515" i="58407"/>
  <c r="L515" i="58407"/>
  <c r="M515" i="58407"/>
  <c r="N515" i="58407"/>
  <c r="N511" i="58407" s="1"/>
  <c r="G524" i="58407"/>
  <c r="H524" i="58407"/>
  <c r="I524" i="58407"/>
  <c r="J524" i="58407"/>
  <c r="K524" i="58407"/>
  <c r="L524" i="58407"/>
  <c r="M524" i="58407"/>
  <c r="N524" i="58407"/>
  <c r="G526" i="58407"/>
  <c r="H526" i="58407"/>
  <c r="I526" i="58407"/>
  <c r="J526" i="58407"/>
  <c r="K526" i="58407"/>
  <c r="L526" i="58407"/>
  <c r="M526" i="58407"/>
  <c r="N526" i="58407"/>
  <c r="H529" i="58407"/>
  <c r="H130" i="58407" s="1"/>
  <c r="I529" i="58407"/>
  <c r="J529" i="58407"/>
  <c r="J130" i="58407" s="1"/>
  <c r="K529" i="58407"/>
  <c r="L529" i="58407"/>
  <c r="M529" i="58407"/>
  <c r="N529" i="58407"/>
  <c r="H536" i="58407"/>
  <c r="H132" i="58407" s="1"/>
  <c r="I536" i="58407"/>
  <c r="I132" i="58407" s="1"/>
  <c r="J536" i="58407"/>
  <c r="G538" i="58407"/>
  <c r="H538" i="58407"/>
  <c r="H131" i="58407" s="1"/>
  <c r="I538" i="58407"/>
  <c r="J538" i="58407"/>
  <c r="J131" i="58407" s="1"/>
  <c r="L538" i="58407"/>
  <c r="L131" i="58407" s="1"/>
  <c r="M538" i="58407"/>
  <c r="N538" i="58407"/>
  <c r="N131" i="58407" s="1"/>
  <c r="H543" i="58407"/>
  <c r="I543" i="58407"/>
  <c r="G546" i="58407"/>
  <c r="H547" i="58407"/>
  <c r="I547" i="58407"/>
  <c r="J547" i="58407"/>
  <c r="J546" i="58407" s="1"/>
  <c r="J545" i="58407" s="1"/>
  <c r="K547" i="58407"/>
  <c r="K546" i="58407" s="1"/>
  <c r="K545" i="58407" s="1"/>
  <c r="L547" i="58407"/>
  <c r="L546" i="58407" s="1"/>
  <c r="L545" i="58407" s="1"/>
  <c r="M547" i="58407"/>
  <c r="M546" i="58407" s="1"/>
  <c r="M545" i="58407" s="1"/>
  <c r="N547" i="58407"/>
  <c r="N546" i="58407" s="1"/>
  <c r="N545" i="58407" s="1"/>
  <c r="H548" i="58407"/>
  <c r="I548" i="58407"/>
  <c r="H551" i="58407"/>
  <c r="I551" i="58407"/>
  <c r="G557" i="58407"/>
  <c r="G84" i="58407" s="1"/>
  <c r="H557" i="58407"/>
  <c r="H84" i="58407" s="1"/>
  <c r="I557" i="58407"/>
  <c r="I84" i="58407" s="1"/>
  <c r="J557" i="58407"/>
  <c r="J84" i="58407" s="1"/>
  <c r="N557" i="58407"/>
  <c r="N84" i="58407" s="1"/>
  <c r="K558" i="58407"/>
  <c r="K557" i="58407" s="1"/>
  <c r="K84" i="58407" s="1"/>
  <c r="L558" i="58407"/>
  <c r="L557" i="58407" s="1"/>
  <c r="L84" i="58407" s="1"/>
  <c r="M558" i="58407"/>
  <c r="M557" i="58407" s="1"/>
  <c r="M84" i="58407" s="1"/>
  <c r="G568" i="58407"/>
  <c r="H568" i="58407"/>
  <c r="I568" i="58407"/>
  <c r="J568" i="58407"/>
  <c r="K568" i="58407"/>
  <c r="L568" i="58407"/>
  <c r="M568" i="58407"/>
  <c r="N568" i="58407"/>
  <c r="G571" i="58407"/>
  <c r="H571" i="58407"/>
  <c r="I571" i="58407"/>
  <c r="J571" i="58407"/>
  <c r="K571" i="58407"/>
  <c r="L571" i="58407"/>
  <c r="M571" i="58407"/>
  <c r="N571" i="58407"/>
  <c r="G586" i="58407"/>
  <c r="G582" i="58407" s="1"/>
  <c r="H586" i="58407"/>
  <c r="H582" i="58407" s="1"/>
  <c r="I586" i="58407"/>
  <c r="I582" i="58407" s="1"/>
  <c r="J586" i="58407"/>
  <c r="J582" i="58407" s="1"/>
  <c r="K586" i="58407"/>
  <c r="L586" i="58407" s="1"/>
  <c r="G588" i="58407"/>
  <c r="H588" i="58407"/>
  <c r="I588" i="58407"/>
  <c r="J588" i="58407"/>
  <c r="K588" i="58407"/>
  <c r="L588" i="58407"/>
  <c r="M588" i="58407"/>
  <c r="N588" i="58407"/>
  <c r="G606" i="58407"/>
  <c r="H606" i="58407"/>
  <c r="I606" i="58407"/>
  <c r="J606" i="58407"/>
  <c r="K606" i="58407"/>
  <c r="L606" i="58407"/>
  <c r="M606" i="58407"/>
  <c r="N606" i="58407"/>
  <c r="G618" i="58407"/>
  <c r="H618" i="58407"/>
  <c r="I618" i="58407"/>
  <c r="J618" i="58407"/>
  <c r="K618" i="58407"/>
  <c r="L618" i="58407"/>
  <c r="M618" i="58407"/>
  <c r="N618" i="58407"/>
  <c r="G644" i="58407"/>
  <c r="H644" i="58407"/>
  <c r="I644" i="58407"/>
  <c r="J644" i="58407"/>
  <c r="K644" i="58407"/>
  <c r="L644" i="58407"/>
  <c r="M644" i="58407"/>
  <c r="N644" i="58407"/>
  <c r="G648" i="58407"/>
  <c r="H648" i="58407"/>
  <c r="I648" i="58407"/>
  <c r="J648" i="58407"/>
  <c r="K648" i="58407"/>
  <c r="L648" i="58407"/>
  <c r="M648" i="58407"/>
  <c r="N648" i="58407"/>
  <c r="G658" i="58407"/>
  <c r="H658" i="58407"/>
  <c r="I658" i="58407"/>
  <c r="J658" i="58407"/>
  <c r="K658" i="58407"/>
  <c r="L658" i="58407"/>
  <c r="M658" i="58407"/>
  <c r="N658" i="58407"/>
  <c r="H663" i="58407"/>
  <c r="I663" i="58407"/>
  <c r="J663" i="58407"/>
  <c r="K663" i="58407"/>
  <c r="L663" i="58407"/>
  <c r="M663" i="58407"/>
  <c r="N663" i="58407"/>
  <c r="G665" i="58407"/>
  <c r="H665" i="58407"/>
  <c r="I665" i="58407"/>
  <c r="J665" i="58407"/>
  <c r="K665" i="58407"/>
  <c r="L665" i="58407"/>
  <c r="M665" i="58407"/>
  <c r="N665" i="58407"/>
  <c r="G671" i="58407"/>
  <c r="H671" i="58407"/>
  <c r="I671" i="58407"/>
  <c r="J671" i="58407"/>
  <c r="K671" i="58407"/>
  <c r="L671" i="58407"/>
  <c r="M671" i="58407"/>
  <c r="N671" i="58407"/>
  <c r="G672" i="58407"/>
  <c r="H672" i="58407"/>
  <c r="I672" i="58407"/>
  <c r="J672" i="58407"/>
  <c r="K672" i="58407"/>
  <c r="L672" i="58407"/>
  <c r="M672" i="58407"/>
  <c r="N672" i="58407"/>
  <c r="G673" i="58407"/>
  <c r="H673" i="58407"/>
  <c r="I673" i="58407"/>
  <c r="J673" i="58407"/>
  <c r="K673" i="58407"/>
  <c r="L673" i="58407"/>
  <c r="M673" i="58407"/>
  <c r="N673" i="58407"/>
  <c r="H675" i="58407"/>
  <c r="J675" i="58407"/>
  <c r="K675" i="58407"/>
  <c r="M675" i="58407"/>
  <c r="N675" i="58407"/>
  <c r="H676" i="58407"/>
  <c r="J676" i="58407"/>
  <c r="K676" i="58407"/>
  <c r="M676" i="58407"/>
  <c r="N676" i="58407"/>
  <c r="G679" i="58407"/>
  <c r="H679" i="58407"/>
  <c r="I679" i="58407"/>
  <c r="J679" i="58407"/>
  <c r="K679" i="58407"/>
  <c r="L679" i="58407"/>
  <c r="M679" i="58407"/>
  <c r="N679" i="58407"/>
  <c r="G680" i="58407"/>
  <c r="H680" i="58407"/>
  <c r="I680" i="58407"/>
  <c r="J680" i="58407"/>
  <c r="K680" i="58407"/>
  <c r="L680" i="58407"/>
  <c r="M680" i="58407"/>
  <c r="N680" i="58407"/>
  <c r="N678" i="58407" s="1"/>
  <c r="G681" i="58407"/>
  <c r="H681" i="58407"/>
  <c r="I681" i="58407"/>
  <c r="J681" i="58407"/>
  <c r="K681" i="58407"/>
  <c r="L681" i="58407"/>
  <c r="M681" i="58407"/>
  <c r="N681" i="58407"/>
  <c r="G682" i="58407"/>
  <c r="H682" i="58407"/>
  <c r="I682" i="58407"/>
  <c r="J682" i="58407"/>
  <c r="K682" i="58407"/>
  <c r="L682" i="58407"/>
  <c r="M682" i="58407"/>
  <c r="N682" i="58407"/>
  <c r="G683" i="58407"/>
  <c r="H683" i="58407"/>
  <c r="I683" i="58407"/>
  <c r="J683" i="58407"/>
  <c r="K683" i="58407"/>
  <c r="L683" i="58407"/>
  <c r="M683" i="58407"/>
  <c r="N683" i="58407"/>
  <c r="G684" i="58407"/>
  <c r="H684" i="58407"/>
  <c r="I684" i="58407"/>
  <c r="J684" i="58407"/>
  <c r="K684" i="58407"/>
  <c r="L684" i="58407"/>
  <c r="M684" i="58407"/>
  <c r="N684" i="58407"/>
  <c r="G685" i="58407"/>
  <c r="G387" i="58407" s="1"/>
  <c r="G391" i="58407" s="1"/>
  <c r="G389" i="58407" s="1"/>
  <c r="H685" i="58407"/>
  <c r="H387" i="58407" s="1"/>
  <c r="H391" i="58407" s="1"/>
  <c r="H389" i="58407" s="1"/>
  <c r="I685" i="58407"/>
  <c r="I387" i="58407" s="1"/>
  <c r="I391" i="58407" s="1"/>
  <c r="I389" i="58407" s="1"/>
  <c r="J685" i="58407"/>
  <c r="J387" i="58407" s="1"/>
  <c r="J391" i="58407" s="1"/>
  <c r="J389" i="58407" s="1"/>
  <c r="K685" i="58407"/>
  <c r="K387" i="58407" s="1"/>
  <c r="K391" i="58407" s="1"/>
  <c r="K389" i="58407" s="1"/>
  <c r="L685" i="58407"/>
  <c r="L387" i="58407" s="1"/>
  <c r="L391" i="58407" s="1"/>
  <c r="L389" i="58407" s="1"/>
  <c r="M685" i="58407"/>
  <c r="M387" i="58407" s="1"/>
  <c r="M391" i="58407" s="1"/>
  <c r="M389" i="58407" s="1"/>
  <c r="N685" i="58407"/>
  <c r="N387" i="58407" s="1"/>
  <c r="N391" i="58407" s="1"/>
  <c r="N389" i="58407" s="1"/>
  <c r="H687" i="58407"/>
  <c r="K687" i="58407"/>
  <c r="L687" i="58407"/>
  <c r="M687" i="58407"/>
  <c r="N687" i="58407"/>
  <c r="L689" i="58407"/>
  <c r="M689" i="58407"/>
  <c r="N689" i="58407"/>
  <c r="G692" i="58407"/>
  <c r="H692" i="58407"/>
  <c r="I692" i="58407"/>
  <c r="J692" i="58407"/>
  <c r="K692" i="58407"/>
  <c r="L692" i="58407"/>
  <c r="M692" i="58407"/>
  <c r="N692" i="58407"/>
  <c r="G700" i="58407"/>
  <c r="H700" i="58407"/>
  <c r="I700" i="58407"/>
  <c r="J700" i="58407"/>
  <c r="K700" i="58407"/>
  <c r="L700" i="58407"/>
  <c r="M700" i="58407"/>
  <c r="N700" i="58407"/>
  <c r="H720" i="58407"/>
  <c r="I720" i="58407"/>
  <c r="J720" i="58407"/>
  <c r="K720" i="58407"/>
  <c r="L720" i="58407"/>
  <c r="M720" i="58407"/>
  <c r="N720" i="58407"/>
  <c r="G726" i="58407"/>
  <c r="G720" i="58407" s="1"/>
  <c r="G728" i="58407"/>
  <c r="H728" i="58407"/>
  <c r="I728" i="58407"/>
  <c r="J728" i="58407"/>
  <c r="K728" i="58407"/>
  <c r="L728" i="58407"/>
  <c r="M728" i="58407"/>
  <c r="N728" i="58407"/>
  <c r="L737" i="58407"/>
  <c r="M737" i="58407"/>
  <c r="N737" i="58407"/>
  <c r="K751" i="58407"/>
  <c r="L751" i="58407"/>
  <c r="M751" i="58407"/>
  <c r="N751" i="58407"/>
  <c r="K752" i="58407"/>
  <c r="L752" i="58407"/>
  <c r="M752" i="58407"/>
  <c r="N752" i="58407"/>
  <c r="K753" i="58407"/>
  <c r="L753" i="58407"/>
  <c r="M753" i="58407"/>
  <c r="N753" i="58407"/>
  <c r="K754" i="58407"/>
  <c r="L754" i="58407"/>
  <c r="M754" i="58407"/>
  <c r="K755" i="58407"/>
  <c r="L755" i="58407"/>
  <c r="G757" i="58407"/>
  <c r="H757" i="58407"/>
  <c r="I757" i="58407"/>
  <c r="J757" i="58407"/>
  <c r="K757" i="58407"/>
  <c r="L757" i="58407"/>
  <c r="M757" i="58407"/>
  <c r="N757" i="58407"/>
  <c r="G774" i="58407"/>
  <c r="G768" i="58407" s="1"/>
  <c r="H774" i="58407"/>
  <c r="H768" i="58407" s="1"/>
  <c r="H267" i="58407" s="1"/>
  <c r="I774" i="58407"/>
  <c r="I768" i="58407" s="1"/>
  <c r="J774" i="58407"/>
  <c r="J768" i="58407" s="1"/>
  <c r="J267" i="58407" s="1"/>
  <c r="K774" i="58407"/>
  <c r="K768" i="58407" s="1"/>
  <c r="K267" i="58407" s="1"/>
  <c r="K139" i="58407" s="1"/>
  <c r="L774" i="58407"/>
  <c r="L768" i="58407" s="1"/>
  <c r="L267" i="58407" s="1"/>
  <c r="M774" i="58407"/>
  <c r="M768" i="58407" s="1"/>
  <c r="M267" i="58407" s="1"/>
  <c r="N774" i="58407"/>
  <c r="N768" i="58407" s="1"/>
  <c r="N267" i="58407" s="1"/>
  <c r="N221" i="58407" s="1"/>
  <c r="N129" i="58407"/>
  <c r="K582" i="58407"/>
  <c r="J406" i="58407"/>
  <c r="G245" i="58407"/>
  <c r="G246" i="58407" s="1"/>
  <c r="I139" i="58407"/>
  <c r="I243" i="58407"/>
  <c r="I241" i="58407" s="1"/>
  <c r="I219" i="58407"/>
  <c r="H341" i="58407" l="1"/>
  <c r="K130" i="58407"/>
  <c r="N139" i="58407"/>
  <c r="G131" i="58407"/>
  <c r="M511" i="58407"/>
  <c r="M129" i="58407" s="1"/>
  <c r="M128" i="58407" s="1"/>
  <c r="M106" i="58407" s="1"/>
  <c r="M131" i="58407"/>
  <c r="I131" i="58407"/>
  <c r="I130" i="58407"/>
  <c r="J207" i="58407"/>
  <c r="J74" i="58407" s="1"/>
  <c r="G235" i="58407"/>
  <c r="G234" i="58407" s="1"/>
  <c r="J405" i="58407"/>
  <c r="I405" i="58407" s="1"/>
  <c r="H405" i="58407" s="1"/>
  <c r="G405" i="58407" s="1"/>
  <c r="N161" i="58407"/>
  <c r="M161" i="58407"/>
  <c r="M74" i="58407" s="1"/>
  <c r="L678" i="58407"/>
  <c r="H273" i="58407"/>
  <c r="H29" i="58407" s="1"/>
  <c r="L95" i="58407"/>
  <c r="H95" i="58407"/>
  <c r="K217" i="58407"/>
  <c r="I678" i="58407"/>
  <c r="K511" i="58407"/>
  <c r="K129" i="58407" s="1"/>
  <c r="K128" i="58407" s="1"/>
  <c r="K106" i="58407" s="1"/>
  <c r="G511" i="58407"/>
  <c r="G341" i="58407"/>
  <c r="K670" i="58407"/>
  <c r="G670" i="58407"/>
  <c r="N398" i="58407"/>
  <c r="M273" i="58407"/>
  <c r="J273" i="58407"/>
  <c r="K678" i="58407"/>
  <c r="N95" i="58407"/>
  <c r="J95" i="58407"/>
  <c r="I273" i="58407"/>
  <c r="I29" i="58407" s="1"/>
  <c r="M678" i="58407"/>
  <c r="M670" i="58407"/>
  <c r="M95" i="58407"/>
  <c r="K273" i="58407"/>
  <c r="I207" i="58407"/>
  <c r="N219" i="58407"/>
  <c r="N235" i="58407"/>
  <c r="N234" i="58407" s="1"/>
  <c r="M139" i="58407"/>
  <c r="M246" i="58407"/>
  <c r="M245" i="58407" s="1"/>
  <c r="M244" i="58407" s="1"/>
  <c r="M221" i="58407"/>
  <c r="K398" i="58407"/>
  <c r="L139" i="58407"/>
  <c r="L217" i="58407"/>
  <c r="H139" i="58407"/>
  <c r="H217" i="58407"/>
  <c r="G74" i="58407"/>
  <c r="I670" i="58407"/>
  <c r="H546" i="58407"/>
  <c r="H545" i="58407" s="1"/>
  <c r="L511" i="58407"/>
  <c r="I511" i="58407"/>
  <c r="I129" i="58407" s="1"/>
  <c r="M130" i="58407"/>
  <c r="K341" i="58407"/>
  <c r="I95" i="58407"/>
  <c r="K29" i="58407"/>
  <c r="L273" i="58407"/>
  <c r="L29" i="58407" s="1"/>
  <c r="G273" i="58407"/>
  <c r="G29" i="58407" s="1"/>
  <c r="L207" i="58407"/>
  <c r="H207" i="58407"/>
  <c r="N74" i="58407"/>
  <c r="H678" i="58407"/>
  <c r="N670" i="58407"/>
  <c r="H511" i="58407"/>
  <c r="H129" i="58407" s="1"/>
  <c r="H128" i="58407" s="1"/>
  <c r="H106" i="58407" s="1"/>
  <c r="L130" i="58407"/>
  <c r="J341" i="58407"/>
  <c r="N273" i="58407"/>
  <c r="N29" i="58407" s="1"/>
  <c r="K207" i="58407"/>
  <c r="L161" i="58407"/>
  <c r="G678" i="58407"/>
  <c r="N130" i="58407"/>
  <c r="N128" i="58407" s="1"/>
  <c r="N106" i="58407" s="1"/>
  <c r="G130" i="58407"/>
  <c r="M398" i="58407"/>
  <c r="M40" i="58407" s="1"/>
  <c r="I341" i="58407"/>
  <c r="J678" i="58407"/>
  <c r="L670" i="58407"/>
  <c r="H670" i="58407"/>
  <c r="J670" i="58407"/>
  <c r="I546" i="58407"/>
  <c r="I545" i="58407" s="1"/>
  <c r="J132" i="58407"/>
  <c r="L398" i="58407"/>
  <c r="L341" i="58407"/>
  <c r="L40" i="58407" s="1"/>
  <c r="I406" i="58407"/>
  <c r="J403" i="58407"/>
  <c r="J398" i="58407" s="1"/>
  <c r="J139" i="58407"/>
  <c r="J243" i="58407"/>
  <c r="N40" i="58407"/>
  <c r="N18" i="58407" s="1"/>
  <c r="M29" i="58407"/>
  <c r="M18" i="58407" s="1"/>
  <c r="J129" i="58407"/>
  <c r="J29" i="58407"/>
  <c r="G75" i="58407"/>
  <c r="G73" i="58407" s="1"/>
  <c r="G62" i="58407" s="1"/>
  <c r="L582" i="58407"/>
  <c r="M586" i="58407"/>
  <c r="G129" i="58407"/>
  <c r="G128" i="58407" s="1"/>
  <c r="G106" i="58407" s="1"/>
  <c r="L129" i="58407"/>
  <c r="I217" i="58407"/>
  <c r="G139" i="58407"/>
  <c r="N75" i="58407" l="1"/>
  <c r="N73" i="58407" s="1"/>
  <c r="N62" i="58407" s="1"/>
  <c r="N51" i="58407" s="1"/>
  <c r="L128" i="58407"/>
  <c r="L106" i="58407" s="1"/>
  <c r="I128" i="58407"/>
  <c r="I106" i="58407" s="1"/>
  <c r="J128" i="58407"/>
  <c r="J106" i="58407" s="1"/>
  <c r="K215" i="58407"/>
  <c r="K74" i="58407" s="1"/>
  <c r="K235" i="58407"/>
  <c r="K234" i="58407" s="1"/>
  <c r="K75" i="58407" s="1"/>
  <c r="K40" i="58407"/>
  <c r="K18" i="58407" s="1"/>
  <c r="L18" i="58407"/>
  <c r="L215" i="58407"/>
  <c r="L74" i="58407" s="1"/>
  <c r="L235" i="58407"/>
  <c r="L234" i="58407" s="1"/>
  <c r="L75" i="58407" s="1"/>
  <c r="H215" i="58407"/>
  <c r="H74" i="58407" s="1"/>
  <c r="H235" i="58407"/>
  <c r="H234" i="58407" s="1"/>
  <c r="H75" i="58407" s="1"/>
  <c r="M235" i="58407"/>
  <c r="M234" i="58407" s="1"/>
  <c r="M219" i="58407"/>
  <c r="I403" i="58407"/>
  <c r="I398" i="58407" s="1"/>
  <c r="H406" i="58407"/>
  <c r="J241" i="58407"/>
  <c r="J235" i="58407"/>
  <c r="J234" i="58407" s="1"/>
  <c r="J75" i="58407" s="1"/>
  <c r="J73" i="58407" s="1"/>
  <c r="J62" i="58407" s="1"/>
  <c r="I235" i="58407"/>
  <c r="I234" i="58407" s="1"/>
  <c r="I75" i="58407" s="1"/>
  <c r="I215" i="58407"/>
  <c r="I74" i="58407" s="1"/>
  <c r="M582" i="58407"/>
  <c r="N586" i="58407"/>
  <c r="N582" i="58407" s="1"/>
  <c r="J40" i="58407"/>
  <c r="J18" i="58407" s="1"/>
  <c r="K73" i="58407" l="1"/>
  <c r="K62" i="58407" s="1"/>
  <c r="K51" i="58407" s="1"/>
  <c r="I73" i="58407"/>
  <c r="I62" i="58407" s="1"/>
  <c r="M75" i="58407"/>
  <c r="M73" i="58407" s="1"/>
  <c r="M62" i="58407" s="1"/>
  <c r="M51" i="58407" s="1"/>
  <c r="L73" i="58407"/>
  <c r="L62" i="58407" s="1"/>
  <c r="L51" i="58407" s="1"/>
  <c r="H73" i="58407"/>
  <c r="H62" i="58407" s="1"/>
  <c r="G406" i="58407"/>
  <c r="G403" i="58407" s="1"/>
  <c r="G398" i="58407" s="1"/>
  <c r="H403" i="58407"/>
  <c r="H398" i="58407" s="1"/>
  <c r="J51" i="58407"/>
  <c r="I40" i="58407"/>
  <c r="I18" i="58407" s="1"/>
  <c r="I51" i="58407" l="1"/>
  <c r="H40" i="58407"/>
  <c r="H18" i="58407" s="1"/>
  <c r="H51" i="58407"/>
  <c r="G40" i="58407"/>
  <c r="G18" i="58407" s="1"/>
  <c r="G51" i="58407"/>
  <c r="AI240" i="6" l="1"/>
  <c r="AJ244" i="6"/>
  <c r="BA244" i="6" s="1"/>
  <c r="AI245" i="6"/>
  <c r="AN245" i="6"/>
  <c r="AJ245" i="6" l="1"/>
  <c r="BA245" i="6" s="1"/>
  <c r="AI241" i="6"/>
  <c r="AI242" i="6"/>
  <c r="AJ249" i="6"/>
  <c r="AO250" i="6" s="1"/>
  <c r="BB250" i="6" s="1"/>
  <c r="AN250" i="6"/>
  <c r="AI259" i="6"/>
  <c r="AN260" i="6" s="1"/>
  <c r="AO245" i="6"/>
  <c r="BB245" i="6" s="1"/>
  <c r="AN241" i="6"/>
  <c r="AJ240" i="6"/>
  <c r="BT233" i="58502" l="1"/>
  <c r="BA250" i="6"/>
  <c r="IM741" i="58502"/>
  <c r="IM742" i="58502" s="1"/>
  <c r="II756" i="58502" s="1"/>
  <c r="AJ256" i="6"/>
  <c r="AN257" i="6"/>
  <c r="AI264" i="6"/>
  <c r="BA249" i="6"/>
  <c r="AJ253" i="6"/>
  <c r="BA240" i="6"/>
  <c r="AO241" i="6"/>
  <c r="BB241" i="6" s="1"/>
  <c r="AJ241" i="6"/>
  <c r="BA241" i="6" s="1"/>
  <c r="AJ242" i="6"/>
  <c r="BA242" i="6" s="1"/>
  <c r="IK756" i="58502" l="1"/>
  <c r="IK749" i="58502" s="1"/>
  <c r="AJ254" i="6"/>
  <c r="AO254" i="6"/>
  <c r="AI135" i="6"/>
  <c r="AI267" i="6"/>
  <c r="AN265" i="6"/>
  <c r="AJ264" i="6"/>
  <c r="AI266" i="6"/>
  <c r="AN267" i="6"/>
  <c r="BA257" i="6"/>
  <c r="AJ259" i="6"/>
  <c r="BA256" i="6"/>
  <c r="AO257" i="6"/>
  <c r="BB257" i="6" s="1"/>
  <c r="AJ261" i="6"/>
  <c r="II749" i="58502"/>
  <c r="II759" i="58502"/>
  <c r="IK759" i="58502" l="1"/>
  <c r="BA259" i="6"/>
  <c r="AO260" i="6"/>
  <c r="BB260" i="6" s="1"/>
  <c r="AJ260" i="6"/>
  <c r="BA260" i="6" s="1"/>
  <c r="AJ135" i="6"/>
  <c r="AJ270" i="6"/>
  <c r="AO267" i="6"/>
  <c r="BA265" i="6"/>
  <c r="BA264" i="6"/>
  <c r="AO265" i="6"/>
  <c r="BB265" i="6" s="1"/>
  <c r="AJ267" i="6"/>
  <c r="AJ266" i="6"/>
  <c r="AN141" i="6"/>
  <c r="AI141" i="6"/>
  <c r="IE714" i="58502"/>
  <c r="IK751" i="58502"/>
  <c r="IK754" i="58502" s="1"/>
  <c r="IE713" i="58502"/>
  <c r="II751" i="58502"/>
  <c r="II754" i="58502" s="1"/>
  <c r="II761" i="58502" s="1"/>
  <c r="II763" i="58502" s="1"/>
  <c r="IK761" i="58502" l="1"/>
  <c r="IK763" i="58502" s="1"/>
  <c r="AO141" i="6"/>
  <c r="BB141" i="6" s="1"/>
  <c r="AJ141" i="6"/>
  <c r="BA141" i="6" s="1"/>
  <c r="GI530" i="58479"/>
  <c r="GI531" i="58479" s="1"/>
  <c r="BA266" i="6"/>
  <c r="AJ271" i="6"/>
  <c r="AO271" i="6"/>
  <c r="ID713" i="58502"/>
  <c r="IF713" i="58502" s="1"/>
  <c r="ID714" i="58502"/>
  <c r="IF714" i="58502" s="1"/>
  <c r="AI465" i="6"/>
  <c r="AI472" i="6"/>
  <c r="AI159" i="6" s="1"/>
  <c r="AI474" i="6"/>
  <c r="AI476" i="6"/>
  <c r="AI477" i="6"/>
  <c r="AN477" i="6"/>
  <c r="AJ465" i="6" l="1"/>
  <c r="AJ475" i="6" s="1"/>
  <c r="AI475" i="6"/>
  <c r="BA465" i="6" l="1"/>
  <c r="AJ468" i="6"/>
  <c r="BQ213" i="58502"/>
  <c r="AJ472" i="6"/>
  <c r="AJ477" i="6"/>
  <c r="AJ476" i="6"/>
  <c r="AO477" i="6"/>
  <c r="BA468" i="6"/>
  <c r="AJ474" i="6"/>
  <c r="BA474" i="6" s="1"/>
  <c r="AJ159" i="6" l="1"/>
  <c r="BA159" i="6" s="1"/>
  <c r="AJ478" i="6"/>
  <c r="BA472" i="6"/>
  <c r="AO478" i="6"/>
  <c r="AM105" i="58438"/>
  <c r="AM73" i="58438" s="1"/>
  <c r="AN110" i="58438" l="1"/>
  <c r="AN105" i="58438" s="1"/>
  <c r="AN103" i="58438" s="1"/>
  <c r="AM67" i="58438"/>
  <c r="AP210" i="6" s="1"/>
  <c r="BC210" i="6" s="1"/>
  <c r="AN78" i="58438"/>
  <c r="AM71" i="58438"/>
  <c r="AM103" i="58438"/>
  <c r="AN73" i="58438" l="1"/>
  <c r="AN67" i="58438" s="1"/>
  <c r="AQ210" i="6" s="1"/>
  <c r="BD210" i="6" s="1"/>
  <c r="AP237" i="6"/>
  <c r="AM65" i="58438"/>
  <c r="AP208" i="6" s="1"/>
  <c r="BC208" i="6" s="1"/>
  <c r="AN76" i="58438"/>
  <c r="AN108" i="58438"/>
  <c r="AN71" i="58438" l="1"/>
  <c r="AN65" i="58438" s="1"/>
  <c r="AQ208" i="6" s="1"/>
  <c r="BD208" i="6" s="1"/>
  <c r="BC237" i="6"/>
  <c r="AP238" i="6"/>
  <c r="BC238" i="6" s="1"/>
  <c r="AP240" i="6"/>
  <c r="AP244" i="6" s="1"/>
  <c r="AQ237" i="6" l="1"/>
  <c r="AQ238" i="6" s="1"/>
  <c r="BD238" i="6" s="1"/>
  <c r="BC244" i="6"/>
  <c r="AP245" i="6"/>
  <c r="BC245" i="6" s="1"/>
  <c r="AP249" i="6"/>
  <c r="BC240" i="6"/>
  <c r="AP241" i="6"/>
  <c r="BC241" i="6" s="1"/>
  <c r="BD237" i="6" l="1"/>
  <c r="AQ240" i="6"/>
  <c r="AQ244" i="6" s="1"/>
  <c r="BD244" i="6" s="1"/>
  <c r="AP9" i="6"/>
  <c r="BC249" i="6"/>
  <c r="AP250" i="6"/>
  <c r="BC250" i="6" s="1"/>
  <c r="AP253" i="6"/>
  <c r="AP254" i="6" s="1"/>
  <c r="AP256" i="6"/>
  <c r="AP259" i="6" s="1"/>
  <c r="E10" i="58477"/>
  <c r="F11" i="58477" s="1"/>
  <c r="G11" i="58477" s="1"/>
  <c r="E34" i="58477"/>
  <c r="AQ249" i="6" l="1"/>
  <c r="BD249" i="6" s="1"/>
  <c r="AQ241" i="6"/>
  <c r="BD241" i="6" s="1"/>
  <c r="BD240" i="6"/>
  <c r="AQ245" i="6"/>
  <c r="BD245" i="6" s="1"/>
  <c r="E12" i="58477"/>
  <c r="E29" i="58477" s="1"/>
  <c r="F10" i="58477"/>
  <c r="BC259" i="6"/>
  <c r="AP260" i="6"/>
  <c r="BC260" i="6" s="1"/>
  <c r="AP264" i="6"/>
  <c r="D6" i="58483" s="1"/>
  <c r="F34" i="58477"/>
  <c r="E36" i="58477"/>
  <c r="E51" i="58477" s="1"/>
  <c r="F35" i="58477"/>
  <c r="G35" i="58477" s="1"/>
  <c r="AP31" i="6"/>
  <c r="AP39" i="6" s="1"/>
  <c r="BC256" i="6"/>
  <c r="AP257" i="6"/>
  <c r="BC257" i="6" s="1"/>
  <c r="AP20" i="6"/>
  <c r="BC9" i="6"/>
  <c r="AP465" i="6"/>
  <c r="AQ9" i="6" l="1"/>
  <c r="BD9" i="6" s="1"/>
  <c r="AQ256" i="6"/>
  <c r="AQ257" i="6" s="1"/>
  <c r="BD257" i="6" s="1"/>
  <c r="AQ253" i="6"/>
  <c r="AQ254" i="6" s="1"/>
  <c r="AQ250" i="6"/>
  <c r="BD250" i="6" s="1"/>
  <c r="G34" i="58477"/>
  <c r="G36" i="58477" s="1"/>
  <c r="F36" i="58477"/>
  <c r="F51" i="58477" s="1"/>
  <c r="F12" i="58477"/>
  <c r="F29" i="58477" s="1"/>
  <c r="G10" i="58477"/>
  <c r="G12" i="58477" s="1"/>
  <c r="AP43" i="6"/>
  <c r="BC43" i="6" s="1"/>
  <c r="BC39" i="6"/>
  <c r="AP135" i="6"/>
  <c r="BC264" i="6"/>
  <c r="AP270" i="6"/>
  <c r="AP271" i="6" s="1"/>
  <c r="AP265" i="6"/>
  <c r="BC265" i="6" s="1"/>
  <c r="AP266" i="6"/>
  <c r="AP267" i="6"/>
  <c r="BC465" i="6"/>
  <c r="AP468" i="6"/>
  <c r="AP36" i="6"/>
  <c r="BC31" i="6"/>
  <c r="AP24" i="6"/>
  <c r="BC20" i="6"/>
  <c r="AQ20" i="6" l="1"/>
  <c r="AQ24" i="6" s="1"/>
  <c r="AQ465" i="6"/>
  <c r="BD465" i="6" s="1"/>
  <c r="AQ259" i="6"/>
  <c r="BD259" i="6" s="1"/>
  <c r="AQ31" i="6"/>
  <c r="AQ39" i="6" s="1"/>
  <c r="BD39" i="6" s="1"/>
  <c r="BD256" i="6"/>
  <c r="BC468" i="6"/>
  <c r="AP477" i="6"/>
  <c r="AP472" i="6"/>
  <c r="AP476" i="6"/>
  <c r="AP516" i="6"/>
  <c r="H36" i="58477"/>
  <c r="H12" i="58477"/>
  <c r="AP25" i="6"/>
  <c r="BC25" i="6" s="1"/>
  <c r="AP27" i="6"/>
  <c r="AP28" i="6" s="1"/>
  <c r="AP47" i="6"/>
  <c r="BC24" i="6"/>
  <c r="AP453" i="6"/>
  <c r="BC453" i="6" s="1"/>
  <c r="AP481" i="6"/>
  <c r="BC481" i="6" s="1"/>
  <c r="B79" i="58477"/>
  <c r="B72" i="58477"/>
  <c r="BC36" i="6"/>
  <c r="AP482" i="6"/>
  <c r="BC482" i="6" s="1"/>
  <c r="AP483" i="6"/>
  <c r="BC483" i="6" s="1"/>
  <c r="AP714" i="6"/>
  <c r="BC714" i="6" s="1"/>
  <c r="AP474" i="6"/>
  <c r="BC474" i="6" s="1"/>
  <c r="BC266" i="6"/>
  <c r="D11" i="58477"/>
  <c r="O14" i="58477" s="1"/>
  <c r="O15" i="58477" s="1"/>
  <c r="D35" i="58477"/>
  <c r="P14" i="58477" s="1"/>
  <c r="P15" i="58477" s="1"/>
  <c r="I6" i="58483"/>
  <c r="AP141" i="6"/>
  <c r="BC141" i="6" s="1"/>
  <c r="BD31" i="6" l="1"/>
  <c r="AQ468" i="6"/>
  <c r="AQ474" i="6" s="1"/>
  <c r="BD474" i="6" s="1"/>
  <c r="BD20" i="6"/>
  <c r="AQ43" i="6"/>
  <c r="BD43" i="6" s="1"/>
  <c r="AQ36" i="6"/>
  <c r="AQ47" i="6" s="1"/>
  <c r="AQ264" i="6"/>
  <c r="AQ270" i="6" s="1"/>
  <c r="AQ271" i="6" s="1"/>
  <c r="AQ260" i="6"/>
  <c r="BD260" i="6" s="1"/>
  <c r="AP575" i="6"/>
  <c r="AP506" i="6" s="1"/>
  <c r="BC506" i="6" s="1"/>
  <c r="AP485" i="6"/>
  <c r="BC485" i="6" s="1"/>
  <c r="BC516" i="6"/>
  <c r="AP563" i="6"/>
  <c r="C11" i="58489"/>
  <c r="F11" i="58489" s="1"/>
  <c r="AQ25" i="6"/>
  <c r="BD25" i="6" s="1"/>
  <c r="AQ27" i="6"/>
  <c r="AQ28" i="6" s="1"/>
  <c r="BD24" i="6"/>
  <c r="AQ453" i="6"/>
  <c r="BD453" i="6" s="1"/>
  <c r="AP159" i="6"/>
  <c r="BC159" i="6" s="1"/>
  <c r="BC472" i="6"/>
  <c r="AP478" i="6"/>
  <c r="AP553" i="6"/>
  <c r="BC47" i="6"/>
  <c r="AP147" i="6"/>
  <c r="BC147" i="6" s="1"/>
  <c r="AQ477" i="6"/>
  <c r="AQ476" i="6"/>
  <c r="C7" i="58489"/>
  <c r="F7" i="58489" s="1"/>
  <c r="AQ516" i="6" l="1"/>
  <c r="AQ485" i="6" s="1"/>
  <c r="BD485" i="6" s="1"/>
  <c r="BD468" i="6"/>
  <c r="AQ472" i="6"/>
  <c r="AQ159" i="6" s="1"/>
  <c r="BD159" i="6" s="1"/>
  <c r="AQ483" i="6"/>
  <c r="BD483" i="6" s="1"/>
  <c r="BD36" i="6"/>
  <c r="AQ714" i="6"/>
  <c r="BD714" i="6" s="1"/>
  <c r="AQ482" i="6"/>
  <c r="BD482" i="6" s="1"/>
  <c r="AQ267" i="6"/>
  <c r="BD264" i="6"/>
  <c r="AQ266" i="6"/>
  <c r="BD266" i="6" s="1"/>
  <c r="AQ135" i="6"/>
  <c r="AQ141" i="6" s="1"/>
  <c r="BD141" i="6" s="1"/>
  <c r="AQ265" i="6"/>
  <c r="BD265" i="6" s="1"/>
  <c r="BC575" i="6"/>
  <c r="AP579" i="6"/>
  <c r="BC579" i="6" s="1"/>
  <c r="BD47" i="6"/>
  <c r="AQ147" i="6"/>
  <c r="BD147" i="6" s="1"/>
  <c r="BD472" i="6"/>
  <c r="AQ478" i="6"/>
  <c r="AP561" i="6"/>
  <c r="BC561" i="6" s="1"/>
  <c r="BC563" i="6"/>
  <c r="AP698" i="6"/>
  <c r="AP502" i="6"/>
  <c r="BC502" i="6" s="1"/>
  <c r="AQ481" i="6"/>
  <c r="AP518" i="6"/>
  <c r="BC553" i="6"/>
  <c r="BD516" i="6" l="1"/>
  <c r="AQ563" i="6"/>
  <c r="AQ575" i="6"/>
  <c r="AQ506" i="6" s="1"/>
  <c r="BD506" i="6" s="1"/>
  <c r="BD481" i="6"/>
  <c r="AQ553" i="6"/>
  <c r="AP166" i="6"/>
  <c r="BC518" i="6"/>
  <c r="AP525" i="6"/>
  <c r="BC525" i="6" s="1"/>
  <c r="BC698" i="6"/>
  <c r="AP700" i="6"/>
  <c r="BC700" i="6" s="1"/>
  <c r="AQ561" i="6"/>
  <c r="BD561" i="6" s="1"/>
  <c r="AQ698" i="6"/>
  <c r="BD563" i="6"/>
  <c r="BD575" i="6" l="1"/>
  <c r="AQ579" i="6"/>
  <c r="BD579" i="6" s="1"/>
  <c r="AQ518" i="6"/>
  <c r="BD553" i="6"/>
  <c r="AQ502" i="6"/>
  <c r="BD502" i="6" s="1"/>
  <c r="BC166" i="6"/>
  <c r="AQ700" i="6"/>
  <c r="BD700" i="6" s="1"/>
  <c r="BD698" i="6"/>
  <c r="AQ166" i="6" l="1"/>
  <c r="BD518" i="6"/>
  <c r="AQ525" i="6"/>
  <c r="BD525" i="6" s="1"/>
  <c r="BD166" i="6" l="1"/>
  <c r="AO120" i="6" l="1"/>
  <c r="BB120" i="6" s="1"/>
  <c r="BC120" i="6"/>
  <c r="BD120" i="6"/>
  <c r="B6" i="58489" l="1"/>
  <c r="C6" i="58489"/>
  <c r="D6" i="58489"/>
  <c r="D7" i="58489"/>
  <c r="E7" i="58489"/>
  <c r="D8" i="58489"/>
  <c r="E8" i="58489"/>
  <c r="C9" i="58489"/>
  <c r="D9" i="58489"/>
  <c r="E9" i="58489"/>
  <c r="F9" i="58489"/>
  <c r="B10" i="58489"/>
  <c r="D10" i="58489"/>
  <c r="D11" i="58489"/>
  <c r="E11" i="58489"/>
  <c r="D12" i="58489"/>
  <c r="E12" i="58489"/>
  <c r="C13" i="58489"/>
  <c r="D13" i="58489"/>
  <c r="E13" i="58489"/>
  <c r="F13" i="58489"/>
  <c r="B14" i="58489"/>
  <c r="D14" i="58489"/>
  <c r="J8" i="58482"/>
  <c r="K8" i="58482"/>
  <c r="L8" i="58482"/>
  <c r="M8" i="58482"/>
  <c r="J9" i="58482"/>
  <c r="K9" i="58482"/>
  <c r="L9" i="58482"/>
  <c r="M9" i="58482"/>
  <c r="J12" i="58482"/>
  <c r="K12" i="58482"/>
  <c r="L12" i="58482"/>
  <c r="M12" i="58482"/>
  <c r="J13" i="58482"/>
  <c r="K13" i="58482"/>
  <c r="L13" i="58482"/>
  <c r="M13" i="58482"/>
  <c r="J24" i="58482"/>
  <c r="K24" i="58482"/>
  <c r="L24" i="58482"/>
  <c r="M24" i="58482"/>
  <c r="J25" i="58482"/>
  <c r="K25" i="58482"/>
  <c r="L25" i="58482"/>
  <c r="M25" i="58482"/>
  <c r="J27" i="58482"/>
  <c r="K27" i="58482"/>
  <c r="L27" i="58482"/>
  <c r="M27" i="58482"/>
  <c r="J28" i="58482"/>
  <c r="K28" i="58482"/>
  <c r="L28" i="58482"/>
  <c r="M28" i="58482"/>
  <c r="K29" i="58482"/>
  <c r="L29" i="58482"/>
  <c r="M29" i="58482"/>
  <c r="J30" i="58482"/>
  <c r="K30" i="58482"/>
  <c r="L30" i="58482"/>
  <c r="M30" i="58482"/>
  <c r="J33" i="58482"/>
  <c r="K33" i="58482"/>
  <c r="L33" i="58482"/>
  <c r="M33" i="58482"/>
  <c r="J38" i="58482"/>
  <c r="K38" i="58482"/>
  <c r="L38" i="58482"/>
  <c r="M38" i="58482"/>
  <c r="J39" i="58482"/>
  <c r="K39" i="58482"/>
  <c r="L39" i="58482"/>
  <c r="M39" i="58482"/>
  <c r="J40" i="58482"/>
  <c r="K40" i="58482"/>
  <c r="L40" i="58482"/>
  <c r="M40" i="58482"/>
  <c r="C8" i="58483"/>
  <c r="D8" i="58483"/>
  <c r="H8" i="58483"/>
  <c r="I8" i="58483"/>
  <c r="C9" i="58483"/>
  <c r="D9" i="58483"/>
  <c r="F9" i="58483"/>
  <c r="H9" i="58483"/>
  <c r="I9" i="58483"/>
  <c r="H11" i="58483"/>
  <c r="I11" i="58483"/>
  <c r="H12" i="58483"/>
  <c r="I12" i="58483"/>
  <c r="H15" i="58483"/>
  <c r="I15" i="58483"/>
  <c r="H17" i="58483"/>
  <c r="I17" i="58483"/>
  <c r="L23" i="58483"/>
  <c r="L25" i="58483"/>
  <c r="L26" i="58483"/>
  <c r="L27" i="58483"/>
  <c r="M27" i="58483"/>
  <c r="FP494" i="58479"/>
  <c r="FQ494" i="58479"/>
  <c r="AO168" i="58502"/>
  <c r="AR168" i="58502"/>
  <c r="AO173" i="58502"/>
  <c r="AR173" i="58502"/>
  <c r="BQ209" i="58502"/>
  <c r="BR209" i="58502"/>
  <c r="BQ211" i="58502"/>
  <c r="BR211" i="58502"/>
  <c r="BQ215" i="58502"/>
  <c r="BR215" i="58502"/>
  <c r="BQ222" i="58502"/>
  <c r="BR222" i="58502"/>
  <c r="BQ227" i="58502"/>
  <c r="BR227" i="58502"/>
  <c r="BU230" i="58502"/>
  <c r="BV230" i="58502"/>
  <c r="BU231" i="58502"/>
  <c r="BV231" i="58502"/>
  <c r="BU232" i="58502"/>
  <c r="BV232" i="58502"/>
  <c r="BU233" i="58502"/>
  <c r="BV233" i="58502"/>
  <c r="CC249" i="58502"/>
  <c r="CD249" i="58502"/>
  <c r="CG251" i="58502"/>
  <c r="CH251" i="58502"/>
  <c r="CG252" i="58502"/>
  <c r="CH252" i="58502"/>
  <c r="CG253" i="58502"/>
  <c r="CH253" i="58502"/>
  <c r="CC255" i="58502"/>
  <c r="CD255" i="58502"/>
  <c r="CG255" i="58502"/>
  <c r="CH255" i="58502"/>
  <c r="CC258" i="58502"/>
  <c r="CD258" i="58502"/>
  <c r="CG260" i="58502"/>
  <c r="CH260" i="58502"/>
  <c r="CG261" i="58502"/>
  <c r="CH261" i="58502"/>
  <c r="CG262" i="58502"/>
  <c r="CH262" i="58502"/>
  <c r="CC264" i="58502"/>
  <c r="CD264" i="58502"/>
  <c r="CG264" i="58502"/>
  <c r="CH264" i="58502"/>
  <c r="CO295" i="58502"/>
  <c r="CP295" i="58502"/>
  <c r="CO296" i="58502"/>
  <c r="CP296" i="58502"/>
  <c r="CO297" i="58502"/>
  <c r="CP297" i="58502"/>
  <c r="CO300" i="58502"/>
  <c r="CP300" i="58502"/>
  <c r="CO301" i="58502"/>
  <c r="CP301" i="58502"/>
  <c r="CO302" i="58502"/>
  <c r="CP302" i="58502"/>
  <c r="CN317" i="58502"/>
  <c r="CN318" i="58502"/>
  <c r="CN319" i="58502"/>
  <c r="CN320" i="58502"/>
  <c r="CM341" i="58502"/>
  <c r="CN341" i="58502"/>
  <c r="CO341" i="58502"/>
  <c r="CP341" i="58502"/>
  <c r="CM344" i="58502"/>
  <c r="CN344" i="58502"/>
  <c r="CO344" i="58502"/>
  <c r="CP344" i="58502"/>
  <c r="FS393" i="58481"/>
  <c r="FU393" i="58481"/>
  <c r="FW393" i="58481"/>
  <c r="FX393" i="58481"/>
  <c r="FY393" i="58481"/>
  <c r="FZ393" i="58481"/>
  <c r="GA393" i="58481"/>
  <c r="GB393" i="58481"/>
  <c r="GC393" i="58481"/>
  <c r="FS394" i="58481"/>
  <c r="FT394" i="58481"/>
  <c r="FU394" i="58481"/>
  <c r="FW394" i="58481"/>
  <c r="FX394" i="58481"/>
  <c r="FY394" i="58481"/>
  <c r="FZ394" i="58481"/>
  <c r="GA394" i="58481"/>
  <c r="GB394" i="58481"/>
  <c r="GC394" i="58481"/>
  <c r="FW395" i="58481"/>
  <c r="FX395" i="58481"/>
  <c r="FY395" i="58481"/>
  <c r="FZ395" i="58481"/>
  <c r="GA395" i="58481"/>
  <c r="GB395" i="58481"/>
  <c r="GC395" i="58481"/>
  <c r="FS398" i="58481"/>
  <c r="FT398" i="58481"/>
  <c r="FU398" i="58481"/>
  <c r="FW398" i="58481"/>
  <c r="FX398" i="58481"/>
  <c r="FY398" i="58481"/>
  <c r="FZ398" i="58481"/>
  <c r="GA398" i="58481"/>
  <c r="GB398" i="58481"/>
  <c r="GC398" i="58481"/>
  <c r="FU400" i="58481"/>
  <c r="FW400" i="58481"/>
  <c r="FX400" i="58481"/>
  <c r="FY400" i="58481"/>
  <c r="FZ400" i="58481"/>
  <c r="GA400" i="58481"/>
  <c r="GB400" i="58481"/>
  <c r="GC400" i="58481"/>
  <c r="FU401" i="58481"/>
  <c r="FW401" i="58481"/>
  <c r="FX401" i="58481"/>
  <c r="FY401" i="58481"/>
  <c r="FZ401" i="58481"/>
  <c r="GA401" i="58481"/>
  <c r="GB401" i="58481"/>
  <c r="GC401" i="58481"/>
  <c r="FU404" i="58481"/>
  <c r="FW404" i="58481"/>
  <c r="FX404" i="58481"/>
  <c r="FY404" i="58481"/>
  <c r="FZ404" i="58481"/>
  <c r="GA404" i="58481"/>
  <c r="GB404" i="58481"/>
  <c r="GC404" i="58481"/>
  <c r="FW405" i="58481"/>
  <c r="FX405" i="58481"/>
  <c r="FY405" i="58481"/>
  <c r="GA405" i="58481"/>
  <c r="GB405" i="58481"/>
  <c r="GC405" i="58481"/>
  <c r="HQ507" i="58481"/>
  <c r="HS507" i="58481"/>
  <c r="HT507" i="58481"/>
  <c r="HU507" i="58481"/>
  <c r="HQ509" i="58481"/>
  <c r="HS509" i="58481"/>
  <c r="HT509" i="58481"/>
  <c r="HU509" i="58481"/>
  <c r="AK50" i="6"/>
  <c r="AL50" i="6"/>
  <c r="AM50" i="6"/>
  <c r="AN50" i="6"/>
  <c r="AO50" i="6"/>
  <c r="AP50" i="6"/>
  <c r="AQ50" i="6"/>
  <c r="BB50" i="6"/>
  <c r="BC50" i="6"/>
  <c r="BD50" i="6"/>
  <c r="AI52" i="6"/>
  <c r="AJ52" i="6"/>
  <c r="AN52" i="6"/>
  <c r="AO52" i="6"/>
  <c r="AP52" i="6"/>
  <c r="AQ52" i="6"/>
  <c r="BA52" i="6"/>
  <c r="BB52" i="6"/>
  <c r="BC52" i="6"/>
  <c r="BD52" i="6"/>
  <c r="AI56" i="6"/>
  <c r="AJ56" i="6"/>
  <c r="AK56" i="6"/>
  <c r="AL56" i="6"/>
  <c r="AM56" i="6"/>
  <c r="AN56" i="6"/>
  <c r="AO56" i="6"/>
  <c r="AP56" i="6"/>
  <c r="AQ56" i="6"/>
  <c r="BA56" i="6"/>
  <c r="BB56" i="6"/>
  <c r="BC56" i="6"/>
  <c r="BD56" i="6"/>
  <c r="AK57" i="6"/>
  <c r="AL57" i="6"/>
  <c r="AM57" i="6"/>
  <c r="AN57" i="6"/>
  <c r="AO57" i="6"/>
  <c r="AP57" i="6"/>
  <c r="AQ57" i="6"/>
  <c r="BB57" i="6"/>
  <c r="BC57" i="6"/>
  <c r="BD57" i="6"/>
  <c r="AI60" i="6"/>
  <c r="AJ60" i="6"/>
  <c r="AK60" i="6"/>
  <c r="AL60" i="6"/>
  <c r="AM60" i="6"/>
  <c r="AN60" i="6"/>
  <c r="AO60" i="6"/>
  <c r="AP60" i="6"/>
  <c r="AQ60" i="6"/>
  <c r="BA60" i="6"/>
  <c r="BB60" i="6"/>
  <c r="BC60" i="6"/>
  <c r="BD60" i="6"/>
  <c r="AI67" i="6"/>
  <c r="AJ67" i="6"/>
  <c r="AK67" i="6"/>
  <c r="AL67" i="6"/>
  <c r="AM67" i="6"/>
  <c r="AN67" i="6"/>
  <c r="AO67" i="6"/>
  <c r="AP67" i="6"/>
  <c r="AQ67" i="6"/>
  <c r="BA67" i="6"/>
  <c r="BB67" i="6"/>
  <c r="BC67" i="6"/>
  <c r="BD67" i="6"/>
  <c r="AI71" i="6"/>
  <c r="AJ71" i="6"/>
  <c r="AK71" i="6"/>
  <c r="AL71" i="6"/>
  <c r="AM71" i="6"/>
  <c r="AN71" i="6"/>
  <c r="AO71" i="6"/>
  <c r="AP71" i="6"/>
  <c r="AQ71" i="6"/>
  <c r="BA71" i="6"/>
  <c r="BB71" i="6"/>
  <c r="BC71" i="6"/>
  <c r="BD71" i="6"/>
  <c r="AI72" i="6"/>
  <c r="AJ72" i="6"/>
  <c r="AK72" i="6"/>
  <c r="AL72" i="6"/>
  <c r="AM72" i="6"/>
  <c r="AN72" i="6"/>
  <c r="AO72" i="6"/>
  <c r="AP72" i="6"/>
  <c r="AQ72" i="6"/>
  <c r="BA72" i="6"/>
  <c r="BB72" i="6"/>
  <c r="BC72" i="6"/>
  <c r="BD72" i="6"/>
  <c r="AI73" i="6"/>
  <c r="AJ73" i="6"/>
  <c r="AK73" i="6"/>
  <c r="AL73" i="6"/>
  <c r="AM73" i="6"/>
  <c r="AN73" i="6"/>
  <c r="AO73" i="6"/>
  <c r="AP73" i="6"/>
  <c r="AQ73" i="6"/>
  <c r="BA73" i="6"/>
  <c r="BB73" i="6"/>
  <c r="BC73" i="6"/>
  <c r="BD73" i="6"/>
  <c r="AJ77" i="6"/>
  <c r="AO77" i="6"/>
  <c r="AP77" i="6"/>
  <c r="AQ77" i="6"/>
  <c r="AO78" i="6"/>
  <c r="AP78" i="6"/>
  <c r="AQ78" i="6"/>
  <c r="AJ98" i="6"/>
  <c r="AO98" i="6"/>
  <c r="AI99" i="6"/>
  <c r="AJ99" i="6"/>
  <c r="AK99" i="6"/>
  <c r="AL99" i="6"/>
  <c r="AM99" i="6"/>
  <c r="AN99" i="6"/>
  <c r="AO99" i="6"/>
  <c r="AP99" i="6"/>
  <c r="AQ99" i="6"/>
  <c r="AI100" i="6"/>
  <c r="AJ100" i="6"/>
  <c r="AK100" i="6"/>
  <c r="AL100" i="6"/>
  <c r="AM100" i="6"/>
  <c r="AN100" i="6"/>
  <c r="AO100" i="6"/>
  <c r="AP100" i="6"/>
  <c r="AQ100" i="6"/>
  <c r="AI101" i="6"/>
  <c r="AJ101" i="6"/>
  <c r="AK101" i="6"/>
  <c r="AL101" i="6"/>
  <c r="AM101" i="6"/>
  <c r="AN101" i="6"/>
  <c r="AO101" i="6"/>
  <c r="AP101" i="6"/>
  <c r="AQ101" i="6"/>
  <c r="AI105" i="6"/>
  <c r="AJ105" i="6"/>
  <c r="AK105" i="6"/>
  <c r="AL105" i="6"/>
  <c r="AM105" i="6"/>
  <c r="AN105" i="6"/>
  <c r="AO105" i="6"/>
  <c r="AP105" i="6"/>
  <c r="AQ105" i="6"/>
  <c r="BA105" i="6"/>
  <c r="BB105" i="6"/>
  <c r="BC105" i="6"/>
  <c r="BD105" i="6"/>
  <c r="AK108" i="6"/>
  <c r="AL108" i="6"/>
  <c r="AM108" i="6"/>
  <c r="AN108" i="6"/>
  <c r="AO108" i="6"/>
  <c r="AP108" i="6"/>
  <c r="AQ108" i="6"/>
  <c r="BB108" i="6"/>
  <c r="BC108" i="6"/>
  <c r="BD108" i="6"/>
  <c r="AI111" i="6"/>
  <c r="AJ111" i="6"/>
  <c r="AK111" i="6"/>
  <c r="AL111" i="6"/>
  <c r="AM111" i="6"/>
  <c r="AN111" i="6"/>
  <c r="AO111" i="6"/>
  <c r="AP111" i="6"/>
  <c r="AQ111" i="6"/>
  <c r="BA111" i="6"/>
  <c r="BB111" i="6"/>
  <c r="BC111" i="6"/>
  <c r="BD111" i="6"/>
  <c r="AI121" i="6"/>
  <c r="AJ121" i="6"/>
  <c r="AK121" i="6"/>
  <c r="AL121" i="6"/>
  <c r="AM121" i="6"/>
  <c r="AN121" i="6"/>
  <c r="AO121" i="6"/>
  <c r="AP121" i="6"/>
  <c r="AQ121" i="6"/>
  <c r="BA121" i="6"/>
  <c r="BB121" i="6"/>
  <c r="BC121" i="6"/>
  <c r="BD121" i="6"/>
  <c r="AI124" i="6"/>
  <c r="AJ124" i="6"/>
  <c r="AK124" i="6"/>
  <c r="AL124" i="6"/>
  <c r="AM124" i="6"/>
  <c r="AN124" i="6"/>
  <c r="AO124" i="6"/>
  <c r="AP124" i="6"/>
  <c r="AQ124" i="6"/>
  <c r="AI125" i="6"/>
  <c r="AJ125" i="6"/>
  <c r="AK125" i="6"/>
  <c r="AL125" i="6"/>
  <c r="AM125" i="6"/>
  <c r="AN125" i="6"/>
  <c r="AO125" i="6"/>
  <c r="AP125" i="6"/>
  <c r="AQ125" i="6"/>
  <c r="BA125" i="6"/>
  <c r="BB125" i="6"/>
  <c r="BC125" i="6"/>
  <c r="BD125" i="6"/>
  <c r="AI126" i="6"/>
  <c r="AJ126" i="6"/>
  <c r="AK126" i="6"/>
  <c r="AL126" i="6"/>
  <c r="AM126" i="6"/>
  <c r="AN126" i="6"/>
  <c r="AO126" i="6"/>
  <c r="AP126" i="6"/>
  <c r="AQ126" i="6"/>
  <c r="BA126" i="6"/>
  <c r="BB126" i="6"/>
  <c r="BC126" i="6"/>
  <c r="BD126" i="6"/>
  <c r="AI127" i="6"/>
  <c r="AJ127" i="6"/>
  <c r="AK127" i="6"/>
  <c r="AL127" i="6"/>
  <c r="AM127" i="6"/>
  <c r="AN127" i="6"/>
  <c r="AO127" i="6"/>
  <c r="AP127" i="6"/>
  <c r="AQ127" i="6"/>
  <c r="BA127" i="6"/>
  <c r="BB127" i="6"/>
  <c r="BC127" i="6"/>
  <c r="BD127" i="6"/>
  <c r="AJ130" i="6"/>
  <c r="AO130" i="6"/>
  <c r="AP130" i="6"/>
  <c r="AQ130" i="6"/>
  <c r="AJ131" i="6"/>
  <c r="AO131" i="6"/>
  <c r="AP131" i="6"/>
  <c r="AQ131" i="6"/>
  <c r="AJ132" i="6"/>
  <c r="AO132" i="6"/>
  <c r="AP132" i="6"/>
  <c r="AQ132" i="6"/>
  <c r="AI138" i="6"/>
  <c r="AJ138" i="6"/>
  <c r="AK138" i="6"/>
  <c r="AL138" i="6"/>
  <c r="AM138" i="6"/>
  <c r="AN138" i="6"/>
  <c r="AO138" i="6"/>
  <c r="AP138" i="6"/>
  <c r="AQ138" i="6"/>
  <c r="AI140" i="6"/>
  <c r="AJ140" i="6"/>
  <c r="AK140" i="6"/>
  <c r="AL140" i="6"/>
  <c r="AM140" i="6"/>
  <c r="AN140" i="6"/>
  <c r="AO140" i="6"/>
  <c r="AP140" i="6"/>
  <c r="AQ140" i="6"/>
  <c r="AI144" i="6"/>
  <c r="AJ144" i="6"/>
  <c r="AK144" i="6"/>
  <c r="AL144" i="6"/>
  <c r="AM144" i="6"/>
  <c r="AN144" i="6"/>
  <c r="AO144" i="6"/>
  <c r="AP144" i="6"/>
  <c r="AQ144" i="6"/>
  <c r="BA144" i="6"/>
  <c r="BB144" i="6"/>
  <c r="BC144" i="6"/>
  <c r="BD144" i="6"/>
  <c r="AI145" i="6"/>
  <c r="AJ145" i="6"/>
  <c r="AK145" i="6"/>
  <c r="AL145" i="6"/>
  <c r="AM145" i="6"/>
  <c r="AN145" i="6"/>
  <c r="AO145" i="6"/>
  <c r="AP145" i="6"/>
  <c r="AQ145" i="6"/>
  <c r="BA145" i="6"/>
  <c r="BB145" i="6"/>
  <c r="BC145" i="6"/>
  <c r="BD145" i="6"/>
  <c r="AI148" i="6"/>
  <c r="AJ148" i="6"/>
  <c r="AK148" i="6"/>
  <c r="AL148" i="6"/>
  <c r="AM148" i="6"/>
  <c r="AN148" i="6"/>
  <c r="AO148" i="6"/>
  <c r="AP148" i="6"/>
  <c r="AQ148" i="6"/>
  <c r="BA148" i="6"/>
  <c r="BB148" i="6"/>
  <c r="BC148" i="6"/>
  <c r="BD148" i="6"/>
  <c r="AI152" i="6"/>
  <c r="AJ152" i="6"/>
  <c r="AK152" i="6"/>
  <c r="AL152" i="6"/>
  <c r="AM152" i="6"/>
  <c r="AN152" i="6"/>
  <c r="AO152" i="6"/>
  <c r="AP152" i="6"/>
  <c r="AQ152" i="6"/>
  <c r="BA152" i="6"/>
  <c r="BB152" i="6"/>
  <c r="BC152" i="6"/>
  <c r="BD152" i="6"/>
  <c r="AI156" i="6"/>
  <c r="AJ156" i="6"/>
  <c r="AK156" i="6"/>
  <c r="AL156" i="6"/>
  <c r="AM156" i="6"/>
  <c r="AN156" i="6"/>
  <c r="AO156" i="6"/>
  <c r="AP156" i="6"/>
  <c r="AQ156" i="6"/>
  <c r="BA156" i="6"/>
  <c r="BB156" i="6"/>
  <c r="BC156" i="6"/>
  <c r="BD156" i="6"/>
  <c r="AI157" i="6"/>
  <c r="AJ157" i="6"/>
  <c r="AK157" i="6"/>
  <c r="AL157" i="6"/>
  <c r="AM157" i="6"/>
  <c r="AN157" i="6"/>
  <c r="AO157" i="6"/>
  <c r="AP157" i="6"/>
  <c r="AQ157" i="6"/>
  <c r="BA157" i="6"/>
  <c r="BB157" i="6"/>
  <c r="BC157" i="6"/>
  <c r="BD157" i="6"/>
  <c r="AI161" i="6"/>
  <c r="AJ161" i="6"/>
  <c r="AK161" i="6"/>
  <c r="AL161" i="6"/>
  <c r="AM161" i="6"/>
  <c r="AN161" i="6"/>
  <c r="AO161" i="6"/>
  <c r="AP161" i="6"/>
  <c r="AQ161" i="6"/>
  <c r="BA161" i="6"/>
  <c r="BB161" i="6"/>
  <c r="BC161" i="6"/>
  <c r="BD161" i="6"/>
  <c r="AP162" i="6"/>
  <c r="AI171" i="6"/>
  <c r="AJ171" i="6"/>
  <c r="AK171" i="6"/>
  <c r="AL171" i="6"/>
  <c r="AM171" i="6"/>
  <c r="AN171" i="6"/>
  <c r="AO171" i="6"/>
  <c r="AP171" i="6"/>
  <c r="AQ171" i="6"/>
  <c r="BA171" i="6"/>
  <c r="BB171" i="6"/>
  <c r="BC171" i="6"/>
  <c r="BD171" i="6"/>
  <c r="AI172" i="6"/>
  <c r="AJ172" i="6"/>
  <c r="AK172" i="6"/>
  <c r="AL172" i="6"/>
  <c r="AM172" i="6"/>
  <c r="AN172" i="6"/>
  <c r="AO172" i="6"/>
  <c r="AP172" i="6"/>
  <c r="AQ172" i="6"/>
  <c r="BA172" i="6"/>
  <c r="BB172" i="6"/>
  <c r="BC172" i="6"/>
  <c r="BD172" i="6"/>
  <c r="AI174" i="6"/>
  <c r="AJ174" i="6"/>
  <c r="AK174" i="6"/>
  <c r="AL174" i="6"/>
  <c r="AM174" i="6"/>
  <c r="AN174" i="6"/>
  <c r="AO174" i="6"/>
  <c r="AP174" i="6"/>
  <c r="AQ174" i="6"/>
  <c r="BA174" i="6"/>
  <c r="BB174" i="6"/>
  <c r="BC174" i="6"/>
  <c r="BD174" i="6"/>
  <c r="AI175" i="6"/>
  <c r="AJ175" i="6"/>
  <c r="AK175" i="6"/>
  <c r="AL175" i="6"/>
  <c r="AM175" i="6"/>
  <c r="AN175" i="6"/>
  <c r="AO175" i="6"/>
  <c r="AP175" i="6"/>
  <c r="AQ175" i="6"/>
  <c r="BA175" i="6"/>
  <c r="BB175" i="6"/>
  <c r="BC175" i="6"/>
  <c r="BD175" i="6"/>
  <c r="AI176" i="6"/>
  <c r="AJ176" i="6"/>
  <c r="AK176" i="6"/>
  <c r="AL176" i="6"/>
  <c r="AM176" i="6"/>
  <c r="AN176" i="6"/>
  <c r="AO176" i="6"/>
  <c r="AP176" i="6"/>
  <c r="AQ176" i="6"/>
  <c r="AI177" i="6"/>
  <c r="AJ177" i="6"/>
  <c r="AK177" i="6"/>
  <c r="AL177" i="6"/>
  <c r="AM177" i="6"/>
  <c r="AN177" i="6"/>
  <c r="AO177" i="6"/>
  <c r="AP177" i="6"/>
  <c r="AQ177" i="6"/>
  <c r="BA177" i="6"/>
  <c r="BB177" i="6"/>
  <c r="BC177" i="6"/>
  <c r="BD177" i="6"/>
  <c r="AI178" i="6"/>
  <c r="AJ178" i="6"/>
  <c r="AK178" i="6"/>
  <c r="AL178" i="6"/>
  <c r="AM178" i="6"/>
  <c r="AN178" i="6"/>
  <c r="AO178" i="6"/>
  <c r="AP178" i="6"/>
  <c r="AQ178" i="6"/>
  <c r="BA178" i="6"/>
  <c r="BB178" i="6"/>
  <c r="BC178" i="6"/>
  <c r="BD178" i="6"/>
  <c r="AI179" i="6"/>
  <c r="AJ179" i="6"/>
  <c r="AK179" i="6"/>
  <c r="AL179" i="6"/>
  <c r="AM179" i="6"/>
  <c r="AN179" i="6"/>
  <c r="AO179" i="6"/>
  <c r="AP179" i="6"/>
  <c r="AQ179" i="6"/>
  <c r="AI458" i="6"/>
  <c r="AJ458" i="6"/>
  <c r="AN458" i="6"/>
  <c r="AO458" i="6"/>
  <c r="AP458" i="6"/>
  <c r="AQ458" i="6"/>
  <c r="BA458" i="6"/>
  <c r="BB458" i="6"/>
  <c r="BC458" i="6"/>
  <c r="BD458" i="6"/>
  <c r="AI490" i="6"/>
  <c r="AJ490" i="6"/>
  <c r="AK490" i="6"/>
  <c r="AL490" i="6"/>
  <c r="AM490" i="6"/>
  <c r="AN490" i="6"/>
  <c r="AO490" i="6"/>
  <c r="AP490" i="6"/>
  <c r="AQ490" i="6"/>
  <c r="BA490" i="6"/>
  <c r="BB490" i="6"/>
  <c r="BC490" i="6"/>
  <c r="BD490" i="6"/>
  <c r="AI500" i="6"/>
  <c r="AJ500" i="6"/>
  <c r="AK500" i="6"/>
  <c r="AL500" i="6"/>
  <c r="AM500" i="6"/>
  <c r="AN500" i="6"/>
  <c r="AO500" i="6"/>
  <c r="AP500" i="6"/>
  <c r="AQ500" i="6"/>
  <c r="BA500" i="6"/>
  <c r="BB500" i="6"/>
  <c r="BC500" i="6"/>
  <c r="BD500" i="6"/>
  <c r="AI512" i="6"/>
  <c r="AJ512" i="6"/>
  <c r="BA512" i="6"/>
  <c r="AI513" i="6"/>
  <c r="AJ513" i="6"/>
  <c r="AK513" i="6"/>
  <c r="AL513" i="6"/>
  <c r="AM513" i="6"/>
  <c r="AN513" i="6"/>
  <c r="AO513" i="6"/>
  <c r="AP513" i="6"/>
  <c r="AQ513" i="6"/>
  <c r="BA513" i="6"/>
  <c r="BB513" i="6"/>
  <c r="BC513" i="6"/>
  <c r="BD513" i="6"/>
  <c r="AI543" i="6"/>
  <c r="AJ543" i="6"/>
  <c r="AK543" i="6"/>
  <c r="AL543" i="6"/>
  <c r="AM543" i="6"/>
  <c r="AN543" i="6"/>
  <c r="AO543" i="6"/>
  <c r="AP543" i="6"/>
  <c r="AQ543" i="6"/>
  <c r="BA543" i="6"/>
  <c r="BB543" i="6"/>
  <c r="BC543" i="6"/>
  <c r="BD543" i="6"/>
  <c r="AK544" i="6"/>
  <c r="AL544" i="6"/>
  <c r="AM544" i="6"/>
  <c r="AN544" i="6"/>
  <c r="AO544" i="6"/>
  <c r="AP544" i="6"/>
  <c r="AQ544" i="6"/>
  <c r="BB544" i="6"/>
  <c r="BC544" i="6"/>
  <c r="BD544" i="6"/>
  <c r="AI545" i="6"/>
  <c r="AJ545" i="6"/>
  <c r="AK545" i="6"/>
  <c r="AL545" i="6"/>
  <c r="AM545" i="6"/>
  <c r="AN545" i="6"/>
  <c r="AO545" i="6"/>
  <c r="AP545" i="6"/>
  <c r="AQ545" i="6"/>
  <c r="BA545" i="6"/>
  <c r="BB545" i="6"/>
  <c r="BC545" i="6"/>
  <c r="BD545" i="6"/>
  <c r="AI551" i="6"/>
  <c r="AJ551" i="6"/>
  <c r="AK551" i="6"/>
  <c r="AL551" i="6"/>
  <c r="AM551" i="6"/>
  <c r="AN551" i="6"/>
  <c r="AO551" i="6"/>
  <c r="AP551" i="6"/>
  <c r="AQ551" i="6"/>
  <c r="BA551" i="6"/>
  <c r="BB551" i="6"/>
  <c r="BC551" i="6"/>
  <c r="BD551" i="6"/>
  <c r="AI559" i="6"/>
  <c r="AJ559" i="6"/>
  <c r="AK559" i="6"/>
  <c r="AL559" i="6"/>
  <c r="AM559" i="6"/>
  <c r="AN559" i="6"/>
  <c r="AO559" i="6"/>
  <c r="AP559" i="6"/>
  <c r="AQ559" i="6"/>
  <c r="BA559" i="6"/>
  <c r="BB559" i="6"/>
  <c r="BC559" i="6"/>
  <c r="BD559" i="6"/>
  <c r="AI571" i="6"/>
  <c r="AJ571" i="6"/>
  <c r="AK571" i="6"/>
  <c r="AL571" i="6"/>
  <c r="AM571" i="6"/>
  <c r="AN571" i="6"/>
  <c r="AO571" i="6"/>
  <c r="AP571" i="6"/>
  <c r="AQ571" i="6"/>
  <c r="BA571" i="6"/>
  <c r="BB571" i="6"/>
  <c r="BC571" i="6"/>
  <c r="BD571" i="6"/>
  <c r="AI572" i="6"/>
  <c r="AJ572" i="6"/>
  <c r="AK572" i="6"/>
  <c r="AL572" i="6"/>
  <c r="AM572" i="6"/>
  <c r="AN572" i="6"/>
  <c r="AO572" i="6"/>
  <c r="AP572" i="6"/>
  <c r="AQ572" i="6"/>
  <c r="BA572" i="6"/>
  <c r="BB572" i="6"/>
  <c r="BC572" i="6"/>
  <c r="BD572" i="6"/>
  <c r="AI585" i="6"/>
  <c r="AJ585" i="6"/>
  <c r="AK585" i="6"/>
  <c r="AL585" i="6"/>
  <c r="AM585" i="6"/>
  <c r="AN585" i="6"/>
  <c r="AO585" i="6"/>
  <c r="AP585" i="6"/>
  <c r="AQ585" i="6"/>
  <c r="BA585" i="6"/>
  <c r="BB585" i="6"/>
  <c r="BC585" i="6"/>
  <c r="BD585" i="6"/>
  <c r="AI593" i="6"/>
  <c r="AJ593" i="6"/>
  <c r="AK593" i="6"/>
  <c r="AL593" i="6"/>
  <c r="AM593" i="6"/>
  <c r="AN593" i="6"/>
  <c r="AO593" i="6"/>
  <c r="AP593" i="6"/>
  <c r="AQ593" i="6"/>
  <c r="BA593" i="6"/>
  <c r="BB593" i="6"/>
  <c r="BC593" i="6"/>
  <c r="BD593" i="6"/>
  <c r="AI595" i="6"/>
  <c r="AJ595" i="6"/>
  <c r="AK595" i="6"/>
  <c r="AL595" i="6"/>
  <c r="AM595" i="6"/>
  <c r="AN595" i="6"/>
  <c r="AO595" i="6"/>
  <c r="AP595" i="6"/>
  <c r="AQ595" i="6"/>
  <c r="BA595" i="6"/>
  <c r="BB595" i="6"/>
  <c r="BC595" i="6"/>
  <c r="BD595" i="6"/>
  <c r="AI597" i="6"/>
  <c r="AJ597" i="6"/>
  <c r="AK597" i="6"/>
  <c r="AL597" i="6"/>
  <c r="AM597" i="6"/>
  <c r="AN597" i="6"/>
  <c r="AO597" i="6"/>
  <c r="AP597" i="6"/>
  <c r="AQ597" i="6"/>
  <c r="BA597" i="6"/>
  <c r="BB597" i="6"/>
  <c r="BC597" i="6"/>
  <c r="BD597" i="6"/>
  <c r="AI599" i="6"/>
  <c r="AJ599" i="6"/>
  <c r="AK599" i="6"/>
  <c r="AL599" i="6"/>
  <c r="AM599" i="6"/>
  <c r="AN599" i="6"/>
  <c r="AO599" i="6"/>
  <c r="AP599" i="6"/>
  <c r="AQ599" i="6"/>
  <c r="BA599" i="6"/>
  <c r="BB599" i="6"/>
  <c r="BC599" i="6"/>
  <c r="BD599" i="6"/>
  <c r="AI614" i="6"/>
  <c r="AJ614" i="6"/>
  <c r="AK614" i="6"/>
  <c r="AL614" i="6"/>
  <c r="AM614" i="6"/>
  <c r="AN614" i="6"/>
  <c r="AO614" i="6"/>
  <c r="AP614" i="6"/>
  <c r="AQ614" i="6"/>
  <c r="BA614" i="6"/>
  <c r="BB614" i="6"/>
  <c r="BC614" i="6"/>
  <c r="BD614" i="6"/>
  <c r="AI616" i="6"/>
  <c r="AJ616" i="6"/>
  <c r="AK616" i="6"/>
  <c r="AL616" i="6"/>
  <c r="AM616" i="6"/>
  <c r="AN616" i="6"/>
  <c r="AO616" i="6"/>
  <c r="AP616" i="6"/>
  <c r="AQ616" i="6"/>
  <c r="BA616" i="6"/>
  <c r="BB616" i="6"/>
  <c r="BC616" i="6"/>
  <c r="BD616" i="6"/>
  <c r="AI619" i="6"/>
  <c r="AJ619" i="6"/>
  <c r="AK619" i="6"/>
  <c r="AL619" i="6"/>
  <c r="AM619" i="6"/>
  <c r="AN619" i="6"/>
  <c r="AO619" i="6"/>
  <c r="AP619" i="6"/>
  <c r="AQ619" i="6"/>
  <c r="BA619" i="6"/>
  <c r="BB619" i="6"/>
  <c r="BC619" i="6"/>
  <c r="BD619" i="6"/>
  <c r="AI620" i="6"/>
  <c r="AJ620" i="6"/>
  <c r="AK620" i="6"/>
  <c r="AL620" i="6"/>
  <c r="AM620" i="6"/>
  <c r="AN620" i="6"/>
  <c r="AO620" i="6"/>
  <c r="AP620" i="6"/>
  <c r="AQ620" i="6"/>
  <c r="BA620" i="6"/>
  <c r="BB620" i="6"/>
  <c r="BC620" i="6"/>
  <c r="BD620" i="6"/>
  <c r="AI621" i="6"/>
  <c r="AJ621" i="6"/>
  <c r="AK621" i="6"/>
  <c r="AL621" i="6"/>
  <c r="AM621" i="6"/>
  <c r="AN621" i="6"/>
  <c r="AO621" i="6"/>
  <c r="AP621" i="6"/>
  <c r="AQ621" i="6"/>
  <c r="BA621" i="6"/>
  <c r="BB621" i="6"/>
  <c r="BC621" i="6"/>
  <c r="BD621" i="6"/>
  <c r="AI622" i="6"/>
  <c r="AJ622" i="6"/>
  <c r="AK622" i="6"/>
  <c r="AL622" i="6"/>
  <c r="AM622" i="6"/>
  <c r="AN622" i="6"/>
  <c r="AO622" i="6"/>
  <c r="AP622" i="6"/>
  <c r="AQ622" i="6"/>
  <c r="BA622" i="6"/>
  <c r="BB622" i="6"/>
  <c r="BC622" i="6"/>
  <c r="BD622" i="6"/>
  <c r="AK694" i="6"/>
  <c r="AL694" i="6"/>
  <c r="AM694" i="6"/>
  <c r="AN694" i="6"/>
  <c r="AO694" i="6"/>
  <c r="AP694" i="6"/>
  <c r="AQ694" i="6"/>
  <c r="BB694" i="6"/>
  <c r="BC694" i="6"/>
  <c r="BD694" i="6"/>
  <c r="AI707" i="6"/>
  <c r="AJ707" i="6"/>
  <c r="AK707" i="6"/>
  <c r="AL707" i="6"/>
  <c r="AM707" i="6"/>
  <c r="AN707" i="6"/>
  <c r="AO707" i="6"/>
  <c r="AP707" i="6"/>
  <c r="AQ707" i="6"/>
  <c r="BA707" i="6"/>
  <c r="BB707" i="6"/>
  <c r="BC707" i="6"/>
  <c r="BD707" i="6"/>
  <c r="AI708" i="6"/>
  <c r="AJ708" i="6"/>
  <c r="AK708" i="6"/>
  <c r="AL708" i="6"/>
  <c r="AM708" i="6"/>
  <c r="AN708" i="6"/>
  <c r="AO708" i="6"/>
  <c r="AP708" i="6"/>
  <c r="AQ708" i="6"/>
  <c r="BA708" i="6"/>
  <c r="BB708" i="6"/>
  <c r="BC708" i="6"/>
  <c r="BD708" i="6"/>
  <c r="AK713" i="6"/>
  <c r="AL713" i="6"/>
  <c r="AM713" i="6"/>
  <c r="AN713" i="6"/>
  <c r="AO713" i="6"/>
  <c r="AP713" i="6"/>
  <c r="AQ713" i="6"/>
  <c r="BB713" i="6"/>
  <c r="BC713" i="6"/>
  <c r="BD713" i="6"/>
  <c r="AI715" i="6"/>
  <c r="AJ715" i="6"/>
  <c r="AK715" i="6"/>
  <c r="AL715" i="6"/>
  <c r="AM715" i="6"/>
  <c r="AN715" i="6"/>
  <c r="AO715" i="6"/>
  <c r="AP715" i="6"/>
  <c r="AQ715" i="6"/>
  <c r="BA715" i="6"/>
  <c r="BB715" i="6"/>
  <c r="BC715" i="6"/>
  <c r="BD715" i="6"/>
  <c r="AI716" i="6"/>
  <c r="AJ716" i="6"/>
  <c r="AK716" i="6"/>
  <c r="AL716" i="6"/>
  <c r="AM716" i="6"/>
  <c r="AN716" i="6"/>
  <c r="AO716" i="6"/>
  <c r="AP716" i="6"/>
  <c r="AQ716" i="6"/>
  <c r="BA716" i="6"/>
  <c r="BB716" i="6"/>
  <c r="BC716" i="6"/>
  <c r="BD716" i="6"/>
  <c r="O236" i="58511"/>
  <c r="P236" i="58511"/>
  <c r="Q236" i="58511"/>
  <c r="O239" i="58511"/>
  <c r="P239" i="58511"/>
  <c r="Q239" i="58511"/>
  <c r="O240" i="58511"/>
  <c r="P240" i="58511"/>
  <c r="Q240" i="58511"/>
  <c r="O242" i="58511"/>
  <c r="P242" i="58511"/>
  <c r="Q242" i="58511"/>
  <c r="O253" i="58511"/>
  <c r="P253" i="58511"/>
  <c r="Q253" i="58511"/>
  <c r="O257" i="58511"/>
  <c r="P257" i="58511"/>
  <c r="Q257" i="58511"/>
  <c r="D152" i="58480"/>
  <c r="G152" i="58480"/>
  <c r="G155" i="58480"/>
  <c r="G157" i="58480"/>
  <c r="G159" i="58480"/>
  <c r="G162" i="58480"/>
  <c r="N14" i="58477"/>
  <c r="N15" i="58477"/>
  <c r="G27" i="58477"/>
  <c r="H27" i="58477"/>
  <c r="G29" i="58477"/>
  <c r="H29" i="58477"/>
  <c r="G49" i="58477"/>
  <c r="H49" i="58477"/>
  <c r="G51" i="58477"/>
  <c r="H51" i="58477"/>
  <c r="B60" i="58477"/>
  <c r="B66" i="58477"/>
  <c r="C66" i="58477"/>
  <c r="D66" i="58477"/>
  <c r="B67" i="58477"/>
  <c r="C67" i="58477"/>
  <c r="B68" i="58477"/>
  <c r="C68" i="58477"/>
  <c r="D68" i="58477"/>
  <c r="B73" i="58477"/>
  <c r="B76" i="58477"/>
  <c r="B80" i="58477"/>
  <c r="B83" i="58477"/>
  <c r="J43" i="58512"/>
  <c r="K43" i="58512"/>
  <c r="L43" i="58512"/>
  <c r="M43" i="58512"/>
  <c r="J45" i="58512"/>
  <c r="K45" i="58512"/>
  <c r="L45" i="58512"/>
  <c r="M45" i="58512"/>
  <c r="J46" i="58512"/>
  <c r="K46" i="58512"/>
  <c r="L46" i="58512"/>
  <c r="M46" i="58512"/>
  <c r="J47" i="58512"/>
  <c r="K47" i="58512"/>
  <c r="L47" i="58512"/>
  <c r="M47" i="58512"/>
  <c r="I49" i="58512"/>
  <c r="J49" i="58512"/>
  <c r="K49" i="58512"/>
  <c r="L49" i="58512"/>
  <c r="M49" i="58512"/>
</calcChain>
</file>

<file path=xl/comments1.xml><?xml version="1.0" encoding="utf-8"?>
<comments xmlns="http://schemas.openxmlformats.org/spreadsheetml/2006/main">
  <authors>
    <author>Savino, Mark (Research)</author>
    <author>ancsan</author>
    <author>jills</author>
    <author>pathaman</author>
    <author>amitansv</author>
    <author>Chaudhry, Baset A (Research)</author>
    <author>Zheng, Chaodan (Research)</author>
    <author>Allen, Thomas (Research)</author>
    <author>thallen</author>
    <author>nitesp</author>
    <author>Slattery, Jill N (Research)</author>
    <author>K, Hemalatha (Research)</author>
    <author>Mendiratta, Divya (Research)</author>
  </authors>
  <commentList>
    <comment ref="AF15" authorId="0">
      <text>
        <r>
          <rPr>
            <b/>
            <sz val="9"/>
            <color indexed="81"/>
            <rFont val="Tahoma"/>
            <family val="2"/>
          </rPr>
          <t>Savino, Mark (Research):</t>
        </r>
        <r>
          <rPr>
            <sz val="9"/>
            <color indexed="81"/>
            <rFont val="Tahoma"/>
            <family val="2"/>
          </rPr>
          <t xml:space="preserve">
Pro forma, only reflects intersegment eliminations, as "other revenue" is shifted out of M&amp;F and into a separate line item</t>
        </r>
      </text>
    </comment>
    <comment ref="AF17" authorId="0">
      <text>
        <r>
          <rPr>
            <b/>
            <sz val="9"/>
            <color indexed="81"/>
            <rFont val="Tahoma"/>
            <family val="2"/>
          </rPr>
          <t>Savino, Mark (Research):</t>
        </r>
        <r>
          <rPr>
            <sz val="9"/>
            <color indexed="81"/>
            <rFont val="Tahoma"/>
            <family val="2"/>
          </rPr>
          <t xml:space="preserve">
Reflects HLT's purchasing business. Per mgmt, should be $105-110m / year going forward. Prior to spin, was consolidated into "Other Revenue" in M+F fees in line 15</t>
        </r>
      </text>
    </comment>
    <comment ref="AJ17" authorId="0">
      <text>
        <r>
          <rPr>
            <b/>
            <sz val="9"/>
            <color indexed="81"/>
            <rFont val="Tahoma"/>
            <family val="2"/>
          </rPr>
          <t>Savino, Mark (Research):</t>
        </r>
        <r>
          <rPr>
            <sz val="9"/>
            <color indexed="81"/>
            <rFont val="Tahoma"/>
            <family val="2"/>
          </rPr>
          <t xml:space="preserve">
4Q16: Reflects HLT's purchasing business. Per mgmt, should be $105-110m / year going forward. Prior to spin, was consolidated into "Other Revenue" in M+F fees in line 15
1Q17 outperformed
4Q16: Per mgmt, should be less seasonal than 2016</t>
        </r>
      </text>
    </comment>
    <comment ref="AO17" authorId="0">
      <text>
        <r>
          <rPr>
            <b/>
            <sz val="9"/>
            <color indexed="81"/>
            <rFont val="Tahoma"/>
            <family val="2"/>
          </rPr>
          <t>Savino, Mark (Research):</t>
        </r>
        <r>
          <rPr>
            <sz val="9"/>
            <color indexed="81"/>
            <rFont val="Tahoma"/>
            <family val="2"/>
          </rPr>
          <t xml:space="preserve">
4Q16: Reflects HLT's purchasing business. Per mgmt, should be $105-110m / year going forward. Prior to spin, was consolidated into "Other Revenue" in M+F fees in line 15
1Q17 outperformed
4Q16: Per mgmt, should be less seasonal than 2016</t>
        </r>
      </text>
    </comment>
    <comment ref="AP21" authorId="0">
      <text>
        <r>
          <rPr>
            <b/>
            <sz val="9"/>
            <color indexed="81"/>
            <rFont val="Tahoma"/>
            <family val="2"/>
          </rPr>
          <t>Savino, Mark (Research):</t>
        </r>
        <r>
          <rPr>
            <sz val="9"/>
            <color indexed="81"/>
            <rFont val="Tahoma"/>
            <family val="2"/>
          </rPr>
          <t xml:space="preserve">
Assumes 1-3% annual RevPAR growth</t>
        </r>
      </text>
    </comment>
    <comment ref="O33" authorId="1">
      <text>
        <r>
          <rPr>
            <sz val="8"/>
            <color indexed="81"/>
            <rFont val="Tahoma"/>
            <family val="2"/>
          </rPr>
          <t>Incremental expense of $306 million was recognized as a result of the modification of certain share-based compensation awards in connection with IPO</t>
        </r>
      </text>
    </comment>
    <comment ref="AF34" authorId="0">
      <text>
        <r>
          <rPr>
            <b/>
            <sz val="9"/>
            <color indexed="81"/>
            <rFont val="Tahoma"/>
            <family val="2"/>
          </rPr>
          <t>Savino, Mark (Research):</t>
        </r>
        <r>
          <rPr>
            <sz val="9"/>
            <color indexed="81"/>
            <rFont val="Tahoma"/>
            <family val="2"/>
          </rPr>
          <t xml:space="preserve">
$51m of pro forma other expenses in 2016. These were previously lumped into corporate, but will be broken out separately going forward. Per mgmt after 4Q16 call, should not be any material changes y/y vs. 2016, but less seaonality</t>
        </r>
      </text>
    </comment>
    <comment ref="AG34" authorId="0">
      <text>
        <r>
          <rPr>
            <b/>
            <sz val="9"/>
            <color indexed="81"/>
            <rFont val="Tahoma"/>
            <family val="2"/>
          </rPr>
          <t>Savino, Mark (Research):</t>
        </r>
        <r>
          <rPr>
            <sz val="9"/>
            <color indexed="81"/>
            <rFont val="Tahoma"/>
            <family val="2"/>
          </rPr>
          <t xml:space="preserve">
$51m of pro forma other expenses in 2016. These were previously lumped into corporate, but will be broken out separately going forward. Per mgmt after 4Q16 call, should not be any material changes y/y vs. 2016, but less seaonality</t>
        </r>
      </text>
    </comment>
    <comment ref="AH34" authorId="0">
      <text>
        <r>
          <rPr>
            <b/>
            <sz val="9"/>
            <color indexed="81"/>
            <rFont val="Tahoma"/>
            <family val="2"/>
          </rPr>
          <t>Savino, Mark (Research):</t>
        </r>
        <r>
          <rPr>
            <sz val="9"/>
            <color indexed="81"/>
            <rFont val="Tahoma"/>
            <family val="2"/>
          </rPr>
          <t xml:space="preserve">
$51m of pro forma other expenses in 2016. These were previously lumped into corporate, but will be broken out separately going forward. Per mgmt after 4Q16 call, should not be any material changes y/y vs. 2016, but less seaonality</t>
        </r>
      </text>
    </comment>
    <comment ref="AI34" authorId="0">
      <text>
        <r>
          <rPr>
            <b/>
            <sz val="9"/>
            <color indexed="81"/>
            <rFont val="Tahoma"/>
            <family val="2"/>
          </rPr>
          <t>Savino, Mark (Research):</t>
        </r>
        <r>
          <rPr>
            <sz val="9"/>
            <color indexed="81"/>
            <rFont val="Tahoma"/>
            <family val="2"/>
          </rPr>
          <t xml:space="preserve">
$51m of pro forma other expenses in 2016. These were previously lumped into corporate, but will be broken out separately going forward. Per mgmt after 4Q16 call, should not be any material changes y/y vs. 2016, but less seaonality</t>
        </r>
      </text>
    </comment>
    <comment ref="AJ34" authorId="0">
      <text>
        <r>
          <rPr>
            <b/>
            <sz val="9"/>
            <color indexed="81"/>
            <rFont val="Tahoma"/>
            <family val="2"/>
          </rPr>
          <t>Savino, Mark (Research):</t>
        </r>
        <r>
          <rPr>
            <sz val="9"/>
            <color indexed="81"/>
            <rFont val="Tahoma"/>
            <family val="2"/>
          </rPr>
          <t xml:space="preserve">
$51m of pro forma other expenses in 2016. These were previously lumped into corporate, but will be broken out separately going forward. Per mgmt after 4Q16 call, should not be any material changes y/y vs. 2016, but less seaonality</t>
        </r>
      </text>
    </comment>
    <comment ref="O45" authorId="2">
      <text>
        <r>
          <rPr>
            <b/>
            <sz val="8"/>
            <color indexed="81"/>
            <rFont val="Tahoma"/>
            <family val="2"/>
          </rPr>
          <t>jills:</t>
        </r>
        <r>
          <rPr>
            <sz val="8"/>
            <color indexed="81"/>
            <rFont val="Tahoma"/>
            <family val="2"/>
          </rPr>
          <t xml:space="preserve">
guidance $151m</t>
        </r>
      </text>
    </comment>
    <comment ref="P45" authorId="2">
      <text>
        <r>
          <rPr>
            <b/>
            <sz val="8"/>
            <color indexed="81"/>
            <rFont val="Tahoma"/>
            <family val="2"/>
          </rPr>
          <t>jills:</t>
        </r>
        <r>
          <rPr>
            <sz val="8"/>
            <color indexed="81"/>
            <rFont val="Tahoma"/>
            <family val="2"/>
          </rPr>
          <t xml:space="preserve">
guidance $606m</t>
        </r>
      </text>
    </comment>
    <comment ref="Q45" authorId="3">
      <text>
        <r>
          <rPr>
            <sz val="8"/>
            <color indexed="81"/>
            <rFont val="Tahoma"/>
            <family val="2"/>
          </rPr>
          <t xml:space="preserve">Company Guidance:
$161.0.0m
Source: Pg 19, 8-K, 4Q13 </t>
        </r>
      </text>
    </comment>
    <comment ref="R45" authorId="2">
      <text>
        <r>
          <rPr>
            <sz val="8"/>
            <color indexed="81"/>
            <rFont val="Tahoma"/>
            <family val="2"/>
          </rPr>
          <t>(1Q14): $157.0m
Pre IPO guidance $156m</t>
        </r>
      </text>
    </comment>
    <comment ref="S45" authorId="2">
      <text>
        <r>
          <rPr>
            <b/>
            <sz val="8"/>
            <color indexed="81"/>
            <rFont val="Tahoma"/>
            <family val="2"/>
          </rPr>
          <t>Guidance:</t>
        </r>
        <r>
          <rPr>
            <sz val="8"/>
            <color indexed="81"/>
            <rFont val="Tahoma"/>
            <family val="2"/>
          </rPr>
          <t xml:space="preserve">
$160m</t>
        </r>
      </text>
    </comment>
    <comment ref="T45" authorId="2">
      <text>
        <r>
          <rPr>
            <b/>
            <sz val="8"/>
            <color indexed="81"/>
            <rFont val="Tahoma"/>
            <family val="2"/>
          </rPr>
          <t>Guidance:</t>
        </r>
        <r>
          <rPr>
            <sz val="8"/>
            <color indexed="81"/>
            <rFont val="Tahoma"/>
            <family val="2"/>
          </rPr>
          <t xml:space="preserve">
$155m</t>
        </r>
      </text>
    </comment>
    <comment ref="U45" authorId="4">
      <text>
        <r>
          <rPr>
            <b/>
            <sz val="8"/>
            <color indexed="81"/>
            <rFont val="Tahoma"/>
            <family val="2"/>
          </rPr>
          <t>Guidance:</t>
        </r>
        <r>
          <rPr>
            <sz val="8"/>
            <color indexed="81"/>
            <rFont val="Tahoma"/>
            <family val="2"/>
          </rPr>
          <t xml:space="preserve">
(2Q14): $625.0m
(2Q14): $631.0m
(1Q14): $628.0m
(4Q13): $639.0m</t>
        </r>
      </text>
    </comment>
    <comment ref="V45" authorId="5">
      <text>
        <r>
          <rPr>
            <b/>
            <sz val="9"/>
            <color indexed="81"/>
            <rFont val="Tahoma"/>
            <family val="2"/>
          </rPr>
          <t>Guidance:</t>
        </r>
        <r>
          <rPr>
            <sz val="9"/>
            <color indexed="81"/>
            <rFont val="Tahoma"/>
            <family val="2"/>
          </rPr>
          <t xml:space="preserve"> 
$163-167m</t>
        </r>
      </text>
    </comment>
    <comment ref="W45" authorId="5">
      <text>
        <r>
          <rPr>
            <b/>
            <sz val="9"/>
            <color indexed="81"/>
            <rFont val="Tahoma"/>
            <family val="2"/>
          </rPr>
          <t>Guidance:</t>
        </r>
        <r>
          <rPr>
            <sz val="9"/>
            <color indexed="81"/>
            <rFont val="Tahoma"/>
            <family val="2"/>
          </rPr>
          <t xml:space="preserve"> 
$174m</t>
        </r>
      </text>
    </comment>
    <comment ref="X45" authorId="5">
      <text>
        <r>
          <rPr>
            <b/>
            <sz val="9"/>
            <color indexed="81"/>
            <rFont val="Tahoma"/>
            <family val="2"/>
          </rPr>
          <t>Guidance:</t>
        </r>
        <r>
          <rPr>
            <sz val="9"/>
            <color indexed="81"/>
            <rFont val="Tahoma"/>
            <family val="2"/>
          </rPr>
          <t xml:space="preserve"> 
$172m</t>
        </r>
      </text>
    </comment>
    <comment ref="Y45" authorId="5">
      <text>
        <r>
          <rPr>
            <b/>
            <sz val="9"/>
            <color indexed="81"/>
            <rFont val="Tahoma"/>
            <family val="2"/>
          </rPr>
          <t>Guidance:</t>
        </r>
        <r>
          <rPr>
            <sz val="9"/>
            <color indexed="81"/>
            <rFont val="Tahoma"/>
            <family val="2"/>
          </rPr>
          <t xml:space="preserve"> 
$172m</t>
        </r>
      </text>
    </comment>
    <comment ref="Z45" authorId="5">
      <text>
        <r>
          <rPr>
            <b/>
            <sz val="9"/>
            <color indexed="81"/>
            <rFont val="Tahoma"/>
            <family val="2"/>
          </rPr>
          <t>Guidance:</t>
        </r>
        <r>
          <rPr>
            <sz val="9"/>
            <color indexed="81"/>
            <rFont val="Tahoma"/>
            <family val="2"/>
          </rPr>
          <t xml:space="preserve"> 
3Q15: $690m
2Q15: $692m
1Q15: $704m
4Q14: $691-695m</t>
        </r>
      </text>
    </comment>
    <comment ref="AA45" authorId="0">
      <text>
        <r>
          <rPr>
            <b/>
            <sz val="9"/>
            <color indexed="81"/>
            <rFont val="Tahoma"/>
            <family val="2"/>
          </rPr>
          <t>Savino, Mark (Research):</t>
        </r>
        <r>
          <rPr>
            <sz val="9"/>
            <color indexed="81"/>
            <rFont val="Tahoma"/>
            <family val="2"/>
          </rPr>
          <t xml:space="preserve">
4Q15: 171m</t>
        </r>
      </text>
    </comment>
    <comment ref="AC45" authorId="0">
      <text>
        <r>
          <rPr>
            <b/>
            <sz val="9"/>
            <color indexed="81"/>
            <rFont val="Tahoma"/>
            <family val="2"/>
          </rPr>
          <t>Savino, Mark (Research):</t>
        </r>
        <r>
          <rPr>
            <sz val="9"/>
            <color indexed="81"/>
            <rFont val="Tahoma"/>
            <family val="2"/>
          </rPr>
          <t xml:space="preserve">
Guidance $174m</t>
        </r>
      </text>
    </comment>
    <comment ref="AD45" authorId="0">
      <text>
        <r>
          <rPr>
            <b/>
            <sz val="9"/>
            <color indexed="81"/>
            <rFont val="Tahoma"/>
            <family val="2"/>
          </rPr>
          <t>Savino, Mark (Research):</t>
        </r>
        <r>
          <rPr>
            <sz val="9"/>
            <color indexed="81"/>
            <rFont val="Tahoma"/>
            <family val="2"/>
          </rPr>
          <t xml:space="preserve">
3Q16: $174m
Implied guidance $174m</t>
        </r>
      </text>
    </comment>
    <comment ref="AE45" authorId="0">
      <text>
        <r>
          <rPr>
            <b/>
            <sz val="9"/>
            <color indexed="81"/>
            <rFont val="Tahoma"/>
            <family val="2"/>
          </rPr>
          <t>Savino, Mark (Research):</t>
        </r>
        <r>
          <rPr>
            <sz val="9"/>
            <color indexed="81"/>
            <rFont val="Tahoma"/>
            <family val="2"/>
          </rPr>
          <t xml:space="preserve">
2Q16: $688m
1Q16: $689m
4Q15: $689m</t>
        </r>
      </text>
    </comment>
    <comment ref="AF45" authorId="0">
      <text>
        <r>
          <rPr>
            <b/>
            <sz val="9"/>
            <color indexed="81"/>
            <rFont val="Tahoma"/>
            <family val="2"/>
          </rPr>
          <t>Savino, Mark (Research):</t>
        </r>
        <r>
          <rPr>
            <sz val="9"/>
            <color indexed="81"/>
            <rFont val="Tahoma"/>
            <family val="2"/>
          </rPr>
          <t xml:space="preserve">
4Q16: $88m</t>
        </r>
      </text>
    </comment>
    <comment ref="AG45" authorId="6">
      <text>
        <r>
          <rPr>
            <b/>
            <sz val="9"/>
            <color indexed="81"/>
            <rFont val="Tahoma"/>
            <family val="2"/>
          </rPr>
          <t>Zheng, Chaodan (Research):</t>
        </r>
        <r>
          <rPr>
            <sz val="9"/>
            <color indexed="81"/>
            <rFont val="Tahoma"/>
            <family val="2"/>
          </rPr>
          <t xml:space="preserve">
1Q17: $85m</t>
        </r>
      </text>
    </comment>
    <comment ref="AH45" authorId="6">
      <text>
        <r>
          <rPr>
            <b/>
            <sz val="9"/>
            <color indexed="81"/>
            <rFont val="Tahoma"/>
            <family val="2"/>
          </rPr>
          <t>Zheng, Chaodan (Research):</t>
        </r>
        <r>
          <rPr>
            <sz val="9"/>
            <color indexed="81"/>
            <rFont val="Tahoma"/>
            <family val="2"/>
          </rPr>
          <t xml:space="preserve">
2Q17: $87m</t>
        </r>
      </text>
    </comment>
    <comment ref="AI45" authorId="6">
      <text>
        <r>
          <rPr>
            <b/>
            <sz val="9"/>
            <color indexed="81"/>
            <rFont val="Tahoma"/>
            <family val="2"/>
          </rPr>
          <t>Zheng, Chaodan (Research):</t>
        </r>
        <r>
          <rPr>
            <sz val="9"/>
            <color indexed="81"/>
            <rFont val="Tahoma"/>
            <family val="2"/>
          </rPr>
          <t xml:space="preserve">
3Q17: $87m</t>
        </r>
      </text>
    </comment>
    <comment ref="AJ45" authorId="7">
      <text>
        <r>
          <rPr>
            <b/>
            <sz val="9"/>
            <color indexed="81"/>
            <rFont val="Tahoma"/>
            <family val="2"/>
          </rPr>
          <t>Allen, Thomas (Research):</t>
        </r>
        <r>
          <rPr>
            <sz val="9"/>
            <color indexed="81"/>
            <rFont val="Tahoma"/>
            <family val="2"/>
          </rPr>
          <t xml:space="preserve">
3Q17: $346m
2Q17: $350m
1Q17: $343m
4Q16: $343m
Per mgmt $350-375m, $200m of it is amortization of purchase accounting</t>
        </r>
      </text>
    </comment>
    <comment ref="AK45" authorId="0">
      <text>
        <r>
          <rPr>
            <b/>
            <sz val="9"/>
            <color indexed="81"/>
            <rFont val="Tahoma"/>
            <family val="2"/>
          </rPr>
          <t>Savino, Mark (Research):</t>
        </r>
        <r>
          <rPr>
            <sz val="9"/>
            <color indexed="81"/>
            <rFont val="Tahoma"/>
            <family val="2"/>
          </rPr>
          <t xml:space="preserve">
Guidance $82m</t>
        </r>
      </text>
    </comment>
    <comment ref="AO45" authorId="0">
      <text>
        <r>
          <rPr>
            <b/>
            <sz val="9"/>
            <color indexed="81"/>
            <rFont val="Tahoma"/>
            <family val="2"/>
          </rPr>
          <t>Savino, Mark (Research):</t>
        </r>
        <r>
          <rPr>
            <sz val="9"/>
            <color indexed="81"/>
            <rFont val="Tahoma"/>
            <family val="2"/>
          </rPr>
          <t xml:space="preserve">
4Q17: $336m</t>
        </r>
      </text>
    </comment>
    <comment ref="V46" authorId="5">
      <text>
        <r>
          <rPr>
            <b/>
            <sz val="9"/>
            <color indexed="81"/>
            <rFont val="Tahoma"/>
            <family val="2"/>
          </rPr>
          <t>Chaudhry, Baset A (Research):</t>
        </r>
        <r>
          <rPr>
            <sz val="9"/>
            <color indexed="81"/>
            <rFont val="Tahoma"/>
            <family val="2"/>
          </rPr>
          <t xml:space="preserve">
Gain on sale of assets</t>
        </r>
      </text>
    </comment>
    <comment ref="W46" authorId="5">
      <text>
        <r>
          <rPr>
            <b/>
            <sz val="9"/>
            <color indexed="81"/>
            <rFont val="Tahoma"/>
            <family val="2"/>
          </rPr>
          <t>Chaudhry, Baset A (Research):</t>
        </r>
        <r>
          <rPr>
            <sz val="9"/>
            <color indexed="81"/>
            <rFont val="Tahoma"/>
            <family val="2"/>
          </rPr>
          <t xml:space="preserve">
Gain on sale of assets</t>
        </r>
      </text>
    </comment>
    <comment ref="X46" authorId="5">
      <text>
        <r>
          <rPr>
            <b/>
            <sz val="9"/>
            <color indexed="81"/>
            <rFont val="Tahoma"/>
            <family val="2"/>
          </rPr>
          <t>Chaudhry, Baset A (Research):</t>
        </r>
        <r>
          <rPr>
            <sz val="9"/>
            <color indexed="81"/>
            <rFont val="Tahoma"/>
            <family val="2"/>
          </rPr>
          <t xml:space="preserve">
Gain on sale of assets</t>
        </r>
      </text>
    </comment>
    <comment ref="E50" authorId="3">
      <text>
        <r>
          <rPr>
            <sz val="8"/>
            <color indexed="81"/>
            <rFont val="Tahoma"/>
            <family val="2"/>
          </rPr>
          <t xml:space="preserve">Source: Excel file sent by the company
</t>
        </r>
      </text>
    </comment>
    <comment ref="F50" authorId="3">
      <text>
        <r>
          <rPr>
            <sz val="8"/>
            <color indexed="81"/>
            <rFont val="Tahoma"/>
            <family val="2"/>
          </rPr>
          <t xml:space="preserve">Source: Excel file sent by the company
</t>
        </r>
      </text>
    </comment>
    <comment ref="E51" authorId="3">
      <text>
        <r>
          <rPr>
            <sz val="8"/>
            <color indexed="81"/>
            <rFont val="Tahoma"/>
            <family val="2"/>
          </rPr>
          <t xml:space="preserve">Source: Excel file sent by the company
</t>
        </r>
      </text>
    </comment>
    <comment ref="F51" authorId="3">
      <text>
        <r>
          <rPr>
            <sz val="8"/>
            <color indexed="81"/>
            <rFont val="Tahoma"/>
            <family val="2"/>
          </rPr>
          <t xml:space="preserve">Source: Excel file sent by the company
</t>
        </r>
      </text>
    </comment>
    <comment ref="O51" authorId="8">
      <text>
        <r>
          <rPr>
            <b/>
            <sz val="8"/>
            <color indexed="81"/>
            <rFont val="Tahoma"/>
            <family val="2"/>
          </rPr>
          <t>thallen:</t>
        </r>
        <r>
          <rPr>
            <sz val="8"/>
            <color indexed="81"/>
            <rFont val="Tahoma"/>
            <family val="2"/>
          </rPr>
          <t xml:space="preserve">
&gt;$100m related to the refinancing</t>
        </r>
      </text>
    </comment>
    <comment ref="Q51" authorId="3">
      <text>
        <r>
          <rPr>
            <sz val="8"/>
            <color indexed="81"/>
            <rFont val="Tahoma"/>
            <family val="2"/>
          </rPr>
          <t xml:space="preserve">Company Guidance:
$154.0m
Source: Pg 19, 8-K, 4Q13 </t>
        </r>
      </text>
    </comment>
    <comment ref="R51" authorId="4">
      <text>
        <r>
          <rPr>
            <sz val="8"/>
            <color indexed="81"/>
            <rFont val="Tahoma"/>
            <family val="2"/>
          </rPr>
          <t xml:space="preserve">(1Q14): $152.0m
</t>
        </r>
      </text>
    </comment>
    <comment ref="S51" authorId="5">
      <text>
        <r>
          <rPr>
            <sz val="9"/>
            <color indexed="81"/>
            <rFont val="Tahoma"/>
            <family val="2"/>
          </rPr>
          <t>Guidance $152m</t>
        </r>
      </text>
    </comment>
    <comment ref="T51" authorId="5">
      <text>
        <r>
          <rPr>
            <sz val="9"/>
            <color indexed="81"/>
            <rFont val="Tahoma"/>
            <family val="2"/>
          </rPr>
          <t>Guidance $151m</t>
        </r>
      </text>
    </comment>
    <comment ref="U51" authorId="4">
      <text>
        <r>
          <rPr>
            <b/>
            <sz val="8"/>
            <color indexed="81"/>
            <rFont val="Tahoma"/>
            <family val="2"/>
          </rPr>
          <t>Guidance:</t>
        </r>
        <r>
          <rPr>
            <sz val="8"/>
            <color indexed="81"/>
            <rFont val="Tahoma"/>
            <family val="2"/>
          </rPr>
          <t xml:space="preserve">
(2Q14): $618m
(2Q14): $614-615m
(1Q14): $606.0m
(4Q13): $610.0m</t>
        </r>
      </text>
    </comment>
    <comment ref="V51" authorId="5">
      <text>
        <r>
          <rPr>
            <b/>
            <sz val="9"/>
            <color indexed="81"/>
            <rFont val="Tahoma"/>
            <family val="2"/>
          </rPr>
          <t>Guidance:</t>
        </r>
        <r>
          <rPr>
            <sz val="9"/>
            <color indexed="81"/>
            <rFont val="Tahoma"/>
            <family val="2"/>
          </rPr>
          <t xml:space="preserve"> 
$145-141m</t>
        </r>
      </text>
    </comment>
    <comment ref="W51" authorId="5">
      <text>
        <r>
          <rPr>
            <b/>
            <sz val="9"/>
            <color indexed="81"/>
            <rFont val="Tahoma"/>
            <family val="2"/>
          </rPr>
          <t>Guidance:</t>
        </r>
        <r>
          <rPr>
            <sz val="9"/>
            <color indexed="81"/>
            <rFont val="Tahoma"/>
            <family val="2"/>
          </rPr>
          <t xml:space="preserve"> 
$142m</t>
        </r>
      </text>
    </comment>
    <comment ref="X51" authorId="5">
      <text>
        <r>
          <rPr>
            <b/>
            <sz val="9"/>
            <color indexed="81"/>
            <rFont val="Tahoma"/>
            <family val="2"/>
          </rPr>
          <t>Guidance:</t>
        </r>
        <r>
          <rPr>
            <sz val="9"/>
            <color indexed="81"/>
            <rFont val="Tahoma"/>
            <family val="2"/>
          </rPr>
          <t xml:space="preserve"> 
$140m</t>
        </r>
      </text>
    </comment>
    <comment ref="Y51" authorId="5">
      <text>
        <r>
          <rPr>
            <b/>
            <sz val="9"/>
            <color indexed="81"/>
            <rFont val="Tahoma"/>
            <family val="2"/>
          </rPr>
          <t>Guidance:</t>
        </r>
        <r>
          <rPr>
            <sz val="9"/>
            <color indexed="81"/>
            <rFont val="Tahoma"/>
            <family val="2"/>
          </rPr>
          <t xml:space="preserve"> 
$141m</t>
        </r>
      </text>
    </comment>
    <comment ref="Z51" authorId="5">
      <text>
        <r>
          <rPr>
            <b/>
            <sz val="9"/>
            <color indexed="81"/>
            <rFont val="Tahoma"/>
            <family val="2"/>
          </rPr>
          <t>Guidance:</t>
        </r>
        <r>
          <rPr>
            <sz val="9"/>
            <color indexed="81"/>
            <rFont val="Tahoma"/>
            <family val="2"/>
          </rPr>
          <t xml:space="preserve"> 
3Q15: $572m
2Q15: $572m
1Q15: $569m
4Q14: $574-578m</t>
        </r>
      </text>
    </comment>
    <comment ref="AA51" authorId="0">
      <text>
        <r>
          <rPr>
            <b/>
            <sz val="9"/>
            <color indexed="81"/>
            <rFont val="Tahoma"/>
            <family val="2"/>
          </rPr>
          <t>Savino, Mark (Research):</t>
        </r>
        <r>
          <rPr>
            <sz val="9"/>
            <color indexed="81"/>
            <rFont val="Tahoma"/>
            <family val="2"/>
          </rPr>
          <t xml:space="preserve">
4Q15: $140m</t>
        </r>
      </text>
    </comment>
    <comment ref="AC51" authorId="0">
      <text>
        <r>
          <rPr>
            <b/>
            <sz val="9"/>
            <color indexed="81"/>
            <rFont val="Tahoma"/>
            <family val="2"/>
          </rPr>
          <t>Savino, Mark (Research):</t>
        </r>
        <r>
          <rPr>
            <sz val="9"/>
            <color indexed="81"/>
            <rFont val="Tahoma"/>
            <family val="2"/>
          </rPr>
          <t xml:space="preserve">
Guidance $142m</t>
        </r>
      </text>
    </comment>
    <comment ref="AD51" authorId="0">
      <text>
        <r>
          <rPr>
            <b/>
            <sz val="9"/>
            <color indexed="81"/>
            <rFont val="Tahoma"/>
            <family val="2"/>
          </rPr>
          <t>Savino, Mark (Research):</t>
        </r>
        <r>
          <rPr>
            <sz val="9"/>
            <color indexed="81"/>
            <rFont val="Tahoma"/>
            <family val="2"/>
          </rPr>
          <t xml:space="preserve">
3Q16: $145m
Implied guidance $142m</t>
        </r>
      </text>
    </comment>
    <comment ref="AE51" authorId="0">
      <text>
        <r>
          <rPr>
            <b/>
            <sz val="9"/>
            <color indexed="81"/>
            <rFont val="Tahoma"/>
            <family val="2"/>
          </rPr>
          <t>Savino, Mark (Research):</t>
        </r>
        <r>
          <rPr>
            <sz val="9"/>
            <color indexed="81"/>
            <rFont val="Tahoma"/>
            <family val="2"/>
          </rPr>
          <t xml:space="preserve">
2Q16: $570m
1Q16: $562m
4Q15: $562m</t>
        </r>
      </text>
    </comment>
    <comment ref="AF51" authorId="0">
      <text>
        <r>
          <rPr>
            <b/>
            <sz val="9"/>
            <color indexed="81"/>
            <rFont val="Tahoma"/>
            <family val="2"/>
          </rPr>
          <t>Savino, Mark (Research):</t>
        </r>
        <r>
          <rPr>
            <sz val="9"/>
            <color indexed="81"/>
            <rFont val="Tahoma"/>
            <family val="2"/>
          </rPr>
          <t xml:space="preserve">
4Q16: $104m</t>
        </r>
      </text>
    </comment>
    <comment ref="AG51" authorId="6">
      <text>
        <r>
          <rPr>
            <b/>
            <sz val="9"/>
            <color indexed="81"/>
            <rFont val="Tahoma"/>
            <family val="2"/>
          </rPr>
          <t>Zheng, Chaodan (Research):</t>
        </r>
        <r>
          <rPr>
            <sz val="9"/>
            <color indexed="81"/>
            <rFont val="Tahoma"/>
            <family val="2"/>
          </rPr>
          <t xml:space="preserve">
1Q17: $99m</t>
        </r>
      </text>
    </comment>
    <comment ref="AH51" authorId="6">
      <text>
        <r>
          <rPr>
            <b/>
            <sz val="9"/>
            <color indexed="81"/>
            <rFont val="Tahoma"/>
            <family val="2"/>
          </rPr>
          <t>Zheng, Chaodan (Research):</t>
        </r>
        <r>
          <rPr>
            <sz val="9"/>
            <color indexed="81"/>
            <rFont val="Tahoma"/>
            <family val="2"/>
          </rPr>
          <t xml:space="preserve">
2Q17: $99m</t>
        </r>
      </text>
    </comment>
    <comment ref="AI51" authorId="6">
      <text>
        <r>
          <rPr>
            <b/>
            <sz val="9"/>
            <color indexed="81"/>
            <rFont val="Tahoma"/>
            <family val="2"/>
          </rPr>
          <t>Zheng, Chaodan (Research):</t>
        </r>
        <r>
          <rPr>
            <sz val="9"/>
            <color indexed="81"/>
            <rFont val="Tahoma"/>
            <family val="2"/>
          </rPr>
          <t xml:space="preserve">
3Q17: $100m</t>
        </r>
      </text>
    </comment>
    <comment ref="AJ51" authorId="0">
      <text>
        <r>
          <rPr>
            <b/>
            <sz val="9"/>
            <color indexed="81"/>
            <rFont val="Tahoma"/>
            <family val="2"/>
          </rPr>
          <t>Savino, Mark (Research):</t>
        </r>
        <r>
          <rPr>
            <sz val="9"/>
            <color indexed="81"/>
            <rFont val="Tahoma"/>
            <family val="2"/>
          </rPr>
          <t xml:space="preserve">
3Q17: $404m
2Q17: $403m
1Q17: $403m
4Q16: $416m</t>
        </r>
      </text>
    </comment>
    <comment ref="E53" authorId="3">
      <text>
        <r>
          <rPr>
            <sz val="8"/>
            <color indexed="81"/>
            <rFont val="Tahoma"/>
            <family val="2"/>
          </rPr>
          <t xml:space="preserve">Source: Excel file sent by the company
</t>
        </r>
      </text>
    </comment>
    <comment ref="F53" authorId="3">
      <text>
        <r>
          <rPr>
            <sz val="8"/>
            <color indexed="81"/>
            <rFont val="Tahoma"/>
            <family val="2"/>
          </rPr>
          <t xml:space="preserve">Source: Excel file sent by the company
</t>
        </r>
      </text>
    </comment>
    <comment ref="V53" authorId="5">
      <text>
        <r>
          <rPr>
            <b/>
            <sz val="9"/>
            <color indexed="81"/>
            <rFont val="Tahoma"/>
            <family val="2"/>
          </rPr>
          <t xml:space="preserve">Guidance:
</t>
        </r>
        <r>
          <rPr>
            <sz val="9"/>
            <color indexed="81"/>
            <rFont val="Tahoma"/>
            <family val="2"/>
          </rPr>
          <t xml:space="preserve">$14m
</t>
        </r>
      </text>
    </comment>
    <comment ref="W53" authorId="5">
      <text>
        <r>
          <rPr>
            <b/>
            <sz val="9"/>
            <color indexed="81"/>
            <rFont val="Tahoma"/>
            <family val="2"/>
          </rPr>
          <t xml:space="preserve">Guidance:
</t>
        </r>
        <r>
          <rPr>
            <sz val="9"/>
            <color indexed="81"/>
            <rFont val="Tahoma"/>
            <family val="2"/>
          </rPr>
          <t xml:space="preserve">$0m
</t>
        </r>
      </text>
    </comment>
    <comment ref="X53" authorId="5">
      <text>
        <r>
          <rPr>
            <b/>
            <sz val="9"/>
            <color indexed="81"/>
            <rFont val="Tahoma"/>
            <family val="2"/>
          </rPr>
          <t xml:space="preserve">Guidance:
</t>
        </r>
        <r>
          <rPr>
            <sz val="9"/>
            <color indexed="81"/>
            <rFont val="Tahoma"/>
            <family val="2"/>
          </rPr>
          <t xml:space="preserve">$0m
</t>
        </r>
      </text>
    </comment>
    <comment ref="Z53" authorId="4">
      <text>
        <r>
          <rPr>
            <b/>
            <sz val="8"/>
            <color indexed="81"/>
            <rFont val="Tahoma"/>
            <family val="2"/>
          </rPr>
          <t>Guidance:</t>
        </r>
        <r>
          <rPr>
            <sz val="8"/>
            <color indexed="81"/>
            <rFont val="Tahoma"/>
            <family val="2"/>
          </rPr>
          <t xml:space="preserve">
3Q15: $20.0m
2Q15: $13.0m
1Q15: $18.0m
4Q14: $14.0m
</t>
        </r>
      </text>
    </comment>
    <comment ref="AJ53" authorId="6">
      <text>
        <r>
          <rPr>
            <b/>
            <sz val="9"/>
            <color indexed="81"/>
            <rFont val="Tahoma"/>
            <family val="2"/>
          </rPr>
          <t>Zheng, Chaodan (Research):</t>
        </r>
        <r>
          <rPr>
            <sz val="9"/>
            <color indexed="81"/>
            <rFont val="Tahoma"/>
            <family val="2"/>
          </rPr>
          <t xml:space="preserve">
1Q17: $(4)m</t>
        </r>
      </text>
    </comment>
    <comment ref="O54" authorId="3">
      <text>
        <r>
          <rPr>
            <sz val="8"/>
            <color indexed="81"/>
            <rFont val="Tahoma"/>
            <family val="2"/>
          </rPr>
          <t>Company Guidance
$231m (almost all associated with the re-financing) less $3m equity in earnings from unconsolidated affiliates</t>
        </r>
      </text>
    </comment>
    <comment ref="Q54" authorId="3">
      <text>
        <r>
          <rPr>
            <sz val="8"/>
            <color indexed="81"/>
            <rFont val="Tahoma"/>
            <family val="2"/>
          </rPr>
          <t>Company Guidance
$0 guidance less $3m equity in earnings from unconsolidated affiliates</t>
        </r>
      </text>
    </comment>
    <comment ref="R54" authorId="3">
      <text>
        <r>
          <rPr>
            <sz val="8"/>
            <color indexed="81"/>
            <rFont val="Tahoma"/>
            <family val="2"/>
          </rPr>
          <t>Company Guidance
$4m guidance less $3m equity in earnings from unconsolidated affiliates</t>
        </r>
      </text>
    </comment>
    <comment ref="S54" authorId="3">
      <text>
        <r>
          <rPr>
            <sz val="8"/>
            <color indexed="81"/>
            <rFont val="Tahoma"/>
            <family val="2"/>
          </rPr>
          <t>Company Guidance
$2m guidance less $3m equity in earnings from unconsolidated affiliates</t>
        </r>
      </text>
    </comment>
    <comment ref="V54" authorId="5">
      <text>
        <r>
          <rPr>
            <b/>
            <sz val="9"/>
            <color indexed="81"/>
            <rFont val="Tahoma"/>
            <family val="2"/>
          </rPr>
          <t xml:space="preserve">Guidance:
</t>
        </r>
        <r>
          <rPr>
            <sz val="9"/>
            <color indexed="81"/>
            <rFont val="Tahoma"/>
            <family val="2"/>
          </rPr>
          <t xml:space="preserve">$0m
</t>
        </r>
      </text>
    </comment>
    <comment ref="W54" authorId="5">
      <text>
        <r>
          <rPr>
            <b/>
            <sz val="9"/>
            <color indexed="81"/>
            <rFont val="Tahoma"/>
            <family val="2"/>
          </rPr>
          <t xml:space="preserve">Guidance:
</t>
        </r>
        <r>
          <rPr>
            <sz val="9"/>
            <color indexed="81"/>
            <rFont val="Tahoma"/>
            <family val="2"/>
          </rPr>
          <t xml:space="preserve">$0m
</t>
        </r>
      </text>
    </comment>
    <comment ref="X54" authorId="5">
      <text>
        <r>
          <rPr>
            <b/>
            <sz val="9"/>
            <color indexed="81"/>
            <rFont val="Tahoma"/>
            <family val="2"/>
          </rPr>
          <t xml:space="preserve">Guidance:
</t>
        </r>
        <r>
          <rPr>
            <sz val="9"/>
            <color indexed="81"/>
            <rFont val="Tahoma"/>
            <family val="2"/>
          </rPr>
          <t xml:space="preserve">$0m
</t>
        </r>
      </text>
    </comment>
    <comment ref="Z54" authorId="4">
      <text>
        <r>
          <rPr>
            <b/>
            <sz val="8"/>
            <color indexed="81"/>
            <rFont val="Tahoma"/>
            <family val="2"/>
          </rPr>
          <t>Guidance:</t>
        </r>
        <r>
          <rPr>
            <sz val="8"/>
            <color indexed="81"/>
            <rFont val="Tahoma"/>
            <family val="2"/>
          </rPr>
          <t xml:space="preserve">
2Q15: $7.0m
1Q15: $25.0m
</t>
        </r>
      </text>
    </comment>
    <comment ref="Q57" authorId="3">
      <text>
        <r>
          <rPr>
            <sz val="8"/>
            <color indexed="81"/>
            <rFont val="Tahoma"/>
            <family val="2"/>
          </rPr>
          <t xml:space="preserve">Company Guidance:
$(52.0-60.0)m
Source: Pg 19, 8-K, 4Q13 </t>
        </r>
      </text>
    </comment>
    <comment ref="R57" authorId="8">
      <text>
        <r>
          <rPr>
            <sz val="8"/>
            <color indexed="81"/>
            <rFont val="Tahoma"/>
            <family val="2"/>
          </rPr>
          <t xml:space="preserve">(1Q14): $114.0-120.0m
</t>
        </r>
      </text>
    </comment>
    <comment ref="S57" authorId="5">
      <text>
        <r>
          <rPr>
            <b/>
            <sz val="9"/>
            <color indexed="81"/>
            <rFont val="Tahoma"/>
            <family val="2"/>
          </rPr>
          <t xml:space="preserve">Guidance:
</t>
        </r>
        <r>
          <rPr>
            <sz val="9"/>
            <color indexed="81"/>
            <rFont val="Tahoma"/>
            <family val="2"/>
          </rPr>
          <t xml:space="preserve">$101-108m
</t>
        </r>
      </text>
    </comment>
    <comment ref="T57" authorId="5">
      <text>
        <r>
          <rPr>
            <b/>
            <sz val="9"/>
            <color indexed="81"/>
            <rFont val="Tahoma"/>
            <family val="2"/>
          </rPr>
          <t xml:space="preserve">Guidance:
</t>
        </r>
        <r>
          <rPr>
            <sz val="9"/>
            <color indexed="81"/>
            <rFont val="Tahoma"/>
            <family val="2"/>
          </rPr>
          <t xml:space="preserve">$110-119m
</t>
        </r>
      </text>
    </comment>
    <comment ref="U57" authorId="8">
      <text>
        <r>
          <rPr>
            <b/>
            <sz val="8"/>
            <color indexed="81"/>
            <rFont val="Tahoma"/>
            <family val="2"/>
          </rPr>
          <t>Guidance:</t>
        </r>
        <r>
          <rPr>
            <sz val="8"/>
            <color indexed="81"/>
            <rFont val="Tahoma"/>
            <family val="2"/>
          </rPr>
          <t xml:space="preserve">
(3Q14): $441.0-450.0m
(2Q14): $410.0-430.0m
(1Q14): $408.0-426.0m
(4Q13): $377.0-405.0m</t>
        </r>
      </text>
    </comment>
    <comment ref="V57" authorId="5">
      <text>
        <r>
          <rPr>
            <b/>
            <sz val="9"/>
            <color indexed="81"/>
            <rFont val="Tahoma"/>
            <family val="2"/>
          </rPr>
          <t xml:space="preserve">Guidance:
</t>
        </r>
        <r>
          <rPr>
            <sz val="9"/>
            <color indexed="81"/>
            <rFont val="Tahoma"/>
            <family val="2"/>
          </rPr>
          <t xml:space="preserve">$70-81m
</t>
        </r>
      </text>
    </comment>
    <comment ref="W57" authorId="5">
      <text>
        <r>
          <rPr>
            <b/>
            <sz val="9"/>
            <color indexed="81"/>
            <rFont val="Tahoma"/>
            <family val="2"/>
          </rPr>
          <t xml:space="preserve">Guidance:
</t>
        </r>
        <r>
          <rPr>
            <sz val="9"/>
            <color indexed="81"/>
            <rFont val="Tahoma"/>
            <family val="2"/>
          </rPr>
          <t xml:space="preserve">$142-150m
</t>
        </r>
      </text>
    </comment>
    <comment ref="X57" authorId="5">
      <text>
        <r>
          <rPr>
            <b/>
            <sz val="9"/>
            <color indexed="81"/>
            <rFont val="Tahoma"/>
            <family val="2"/>
          </rPr>
          <t xml:space="preserve">Guidance:
</t>
        </r>
        <r>
          <rPr>
            <sz val="9"/>
            <color indexed="81"/>
            <rFont val="Tahoma"/>
            <family val="2"/>
          </rPr>
          <t xml:space="preserve">$146-154m
</t>
        </r>
      </text>
    </comment>
    <comment ref="Y57" authorId="0">
      <text>
        <r>
          <rPr>
            <b/>
            <sz val="9"/>
            <color indexed="81"/>
            <rFont val="Tahoma"/>
            <family val="2"/>
          </rPr>
          <t>Savino, Mark (Research):</t>
        </r>
        <r>
          <rPr>
            <sz val="9"/>
            <color indexed="81"/>
            <rFont val="Tahoma"/>
            <family val="2"/>
          </rPr>
          <t xml:space="preserve">
$640m deferred tax benefit was unrelated to the spin, and was the result of converting US subsidiaries to LLCs. Was done to help them to potentially take advantage of tax efficiencies in the future</t>
        </r>
      </text>
    </comment>
    <comment ref="Z57" authorId="5">
      <text>
        <r>
          <rPr>
            <b/>
            <sz val="9"/>
            <color indexed="81"/>
            <rFont val="Tahoma"/>
            <family val="2"/>
          </rPr>
          <t xml:space="preserve">Guidance:
</t>
        </r>
        <r>
          <rPr>
            <sz val="9"/>
            <color indexed="81"/>
            <rFont val="Tahoma"/>
            <family val="2"/>
          </rPr>
          <t>3Q15: $692-704m</t>
        </r>
        <r>
          <rPr>
            <b/>
            <sz val="9"/>
            <color indexed="81"/>
            <rFont val="Tahoma"/>
            <family val="2"/>
          </rPr>
          <t xml:space="preserve">
</t>
        </r>
        <r>
          <rPr>
            <sz val="9"/>
            <color indexed="81"/>
            <rFont val="Tahoma"/>
            <family val="2"/>
          </rPr>
          <t>1Q15: $598-618m</t>
        </r>
        <r>
          <rPr>
            <b/>
            <sz val="9"/>
            <color indexed="81"/>
            <rFont val="Tahoma"/>
            <family val="2"/>
          </rPr>
          <t xml:space="preserve">
</t>
        </r>
        <r>
          <rPr>
            <sz val="9"/>
            <color indexed="81"/>
            <rFont val="Tahoma"/>
            <family val="2"/>
          </rPr>
          <t xml:space="preserve">4Q14: $519-554m
</t>
        </r>
      </text>
    </comment>
    <comment ref="AA57" authorId="0">
      <text>
        <r>
          <rPr>
            <b/>
            <sz val="9"/>
            <color indexed="81"/>
            <rFont val="Tahoma"/>
            <family val="2"/>
          </rPr>
          <t>Savino, Mark (Research):</t>
        </r>
        <r>
          <rPr>
            <sz val="9"/>
            <color indexed="81"/>
            <rFont val="Tahoma"/>
            <family val="2"/>
          </rPr>
          <t xml:space="preserve">
4Q15: $98-111m</t>
        </r>
      </text>
    </comment>
    <comment ref="AC57" authorId="0">
      <text>
        <r>
          <rPr>
            <b/>
            <sz val="9"/>
            <color indexed="81"/>
            <rFont val="Tahoma"/>
            <family val="2"/>
          </rPr>
          <t>Savino, Mark (Research):</t>
        </r>
        <r>
          <rPr>
            <sz val="9"/>
            <color indexed="81"/>
            <rFont val="Tahoma"/>
            <family val="2"/>
          </rPr>
          <t xml:space="preserve">
Guidance $160-168m</t>
        </r>
      </text>
    </comment>
    <comment ref="AD57" authorId="0">
      <text>
        <r>
          <rPr>
            <b/>
            <sz val="9"/>
            <color indexed="81"/>
            <rFont val="Tahoma"/>
            <family val="2"/>
          </rPr>
          <t>Savino, Mark (Research):</t>
        </r>
        <r>
          <rPr>
            <sz val="9"/>
            <color indexed="81"/>
            <rFont val="Tahoma"/>
            <family val="2"/>
          </rPr>
          <t xml:space="preserve">
3Q16: $133-155m
Implied guidance $157-173m</t>
        </r>
      </text>
    </comment>
    <comment ref="AE57" authorId="0">
      <text>
        <r>
          <rPr>
            <b/>
            <sz val="9"/>
            <color indexed="81"/>
            <rFont val="Tahoma"/>
            <family val="2"/>
          </rPr>
          <t>Savino, Mark (Research):</t>
        </r>
        <r>
          <rPr>
            <sz val="9"/>
            <color indexed="81"/>
            <rFont val="Tahoma"/>
            <family val="2"/>
          </rPr>
          <t xml:space="preserve">
2Q16: $427-451m
4Q15: $616-652m</t>
        </r>
      </text>
    </comment>
    <comment ref="AF57" authorId="0">
      <text>
        <r>
          <rPr>
            <b/>
            <sz val="9"/>
            <color indexed="81"/>
            <rFont val="Tahoma"/>
            <family val="2"/>
          </rPr>
          <t>Savino, Mark (Research):</t>
        </r>
        <r>
          <rPr>
            <sz val="9"/>
            <color indexed="81"/>
            <rFont val="Tahoma"/>
            <family val="2"/>
          </rPr>
          <t xml:space="preserve">
4Q16: $49-60m</t>
        </r>
      </text>
    </comment>
    <comment ref="AG57" authorId="6">
      <text>
        <r>
          <rPr>
            <b/>
            <sz val="9"/>
            <color indexed="81"/>
            <rFont val="Tahoma"/>
            <family val="2"/>
          </rPr>
          <t>Zheng, Chaodan (Research):</t>
        </r>
        <r>
          <rPr>
            <sz val="9"/>
            <color indexed="81"/>
            <rFont val="Tahoma"/>
            <family val="2"/>
          </rPr>
          <t xml:space="preserve">
1Q17: $97-107m</t>
        </r>
      </text>
    </comment>
    <comment ref="AH57" authorId="6">
      <text>
        <r>
          <rPr>
            <b/>
            <sz val="9"/>
            <color indexed="81"/>
            <rFont val="Tahoma"/>
            <family val="2"/>
          </rPr>
          <t>Zheng, Chaodan (Research):</t>
        </r>
        <r>
          <rPr>
            <sz val="9"/>
            <color indexed="81"/>
            <rFont val="Tahoma"/>
            <family val="2"/>
          </rPr>
          <t xml:space="preserve">
2Q17: $96-103m</t>
        </r>
      </text>
    </comment>
    <comment ref="AI57" authorId="6">
      <text>
        <r>
          <rPr>
            <b/>
            <sz val="9"/>
            <color indexed="81"/>
            <rFont val="Tahoma"/>
            <family val="2"/>
          </rPr>
          <t>Zheng, Chaodan (Research):</t>
        </r>
        <r>
          <rPr>
            <sz val="9"/>
            <color indexed="81"/>
            <rFont val="Tahoma"/>
            <family val="2"/>
          </rPr>
          <t xml:space="preserve">
3Q17: $83-90m</t>
        </r>
      </text>
    </comment>
    <comment ref="AJ57" authorId="0">
      <text>
        <r>
          <rPr>
            <b/>
            <sz val="9"/>
            <color indexed="81"/>
            <rFont val="Tahoma"/>
            <family val="2"/>
          </rPr>
          <t>Savino, Mark (Research):</t>
        </r>
        <r>
          <rPr>
            <sz val="9"/>
            <color indexed="81"/>
            <rFont val="Tahoma"/>
            <family val="2"/>
          </rPr>
          <t xml:space="preserve">
3Q17: $334-341m
2Q17: $320-335m
1Q17: $317-332m
4Q16: $333-355m</t>
        </r>
      </text>
    </comment>
    <comment ref="AK57" authorId="0">
      <text>
        <r>
          <rPr>
            <b/>
            <sz val="9"/>
            <color indexed="81"/>
            <rFont val="Tahoma"/>
            <family val="2"/>
          </rPr>
          <t>Savino, Mark (Research):</t>
        </r>
        <r>
          <rPr>
            <sz val="9"/>
            <color indexed="81"/>
            <rFont val="Tahoma"/>
            <family val="2"/>
          </rPr>
          <t xml:space="preserve">
Guidance $56-62m</t>
        </r>
      </text>
    </comment>
    <comment ref="AO57" authorId="0">
      <text>
        <r>
          <rPr>
            <b/>
            <sz val="9"/>
            <color indexed="81"/>
            <rFont val="Tahoma"/>
            <family val="2"/>
          </rPr>
          <t>Savino, Mark (Research):</t>
        </r>
        <r>
          <rPr>
            <sz val="9"/>
            <color indexed="81"/>
            <rFont val="Tahoma"/>
            <family val="2"/>
          </rPr>
          <t xml:space="preserve">
4Q17: $327-342m</t>
        </r>
      </text>
    </comment>
    <comment ref="A58" authorId="3">
      <text>
        <r>
          <rPr>
            <sz val="8"/>
            <color indexed="81"/>
            <rFont val="Tahoma"/>
            <family val="2"/>
          </rPr>
          <t xml:space="preserve">HLT has not reported "minority equity in net income" separately. Hence, we have derived it as- ("Net income attributable to stockholders" - Net income").
</t>
        </r>
      </text>
    </comment>
    <comment ref="O58" authorId="2">
      <text>
        <r>
          <rPr>
            <b/>
            <sz val="8"/>
            <color indexed="81"/>
            <rFont val="Tahoma"/>
            <family val="2"/>
          </rPr>
          <t>jills:</t>
        </r>
        <r>
          <rPr>
            <sz val="8"/>
            <color indexed="81"/>
            <rFont val="Tahoma"/>
            <family val="2"/>
          </rPr>
          <t xml:space="preserve">
implied guidance given net income of $188m and net income attributable to stockholders of $182m</t>
        </r>
      </text>
    </comment>
    <comment ref="Q58" authorId="3">
      <text>
        <r>
          <rPr>
            <sz val="8"/>
            <color indexed="81"/>
            <rFont val="Tahoma"/>
            <family val="2"/>
          </rPr>
          <t xml:space="preserve">Company Guidance:
$4.0m
Source: Pg 19, 8-K, 4Q13 
</t>
        </r>
      </text>
    </comment>
    <comment ref="R58" authorId="4">
      <text>
        <r>
          <rPr>
            <sz val="8"/>
            <color indexed="81"/>
            <rFont val="Tahoma"/>
            <family val="2"/>
          </rPr>
          <t xml:space="preserve">(1Q14): $6.0m
</t>
        </r>
      </text>
    </comment>
    <comment ref="S58" authorId="5">
      <text>
        <r>
          <rPr>
            <sz val="9"/>
            <color indexed="81"/>
            <rFont val="Tahoma"/>
            <family val="2"/>
          </rPr>
          <t>Guidance $6m</t>
        </r>
      </text>
    </comment>
    <comment ref="T58" authorId="5">
      <text>
        <r>
          <rPr>
            <b/>
            <sz val="9"/>
            <color indexed="81"/>
            <rFont val="Tahoma"/>
            <family val="2"/>
          </rPr>
          <t xml:space="preserve">Guidance:
</t>
        </r>
        <r>
          <rPr>
            <sz val="9"/>
            <color indexed="81"/>
            <rFont val="Tahoma"/>
            <family val="2"/>
          </rPr>
          <t xml:space="preserve">$7m
</t>
        </r>
      </text>
    </comment>
    <comment ref="U58" authorId="4">
      <text>
        <r>
          <rPr>
            <b/>
            <sz val="8"/>
            <color indexed="81"/>
            <rFont val="Tahoma"/>
            <family val="2"/>
          </rPr>
          <t>Guidance:</t>
        </r>
        <r>
          <rPr>
            <sz val="8"/>
            <color indexed="81"/>
            <rFont val="Tahoma"/>
            <family val="2"/>
          </rPr>
          <t xml:space="preserve">
(3Q14): $15.0m
(2Q14): $18.0m
(1Q14): $20.0m
(4Q13): $22.0m</t>
        </r>
      </text>
    </comment>
    <comment ref="V58" authorId="5">
      <text>
        <r>
          <rPr>
            <b/>
            <sz val="9"/>
            <color indexed="81"/>
            <rFont val="Tahoma"/>
            <family val="2"/>
          </rPr>
          <t xml:space="preserve">Guidance:
</t>
        </r>
        <r>
          <rPr>
            <sz val="9"/>
            <color indexed="81"/>
            <rFont val="Tahoma"/>
            <family val="2"/>
          </rPr>
          <t xml:space="preserve">$3m
</t>
        </r>
      </text>
    </comment>
    <comment ref="W58" authorId="5">
      <text>
        <r>
          <rPr>
            <b/>
            <sz val="9"/>
            <color indexed="81"/>
            <rFont val="Tahoma"/>
            <family val="2"/>
          </rPr>
          <t xml:space="preserve">Guidance:
</t>
        </r>
        <r>
          <rPr>
            <sz val="9"/>
            <color indexed="81"/>
            <rFont val="Tahoma"/>
            <family val="2"/>
          </rPr>
          <t xml:space="preserve">$3m
</t>
        </r>
      </text>
    </comment>
    <comment ref="X58" authorId="5">
      <text>
        <r>
          <rPr>
            <b/>
            <sz val="9"/>
            <color indexed="81"/>
            <rFont val="Tahoma"/>
            <family val="2"/>
          </rPr>
          <t xml:space="preserve">Guidance:
</t>
        </r>
        <r>
          <rPr>
            <sz val="9"/>
            <color indexed="81"/>
            <rFont val="Tahoma"/>
            <family val="2"/>
          </rPr>
          <t xml:space="preserve">$5m
</t>
        </r>
      </text>
    </comment>
    <comment ref="Y58" authorId="5">
      <text>
        <r>
          <rPr>
            <b/>
            <sz val="9"/>
            <color indexed="81"/>
            <rFont val="Tahoma"/>
            <family val="2"/>
          </rPr>
          <t xml:space="preserve">Guidance:
</t>
        </r>
        <r>
          <rPr>
            <sz val="9"/>
            <color indexed="81"/>
            <rFont val="Tahoma"/>
            <family val="2"/>
          </rPr>
          <t xml:space="preserve">$3m
</t>
        </r>
      </text>
    </comment>
    <comment ref="Z58" authorId="4">
      <text>
        <r>
          <rPr>
            <b/>
            <sz val="8"/>
            <color indexed="81"/>
            <rFont val="Tahoma"/>
            <family val="2"/>
          </rPr>
          <t>Guidance:</t>
        </r>
        <r>
          <rPr>
            <sz val="8"/>
            <color indexed="81"/>
            <rFont val="Tahoma"/>
            <family val="2"/>
          </rPr>
          <t xml:space="preserve">
2Q15: $16.0m
1Q15: $11.0m
4Q14: $15.0m
</t>
        </r>
      </text>
    </comment>
    <comment ref="AA58" authorId="0">
      <text>
        <r>
          <rPr>
            <b/>
            <sz val="9"/>
            <color indexed="81"/>
            <rFont val="Tahoma"/>
            <family val="2"/>
          </rPr>
          <t>Savino, Mark (Research):</t>
        </r>
        <r>
          <rPr>
            <sz val="9"/>
            <color indexed="81"/>
            <rFont val="Tahoma"/>
            <family val="2"/>
          </rPr>
          <t xml:space="preserve">
4Q15: $2m</t>
        </r>
      </text>
    </comment>
    <comment ref="AC58" authorId="0">
      <text>
        <r>
          <rPr>
            <b/>
            <sz val="9"/>
            <color indexed="81"/>
            <rFont val="Tahoma"/>
            <family val="2"/>
          </rPr>
          <t>Savino, Mark (Research):</t>
        </r>
        <r>
          <rPr>
            <sz val="9"/>
            <color indexed="81"/>
            <rFont val="Tahoma"/>
            <family val="2"/>
          </rPr>
          <t xml:space="preserve">
Guidance $5m</t>
        </r>
      </text>
    </comment>
    <comment ref="AE58" authorId="0">
      <text>
        <r>
          <rPr>
            <b/>
            <sz val="9"/>
            <color indexed="81"/>
            <rFont val="Tahoma"/>
            <family val="2"/>
          </rPr>
          <t>Savino, Mark (Research):</t>
        </r>
        <r>
          <rPr>
            <sz val="9"/>
            <color indexed="81"/>
            <rFont val="Tahoma"/>
            <family val="2"/>
          </rPr>
          <t xml:space="preserve">
2Q16: $15m
4Q15: $14m</t>
        </r>
      </text>
    </comment>
    <comment ref="AD59" authorId="0">
      <text>
        <r>
          <rPr>
            <b/>
            <sz val="9"/>
            <color indexed="81"/>
            <rFont val="Tahoma"/>
            <family val="2"/>
          </rPr>
          <t>Savino, Mark (Research):</t>
        </r>
        <r>
          <rPr>
            <sz val="9"/>
            <color indexed="81"/>
            <rFont val="Tahoma"/>
            <family val="2"/>
          </rPr>
          <t xml:space="preserve">
3Q16: 15-40m, so $27.5m at the midpoint
$27m of 1x spin-related costs</t>
        </r>
      </text>
    </comment>
    <comment ref="Q60" authorId="3">
      <text>
        <r>
          <rPr>
            <sz val="8"/>
            <color indexed="81"/>
            <rFont val="Tahoma"/>
            <family val="2"/>
          </rPr>
          <t xml:space="preserve">4Q13:$73.0-85.0m
</t>
        </r>
      </text>
    </comment>
    <comment ref="R60" authorId="3">
      <text>
        <r>
          <rPr>
            <sz val="8"/>
            <color indexed="81"/>
            <rFont val="Tahoma"/>
            <family val="2"/>
          </rPr>
          <t>(1Q14): $168.0-182.0m</t>
        </r>
      </text>
    </comment>
    <comment ref="S60" authorId="5">
      <text>
        <r>
          <rPr>
            <b/>
            <sz val="9"/>
            <color indexed="81"/>
            <rFont val="Tahoma"/>
            <family val="2"/>
          </rPr>
          <t xml:space="preserve">Guidance 2Q14:
</t>
        </r>
        <r>
          <rPr>
            <sz val="9"/>
            <color indexed="81"/>
            <rFont val="Tahoma"/>
            <family val="2"/>
          </rPr>
          <t>$146-159m</t>
        </r>
        <r>
          <rPr>
            <b/>
            <sz val="9"/>
            <color indexed="81"/>
            <rFont val="Tahoma"/>
            <family val="2"/>
          </rPr>
          <t xml:space="preserve"> 
</t>
        </r>
      </text>
    </comment>
    <comment ref="U60" authorId="3">
      <text>
        <r>
          <rPr>
            <sz val="8"/>
            <color indexed="81"/>
            <rFont val="Tahoma"/>
            <family val="2"/>
          </rPr>
          <t>(1Q14): $597.0-629.0m
(4Q13): $548.0-590.0m</t>
        </r>
      </text>
    </comment>
    <comment ref="V64" authorId="5">
      <text>
        <r>
          <rPr>
            <b/>
            <sz val="9"/>
            <color indexed="81"/>
            <rFont val="Tahoma"/>
            <family val="2"/>
          </rPr>
          <t>Chaudhry, Baset A (Research):</t>
        </r>
        <r>
          <rPr>
            <sz val="9"/>
            <color indexed="81"/>
            <rFont val="Tahoma"/>
            <family val="2"/>
          </rPr>
          <t xml:space="preserve">
Shares based compensation expense, Net gain on Asset acqs, foreign deferred tax adj, income tax benefit</t>
        </r>
      </text>
    </comment>
    <comment ref="W64" authorId="5">
      <text>
        <r>
          <rPr>
            <b/>
            <sz val="9"/>
            <color indexed="81"/>
            <rFont val="Tahoma"/>
            <family val="2"/>
          </rPr>
          <t>Chaudhry, Baset A (Research):</t>
        </r>
        <r>
          <rPr>
            <sz val="9"/>
            <color indexed="81"/>
            <rFont val="Tahoma"/>
            <family val="2"/>
          </rPr>
          <t xml:space="preserve">
Share based compensation $64m
Net (loss) on acqs $51m
Gain on capital lease ($24m)
Secondary offering expense $2m
Income tax on special items ($8m)</t>
        </r>
      </text>
    </comment>
    <comment ref="X64" authorId="5">
      <text>
        <r>
          <rPr>
            <b/>
            <sz val="9"/>
            <color indexed="81"/>
            <rFont val="Tahoma"/>
            <family val="2"/>
          </rPr>
          <t>Chaudhry, Baset A (Research):</t>
        </r>
        <r>
          <rPr>
            <sz val="9"/>
            <color indexed="81"/>
            <rFont val="Tahoma"/>
            <family val="2"/>
          </rPr>
          <t xml:space="preserve">
Net gain on asset acquisitions and dispositiions</t>
        </r>
      </text>
    </comment>
    <comment ref="R67" authorId="3">
      <text>
        <r>
          <rPr>
            <sz val="8"/>
            <color indexed="81"/>
            <rFont val="Tahoma"/>
            <family val="2"/>
          </rPr>
          <t>(1Q14): $174.0-188.0m</t>
        </r>
      </text>
    </comment>
    <comment ref="U67" authorId="8">
      <text>
        <r>
          <rPr>
            <sz val="8"/>
            <color indexed="81"/>
            <rFont val="Tahoma"/>
            <family val="2"/>
          </rPr>
          <t>(1Q14): $627.0-659.0m
(4Q13): $571.0-613.0m</t>
        </r>
      </text>
    </comment>
    <comment ref="AC67" authorId="0">
      <text>
        <r>
          <rPr>
            <b/>
            <sz val="9"/>
            <color indexed="81"/>
            <rFont val="Tahoma"/>
            <family val="2"/>
          </rPr>
          <t>Savino, Mark (Research):</t>
        </r>
        <r>
          <rPr>
            <sz val="9"/>
            <color indexed="81"/>
            <rFont val="Tahoma"/>
            <family val="2"/>
          </rPr>
          <t xml:space="preserve">
Guidance $218-230m</t>
        </r>
      </text>
    </comment>
    <comment ref="AD67" authorId="0">
      <text>
        <r>
          <rPr>
            <b/>
            <sz val="9"/>
            <color indexed="81"/>
            <rFont val="Tahoma"/>
            <family val="2"/>
          </rPr>
          <t>Savino, Mark (Research):</t>
        </r>
        <r>
          <rPr>
            <sz val="9"/>
            <color indexed="81"/>
            <rFont val="Tahoma"/>
            <family val="2"/>
          </rPr>
          <t xml:space="preserve">
Guidance $202-235m</t>
        </r>
      </text>
    </comment>
    <comment ref="AE67" authorId="0">
      <text>
        <r>
          <rPr>
            <b/>
            <sz val="9"/>
            <color indexed="81"/>
            <rFont val="Tahoma"/>
            <family val="2"/>
          </rPr>
          <t>Savino, Mark (Research):</t>
        </r>
        <r>
          <rPr>
            <sz val="9"/>
            <color indexed="81"/>
            <rFont val="Tahoma"/>
            <family val="2"/>
          </rPr>
          <t xml:space="preserve">
3Q16: $851-884m
2Q16: $874-910m
Guidance $1,015-1,051m</t>
        </r>
      </text>
    </comment>
    <comment ref="AF67" authorId="0">
      <text>
        <r>
          <rPr>
            <b/>
            <sz val="9"/>
            <color indexed="81"/>
            <rFont val="Tahoma"/>
            <family val="2"/>
          </rPr>
          <t>Savino, Mark (Research):</t>
        </r>
        <r>
          <rPr>
            <sz val="9"/>
            <color indexed="81"/>
            <rFont val="Tahoma"/>
            <family val="2"/>
          </rPr>
          <t xml:space="preserve">
4Q16: $82-100m</t>
        </r>
      </text>
    </comment>
    <comment ref="AG67" authorId="6">
      <text>
        <r>
          <rPr>
            <b/>
            <sz val="9"/>
            <color indexed="81"/>
            <rFont val="Tahoma"/>
            <family val="2"/>
          </rPr>
          <t>Zheng, Chaodan (Research):</t>
        </r>
        <r>
          <rPr>
            <sz val="9"/>
            <color indexed="81"/>
            <rFont val="Tahoma"/>
            <family val="2"/>
          </rPr>
          <t xml:space="preserve">
1Q17: $154-171m, adjusted for special items</t>
        </r>
      </text>
    </comment>
    <comment ref="AH67" authorId="6">
      <text>
        <r>
          <rPr>
            <b/>
            <sz val="9"/>
            <color indexed="81"/>
            <rFont val="Tahoma"/>
            <family val="2"/>
          </rPr>
          <t>Zheng, Chaodan (Research):</t>
        </r>
        <r>
          <rPr>
            <sz val="9"/>
            <color indexed="81"/>
            <rFont val="Tahoma"/>
            <family val="2"/>
          </rPr>
          <t xml:space="preserve">
2Q17: $154-167m, adjusted for special items</t>
        </r>
      </text>
    </comment>
    <comment ref="AI67" authorId="6">
      <text>
        <r>
          <rPr>
            <b/>
            <sz val="9"/>
            <color indexed="81"/>
            <rFont val="Tahoma"/>
            <family val="2"/>
          </rPr>
          <t>Zheng, Chaodan (Research):</t>
        </r>
        <r>
          <rPr>
            <sz val="9"/>
            <color indexed="81"/>
            <rFont val="Tahoma"/>
            <family val="2"/>
          </rPr>
          <t xml:space="preserve">
3Q17: $133-145m, adj. for special items</t>
        </r>
      </text>
    </comment>
    <comment ref="AJ67" authorId="0">
      <text>
        <r>
          <rPr>
            <b/>
            <sz val="9"/>
            <color indexed="81"/>
            <rFont val="Tahoma"/>
            <family val="2"/>
          </rPr>
          <t>Savino, Mark (Research):</t>
        </r>
        <r>
          <rPr>
            <sz val="9"/>
            <color indexed="81"/>
            <rFont val="Tahoma"/>
            <family val="2"/>
          </rPr>
          <t xml:space="preserve">
3Q17: $556-568m, adjusted for special items
2Q17: $584-609m, adjusted for special items
1Q17: $574-599m, adjusted for special items
4Q16: $555-592m</t>
        </r>
      </text>
    </comment>
    <comment ref="AK67" authorId="0">
      <text>
        <r>
          <rPr>
            <b/>
            <sz val="9"/>
            <color indexed="81"/>
            <rFont val="Tahoma"/>
            <family val="2"/>
          </rPr>
          <t>Savino, Mark (Research):</t>
        </r>
        <r>
          <rPr>
            <sz val="9"/>
            <color indexed="81"/>
            <rFont val="Tahoma"/>
            <family val="2"/>
          </rPr>
          <t xml:space="preserve">
Guidance $138-152m</t>
        </r>
      </text>
    </comment>
    <comment ref="AO67" authorId="0">
      <text>
        <r>
          <rPr>
            <b/>
            <sz val="9"/>
            <color indexed="81"/>
            <rFont val="Tahoma"/>
            <family val="2"/>
          </rPr>
          <t>Savino, Mark (Research):</t>
        </r>
        <r>
          <rPr>
            <sz val="9"/>
            <color indexed="81"/>
            <rFont val="Tahoma"/>
            <family val="2"/>
          </rPr>
          <t xml:space="preserve">
4Q17: $802-837m</t>
        </r>
      </text>
    </comment>
    <comment ref="O68" authorId="8">
      <text>
        <r>
          <rPr>
            <b/>
            <sz val="8"/>
            <color indexed="81"/>
            <rFont val="Tahoma"/>
            <family val="2"/>
          </rPr>
          <t>thallen:</t>
        </r>
        <r>
          <rPr>
            <sz val="8"/>
            <color indexed="81"/>
            <rFont val="Tahoma"/>
            <family val="2"/>
          </rPr>
          <t xml:space="preserve">
Unadjusted, before GAAP SG&amp;A adjustment from 11/25/13</t>
        </r>
      </text>
    </comment>
    <comment ref="Q68" authorId="8">
      <text>
        <r>
          <rPr>
            <b/>
            <sz val="8"/>
            <color indexed="81"/>
            <rFont val="Tahoma"/>
            <family val="2"/>
          </rPr>
          <t>thallen:</t>
        </r>
        <r>
          <rPr>
            <sz val="8"/>
            <color indexed="81"/>
            <rFont val="Tahoma"/>
            <family val="2"/>
          </rPr>
          <t xml:space="preserve">
Mgmt were guided to 43% tax rate, now 39%
Company Guidance:
$(79.0-91.0)m: Source: Pg 20, 8-K, 4Q13 </t>
        </r>
      </text>
    </comment>
    <comment ref="R68" authorId="8">
      <text>
        <r>
          <rPr>
            <b/>
            <sz val="8"/>
            <color indexed="81"/>
            <rFont val="Tahoma"/>
            <family val="2"/>
          </rPr>
          <t>thallen:</t>
        </r>
        <r>
          <rPr>
            <sz val="8"/>
            <color indexed="81"/>
            <rFont val="Tahoma"/>
            <family val="2"/>
          </rPr>
          <t xml:space="preserve">
(1Q14): $174.0-188.0m
Previous guidance: $161.0m
Mgmt were guided to 43% tax rate, now 39%
Pre IPO guidance number</t>
        </r>
      </text>
    </comment>
    <comment ref="U68" authorId="8">
      <text>
        <r>
          <rPr>
            <b/>
            <sz val="8"/>
            <color indexed="81"/>
            <rFont val="Tahoma"/>
            <family val="2"/>
          </rPr>
          <t>Guidance:</t>
        </r>
        <r>
          <rPr>
            <sz val="8"/>
            <color indexed="81"/>
            <rFont val="Tahoma"/>
            <family val="2"/>
          </rPr>
          <t xml:space="preserve">
(3Q14): $675.0-689.0m
(1Q14): $627.0-659.0m
(4Q13): $571.0-613.0m</t>
        </r>
      </text>
    </comment>
    <comment ref="Z68" authorId="8">
      <text>
        <r>
          <rPr>
            <b/>
            <sz val="8"/>
            <color indexed="81"/>
            <rFont val="Tahoma"/>
            <family val="2"/>
          </rPr>
          <t>Guidance:</t>
        </r>
        <r>
          <rPr>
            <sz val="8"/>
            <color indexed="81"/>
            <rFont val="Tahoma"/>
            <family val="2"/>
          </rPr>
          <t xml:space="preserve">
1Q15: $771.0-807.0m
4Q14: $771.0-824.0m
</t>
        </r>
      </text>
    </comment>
    <comment ref="O70" authorId="2">
      <text>
        <r>
          <rPr>
            <sz val="8"/>
            <color indexed="81"/>
            <rFont val="Tahoma"/>
            <family val="2"/>
          </rPr>
          <t>BX ownership 750.6m shares or 76.2%</t>
        </r>
      </text>
    </comment>
    <comment ref="Q70" authorId="7">
      <text>
        <r>
          <rPr>
            <b/>
            <sz val="9"/>
            <color indexed="81"/>
            <rFont val="Tahoma"/>
            <family val="2"/>
          </rPr>
          <t>Allen, Thomas (Research):</t>
        </r>
        <r>
          <rPr>
            <sz val="9"/>
            <color indexed="81"/>
            <rFont val="Tahoma"/>
            <family val="2"/>
          </rPr>
          <t xml:space="preserve">
Per 10K, 984,615,364 shares outstanding as of 2/12/14</t>
        </r>
      </text>
    </comment>
    <comment ref="AF70" authorId="7">
      <text>
        <r>
          <rPr>
            <b/>
            <sz val="9"/>
            <color indexed="81"/>
            <rFont val="Tahoma"/>
            <family val="2"/>
          </rPr>
          <t>Allen, Thomas (Research):</t>
        </r>
        <r>
          <rPr>
            <sz val="9"/>
            <color indexed="81"/>
            <rFont val="Tahoma"/>
            <family val="2"/>
          </rPr>
          <t xml:space="preserve">
3:1 Reverse stock split, effective Jan 3</t>
        </r>
      </text>
    </comment>
    <comment ref="AG70" authorId="6">
      <text>
        <r>
          <rPr>
            <b/>
            <sz val="9"/>
            <color indexed="81"/>
            <rFont val="Tahoma"/>
            <family val="2"/>
          </rPr>
          <t>Zheng, Chaodan (Research):</t>
        </r>
        <r>
          <rPr>
            <sz val="9"/>
            <color indexed="81"/>
            <rFont val="Tahoma"/>
            <family val="2"/>
          </rPr>
          <t xml:space="preserve">
6/7/17: lowered share count by 1.5m shares to reflect 1.5m share repurchase from BX at $65.95</t>
        </r>
      </text>
    </comment>
    <comment ref="AP70" authorId="0">
      <text>
        <r>
          <rPr>
            <b/>
            <sz val="9"/>
            <color indexed="81"/>
            <rFont val="Tahoma"/>
            <family val="2"/>
          </rPr>
          <t>Savino, Mark (Research):</t>
        </r>
        <r>
          <rPr>
            <sz val="9"/>
            <color indexed="81"/>
            <rFont val="Tahoma"/>
            <family val="2"/>
          </rPr>
          <t xml:space="preserve">
12/8/16 guidance: 261-290</t>
        </r>
      </text>
    </comment>
    <comment ref="Q71" authorId="3">
      <text>
        <r>
          <rPr>
            <sz val="8"/>
            <color indexed="81"/>
            <rFont val="Tahoma"/>
            <family val="2"/>
          </rPr>
          <t xml:space="preserve">Company Guidance:
$0.07-0.09/share
Source: Pg 20, 8-K, 4Q13 </t>
        </r>
      </text>
    </comment>
    <comment ref="R71" authorId="3">
      <text>
        <r>
          <rPr>
            <sz val="8"/>
            <color indexed="81"/>
            <rFont val="Tahoma"/>
            <family val="2"/>
          </rPr>
          <t>(1Q14): $0.17-0.19</t>
        </r>
      </text>
    </comment>
    <comment ref="U71" authorId="3">
      <text>
        <r>
          <rPr>
            <sz val="8"/>
            <color indexed="81"/>
            <rFont val="Tahoma"/>
            <family val="2"/>
          </rPr>
          <t>(1Q14): $0.61-0.64
(4Q13): $0.55-0.59</t>
        </r>
      </text>
    </comment>
    <comment ref="Q72" authorId="3">
      <text>
        <r>
          <rPr>
            <sz val="8"/>
            <color indexed="81"/>
            <rFont val="Tahoma"/>
            <family val="2"/>
          </rPr>
          <t xml:space="preserve">Company Guidance:
$0.07-0.09/share
Source: Pg 20, 8-K, 4Q13 </t>
        </r>
      </text>
    </comment>
    <comment ref="R72" authorId="9">
      <text>
        <r>
          <rPr>
            <sz val="8"/>
            <color indexed="81"/>
            <rFont val="Tahoma"/>
            <family val="2"/>
          </rPr>
          <t>(1Q14): $0.18-0.20</t>
        </r>
        <r>
          <rPr>
            <sz val="8"/>
            <color indexed="81"/>
            <rFont val="Tahoma"/>
            <family val="2"/>
          </rPr>
          <t xml:space="preserve">
</t>
        </r>
      </text>
    </comment>
    <comment ref="U72" authorId="7">
      <text>
        <r>
          <rPr>
            <b/>
            <sz val="9"/>
            <color indexed="81"/>
            <rFont val="Tahoma"/>
            <family val="2"/>
          </rPr>
          <t>Allen, Thomas (Research):</t>
        </r>
        <r>
          <rPr>
            <sz val="9"/>
            <color indexed="81"/>
            <rFont val="Tahoma"/>
            <family val="2"/>
          </rPr>
          <t xml:space="preserve">
(1Q14): $0.64-0.67
(4Q13): $0.57-0.61</t>
        </r>
      </text>
    </comment>
    <comment ref="R74" authorId="9">
      <text>
        <r>
          <rPr>
            <sz val="8"/>
            <color indexed="81"/>
            <rFont val="Tahoma"/>
            <family val="2"/>
          </rPr>
          <t>(1Q14): $0.18-0.20</t>
        </r>
        <r>
          <rPr>
            <sz val="8"/>
            <color indexed="81"/>
            <rFont val="Tahoma"/>
            <family val="2"/>
          </rPr>
          <t xml:space="preserve">
</t>
        </r>
      </text>
    </comment>
    <comment ref="U74" authorId="7">
      <text>
        <r>
          <rPr>
            <b/>
            <sz val="9"/>
            <color indexed="81"/>
            <rFont val="Tahoma"/>
            <family val="2"/>
          </rPr>
          <t>Guidance:</t>
        </r>
        <r>
          <rPr>
            <sz val="9"/>
            <color indexed="81"/>
            <rFont val="Tahoma"/>
            <family val="2"/>
          </rPr>
          <t xml:space="preserve">
(3Q14): $0.69-0.71
(2Q14): $0.67-0.70
(1Q14): $0.64-0.67
(4Q13): $0.57-0.61</t>
        </r>
      </text>
    </comment>
    <comment ref="Z74" authorId="7">
      <text>
        <r>
          <rPr>
            <b/>
            <sz val="9"/>
            <color indexed="81"/>
            <rFont val="Tahoma"/>
            <family val="2"/>
          </rPr>
          <t>Guidance:</t>
        </r>
        <r>
          <rPr>
            <sz val="9"/>
            <color indexed="81"/>
            <rFont val="Tahoma"/>
            <family val="2"/>
          </rPr>
          <t xml:space="preserve">
3Q15: $0.81-0.83
2Q15: $0.79-0.83
1Q15: $0.79-0.83
4Q14: $0.78-0.83
</t>
        </r>
      </text>
    </comment>
    <comment ref="AD74" authorId="0">
      <text>
        <r>
          <rPr>
            <b/>
            <sz val="9"/>
            <color indexed="81"/>
            <rFont val="Tahoma"/>
            <family val="2"/>
          </rPr>
          <t>Savino, Mark (Research):</t>
        </r>
        <r>
          <rPr>
            <sz val="9"/>
            <color indexed="81"/>
            <rFont val="Tahoma"/>
            <family val="2"/>
          </rPr>
          <t xml:space="preserve">
Implied guidance</t>
        </r>
      </text>
    </comment>
    <comment ref="AE74" authorId="7">
      <text>
        <r>
          <rPr>
            <b/>
            <sz val="9"/>
            <color indexed="81"/>
            <rFont val="Tahoma"/>
            <family val="2"/>
          </rPr>
          <t>Guidance:</t>
        </r>
        <r>
          <rPr>
            <sz val="9"/>
            <color indexed="81"/>
            <rFont val="Tahoma"/>
            <family val="2"/>
          </rPr>
          <t xml:space="preserve">
3Q16: $0.86-0.89
2Q16: $0.87-0.91
1Q16: $0.92-0.98
4Q15: $0.92-0.98</t>
        </r>
      </text>
    </comment>
    <comment ref="AG74" authorId="6">
      <text>
        <r>
          <rPr>
            <b/>
            <sz val="9"/>
            <color indexed="81"/>
            <rFont val="Tahoma"/>
            <family val="2"/>
          </rPr>
          <t>Zheng, Chaodan (Research):</t>
        </r>
        <r>
          <rPr>
            <sz val="9"/>
            <color indexed="81"/>
            <rFont val="Tahoma"/>
            <family val="2"/>
          </rPr>
          <t xml:space="preserve">
1Q17: $0.47-0.51, adjusted for special items</t>
        </r>
      </text>
    </comment>
    <comment ref="AH74" authorId="6">
      <text>
        <r>
          <rPr>
            <b/>
            <sz val="9"/>
            <color indexed="81"/>
            <rFont val="Tahoma"/>
            <family val="2"/>
          </rPr>
          <t>Zheng, Chaodan (Research):</t>
        </r>
        <r>
          <rPr>
            <sz val="9"/>
            <color indexed="81"/>
            <rFont val="Tahoma"/>
            <family val="2"/>
          </rPr>
          <t xml:space="preserve">
2Q17: $0.47-0.51, adjusted for special items</t>
        </r>
      </text>
    </comment>
    <comment ref="AI74" authorId="6">
      <text>
        <r>
          <rPr>
            <b/>
            <sz val="9"/>
            <color indexed="81"/>
            <rFont val="Tahoma"/>
            <family val="2"/>
          </rPr>
          <t>Zheng, Chaodan (Research):</t>
        </r>
        <r>
          <rPr>
            <sz val="9"/>
            <color indexed="81"/>
            <rFont val="Tahoma"/>
            <family val="2"/>
          </rPr>
          <t xml:space="preserve">
3Q17: $0.41-0.45, adj. for special items</t>
        </r>
      </text>
    </comment>
    <comment ref="AJ74" authorId="7">
      <text>
        <r>
          <rPr>
            <b/>
            <sz val="9"/>
            <color indexed="81"/>
            <rFont val="Tahoma"/>
            <family val="2"/>
          </rPr>
          <t>Guidance:</t>
        </r>
        <r>
          <rPr>
            <sz val="9"/>
            <color indexed="81"/>
            <rFont val="Tahoma"/>
            <family val="2"/>
          </rPr>
          <t xml:space="preserve">
3Q17: $1.87-1.91, adj. for special items
2Q17: $1.78-1.85, adjusted for special items
1Q17: $1.73-1.81, adjusted for special items
4Q16: $1.65-1.75, but does not factor in buybacks</t>
        </r>
      </text>
    </comment>
    <comment ref="AO74" authorId="0">
      <text>
        <r>
          <rPr>
            <b/>
            <sz val="9"/>
            <color indexed="81"/>
            <rFont val="Tahoma"/>
            <family val="2"/>
          </rPr>
          <t>Savino, Mark (Research):</t>
        </r>
        <r>
          <rPr>
            <sz val="9"/>
            <color indexed="81"/>
            <rFont val="Tahoma"/>
            <family val="2"/>
          </rPr>
          <t xml:space="preserve">
4Q17: $2.49-2.60, does not include buybacks</t>
        </r>
      </text>
    </comment>
    <comment ref="X80" authorId="5">
      <text>
        <r>
          <rPr>
            <b/>
            <sz val="9"/>
            <color indexed="81"/>
            <rFont val="Tahoma"/>
            <family val="2"/>
          </rPr>
          <t xml:space="preserve">2Q15:
</t>
        </r>
        <r>
          <rPr>
            <sz val="9"/>
            <color indexed="81"/>
            <rFont val="Tahoma"/>
            <family val="2"/>
          </rPr>
          <t xml:space="preserve">Initiated regular quarterly cash dividend with the announcement on July 29, 2015 of a dividend of $0.07 per share to be paid on or before September 25, 2015
</t>
        </r>
      </text>
    </comment>
    <comment ref="AF80" authorId="0">
      <text>
        <r>
          <rPr>
            <b/>
            <sz val="9"/>
            <color indexed="81"/>
            <rFont val="Tahoma"/>
            <family val="2"/>
          </rPr>
          <t>Savino, Mark (Research):</t>
        </r>
        <r>
          <rPr>
            <sz val="9"/>
            <color indexed="81"/>
            <rFont val="Tahoma"/>
            <family val="2"/>
          </rPr>
          <t xml:space="preserve">
12/8/16 Investor Day: Plan to use 15-20% of recurring FCF for dividend</t>
        </r>
      </text>
    </comment>
    <comment ref="AF83" authorId="7">
      <text>
        <r>
          <rPr>
            <b/>
            <sz val="9"/>
            <color indexed="81"/>
            <rFont val="Tahoma"/>
            <family val="2"/>
          </rPr>
          <t>Allen, Thomas (Research):</t>
        </r>
        <r>
          <rPr>
            <sz val="9"/>
            <color indexed="81"/>
            <rFont val="Tahoma"/>
            <family val="2"/>
          </rPr>
          <t xml:space="preserve">
3:1 Reverse stock split, effective Jan 3</t>
        </r>
      </text>
    </comment>
    <comment ref="AF91" authorId="7">
      <text>
        <r>
          <rPr>
            <b/>
            <sz val="9"/>
            <color indexed="81"/>
            <rFont val="Tahoma"/>
            <family val="2"/>
          </rPr>
          <t>Allen, Thomas (Research):</t>
        </r>
        <r>
          <rPr>
            <sz val="9"/>
            <color indexed="81"/>
            <rFont val="Tahoma"/>
            <family val="2"/>
          </rPr>
          <t xml:space="preserve">
3:1 Reverse stock split, effective Jan 3</t>
        </r>
      </text>
    </comment>
    <comment ref="O98" authorId="8">
      <text>
        <r>
          <rPr>
            <b/>
            <sz val="8"/>
            <color indexed="81"/>
            <rFont val="Tahoma"/>
            <family val="2"/>
          </rPr>
          <t>thallen:</t>
        </r>
        <r>
          <rPr>
            <sz val="8"/>
            <color indexed="81"/>
            <rFont val="Tahoma"/>
            <family val="2"/>
          </rPr>
          <t xml:space="preserve">
Calculated from Guidance</t>
        </r>
      </text>
    </comment>
    <comment ref="Q98" authorId="8">
      <text>
        <r>
          <rPr>
            <b/>
            <sz val="8"/>
            <color indexed="81"/>
            <rFont val="Tahoma"/>
            <family val="2"/>
          </rPr>
          <t>thallen:</t>
        </r>
        <r>
          <rPr>
            <sz val="8"/>
            <color indexed="81"/>
            <rFont val="Tahoma"/>
            <family val="2"/>
          </rPr>
          <t xml:space="preserve">
Calculated from Guidance</t>
        </r>
      </text>
    </comment>
    <comment ref="R98" authorId="8">
      <text>
        <r>
          <rPr>
            <b/>
            <sz val="8"/>
            <color indexed="81"/>
            <rFont val="Tahoma"/>
            <family val="2"/>
          </rPr>
          <t>thallen:</t>
        </r>
        <r>
          <rPr>
            <sz val="8"/>
            <color indexed="81"/>
            <rFont val="Tahoma"/>
            <family val="2"/>
          </rPr>
          <t xml:space="preserve">
Calculated from Guidance</t>
        </r>
      </text>
    </comment>
    <comment ref="S98" authorId="8">
      <text>
        <r>
          <rPr>
            <b/>
            <sz val="8"/>
            <color indexed="81"/>
            <rFont val="Tahoma"/>
            <family val="2"/>
          </rPr>
          <t>thallen:</t>
        </r>
        <r>
          <rPr>
            <sz val="8"/>
            <color indexed="81"/>
            <rFont val="Tahoma"/>
            <family val="2"/>
          </rPr>
          <t xml:space="preserve">
Calculated from Guidance</t>
        </r>
      </text>
    </comment>
    <comment ref="T98" authorId="8">
      <text>
        <r>
          <rPr>
            <b/>
            <sz val="8"/>
            <color indexed="81"/>
            <rFont val="Tahoma"/>
            <family val="2"/>
          </rPr>
          <t>thallen:</t>
        </r>
        <r>
          <rPr>
            <sz val="8"/>
            <color indexed="81"/>
            <rFont val="Tahoma"/>
            <family val="2"/>
          </rPr>
          <t xml:space="preserve">
Calculated from Guidance</t>
        </r>
      </text>
    </comment>
    <comment ref="U98" authorId="2">
      <text>
        <r>
          <rPr>
            <b/>
            <sz val="8"/>
            <color indexed="81"/>
            <rFont val="Tahoma"/>
            <family val="2"/>
          </rPr>
          <t>jills:</t>
        </r>
        <r>
          <rPr>
            <sz val="8"/>
            <color indexed="81"/>
            <rFont val="Tahoma"/>
            <family val="2"/>
          </rPr>
          <t xml:space="preserve">
GAAP basis 2014 starts realizing the COD income from 2010 tax restructure; people got reprieve on that debt restructuring that kicked in after 2009; $200m of income come through P&amp;L and deferred tax liability for 5 years causing a bump in taxes in 2014</t>
        </r>
      </text>
    </comment>
    <comment ref="Z98" authorId="2">
      <text>
        <r>
          <rPr>
            <b/>
            <sz val="8"/>
            <color indexed="81"/>
            <rFont val="Tahoma"/>
            <family val="2"/>
          </rPr>
          <t>jills:</t>
        </r>
        <r>
          <rPr>
            <sz val="8"/>
            <color indexed="81"/>
            <rFont val="Tahoma"/>
            <family val="2"/>
          </rPr>
          <t xml:space="preserve">
normalize tax rate over time where peer set is HOT 35%, MAR 33%</t>
        </r>
      </text>
    </comment>
    <comment ref="AC98" authorId="0">
      <text>
        <r>
          <rPr>
            <b/>
            <sz val="9"/>
            <color indexed="81"/>
            <rFont val="Tahoma"/>
            <family val="2"/>
          </rPr>
          <t>Savino, Mark (Research):</t>
        </r>
        <r>
          <rPr>
            <sz val="9"/>
            <color indexed="81"/>
            <rFont val="Tahoma"/>
            <family val="2"/>
          </rPr>
          <t xml:space="preserve">
Implied from guidance</t>
        </r>
      </text>
    </comment>
    <comment ref="AD98" authorId="0">
      <text>
        <r>
          <rPr>
            <b/>
            <sz val="9"/>
            <color indexed="81"/>
            <rFont val="Tahoma"/>
            <family val="2"/>
          </rPr>
          <t>Savino, Mark (Research):</t>
        </r>
        <r>
          <rPr>
            <sz val="9"/>
            <color indexed="81"/>
            <rFont val="Tahoma"/>
            <family val="2"/>
          </rPr>
          <t xml:space="preserve">
Implied from guidance</t>
        </r>
      </text>
    </comment>
    <comment ref="AE98" authorId="2">
      <text>
        <r>
          <rPr>
            <sz val="8"/>
            <color indexed="81"/>
            <rFont val="Tahoma"/>
            <family val="2"/>
          </rPr>
          <t>Per mgmt post-3Q call, should be &lt;30% b/c of reversals
normalize tax rate over time where peer set is HOT 35%, MAR 33%</t>
        </r>
      </text>
    </comment>
    <comment ref="AG98" authorId="0">
      <text>
        <r>
          <rPr>
            <b/>
            <sz val="9"/>
            <color indexed="81"/>
            <rFont val="Tahoma"/>
            <family val="2"/>
          </rPr>
          <t>Savino, Mark (Research):</t>
        </r>
        <r>
          <rPr>
            <sz val="9"/>
            <color indexed="81"/>
            <rFont val="Tahoma"/>
            <family val="2"/>
          </rPr>
          <t xml:space="preserve">
1Q17: Guidance implies 38%</t>
        </r>
      </text>
    </comment>
    <comment ref="AH98" authorId="0">
      <text>
        <r>
          <rPr>
            <b/>
            <sz val="9"/>
            <color indexed="81"/>
            <rFont val="Tahoma"/>
            <family val="2"/>
          </rPr>
          <t>Savino, Mark (Research):</t>
        </r>
        <r>
          <rPr>
            <sz val="9"/>
            <color indexed="81"/>
            <rFont val="Tahoma"/>
            <family val="2"/>
          </rPr>
          <t xml:space="preserve">
Guidance implies 38%</t>
        </r>
      </text>
    </comment>
    <comment ref="AJ98" authorId="0">
      <text>
        <r>
          <rPr>
            <b/>
            <sz val="9"/>
            <color indexed="81"/>
            <rFont val="Tahoma"/>
            <family val="2"/>
          </rPr>
          <t>Savino, Mark (Research):</t>
        </r>
        <r>
          <rPr>
            <sz val="9"/>
            <color indexed="81"/>
            <rFont val="Tahoma"/>
            <family val="2"/>
          </rPr>
          <t xml:space="preserve">
2Q17: Guidance implies 37.5% for the full year
1Q17: Guidance implies 37.5% for the full year
8/15/16: Opportunity for tax savings by doing things like moving IP abroad, but for now assume effective tax rate remains in the high 30% range
</t>
        </r>
      </text>
    </comment>
    <comment ref="AO98" authorId="0">
      <text>
        <r>
          <rPr>
            <b/>
            <sz val="9"/>
            <color indexed="81"/>
            <rFont val="Tahoma"/>
            <family val="2"/>
          </rPr>
          <t>Savino, Mark (Research):</t>
        </r>
        <r>
          <rPr>
            <sz val="9"/>
            <color indexed="81"/>
            <rFont val="Tahoma"/>
            <family val="2"/>
          </rPr>
          <t xml:space="preserve">
4Q17: Guidance implies 29%</t>
        </r>
      </text>
    </comment>
    <comment ref="Z100" authorId="8">
      <text>
        <r>
          <rPr>
            <b/>
            <sz val="8"/>
            <color indexed="81"/>
            <rFont val="Tahoma"/>
            <family val="2"/>
          </rPr>
          <t>thallen:</t>
        </r>
        <r>
          <rPr>
            <sz val="8"/>
            <color indexed="81"/>
            <rFont val="Tahoma"/>
            <family val="2"/>
          </rPr>
          <t xml:space="preserve">
Don't adjust for in model</t>
        </r>
      </text>
    </comment>
    <comment ref="AJ100" authorId="6">
      <text>
        <r>
          <rPr>
            <b/>
            <sz val="9"/>
            <color indexed="81"/>
            <rFont val="Tahoma"/>
            <family val="2"/>
          </rPr>
          <t>Zheng, Chaodan (Research):</t>
        </r>
        <r>
          <rPr>
            <sz val="9"/>
            <color indexed="81"/>
            <rFont val="Tahoma"/>
            <family val="2"/>
          </rPr>
          <t xml:space="preserve">
2016 Investor Day: cash tax rate of 25% adjusted EBITDA</t>
        </r>
      </text>
    </comment>
    <comment ref="U101" authorId="8">
      <text>
        <r>
          <rPr>
            <b/>
            <sz val="8"/>
            <color indexed="81"/>
            <rFont val="Tahoma"/>
            <family val="2"/>
          </rPr>
          <t>thallen:</t>
        </r>
        <r>
          <rPr>
            <sz val="8"/>
            <color indexed="81"/>
            <rFont val="Tahoma"/>
            <family val="2"/>
          </rPr>
          <t xml:space="preserve">
$70m </t>
        </r>
      </text>
    </comment>
    <comment ref="Z101" authorId="8">
      <text>
        <r>
          <rPr>
            <b/>
            <sz val="8"/>
            <color indexed="81"/>
            <rFont val="Tahoma"/>
            <family val="2"/>
          </rPr>
          <t>thallen:</t>
        </r>
        <r>
          <rPr>
            <sz val="8"/>
            <color indexed="81"/>
            <rFont val="Tahoma"/>
            <family val="2"/>
          </rPr>
          <t xml:space="preserve">
Don't adjust for in model</t>
        </r>
      </text>
    </comment>
    <comment ref="R105" authorId="4">
      <text>
        <r>
          <rPr>
            <sz val="8"/>
            <color indexed="81"/>
            <rFont val="Tahoma"/>
            <family val="2"/>
          </rPr>
          <t xml:space="preserve">(1Q14): $168.0-$182.0m
</t>
        </r>
      </text>
    </comment>
    <comment ref="U105" authorId="4">
      <text>
        <r>
          <rPr>
            <sz val="8"/>
            <color indexed="81"/>
            <rFont val="Tahoma"/>
            <family val="2"/>
          </rPr>
          <t xml:space="preserve">(1Q14): $597.0-$629.0m
(4Q13): $548.0-$590.0m
</t>
        </r>
      </text>
    </comment>
    <comment ref="R106" authorId="4">
      <text>
        <r>
          <rPr>
            <sz val="8"/>
            <color indexed="81"/>
            <rFont val="Tahoma"/>
            <family val="2"/>
          </rPr>
          <t xml:space="preserve">(1Q14): $152.0m
</t>
        </r>
      </text>
    </comment>
    <comment ref="U106" authorId="4">
      <text>
        <r>
          <rPr>
            <sz val="8"/>
            <color indexed="81"/>
            <rFont val="Tahoma"/>
            <family val="2"/>
          </rPr>
          <t>(1Q14): $606m
(4Q13): $610m</t>
        </r>
      </text>
    </comment>
    <comment ref="P107" authorId="2">
      <text>
        <r>
          <rPr>
            <b/>
            <sz val="8"/>
            <color indexed="81"/>
            <rFont val="Tahoma"/>
            <family val="2"/>
          </rPr>
          <t>jills:</t>
        </r>
        <r>
          <rPr>
            <sz val="8"/>
            <color indexed="81"/>
            <rFont val="Tahoma"/>
            <family val="2"/>
          </rPr>
          <t xml:space="preserve">
guidance $12m</t>
        </r>
      </text>
    </comment>
    <comment ref="Q107" authorId="3">
      <text>
        <r>
          <rPr>
            <sz val="8"/>
            <color indexed="81"/>
            <rFont val="Tahoma"/>
            <family val="2"/>
          </rPr>
          <t xml:space="preserve">Company Guidance:
$3.0m
Source: Pg 19, 8-K, 4Q13 </t>
        </r>
      </text>
    </comment>
    <comment ref="R107" authorId="4">
      <text>
        <r>
          <rPr>
            <sz val="8"/>
            <color indexed="81"/>
            <rFont val="Tahoma"/>
            <family val="2"/>
          </rPr>
          <t xml:space="preserve">(1Q14): $3.0m
</t>
        </r>
      </text>
    </comment>
    <comment ref="S107" authorId="5">
      <text>
        <r>
          <rPr>
            <sz val="9"/>
            <color indexed="81"/>
            <rFont val="Tahoma"/>
            <family val="2"/>
          </rPr>
          <t>Guidance $3m</t>
        </r>
      </text>
    </comment>
    <comment ref="T107" authorId="5">
      <text>
        <r>
          <rPr>
            <b/>
            <sz val="9"/>
            <color indexed="81"/>
            <rFont val="Tahoma"/>
            <family val="2"/>
          </rPr>
          <t xml:space="preserve">Guidance:
</t>
        </r>
        <r>
          <rPr>
            <sz val="9"/>
            <color indexed="81"/>
            <rFont val="Tahoma"/>
            <family val="2"/>
          </rPr>
          <t xml:space="preserve">$3m
</t>
        </r>
      </text>
    </comment>
    <comment ref="U107" authorId="4">
      <text>
        <r>
          <rPr>
            <b/>
            <sz val="8"/>
            <color indexed="81"/>
            <rFont val="Tahoma"/>
            <family val="2"/>
          </rPr>
          <t>Guidance:</t>
        </r>
        <r>
          <rPr>
            <sz val="8"/>
            <color indexed="81"/>
            <rFont val="Tahoma"/>
            <family val="2"/>
          </rPr>
          <t xml:space="preserve">
(3Q14): $10.0m
(1Q14): $11.0m
(4Q13): $11.0m</t>
        </r>
      </text>
    </comment>
    <comment ref="V107" authorId="5">
      <text>
        <r>
          <rPr>
            <b/>
            <sz val="9"/>
            <color indexed="81"/>
            <rFont val="Tahoma"/>
            <family val="2"/>
          </rPr>
          <t xml:space="preserve">Guidance:
</t>
        </r>
        <r>
          <rPr>
            <sz val="9"/>
            <color indexed="81"/>
            <rFont val="Tahoma"/>
            <family val="2"/>
          </rPr>
          <t xml:space="preserve">$2m
</t>
        </r>
      </text>
    </comment>
    <comment ref="W107" authorId="5">
      <text>
        <r>
          <rPr>
            <b/>
            <sz val="9"/>
            <color indexed="81"/>
            <rFont val="Tahoma"/>
            <family val="2"/>
          </rPr>
          <t xml:space="preserve">Guidance:
</t>
        </r>
        <r>
          <rPr>
            <sz val="9"/>
            <color indexed="81"/>
            <rFont val="Tahoma"/>
            <family val="2"/>
          </rPr>
          <t xml:space="preserve">$2m
</t>
        </r>
      </text>
    </comment>
    <comment ref="X107" authorId="5">
      <text>
        <r>
          <rPr>
            <b/>
            <sz val="9"/>
            <color indexed="81"/>
            <rFont val="Tahoma"/>
            <family val="2"/>
          </rPr>
          <t xml:space="preserve">Guidance:
</t>
        </r>
        <r>
          <rPr>
            <sz val="9"/>
            <color indexed="81"/>
            <rFont val="Tahoma"/>
            <family val="2"/>
          </rPr>
          <t xml:space="preserve">$2m
</t>
        </r>
      </text>
    </comment>
    <comment ref="Y107" authorId="0">
      <text>
        <r>
          <rPr>
            <b/>
            <sz val="9"/>
            <color indexed="81"/>
            <rFont val="Tahoma"/>
            <family val="2"/>
          </rPr>
          <t>Savino, Mark (Research):</t>
        </r>
        <r>
          <rPr>
            <sz val="9"/>
            <color indexed="81"/>
            <rFont val="Tahoma"/>
            <family val="2"/>
          </rPr>
          <t xml:space="preserve">
Starting in 4Q15, combined with D&amp;A</t>
        </r>
      </text>
    </comment>
    <comment ref="Z107" authorId="4">
      <text>
        <r>
          <rPr>
            <b/>
            <sz val="8"/>
            <color indexed="81"/>
            <rFont val="Tahoma"/>
            <family val="2"/>
          </rPr>
          <t>Guidance:</t>
        </r>
        <r>
          <rPr>
            <sz val="8"/>
            <color indexed="81"/>
            <rFont val="Tahoma"/>
            <family val="2"/>
          </rPr>
          <t xml:space="preserve">
3Q15: $7.0m
2Q15: $8.0m
1Q15: $8.0m
4Q14: $8.0m
</t>
        </r>
      </text>
    </comment>
    <comment ref="R108" authorId="4">
      <text>
        <r>
          <rPr>
            <sz val="8"/>
            <color indexed="81"/>
            <rFont val="Tahoma"/>
            <family val="2"/>
          </rPr>
          <t xml:space="preserve">(1Q14): $114.0-$120.0m
</t>
        </r>
      </text>
    </comment>
    <comment ref="U108" authorId="4">
      <text>
        <r>
          <rPr>
            <sz val="8"/>
            <color indexed="81"/>
            <rFont val="Tahoma"/>
            <family val="2"/>
          </rPr>
          <t>(1Q14): $408.0-426.0m
(4Q13): $377.0-405.0m</t>
        </r>
      </text>
    </comment>
    <comment ref="R109" authorId="4">
      <text>
        <r>
          <rPr>
            <sz val="8"/>
            <color indexed="81"/>
            <rFont val="Tahoma"/>
            <family val="2"/>
          </rPr>
          <t xml:space="preserve">(1Q14): $157.0m
</t>
        </r>
      </text>
    </comment>
    <comment ref="U109" authorId="4">
      <text>
        <r>
          <rPr>
            <sz val="8"/>
            <color indexed="81"/>
            <rFont val="Tahoma"/>
            <family val="2"/>
          </rPr>
          <t>(1Q14): $628.0m
(4Q13): $639.0m</t>
        </r>
      </text>
    </comment>
    <comment ref="AA109" authorId="0">
      <text>
        <r>
          <rPr>
            <b/>
            <sz val="9"/>
            <color indexed="81"/>
            <rFont val="Tahoma"/>
            <family val="2"/>
          </rPr>
          <t>Savino, Mark (Research):</t>
        </r>
        <r>
          <rPr>
            <sz val="9"/>
            <color indexed="81"/>
            <rFont val="Tahoma"/>
            <family val="2"/>
          </rPr>
          <t xml:space="preserve">
4Q15: 171m</t>
        </r>
      </text>
    </comment>
    <comment ref="AE109" authorId="0">
      <text>
        <r>
          <rPr>
            <b/>
            <sz val="9"/>
            <color indexed="81"/>
            <rFont val="Tahoma"/>
            <family val="2"/>
          </rPr>
          <t>Savino, Mark (Research):</t>
        </r>
        <r>
          <rPr>
            <sz val="9"/>
            <color indexed="81"/>
            <rFont val="Tahoma"/>
            <family val="2"/>
          </rPr>
          <t xml:space="preserve">
3Q16: $683m
4Q15: $689m</t>
        </r>
      </text>
    </comment>
    <comment ref="P110" authorId="2">
      <text>
        <r>
          <rPr>
            <b/>
            <sz val="8"/>
            <color indexed="81"/>
            <rFont val="Tahoma"/>
            <family val="2"/>
          </rPr>
          <t>jills:</t>
        </r>
        <r>
          <rPr>
            <sz val="8"/>
            <color indexed="81"/>
            <rFont val="Tahoma"/>
            <family val="2"/>
          </rPr>
          <t xml:space="preserve">
guidance $33m</t>
        </r>
      </text>
    </comment>
    <comment ref="Q110" authorId="3">
      <text>
        <r>
          <rPr>
            <sz val="8"/>
            <color indexed="81"/>
            <rFont val="Tahoma"/>
            <family val="2"/>
          </rPr>
          <t xml:space="preserve">Company Guidance:
$11.0m
Source: Pg 19, 8-K, 4Q13 </t>
        </r>
      </text>
    </comment>
    <comment ref="R110" authorId="4">
      <text>
        <r>
          <rPr>
            <sz val="8"/>
            <color indexed="81"/>
            <rFont val="Tahoma"/>
            <family val="2"/>
          </rPr>
          <t xml:space="preserve">(1Q14): $10.0m
</t>
        </r>
      </text>
    </comment>
    <comment ref="S110" authorId="5">
      <text>
        <r>
          <rPr>
            <sz val="9"/>
            <color indexed="81"/>
            <rFont val="Tahoma"/>
            <family val="2"/>
          </rPr>
          <t>Guidance $10m</t>
        </r>
      </text>
    </comment>
    <comment ref="T110" authorId="5">
      <text>
        <r>
          <rPr>
            <b/>
            <sz val="9"/>
            <color indexed="81"/>
            <rFont val="Tahoma"/>
            <family val="2"/>
          </rPr>
          <t xml:space="preserve">Guidance:
</t>
        </r>
        <r>
          <rPr>
            <sz val="9"/>
            <color indexed="81"/>
            <rFont val="Tahoma"/>
            <family val="2"/>
          </rPr>
          <t xml:space="preserve">$6m
</t>
        </r>
      </text>
    </comment>
    <comment ref="U110" authorId="4">
      <text>
        <r>
          <rPr>
            <b/>
            <sz val="8"/>
            <color indexed="81"/>
            <rFont val="Tahoma"/>
            <family val="2"/>
          </rPr>
          <t>Guidance:</t>
        </r>
        <r>
          <rPr>
            <sz val="8"/>
            <color indexed="81"/>
            <rFont val="Tahoma"/>
            <family val="2"/>
          </rPr>
          <t xml:space="preserve">
(3Q14): $28.0m
(2Q14): $35.0m
(1Q14): $44.0m
(4Q13): $47.0m</t>
        </r>
      </text>
    </comment>
    <comment ref="V110" authorId="5">
      <text>
        <r>
          <rPr>
            <b/>
            <sz val="9"/>
            <color indexed="81"/>
            <rFont val="Tahoma"/>
            <family val="2"/>
          </rPr>
          <t xml:space="preserve">Guidance:
</t>
        </r>
        <r>
          <rPr>
            <sz val="9"/>
            <color indexed="81"/>
            <rFont val="Tahoma"/>
            <family val="2"/>
          </rPr>
          <t xml:space="preserve">$6m
</t>
        </r>
      </text>
    </comment>
    <comment ref="X110" authorId="5">
      <text>
        <r>
          <rPr>
            <b/>
            <sz val="9"/>
            <color indexed="81"/>
            <rFont val="Tahoma"/>
            <family val="2"/>
          </rPr>
          <t xml:space="preserve">Guidance:
</t>
        </r>
        <r>
          <rPr>
            <sz val="9"/>
            <color indexed="81"/>
            <rFont val="Tahoma"/>
            <family val="2"/>
          </rPr>
          <t xml:space="preserve">$7m
</t>
        </r>
      </text>
    </comment>
    <comment ref="Y110" authorId="5">
      <text>
        <r>
          <rPr>
            <b/>
            <sz val="9"/>
            <color indexed="81"/>
            <rFont val="Tahoma"/>
            <family val="2"/>
          </rPr>
          <t xml:space="preserve">Guidance:
</t>
        </r>
        <r>
          <rPr>
            <sz val="9"/>
            <color indexed="81"/>
            <rFont val="Tahoma"/>
            <family val="2"/>
          </rPr>
          <t xml:space="preserve">$7m
</t>
        </r>
      </text>
    </comment>
    <comment ref="Z110" authorId="4">
      <text>
        <r>
          <rPr>
            <b/>
            <sz val="8"/>
            <color indexed="81"/>
            <rFont val="Tahoma"/>
            <family val="2"/>
          </rPr>
          <t>Guidance:</t>
        </r>
        <r>
          <rPr>
            <sz val="8"/>
            <color indexed="81"/>
            <rFont val="Tahoma"/>
            <family val="2"/>
          </rPr>
          <t xml:space="preserve">
3Q15: $22.0m
1Q15: $24.0m
4Q14: $27.0m
</t>
        </r>
      </text>
    </comment>
    <comment ref="AA110" authorId="0">
      <text>
        <r>
          <rPr>
            <b/>
            <sz val="9"/>
            <color indexed="81"/>
            <rFont val="Tahoma"/>
            <family val="2"/>
          </rPr>
          <t>Savino, Mark (Research):</t>
        </r>
        <r>
          <rPr>
            <sz val="9"/>
            <color indexed="81"/>
            <rFont val="Tahoma"/>
            <family val="2"/>
          </rPr>
          <t xml:space="preserve">
4Q15: $7m</t>
        </r>
      </text>
    </comment>
    <comment ref="AC110" authorId="0">
      <text>
        <r>
          <rPr>
            <b/>
            <sz val="9"/>
            <color indexed="81"/>
            <rFont val="Tahoma"/>
            <family val="2"/>
          </rPr>
          <t>Savino, Mark (Research):</t>
        </r>
        <r>
          <rPr>
            <sz val="9"/>
            <color indexed="81"/>
            <rFont val="Tahoma"/>
            <family val="2"/>
          </rPr>
          <t xml:space="preserve">
Guidance $8m</t>
        </r>
      </text>
    </comment>
    <comment ref="AD110" authorId="0">
      <text>
        <r>
          <rPr>
            <b/>
            <sz val="9"/>
            <color indexed="81"/>
            <rFont val="Tahoma"/>
            <family val="2"/>
          </rPr>
          <t>Savino, Mark (Research):</t>
        </r>
        <r>
          <rPr>
            <sz val="9"/>
            <color indexed="81"/>
            <rFont val="Tahoma"/>
            <family val="2"/>
          </rPr>
          <t xml:space="preserve">
3Q16: $8m
Implied guidance $29m</t>
        </r>
      </text>
    </comment>
    <comment ref="AE110" authorId="0">
      <text>
        <r>
          <rPr>
            <b/>
            <sz val="9"/>
            <color indexed="81"/>
            <rFont val="Tahoma"/>
            <family val="2"/>
          </rPr>
          <t>Savino, Mark (Research):</t>
        </r>
        <r>
          <rPr>
            <sz val="9"/>
            <color indexed="81"/>
            <rFont val="Tahoma"/>
            <family val="2"/>
          </rPr>
          <t xml:space="preserve">
3Q16: $31m
2Q16: $52m but now includes lines 99
1Q16: $31m
4Q15: $31m </t>
        </r>
      </text>
    </comment>
    <comment ref="AF110" authorId="0">
      <text>
        <r>
          <rPr>
            <b/>
            <sz val="9"/>
            <color indexed="81"/>
            <rFont val="Tahoma"/>
            <family val="2"/>
          </rPr>
          <t>Savino, Mark (Research):</t>
        </r>
        <r>
          <rPr>
            <sz val="9"/>
            <color indexed="81"/>
            <rFont val="Tahoma"/>
            <family val="2"/>
          </rPr>
          <t xml:space="preserve">
4Q16: $1m</t>
        </r>
      </text>
    </comment>
    <comment ref="AJ110" authorId="0">
      <text>
        <r>
          <rPr>
            <b/>
            <sz val="9"/>
            <color indexed="81"/>
            <rFont val="Tahoma"/>
            <family val="2"/>
          </rPr>
          <t>Savino, Mark (Research):</t>
        </r>
        <r>
          <rPr>
            <sz val="9"/>
            <color indexed="81"/>
            <rFont val="Tahoma"/>
            <family val="2"/>
          </rPr>
          <t xml:space="preserve">
4Q16: $3m</t>
        </r>
      </text>
    </comment>
    <comment ref="A111" authorId="3">
      <text>
        <r>
          <rPr>
            <sz val="8"/>
            <color indexed="81"/>
            <rFont val="Tahoma"/>
            <family val="2"/>
          </rPr>
          <t>Source: Pg 14, S-1 Statement
Source link: http://www.sec.gov/Archives/edgar/data/1585689/000119312513403840/d593452ds1a.htm</t>
        </r>
      </text>
    </comment>
    <comment ref="Q111" authorId="3">
      <text>
        <r>
          <rPr>
            <sz val="8"/>
            <color indexed="81"/>
            <rFont val="Tahoma"/>
            <family val="2"/>
          </rPr>
          <t xml:space="preserve">Company Guidance:
$(454.0-474.0)m
Source: Pg 19, 8-K, 4Q13 </t>
        </r>
      </text>
    </comment>
    <comment ref="R111" authorId="4">
      <text>
        <r>
          <rPr>
            <sz val="8"/>
            <color indexed="81"/>
            <rFont val="Tahoma"/>
            <family val="2"/>
          </rPr>
          <t xml:space="preserve">(1Q14): $604.0-$624.0m
</t>
        </r>
      </text>
    </comment>
    <comment ref="U111" authorId="4">
      <text>
        <r>
          <rPr>
            <sz val="8"/>
            <color indexed="81"/>
            <rFont val="Tahoma"/>
            <family val="2"/>
          </rPr>
          <t>(1Q14): $2,294.0-2,344.0m
(4Q13): $2,232.0-$2,302m</t>
        </r>
      </text>
    </comment>
    <comment ref="AA111" authorId="0">
      <text>
        <r>
          <rPr>
            <b/>
            <sz val="9"/>
            <color indexed="81"/>
            <rFont val="Tahoma"/>
            <family val="2"/>
          </rPr>
          <t>Savino, Mark (Research):</t>
        </r>
        <r>
          <rPr>
            <sz val="9"/>
            <color indexed="81"/>
            <rFont val="Tahoma"/>
            <family val="2"/>
          </rPr>
          <t xml:space="preserve">
4Q15: $563-595m</t>
        </r>
      </text>
    </comment>
    <comment ref="AE111" authorId="0">
      <text>
        <r>
          <rPr>
            <b/>
            <sz val="9"/>
            <color indexed="81"/>
            <rFont val="Tahoma"/>
            <family val="2"/>
          </rPr>
          <t>Savino, Mark (Research):</t>
        </r>
        <r>
          <rPr>
            <sz val="9"/>
            <color indexed="81"/>
            <rFont val="Tahoma"/>
            <family val="2"/>
          </rPr>
          <t xml:space="preserve">
4Q15: $2,818-2,909m</t>
        </r>
      </text>
    </comment>
    <comment ref="R112" authorId="4">
      <text>
        <r>
          <rPr>
            <sz val="8"/>
            <color indexed="81"/>
            <rFont val="Tahoma"/>
            <family val="2"/>
          </rPr>
          <t xml:space="preserve">(1Q14): $6.0m
</t>
        </r>
      </text>
    </comment>
    <comment ref="T112" authorId="5">
      <text>
        <r>
          <rPr>
            <b/>
            <sz val="9"/>
            <color indexed="81"/>
            <rFont val="Tahoma"/>
            <family val="2"/>
          </rPr>
          <t xml:space="preserve">Guidance:
</t>
        </r>
        <r>
          <rPr>
            <sz val="9"/>
            <color indexed="81"/>
            <rFont val="Tahoma"/>
            <family val="2"/>
          </rPr>
          <t xml:space="preserve">$7m
</t>
        </r>
      </text>
    </comment>
    <comment ref="U112" authorId="4">
      <text>
        <r>
          <rPr>
            <b/>
            <sz val="8"/>
            <color indexed="81"/>
            <rFont val="Tahoma"/>
            <family val="2"/>
          </rPr>
          <t>Guidance:</t>
        </r>
        <r>
          <rPr>
            <sz val="8"/>
            <color indexed="81"/>
            <rFont val="Tahoma"/>
            <family val="2"/>
          </rPr>
          <t xml:space="preserve">
(3Q14): $15.0m
(1Q14): $20.0m
(4Q13): $22.0m</t>
        </r>
      </text>
    </comment>
    <comment ref="Z112" authorId="4">
      <text>
        <r>
          <rPr>
            <b/>
            <sz val="8"/>
            <color indexed="81"/>
            <rFont val="Tahoma"/>
            <family val="2"/>
          </rPr>
          <t>Guidance:</t>
        </r>
        <r>
          <rPr>
            <sz val="8"/>
            <color indexed="81"/>
            <rFont val="Tahoma"/>
            <family val="2"/>
          </rPr>
          <t xml:space="preserve">
3Q15: $13.0m
2Q15: $16.0m
1Q15: $11.0m
4Q14: $15.0m
</t>
        </r>
      </text>
    </comment>
    <comment ref="AA112" authorId="0">
      <text>
        <r>
          <rPr>
            <b/>
            <sz val="9"/>
            <color indexed="81"/>
            <rFont val="Tahoma"/>
            <family val="2"/>
          </rPr>
          <t>Savino, Mark (Research):</t>
        </r>
        <r>
          <rPr>
            <sz val="9"/>
            <color indexed="81"/>
            <rFont val="Tahoma"/>
            <family val="2"/>
          </rPr>
          <t xml:space="preserve">
4Q15: $2m</t>
        </r>
      </text>
    </comment>
    <comment ref="AE112" authorId="0">
      <text>
        <r>
          <rPr>
            <b/>
            <sz val="9"/>
            <color indexed="81"/>
            <rFont val="Tahoma"/>
            <family val="2"/>
          </rPr>
          <t>Savino, Mark (Research):</t>
        </r>
        <r>
          <rPr>
            <sz val="9"/>
            <color indexed="81"/>
            <rFont val="Tahoma"/>
            <family val="2"/>
          </rPr>
          <t xml:space="preserve">
4Q15: $14m</t>
        </r>
      </text>
    </comment>
    <comment ref="P113" authorId="2">
      <text>
        <r>
          <rPr>
            <b/>
            <sz val="8"/>
            <color indexed="81"/>
            <rFont val="Tahoma"/>
            <family val="2"/>
          </rPr>
          <t>jills:</t>
        </r>
        <r>
          <rPr>
            <sz val="8"/>
            <color indexed="81"/>
            <rFont val="Tahoma"/>
            <family val="2"/>
          </rPr>
          <t xml:space="preserve">
$43m guidance per Nov 2013 analyst presentation</t>
        </r>
      </text>
    </comment>
    <comment ref="U113" authorId="4">
      <text>
        <r>
          <rPr>
            <b/>
            <sz val="8"/>
            <color indexed="81"/>
            <rFont val="Tahoma"/>
            <family val="2"/>
          </rPr>
          <t>Guidance:</t>
        </r>
        <r>
          <rPr>
            <sz val="8"/>
            <color indexed="81"/>
            <rFont val="Tahoma"/>
            <family val="2"/>
          </rPr>
          <t xml:space="preserve">
(3Q14): $41.0m
(1Q14): $41.0m
</t>
        </r>
      </text>
    </comment>
    <comment ref="Z113" authorId="4">
      <text>
        <r>
          <rPr>
            <b/>
            <sz val="8"/>
            <color indexed="81"/>
            <rFont val="Tahoma"/>
            <family val="2"/>
          </rPr>
          <t>Guidance:</t>
        </r>
        <r>
          <rPr>
            <sz val="8"/>
            <color indexed="81"/>
            <rFont val="Tahoma"/>
            <family val="2"/>
          </rPr>
          <t xml:space="preserve">
3Q15: $20.0m
2Q15: $13.0m
1Q15: $18.0m
</t>
        </r>
      </text>
    </comment>
    <comment ref="AA113" authorId="0">
      <text>
        <r>
          <rPr>
            <b/>
            <sz val="9"/>
            <color indexed="81"/>
            <rFont val="Tahoma"/>
            <family val="2"/>
          </rPr>
          <t>Savino, Mark (Research):</t>
        </r>
        <r>
          <rPr>
            <sz val="9"/>
            <color indexed="81"/>
            <rFont val="Tahoma"/>
            <family val="2"/>
          </rPr>
          <t xml:space="preserve">
4Q15: $11m</t>
        </r>
      </text>
    </comment>
    <comment ref="AE113" authorId="0">
      <text>
        <r>
          <rPr>
            <b/>
            <sz val="9"/>
            <color indexed="81"/>
            <rFont val="Tahoma"/>
            <family val="2"/>
          </rPr>
          <t>Savino, Mark (Research):</t>
        </r>
        <r>
          <rPr>
            <sz val="9"/>
            <color indexed="81"/>
            <rFont val="Tahoma"/>
            <family val="2"/>
          </rPr>
          <t xml:space="preserve">
3Q16: $33m
2Q16: $26m
1Q16: $12m
4Q15: $11m</t>
        </r>
      </text>
    </comment>
    <comment ref="AJ113" authorId="6">
      <text>
        <r>
          <rPr>
            <b/>
            <sz val="9"/>
            <color indexed="81"/>
            <rFont val="Tahoma"/>
            <family val="2"/>
          </rPr>
          <t>Zheng, Chaodan (Research):</t>
        </r>
        <r>
          <rPr>
            <sz val="9"/>
            <color indexed="81"/>
            <rFont val="Tahoma"/>
            <family val="2"/>
          </rPr>
          <t xml:space="preserve">
3Q17: ($3)m
2Q17: ($1)m</t>
        </r>
      </text>
    </comment>
    <comment ref="P115" authorId="2">
      <text>
        <r>
          <rPr>
            <b/>
            <sz val="8"/>
            <color indexed="81"/>
            <rFont val="Tahoma"/>
            <family val="2"/>
          </rPr>
          <t>jills:</t>
        </r>
        <r>
          <rPr>
            <sz val="8"/>
            <color indexed="81"/>
            <rFont val="Tahoma"/>
            <family val="2"/>
          </rPr>
          <t xml:space="preserve">
guidance $48m per Nov 2013 analyst presentation pg 44</t>
        </r>
      </text>
    </comment>
    <comment ref="Q115" authorId="3">
      <text>
        <r>
          <rPr>
            <sz val="8"/>
            <color indexed="81"/>
            <rFont val="Tahoma"/>
            <family val="2"/>
          </rPr>
          <t xml:space="preserve">Company Guidance:
$8.0m
Source: Pg 19, 8-K, 4Q13 </t>
        </r>
      </text>
    </comment>
    <comment ref="R115" authorId="4">
      <text>
        <r>
          <rPr>
            <sz val="8"/>
            <color indexed="81"/>
            <rFont val="Tahoma"/>
            <family val="2"/>
          </rPr>
          <t xml:space="preserve">(1Q14): $10.0m
</t>
        </r>
      </text>
    </comment>
    <comment ref="S115" authorId="5">
      <text>
        <r>
          <rPr>
            <sz val="9"/>
            <color indexed="81"/>
            <rFont val="Tahoma"/>
            <family val="2"/>
          </rPr>
          <t>Guidance $16m</t>
        </r>
      </text>
    </comment>
    <comment ref="T115" authorId="5">
      <text>
        <r>
          <rPr>
            <b/>
            <sz val="9"/>
            <color indexed="81"/>
            <rFont val="Tahoma"/>
            <family val="2"/>
          </rPr>
          <t xml:space="preserve">Guidance:
</t>
        </r>
        <r>
          <rPr>
            <sz val="9"/>
            <color indexed="81"/>
            <rFont val="Tahoma"/>
            <family val="2"/>
          </rPr>
          <t xml:space="preserve">$14m
</t>
        </r>
      </text>
    </comment>
    <comment ref="U115" authorId="2">
      <text>
        <r>
          <rPr>
            <b/>
            <sz val="8"/>
            <color indexed="81"/>
            <rFont val="Tahoma"/>
            <family val="2"/>
          </rPr>
          <t>Guidance:</t>
        </r>
        <r>
          <rPr>
            <sz val="8"/>
            <color indexed="81"/>
            <rFont val="Tahoma"/>
            <family val="2"/>
          </rPr>
          <t xml:space="preserve">
(3Q14): $46.0m
(2Q14): $55.0m
(1Q14): $50.0m
(4Q13): $47.0m
</t>
        </r>
      </text>
    </comment>
    <comment ref="V115" authorId="5">
      <text>
        <r>
          <rPr>
            <b/>
            <sz val="9"/>
            <color indexed="81"/>
            <rFont val="Tahoma"/>
            <family val="2"/>
          </rPr>
          <t xml:space="preserve">Guidance:
</t>
        </r>
        <r>
          <rPr>
            <sz val="9"/>
            <color indexed="81"/>
            <rFont val="Tahoma"/>
            <family val="2"/>
          </rPr>
          <t xml:space="preserve">$13m
</t>
        </r>
      </text>
    </comment>
    <comment ref="W115" authorId="5">
      <text>
        <r>
          <rPr>
            <b/>
            <sz val="9"/>
            <color indexed="81"/>
            <rFont val="Tahoma"/>
            <family val="2"/>
          </rPr>
          <t xml:space="preserve">Guidance:
</t>
        </r>
        <r>
          <rPr>
            <sz val="9"/>
            <color indexed="81"/>
            <rFont val="Tahoma"/>
            <family val="2"/>
          </rPr>
          <t xml:space="preserve">$12m
</t>
        </r>
      </text>
    </comment>
    <comment ref="X115" authorId="5">
      <text>
        <r>
          <rPr>
            <b/>
            <sz val="9"/>
            <color indexed="81"/>
            <rFont val="Tahoma"/>
            <family val="2"/>
          </rPr>
          <t xml:space="preserve">Guidance:
</t>
        </r>
        <r>
          <rPr>
            <sz val="9"/>
            <color indexed="81"/>
            <rFont val="Tahoma"/>
            <family val="2"/>
          </rPr>
          <t xml:space="preserve">$11m
</t>
        </r>
      </text>
    </comment>
    <comment ref="Y115" authorId="5">
      <text>
        <r>
          <rPr>
            <b/>
            <sz val="9"/>
            <color indexed="81"/>
            <rFont val="Tahoma"/>
            <family val="2"/>
          </rPr>
          <t xml:space="preserve">Guidance:
</t>
        </r>
        <r>
          <rPr>
            <sz val="9"/>
            <color indexed="81"/>
            <rFont val="Tahoma"/>
            <family val="2"/>
          </rPr>
          <t xml:space="preserve">$12m
</t>
        </r>
      </text>
    </comment>
    <comment ref="Z115" authorId="4">
      <text>
        <r>
          <rPr>
            <b/>
            <sz val="8"/>
            <color indexed="81"/>
            <rFont val="Tahoma"/>
            <family val="2"/>
          </rPr>
          <t>Guidance:</t>
        </r>
        <r>
          <rPr>
            <sz val="8"/>
            <color indexed="81"/>
            <rFont val="Tahoma"/>
            <family val="2"/>
          </rPr>
          <t xml:space="preserve">
3Q15: $48.0m
2Q15: $51.0m
1Q15: $48.0m
4Q14: $51.0m
</t>
        </r>
      </text>
    </comment>
    <comment ref="AA115" authorId="0">
      <text>
        <r>
          <rPr>
            <b/>
            <sz val="9"/>
            <color indexed="81"/>
            <rFont val="Tahoma"/>
            <family val="2"/>
          </rPr>
          <t>Savino, Mark (Research):</t>
        </r>
        <r>
          <rPr>
            <sz val="9"/>
            <color indexed="81"/>
            <rFont val="Tahoma"/>
            <family val="2"/>
          </rPr>
          <t xml:space="preserve">
4Q15: $10m</t>
        </r>
      </text>
    </comment>
    <comment ref="AC115" authorId="0">
      <text>
        <r>
          <rPr>
            <b/>
            <sz val="9"/>
            <color indexed="81"/>
            <rFont val="Tahoma"/>
            <family val="2"/>
          </rPr>
          <t>Savino, Mark (Research):</t>
        </r>
        <r>
          <rPr>
            <sz val="9"/>
            <color indexed="81"/>
            <rFont val="Tahoma"/>
            <family val="2"/>
          </rPr>
          <t xml:space="preserve">
Guidance $12m</t>
        </r>
      </text>
    </comment>
    <comment ref="AE115" authorId="0">
      <text>
        <r>
          <rPr>
            <b/>
            <sz val="9"/>
            <color indexed="81"/>
            <rFont val="Tahoma"/>
            <family val="2"/>
          </rPr>
          <t>Savino, Mark (Research):</t>
        </r>
        <r>
          <rPr>
            <sz val="9"/>
            <color indexed="81"/>
            <rFont val="Tahoma"/>
            <family val="2"/>
          </rPr>
          <t xml:space="preserve">
3Q16: $53m
2Q16: $52m
4Q15: $50m</t>
        </r>
      </text>
    </comment>
    <comment ref="AF115" authorId="0">
      <text>
        <r>
          <rPr>
            <b/>
            <sz val="9"/>
            <color indexed="81"/>
            <rFont val="Tahoma"/>
            <family val="2"/>
          </rPr>
          <t>Savino, Mark (Research):</t>
        </r>
        <r>
          <rPr>
            <sz val="9"/>
            <color indexed="81"/>
            <rFont val="Tahoma"/>
            <family val="2"/>
          </rPr>
          <t xml:space="preserve">
4Q16: $10m</t>
        </r>
      </text>
    </comment>
    <comment ref="AG115" authorId="6">
      <text>
        <r>
          <rPr>
            <b/>
            <sz val="9"/>
            <color indexed="81"/>
            <rFont val="Tahoma"/>
            <family val="2"/>
          </rPr>
          <t>Zheng, Chaodan (Research):</t>
        </r>
        <r>
          <rPr>
            <sz val="9"/>
            <color indexed="81"/>
            <rFont val="Tahoma"/>
            <family val="2"/>
          </rPr>
          <t xml:space="preserve">
1Q17: $15m</t>
        </r>
      </text>
    </comment>
    <comment ref="AH115" authorId="6">
      <text>
        <r>
          <rPr>
            <b/>
            <sz val="9"/>
            <color indexed="81"/>
            <rFont val="Tahoma"/>
            <family val="2"/>
          </rPr>
          <t>Zheng, Chaodan (Research):</t>
        </r>
        <r>
          <rPr>
            <sz val="9"/>
            <color indexed="81"/>
            <rFont val="Tahoma"/>
            <family val="2"/>
          </rPr>
          <t xml:space="preserve">
2Q17: $15m</t>
        </r>
      </text>
    </comment>
    <comment ref="AI115" authorId="6">
      <text>
        <r>
          <rPr>
            <b/>
            <sz val="9"/>
            <color indexed="81"/>
            <rFont val="Tahoma"/>
            <family val="2"/>
          </rPr>
          <t>Zheng, Chaodan (Research):</t>
        </r>
        <r>
          <rPr>
            <sz val="9"/>
            <color indexed="81"/>
            <rFont val="Tahoma"/>
            <family val="2"/>
          </rPr>
          <t xml:space="preserve">
3Q17: $16m</t>
        </r>
      </text>
    </comment>
    <comment ref="AJ115" authorId="0">
      <text>
        <r>
          <rPr>
            <b/>
            <sz val="9"/>
            <color indexed="81"/>
            <rFont val="Tahoma"/>
            <family val="2"/>
          </rPr>
          <t>Savino, Mark (Research):</t>
        </r>
        <r>
          <rPr>
            <sz val="9"/>
            <color indexed="81"/>
            <rFont val="Tahoma"/>
            <family val="2"/>
          </rPr>
          <t xml:space="preserve">
3Q17: $53m
2Q17: $51m
1Q17: $50m
4Q16: $49m</t>
        </r>
      </text>
    </comment>
    <comment ref="AK115" authorId="0">
      <text>
        <r>
          <rPr>
            <b/>
            <sz val="9"/>
            <color indexed="81"/>
            <rFont val="Tahoma"/>
            <family val="2"/>
          </rPr>
          <t>Savino, Mark (Research):</t>
        </r>
        <r>
          <rPr>
            <sz val="9"/>
            <color indexed="81"/>
            <rFont val="Tahoma"/>
            <family val="2"/>
          </rPr>
          <t xml:space="preserve">
Guidance $12m</t>
        </r>
      </text>
    </comment>
    <comment ref="AO115" authorId="0">
      <text>
        <r>
          <rPr>
            <b/>
            <sz val="9"/>
            <color indexed="81"/>
            <rFont val="Tahoma"/>
            <family val="2"/>
          </rPr>
          <t>Savino, Mark (Research):</t>
        </r>
        <r>
          <rPr>
            <sz val="9"/>
            <color indexed="81"/>
            <rFont val="Tahoma"/>
            <family val="2"/>
          </rPr>
          <t xml:space="preserve">
4Q17: $49m</t>
        </r>
      </text>
    </comment>
    <comment ref="P116" authorId="2">
      <text>
        <r>
          <rPr>
            <b/>
            <sz val="8"/>
            <color indexed="81"/>
            <rFont val="Tahoma"/>
            <family val="2"/>
          </rPr>
          <t>jills:</t>
        </r>
        <r>
          <rPr>
            <sz val="8"/>
            <color indexed="81"/>
            <rFont val="Tahoma"/>
            <family val="2"/>
          </rPr>
          <t xml:space="preserve">
guidance $6m per Nov 2013 analyst presentation pg 44</t>
        </r>
      </text>
    </comment>
    <comment ref="Q116" authorId="3">
      <text>
        <r>
          <rPr>
            <sz val="8"/>
            <color indexed="81"/>
            <rFont val="Tahoma"/>
            <family val="2"/>
          </rPr>
          <t xml:space="preserve">Company Guidance:
$6.0m
Source: Pg 20, 8-K, 4Q13 </t>
        </r>
      </text>
    </comment>
    <comment ref="R116" authorId="4">
      <text>
        <r>
          <rPr>
            <sz val="8"/>
            <color indexed="81"/>
            <rFont val="Tahoma"/>
            <family val="2"/>
          </rPr>
          <t xml:space="preserve">(1Q14): $6.0m
</t>
        </r>
      </text>
    </comment>
    <comment ref="S116" authorId="5">
      <text>
        <r>
          <rPr>
            <sz val="9"/>
            <color indexed="81"/>
            <rFont val="Tahoma"/>
            <family val="2"/>
          </rPr>
          <t>Guidance $6m</t>
        </r>
      </text>
    </comment>
    <comment ref="T116" authorId="5">
      <text>
        <r>
          <rPr>
            <b/>
            <sz val="9"/>
            <color indexed="81"/>
            <rFont val="Tahoma"/>
            <family val="2"/>
          </rPr>
          <t xml:space="preserve">Guidance:
</t>
        </r>
        <r>
          <rPr>
            <sz val="9"/>
            <color indexed="81"/>
            <rFont val="Tahoma"/>
            <family val="2"/>
          </rPr>
          <t xml:space="preserve">$4m
</t>
        </r>
      </text>
    </comment>
    <comment ref="U116" authorId="2">
      <text>
        <r>
          <rPr>
            <b/>
            <sz val="8"/>
            <color indexed="81"/>
            <rFont val="Tahoma"/>
            <family val="2"/>
          </rPr>
          <t>Guidance:</t>
        </r>
        <r>
          <rPr>
            <sz val="8"/>
            <color indexed="81"/>
            <rFont val="Tahoma"/>
            <family val="2"/>
          </rPr>
          <t xml:space="preserve">
(3Q14): $30.0m
(2Q14): $30.0m
(1Q14): $30.0m
(4Q13): $23.0m
</t>
        </r>
      </text>
    </comment>
    <comment ref="V116" authorId="5">
      <text>
        <r>
          <rPr>
            <b/>
            <sz val="9"/>
            <color indexed="81"/>
            <rFont val="Tahoma"/>
            <family val="2"/>
          </rPr>
          <t xml:space="preserve">Guidance:
</t>
        </r>
        <r>
          <rPr>
            <sz val="9"/>
            <color indexed="81"/>
            <rFont val="Tahoma"/>
            <family val="2"/>
          </rPr>
          <t xml:space="preserve">$28m
</t>
        </r>
      </text>
    </comment>
    <comment ref="W116" authorId="5">
      <text>
        <r>
          <rPr>
            <b/>
            <sz val="9"/>
            <color indexed="81"/>
            <rFont val="Tahoma"/>
            <family val="2"/>
          </rPr>
          <t xml:space="preserve">Guidance:
</t>
        </r>
        <r>
          <rPr>
            <sz val="9"/>
            <color indexed="81"/>
            <rFont val="Tahoma"/>
            <family val="2"/>
          </rPr>
          <t xml:space="preserve">$27m
</t>
        </r>
      </text>
    </comment>
    <comment ref="X116" authorId="5">
      <text>
        <r>
          <rPr>
            <b/>
            <sz val="9"/>
            <color indexed="81"/>
            <rFont val="Tahoma"/>
            <family val="2"/>
          </rPr>
          <t xml:space="preserve">Guidance:
</t>
        </r>
        <r>
          <rPr>
            <sz val="9"/>
            <color indexed="81"/>
            <rFont val="Tahoma"/>
            <family val="2"/>
          </rPr>
          <t xml:space="preserve">$24m
</t>
        </r>
      </text>
    </comment>
    <comment ref="Y116" authorId="5">
      <text>
        <r>
          <rPr>
            <b/>
            <sz val="9"/>
            <color indexed="81"/>
            <rFont val="Tahoma"/>
            <family val="2"/>
          </rPr>
          <t xml:space="preserve">Guidance:
</t>
        </r>
        <r>
          <rPr>
            <sz val="9"/>
            <color indexed="81"/>
            <rFont val="Tahoma"/>
            <family val="2"/>
          </rPr>
          <t xml:space="preserve">$21m
</t>
        </r>
      </text>
    </comment>
    <comment ref="Z116" authorId="4">
      <text>
        <r>
          <rPr>
            <b/>
            <sz val="8"/>
            <color indexed="81"/>
            <rFont val="Tahoma"/>
            <family val="2"/>
          </rPr>
          <t>Guidance:</t>
        </r>
        <r>
          <rPr>
            <sz val="8"/>
            <color indexed="81"/>
            <rFont val="Tahoma"/>
            <family val="2"/>
          </rPr>
          <t xml:space="preserve">
3Q15: $164.0m
2Q15: $167.0m
1Q15: $102.0m
4Q14: $96.0m
</t>
        </r>
      </text>
    </comment>
    <comment ref="AA116" authorId="0">
      <text>
        <r>
          <rPr>
            <b/>
            <sz val="9"/>
            <color indexed="81"/>
            <rFont val="Tahoma"/>
            <family val="2"/>
          </rPr>
          <t>Savino, Mark (Research):</t>
        </r>
        <r>
          <rPr>
            <sz val="9"/>
            <color indexed="81"/>
            <rFont val="Tahoma"/>
            <family val="2"/>
          </rPr>
          <t xml:space="preserve">
4Q15: $22m</t>
        </r>
      </text>
    </comment>
    <comment ref="AC116" authorId="0">
      <text>
        <r>
          <rPr>
            <b/>
            <sz val="9"/>
            <color indexed="81"/>
            <rFont val="Tahoma"/>
            <family val="2"/>
          </rPr>
          <t>Savino, Mark (Research):</t>
        </r>
        <r>
          <rPr>
            <sz val="9"/>
            <color indexed="81"/>
            <rFont val="Tahoma"/>
            <family val="2"/>
          </rPr>
          <t xml:space="preserve">
Guidance $27m</t>
        </r>
      </text>
    </comment>
    <comment ref="AD116" authorId="0">
      <text>
        <r>
          <rPr>
            <b/>
            <sz val="9"/>
            <color indexed="81"/>
            <rFont val="Tahoma"/>
            <family val="2"/>
          </rPr>
          <t>Savino, Mark (Research):</t>
        </r>
        <r>
          <rPr>
            <sz val="9"/>
            <color indexed="81"/>
            <rFont val="Tahoma"/>
            <family val="2"/>
          </rPr>
          <t xml:space="preserve">
Guidance $23m</t>
        </r>
      </text>
    </comment>
    <comment ref="AE116" authorId="0">
      <text>
        <r>
          <rPr>
            <b/>
            <sz val="9"/>
            <color indexed="81"/>
            <rFont val="Tahoma"/>
            <family val="2"/>
          </rPr>
          <t>Savino, Mark (Research):</t>
        </r>
        <r>
          <rPr>
            <sz val="9"/>
            <color indexed="81"/>
            <rFont val="Tahoma"/>
            <family val="2"/>
          </rPr>
          <t xml:space="preserve">
3Q16: $93m
2Q16: $95m
4Q15: $101m</t>
        </r>
      </text>
    </comment>
    <comment ref="AF116" authorId="0">
      <text>
        <r>
          <rPr>
            <b/>
            <sz val="9"/>
            <color indexed="81"/>
            <rFont val="Tahoma"/>
            <family val="2"/>
          </rPr>
          <t>Savino, Mark (Research):</t>
        </r>
        <r>
          <rPr>
            <sz val="9"/>
            <color indexed="81"/>
            <rFont val="Tahoma"/>
            <family val="2"/>
          </rPr>
          <t xml:space="preserve">
4Q16: $23m
Per mgmt, $90m of stock comp in 2017</t>
        </r>
      </text>
    </comment>
    <comment ref="AG116" authorId="6">
      <text>
        <r>
          <rPr>
            <b/>
            <sz val="9"/>
            <color indexed="81"/>
            <rFont val="Tahoma"/>
            <family val="2"/>
          </rPr>
          <t>Zheng, Chaodan (Research):</t>
        </r>
        <r>
          <rPr>
            <sz val="9"/>
            <color indexed="81"/>
            <rFont val="Tahoma"/>
            <family val="2"/>
          </rPr>
          <t xml:space="preserve">
1Q17: $33m</t>
        </r>
      </text>
    </comment>
    <comment ref="AH116" authorId="6">
      <text>
        <r>
          <rPr>
            <b/>
            <sz val="9"/>
            <color indexed="81"/>
            <rFont val="Tahoma"/>
            <family val="2"/>
          </rPr>
          <t>Zheng, Chaodan (Research):</t>
        </r>
        <r>
          <rPr>
            <sz val="9"/>
            <color indexed="81"/>
            <rFont val="Tahoma"/>
            <family val="2"/>
          </rPr>
          <t xml:space="preserve">
2Q17: $32m</t>
        </r>
      </text>
    </comment>
    <comment ref="AI116" authorId="6">
      <text>
        <r>
          <rPr>
            <b/>
            <sz val="9"/>
            <color indexed="81"/>
            <rFont val="Tahoma"/>
            <family val="2"/>
          </rPr>
          <t>Zheng, Chaodan (Research):</t>
        </r>
        <r>
          <rPr>
            <sz val="9"/>
            <color indexed="81"/>
            <rFont val="Tahoma"/>
            <family val="2"/>
          </rPr>
          <t xml:space="preserve">
3Q17: $25m</t>
        </r>
      </text>
    </comment>
    <comment ref="AJ116" authorId="0">
      <text>
        <r>
          <rPr>
            <b/>
            <sz val="9"/>
            <color indexed="81"/>
            <rFont val="Tahoma"/>
            <family val="2"/>
          </rPr>
          <t>Savino, Mark (Research):</t>
        </r>
        <r>
          <rPr>
            <sz val="9"/>
            <color indexed="81"/>
            <rFont val="Tahoma"/>
            <family val="2"/>
          </rPr>
          <t xml:space="preserve">
3Q17: $116m
2Q17: $117m
1Q17: $113m
4Q16: $100m
Per mgmt, $90m of stock comp in 2017</t>
        </r>
      </text>
    </comment>
    <comment ref="AK116" authorId="0">
      <text>
        <r>
          <rPr>
            <b/>
            <sz val="9"/>
            <color indexed="81"/>
            <rFont val="Tahoma"/>
            <family val="2"/>
          </rPr>
          <t>Savino, Mark (Research):</t>
        </r>
        <r>
          <rPr>
            <sz val="9"/>
            <color indexed="81"/>
            <rFont val="Tahoma"/>
            <family val="2"/>
          </rPr>
          <t xml:space="preserve">
Guidance $26m</t>
        </r>
      </text>
    </comment>
    <comment ref="AO116" authorId="0">
      <text>
        <r>
          <rPr>
            <b/>
            <sz val="9"/>
            <color indexed="81"/>
            <rFont val="Tahoma"/>
            <family val="2"/>
          </rPr>
          <t>Savino, Mark (Research):</t>
        </r>
        <r>
          <rPr>
            <sz val="9"/>
            <color indexed="81"/>
            <rFont val="Tahoma"/>
            <family val="2"/>
          </rPr>
          <t xml:space="preserve">
4Q17: $120m</t>
        </r>
      </text>
    </comment>
    <comment ref="Z117" authorId="4">
      <text>
        <r>
          <rPr>
            <b/>
            <sz val="8"/>
            <color indexed="81"/>
            <rFont val="Tahoma"/>
            <family val="2"/>
          </rPr>
          <t>Guidance:</t>
        </r>
        <r>
          <rPr>
            <sz val="8"/>
            <color indexed="81"/>
            <rFont val="Tahoma"/>
            <family val="2"/>
          </rPr>
          <t xml:space="preserve">
3Q15: $306.0m
1Q15: $145.0m
</t>
        </r>
      </text>
    </comment>
    <comment ref="AE117" authorId="0">
      <text>
        <r>
          <rPr>
            <b/>
            <sz val="9"/>
            <color indexed="81"/>
            <rFont val="Tahoma"/>
            <family val="2"/>
          </rPr>
          <t>Savino, Mark (Research):</t>
        </r>
        <r>
          <rPr>
            <sz val="9"/>
            <color indexed="81"/>
            <rFont val="Tahoma"/>
            <family val="2"/>
          </rPr>
          <t xml:space="preserve">
3Q16: $15m</t>
        </r>
      </text>
    </comment>
    <comment ref="O119" authorId="2">
      <text>
        <r>
          <rPr>
            <b/>
            <sz val="8"/>
            <color indexed="81"/>
            <rFont val="Tahoma"/>
            <family val="2"/>
          </rPr>
          <t>jills:</t>
        </r>
        <r>
          <rPr>
            <sz val="8"/>
            <color indexed="81"/>
            <rFont val="Tahoma"/>
            <family val="2"/>
          </rPr>
          <t xml:space="preserve">
includes gain on debt restructuring</t>
        </r>
      </text>
    </comment>
    <comment ref="P119" authorId="2">
      <text>
        <r>
          <rPr>
            <b/>
            <sz val="8"/>
            <color indexed="81"/>
            <rFont val="Tahoma"/>
            <family val="2"/>
          </rPr>
          <t>jills:</t>
        </r>
        <r>
          <rPr>
            <sz val="8"/>
            <color indexed="81"/>
            <rFont val="Tahoma"/>
            <family val="2"/>
          </rPr>
          <t xml:space="preserve">
includes ($237m) gain on debt structuring </t>
        </r>
      </text>
    </comment>
    <comment ref="R119" authorId="5">
      <text>
        <r>
          <rPr>
            <sz val="9"/>
            <color indexed="81"/>
            <rFont val="Tahoma"/>
            <family val="2"/>
          </rPr>
          <t>Represents gains and losses on the dispositions of property and equipment and investments in affiliates and lease restructuring transactions.</t>
        </r>
      </text>
    </comment>
    <comment ref="U119" authorId="2">
      <text>
        <r>
          <rPr>
            <b/>
            <sz val="8"/>
            <color indexed="81"/>
            <rFont val="Tahoma"/>
            <family val="2"/>
          </rPr>
          <t>Guidance:</t>
        </r>
        <r>
          <rPr>
            <sz val="8"/>
            <color indexed="81"/>
            <rFont val="Tahoma"/>
            <family val="2"/>
          </rPr>
          <t xml:space="preserve">
(3Q14): -$38m
</t>
        </r>
      </text>
    </comment>
    <comment ref="Z119" authorId="4">
      <text>
        <r>
          <rPr>
            <b/>
            <sz val="8"/>
            <color indexed="81"/>
            <rFont val="Tahoma"/>
            <family val="2"/>
          </rPr>
          <t>Guidance:</t>
        </r>
        <r>
          <rPr>
            <sz val="8"/>
            <color indexed="81"/>
            <rFont val="Tahoma"/>
            <family val="2"/>
          </rPr>
          <t xml:space="preserve">
3Q15: $6.0m
1Q15: $25.0m
</t>
        </r>
      </text>
    </comment>
    <comment ref="AF119" authorId="6">
      <text>
        <r>
          <rPr>
            <b/>
            <sz val="9"/>
            <color indexed="81"/>
            <rFont val="Tahoma"/>
            <family val="2"/>
          </rPr>
          <t>Zheng, Chaodan (Research):</t>
        </r>
        <r>
          <rPr>
            <sz val="9"/>
            <color indexed="81"/>
            <rFont val="Tahoma"/>
            <family val="2"/>
          </rPr>
          <t xml:space="preserve">
Loss on debt extinguishment
</t>
        </r>
      </text>
    </comment>
    <comment ref="AJ119" authorId="6">
      <text>
        <r>
          <rPr>
            <b/>
            <sz val="9"/>
            <color indexed="81"/>
            <rFont val="Tahoma"/>
            <family val="2"/>
          </rPr>
          <t>Zheng, Chaodan (Research):</t>
        </r>
        <r>
          <rPr>
            <sz val="9"/>
            <color indexed="81"/>
            <rFont val="Tahoma"/>
            <family val="2"/>
          </rPr>
          <t xml:space="preserve">
2Q17: $60m
1Q17: loss on debt distinguishment $60m</t>
        </r>
      </text>
    </comment>
    <comment ref="A120" authorId="2">
      <text>
        <r>
          <rPr>
            <b/>
            <sz val="8"/>
            <color indexed="81"/>
            <rFont val="Tahoma"/>
            <family val="2"/>
          </rPr>
          <t>jills:</t>
        </r>
        <r>
          <rPr>
            <sz val="8"/>
            <color indexed="81"/>
            <rFont val="Tahoma"/>
            <family val="2"/>
          </rPr>
          <t xml:space="preserve">
includes corporate restructuring, IPO readiness</t>
        </r>
      </text>
    </comment>
    <comment ref="O120" authorId="2">
      <text>
        <r>
          <rPr>
            <b/>
            <sz val="8"/>
            <color indexed="81"/>
            <rFont val="Tahoma"/>
            <family val="2"/>
          </rPr>
          <t>jills:</t>
        </r>
        <r>
          <rPr>
            <sz val="8"/>
            <color indexed="81"/>
            <rFont val="Tahoma"/>
            <family val="2"/>
          </rPr>
          <t xml:space="preserve">
assumes similar to 3Q as it includes IPO readiness costs / cross check with corporate expense per line 111; expect to decrease going forward, per mgmt commentary
adds back add'l $37m net GAAP G&amp;A one-time charge ($52m one-time charge offset by $15m one-time benefit)</t>
        </r>
      </text>
    </comment>
    <comment ref="P120" authorId="2">
      <text>
        <r>
          <rPr>
            <b/>
            <sz val="8"/>
            <color indexed="81"/>
            <rFont val="Tahoma"/>
            <family val="2"/>
          </rPr>
          <t>jills:</t>
        </r>
        <r>
          <rPr>
            <sz val="8"/>
            <color indexed="81"/>
            <rFont val="Tahoma"/>
            <family val="2"/>
          </rPr>
          <t xml:space="preserve">
includes corporate restructuring and IPO readiness; expect line item will go down going forward</t>
        </r>
      </text>
    </comment>
    <comment ref="Q120" authorId="8">
      <text>
        <r>
          <rPr>
            <b/>
            <sz val="8"/>
            <color indexed="81"/>
            <rFont val="Tahoma"/>
            <family val="2"/>
          </rPr>
          <t>thallen:</t>
        </r>
        <r>
          <rPr>
            <sz val="8"/>
            <color indexed="81"/>
            <rFont val="Tahoma"/>
            <family val="2"/>
          </rPr>
          <t xml:space="preserve">
Cross-check with corporate expense</t>
        </r>
      </text>
    </comment>
    <comment ref="R120" authorId="8">
      <text>
        <r>
          <rPr>
            <b/>
            <sz val="8"/>
            <color indexed="81"/>
            <rFont val="Tahoma"/>
            <family val="2"/>
          </rPr>
          <t>thallen:</t>
        </r>
        <r>
          <rPr>
            <sz val="8"/>
            <color indexed="81"/>
            <rFont val="Tahoma"/>
            <family val="2"/>
          </rPr>
          <t xml:space="preserve">
Cross-check with corporate expense
(1Q14): $9.0m
2Q14: Represents adjustments for secondary offering, reorganization costs, severance and other items</t>
        </r>
      </text>
    </comment>
    <comment ref="S120" authorId="8">
      <text>
        <r>
          <rPr>
            <b/>
            <sz val="8"/>
            <color indexed="81"/>
            <rFont val="Tahoma"/>
            <family val="2"/>
          </rPr>
          <t>thallen:</t>
        </r>
        <r>
          <rPr>
            <sz val="8"/>
            <color indexed="81"/>
            <rFont val="Tahoma"/>
            <family val="2"/>
          </rPr>
          <t xml:space="preserve">
Cross-check with corporate expense</t>
        </r>
      </text>
    </comment>
    <comment ref="T120" authorId="8">
      <text>
        <r>
          <rPr>
            <b/>
            <sz val="8"/>
            <color indexed="81"/>
            <rFont val="Tahoma"/>
            <family val="2"/>
          </rPr>
          <t>Guidance:</t>
        </r>
        <r>
          <rPr>
            <sz val="8"/>
            <color indexed="81"/>
            <rFont val="Tahoma"/>
            <family val="2"/>
          </rPr>
          <t xml:space="preserve">
$18-21m</t>
        </r>
      </text>
    </comment>
    <comment ref="U120" authorId="8">
      <text>
        <r>
          <rPr>
            <b/>
            <sz val="8"/>
            <color indexed="81"/>
            <rFont val="Tahoma"/>
            <family val="2"/>
          </rPr>
          <t>Guidance:</t>
        </r>
        <r>
          <rPr>
            <sz val="8"/>
            <color indexed="81"/>
            <rFont val="Tahoma"/>
            <family val="2"/>
          </rPr>
          <t xml:space="preserve">
(3Q14): $58-61m</t>
        </r>
      </text>
    </comment>
    <comment ref="V120" authorId="5">
      <text>
        <r>
          <rPr>
            <b/>
            <sz val="9"/>
            <color indexed="81"/>
            <rFont val="Tahoma"/>
            <family val="2"/>
          </rPr>
          <t xml:space="preserve">Guidance:
</t>
        </r>
        <r>
          <rPr>
            <sz val="9"/>
            <color indexed="81"/>
            <rFont val="Tahoma"/>
            <family val="2"/>
          </rPr>
          <t xml:space="preserve">$4m
</t>
        </r>
        <r>
          <rPr>
            <b/>
            <sz val="9"/>
            <color indexed="81"/>
            <rFont val="Tahoma"/>
            <family val="2"/>
          </rPr>
          <t>1Q15:</t>
        </r>
        <r>
          <rPr>
            <sz val="9"/>
            <color indexed="81"/>
            <rFont val="Tahoma"/>
            <family val="2"/>
          </rPr>
          <t xml:space="preserve">
Represents adjustments for reorganization costs, severance, offering costs and other items</t>
        </r>
      </text>
    </comment>
    <comment ref="W120" authorId="5">
      <text>
        <r>
          <rPr>
            <b/>
            <sz val="9"/>
            <color indexed="81"/>
            <rFont val="Tahoma"/>
            <family val="2"/>
          </rPr>
          <t xml:space="preserve">Guidance 1Q15:
</t>
        </r>
        <r>
          <rPr>
            <sz val="9"/>
            <color indexed="81"/>
            <rFont val="Tahoma"/>
            <family val="2"/>
          </rPr>
          <t xml:space="preserve">$19m
</t>
        </r>
        <r>
          <rPr>
            <b/>
            <sz val="9"/>
            <color indexed="81"/>
            <rFont val="Tahoma"/>
            <family val="2"/>
          </rPr>
          <t>2Q15:</t>
        </r>
        <r>
          <rPr>
            <sz val="9"/>
            <color indexed="81"/>
            <rFont val="Tahoma"/>
            <family val="2"/>
          </rPr>
          <t xml:space="preserve">
Represents adjustments for reorganization costs, severance, offering costs and other items.
$35m of the $50m was HLT’s share of severance from the Waldorf Astoria, see article below. There will be another ~$30m of costs for HLT spread out over 2016 / 2017 as more employees leave as they convert the hotel more into condos, but a lot hit upfront. </t>
        </r>
      </text>
    </comment>
    <comment ref="X120" authorId="5">
      <text>
        <r>
          <rPr>
            <b/>
            <sz val="9"/>
            <color indexed="81"/>
            <rFont val="Tahoma"/>
            <family val="2"/>
          </rPr>
          <t xml:space="preserve">Guidance 2Q15:
</t>
        </r>
        <r>
          <rPr>
            <sz val="9"/>
            <color indexed="81"/>
            <rFont val="Tahoma"/>
            <family val="2"/>
          </rPr>
          <t>$6m</t>
        </r>
      </text>
    </comment>
    <comment ref="Y120" authorId="5">
      <text>
        <r>
          <rPr>
            <b/>
            <sz val="9"/>
            <color indexed="81"/>
            <rFont val="Tahoma"/>
            <family val="2"/>
          </rPr>
          <t xml:space="preserve">Guidance 3Q15:
</t>
        </r>
        <r>
          <rPr>
            <sz val="9"/>
            <color indexed="81"/>
            <rFont val="Tahoma"/>
            <family val="2"/>
          </rPr>
          <t>$6m</t>
        </r>
      </text>
    </comment>
    <comment ref="Z120" authorId="4">
      <text>
        <r>
          <rPr>
            <b/>
            <sz val="8"/>
            <color indexed="81"/>
            <rFont val="Tahoma"/>
            <family val="2"/>
          </rPr>
          <t>Guidance:</t>
        </r>
        <r>
          <rPr>
            <sz val="8"/>
            <color indexed="81"/>
            <rFont val="Tahoma"/>
            <family val="2"/>
          </rPr>
          <t xml:space="preserve">
3Q15: $117.0m
2Q15: $73.0m
1Q15: $35.0m
4Q14: $16.0m
</t>
        </r>
      </text>
    </comment>
    <comment ref="AA120" authorId="0">
      <text>
        <r>
          <rPr>
            <b/>
            <sz val="9"/>
            <color indexed="81"/>
            <rFont val="Tahoma"/>
            <family val="2"/>
          </rPr>
          <t>Savino, Mark (Research):</t>
        </r>
        <r>
          <rPr>
            <sz val="9"/>
            <color indexed="81"/>
            <rFont val="Tahoma"/>
            <family val="2"/>
          </rPr>
          <t xml:space="preserve">
4Q15: $10-22m</t>
        </r>
      </text>
    </comment>
    <comment ref="AB120" authorId="0">
      <text>
        <r>
          <rPr>
            <b/>
            <sz val="9"/>
            <color indexed="81"/>
            <rFont val="Tahoma"/>
            <family val="2"/>
          </rPr>
          <t>Savino, Mark (Research):</t>
        </r>
        <r>
          <rPr>
            <sz val="9"/>
            <color indexed="81"/>
            <rFont val="Tahoma"/>
            <family val="2"/>
          </rPr>
          <t xml:space="preserve">
Guidance $3m</t>
        </r>
      </text>
    </comment>
    <comment ref="AC120" authorId="0">
      <text>
        <r>
          <rPr>
            <b/>
            <sz val="9"/>
            <color indexed="81"/>
            <rFont val="Tahoma"/>
            <family val="2"/>
          </rPr>
          <t>Savino, Mark (Research):</t>
        </r>
        <r>
          <rPr>
            <sz val="9"/>
            <color indexed="81"/>
            <rFont val="Tahoma"/>
            <family val="2"/>
          </rPr>
          <t xml:space="preserve">
Guidance $14m</t>
        </r>
      </text>
    </comment>
    <comment ref="AD120" authorId="0">
      <text>
        <r>
          <rPr>
            <b/>
            <sz val="9"/>
            <color indexed="81"/>
            <rFont val="Tahoma"/>
            <family val="2"/>
          </rPr>
          <t>Savino, Mark (Research):</t>
        </r>
        <r>
          <rPr>
            <sz val="9"/>
            <color indexed="81"/>
            <rFont val="Tahoma"/>
            <family val="2"/>
          </rPr>
          <t xml:space="preserve">
Implied guidance -$12m</t>
        </r>
      </text>
    </comment>
    <comment ref="AE120" authorId="0">
      <text>
        <r>
          <rPr>
            <b/>
            <sz val="9"/>
            <color indexed="81"/>
            <rFont val="Tahoma"/>
            <family val="2"/>
          </rPr>
          <t>Savino, Mark (Research):</t>
        </r>
        <r>
          <rPr>
            <sz val="9"/>
            <color indexed="81"/>
            <rFont val="Tahoma"/>
            <family val="2"/>
          </rPr>
          <t xml:space="preserve">
3Q16: $112-137m
2Q16: $40m
1Q16: $35m
4Q15: $15-26m</t>
        </r>
      </text>
    </comment>
    <comment ref="AF120" authorId="0">
      <text>
        <r>
          <rPr>
            <b/>
            <sz val="9"/>
            <color indexed="81"/>
            <rFont val="Tahoma"/>
            <family val="2"/>
          </rPr>
          <t>Savino, Mark (Research):</t>
        </r>
        <r>
          <rPr>
            <sz val="9"/>
            <color indexed="81"/>
            <rFont val="Tahoma"/>
            <family val="2"/>
          </rPr>
          <t xml:space="preserve">
4Q16: $14-23m</t>
        </r>
      </text>
    </comment>
    <comment ref="AG120" authorId="6">
      <text>
        <r>
          <rPr>
            <b/>
            <sz val="9"/>
            <color indexed="81"/>
            <rFont val="Tahoma"/>
            <family val="2"/>
          </rPr>
          <t>Zheng, Chaodan (Research):</t>
        </r>
        <r>
          <rPr>
            <sz val="9"/>
            <color indexed="81"/>
            <rFont val="Tahoma"/>
            <family val="2"/>
          </rPr>
          <t xml:space="preserve">
1Q17: $(2)-5m</t>
        </r>
      </text>
    </comment>
    <comment ref="AH120" authorId="6">
      <text>
        <r>
          <rPr>
            <b/>
            <sz val="9"/>
            <color indexed="81"/>
            <rFont val="Tahoma"/>
            <family val="2"/>
          </rPr>
          <t>Zheng, Chaodan (Research):</t>
        </r>
        <r>
          <rPr>
            <sz val="9"/>
            <color indexed="81"/>
            <rFont val="Tahoma"/>
            <family val="2"/>
          </rPr>
          <t xml:space="preserve">
2Q17: $5m</t>
        </r>
      </text>
    </comment>
    <comment ref="AI120" authorId="6">
      <text>
        <r>
          <rPr>
            <b/>
            <sz val="9"/>
            <color indexed="81"/>
            <rFont val="Tahoma"/>
            <family val="2"/>
          </rPr>
          <t>Zheng, Chaodan (Research):</t>
        </r>
        <r>
          <rPr>
            <sz val="9"/>
            <color indexed="81"/>
            <rFont val="Tahoma"/>
            <family val="2"/>
          </rPr>
          <t xml:space="preserve">
3Q17: $9-10m</t>
        </r>
      </text>
    </comment>
    <comment ref="AJ120" authorId="0">
      <text>
        <r>
          <rPr>
            <b/>
            <sz val="9"/>
            <color indexed="81"/>
            <rFont val="Tahoma"/>
            <family val="2"/>
          </rPr>
          <t>Savino, Mark (Research):</t>
        </r>
        <r>
          <rPr>
            <sz val="9"/>
            <color indexed="81"/>
            <rFont val="Tahoma"/>
            <family val="2"/>
          </rPr>
          <t xml:space="preserve">
3Q17: $54-55m
2Q17: $46m
1Q17: $41m
4Q16: $27-36m</t>
        </r>
      </text>
    </comment>
    <comment ref="AK120" authorId="0">
      <text>
        <r>
          <rPr>
            <b/>
            <sz val="9"/>
            <color indexed="81"/>
            <rFont val="Tahoma"/>
            <family val="2"/>
          </rPr>
          <t>Savino, Mark (Research):</t>
        </r>
        <r>
          <rPr>
            <sz val="9"/>
            <color indexed="81"/>
            <rFont val="Tahoma"/>
            <family val="2"/>
          </rPr>
          <t xml:space="preserve">
Guidance $11m</t>
        </r>
      </text>
    </comment>
    <comment ref="AO120" authorId="0">
      <text>
        <r>
          <rPr>
            <b/>
            <sz val="9"/>
            <color indexed="81"/>
            <rFont val="Tahoma"/>
            <family val="2"/>
          </rPr>
          <t>Savino, Mark (Research):</t>
        </r>
        <r>
          <rPr>
            <sz val="9"/>
            <color indexed="81"/>
            <rFont val="Tahoma"/>
            <family val="2"/>
          </rPr>
          <t xml:space="preserve">
4Q17: $50m</t>
        </r>
      </text>
    </comment>
    <comment ref="A121" authorId="3">
      <text>
        <r>
          <rPr>
            <sz val="8"/>
            <color indexed="81"/>
            <rFont val="Tahoma"/>
            <family val="2"/>
          </rPr>
          <t>Source: Pg 14, S-1 Statement
Source link: http://www.sec.gov/Archives/edgar/data/1585689/000119312513403840/d593452ds1a.htm</t>
        </r>
      </text>
    </comment>
    <comment ref="R121" authorId="4">
      <text>
        <r>
          <rPr>
            <sz val="8"/>
            <color indexed="81"/>
            <rFont val="Tahoma"/>
            <family val="2"/>
          </rPr>
          <t xml:space="preserve">(1Q14): $635.0-655.0m
</t>
        </r>
      </text>
    </comment>
    <comment ref="V121" authorId="5">
      <text>
        <r>
          <rPr>
            <b/>
            <sz val="9"/>
            <color indexed="81"/>
            <rFont val="Tahoma"/>
            <family val="2"/>
          </rPr>
          <t xml:space="preserve">1Q15:
</t>
        </r>
        <r>
          <rPr>
            <sz val="9"/>
            <color indexed="81"/>
            <rFont val="Tahoma"/>
            <family val="2"/>
          </rPr>
          <t xml:space="preserve">$15m of the beat was due to favorable timing which should normalize over the year
</t>
        </r>
      </text>
    </comment>
    <comment ref="W121" authorId="5">
      <text>
        <r>
          <rPr>
            <b/>
            <sz val="9"/>
            <color indexed="81"/>
            <rFont val="Tahoma"/>
            <family val="2"/>
          </rPr>
          <t>Chaudhry, Baset A (Research):</t>
        </r>
        <r>
          <rPr>
            <sz val="9"/>
            <color indexed="81"/>
            <rFont val="Tahoma"/>
            <family val="2"/>
          </rPr>
          <t xml:space="preserve">
Fee growth significantly outperformed expectations, less FX headwinds than expected, $5-10m was timing and will normalize in 2H</t>
        </r>
      </text>
    </comment>
    <comment ref="AA121" authorId="7">
      <text>
        <r>
          <rPr>
            <b/>
            <sz val="9"/>
            <color indexed="81"/>
            <rFont val="Tahoma"/>
            <family val="2"/>
          </rPr>
          <t>Allen, Thomas (Research):</t>
        </r>
        <r>
          <rPr>
            <sz val="9"/>
            <color indexed="81"/>
            <rFont val="Tahoma"/>
            <family val="2"/>
          </rPr>
          <t xml:space="preserve">
$7m drag in 1H16 from Hilton Sydney sale in 2Q15
Offset in 1Q by a few $mm benefit from Waldorf Astoria / Orlando, etc. properties 1031 exchange</t>
        </r>
      </text>
    </comment>
    <comment ref="AB121" authorId="7">
      <text>
        <r>
          <rPr>
            <b/>
            <sz val="9"/>
            <color indexed="81"/>
            <rFont val="Tahoma"/>
            <family val="2"/>
          </rPr>
          <t>Allen, Thomas (Research):</t>
        </r>
        <r>
          <rPr>
            <sz val="9"/>
            <color indexed="81"/>
            <rFont val="Tahoma"/>
            <family val="2"/>
          </rPr>
          <t xml:space="preserve">
$7m drag in 1H16 from Hilton Sydney sale in 2Q15
</t>
        </r>
      </text>
    </comment>
    <comment ref="AE121" authorId="7">
      <text>
        <r>
          <rPr>
            <b/>
            <sz val="9"/>
            <color indexed="81"/>
            <rFont val="Tahoma"/>
            <family val="2"/>
          </rPr>
          <t>Allen, Thomas (Research):</t>
        </r>
        <r>
          <rPr>
            <sz val="9"/>
            <color indexed="81"/>
            <rFont val="Tahoma"/>
            <family val="2"/>
          </rPr>
          <t xml:space="preserve">
2016 Investor Day: 5-8% CAGR 2016 -2019
4Q15: $25m of FX headwinds</t>
        </r>
      </text>
    </comment>
    <comment ref="AJ121" authorId="6">
      <text>
        <r>
          <rPr>
            <b/>
            <sz val="9"/>
            <color indexed="81"/>
            <rFont val="Tahoma"/>
            <family val="2"/>
          </rPr>
          <t>Zheng, Chaodan (Research):</t>
        </r>
        <r>
          <rPr>
            <sz val="9"/>
            <color indexed="81"/>
            <rFont val="Tahoma"/>
            <family val="2"/>
          </rPr>
          <t xml:space="preserve">
2016 Investor Day: 5-8% CAGR 2016 -2019</t>
        </r>
      </text>
    </comment>
    <comment ref="AO121" authorId="6">
      <text>
        <r>
          <rPr>
            <b/>
            <sz val="9"/>
            <color indexed="81"/>
            <rFont val="Tahoma"/>
            <family val="2"/>
          </rPr>
          <t>Zheng, Chaodan (Research):</t>
        </r>
        <r>
          <rPr>
            <sz val="9"/>
            <color indexed="81"/>
            <rFont val="Tahoma"/>
            <family val="2"/>
          </rPr>
          <t xml:space="preserve">
2016 Investor Day: 5-8% CAGR 2016 -2019</t>
        </r>
      </text>
    </comment>
    <comment ref="AP121" authorId="6">
      <text>
        <r>
          <rPr>
            <b/>
            <sz val="9"/>
            <color indexed="81"/>
            <rFont val="Tahoma"/>
            <family val="2"/>
          </rPr>
          <t>Zheng, Chaodan (Research):</t>
        </r>
        <r>
          <rPr>
            <sz val="9"/>
            <color indexed="81"/>
            <rFont val="Tahoma"/>
            <family val="2"/>
          </rPr>
          <t xml:space="preserve">
2016 Investor Day guidance: $2,045 (assuming 1% RevPAR) - $2,210 (assuming 3% RevPAR)</t>
        </r>
      </text>
    </comment>
    <comment ref="P127" authorId="2">
      <text>
        <r>
          <rPr>
            <b/>
            <sz val="8"/>
            <color indexed="81"/>
            <rFont val="Tahoma"/>
            <family val="2"/>
          </rPr>
          <t>jills:</t>
        </r>
        <r>
          <rPr>
            <sz val="8"/>
            <color indexed="81"/>
            <rFont val="Tahoma"/>
            <family val="2"/>
          </rPr>
          <t xml:space="preserve">
guidance calls for 12-13% growth</t>
        </r>
      </text>
    </comment>
    <comment ref="U127" authorId="2">
      <text>
        <r>
          <rPr>
            <b/>
            <sz val="8"/>
            <color indexed="81"/>
            <rFont val="Tahoma"/>
            <family val="2"/>
          </rPr>
          <t>jills:</t>
        </r>
        <r>
          <rPr>
            <sz val="8"/>
            <color indexed="81"/>
            <rFont val="Tahoma"/>
            <family val="2"/>
          </rPr>
          <t xml:space="preserve">
guided growth of 7-11%</t>
        </r>
      </text>
    </comment>
    <comment ref="Z127" authorId="2">
      <text>
        <r>
          <rPr>
            <b/>
            <sz val="8"/>
            <color indexed="81"/>
            <rFont val="Tahoma"/>
            <family val="2"/>
          </rPr>
          <t>jills:</t>
        </r>
        <r>
          <rPr>
            <sz val="8"/>
            <color indexed="81"/>
            <rFont val="Tahoma"/>
            <family val="2"/>
          </rPr>
          <t xml:space="preserve">
guidance calls for 7-11% growth</t>
        </r>
      </text>
    </comment>
    <comment ref="AF127" authorId="7">
      <text>
        <r>
          <rPr>
            <b/>
            <sz val="9"/>
            <color indexed="81"/>
            <rFont val="Tahoma"/>
            <family val="2"/>
          </rPr>
          <t>Allen, Thomas (Research):</t>
        </r>
        <r>
          <rPr>
            <sz val="9"/>
            <color indexed="81"/>
            <rFont val="Tahoma"/>
            <family val="2"/>
          </rPr>
          <t xml:space="preserve">
Pro forma for spin</t>
        </r>
      </text>
    </comment>
    <comment ref="AG127" authorId="7">
      <text>
        <r>
          <rPr>
            <b/>
            <sz val="9"/>
            <color indexed="81"/>
            <rFont val="Tahoma"/>
            <family val="2"/>
          </rPr>
          <t>Allen, Thomas (Research):</t>
        </r>
        <r>
          <rPr>
            <sz val="9"/>
            <color indexed="81"/>
            <rFont val="Tahoma"/>
            <family val="2"/>
          </rPr>
          <t xml:space="preserve">
Pro forma for spin</t>
        </r>
      </text>
    </comment>
    <comment ref="AI127" authorId="7">
      <text>
        <r>
          <rPr>
            <b/>
            <sz val="9"/>
            <color indexed="81"/>
            <rFont val="Tahoma"/>
            <family val="2"/>
          </rPr>
          <t>Allen, Thomas (Research):</t>
        </r>
        <r>
          <rPr>
            <sz val="9"/>
            <color indexed="81"/>
            <rFont val="Tahoma"/>
            <family val="2"/>
          </rPr>
          <t xml:space="preserve">
Implied</t>
        </r>
      </text>
    </comment>
    <comment ref="AJ127" authorId="7">
      <text>
        <r>
          <rPr>
            <b/>
            <sz val="9"/>
            <color indexed="81"/>
            <rFont val="Tahoma"/>
            <family val="2"/>
          </rPr>
          <t>Allen, Thomas (Research):</t>
        </r>
        <r>
          <rPr>
            <sz val="9"/>
            <color indexed="81"/>
            <rFont val="Tahoma"/>
            <family val="2"/>
          </rPr>
          <t xml:space="preserve">
Pro forma for spin</t>
        </r>
      </text>
    </comment>
    <comment ref="Q128" authorId="3">
      <text>
        <r>
          <rPr>
            <sz val="8"/>
            <color indexed="81"/>
            <rFont val="Tahoma"/>
            <family val="2"/>
          </rPr>
          <t xml:space="preserve">Company guidance
$480.0-500.0m: Pg 04, 8K, 4Q13 
</t>
        </r>
      </text>
    </comment>
    <comment ref="R128" authorId="3">
      <text>
        <r>
          <rPr>
            <sz val="8"/>
            <color indexed="81"/>
            <rFont val="Tahoma"/>
            <family val="2"/>
          </rPr>
          <t xml:space="preserve">(1Q14) $635-655m
Pre-IPO company guidance: $638m
</t>
        </r>
      </text>
    </comment>
    <comment ref="S128" authorId="3">
      <text>
        <r>
          <rPr>
            <sz val="8"/>
            <color indexed="81"/>
            <rFont val="Tahoma"/>
            <family val="2"/>
          </rPr>
          <t xml:space="preserve">Guidance:
2Q14: $610-630
Pre-IPO company guidance: $610
</t>
        </r>
      </text>
    </comment>
    <comment ref="T128" authorId="3">
      <text>
        <r>
          <rPr>
            <b/>
            <sz val="8"/>
            <color indexed="81"/>
            <rFont val="Tahoma"/>
            <family val="2"/>
          </rPr>
          <t>Guidance:</t>
        </r>
        <r>
          <rPr>
            <sz val="8"/>
            <color indexed="81"/>
            <rFont val="Tahoma"/>
            <family val="2"/>
          </rPr>
          <t xml:space="preserve">
3Q14: 630-650m
Pre-IPO company guidance $670m
</t>
        </r>
      </text>
    </comment>
    <comment ref="U128" authorId="3">
      <text>
        <r>
          <rPr>
            <b/>
            <sz val="8"/>
            <color indexed="81"/>
            <rFont val="Tahoma"/>
            <family val="2"/>
          </rPr>
          <t>Guidance:</t>
        </r>
        <r>
          <rPr>
            <sz val="8"/>
            <color indexed="81"/>
            <rFont val="Tahoma"/>
            <family val="2"/>
          </rPr>
          <t xml:space="preserve">
(3Q14) $2,470-2,490m
(2Q14) $2,425-2,475m
(1Q14) $2,415-2,465m
(4Q13) $2,365-2,435m
</t>
        </r>
      </text>
    </comment>
    <comment ref="Z128" authorId="3">
      <text>
        <r>
          <rPr>
            <b/>
            <sz val="8"/>
            <color indexed="81"/>
            <rFont val="Tahoma"/>
            <family val="2"/>
          </rPr>
          <t>Guidance:</t>
        </r>
        <r>
          <rPr>
            <sz val="8"/>
            <color indexed="81"/>
            <rFont val="Tahoma"/>
            <family val="2"/>
          </rPr>
          <t xml:space="preserve">
3Q15: $2,840-2,870m
2Q15: $2,820-2,870m (increase of $20m at midpoint adjusting for the sale of Hilton Sydney)
1Q15: $2,810-2,870m
4Q14: $2,790-2,870m</t>
        </r>
      </text>
    </comment>
    <comment ref="AA128" authorId="3">
      <text>
        <r>
          <rPr>
            <b/>
            <sz val="8"/>
            <color indexed="81"/>
            <rFont val="Tahoma"/>
            <family val="2"/>
          </rPr>
          <t>Guidance:</t>
        </r>
        <r>
          <rPr>
            <sz val="8"/>
            <color indexed="81"/>
            <rFont val="Tahoma"/>
            <family val="2"/>
          </rPr>
          <t xml:space="preserve">
4Q15: $630-650m
</t>
        </r>
      </text>
    </comment>
    <comment ref="AD128" authorId="0">
      <text>
        <r>
          <rPr>
            <b/>
            <sz val="9"/>
            <color indexed="81"/>
            <rFont val="Tahoma"/>
            <family val="2"/>
          </rPr>
          <t>Savino, Mark (Research):</t>
        </r>
        <r>
          <rPr>
            <sz val="9"/>
            <color indexed="81"/>
            <rFont val="Tahoma"/>
            <family val="2"/>
          </rPr>
          <t xml:space="preserve">
3Q16: $736-766m
Implied $761-801m</t>
        </r>
      </text>
    </comment>
    <comment ref="AE128" authorId="3">
      <text>
        <r>
          <rPr>
            <b/>
            <sz val="8"/>
            <color indexed="81"/>
            <rFont val="Tahoma"/>
            <family val="2"/>
          </rPr>
          <t>Guidance:</t>
        </r>
        <r>
          <rPr>
            <sz val="8"/>
            <color indexed="81"/>
            <rFont val="Tahoma"/>
            <family val="2"/>
          </rPr>
          <t xml:space="preserve">
3Q16: $2,960-2,990m
2Q16: $2,980-3,040m
1Q16: $3,020-3,100m
4Q15: $3,020-3,100m
</t>
        </r>
      </text>
    </comment>
    <comment ref="AI128" authorId="6">
      <text>
        <r>
          <rPr>
            <b/>
            <sz val="9"/>
            <color indexed="81"/>
            <rFont val="Tahoma"/>
            <family val="2"/>
          </rPr>
          <t>Zheng, Chaodan (Research):</t>
        </r>
        <r>
          <rPr>
            <sz val="9"/>
            <color indexed="81"/>
            <rFont val="Tahoma"/>
            <family val="2"/>
          </rPr>
          <t xml:space="preserve">
3Q17 earnings release: $453-473m
 - $15m beat b/c 1x items
2Q17 earnings release implied: $447-467m</t>
        </r>
      </text>
    </comment>
    <comment ref="AJ128" authorId="3">
      <text>
        <r>
          <rPr>
            <b/>
            <sz val="8"/>
            <color indexed="81"/>
            <rFont val="Tahoma"/>
            <family val="2"/>
          </rPr>
          <t>Guidance:</t>
        </r>
        <r>
          <rPr>
            <sz val="8"/>
            <color indexed="81"/>
            <rFont val="Tahoma"/>
            <family val="2"/>
          </rPr>
          <t xml:space="preserve">
3Q17: $1,920-1,940m
2Q17: $1,880-1,920m
1Q17: $1,860-1,900m
4Q16: $1,835-1,885m, includes $25-30m of FX headwinds and MSD EBITDA impact from Waldorf coming out for renovations
</t>
        </r>
      </text>
    </comment>
    <comment ref="AO128" authorId="0">
      <text>
        <r>
          <rPr>
            <b/>
            <sz val="9"/>
            <color indexed="81"/>
            <rFont val="Tahoma"/>
            <family val="2"/>
          </rPr>
          <t>Savino, Mark (Research):</t>
        </r>
        <r>
          <rPr>
            <sz val="9"/>
            <color indexed="81"/>
            <rFont val="Tahoma"/>
            <family val="2"/>
          </rPr>
          <t xml:space="preserve">
4Q17: $2,030-2,080m, includes $60m impact from ASU 2014-09 and $9m tailwind from FX</t>
        </r>
      </text>
    </comment>
    <comment ref="AE129" authorId="7">
      <text>
        <r>
          <rPr>
            <b/>
            <sz val="9"/>
            <color indexed="81"/>
            <rFont val="Tahoma"/>
            <family val="2"/>
          </rPr>
          <t>Allen, Thomas (Research):</t>
        </r>
        <r>
          <rPr>
            <sz val="9"/>
            <color indexed="81"/>
            <rFont val="Tahoma"/>
            <family val="2"/>
          </rPr>
          <t xml:space="preserve">
Pro forma for spins</t>
        </r>
      </text>
    </comment>
    <comment ref="O135" authorId="8">
      <text>
        <r>
          <rPr>
            <b/>
            <sz val="8"/>
            <color indexed="81"/>
            <rFont val="Tahoma"/>
            <family val="2"/>
          </rPr>
          <t>thallen:</t>
        </r>
        <r>
          <rPr>
            <sz val="8"/>
            <color indexed="81"/>
            <rFont val="Tahoma"/>
            <family val="2"/>
          </rPr>
          <t xml:space="preserve">
Guidance: $258m</t>
        </r>
      </text>
    </comment>
    <comment ref="P135" authorId="8">
      <text>
        <r>
          <rPr>
            <b/>
            <sz val="8"/>
            <color indexed="81"/>
            <rFont val="Tahoma"/>
            <family val="2"/>
          </rPr>
          <t>thallen:</t>
        </r>
        <r>
          <rPr>
            <sz val="8"/>
            <color indexed="81"/>
            <rFont val="Tahoma"/>
            <family val="2"/>
          </rPr>
          <t xml:space="preserve">
Guidance: $930m</t>
        </r>
      </text>
    </comment>
    <comment ref="U135" authorId="8">
      <text>
        <r>
          <rPr>
            <b/>
            <sz val="8"/>
            <color indexed="81"/>
            <rFont val="Tahoma"/>
            <family val="2"/>
          </rPr>
          <t>thallen:</t>
        </r>
        <r>
          <rPr>
            <sz val="8"/>
            <color indexed="81"/>
            <rFont val="Tahoma"/>
            <family val="2"/>
          </rPr>
          <t xml:space="preserve">
Pre-IPO Guidance: $986m</t>
        </r>
      </text>
    </comment>
    <comment ref="O136" authorId="8">
      <text>
        <r>
          <rPr>
            <b/>
            <sz val="8"/>
            <color indexed="81"/>
            <rFont val="Tahoma"/>
            <family val="2"/>
          </rPr>
          <t>thallen:</t>
        </r>
        <r>
          <rPr>
            <sz val="8"/>
            <color indexed="81"/>
            <rFont val="Tahoma"/>
            <family val="2"/>
          </rPr>
          <t xml:space="preserve">
Guidance: $326m</t>
        </r>
      </text>
    </comment>
    <comment ref="P136" authorId="8">
      <text>
        <r>
          <rPr>
            <b/>
            <sz val="8"/>
            <color indexed="81"/>
            <rFont val="Tahoma"/>
            <family val="2"/>
          </rPr>
          <t>thallen:</t>
        </r>
        <r>
          <rPr>
            <sz val="8"/>
            <color indexed="81"/>
            <rFont val="Tahoma"/>
            <family val="2"/>
          </rPr>
          <t xml:space="preserve">
Guidance: $1264m</t>
        </r>
      </text>
    </comment>
    <comment ref="U136" authorId="8">
      <text>
        <r>
          <rPr>
            <b/>
            <sz val="8"/>
            <color indexed="81"/>
            <rFont val="Tahoma"/>
            <family val="2"/>
          </rPr>
          <t>thallen:</t>
        </r>
        <r>
          <rPr>
            <sz val="8"/>
            <color indexed="81"/>
            <rFont val="Tahoma"/>
            <family val="2"/>
          </rPr>
          <t xml:space="preserve">
Pre-IPO Guidance: $1403m</t>
        </r>
      </text>
    </comment>
    <comment ref="O137" authorId="8">
      <text>
        <r>
          <rPr>
            <b/>
            <sz val="8"/>
            <color indexed="81"/>
            <rFont val="Tahoma"/>
            <family val="2"/>
          </rPr>
          <t>thallen:</t>
        </r>
        <r>
          <rPr>
            <sz val="8"/>
            <color indexed="81"/>
            <rFont val="Tahoma"/>
            <family val="2"/>
          </rPr>
          <t xml:space="preserve">
Guidance: $90m</t>
        </r>
      </text>
    </comment>
    <comment ref="P137" authorId="8">
      <text>
        <r>
          <rPr>
            <b/>
            <sz val="8"/>
            <color indexed="81"/>
            <rFont val="Tahoma"/>
            <family val="2"/>
          </rPr>
          <t>thallen:</t>
        </r>
        <r>
          <rPr>
            <sz val="8"/>
            <color indexed="81"/>
            <rFont val="Tahoma"/>
            <family val="2"/>
          </rPr>
          <t xml:space="preserve">
Guidance: $295m</t>
        </r>
      </text>
    </comment>
    <comment ref="U137" authorId="8">
      <text>
        <r>
          <rPr>
            <sz val="8"/>
            <color indexed="81"/>
            <rFont val="Tahoma"/>
            <family val="2"/>
          </rPr>
          <t>Guidance:
(2Q14): $315.0-330.0m
(1Q14): $315.0-330.0m</t>
        </r>
        <r>
          <rPr>
            <b/>
            <sz val="8"/>
            <color indexed="81"/>
            <rFont val="Tahoma"/>
            <family val="2"/>
          </rPr>
          <t xml:space="preserve">
</t>
        </r>
        <r>
          <rPr>
            <sz val="8"/>
            <color indexed="81"/>
            <rFont val="Tahoma"/>
            <family val="2"/>
          </rPr>
          <t>(4Q13): $310.0-325.0m</t>
        </r>
        <r>
          <rPr>
            <b/>
            <sz val="8"/>
            <color indexed="81"/>
            <rFont val="Tahoma"/>
            <family val="2"/>
          </rPr>
          <t xml:space="preserve">
thallen:</t>
        </r>
        <r>
          <rPr>
            <sz val="8"/>
            <color indexed="81"/>
            <rFont val="Tahoma"/>
            <family val="2"/>
          </rPr>
          <t xml:space="preserve">
Guidance: $312m
</t>
        </r>
      </text>
    </comment>
    <comment ref="O138" authorId="2">
      <text>
        <r>
          <rPr>
            <b/>
            <sz val="8"/>
            <color indexed="81"/>
            <rFont val="Tahoma"/>
            <family val="2"/>
          </rPr>
          <t>jills:</t>
        </r>
        <r>
          <rPr>
            <sz val="8"/>
            <color indexed="81"/>
            <rFont val="Tahoma"/>
            <family val="2"/>
          </rPr>
          <t xml:space="preserve">
guidance ($81m)</t>
        </r>
      </text>
    </comment>
    <comment ref="P138" authorId="2">
      <text>
        <r>
          <rPr>
            <b/>
            <sz val="8"/>
            <color indexed="81"/>
            <rFont val="Tahoma"/>
            <family val="2"/>
          </rPr>
          <t>jills:</t>
        </r>
        <r>
          <rPr>
            <sz val="8"/>
            <color indexed="81"/>
            <rFont val="Tahoma"/>
            <family val="2"/>
          </rPr>
          <t xml:space="preserve">
guidance ($289m)</t>
        </r>
      </text>
    </comment>
    <comment ref="Q138" authorId="2">
      <text>
        <r>
          <rPr>
            <b/>
            <sz val="8"/>
            <color indexed="81"/>
            <rFont val="Tahoma"/>
            <family val="2"/>
          </rPr>
          <t>jills:</t>
        </r>
        <r>
          <rPr>
            <sz val="8"/>
            <color indexed="81"/>
            <rFont val="Tahoma"/>
            <family val="2"/>
          </rPr>
          <t xml:space="preserve">
guidance ($80m)</t>
        </r>
      </text>
    </comment>
    <comment ref="R138" authorId="2">
      <text>
        <r>
          <rPr>
            <b/>
            <sz val="8"/>
            <color indexed="81"/>
            <rFont val="Tahoma"/>
            <family val="2"/>
          </rPr>
          <t>jills:</t>
        </r>
        <r>
          <rPr>
            <sz val="8"/>
            <color indexed="81"/>
            <rFont val="Tahoma"/>
            <family val="2"/>
          </rPr>
          <t xml:space="preserve">
guidance ($79m)</t>
        </r>
      </text>
    </comment>
    <comment ref="S138" authorId="2">
      <text>
        <r>
          <rPr>
            <b/>
            <sz val="8"/>
            <color indexed="81"/>
            <rFont val="Tahoma"/>
            <family val="2"/>
          </rPr>
          <t>jills:</t>
        </r>
        <r>
          <rPr>
            <sz val="8"/>
            <color indexed="81"/>
            <rFont val="Tahoma"/>
            <family val="2"/>
          </rPr>
          <t xml:space="preserve">
guidance ($73m)</t>
        </r>
      </text>
    </comment>
    <comment ref="T138" authorId="2">
      <text>
        <r>
          <rPr>
            <b/>
            <sz val="8"/>
            <color indexed="81"/>
            <rFont val="Tahoma"/>
            <family val="2"/>
          </rPr>
          <t>jills:</t>
        </r>
        <r>
          <rPr>
            <sz val="8"/>
            <color indexed="81"/>
            <rFont val="Tahoma"/>
            <family val="2"/>
          </rPr>
          <t xml:space="preserve">
guidance ($72m)</t>
        </r>
      </text>
    </comment>
    <comment ref="U138" authorId="2">
      <text>
        <r>
          <rPr>
            <b/>
            <sz val="8"/>
            <color indexed="81"/>
            <rFont val="Tahoma"/>
            <family val="2"/>
          </rPr>
          <t>jills:</t>
        </r>
        <r>
          <rPr>
            <sz val="8"/>
            <color indexed="81"/>
            <rFont val="Tahoma"/>
            <family val="2"/>
          </rPr>
          <t xml:space="preserve">
Pre-IPO guidance ($304m)</t>
        </r>
      </text>
    </comment>
    <comment ref="Z138" authorId="7">
      <text>
        <r>
          <rPr>
            <b/>
            <sz val="9"/>
            <color indexed="81"/>
            <rFont val="Tahoma"/>
            <family val="2"/>
          </rPr>
          <t>Allen, Thomas (Research):</t>
        </r>
        <r>
          <rPr>
            <sz val="9"/>
            <color indexed="81"/>
            <rFont val="Tahoma"/>
            <family val="2"/>
          </rPr>
          <t xml:space="preserve">
2014 adjusted corp expense runrate $255m, per 4Q14 earnings, flat y/y</t>
        </r>
      </text>
    </comment>
    <comment ref="AE138" authorId="7">
      <text>
        <r>
          <rPr>
            <b/>
            <sz val="9"/>
            <color indexed="81"/>
            <rFont val="Tahoma"/>
            <family val="2"/>
          </rPr>
          <t>Allen, Thomas (Research):</t>
        </r>
        <r>
          <rPr>
            <sz val="9"/>
            <color indexed="81"/>
            <rFont val="Tahoma"/>
            <family val="2"/>
          </rPr>
          <t xml:space="preserve">
2Q16: $240-250m
1Q16: $240-250m</t>
        </r>
      </text>
    </comment>
    <comment ref="AJ138" authorId="0">
      <text>
        <r>
          <rPr>
            <b/>
            <sz val="9"/>
            <color indexed="81"/>
            <rFont val="Tahoma"/>
            <family val="2"/>
          </rPr>
          <t>Savino, Mark (Research):</t>
        </r>
        <r>
          <rPr>
            <sz val="9"/>
            <color indexed="81"/>
            <rFont val="Tahoma"/>
            <family val="2"/>
          </rPr>
          <t xml:space="preserve">
Guided $240-250m, but mgmt said it should be comparable to 2016</t>
        </r>
      </text>
    </comment>
    <comment ref="A154" authorId="3">
      <text>
        <r>
          <rPr>
            <sz val="8"/>
            <color indexed="81"/>
            <rFont val="Tahoma"/>
            <family val="2"/>
          </rPr>
          <t xml:space="preserve">Not reported. Hence derived it as: ("Interest expense reported in IS - Interest paid)
</t>
        </r>
      </text>
    </comment>
    <comment ref="E154" authorId="3">
      <text>
        <r>
          <rPr>
            <sz val="8"/>
            <color indexed="81"/>
            <rFont val="Tahoma"/>
            <family val="2"/>
          </rPr>
          <t>Cash Interest expense: $686.0m
Source: Pg F-51, S-1 Statement
Source link: http://www.sec.gov/Archives/edgar/data/1585689/000119312513403840/d593452ds1a.htm</t>
        </r>
      </text>
    </comment>
    <comment ref="F154" authorId="3">
      <text>
        <r>
          <rPr>
            <sz val="8"/>
            <color indexed="81"/>
            <rFont val="Tahoma"/>
            <family val="2"/>
          </rPr>
          <t>Cash Interest expense: $470.0m
Source: Pg F-51, S-1 Statement
Source link: http://www.sec.gov/Archives/edgar/data/1585689/000119312513403840/d593452ds1a.htm</t>
        </r>
      </text>
    </comment>
    <comment ref="K154" authorId="3">
      <text>
        <r>
          <rPr>
            <sz val="8"/>
            <color indexed="81"/>
            <rFont val="Tahoma"/>
            <family val="2"/>
          </rPr>
          <t>Cash Interest expense: $486.0m
Source: Pg F-51, S-1 Statement
Source link: http://www.sec.gov/Archives/edgar/data/1585689/000119312513403840/d593452ds1a.htm</t>
        </r>
      </text>
    </comment>
    <comment ref="P154" authorId="8">
      <text>
        <r>
          <rPr>
            <b/>
            <sz val="8"/>
            <color indexed="81"/>
            <rFont val="Tahoma"/>
            <family val="2"/>
          </rPr>
          <t>thallen:</t>
        </r>
        <r>
          <rPr>
            <sz val="8"/>
            <color indexed="81"/>
            <rFont val="Tahoma"/>
            <family val="2"/>
          </rPr>
          <t xml:space="preserve">
Per mgmt, $65-70m going fwd
Big refi in 2010 amortization slowed so went down</t>
        </r>
      </text>
    </comment>
    <comment ref="U154" authorId="10">
      <text>
        <r>
          <rPr>
            <b/>
            <sz val="9"/>
            <color indexed="81"/>
            <rFont val="Tahoma"/>
            <family val="2"/>
          </rPr>
          <t>Slattery, Jill N (Research):</t>
        </r>
        <r>
          <rPr>
            <sz val="9"/>
            <color indexed="81"/>
            <rFont val="Tahoma"/>
            <family val="2"/>
          </rPr>
          <t xml:space="preserve">
add back of deferred financing cost amortization included in interest expense
Per mgmt, $65-70m going fwd
(~$30m higher than 2013)</t>
        </r>
      </text>
    </comment>
    <comment ref="Z154" authorId="10">
      <text>
        <r>
          <rPr>
            <b/>
            <sz val="9"/>
            <color indexed="81"/>
            <rFont val="Tahoma"/>
            <family val="2"/>
          </rPr>
          <t>Slattery, Jill N (Research):</t>
        </r>
        <r>
          <rPr>
            <sz val="9"/>
            <color indexed="81"/>
            <rFont val="Tahoma"/>
            <family val="2"/>
          </rPr>
          <t xml:space="preserve">
add back of deferred financing cost amortization included in interest expense
Per mgmt, $65-70m going fwd
(~$30m higher than 2013)</t>
        </r>
      </text>
    </comment>
    <comment ref="A159" authorId="3">
      <text>
        <r>
          <rPr>
            <sz val="8"/>
            <color indexed="81"/>
            <rFont val="Tahoma"/>
            <family val="2"/>
          </rPr>
          <t xml:space="preserve">Hilton does not report "Capex" separately into "Maintenance" and "Growth" break-up. Hence, to arrive at FCF, we have a single line in this row.
</t>
        </r>
      </text>
    </comment>
    <comment ref="Q170" authorId="8">
      <text>
        <r>
          <rPr>
            <b/>
            <sz val="8"/>
            <color indexed="81"/>
            <rFont val="Tahoma"/>
            <family val="2"/>
          </rPr>
          <t>thallen:</t>
        </r>
        <r>
          <rPr>
            <sz val="8"/>
            <color indexed="81"/>
            <rFont val="Tahoma"/>
            <family val="2"/>
          </rPr>
          <t xml:space="preserve">
Timeshare points sale and reimbursement to Amex / Citi</t>
        </r>
      </text>
    </comment>
    <comment ref="R170" authorId="8">
      <text>
        <r>
          <rPr>
            <b/>
            <sz val="8"/>
            <color indexed="81"/>
            <rFont val="Tahoma"/>
            <family val="2"/>
          </rPr>
          <t>thallen:</t>
        </r>
        <r>
          <rPr>
            <sz val="8"/>
            <color indexed="81"/>
            <rFont val="Tahoma"/>
            <family val="2"/>
          </rPr>
          <t xml:space="preserve">
Timeshare points sale and reimbursement to Amex / Citi</t>
        </r>
      </text>
    </comment>
    <comment ref="S170" authorId="8">
      <text>
        <r>
          <rPr>
            <b/>
            <sz val="8"/>
            <color indexed="81"/>
            <rFont val="Tahoma"/>
            <family val="2"/>
          </rPr>
          <t>thallen:</t>
        </r>
        <r>
          <rPr>
            <sz val="8"/>
            <color indexed="81"/>
            <rFont val="Tahoma"/>
            <family val="2"/>
          </rPr>
          <t xml:space="preserve">
Timeshare points sale and reimbursement to Amex / Citi</t>
        </r>
      </text>
    </comment>
    <comment ref="T170" authorId="8">
      <text>
        <r>
          <rPr>
            <b/>
            <sz val="8"/>
            <color indexed="81"/>
            <rFont val="Tahoma"/>
            <family val="2"/>
          </rPr>
          <t>thallen:</t>
        </r>
        <r>
          <rPr>
            <sz val="8"/>
            <color indexed="81"/>
            <rFont val="Tahoma"/>
            <family val="2"/>
          </rPr>
          <t xml:space="preserve">
Timeshare points sale and reimbursement to Amex / Citi</t>
        </r>
      </text>
    </comment>
    <comment ref="U170" authorId="8">
      <text>
        <r>
          <rPr>
            <b/>
            <sz val="8"/>
            <color indexed="81"/>
            <rFont val="Tahoma"/>
            <family val="2"/>
          </rPr>
          <t>thallen:</t>
        </r>
        <r>
          <rPr>
            <sz val="8"/>
            <color indexed="81"/>
            <rFont val="Tahoma"/>
            <family val="2"/>
          </rPr>
          <t xml:space="preserve">
Timeshare points sale and reimbursement to Amex / Citi</t>
        </r>
      </text>
    </comment>
    <comment ref="Z170" authorId="8">
      <text>
        <r>
          <rPr>
            <b/>
            <sz val="8"/>
            <color indexed="81"/>
            <rFont val="Tahoma"/>
            <family val="2"/>
          </rPr>
          <t>thallen:</t>
        </r>
        <r>
          <rPr>
            <sz val="8"/>
            <color indexed="81"/>
            <rFont val="Tahoma"/>
            <family val="2"/>
          </rPr>
          <t xml:space="preserve">
Timeshare points sale and reimbursement to Amex / Citi</t>
        </r>
      </text>
    </comment>
    <comment ref="AE170" authorId="8">
      <text>
        <r>
          <rPr>
            <b/>
            <sz val="8"/>
            <color indexed="81"/>
            <rFont val="Tahoma"/>
            <family val="2"/>
          </rPr>
          <t>thallen:</t>
        </r>
        <r>
          <rPr>
            <sz val="8"/>
            <color indexed="81"/>
            <rFont val="Tahoma"/>
            <family val="2"/>
          </rPr>
          <t xml:space="preserve">
Timeshare points sale and reimbursement to Amex / Citi</t>
        </r>
      </text>
    </comment>
    <comment ref="R188" authorId="8">
      <text>
        <r>
          <rPr>
            <b/>
            <sz val="8"/>
            <color indexed="81"/>
            <rFont val="Tahoma"/>
            <family val="2"/>
          </rPr>
          <t>thallen:</t>
        </r>
        <r>
          <rPr>
            <sz val="8"/>
            <color indexed="81"/>
            <rFont val="Tahoma"/>
            <family val="2"/>
          </rPr>
          <t xml:space="preserve">
Waldorf Amsterdam opening</t>
        </r>
      </text>
    </comment>
    <comment ref="S188" authorId="7">
      <text>
        <r>
          <rPr>
            <b/>
            <sz val="9"/>
            <color indexed="81"/>
            <rFont val="Tahoma"/>
            <family val="2"/>
          </rPr>
          <t>Allen, Thomas (Research):</t>
        </r>
        <r>
          <rPr>
            <sz val="9"/>
            <color indexed="81"/>
            <rFont val="Tahoma"/>
            <family val="2"/>
          </rPr>
          <t xml:space="preserve">
Consolidated 4 Felcor hotels out of JV, got out of 5 hotels</t>
        </r>
      </text>
    </comment>
    <comment ref="V188" authorId="7">
      <text>
        <r>
          <rPr>
            <b/>
            <sz val="9"/>
            <color indexed="81"/>
            <rFont val="Tahoma"/>
            <family val="2"/>
          </rPr>
          <t>Allen, Thomas (Research):</t>
        </r>
        <r>
          <rPr>
            <sz val="9"/>
            <color indexed="81"/>
            <rFont val="Tahoma"/>
            <family val="2"/>
          </rPr>
          <t xml:space="preserve">
Addition of the Hilton Orlando Bonnet Creek, Waldorf Astoria Orlando, The Reach in Key West, Casa Marina in Key West, and Parc 55 in SF using the proceeds from the Waldorf sale
$1.95B sale of Waldorf to Aanbang, ann. 10/6, closed in Feb. TTM EBITDA $61m, post-mgmt fee</t>
        </r>
      </text>
    </comment>
    <comment ref="W188" authorId="7">
      <text>
        <r>
          <rPr>
            <b/>
            <sz val="9"/>
            <color indexed="81"/>
            <rFont val="Tahoma"/>
            <family val="2"/>
          </rPr>
          <t>Allen, Thomas (Research):</t>
        </r>
        <r>
          <rPr>
            <sz val="9"/>
            <color indexed="81"/>
            <rFont val="Tahoma"/>
            <family val="2"/>
          </rPr>
          <t xml:space="preserve">
Purchase of  the Cypress Hotel Cupertino, converting to a Curio</t>
        </r>
      </text>
    </comment>
    <comment ref="X188" authorId="7">
      <text>
        <r>
          <rPr>
            <b/>
            <sz val="9"/>
            <color indexed="81"/>
            <rFont val="Tahoma"/>
            <family val="2"/>
          </rPr>
          <t>Allen, Thomas (Research):</t>
        </r>
        <r>
          <rPr>
            <sz val="9"/>
            <color indexed="81"/>
            <rFont val="Tahoma"/>
            <family val="2"/>
          </rPr>
          <t xml:space="preserve">
Sale of Hilton Sydney</t>
        </r>
      </text>
    </comment>
    <comment ref="Z188" authorId="7">
      <text>
        <r>
          <rPr>
            <b/>
            <sz val="9"/>
            <color indexed="81"/>
            <rFont val="Tahoma"/>
            <family val="2"/>
          </rPr>
          <t>Allen, Thomas (Research):</t>
        </r>
        <r>
          <rPr>
            <sz val="9"/>
            <color indexed="81"/>
            <rFont val="Tahoma"/>
            <family val="2"/>
          </rPr>
          <t xml:space="preserve">
Use of $1.95B 1031-exchange</t>
        </r>
      </text>
    </comment>
    <comment ref="AA188" authorId="7">
      <text>
        <r>
          <rPr>
            <b/>
            <sz val="9"/>
            <color indexed="81"/>
            <rFont val="Tahoma"/>
            <family val="2"/>
          </rPr>
          <t>Allen, Thomas (Research):</t>
        </r>
        <r>
          <rPr>
            <sz val="9"/>
            <color indexed="81"/>
            <rFont val="Tahoma"/>
            <family val="2"/>
          </rPr>
          <t xml:space="preserve">
1) An international leased hotel dropped off, not material.
2) The other property that dropped off from our table was actually a management company of a condo that we have ownership.  We still have ownership in it, but determined this quarter that it's not a hotel so shouldn't be reflected in that table or our counts for that segment. Operating results for that management company flows through other.
</t>
        </r>
      </text>
    </comment>
    <comment ref="N208" authorId="8">
      <text>
        <r>
          <rPr>
            <b/>
            <sz val="8"/>
            <color indexed="81"/>
            <rFont val="Tahoma"/>
            <family val="2"/>
          </rPr>
          <t>thallen:</t>
        </r>
        <r>
          <rPr>
            <sz val="8"/>
            <color indexed="81"/>
            <rFont val="Tahoma"/>
            <family val="2"/>
          </rPr>
          <t xml:space="preserve">
London Olympics tough comp impact</t>
        </r>
      </text>
    </comment>
    <comment ref="Q208" authorId="8">
      <text>
        <r>
          <rPr>
            <b/>
            <sz val="8"/>
            <color indexed="81"/>
            <rFont val="Tahoma"/>
            <family val="2"/>
          </rPr>
          <t>thallen:</t>
        </r>
        <r>
          <rPr>
            <sz val="8"/>
            <color indexed="81"/>
            <rFont val="Tahoma"/>
            <family val="2"/>
          </rPr>
          <t xml:space="preserve">
Expect group to recover slower, impactful to Hilton owned revenue given big 8's high group exposure</t>
        </r>
      </text>
    </comment>
    <comment ref="R208" authorId="8">
      <text>
        <r>
          <rPr>
            <b/>
            <sz val="8"/>
            <color indexed="81"/>
            <rFont val="Tahoma"/>
            <family val="2"/>
          </rPr>
          <t>thallen:</t>
        </r>
        <r>
          <rPr>
            <sz val="8"/>
            <color indexed="81"/>
            <rFont val="Tahoma"/>
            <family val="2"/>
          </rPr>
          <t xml:space="preserve">
Expect group to recover slower, impactful to Hilton owned revenue given big 8's high group exposure</t>
        </r>
      </text>
    </comment>
    <comment ref="S208" authorId="8">
      <text>
        <r>
          <rPr>
            <b/>
            <sz val="8"/>
            <color indexed="81"/>
            <rFont val="Tahoma"/>
            <family val="2"/>
          </rPr>
          <t>thallen:</t>
        </r>
        <r>
          <rPr>
            <sz val="8"/>
            <color indexed="81"/>
            <rFont val="Tahoma"/>
            <family val="2"/>
          </rPr>
          <t xml:space="preserve">
Expect group to recover slower, impactful to Hilton owned revenue given big 8's high group exposure
Also not assuming a strong recovery from MEA in 3Q b/c of uncertainty around regional unrest resolution
Big 8 shows very strong growth in Q3 2014 relative to the rest of the year driven primarily by New Orleans, with RevPAR growth ~40% in the quarter, due to a very weak 2013 Q3 mainly due to high volume of group cancellations at that property.  Ownership in general is higher for Q3 both from the overweight of New Orleans, as well as from our leased estate showing strong Q3 growth in MEA driven primarily from weak comps from disruptions in Q3 2013 (Egypt). 
</t>
        </r>
      </text>
    </comment>
    <comment ref="T208" authorId="8">
      <text>
        <r>
          <rPr>
            <b/>
            <sz val="8"/>
            <color indexed="81"/>
            <rFont val="Tahoma"/>
            <family val="2"/>
          </rPr>
          <t>thallen:</t>
        </r>
        <r>
          <rPr>
            <sz val="8"/>
            <color indexed="81"/>
            <rFont val="Tahoma"/>
            <family val="2"/>
          </rPr>
          <t xml:space="preserve">
Expect group to recover slower, impactful to Hilton owned revenue given big 8's high group exposure
BUT we expect macro to improve throughout 2014, so biggest benefit 4Q</t>
        </r>
      </text>
    </comment>
    <comment ref="U208" authorId="2">
      <text>
        <r>
          <rPr>
            <b/>
            <sz val="8"/>
            <color indexed="81"/>
            <rFont val="Tahoma"/>
            <family val="2"/>
          </rPr>
          <t>jills:</t>
        </r>
        <r>
          <rPr>
            <sz val="8"/>
            <color indexed="81"/>
            <rFont val="Tahoma"/>
            <family val="2"/>
          </rPr>
          <t xml:space="preserve">
We are slightly below the midpoint of guidance range as owned properties heavily skewed to "group" and we are more cautious on group given our Alphawise survey
Volatility from quarter to quarter most attributable to movement in comp set, SF renovations, and a series of one-time things
</t>
        </r>
      </text>
    </comment>
    <comment ref="AB208" authorId="7">
      <text>
        <r>
          <rPr>
            <b/>
            <sz val="9"/>
            <color indexed="81"/>
            <rFont val="Tahoma"/>
            <family val="2"/>
          </rPr>
          <t>Allen, Thomas (Research):</t>
        </r>
        <r>
          <rPr>
            <sz val="9"/>
            <color indexed="81"/>
            <rFont val="Tahoma"/>
            <family val="2"/>
          </rPr>
          <t xml:space="preserve">
NYC, Chicago, int'l markets negatively impact</t>
        </r>
      </text>
    </comment>
    <comment ref="AG208" authorId="7">
      <text>
        <r>
          <rPr>
            <b/>
            <sz val="9"/>
            <color indexed="81"/>
            <rFont val="Tahoma"/>
            <family val="2"/>
          </rPr>
          <t>Allen, Thomas (Research):</t>
        </r>
        <r>
          <rPr>
            <sz val="9"/>
            <color indexed="81"/>
            <rFont val="Tahoma"/>
            <family val="2"/>
          </rPr>
          <t xml:space="preserve">
London and Japan v. strong</t>
        </r>
      </text>
    </comment>
    <comment ref="S211" authorId="8">
      <text>
        <r>
          <rPr>
            <b/>
            <sz val="8"/>
            <color indexed="81"/>
            <rFont val="Tahoma"/>
            <family val="2"/>
          </rPr>
          <t>thallen:</t>
        </r>
        <r>
          <rPr>
            <sz val="8"/>
            <color indexed="81"/>
            <rFont val="Tahoma"/>
            <family val="2"/>
          </rPr>
          <t xml:space="preserve">
Big 8 shows very strong growth in Q3 2014 relative to the rest of the year driven primarily by New Orleans, with RevPAR growth ~40% in the quarter, due to a very weak 2013 Q3 mainly due to high volume of group cancellations at that property.  Ownership in general is higher for Q3 both from the overweight of New Orleans, as well as from our leased estate showing strong Q3 growth in MEA driven primarily from weak comps from disruptions in Q3 2013 (Egypt). 
</t>
        </r>
      </text>
    </comment>
    <comment ref="U211" authorId="2">
      <text>
        <r>
          <rPr>
            <sz val="8"/>
            <color indexed="81"/>
            <rFont val="Tahoma"/>
            <family val="2"/>
          </rPr>
          <t>(2Q14): 4.5-6.5%
(1Q14): 4.5-6.5%</t>
        </r>
        <r>
          <rPr>
            <b/>
            <sz val="8"/>
            <color indexed="81"/>
            <rFont val="Tahoma"/>
            <family val="2"/>
          </rPr>
          <t xml:space="preserve">
</t>
        </r>
        <r>
          <rPr>
            <sz val="8"/>
            <color indexed="81"/>
            <rFont val="Tahoma"/>
            <family val="2"/>
          </rPr>
          <t xml:space="preserve">
per Nov 2013 Investor Presentation, guidance of 4.5-6.5%, slightly lower than systemwide b/c geographic mix</t>
        </r>
      </text>
    </comment>
    <comment ref="Z211" authorId="7">
      <text>
        <r>
          <rPr>
            <b/>
            <sz val="9"/>
            <color indexed="81"/>
            <rFont val="Tahoma"/>
            <family val="2"/>
          </rPr>
          <t>Guidance:</t>
        </r>
        <r>
          <rPr>
            <sz val="9"/>
            <color indexed="81"/>
            <rFont val="Tahoma"/>
            <family val="2"/>
          </rPr>
          <t xml:space="preserve">
3Q15: 4-6%
2Q15: 4-6%
1Q15: 4-6%
4Q14: 4-6%</t>
        </r>
      </text>
    </comment>
    <comment ref="AE211" authorId="7">
      <text>
        <r>
          <rPr>
            <b/>
            <sz val="9"/>
            <color indexed="81"/>
            <rFont val="Tahoma"/>
            <family val="2"/>
          </rPr>
          <t>Guidance:</t>
        </r>
        <r>
          <rPr>
            <sz val="9"/>
            <color indexed="81"/>
            <rFont val="Tahoma"/>
            <family val="2"/>
          </rPr>
          <t xml:space="preserve">
2Q16: 1-3%
1Q16: 3-5%
4Q15: 3-5%</t>
        </r>
      </text>
    </comment>
    <comment ref="A223" authorId="2">
      <text>
        <r>
          <rPr>
            <b/>
            <sz val="8"/>
            <color indexed="81"/>
            <rFont val="Tahoma"/>
            <family val="2"/>
          </rPr>
          <t>jills:</t>
        </r>
        <r>
          <rPr>
            <sz val="8"/>
            <color indexed="81"/>
            <rFont val="Tahoma"/>
            <family val="2"/>
          </rPr>
          <t xml:space="preserve">
generates 52% of owned EBITDA
includes Hilton Hawaiian Village, Hilton NY, Hilton SF, Hilton New Orleans Riverside, Hilton Chicago, Waldorf Astoria NY, Hilton Waikoloa Village, and Hilton Chicago O'Hare Airport</t>
        </r>
      </text>
    </comment>
    <comment ref="O223" authorId="2">
      <text>
        <r>
          <rPr>
            <b/>
            <sz val="8"/>
            <color indexed="81"/>
            <rFont val="Tahoma"/>
            <family val="2"/>
          </rPr>
          <t>jills:</t>
        </r>
        <r>
          <rPr>
            <sz val="8"/>
            <color indexed="81"/>
            <rFont val="Tahoma"/>
            <family val="2"/>
          </rPr>
          <t xml:space="preserve">
guidance +8.3%</t>
        </r>
      </text>
    </comment>
    <comment ref="P223" authorId="3">
      <text>
        <r>
          <rPr>
            <sz val="8"/>
            <color indexed="81"/>
            <rFont val="Tahoma"/>
            <family val="2"/>
          </rPr>
          <t xml:space="preserve">Source: Pg 04, 
Earnings transcript, 4Q13
</t>
        </r>
      </text>
    </comment>
    <comment ref="Q223" authorId="2">
      <text>
        <r>
          <rPr>
            <sz val="8"/>
            <color indexed="81"/>
            <rFont val="Tahoma"/>
            <family val="2"/>
          </rPr>
          <t xml:space="preserve">
guidance +3.2%</t>
        </r>
      </text>
    </comment>
    <comment ref="R223" authorId="2">
      <text>
        <r>
          <rPr>
            <b/>
            <sz val="8"/>
            <color indexed="81"/>
            <rFont val="Tahoma"/>
            <family val="2"/>
          </rPr>
          <t>jills:</t>
        </r>
        <r>
          <rPr>
            <sz val="8"/>
            <color indexed="81"/>
            <rFont val="Tahoma"/>
            <family val="2"/>
          </rPr>
          <t xml:space="preserve">
guidance +8.0%</t>
        </r>
      </text>
    </comment>
    <comment ref="S223" authorId="2">
      <text>
        <r>
          <rPr>
            <b/>
            <sz val="8"/>
            <color indexed="81"/>
            <rFont val="Tahoma"/>
            <family val="2"/>
          </rPr>
          <t>jills:</t>
        </r>
        <r>
          <rPr>
            <sz val="8"/>
            <color indexed="81"/>
            <rFont val="Tahoma"/>
            <family val="2"/>
          </rPr>
          <t xml:space="preserve">
guidance +10.6%
SF was excluded in year ago period</t>
        </r>
      </text>
    </comment>
    <comment ref="T223" authorId="2">
      <text>
        <r>
          <rPr>
            <b/>
            <sz val="8"/>
            <color indexed="81"/>
            <rFont val="Tahoma"/>
            <family val="2"/>
          </rPr>
          <t>jills:</t>
        </r>
        <r>
          <rPr>
            <sz val="8"/>
            <color indexed="81"/>
            <rFont val="Tahoma"/>
            <family val="2"/>
          </rPr>
          <t xml:space="preserve">
guidance +6.8%</t>
        </r>
      </text>
    </comment>
    <comment ref="U223" authorId="8">
      <text>
        <r>
          <rPr>
            <b/>
            <sz val="8"/>
            <color indexed="81"/>
            <rFont val="Tahoma"/>
            <family val="2"/>
          </rPr>
          <t>thallen:</t>
        </r>
        <r>
          <rPr>
            <sz val="8"/>
            <color indexed="81"/>
            <rFont val="Tahoma"/>
            <family val="2"/>
          </rPr>
          <t xml:space="preserve">
Per Nov '13 analyst meeting , Big 8 group booking pace for 2014 +14% (vs. total company +10%), revpar guidance 6-8%</t>
        </r>
      </text>
    </comment>
    <comment ref="Z223" authorId="2">
      <text>
        <r>
          <rPr>
            <b/>
            <sz val="8"/>
            <color indexed="81"/>
            <rFont val="Tahoma"/>
            <family val="2"/>
          </rPr>
          <t>jills:</t>
        </r>
        <r>
          <rPr>
            <sz val="8"/>
            <color indexed="81"/>
            <rFont val="Tahoma"/>
            <family val="2"/>
          </rPr>
          <t xml:space="preserve">
owned RevPAR guidance of +4-6%, assume big 8 outperform</t>
        </r>
      </text>
    </comment>
    <comment ref="T241" authorId="7">
      <text>
        <r>
          <rPr>
            <b/>
            <sz val="9"/>
            <color indexed="81"/>
            <rFont val="Tahoma"/>
            <family val="2"/>
          </rPr>
          <t>Allen, Thomas (Research):</t>
        </r>
        <r>
          <rPr>
            <sz val="9"/>
            <color indexed="81"/>
            <rFont val="Tahoma"/>
            <family val="2"/>
          </rPr>
          <t xml:space="preserve">
FX should be a headwind giving strengthening $</t>
        </r>
      </text>
    </comment>
    <comment ref="Z241" authorId="10">
      <text>
        <r>
          <rPr>
            <b/>
            <sz val="9"/>
            <color indexed="81"/>
            <rFont val="Tahoma"/>
            <family val="2"/>
          </rPr>
          <t>thallen:</t>
        </r>
        <r>
          <rPr>
            <sz val="9"/>
            <color indexed="81"/>
            <rFont val="Tahoma"/>
            <family val="2"/>
          </rPr>
          <t xml:space="preserve">
Benefit from converting Waldorf revs to higher grossing revs offset by FX headwinds. Net-net, ~$10m upside</t>
        </r>
      </text>
    </comment>
    <comment ref="AC241" authorId="7">
      <text>
        <r>
          <rPr>
            <b/>
            <sz val="9"/>
            <color indexed="81"/>
            <rFont val="Tahoma"/>
            <family val="2"/>
          </rPr>
          <t>Allen, Thomas (Research):</t>
        </r>
        <r>
          <rPr>
            <sz val="9"/>
            <color indexed="81"/>
            <rFont val="Tahoma"/>
            <family val="2"/>
          </rPr>
          <t xml:space="preserve">
FX</t>
        </r>
      </text>
    </comment>
    <comment ref="AD241" authorId="7">
      <text>
        <r>
          <rPr>
            <b/>
            <sz val="9"/>
            <color indexed="81"/>
            <rFont val="Tahoma"/>
            <family val="2"/>
          </rPr>
          <t>Allen, Thomas (Research):</t>
        </r>
        <r>
          <rPr>
            <sz val="9"/>
            <color indexed="81"/>
            <rFont val="Tahoma"/>
            <family val="2"/>
          </rPr>
          <t xml:space="preserve">
FX</t>
        </r>
      </text>
    </comment>
    <comment ref="AE241" authorId="10">
      <text>
        <r>
          <rPr>
            <b/>
            <sz val="9"/>
            <color indexed="81"/>
            <rFont val="Tahoma"/>
            <family val="2"/>
          </rPr>
          <t>thallen:</t>
        </r>
        <r>
          <rPr>
            <sz val="9"/>
            <color indexed="81"/>
            <rFont val="Tahoma"/>
            <family val="2"/>
          </rPr>
          <t xml:space="preserve">
assumes growth outpaces room rev growth given expected group recovery
+
Benefit from converting Waldorf revs to higher grossing revs
+ 
Adjust for 2 hotels that left in 1Q that a) was leased, and b) was incl. revs in other fees</t>
        </r>
      </text>
    </comment>
    <comment ref="U242" authorId="2">
      <text>
        <r>
          <rPr>
            <b/>
            <sz val="8"/>
            <color indexed="81"/>
            <rFont val="Tahoma"/>
            <family val="2"/>
          </rPr>
          <t>jills:</t>
        </r>
        <r>
          <rPr>
            <sz val="8"/>
            <color indexed="81"/>
            <rFont val="Tahoma"/>
            <family val="2"/>
          </rPr>
          <t xml:space="preserve">
includes FX headwinds</t>
        </r>
      </text>
    </comment>
    <comment ref="Z242" authorId="7">
      <text>
        <r>
          <rPr>
            <b/>
            <sz val="9"/>
            <color indexed="81"/>
            <rFont val="Tahoma"/>
            <family val="2"/>
          </rPr>
          <t>Allen, Thomas (Research):</t>
        </r>
        <r>
          <rPr>
            <sz val="9"/>
            <color indexed="81"/>
            <rFont val="Tahoma"/>
            <family val="2"/>
          </rPr>
          <t xml:space="preserve">
Benefit from sale of Waldorf Astoria and re-deployment into higher grossing properties in e.g. Orlando</t>
        </r>
      </text>
    </comment>
    <comment ref="V245" authorId="7">
      <text>
        <r>
          <rPr>
            <b/>
            <sz val="9"/>
            <color indexed="81"/>
            <rFont val="Tahoma"/>
            <family val="2"/>
          </rPr>
          <t>Allen, Thomas (Research):</t>
        </r>
        <r>
          <rPr>
            <sz val="9"/>
            <color indexed="81"/>
            <rFont val="Tahoma"/>
            <family val="2"/>
          </rPr>
          <t xml:space="preserve">
Impacted by owning the Waldorf until Feb (loses money seasonally) then not benefitting from other properties til mid-Feb</t>
        </r>
      </text>
    </comment>
    <comment ref="U249" authorId="2">
      <text>
        <r>
          <rPr>
            <b/>
            <sz val="8"/>
            <color indexed="81"/>
            <rFont val="Tahoma"/>
            <family val="2"/>
          </rPr>
          <t>jills:</t>
        </r>
        <r>
          <rPr>
            <sz val="8"/>
            <color indexed="81"/>
            <rFont val="Tahoma"/>
            <family val="2"/>
          </rPr>
          <t xml:space="preserve">
assumes $60m FX headwinds on owned side, per conversation w mgmt</t>
        </r>
      </text>
    </comment>
    <comment ref="X256" authorId="5">
      <text>
        <r>
          <rPr>
            <b/>
            <sz val="9"/>
            <color indexed="81"/>
            <rFont val="Tahoma"/>
            <family val="2"/>
          </rPr>
          <t>FX Impact:</t>
        </r>
        <r>
          <rPr>
            <sz val="9"/>
            <color indexed="81"/>
            <rFont val="Tahoma"/>
            <family val="2"/>
          </rPr>
          <t xml:space="preserve">
2Q15 FX impact came in better than expected. 
Of the $60m impact for 2015, half of that was realized in 1H.  
Assume that the $30m is equally distributed between 3Q and 4Q. 
</t>
        </r>
      </text>
    </comment>
    <comment ref="Y256" authorId="5">
      <text>
        <r>
          <rPr>
            <b/>
            <sz val="9"/>
            <color indexed="81"/>
            <rFont val="Tahoma"/>
            <family val="2"/>
          </rPr>
          <t>FX Impact:</t>
        </r>
        <r>
          <rPr>
            <sz val="9"/>
            <color indexed="81"/>
            <rFont val="Tahoma"/>
            <family val="2"/>
          </rPr>
          <t xml:space="preserve">
2Q15 FX impact came in better than expected. 
Of the $60m impact for 2015, half of that was realized in 1H.  
Assume that the $30m is equally distributed between 3Q and 4Q. 
</t>
        </r>
      </text>
    </comment>
    <comment ref="L259" authorId="8">
      <text>
        <r>
          <rPr>
            <b/>
            <sz val="8"/>
            <color indexed="81"/>
            <rFont val="Tahoma"/>
            <family val="2"/>
          </rPr>
          <t>thallen:</t>
        </r>
        <r>
          <rPr>
            <sz val="8"/>
            <color indexed="81"/>
            <rFont val="Tahoma"/>
            <family val="2"/>
          </rPr>
          <t xml:space="preserve">
1x benefit from Dundee lease of $11m in 1Q13</t>
        </r>
      </text>
    </comment>
    <comment ref="Q259" authorId="8">
      <text>
        <r>
          <rPr>
            <b/>
            <sz val="8"/>
            <color indexed="81"/>
            <rFont val="Tahoma"/>
            <family val="2"/>
          </rPr>
          <t>thallen:</t>
        </r>
        <r>
          <rPr>
            <sz val="8"/>
            <color indexed="81"/>
            <rFont val="Tahoma"/>
            <family val="2"/>
          </rPr>
          <t xml:space="preserve">
1x benefit from Dundee lease of $11m in 1Q13</t>
        </r>
      </text>
    </comment>
    <comment ref="AG259" authorId="0">
      <text>
        <r>
          <rPr>
            <b/>
            <sz val="9"/>
            <color indexed="81"/>
            <rFont val="Tahoma"/>
            <family val="2"/>
          </rPr>
          <t>Savino, Mark (Research):</t>
        </r>
        <r>
          <rPr>
            <sz val="9"/>
            <color indexed="81"/>
            <rFont val="Tahoma"/>
            <family val="2"/>
          </rPr>
          <t xml:space="preserve">
London and Japan outperformance helped by $5m</t>
        </r>
      </text>
    </comment>
    <comment ref="P261" authorId="2">
      <text>
        <r>
          <rPr>
            <b/>
            <sz val="8"/>
            <color indexed="81"/>
            <rFont val="Tahoma"/>
            <family val="2"/>
          </rPr>
          <t>jills:</t>
        </r>
        <r>
          <rPr>
            <sz val="8"/>
            <color indexed="81"/>
            <rFont val="Tahoma"/>
            <family val="2"/>
          </rPr>
          <t xml:space="preserve">
guidance ~300 bps mgn increase</t>
        </r>
      </text>
    </comment>
    <comment ref="AE261" authorId="7">
      <text>
        <r>
          <rPr>
            <b/>
            <sz val="9"/>
            <color indexed="81"/>
            <rFont val="Tahoma"/>
            <family val="2"/>
          </rPr>
          <t>Allen, Thomas (Research):</t>
        </r>
        <r>
          <rPr>
            <sz val="9"/>
            <color indexed="81"/>
            <rFont val="Tahoma"/>
            <family val="2"/>
          </rPr>
          <t xml:space="preserve">
EBITDA to decrease by $25m in 2016 due to FX headwinds, divided equally between owned and M&amp;F.
</t>
        </r>
      </text>
    </comment>
    <comment ref="AF261" authorId="0">
      <text>
        <r>
          <rPr>
            <b/>
            <sz val="9"/>
            <color indexed="81"/>
            <rFont val="Tahoma"/>
            <family val="2"/>
          </rPr>
          <t>Savino, Mark (Research):</t>
        </r>
        <r>
          <rPr>
            <sz val="9"/>
            <color indexed="81"/>
            <rFont val="Tahoma"/>
            <family val="2"/>
          </rPr>
          <t xml:space="preserve">
Per mgmt, owned/leased margins around 10%</t>
        </r>
      </text>
    </comment>
    <comment ref="AG261" authorId="0">
      <text>
        <r>
          <rPr>
            <b/>
            <sz val="9"/>
            <color indexed="81"/>
            <rFont val="Tahoma"/>
            <family val="2"/>
          </rPr>
          <t>Savino, Mark (Research):</t>
        </r>
        <r>
          <rPr>
            <sz val="9"/>
            <color indexed="81"/>
            <rFont val="Tahoma"/>
            <family val="2"/>
          </rPr>
          <t xml:space="preserve">
2Q17: Japan and London helped by $5m
Per mgmt, owned/leased margins around 10%</t>
        </r>
      </text>
    </comment>
    <comment ref="AH261" authorId="0">
      <text>
        <r>
          <rPr>
            <b/>
            <sz val="9"/>
            <color indexed="81"/>
            <rFont val="Tahoma"/>
            <family val="2"/>
          </rPr>
          <t>Savino, Mark (Research):</t>
        </r>
        <r>
          <rPr>
            <sz val="9"/>
            <color indexed="81"/>
            <rFont val="Tahoma"/>
            <family val="2"/>
          </rPr>
          <t xml:space="preserve">
Per mgmt, owned/leased margins around 10%</t>
        </r>
      </text>
    </comment>
    <comment ref="AI261" authorId="0">
      <text>
        <r>
          <rPr>
            <b/>
            <sz val="9"/>
            <color indexed="81"/>
            <rFont val="Tahoma"/>
            <family val="2"/>
          </rPr>
          <t>Savino, Mark (Research):</t>
        </r>
        <r>
          <rPr>
            <sz val="9"/>
            <color indexed="81"/>
            <rFont val="Tahoma"/>
            <family val="2"/>
          </rPr>
          <t xml:space="preserve">
Per mgmt, owned/leased margins around 10%</t>
        </r>
      </text>
    </comment>
    <comment ref="AJ261" authorId="0">
      <text>
        <r>
          <rPr>
            <b/>
            <sz val="9"/>
            <color indexed="81"/>
            <rFont val="Tahoma"/>
            <family val="2"/>
          </rPr>
          <t>Savino, Mark (Research):</t>
        </r>
        <r>
          <rPr>
            <sz val="9"/>
            <color indexed="81"/>
            <rFont val="Tahoma"/>
            <family val="2"/>
          </rPr>
          <t xml:space="preserve">
Per mgmt, owned/leased margins around 10%</t>
        </r>
      </text>
    </comment>
    <comment ref="AO261" authorId="0">
      <text>
        <r>
          <rPr>
            <b/>
            <sz val="9"/>
            <color indexed="81"/>
            <rFont val="Tahoma"/>
            <family val="2"/>
          </rPr>
          <t>Savino, Mark (Research):</t>
        </r>
        <r>
          <rPr>
            <sz val="9"/>
            <color indexed="81"/>
            <rFont val="Tahoma"/>
            <family val="2"/>
          </rPr>
          <t xml:space="preserve">
Per investor day, need 3-4% RevPAR growth to maintain margins</t>
        </r>
      </text>
    </comment>
    <comment ref="A263" authorId="2">
      <text>
        <r>
          <rPr>
            <b/>
            <sz val="8"/>
            <color indexed="81"/>
            <rFont val="Tahoma"/>
            <family val="2"/>
          </rPr>
          <t>jills:</t>
        </r>
        <r>
          <rPr>
            <sz val="8"/>
            <color indexed="81"/>
            <rFont val="Tahoma"/>
            <family val="2"/>
          </rPr>
          <t xml:space="preserve">
add back includes D&amp;A, intersegment revs, FF&amp;E replacement reserve, and unconsolidated JV EBITDA; adjustments also made for HGV rental fee, corporate travel expenses, and laundry</t>
        </r>
      </text>
    </comment>
    <comment ref="O263" authorId="2">
      <text>
        <r>
          <rPr>
            <b/>
            <sz val="8"/>
            <color indexed="81"/>
            <rFont val="Tahoma"/>
            <family val="2"/>
          </rPr>
          <t>jills:</t>
        </r>
        <r>
          <rPr>
            <sz val="8"/>
            <color indexed="81"/>
            <rFont val="Tahoma"/>
            <family val="2"/>
          </rPr>
          <t xml:space="preserve">
lumpiness is largely attributable to some reconciliation, billing for affiliate fees; timing issues, FF&amp;E reserve impact</t>
        </r>
      </text>
    </comment>
    <comment ref="L264" authorId="8">
      <text>
        <r>
          <rPr>
            <b/>
            <sz val="8"/>
            <color indexed="81"/>
            <rFont val="Tahoma"/>
            <family val="2"/>
          </rPr>
          <t>thallen:</t>
        </r>
        <r>
          <rPr>
            <sz val="8"/>
            <color indexed="81"/>
            <rFont val="Tahoma"/>
            <family val="2"/>
          </rPr>
          <t xml:space="preserve">
1x benefit from Dundee lease of $11m in 1Q13</t>
        </r>
      </text>
    </comment>
    <comment ref="Q264" authorId="8">
      <text>
        <r>
          <rPr>
            <b/>
            <sz val="8"/>
            <color indexed="81"/>
            <rFont val="Tahoma"/>
            <family val="2"/>
          </rPr>
          <t>thallen:</t>
        </r>
        <r>
          <rPr>
            <sz val="8"/>
            <color indexed="81"/>
            <rFont val="Tahoma"/>
            <family val="2"/>
          </rPr>
          <t xml:space="preserve">
1x benefit from Dundee lease of $11m in 1Q13</t>
        </r>
      </text>
    </comment>
    <comment ref="AA264" authorId="7">
      <text>
        <r>
          <rPr>
            <b/>
            <sz val="9"/>
            <color indexed="81"/>
            <rFont val="Tahoma"/>
            <family val="2"/>
          </rPr>
          <t>Allen, Thomas (Research):</t>
        </r>
        <r>
          <rPr>
            <sz val="9"/>
            <color indexed="81"/>
            <rFont val="Tahoma"/>
            <family val="2"/>
          </rPr>
          <t xml:space="preserve">
$7m drag in 1H16 from Hilton Sydney sale in 2Q15
Offset in 1Q by a few $mm benefit from Waldorf Astoria / Orlando, etc. properties 1031 exchange</t>
        </r>
      </text>
    </comment>
    <comment ref="AJ264" authorId="0">
      <text>
        <r>
          <rPr>
            <b/>
            <sz val="9"/>
            <color indexed="81"/>
            <rFont val="Tahoma"/>
            <family val="2"/>
          </rPr>
          <t>Savino, Mark (Research):</t>
        </r>
        <r>
          <rPr>
            <sz val="9"/>
            <color indexed="81"/>
            <rFont val="Tahoma"/>
            <family val="2"/>
          </rPr>
          <t xml:space="preserve">
4Q16: per mgmt, $10m FX headwind y/y</t>
        </r>
      </text>
    </comment>
    <comment ref="P265" authorId="2">
      <text>
        <r>
          <rPr>
            <b/>
            <sz val="8"/>
            <color indexed="81"/>
            <rFont val="Tahoma"/>
            <family val="2"/>
          </rPr>
          <t>jills:</t>
        </r>
        <r>
          <rPr>
            <sz val="8"/>
            <color indexed="81"/>
            <rFont val="Tahoma"/>
            <family val="2"/>
          </rPr>
          <t xml:space="preserve">
guidance calls for ~17% growth</t>
        </r>
      </text>
    </comment>
    <comment ref="O266" authorId="2">
      <text>
        <r>
          <rPr>
            <b/>
            <sz val="8"/>
            <color indexed="81"/>
            <rFont val="Tahoma"/>
            <family val="2"/>
          </rPr>
          <t>jills:</t>
        </r>
        <r>
          <rPr>
            <sz val="8"/>
            <color indexed="81"/>
            <rFont val="Tahoma"/>
            <family val="2"/>
          </rPr>
          <t xml:space="preserve">
guidance 24.5%</t>
        </r>
      </text>
    </comment>
    <comment ref="P266" authorId="2">
      <text>
        <r>
          <rPr>
            <b/>
            <sz val="8"/>
            <color indexed="81"/>
            <rFont val="Tahoma"/>
            <family val="2"/>
          </rPr>
          <t>jills:</t>
        </r>
        <r>
          <rPr>
            <sz val="8"/>
            <color indexed="81"/>
            <rFont val="Tahoma"/>
            <family val="2"/>
          </rPr>
          <t xml:space="preserve">
guidance 22.9%</t>
        </r>
      </text>
    </comment>
    <comment ref="U266" authorId="2">
      <text>
        <r>
          <rPr>
            <b/>
            <sz val="8"/>
            <color indexed="81"/>
            <rFont val="Tahoma"/>
            <family val="2"/>
          </rPr>
          <t>jills:</t>
        </r>
        <r>
          <rPr>
            <sz val="8"/>
            <color indexed="81"/>
            <rFont val="Tahoma"/>
            <family val="2"/>
          </rPr>
          <t xml:space="preserve">
guidance 23.8% (growth of 80-100bps)</t>
        </r>
      </text>
    </comment>
    <comment ref="AA266" authorId="7">
      <text>
        <r>
          <rPr>
            <b/>
            <sz val="9"/>
            <color indexed="81"/>
            <rFont val="Tahoma"/>
            <family val="2"/>
          </rPr>
          <t>Allen, Thomas (Research):</t>
        </r>
        <r>
          <rPr>
            <sz val="9"/>
            <color indexed="81"/>
            <rFont val="Tahoma"/>
            <family val="2"/>
          </rPr>
          <t xml:space="preserve">
Wage inflation negatively impacting through 1H16</t>
        </r>
      </text>
    </comment>
    <comment ref="AB266" authorId="7">
      <text>
        <r>
          <rPr>
            <b/>
            <sz val="9"/>
            <color indexed="81"/>
            <rFont val="Tahoma"/>
            <family val="2"/>
          </rPr>
          <t>Allen, Thomas (Research):</t>
        </r>
        <r>
          <rPr>
            <sz val="9"/>
            <color indexed="81"/>
            <rFont val="Tahoma"/>
            <family val="2"/>
          </rPr>
          <t xml:space="preserve">
Wage inflation negatively impacting through 1H16</t>
        </r>
      </text>
    </comment>
    <comment ref="AE266" authorId="7">
      <text>
        <r>
          <rPr>
            <b/>
            <sz val="9"/>
            <color indexed="81"/>
            <rFont val="Tahoma"/>
            <family val="2"/>
          </rPr>
          <t>Allen, Thomas (Research):</t>
        </r>
        <r>
          <rPr>
            <sz val="9"/>
            <color indexed="81"/>
            <rFont val="Tahoma"/>
            <family val="2"/>
          </rPr>
          <t xml:space="preserve">
Guidance: 
2Q16: +40bps</t>
        </r>
      </text>
    </comment>
    <comment ref="Q268" authorId="7">
      <text>
        <r>
          <rPr>
            <b/>
            <sz val="9"/>
            <color indexed="81"/>
            <rFont val="Tahoma"/>
            <family val="2"/>
          </rPr>
          <t>Allen, Thomas (Research):</t>
        </r>
        <r>
          <rPr>
            <sz val="9"/>
            <color indexed="81"/>
            <rFont val="Tahoma"/>
            <family val="2"/>
          </rPr>
          <t xml:space="preserve">
Pre-IPO guidance</t>
        </r>
      </text>
    </comment>
    <comment ref="R268" authorId="7">
      <text>
        <r>
          <rPr>
            <b/>
            <sz val="9"/>
            <color indexed="81"/>
            <rFont val="Tahoma"/>
            <family val="2"/>
          </rPr>
          <t>Allen, Thomas (Research):</t>
        </r>
        <r>
          <rPr>
            <sz val="9"/>
            <color indexed="81"/>
            <rFont val="Tahoma"/>
            <family val="2"/>
          </rPr>
          <t xml:space="preserve">
Pre-IPO guidance</t>
        </r>
      </text>
    </comment>
    <comment ref="S268" authorId="7">
      <text>
        <r>
          <rPr>
            <b/>
            <sz val="9"/>
            <color indexed="81"/>
            <rFont val="Tahoma"/>
            <family val="2"/>
          </rPr>
          <t>Allen, Thomas (Research):</t>
        </r>
        <r>
          <rPr>
            <sz val="9"/>
            <color indexed="81"/>
            <rFont val="Tahoma"/>
            <family val="2"/>
          </rPr>
          <t xml:space="preserve">
Pre-IPO guidance</t>
        </r>
      </text>
    </comment>
    <comment ref="T268" authorId="7">
      <text>
        <r>
          <rPr>
            <b/>
            <sz val="9"/>
            <color indexed="81"/>
            <rFont val="Tahoma"/>
            <family val="2"/>
          </rPr>
          <t>Allen, Thomas (Research):</t>
        </r>
        <r>
          <rPr>
            <sz val="9"/>
            <color indexed="81"/>
            <rFont val="Tahoma"/>
            <family val="2"/>
          </rPr>
          <t xml:space="preserve">
Pre-IPO guidance</t>
        </r>
      </text>
    </comment>
    <comment ref="U268" authorId="7">
      <text>
        <r>
          <rPr>
            <b/>
            <sz val="9"/>
            <color indexed="81"/>
            <rFont val="Tahoma"/>
            <family val="2"/>
          </rPr>
          <t>Allen, Thomas (Research):</t>
        </r>
        <r>
          <rPr>
            <sz val="9"/>
            <color indexed="81"/>
            <rFont val="Tahoma"/>
            <family val="2"/>
          </rPr>
          <t xml:space="preserve">
Pre-IPO guidance</t>
        </r>
      </text>
    </comment>
    <comment ref="AE268" authorId="0">
      <text>
        <r>
          <rPr>
            <b/>
            <sz val="9"/>
            <color indexed="81"/>
            <rFont val="Tahoma"/>
            <family val="2"/>
          </rPr>
          <t>Savino, Mark (Research):</t>
        </r>
        <r>
          <rPr>
            <sz val="9"/>
            <color indexed="81"/>
            <rFont val="Tahoma"/>
            <family val="2"/>
          </rPr>
          <t xml:space="preserve">
Pro forma for spin, per 12/8/16 investor day</t>
        </r>
      </text>
    </comment>
    <comment ref="AJ270" authorId="0">
      <text>
        <r>
          <rPr>
            <b/>
            <sz val="9"/>
            <color indexed="81"/>
            <rFont val="Tahoma"/>
            <family val="2"/>
          </rPr>
          <t>Savino, Mark (Research):</t>
        </r>
        <r>
          <rPr>
            <sz val="9"/>
            <color indexed="81"/>
            <rFont val="Tahoma"/>
            <family val="2"/>
          </rPr>
          <t xml:space="preserve">
Includes $40-45m of incremental G&amp;A costs at Park</t>
        </r>
      </text>
    </comment>
    <comment ref="AJ275" authorId="0">
      <text>
        <r>
          <rPr>
            <b/>
            <sz val="9"/>
            <color indexed="81"/>
            <rFont val="Tahoma"/>
            <family val="2"/>
          </rPr>
          <t>Savino, Mark (Research):</t>
        </r>
        <r>
          <rPr>
            <sz val="9"/>
            <color indexed="81"/>
            <rFont val="Tahoma"/>
            <family val="2"/>
          </rPr>
          <t xml:space="preserve">
Per mgmt, no impact on base mgmt fees as a result of the spin</t>
        </r>
      </text>
    </comment>
    <comment ref="AJ276" authorId="0">
      <text>
        <r>
          <rPr>
            <b/>
            <sz val="9"/>
            <color indexed="81"/>
            <rFont val="Tahoma"/>
            <family val="2"/>
          </rPr>
          <t>Savino, Mark (Research):</t>
        </r>
        <r>
          <rPr>
            <sz val="9"/>
            <color indexed="81"/>
            <rFont val="Tahoma"/>
            <family val="2"/>
          </rPr>
          <t xml:space="preserve">
IMFs will realize an incremental $47.5m from Park</t>
        </r>
      </text>
    </comment>
    <comment ref="A280" authorId="8">
      <text>
        <r>
          <rPr>
            <b/>
            <sz val="8"/>
            <color indexed="81"/>
            <rFont val="Tahoma"/>
            <family val="2"/>
          </rPr>
          <t>thallen:</t>
        </r>
        <r>
          <rPr>
            <sz val="8"/>
            <color indexed="81"/>
            <rFont val="Tahoma"/>
            <family val="2"/>
          </rPr>
          <t xml:space="preserve">
Includes HOA and PIP / other fees</t>
        </r>
      </text>
    </comment>
    <comment ref="F280" authorId="3">
      <text>
        <r>
          <rPr>
            <sz val="8"/>
            <color indexed="81"/>
            <rFont val="Tahoma"/>
            <family val="2"/>
          </rPr>
          <t xml:space="preserve">Reported $48.0m
Sum of the revenues not matching with the total number. Hence, to match the total management fees we have taken this number.
</t>
        </r>
      </text>
    </comment>
    <comment ref="J280" authorId="8">
      <text>
        <r>
          <rPr>
            <b/>
            <sz val="8"/>
            <color indexed="81"/>
            <rFont val="Tahoma"/>
            <family val="2"/>
          </rPr>
          <t>thallen:</t>
        </r>
        <r>
          <rPr>
            <sz val="8"/>
            <color indexed="81"/>
            <rFont val="Tahoma"/>
            <family val="2"/>
          </rPr>
          <t xml:space="preserve">
Sold out of Vegas, so benefited here</t>
        </r>
      </text>
    </comment>
    <comment ref="N280" authorId="3">
      <text>
        <r>
          <rPr>
            <sz val="8"/>
            <color indexed="81"/>
            <rFont val="Tahoma"/>
            <family val="2"/>
          </rPr>
          <t xml:space="preserve">Reported $48.0m
Sum of the revenues not matching with the total number. Hence, to match the total management fees we have taken this number.
</t>
        </r>
      </text>
    </comment>
    <comment ref="O280" authorId="2">
      <text>
        <r>
          <rPr>
            <b/>
            <sz val="8"/>
            <color indexed="81"/>
            <rFont val="Tahoma"/>
            <family val="2"/>
          </rPr>
          <t>jills:</t>
        </r>
        <r>
          <rPr>
            <sz val="8"/>
            <color indexed="81"/>
            <rFont val="Tahoma"/>
            <family val="2"/>
          </rPr>
          <t xml:space="preserve">
guidance $10m
Includes HOA and PIP / other fees; seasonality in 4Q incorporates certification of occupancy related to NY timeshare</t>
        </r>
      </text>
    </comment>
    <comment ref="Q280" authorId="8">
      <text>
        <r>
          <rPr>
            <b/>
            <sz val="8"/>
            <color indexed="81"/>
            <rFont val="Tahoma"/>
            <family val="2"/>
          </rPr>
          <t>thallen:</t>
        </r>
        <r>
          <rPr>
            <sz val="8"/>
            <color indexed="81"/>
            <rFont val="Tahoma"/>
            <family val="2"/>
          </rPr>
          <t xml:space="preserve">
Guidance: $6m</t>
        </r>
      </text>
    </comment>
    <comment ref="R280" authorId="8">
      <text>
        <r>
          <rPr>
            <b/>
            <sz val="8"/>
            <color indexed="81"/>
            <rFont val="Tahoma"/>
            <family val="2"/>
          </rPr>
          <t>thallen:</t>
        </r>
        <r>
          <rPr>
            <sz val="8"/>
            <color indexed="81"/>
            <rFont val="Tahoma"/>
            <family val="2"/>
          </rPr>
          <t xml:space="preserve">
Guidance: $6m</t>
        </r>
      </text>
    </comment>
    <comment ref="S280" authorId="8">
      <text>
        <r>
          <rPr>
            <b/>
            <sz val="8"/>
            <color indexed="81"/>
            <rFont val="Tahoma"/>
            <family val="2"/>
          </rPr>
          <t>thallen:</t>
        </r>
        <r>
          <rPr>
            <sz val="8"/>
            <color indexed="81"/>
            <rFont val="Tahoma"/>
            <family val="2"/>
          </rPr>
          <t xml:space="preserve">
Guidance: $6m</t>
        </r>
      </text>
    </comment>
    <comment ref="X280" authorId="5">
      <text>
        <r>
          <rPr>
            <b/>
            <sz val="9"/>
            <color indexed="81"/>
            <rFont val="Tahoma"/>
            <family val="2"/>
          </rPr>
          <t>FX Impact:</t>
        </r>
        <r>
          <rPr>
            <sz val="9"/>
            <color indexed="81"/>
            <rFont val="Tahoma"/>
            <family val="2"/>
          </rPr>
          <t xml:space="preserve">
2Q15 FX impact came in better than expected. 
Of the $60m impact for 2015, half of that was realized in 1H.  
Assume that the $30m is equally distributed between 3Q and 4Q. 
</t>
        </r>
      </text>
    </comment>
    <comment ref="Y280" authorId="5">
      <text>
        <r>
          <rPr>
            <b/>
            <sz val="9"/>
            <color indexed="81"/>
            <rFont val="Tahoma"/>
            <family val="2"/>
          </rPr>
          <t xml:space="preserve">3Q15:
</t>
        </r>
        <r>
          <rPr>
            <sz val="9"/>
            <color indexed="81"/>
            <rFont val="Tahoma"/>
            <family val="2"/>
          </rPr>
          <t>Fees to decelerate particularly in 4Q due to timing of fees booked earlier in the year, tough comp from last year and one-time items last year.</t>
        </r>
        <r>
          <rPr>
            <b/>
            <sz val="9"/>
            <color indexed="81"/>
            <rFont val="Tahoma"/>
            <family val="2"/>
          </rPr>
          <t xml:space="preserve">
</t>
        </r>
        <r>
          <rPr>
            <sz val="9"/>
            <color indexed="81"/>
            <rFont val="Tahoma"/>
            <family val="2"/>
          </rPr>
          <t xml:space="preserve">FX impact of $60m for the year </t>
        </r>
        <r>
          <rPr>
            <b/>
            <sz val="9"/>
            <color indexed="81"/>
            <rFont val="Tahoma"/>
            <family val="2"/>
          </rPr>
          <t xml:space="preserve">
2Q15: 
</t>
        </r>
        <r>
          <rPr>
            <sz val="9"/>
            <color indexed="81"/>
            <rFont val="Tahoma"/>
            <family val="2"/>
          </rPr>
          <t xml:space="preserve">Fees to decelerate particularly in 4Q due to timing of fees booked earlier in the year, tough comp from last year and one-time items last year.
</t>
        </r>
        <r>
          <rPr>
            <b/>
            <sz val="9"/>
            <color indexed="81"/>
            <rFont val="Tahoma"/>
            <family val="2"/>
          </rPr>
          <t xml:space="preserve">
FX Impact:</t>
        </r>
        <r>
          <rPr>
            <sz val="9"/>
            <color indexed="81"/>
            <rFont val="Tahoma"/>
            <family val="2"/>
          </rPr>
          <t xml:space="preserve">
2Q15 FX impact came in better than expected. 
Of the $60m impact for 2015, half of that was realized in 1H.  
Assume that the $30m is equally distributed between 3Q and 4Q. 
</t>
        </r>
      </text>
    </comment>
    <comment ref="Z280" authorId="5">
      <text>
        <r>
          <rPr>
            <b/>
            <sz val="9"/>
            <color indexed="81"/>
            <rFont val="Tahoma"/>
            <family val="2"/>
          </rPr>
          <t>FX Impact:</t>
        </r>
        <r>
          <rPr>
            <sz val="9"/>
            <color indexed="81"/>
            <rFont val="Tahoma"/>
            <family val="2"/>
          </rPr>
          <t xml:space="preserve">
Based on MS estimates USD to appreciate 19% in 2Q, 13% in 3Q, 10% in 4Q. Each 1% increase negatively impacts EBITDA by $3-4m. 
 </t>
        </r>
      </text>
    </comment>
    <comment ref="AE280" authorId="5">
      <text>
        <r>
          <rPr>
            <sz val="9"/>
            <color indexed="81"/>
            <rFont val="Tahoma"/>
            <family val="2"/>
          </rPr>
          <t xml:space="preserve">EBITDA to decrease by $25m in 2016 due to FX headwinds, divided equally between owned and M&amp;F.
</t>
        </r>
      </text>
    </comment>
    <comment ref="O281" authorId="2">
      <text>
        <r>
          <rPr>
            <b/>
            <sz val="8"/>
            <color indexed="81"/>
            <rFont val="Tahoma"/>
            <family val="2"/>
          </rPr>
          <t>jills:</t>
        </r>
        <r>
          <rPr>
            <sz val="8"/>
            <color indexed="81"/>
            <rFont val="Tahoma"/>
            <family val="2"/>
          </rPr>
          <t xml:space="preserve">
guidance $326m</t>
        </r>
      </text>
    </comment>
    <comment ref="Y281" authorId="5">
      <text>
        <r>
          <rPr>
            <b/>
            <sz val="9"/>
            <color indexed="81"/>
            <rFont val="Tahoma"/>
            <family val="2"/>
          </rPr>
          <t>2Q15:</t>
        </r>
        <r>
          <rPr>
            <sz val="9"/>
            <color indexed="81"/>
            <rFont val="Tahoma"/>
            <family val="2"/>
          </rPr>
          <t xml:space="preserve">
Fees to decelerate particularly in 4Q due to timing of fees booked earlier in the year, tough comp from last year and one-time items last year.</t>
        </r>
      </text>
    </comment>
    <comment ref="AJ281" authorId="7">
      <text>
        <r>
          <rPr>
            <b/>
            <sz val="9"/>
            <color indexed="81"/>
            <rFont val="Tahoma"/>
            <family val="2"/>
          </rPr>
          <t>Allen, Thomas (Research):</t>
        </r>
        <r>
          <rPr>
            <sz val="9"/>
            <color indexed="81"/>
            <rFont val="Tahoma"/>
            <family val="2"/>
          </rPr>
          <t xml:space="preserve">
Reflects $20m of total $30m FX headwinds per 4Q16 call</t>
        </r>
      </text>
    </comment>
    <comment ref="AG282" authorId="7">
      <text>
        <r>
          <rPr>
            <b/>
            <sz val="9"/>
            <color indexed="81"/>
            <rFont val="Tahoma"/>
            <family val="2"/>
          </rPr>
          <t>Allen, Thomas (Research):</t>
        </r>
        <r>
          <rPr>
            <sz val="9"/>
            <color indexed="81"/>
            <rFont val="Tahoma"/>
            <family val="2"/>
          </rPr>
          <t xml:space="preserve">
Based on pro forma numbers given in 4Q16 earnings release</t>
        </r>
      </text>
    </comment>
    <comment ref="AH282" authorId="7">
      <text>
        <r>
          <rPr>
            <b/>
            <sz val="9"/>
            <color indexed="81"/>
            <rFont val="Tahoma"/>
            <family val="2"/>
          </rPr>
          <t>Allen, Thomas (Research):</t>
        </r>
        <r>
          <rPr>
            <sz val="9"/>
            <color indexed="81"/>
            <rFont val="Tahoma"/>
            <family val="2"/>
          </rPr>
          <t xml:space="preserve">
Based on pro forma numbers given in 4Q16 earnings release</t>
        </r>
      </text>
    </comment>
    <comment ref="AI282" authorId="7">
      <text>
        <r>
          <rPr>
            <b/>
            <sz val="9"/>
            <color indexed="81"/>
            <rFont val="Tahoma"/>
            <family val="2"/>
          </rPr>
          <t>Allen, Thomas (Research):</t>
        </r>
        <r>
          <rPr>
            <sz val="9"/>
            <color indexed="81"/>
            <rFont val="Tahoma"/>
            <family val="2"/>
          </rPr>
          <t xml:space="preserve">
Based on pro forma numbers given in 4Q16 earnings release</t>
        </r>
      </text>
    </comment>
    <comment ref="AJ282" authorId="7">
      <text>
        <r>
          <rPr>
            <b/>
            <sz val="9"/>
            <color indexed="81"/>
            <rFont val="Tahoma"/>
            <family val="2"/>
          </rPr>
          <t>Allen, Thomas (Research):</t>
        </r>
        <r>
          <rPr>
            <sz val="9"/>
            <color indexed="81"/>
            <rFont val="Tahoma"/>
            <family val="2"/>
          </rPr>
          <t xml:space="preserve">
Based on pro forma numbers given in 4Q16 earnings release</t>
        </r>
      </text>
    </comment>
    <comment ref="AE283" authorId="7">
      <text>
        <r>
          <rPr>
            <b/>
            <sz val="9"/>
            <color indexed="81"/>
            <rFont val="Tahoma"/>
            <family val="2"/>
          </rPr>
          <t>Allen, Thomas (Research):</t>
        </r>
        <r>
          <rPr>
            <sz val="9"/>
            <color indexed="81"/>
            <rFont val="Tahoma"/>
            <family val="2"/>
          </rPr>
          <t xml:space="preserve">
Per 2Q16 call, IMFs should grow faster than core fees</t>
        </r>
      </text>
    </comment>
    <comment ref="AG283" authorId="7">
      <text>
        <r>
          <rPr>
            <b/>
            <sz val="9"/>
            <color indexed="81"/>
            <rFont val="Tahoma"/>
            <family val="2"/>
          </rPr>
          <t>Allen, Thomas (Research):</t>
        </r>
        <r>
          <rPr>
            <sz val="9"/>
            <color indexed="81"/>
            <rFont val="Tahoma"/>
            <family val="2"/>
          </rPr>
          <t xml:space="preserve">
Based on pro forma numbers given in 4Q16 earnings release</t>
        </r>
      </text>
    </comment>
    <comment ref="AH283" authorId="7">
      <text>
        <r>
          <rPr>
            <b/>
            <sz val="9"/>
            <color indexed="81"/>
            <rFont val="Tahoma"/>
            <family val="2"/>
          </rPr>
          <t>Allen, Thomas (Research):</t>
        </r>
        <r>
          <rPr>
            <sz val="9"/>
            <color indexed="81"/>
            <rFont val="Tahoma"/>
            <family val="2"/>
          </rPr>
          <t xml:space="preserve">
Based on pro forma numbers given in 4Q16 earnings release</t>
        </r>
      </text>
    </comment>
    <comment ref="AI283" authorId="7">
      <text>
        <r>
          <rPr>
            <b/>
            <sz val="9"/>
            <color indexed="81"/>
            <rFont val="Tahoma"/>
            <family val="2"/>
          </rPr>
          <t>Allen, Thomas (Research):</t>
        </r>
        <r>
          <rPr>
            <sz val="9"/>
            <color indexed="81"/>
            <rFont val="Tahoma"/>
            <family val="2"/>
          </rPr>
          <t xml:space="preserve">
Based on pro forma numbers given in 4Q16 earnings release</t>
        </r>
      </text>
    </comment>
    <comment ref="AJ283" authorId="7">
      <text>
        <r>
          <rPr>
            <b/>
            <sz val="9"/>
            <color indexed="81"/>
            <rFont val="Tahoma"/>
            <family val="2"/>
          </rPr>
          <t>Allen, Thomas (Research):</t>
        </r>
        <r>
          <rPr>
            <sz val="9"/>
            <color indexed="81"/>
            <rFont val="Tahoma"/>
            <family val="2"/>
          </rPr>
          <t xml:space="preserve">
Based on pro forma numbers given in 4Q16 earnings release</t>
        </r>
      </text>
    </comment>
    <comment ref="AG284" authorId="7">
      <text>
        <r>
          <rPr>
            <b/>
            <sz val="9"/>
            <color indexed="81"/>
            <rFont val="Tahoma"/>
            <family val="2"/>
          </rPr>
          <t>Allen, Thomas (Research):</t>
        </r>
        <r>
          <rPr>
            <sz val="9"/>
            <color indexed="81"/>
            <rFont val="Tahoma"/>
            <family val="2"/>
          </rPr>
          <t xml:space="preserve">
Based on pro forma numbers given in 4Q16 earnings release</t>
        </r>
      </text>
    </comment>
    <comment ref="AH284" authorId="7">
      <text>
        <r>
          <rPr>
            <b/>
            <sz val="9"/>
            <color indexed="81"/>
            <rFont val="Tahoma"/>
            <family val="2"/>
          </rPr>
          <t>Allen, Thomas (Research):</t>
        </r>
        <r>
          <rPr>
            <sz val="9"/>
            <color indexed="81"/>
            <rFont val="Tahoma"/>
            <family val="2"/>
          </rPr>
          <t xml:space="preserve">
Based on pro forma numbers given in 4Q16 earnings release</t>
        </r>
      </text>
    </comment>
    <comment ref="AI284" authorId="7">
      <text>
        <r>
          <rPr>
            <b/>
            <sz val="9"/>
            <color indexed="81"/>
            <rFont val="Tahoma"/>
            <family val="2"/>
          </rPr>
          <t>Allen, Thomas (Research):</t>
        </r>
        <r>
          <rPr>
            <sz val="9"/>
            <color indexed="81"/>
            <rFont val="Tahoma"/>
            <family val="2"/>
          </rPr>
          <t xml:space="preserve">
Based on pro forma numbers given in 4Q16 earnings release</t>
        </r>
      </text>
    </comment>
    <comment ref="AJ284" authorId="7">
      <text>
        <r>
          <rPr>
            <b/>
            <sz val="9"/>
            <color indexed="81"/>
            <rFont val="Tahoma"/>
            <family val="2"/>
          </rPr>
          <t>Allen, Thomas (Research):</t>
        </r>
        <r>
          <rPr>
            <sz val="9"/>
            <color indexed="81"/>
            <rFont val="Tahoma"/>
            <family val="2"/>
          </rPr>
          <t xml:space="preserve">
Based on pro forma numbers given in 4Q16 earnings release</t>
        </r>
      </text>
    </comment>
    <comment ref="AG285" authorId="7">
      <text>
        <r>
          <rPr>
            <b/>
            <sz val="9"/>
            <color indexed="81"/>
            <rFont val="Tahoma"/>
            <family val="2"/>
          </rPr>
          <t>Allen, Thomas (Research):</t>
        </r>
        <r>
          <rPr>
            <sz val="9"/>
            <color indexed="81"/>
            <rFont val="Tahoma"/>
            <family val="2"/>
          </rPr>
          <t xml:space="preserve">
Based on pro forma numbers given in 4Q16 earnings release</t>
        </r>
      </text>
    </comment>
    <comment ref="AH285" authorId="7">
      <text>
        <r>
          <rPr>
            <b/>
            <sz val="9"/>
            <color indexed="81"/>
            <rFont val="Tahoma"/>
            <family val="2"/>
          </rPr>
          <t>Allen, Thomas (Research):</t>
        </r>
        <r>
          <rPr>
            <sz val="9"/>
            <color indexed="81"/>
            <rFont val="Tahoma"/>
            <family val="2"/>
          </rPr>
          <t xml:space="preserve">
Based on pro forma numbers given in 4Q16 earnings release</t>
        </r>
      </text>
    </comment>
    <comment ref="AI285" authorId="7">
      <text>
        <r>
          <rPr>
            <b/>
            <sz val="9"/>
            <color indexed="81"/>
            <rFont val="Tahoma"/>
            <family val="2"/>
          </rPr>
          <t>Allen, Thomas (Research):</t>
        </r>
        <r>
          <rPr>
            <sz val="9"/>
            <color indexed="81"/>
            <rFont val="Tahoma"/>
            <family val="2"/>
          </rPr>
          <t xml:space="preserve">
Based on pro forma numbers given in 4Q16 earnings release</t>
        </r>
      </text>
    </comment>
    <comment ref="AJ285" authorId="7">
      <text>
        <r>
          <rPr>
            <b/>
            <sz val="9"/>
            <color indexed="81"/>
            <rFont val="Tahoma"/>
            <family val="2"/>
          </rPr>
          <t>Allen, Thomas (Research):</t>
        </r>
        <r>
          <rPr>
            <sz val="9"/>
            <color indexed="81"/>
            <rFont val="Tahoma"/>
            <family val="2"/>
          </rPr>
          <t xml:space="preserve">
Based on pro forma numbers given in 4Q16 earnings release</t>
        </r>
      </text>
    </comment>
    <comment ref="AG286" authorId="7">
      <text>
        <r>
          <rPr>
            <b/>
            <sz val="9"/>
            <color indexed="81"/>
            <rFont val="Tahoma"/>
            <family val="2"/>
          </rPr>
          <t>Allen, Thomas (Research):</t>
        </r>
        <r>
          <rPr>
            <sz val="9"/>
            <color indexed="81"/>
            <rFont val="Tahoma"/>
            <family val="2"/>
          </rPr>
          <t xml:space="preserve">
Based on pro forma numbers given in 4Q16 earnings release</t>
        </r>
      </text>
    </comment>
    <comment ref="AH286" authorId="7">
      <text>
        <r>
          <rPr>
            <b/>
            <sz val="9"/>
            <color indexed="81"/>
            <rFont val="Tahoma"/>
            <family val="2"/>
          </rPr>
          <t>Allen, Thomas (Research):</t>
        </r>
        <r>
          <rPr>
            <sz val="9"/>
            <color indexed="81"/>
            <rFont val="Tahoma"/>
            <family val="2"/>
          </rPr>
          <t xml:space="preserve">
Based on pro forma numbers given in 4Q16 earnings release</t>
        </r>
      </text>
    </comment>
    <comment ref="AI286" authorId="7">
      <text>
        <r>
          <rPr>
            <b/>
            <sz val="9"/>
            <color indexed="81"/>
            <rFont val="Tahoma"/>
            <family val="2"/>
          </rPr>
          <t>Allen, Thomas (Research):</t>
        </r>
        <r>
          <rPr>
            <sz val="9"/>
            <color indexed="81"/>
            <rFont val="Tahoma"/>
            <family val="2"/>
          </rPr>
          <t xml:space="preserve">
Based on pro forma numbers given in 4Q16 earnings release</t>
        </r>
      </text>
    </comment>
    <comment ref="AJ286" authorId="7">
      <text>
        <r>
          <rPr>
            <b/>
            <sz val="9"/>
            <color indexed="81"/>
            <rFont val="Tahoma"/>
            <family val="2"/>
          </rPr>
          <t>Allen, Thomas (Research):</t>
        </r>
        <r>
          <rPr>
            <sz val="9"/>
            <color indexed="81"/>
            <rFont val="Tahoma"/>
            <family val="2"/>
          </rPr>
          <t xml:space="preserve">
Based on pro forma numbers given in 4Q16 earnings release</t>
        </r>
      </text>
    </comment>
    <comment ref="N287" authorId="8">
      <text>
        <r>
          <rPr>
            <b/>
            <sz val="8"/>
            <color indexed="81"/>
            <rFont val="Tahoma"/>
            <family val="2"/>
          </rPr>
          <t>thallen:</t>
        </r>
        <r>
          <rPr>
            <sz val="8"/>
            <color indexed="81"/>
            <rFont val="Tahoma"/>
            <family val="2"/>
          </rPr>
          <t xml:space="preserve">
$6mm impact from Mecca hotels but getting 5k rooms for it</t>
        </r>
      </text>
    </comment>
    <comment ref="P287" authorId="2">
      <text>
        <r>
          <rPr>
            <b/>
            <sz val="8"/>
            <color indexed="81"/>
            <rFont val="Tahoma"/>
            <family val="2"/>
          </rPr>
          <t>jills:</t>
        </r>
        <r>
          <rPr>
            <sz val="8"/>
            <color indexed="81"/>
            <rFont val="Tahoma"/>
            <family val="2"/>
          </rPr>
          <t xml:space="preserve">
guidance calls for ~7% growth</t>
        </r>
      </text>
    </comment>
    <comment ref="Z287" authorId="2">
      <text>
        <r>
          <rPr>
            <b/>
            <sz val="8"/>
            <color indexed="81"/>
            <rFont val="Tahoma"/>
            <family val="2"/>
          </rPr>
          <t>jills:</t>
        </r>
        <r>
          <rPr>
            <sz val="8"/>
            <color indexed="81"/>
            <rFont val="Tahoma"/>
            <family val="2"/>
          </rPr>
          <t xml:space="preserve">
guidance +9-12% per Nov 2013 Analyst Presentation</t>
        </r>
      </text>
    </comment>
    <comment ref="AG287" authorId="7">
      <text>
        <r>
          <rPr>
            <b/>
            <sz val="9"/>
            <color indexed="81"/>
            <rFont val="Tahoma"/>
            <family val="2"/>
          </rPr>
          <t>Allen, Thomas (Research):</t>
        </r>
        <r>
          <rPr>
            <sz val="9"/>
            <color indexed="81"/>
            <rFont val="Tahoma"/>
            <family val="2"/>
          </rPr>
          <t xml:space="preserve">
Based on pro forma numbers given in 4Q16 earnings release</t>
        </r>
      </text>
    </comment>
    <comment ref="AH287" authorId="7">
      <text>
        <r>
          <rPr>
            <b/>
            <sz val="9"/>
            <color indexed="81"/>
            <rFont val="Tahoma"/>
            <family val="2"/>
          </rPr>
          <t>Allen, Thomas (Research):</t>
        </r>
        <r>
          <rPr>
            <sz val="9"/>
            <color indexed="81"/>
            <rFont val="Tahoma"/>
            <family val="2"/>
          </rPr>
          <t xml:space="preserve">
Based on pro forma numbers given in 4Q16 earnings release</t>
        </r>
      </text>
    </comment>
    <comment ref="AI287" authorId="7">
      <text>
        <r>
          <rPr>
            <b/>
            <sz val="9"/>
            <color indexed="81"/>
            <rFont val="Tahoma"/>
            <family val="2"/>
          </rPr>
          <t>Allen, Thomas (Research):</t>
        </r>
        <r>
          <rPr>
            <sz val="9"/>
            <color indexed="81"/>
            <rFont val="Tahoma"/>
            <family val="2"/>
          </rPr>
          <t xml:space="preserve">
Based on pro forma numbers given in 4Q16 earnings release</t>
        </r>
      </text>
    </comment>
    <comment ref="AJ287" authorId="7">
      <text>
        <r>
          <rPr>
            <b/>
            <sz val="9"/>
            <color indexed="81"/>
            <rFont val="Tahoma"/>
            <family val="2"/>
          </rPr>
          <t>Allen, Thomas (Research):</t>
        </r>
        <r>
          <rPr>
            <sz val="9"/>
            <color indexed="81"/>
            <rFont val="Tahoma"/>
            <family val="2"/>
          </rPr>
          <t xml:space="preserve">
Based on pro forma numbers given in 4Q16 earnings release</t>
        </r>
      </text>
    </comment>
    <comment ref="R288" authorId="9">
      <text>
        <r>
          <rPr>
            <sz val="8"/>
            <color indexed="81"/>
            <rFont val="Tahoma"/>
            <family val="2"/>
          </rPr>
          <t xml:space="preserve">(1Q14): 10-12%
</t>
        </r>
      </text>
    </comment>
    <comment ref="U288" authorId="9">
      <text>
        <r>
          <rPr>
            <b/>
            <sz val="8"/>
            <color indexed="81"/>
            <rFont val="Tahoma"/>
            <family val="2"/>
          </rPr>
          <t>Guidance:</t>
        </r>
        <r>
          <rPr>
            <sz val="8"/>
            <color indexed="81"/>
            <rFont val="Tahoma"/>
            <family val="2"/>
          </rPr>
          <t xml:space="preserve">
(3Q14): 13-15%
(2Q14): 11-13%
(1Q14): 10-12%</t>
        </r>
        <r>
          <rPr>
            <sz val="8"/>
            <color indexed="81"/>
            <rFont val="Tahoma"/>
            <family val="2"/>
          </rPr>
          <t xml:space="preserve">
</t>
        </r>
      </text>
    </comment>
    <comment ref="Z288" authorId="9">
      <text>
        <r>
          <rPr>
            <b/>
            <sz val="8"/>
            <color indexed="81"/>
            <rFont val="Tahoma"/>
            <family val="2"/>
          </rPr>
          <t>Guidance:</t>
        </r>
        <r>
          <rPr>
            <sz val="8"/>
            <color indexed="81"/>
            <rFont val="Tahoma"/>
            <family val="2"/>
          </rPr>
          <t xml:space="preserve">
3Q15: 12-14%
2Q15: 11-13%
1Q15: 11-13%
4Q14: 11-13%
</t>
        </r>
      </text>
    </comment>
    <comment ref="AE288" authorId="9">
      <text>
        <r>
          <rPr>
            <b/>
            <sz val="8"/>
            <color indexed="81"/>
            <rFont val="Tahoma"/>
            <family val="2"/>
          </rPr>
          <t>Guidance:</t>
        </r>
        <r>
          <rPr>
            <sz val="8"/>
            <color indexed="81"/>
            <rFont val="Tahoma"/>
            <family val="2"/>
          </rPr>
          <t xml:space="preserve">
3Q16: 5-7%
2Q16: 6-8%
1Q16: 7-9%
4Q15: 7-9%</t>
        </r>
      </text>
    </comment>
    <comment ref="AG288" authorId="6">
      <text>
        <r>
          <rPr>
            <b/>
            <sz val="9"/>
            <color indexed="81"/>
            <rFont val="Tahoma"/>
            <family val="2"/>
          </rPr>
          <t>Zheng, Chaodan (Research):</t>
        </r>
        <r>
          <rPr>
            <sz val="9"/>
            <color indexed="81"/>
            <rFont val="Tahoma"/>
            <family val="2"/>
          </rPr>
          <t xml:space="preserve">
vs. 2016 on a pro-forma basis</t>
        </r>
      </text>
    </comment>
    <comment ref="AH288" authorId="6">
      <text>
        <r>
          <rPr>
            <b/>
            <sz val="9"/>
            <color indexed="81"/>
            <rFont val="Tahoma"/>
            <family val="2"/>
          </rPr>
          <t>Zheng, Chaodan (Research):</t>
        </r>
        <r>
          <rPr>
            <sz val="9"/>
            <color indexed="81"/>
            <rFont val="Tahoma"/>
            <family val="2"/>
          </rPr>
          <t xml:space="preserve">
2Q17: 7-9% vs. 2016 on a pro-forma basis</t>
        </r>
      </text>
    </comment>
    <comment ref="AI288" authorId="6">
      <text>
        <r>
          <rPr>
            <b/>
            <sz val="9"/>
            <color indexed="81"/>
            <rFont val="Tahoma"/>
            <family val="2"/>
          </rPr>
          <t>Zheng, Chaodan (Research):</t>
        </r>
        <r>
          <rPr>
            <sz val="9"/>
            <color indexed="81"/>
            <rFont val="Tahoma"/>
            <family val="2"/>
          </rPr>
          <t xml:space="preserve">
3Q17: 8-10% on a pro-forma basis, per call with mgmt, could have pushed higher but was conservative</t>
        </r>
      </text>
    </comment>
    <comment ref="AJ288" authorId="9">
      <text>
        <r>
          <rPr>
            <b/>
            <sz val="8"/>
            <color indexed="81"/>
            <rFont val="Tahoma"/>
            <family val="2"/>
          </rPr>
          <t>Guidance:</t>
        </r>
        <r>
          <rPr>
            <sz val="8"/>
            <color indexed="81"/>
            <rFont val="Tahoma"/>
            <family val="2"/>
          </rPr>
          <t xml:space="preserve">
3Q17: 8-10% on a pro-forma basis, per call with mgmt, could have pushed higher but was conservative, really guiding to high-end
2Q17: 8-10% on a pro-forma basis
1Q17: 7-9% on a pro-forma basis
4Q16: 6-8%
</t>
        </r>
      </text>
    </comment>
    <comment ref="AO288" authorId="0">
      <text>
        <r>
          <rPr>
            <b/>
            <sz val="9"/>
            <color indexed="81"/>
            <rFont val="Tahoma"/>
            <family val="2"/>
          </rPr>
          <t>Savino, Mark (Research):</t>
        </r>
        <r>
          <rPr>
            <sz val="9"/>
            <color indexed="81"/>
            <rFont val="Tahoma"/>
            <family val="2"/>
          </rPr>
          <t xml:space="preserve">
4Q17: 8-10%</t>
        </r>
      </text>
    </comment>
    <comment ref="AA290" authorId="0">
      <text>
        <r>
          <rPr>
            <b/>
            <sz val="9"/>
            <color indexed="81"/>
            <rFont val="Tahoma"/>
            <family val="2"/>
          </rPr>
          <t>Savino, Mark (Research):</t>
        </r>
        <r>
          <rPr>
            <sz val="9"/>
            <color indexed="81"/>
            <rFont val="Tahoma"/>
            <family val="2"/>
          </rPr>
          <t xml:space="preserve">
Includes $2m for wholly owned laundry business</t>
        </r>
      </text>
    </comment>
    <comment ref="AB290" authorId="0">
      <text>
        <r>
          <rPr>
            <b/>
            <sz val="9"/>
            <color indexed="81"/>
            <rFont val="Tahoma"/>
            <family val="2"/>
          </rPr>
          <t>Savino, Mark (Research):</t>
        </r>
        <r>
          <rPr>
            <sz val="9"/>
            <color indexed="81"/>
            <rFont val="Tahoma"/>
            <family val="2"/>
          </rPr>
          <t xml:space="preserve">
Includes $1m for wholly owned laundry business</t>
        </r>
      </text>
    </comment>
    <comment ref="AC290" authorId="0">
      <text>
        <r>
          <rPr>
            <b/>
            <sz val="9"/>
            <color indexed="81"/>
            <rFont val="Tahoma"/>
            <family val="2"/>
          </rPr>
          <t>Savino, Mark (Research):</t>
        </r>
        <r>
          <rPr>
            <sz val="9"/>
            <color indexed="81"/>
            <rFont val="Tahoma"/>
            <family val="2"/>
          </rPr>
          <t xml:space="preserve">
Includes $3m for wholly owned laundry business</t>
        </r>
      </text>
    </comment>
    <comment ref="A291" authorId="2">
      <text>
        <r>
          <rPr>
            <b/>
            <sz val="8"/>
            <color indexed="81"/>
            <rFont val="Tahoma"/>
            <family val="2"/>
          </rPr>
          <t>jills:</t>
        </r>
        <r>
          <rPr>
            <sz val="8"/>
            <color indexed="81"/>
            <rFont val="Tahoma"/>
            <family val="2"/>
          </rPr>
          <t xml:space="preserve">
revenues associated with Hilton Supply Mgmt (purchasing arm) gets backed out here; flow through "Other M&amp;F fees and Other" on P&amp;L revenue section</t>
        </r>
      </text>
    </comment>
    <comment ref="AA291" authorId="0">
      <text>
        <r>
          <rPr>
            <b/>
            <sz val="9"/>
            <color indexed="81"/>
            <rFont val="Tahoma"/>
            <family val="2"/>
          </rPr>
          <t>Savino, Mark (Research):</t>
        </r>
        <r>
          <rPr>
            <sz val="9"/>
            <color indexed="81"/>
            <rFont val="Tahoma"/>
            <family val="2"/>
          </rPr>
          <t xml:space="preserve">
$27m and $6m of intellectual property fees charged to owned segment, $10m licensing fee from timeshare segment, and 
</t>
        </r>
      </text>
    </comment>
    <comment ref="AB291" authorId="0">
      <text>
        <r>
          <rPr>
            <b/>
            <sz val="9"/>
            <color indexed="81"/>
            <rFont val="Tahoma"/>
            <family val="2"/>
          </rPr>
          <t>Savino, Mark (Research):</t>
        </r>
        <r>
          <rPr>
            <sz val="9"/>
            <color indexed="81"/>
            <rFont val="Tahoma"/>
            <family val="2"/>
          </rPr>
          <t xml:space="preserve">
$35m and $3m of intellectual property fees charged to owned segment, $11m licensing fee from timeshare segment, and 
</t>
        </r>
      </text>
    </comment>
    <comment ref="AC291" authorId="0">
      <text>
        <r>
          <rPr>
            <b/>
            <sz val="9"/>
            <color indexed="81"/>
            <rFont val="Tahoma"/>
            <family val="2"/>
          </rPr>
          <t>Savino, Mark (Research):</t>
        </r>
        <r>
          <rPr>
            <sz val="9"/>
            <color indexed="81"/>
            <rFont val="Tahoma"/>
            <family val="2"/>
          </rPr>
          <t xml:space="preserve">
$30m and $3m of intellectual property fees charged to owned segment, $12m licensing fee from timeshare segment, and 
</t>
        </r>
      </text>
    </comment>
    <comment ref="U292" authorId="3">
      <text>
        <r>
          <rPr>
            <sz val="8"/>
            <color indexed="81"/>
            <rFont val="Tahoma"/>
            <family val="2"/>
          </rPr>
          <t>Company Guidance
To increase approximately 10 percent to 12 percent
Source: Pg 4, 8-K, 4Q13</t>
        </r>
      </text>
    </comment>
    <comment ref="Q293" authorId="3">
      <text>
        <r>
          <rPr>
            <sz val="8"/>
            <color indexed="81"/>
            <rFont val="Tahoma"/>
            <family val="2"/>
          </rPr>
          <t xml:space="preserve">Pre IPO company guidance
</t>
        </r>
      </text>
    </comment>
    <comment ref="R293" authorId="3">
      <text>
        <r>
          <rPr>
            <sz val="8"/>
            <color indexed="81"/>
            <rFont val="Tahoma"/>
            <family val="2"/>
          </rPr>
          <t xml:space="preserve">Pre IPO company guidance
</t>
        </r>
      </text>
    </comment>
    <comment ref="S293" authorId="3">
      <text>
        <r>
          <rPr>
            <sz val="8"/>
            <color indexed="81"/>
            <rFont val="Tahoma"/>
            <family val="2"/>
          </rPr>
          <t xml:space="preserve">Pre IPO company guidance
</t>
        </r>
      </text>
    </comment>
    <comment ref="T293" authorId="3">
      <text>
        <r>
          <rPr>
            <sz val="8"/>
            <color indexed="81"/>
            <rFont val="Tahoma"/>
            <family val="2"/>
          </rPr>
          <t xml:space="preserve">Pre IPO company guidance
</t>
        </r>
      </text>
    </comment>
    <comment ref="A301" authorId="8">
      <text>
        <r>
          <rPr>
            <b/>
            <sz val="8"/>
            <color indexed="81"/>
            <rFont val="Tahoma"/>
            <family val="2"/>
          </rPr>
          <t>thallen:</t>
        </r>
        <r>
          <rPr>
            <sz val="8"/>
            <color indexed="81"/>
            <rFont val="Tahoma"/>
            <family val="2"/>
          </rPr>
          <t xml:space="preserve">
Includes HOA and PIP / other fees</t>
        </r>
      </text>
    </comment>
    <comment ref="A305" authorId="2">
      <text>
        <r>
          <rPr>
            <b/>
            <sz val="8"/>
            <color indexed="81"/>
            <rFont val="Tahoma"/>
            <family val="2"/>
          </rPr>
          <t>jills:</t>
        </r>
        <r>
          <rPr>
            <sz val="8"/>
            <color indexed="81"/>
            <rFont val="Tahoma"/>
            <family val="2"/>
          </rPr>
          <t xml:space="preserve">
revenues associated with Hilton Supply Mgmt (purchasing arm) gets backed out here; flow through "Other M&amp;F fees and Other" on P&amp;L revenue section</t>
        </r>
      </text>
    </comment>
    <comment ref="Y317" authorId="7">
      <text>
        <r>
          <rPr>
            <b/>
            <sz val="9"/>
            <color indexed="81"/>
            <rFont val="Tahoma"/>
            <family val="2"/>
          </rPr>
          <t>Allen, Thomas (Research):</t>
        </r>
        <r>
          <rPr>
            <sz val="9"/>
            <color indexed="81"/>
            <rFont val="Tahoma"/>
            <family val="2"/>
          </rPr>
          <t xml:space="preserve">
Oil + gas markets had a 50bps drag on RevPAR in the qtr</t>
        </r>
      </text>
    </comment>
    <comment ref="AA317" authorId="7">
      <text>
        <r>
          <rPr>
            <b/>
            <sz val="9"/>
            <color indexed="81"/>
            <rFont val="Tahoma"/>
            <family val="2"/>
          </rPr>
          <t>Allen, Thomas (Research):</t>
        </r>
        <r>
          <rPr>
            <sz val="9"/>
            <color indexed="81"/>
            <rFont val="Tahoma"/>
            <family val="2"/>
          </rPr>
          <t xml:space="preserve">
January / Feb trends running a bit below 3%</t>
        </r>
      </text>
    </comment>
    <comment ref="AB317" authorId="7">
      <text>
        <r>
          <rPr>
            <b/>
            <sz val="9"/>
            <color indexed="81"/>
            <rFont val="Tahoma"/>
            <family val="2"/>
          </rPr>
          <t>Allen, Thomas (Research):</t>
        </r>
        <r>
          <rPr>
            <sz val="9"/>
            <color indexed="81"/>
            <rFont val="Tahoma"/>
            <family val="2"/>
          </rPr>
          <t xml:space="preserve">
100bps of weather impact in 2Q15</t>
        </r>
      </text>
    </comment>
    <comment ref="AF317" authorId="7">
      <text>
        <r>
          <rPr>
            <b/>
            <sz val="9"/>
            <color indexed="81"/>
            <rFont val="Tahoma"/>
            <family val="2"/>
          </rPr>
          <t>Allen, Thomas (Research):</t>
        </r>
        <r>
          <rPr>
            <sz val="9"/>
            <color indexed="81"/>
            <rFont val="Tahoma"/>
            <family val="2"/>
          </rPr>
          <t xml:space="preserve">
Oil markets pressued US RevPAR by 10bps, lowest level in recent timeperiod</t>
        </r>
      </text>
    </comment>
    <comment ref="AG317" authorId="6">
      <text>
        <r>
          <rPr>
            <b/>
            <sz val="9"/>
            <color indexed="81"/>
            <rFont val="Tahoma"/>
            <family val="2"/>
          </rPr>
          <t>Zheng, Chaodan (Research):</t>
        </r>
        <r>
          <rPr>
            <sz val="9"/>
            <color indexed="81"/>
            <rFont val="Tahoma"/>
            <family val="2"/>
          </rPr>
          <t xml:space="preserve">
2Q17: 70bps headwind from Easter shift and also penalized on chainscale as they lacked exposure to luxury (+4.2% in 2Q) and resorts ((+7.1% in 2Q)</t>
        </r>
      </text>
    </comment>
    <comment ref="AH317" authorId="7">
      <text>
        <r>
          <rPr>
            <b/>
            <sz val="9"/>
            <color indexed="81"/>
            <rFont val="Tahoma"/>
            <family val="2"/>
          </rPr>
          <t>Allen, Thomas (Research):</t>
        </r>
        <r>
          <rPr>
            <sz val="9"/>
            <color indexed="81"/>
            <rFont val="Tahoma"/>
            <family val="2"/>
          </rPr>
          <t xml:space="preserve">
70bps negative impact from timing of holidays</t>
        </r>
      </text>
    </comment>
    <comment ref="AI317" authorId="7">
      <text>
        <r>
          <rPr>
            <b/>
            <sz val="9"/>
            <color indexed="81"/>
            <rFont val="Tahoma"/>
            <family val="2"/>
          </rPr>
          <t>Allen, Thomas (Research):</t>
        </r>
        <r>
          <rPr>
            <sz val="9"/>
            <color indexed="81"/>
            <rFont val="Tahoma"/>
            <family val="2"/>
          </rPr>
          <t xml:space="preserve">
Holidays shifts and hurricanes benefited qtr by 140bps for US</t>
        </r>
      </text>
    </comment>
    <comment ref="AN317" authorId="7">
      <text>
        <r>
          <rPr>
            <b/>
            <sz val="9"/>
            <color indexed="81"/>
            <rFont val="Tahoma"/>
            <family val="2"/>
          </rPr>
          <t>Allen, Thomas (Research):</t>
        </r>
        <r>
          <rPr>
            <sz val="9"/>
            <color indexed="81"/>
            <rFont val="Tahoma"/>
            <family val="2"/>
          </rPr>
          <t xml:space="preserve">
Note holidays shifts and hurricanes benefited 4Q17 by 100bps, lapping weather impact, holidays not changed</t>
        </r>
      </text>
    </comment>
    <comment ref="V322" authorId="5">
      <text>
        <r>
          <rPr>
            <b/>
            <sz val="9"/>
            <color indexed="81"/>
            <rFont val="Tahoma"/>
            <family val="2"/>
          </rPr>
          <t>1Q15:</t>
        </r>
        <r>
          <rPr>
            <sz val="9"/>
            <color indexed="81"/>
            <rFont val="Tahoma"/>
            <family val="2"/>
          </rPr>
          <t xml:space="preserve">
Half a percentage point impact from bad weather </t>
        </r>
      </text>
    </comment>
    <comment ref="AB322" authorId="7">
      <text>
        <r>
          <rPr>
            <b/>
            <sz val="9"/>
            <color indexed="81"/>
            <rFont val="Tahoma"/>
            <family val="2"/>
          </rPr>
          <t>Allen, Thomas (Research):</t>
        </r>
        <r>
          <rPr>
            <sz val="9"/>
            <color indexed="81"/>
            <rFont val="Tahoma"/>
            <family val="2"/>
          </rPr>
          <t xml:space="preserve">
Tracking up at or above midpoint as of 4/27 earnings call</t>
        </r>
      </text>
    </comment>
    <comment ref="AI322" authorId="7">
      <text>
        <r>
          <rPr>
            <b/>
            <sz val="9"/>
            <color indexed="81"/>
            <rFont val="Tahoma"/>
            <family val="2"/>
          </rPr>
          <t>Allen, Thomas (Research):</t>
        </r>
        <r>
          <rPr>
            <sz val="9"/>
            <color indexed="81"/>
            <rFont val="Tahoma"/>
            <family val="2"/>
          </rPr>
          <t xml:space="preserve">
Holidays shifts and hurricanes benefited qtr by 100bps overall</t>
        </r>
      </text>
    </comment>
    <comment ref="R323" authorId="9">
      <text>
        <r>
          <rPr>
            <sz val="8"/>
            <color indexed="81"/>
            <rFont val="Tahoma"/>
            <family val="2"/>
          </rPr>
          <t>(1Q14): 5.5-6.5%
Previous guidance 5.8%</t>
        </r>
        <r>
          <rPr>
            <sz val="8"/>
            <color indexed="81"/>
            <rFont val="Tahoma"/>
            <family val="2"/>
          </rPr>
          <t xml:space="preserve">
</t>
        </r>
      </text>
    </comment>
    <comment ref="U323" authorId="7">
      <text>
        <r>
          <rPr>
            <b/>
            <sz val="9"/>
            <color indexed="81"/>
            <rFont val="Tahoma"/>
            <family val="2"/>
          </rPr>
          <t>Guidance:</t>
        </r>
        <r>
          <rPr>
            <sz val="9"/>
            <color indexed="81"/>
            <rFont val="Tahoma"/>
            <family val="2"/>
          </rPr>
          <t xml:space="preserve">
(3Q14) 6-7%
(1Q14) 5.5-7%
(4Q13) 5-7%</t>
        </r>
      </text>
    </comment>
    <comment ref="X323" authorId="7">
      <text>
        <r>
          <rPr>
            <b/>
            <sz val="9"/>
            <color indexed="81"/>
            <rFont val="Tahoma"/>
            <family val="2"/>
          </rPr>
          <t>Allen, Thomas (Research):</t>
        </r>
        <r>
          <rPr>
            <sz val="9"/>
            <color indexed="81"/>
            <rFont val="Tahoma"/>
            <family val="2"/>
          </rPr>
          <t xml:space="preserve">
50bps lower b/c of holiday shift (Labor Day and Jewish holidays)</t>
        </r>
      </text>
    </comment>
    <comment ref="Z323" authorId="5">
      <text>
        <r>
          <rPr>
            <b/>
            <sz val="9"/>
            <color indexed="81"/>
            <rFont val="Tahoma"/>
            <family val="2"/>
          </rPr>
          <t xml:space="preserve">Guidance:
</t>
        </r>
        <r>
          <rPr>
            <sz val="9"/>
            <color indexed="81"/>
            <rFont val="Tahoma"/>
            <family val="2"/>
          </rPr>
          <t>3Q15: +5-6.5%</t>
        </r>
        <r>
          <rPr>
            <b/>
            <sz val="9"/>
            <color indexed="81"/>
            <rFont val="Tahoma"/>
            <family val="2"/>
          </rPr>
          <t xml:space="preserve">
</t>
        </r>
        <r>
          <rPr>
            <sz val="9"/>
            <color indexed="81"/>
            <rFont val="Tahoma"/>
            <family val="2"/>
          </rPr>
          <t>2Q15: +5-7%</t>
        </r>
        <r>
          <rPr>
            <b/>
            <sz val="9"/>
            <color indexed="81"/>
            <rFont val="Tahoma"/>
            <family val="2"/>
          </rPr>
          <t xml:space="preserve">
</t>
        </r>
        <r>
          <rPr>
            <sz val="9"/>
            <color indexed="81"/>
            <rFont val="Tahoma"/>
            <family val="2"/>
          </rPr>
          <t>1Q15: +5-7%</t>
        </r>
        <r>
          <rPr>
            <b/>
            <sz val="9"/>
            <color indexed="81"/>
            <rFont val="Tahoma"/>
            <family val="2"/>
          </rPr>
          <t xml:space="preserve">
</t>
        </r>
        <r>
          <rPr>
            <sz val="9"/>
            <color indexed="81"/>
            <rFont val="Tahoma"/>
            <family val="2"/>
          </rPr>
          <t>4Q14: +5-7%</t>
        </r>
        <r>
          <rPr>
            <b/>
            <sz val="9"/>
            <color indexed="81"/>
            <rFont val="Tahoma"/>
            <family val="2"/>
          </rPr>
          <t xml:space="preserve">
</t>
        </r>
        <r>
          <rPr>
            <sz val="9"/>
            <color indexed="81"/>
            <rFont val="Tahoma"/>
            <family val="2"/>
          </rPr>
          <t xml:space="preserve">3Q14: +5-7%
</t>
        </r>
      </text>
    </comment>
    <comment ref="AE323" authorId="5">
      <text>
        <r>
          <rPr>
            <b/>
            <sz val="9"/>
            <color indexed="81"/>
            <rFont val="Tahoma"/>
            <family val="2"/>
          </rPr>
          <t>Guidance:</t>
        </r>
        <r>
          <rPr>
            <sz val="9"/>
            <color indexed="81"/>
            <rFont val="Tahoma"/>
            <family val="2"/>
          </rPr>
          <t xml:space="preserve">
3Q16: 1.5-2.0%
2Q16: +2-4%
1Q16: +3-5%
4Q15: +3-5%</t>
        </r>
        <r>
          <rPr>
            <b/>
            <sz val="9"/>
            <color indexed="81"/>
            <rFont val="Tahoma"/>
            <family val="2"/>
          </rPr>
          <t xml:space="preserve">
</t>
        </r>
        <r>
          <rPr>
            <sz val="9"/>
            <color indexed="81"/>
            <rFont val="Tahoma"/>
            <family val="2"/>
          </rPr>
          <t>3Q15: +4-6%</t>
        </r>
        <r>
          <rPr>
            <b/>
            <sz val="9"/>
            <color indexed="81"/>
            <rFont val="Tahoma"/>
            <family val="2"/>
          </rPr>
          <t xml:space="preserve">
</t>
        </r>
      </text>
    </comment>
    <comment ref="AG323" authorId="7">
      <text>
        <r>
          <rPr>
            <b/>
            <sz val="9"/>
            <color indexed="81"/>
            <rFont val="Tahoma"/>
            <family val="2"/>
          </rPr>
          <t>Allen, Thomas (Research):</t>
        </r>
        <r>
          <rPr>
            <sz val="9"/>
            <color indexed="81"/>
            <rFont val="Tahoma"/>
            <family val="2"/>
          </rPr>
          <t xml:space="preserve">
1Q17: Expect to be at lower-end of range b/c of Easter shift</t>
        </r>
      </text>
    </comment>
    <comment ref="AH323" authorId="6">
      <text>
        <r>
          <rPr>
            <b/>
            <sz val="9"/>
            <color indexed="81"/>
            <rFont val="Tahoma"/>
            <family val="2"/>
          </rPr>
          <t>Zheng, Chaodan (Research):</t>
        </r>
        <r>
          <rPr>
            <sz val="9"/>
            <color indexed="81"/>
            <rFont val="Tahoma"/>
            <family val="2"/>
          </rPr>
          <t xml:space="preserve">
2Q17: Jewish holiday shift impact and tough comp</t>
        </r>
      </text>
    </comment>
    <comment ref="AI323" authorId="6">
      <text>
        <r>
          <rPr>
            <b/>
            <sz val="9"/>
            <color indexed="81"/>
            <rFont val="Tahoma"/>
            <family val="2"/>
          </rPr>
          <t>Zheng, Chaodan (Research):</t>
        </r>
        <r>
          <rPr>
            <sz val="9"/>
            <color indexed="81"/>
            <rFont val="Tahoma"/>
            <family val="2"/>
          </rPr>
          <t xml:space="preserve">
3Q17: +1-3%</t>
        </r>
      </text>
    </comment>
    <comment ref="AJ323" authorId="0">
      <text>
        <r>
          <rPr>
            <b/>
            <sz val="9"/>
            <color indexed="81"/>
            <rFont val="Tahoma"/>
            <family val="2"/>
          </rPr>
          <t>Savino, Mark (Research):</t>
        </r>
        <r>
          <rPr>
            <sz val="9"/>
            <color indexed="81"/>
            <rFont val="Tahoma"/>
            <family val="2"/>
          </rPr>
          <t xml:space="preserve">
3Q17: +1-3%, likely "at or slightly above the midpoint"
1Q17: 1-3%, "current tracking higher-end of range"
4Q16: 1-3%, expect to be at mid- to high-end of our range
3Q16: 1-3%</t>
        </r>
      </text>
    </comment>
    <comment ref="AK323" authorId="0">
      <text>
        <r>
          <rPr>
            <b/>
            <sz val="9"/>
            <color indexed="81"/>
            <rFont val="Tahoma"/>
            <family val="2"/>
          </rPr>
          <t>Savino, Mark (Research):</t>
        </r>
        <r>
          <rPr>
            <sz val="9"/>
            <color indexed="81"/>
            <rFont val="Tahoma"/>
            <family val="2"/>
          </rPr>
          <t xml:space="preserve">
Includes 100bps drag from Easter calendar shift</t>
        </r>
      </text>
    </comment>
    <comment ref="AO323" authorId="6">
      <text>
        <r>
          <rPr>
            <b/>
            <sz val="9"/>
            <color indexed="81"/>
            <rFont val="Tahoma"/>
            <family val="2"/>
          </rPr>
          <t>Zheng, Chaodan (Research):</t>
        </r>
        <r>
          <rPr>
            <sz val="9"/>
            <color indexed="81"/>
            <rFont val="Tahoma"/>
            <family val="2"/>
          </rPr>
          <t xml:space="preserve">
4Q17: 1-3%, but expect to be at mid-high end (2-3%)
3Q17: 1-3%</t>
        </r>
      </text>
    </comment>
    <comment ref="AP323" authorId="7">
      <text>
        <r>
          <rPr>
            <b/>
            <sz val="9"/>
            <color indexed="81"/>
            <rFont val="Tahoma"/>
            <family val="2"/>
          </rPr>
          <t>Allen, Thomas (Research):</t>
        </r>
        <r>
          <rPr>
            <sz val="9"/>
            <color indexed="81"/>
            <rFont val="Tahoma"/>
            <family val="2"/>
          </rPr>
          <t xml:space="preserve">
12/9/16 investor day guidance implies 1-3% RevPAR growth</t>
        </r>
      </text>
    </comment>
    <comment ref="AF331" authorId="7">
      <text>
        <r>
          <rPr>
            <b/>
            <sz val="9"/>
            <color indexed="81"/>
            <rFont val="Tahoma"/>
            <family val="2"/>
          </rPr>
          <t>Allen, Thomas (Research):</t>
        </r>
        <r>
          <rPr>
            <sz val="9"/>
            <color indexed="81"/>
            <rFont val="Tahoma"/>
            <family val="2"/>
          </rPr>
          <t xml:space="preserve">
Note 1400 rooms out for renovation at the Waldorf</t>
        </r>
      </text>
    </comment>
    <comment ref="AG331" authorId="7">
      <text>
        <r>
          <rPr>
            <b/>
            <sz val="9"/>
            <color indexed="81"/>
            <rFont val="Tahoma"/>
            <family val="2"/>
          </rPr>
          <t>Allen, Thomas (Research):</t>
        </r>
        <r>
          <rPr>
            <sz val="9"/>
            <color indexed="81"/>
            <rFont val="Tahoma"/>
            <family val="2"/>
          </rPr>
          <t xml:space="preserve">
Note 1400 rooms out for renovation at the Waldorf</t>
        </r>
      </text>
    </comment>
    <comment ref="AH331" authorId="7">
      <text>
        <r>
          <rPr>
            <b/>
            <sz val="9"/>
            <color indexed="81"/>
            <rFont val="Tahoma"/>
            <family val="2"/>
          </rPr>
          <t>Allen, Thomas (Research):</t>
        </r>
        <r>
          <rPr>
            <sz val="9"/>
            <color indexed="81"/>
            <rFont val="Tahoma"/>
            <family val="2"/>
          </rPr>
          <t xml:space="preserve">
Note 1400 rooms out for renovation at the Waldorf</t>
        </r>
      </text>
    </comment>
    <comment ref="AI331" authorId="7">
      <text>
        <r>
          <rPr>
            <b/>
            <sz val="9"/>
            <color indexed="81"/>
            <rFont val="Tahoma"/>
            <family val="2"/>
          </rPr>
          <t>Allen, Thomas (Research):</t>
        </r>
        <r>
          <rPr>
            <sz val="9"/>
            <color indexed="81"/>
            <rFont val="Tahoma"/>
            <family val="2"/>
          </rPr>
          <t xml:space="preserve">
Note 1400 rooms out for renovation at the Waldorf</t>
        </r>
      </text>
    </comment>
    <comment ref="AJ339" authorId="6">
      <text>
        <r>
          <rPr>
            <b/>
            <sz val="9"/>
            <color indexed="81"/>
            <rFont val="Tahoma"/>
            <family val="2"/>
          </rPr>
          <t>Zheng, Chaodan (Research):</t>
        </r>
        <r>
          <rPr>
            <sz val="9"/>
            <color indexed="81"/>
            <rFont val="Tahoma"/>
            <family val="2"/>
          </rPr>
          <t xml:space="preserve">
MS US RevPAR forecasat up 0.5% in 2017</t>
        </r>
      </text>
    </comment>
    <comment ref="AO339" authorId="6">
      <text>
        <r>
          <rPr>
            <b/>
            <sz val="9"/>
            <color indexed="81"/>
            <rFont val="Tahoma"/>
            <family val="2"/>
          </rPr>
          <t>Zheng, Chaodan (Research):</t>
        </r>
        <r>
          <rPr>
            <sz val="9"/>
            <color indexed="81"/>
            <rFont val="Tahoma"/>
            <family val="2"/>
          </rPr>
          <t xml:space="preserve">
MS US RevPAR forecast down -1.7% </t>
        </r>
      </text>
    </comment>
    <comment ref="AP339" authorId="6">
      <text>
        <r>
          <rPr>
            <b/>
            <sz val="9"/>
            <color indexed="81"/>
            <rFont val="Tahoma"/>
            <family val="2"/>
          </rPr>
          <t>Zheng, Chaodan (Research):</t>
        </r>
        <r>
          <rPr>
            <sz val="9"/>
            <color indexed="81"/>
            <rFont val="Tahoma"/>
            <family val="2"/>
          </rPr>
          <t xml:space="preserve">
MS US RevPAR forecast down -3.0% </t>
        </r>
      </text>
    </comment>
    <comment ref="S355" authorId="5">
      <text>
        <r>
          <rPr>
            <b/>
            <sz val="9"/>
            <color indexed="81"/>
            <rFont val="Tahoma"/>
            <family val="2"/>
          </rPr>
          <t>Chaudhry, Baset A (Research):</t>
        </r>
        <r>
          <rPr>
            <sz val="9"/>
            <color indexed="81"/>
            <rFont val="Tahoma"/>
            <family val="2"/>
          </rPr>
          <t xml:space="preserve">
Includes a $5 million reclassification made during the three months ended September 30, 2014 for a small group of hotels. Excluding this reclassification, base fees and incentive fees increased 13.7 percent and 20.8 percent, respectively, for the three months ended September 30, 2014, compared to the three months ended September 30, 2013.</t>
        </r>
      </text>
    </comment>
    <comment ref="AF355" authorId="0">
      <text>
        <r>
          <rPr>
            <b/>
            <sz val="9"/>
            <color indexed="81"/>
            <rFont val="Tahoma"/>
            <family val="2"/>
          </rPr>
          <t>Savino, Mark (Research):</t>
        </r>
        <r>
          <rPr>
            <sz val="9"/>
            <color indexed="81"/>
            <rFont val="Tahoma"/>
            <family val="2"/>
          </rPr>
          <t xml:space="preserve">
Per mgmt, all of the incremental mgmt fees from Park will hit IMFs, so no impact to base mgmt fees. Assume growth will likely be slightly below overall unit growth as new properties take 2-3 years to ramp</t>
        </r>
      </text>
    </comment>
    <comment ref="AG355" authorId="0">
      <text>
        <r>
          <rPr>
            <b/>
            <sz val="9"/>
            <color indexed="81"/>
            <rFont val="Tahoma"/>
            <family val="2"/>
          </rPr>
          <t>Savino, Mark (Research):</t>
        </r>
        <r>
          <rPr>
            <sz val="9"/>
            <color indexed="81"/>
            <rFont val="Tahoma"/>
            <family val="2"/>
          </rPr>
          <t xml:space="preserve">
Per mgmt, all of the incremental mgmt fees from Park will hit IMFs, so no impact to base mgmt fees. Assume growth will likely be slightly below overall unit growth as new properties take 2-3 years to ramp</t>
        </r>
      </text>
    </comment>
    <comment ref="AH355" authorId="0">
      <text>
        <r>
          <rPr>
            <b/>
            <sz val="9"/>
            <color indexed="81"/>
            <rFont val="Tahoma"/>
            <family val="2"/>
          </rPr>
          <t>Savino, Mark (Research):</t>
        </r>
        <r>
          <rPr>
            <sz val="9"/>
            <color indexed="81"/>
            <rFont val="Tahoma"/>
            <family val="2"/>
          </rPr>
          <t xml:space="preserve">
Per mgmt, all of the incremental mgmt fees from Park will hit IMFs, so no impact to base mgmt fees. Assume growth will likely be slightly below overall unit growth as new properties take 2-3 years to ramp</t>
        </r>
      </text>
    </comment>
    <comment ref="AI355" authorId="0">
      <text>
        <r>
          <rPr>
            <b/>
            <sz val="9"/>
            <color indexed="81"/>
            <rFont val="Tahoma"/>
            <family val="2"/>
          </rPr>
          <t>Savino, Mark (Research):</t>
        </r>
        <r>
          <rPr>
            <sz val="9"/>
            <color indexed="81"/>
            <rFont val="Tahoma"/>
            <family val="2"/>
          </rPr>
          <t xml:space="preserve">
Per mgmt, all of the incremental mgmt fees from Park will hit IMFs, so no impact to base mgmt fees. Assume growth will likely be slightly below overall unit growth as new properties take 2-3 years to ramp</t>
        </r>
      </text>
    </comment>
    <comment ref="AJ355" authorId="0">
      <text>
        <r>
          <rPr>
            <b/>
            <sz val="9"/>
            <color indexed="81"/>
            <rFont val="Tahoma"/>
            <family val="2"/>
          </rPr>
          <t>Savino, Mark (Research):</t>
        </r>
        <r>
          <rPr>
            <sz val="9"/>
            <color indexed="81"/>
            <rFont val="Tahoma"/>
            <family val="2"/>
          </rPr>
          <t xml:space="preserve">
Per mgmt, all of the incremental mgmt fees from Park will hit IMFs, so no impact to base mgmt fees. Assume growth will likely be slightly below overall unit growth as new properties take 2-3 years to ramp</t>
        </r>
      </text>
    </comment>
    <comment ref="AF356" authorId="0">
      <text>
        <r>
          <rPr>
            <b/>
            <sz val="9"/>
            <color indexed="81"/>
            <rFont val="Tahoma"/>
            <family val="2"/>
          </rPr>
          <t>Savino, Mark (Research):</t>
        </r>
        <r>
          <rPr>
            <sz val="9"/>
            <color indexed="81"/>
            <rFont val="Tahoma"/>
            <family val="2"/>
          </rPr>
          <t xml:space="preserve">
HLT had previously been collecting mgmt fees from its owned/leased properties, but these properties were not included in managed room count. Adding these properties into the managed room count implies the % fee will come down</t>
        </r>
      </text>
    </comment>
    <comment ref="AG356" authorId="0">
      <text>
        <r>
          <rPr>
            <b/>
            <sz val="9"/>
            <color indexed="81"/>
            <rFont val="Tahoma"/>
            <family val="2"/>
          </rPr>
          <t>Savino, Mark (Research):</t>
        </r>
        <r>
          <rPr>
            <sz val="9"/>
            <color indexed="81"/>
            <rFont val="Tahoma"/>
            <family val="2"/>
          </rPr>
          <t xml:space="preserve">
HLT had previously been collecting mgmt fees from its owned/leased properties, but these properties were not included in managed room count. Adding these properties into the managed room count implies the % fee will come down</t>
        </r>
      </text>
    </comment>
    <comment ref="AH356" authorId="0">
      <text>
        <r>
          <rPr>
            <b/>
            <sz val="9"/>
            <color indexed="81"/>
            <rFont val="Tahoma"/>
            <family val="2"/>
          </rPr>
          <t>Savino, Mark (Research):</t>
        </r>
        <r>
          <rPr>
            <sz val="9"/>
            <color indexed="81"/>
            <rFont val="Tahoma"/>
            <family val="2"/>
          </rPr>
          <t xml:space="preserve">
HLT had previously been collecting mgmt fees from its owned/leased properties, but these properties were not included in managed room count. Adding these properties into the managed room count implies the % fee will come down</t>
        </r>
      </text>
    </comment>
    <comment ref="AI356" authorId="0">
      <text>
        <r>
          <rPr>
            <b/>
            <sz val="9"/>
            <color indexed="81"/>
            <rFont val="Tahoma"/>
            <family val="2"/>
          </rPr>
          <t>Savino, Mark (Research):</t>
        </r>
        <r>
          <rPr>
            <sz val="9"/>
            <color indexed="81"/>
            <rFont val="Tahoma"/>
            <family val="2"/>
          </rPr>
          <t xml:space="preserve">
HLT had previously been collecting mgmt fees from its owned/leased properties, but these properties were not included in managed room count. Adding these properties into the managed room count implies the % fee will come down</t>
        </r>
      </text>
    </comment>
    <comment ref="AJ356" authorId="0">
      <text>
        <r>
          <rPr>
            <b/>
            <sz val="9"/>
            <color indexed="81"/>
            <rFont val="Tahoma"/>
            <family val="2"/>
          </rPr>
          <t>Savino, Mark (Research):</t>
        </r>
        <r>
          <rPr>
            <sz val="9"/>
            <color indexed="81"/>
            <rFont val="Tahoma"/>
            <family val="2"/>
          </rPr>
          <t xml:space="preserve">
HLT had previously been collecting mgmt fees from its owned/leased properties, but these properties were not included in managed room count. Adding these properties into the managed room count implies the % fee will come down
Reflects $5m of FX impact</t>
        </r>
      </text>
    </comment>
    <comment ref="O371" authorId="2">
      <text>
        <r>
          <rPr>
            <b/>
            <sz val="8"/>
            <color indexed="81"/>
            <rFont val="Tahoma"/>
            <family val="2"/>
          </rPr>
          <t>jills:</t>
        </r>
        <r>
          <rPr>
            <sz val="8"/>
            <color indexed="81"/>
            <rFont val="Tahoma"/>
            <family val="2"/>
          </rPr>
          <t xml:space="preserve">
roughly 40% of hotels globally are currently paying IMFs</t>
        </r>
      </text>
    </comment>
    <comment ref="P371" authorId="2">
      <text>
        <r>
          <rPr>
            <b/>
            <sz val="8"/>
            <color indexed="81"/>
            <rFont val="Tahoma"/>
            <family val="2"/>
          </rPr>
          <t>jills:</t>
        </r>
        <r>
          <rPr>
            <sz val="8"/>
            <color indexed="81"/>
            <rFont val="Tahoma"/>
            <family val="2"/>
          </rPr>
          <t xml:space="preserve">
roughly 40% of hotels globally are currently paying IMFs</t>
        </r>
      </text>
    </comment>
    <comment ref="S371" authorId="7">
      <text>
        <r>
          <rPr>
            <b/>
            <sz val="9"/>
            <color indexed="81"/>
            <rFont val="Tahoma"/>
            <family val="2"/>
          </rPr>
          <t>Allen, Thomas (Research):</t>
        </r>
        <r>
          <rPr>
            <sz val="9"/>
            <color indexed="81"/>
            <rFont val="Tahoma"/>
            <family val="2"/>
          </rPr>
          <t xml:space="preserve">
75% of IMF int'l</t>
        </r>
      </text>
    </comment>
    <comment ref="T371" authorId="8">
      <text>
        <r>
          <rPr>
            <b/>
            <sz val="8"/>
            <color indexed="81"/>
            <rFont val="Tahoma"/>
            <family val="2"/>
          </rPr>
          <t>thallen:</t>
        </r>
        <r>
          <rPr>
            <sz val="8"/>
            <color indexed="81"/>
            <rFont val="Tahoma"/>
            <family val="2"/>
          </rPr>
          <t xml:space="preserve">
Seasonality matches HOT, MAR (highest in 4Q, lowest in 3Q)</t>
        </r>
      </text>
    </comment>
    <comment ref="U371" authorId="2">
      <text>
        <r>
          <rPr>
            <b/>
            <sz val="8"/>
            <color indexed="81"/>
            <rFont val="Tahoma"/>
            <family val="2"/>
          </rPr>
          <t>jills:</t>
        </r>
        <r>
          <rPr>
            <sz val="8"/>
            <color indexed="81"/>
            <rFont val="Tahoma"/>
            <family val="2"/>
          </rPr>
          <t xml:space="preserve">
a lot of potential for IMF growth, esp outside the US given int'l pipeline and no owner's priority internationally</t>
        </r>
      </text>
    </comment>
    <comment ref="AJ371" authorId="0">
      <text>
        <r>
          <rPr>
            <b/>
            <sz val="9"/>
            <color indexed="81"/>
            <rFont val="Tahoma"/>
            <family val="2"/>
          </rPr>
          <t>Savino, Mark (Research):</t>
        </r>
        <r>
          <rPr>
            <sz val="9"/>
            <color indexed="81"/>
            <rFont val="Tahoma"/>
            <family val="2"/>
          </rPr>
          <t xml:space="preserve">
Will include $47.5m of new IMFs from Park
</t>
        </r>
      </text>
    </comment>
    <comment ref="O372" authorId="8">
      <text>
        <r>
          <rPr>
            <b/>
            <sz val="8"/>
            <color indexed="81"/>
            <rFont val="Tahoma"/>
            <family val="2"/>
          </rPr>
          <t>thallen:</t>
        </r>
        <r>
          <rPr>
            <sz val="8"/>
            <color indexed="81"/>
            <rFont val="Tahoma"/>
            <family val="2"/>
          </rPr>
          <t xml:space="preserve">
Decline related to Mecca contract re-negotiation</t>
        </r>
      </text>
    </comment>
    <comment ref="S372" authorId="7">
      <text>
        <r>
          <rPr>
            <b/>
            <sz val="9"/>
            <color indexed="81"/>
            <rFont val="Tahoma"/>
            <family val="2"/>
          </rPr>
          <t>Allen, Thomas (Research):</t>
        </r>
        <r>
          <rPr>
            <sz val="9"/>
            <color indexed="81"/>
            <rFont val="Tahoma"/>
            <family val="2"/>
          </rPr>
          <t xml:space="preserve">
65% of IMF growth int'l
Includes a $5 million reclassification made during the three months ended September 30, 2014 for a small group of hotels. Excluding this reclassification, base fees and incentive fees increased 13.7 percent and 20.8 percent, respectively, for the three months ended September 30, 2014, compared to the three months ended September 30, 2013.</t>
        </r>
      </text>
    </comment>
    <comment ref="AI372" authorId="7">
      <text>
        <r>
          <rPr>
            <b/>
            <sz val="9"/>
            <color indexed="81"/>
            <rFont val="Tahoma"/>
            <family val="2"/>
          </rPr>
          <t>Allen, Thomas (Research):</t>
        </r>
        <r>
          <rPr>
            <sz val="9"/>
            <color indexed="81"/>
            <rFont val="Tahoma"/>
            <family val="2"/>
          </rPr>
          <t xml:space="preserve">
Some 1x benefits</t>
        </r>
      </text>
    </comment>
    <comment ref="AJ372" authorId="0">
      <text>
        <r>
          <rPr>
            <b/>
            <sz val="9"/>
            <color indexed="81"/>
            <rFont val="Tahoma"/>
            <family val="2"/>
          </rPr>
          <t>Savino, Mark (Research):</t>
        </r>
        <r>
          <rPr>
            <sz val="9"/>
            <color indexed="81"/>
            <rFont val="Tahoma"/>
            <family val="2"/>
          </rPr>
          <t xml:space="preserve">
2Q17: IMFs should still be in the range, but at the high end
4Q16 call: IMFs growing in the high-single digit range, but FX will knock down that growth a bit
Assumes $5m of FX impact</t>
        </r>
      </text>
    </comment>
    <comment ref="AO372" authorId="7">
      <text>
        <r>
          <rPr>
            <b/>
            <sz val="9"/>
            <color indexed="81"/>
            <rFont val="Tahoma"/>
            <family val="2"/>
          </rPr>
          <t>Allen, Thomas (Research):</t>
        </r>
        <r>
          <rPr>
            <sz val="9"/>
            <color indexed="81"/>
            <rFont val="Tahoma"/>
            <family val="2"/>
          </rPr>
          <t xml:space="preserve">
4Q17: Tough comp so likely won't grow as fast in 2018</t>
        </r>
      </text>
    </comment>
    <comment ref="O407" authorId="2">
      <text>
        <r>
          <rPr>
            <b/>
            <sz val="8"/>
            <color indexed="81"/>
            <rFont val="Tahoma"/>
            <family val="2"/>
          </rPr>
          <t>jills:</t>
        </r>
        <r>
          <rPr>
            <sz val="8"/>
            <color indexed="81"/>
            <rFont val="Tahoma"/>
            <family val="2"/>
          </rPr>
          <t xml:space="preserve">
guidance $204m</t>
        </r>
      </text>
    </comment>
    <comment ref="Q407" authorId="2">
      <text>
        <r>
          <rPr>
            <b/>
            <sz val="8"/>
            <color indexed="81"/>
            <rFont val="Tahoma"/>
            <family val="2"/>
          </rPr>
          <t>jills:</t>
        </r>
        <r>
          <rPr>
            <sz val="8"/>
            <color indexed="81"/>
            <rFont val="Tahoma"/>
            <family val="2"/>
          </rPr>
          <t xml:space="preserve">
guidance $199m</t>
        </r>
      </text>
    </comment>
    <comment ref="S407" authorId="2">
      <text>
        <r>
          <rPr>
            <b/>
            <sz val="8"/>
            <color indexed="81"/>
            <rFont val="Tahoma"/>
            <family val="2"/>
          </rPr>
          <t>jills:</t>
        </r>
        <r>
          <rPr>
            <sz val="8"/>
            <color indexed="81"/>
            <rFont val="Tahoma"/>
            <family val="2"/>
          </rPr>
          <t xml:space="preserve">
guidance $250m; high-end of 12% guided growth range implies $255m</t>
        </r>
      </text>
    </comment>
    <comment ref="U407" authorId="2">
      <text>
        <r>
          <rPr>
            <b/>
            <sz val="8"/>
            <color indexed="81"/>
            <rFont val="Tahoma"/>
            <family val="2"/>
          </rPr>
          <t>jills:</t>
        </r>
        <r>
          <rPr>
            <sz val="8"/>
            <color indexed="81"/>
            <rFont val="Tahoma"/>
            <family val="2"/>
          </rPr>
          <t xml:space="preserve">
guidance $919m (midpoint) per Nov 2013 analyst presentation but franchise fee growth guidance range (10-12%) implies $910-$927m</t>
        </r>
      </text>
    </comment>
    <comment ref="AF407" authorId="7">
      <text>
        <r>
          <rPr>
            <b/>
            <sz val="9"/>
            <color indexed="81"/>
            <rFont val="Tahoma"/>
            <family val="2"/>
          </rPr>
          <t>Allen, Thomas (Research):</t>
        </r>
        <r>
          <rPr>
            <sz val="9"/>
            <color indexed="81"/>
            <rFont val="Tahoma"/>
            <family val="2"/>
          </rPr>
          <t xml:space="preserve">
Adj. reflects 2017 FX impact of $10m in Franchise fees</t>
        </r>
      </text>
    </comment>
    <comment ref="AG407" authorId="7">
      <text>
        <r>
          <rPr>
            <b/>
            <sz val="9"/>
            <color indexed="81"/>
            <rFont val="Tahoma"/>
            <family val="2"/>
          </rPr>
          <t>Allen, Thomas (Research):</t>
        </r>
        <r>
          <rPr>
            <sz val="9"/>
            <color indexed="81"/>
            <rFont val="Tahoma"/>
            <family val="2"/>
          </rPr>
          <t xml:space="preserve">
Adj. reflects 2017 FX impact of $10m in Franchise fees</t>
        </r>
      </text>
    </comment>
    <comment ref="AH407" authorId="7">
      <text>
        <r>
          <rPr>
            <b/>
            <sz val="9"/>
            <color indexed="81"/>
            <rFont val="Tahoma"/>
            <family val="2"/>
          </rPr>
          <t>Allen, Thomas (Research):</t>
        </r>
        <r>
          <rPr>
            <sz val="9"/>
            <color indexed="81"/>
            <rFont val="Tahoma"/>
            <family val="2"/>
          </rPr>
          <t xml:space="preserve">
Adj. reflects 2017 FX impact of $10m in Franchise fees</t>
        </r>
      </text>
    </comment>
    <comment ref="AI407" authorId="7">
      <text>
        <r>
          <rPr>
            <b/>
            <sz val="9"/>
            <color indexed="81"/>
            <rFont val="Tahoma"/>
            <family val="2"/>
          </rPr>
          <t>Allen, Thomas (Research):</t>
        </r>
        <r>
          <rPr>
            <sz val="9"/>
            <color indexed="81"/>
            <rFont val="Tahoma"/>
            <family val="2"/>
          </rPr>
          <t xml:space="preserve">
Adj. reflects 2017 FX impact of $10m in Franchise fees</t>
        </r>
      </text>
    </comment>
    <comment ref="AJ408" authorId="0">
      <text>
        <r>
          <rPr>
            <b/>
            <sz val="9"/>
            <color indexed="81"/>
            <rFont val="Tahoma"/>
            <family val="2"/>
          </rPr>
          <t>Savino, Mark (Research):</t>
        </r>
        <r>
          <rPr>
            <sz val="9"/>
            <color indexed="81"/>
            <rFont val="Tahoma"/>
            <family val="2"/>
          </rPr>
          <t xml:space="preserve">
2016 was lapping a tough comp in terms of change of ownership fees, so y/y growth in 2017 should be slightly better</t>
        </r>
      </text>
    </comment>
    <comment ref="N409" authorId="2">
      <text>
        <r>
          <rPr>
            <b/>
            <sz val="8"/>
            <color indexed="81"/>
            <rFont val="Tahoma"/>
            <family val="2"/>
          </rPr>
          <t>jills:</t>
        </r>
        <r>
          <rPr>
            <sz val="8"/>
            <color indexed="81"/>
            <rFont val="Tahoma"/>
            <family val="2"/>
          </rPr>
          <t xml:space="preserve">
seasonally highest Q</t>
        </r>
      </text>
    </comment>
    <comment ref="S409" authorId="2">
      <text>
        <r>
          <rPr>
            <b/>
            <sz val="8"/>
            <color indexed="81"/>
            <rFont val="Tahoma"/>
            <family val="2"/>
          </rPr>
          <t>jills:</t>
        </r>
        <r>
          <rPr>
            <sz val="8"/>
            <color indexed="81"/>
            <rFont val="Tahoma"/>
            <family val="2"/>
          </rPr>
          <t xml:space="preserve">
seasonally highest Q</t>
        </r>
      </text>
    </comment>
    <comment ref="U409" authorId="2">
      <text>
        <r>
          <rPr>
            <b/>
            <sz val="8"/>
            <color indexed="81"/>
            <rFont val="Tahoma"/>
            <family val="2"/>
          </rPr>
          <t>jills:</t>
        </r>
        <r>
          <rPr>
            <sz val="8"/>
            <color indexed="81"/>
            <rFont val="Tahoma"/>
            <family val="2"/>
          </rPr>
          <t xml:space="preserve">
Per Nov analyst meeting, published franchise royalty fee 5.4%, should rise as old contracts roll off</t>
        </r>
      </text>
    </comment>
    <comment ref="Z409" authorId="5">
      <text>
        <r>
          <rPr>
            <b/>
            <sz val="9"/>
            <color indexed="81"/>
            <rFont val="Tahoma"/>
            <family val="2"/>
          </rPr>
          <t xml:space="preserve">4Q14:
</t>
        </r>
        <r>
          <rPr>
            <sz val="9"/>
            <color indexed="81"/>
            <rFont val="Tahoma"/>
            <family val="2"/>
          </rPr>
          <t xml:space="preserve">Company has been able to succesfully move average franchise rates up
</t>
        </r>
      </text>
    </comment>
    <comment ref="AE409" authorId="2">
      <text>
        <r>
          <rPr>
            <b/>
            <sz val="8"/>
            <color indexed="81"/>
            <rFont val="Tahoma"/>
            <family val="2"/>
          </rPr>
          <t>jills:</t>
        </r>
        <r>
          <rPr>
            <sz val="8"/>
            <color indexed="81"/>
            <rFont val="Tahoma"/>
            <family val="2"/>
          </rPr>
          <t xml:space="preserve">
Per Nov analyst meeting, published franchise royalty fee 5.4%, should rise as old contracts roll off</t>
        </r>
      </text>
    </comment>
    <comment ref="AJ409" authorId="7">
      <text>
        <r>
          <rPr>
            <b/>
            <sz val="9"/>
            <color indexed="81"/>
            <rFont val="Tahoma"/>
            <family val="2"/>
          </rPr>
          <t>Allen, Thomas (Research):</t>
        </r>
        <r>
          <rPr>
            <sz val="9"/>
            <color indexed="81"/>
            <rFont val="Tahoma"/>
            <family val="2"/>
          </rPr>
          <t xml:space="preserve">
12/8/16 investor day: Improves 5bps / year as royalty rates reset from 5.5% to published 6% overtime
Reflects $10m of FX impact</t>
        </r>
      </text>
    </comment>
    <comment ref="AO409" authorId="7">
      <text>
        <r>
          <rPr>
            <b/>
            <sz val="9"/>
            <color indexed="81"/>
            <rFont val="Tahoma"/>
            <family val="2"/>
          </rPr>
          <t>Allen, Thomas (Research):</t>
        </r>
        <r>
          <rPr>
            <sz val="9"/>
            <color indexed="81"/>
            <rFont val="Tahoma"/>
            <family val="2"/>
          </rPr>
          <t xml:space="preserve">
Includes an estimated ~$55m of  incremental branding associated with credit card renegotiation, per mgmt post 2Q17 call, licensing fees 11.5% of fees in 2017 going up to 13%
12/8/16 investor day: Improves 5bps / year as royalty rates reset from 5.5% to published 6% overtime</t>
        </r>
      </text>
    </comment>
    <comment ref="AP409" authorId="7">
      <text>
        <r>
          <rPr>
            <b/>
            <sz val="9"/>
            <color indexed="81"/>
            <rFont val="Tahoma"/>
            <family val="2"/>
          </rPr>
          <t>Allen, Thomas (Research):</t>
        </r>
        <r>
          <rPr>
            <sz val="9"/>
            <color indexed="81"/>
            <rFont val="Tahoma"/>
            <family val="2"/>
          </rPr>
          <t xml:space="preserve">
12/8/16 investor day: Improves 5bps / year as royalty rates reset from 5.5% to published 6% overtime</t>
        </r>
      </text>
    </comment>
    <comment ref="AQ409" authorId="7">
      <text>
        <r>
          <rPr>
            <b/>
            <sz val="9"/>
            <color indexed="81"/>
            <rFont val="Tahoma"/>
            <family val="2"/>
          </rPr>
          <t>Allen, Thomas (Research):</t>
        </r>
        <r>
          <rPr>
            <sz val="9"/>
            <color indexed="81"/>
            <rFont val="Tahoma"/>
            <family val="2"/>
          </rPr>
          <t xml:space="preserve">
12/8/16 investor day: Improves 5bps / year as royalty rates reset from 5.5% to published 6% overtime</t>
        </r>
      </text>
    </comment>
    <comment ref="O423" authorId="2">
      <text>
        <r>
          <rPr>
            <b/>
            <sz val="8"/>
            <color indexed="81"/>
            <rFont val="Tahoma"/>
            <family val="2"/>
          </rPr>
          <t>jills:</t>
        </r>
        <r>
          <rPr>
            <sz val="8"/>
            <color indexed="81"/>
            <rFont val="Tahoma"/>
            <family val="2"/>
          </rPr>
          <t xml:space="preserve">
realized deferred revenue in 4Q13 which boosted growth rate</t>
        </r>
      </text>
    </comment>
    <comment ref="T424" authorId="2">
      <text>
        <r>
          <rPr>
            <b/>
            <sz val="8"/>
            <color indexed="81"/>
            <rFont val="Tahoma"/>
            <family val="2"/>
          </rPr>
          <t>jills:</t>
        </r>
        <r>
          <rPr>
            <sz val="8"/>
            <color indexed="81"/>
            <rFont val="Tahoma"/>
            <family val="2"/>
          </rPr>
          <t xml:space="preserve">
tough comp given deferred rev which hit in 4Q13</t>
        </r>
      </text>
    </comment>
    <comment ref="Z424" authorId="2">
      <text>
        <r>
          <rPr>
            <b/>
            <sz val="8"/>
            <color indexed="81"/>
            <rFont val="Tahoma"/>
            <family val="2"/>
          </rPr>
          <t>jills:</t>
        </r>
        <r>
          <rPr>
            <sz val="8"/>
            <color indexed="81"/>
            <rFont val="Tahoma"/>
            <family val="2"/>
          </rPr>
          <t xml:space="preserve">
normalized growth rate
per mgmt, impact of transitioning to asset light timeshare will include: real estate sales will decrease but low mgn business; financing segment top line will be roughly the same and same to slightly lower mgns b/c not on balance sheet; fees will increase; overall timeshare segment will see top line deceleration but not a decline 
tough to be completely asset light</t>
        </r>
      </text>
    </comment>
    <comment ref="AE424" authorId="10">
      <text>
        <r>
          <rPr>
            <b/>
            <sz val="9"/>
            <color indexed="81"/>
            <rFont val="Tahoma"/>
            <family val="2"/>
          </rPr>
          <t>Slattery, Jill N (Research):</t>
        </r>
        <r>
          <rPr>
            <sz val="9"/>
            <color indexed="81"/>
            <rFont val="Tahoma"/>
            <family val="2"/>
          </rPr>
          <t xml:space="preserve">
per mgmt, impact of transitioning to asset light timeshare will include: real estate sales will decrease but low mgn business; financing segment top line will be roughly the same and same to slightly lower mgns b/c not on balance sheet; fees will increase; overall timeshare segment will see top line deceleration but not a decline 
tough to be completely asset light</t>
        </r>
      </text>
    </comment>
    <comment ref="V431" authorId="5">
      <text>
        <r>
          <rPr>
            <b/>
            <sz val="9"/>
            <color indexed="81"/>
            <rFont val="Tahoma"/>
            <family val="2"/>
          </rPr>
          <t>4Q14:</t>
        </r>
        <r>
          <rPr>
            <sz val="9"/>
            <color indexed="81"/>
            <rFont val="Tahoma"/>
            <family val="2"/>
          </rPr>
          <t xml:space="preserve">
Early registration of New York timeshare units benefited 4Q14 by ~$12 million in adjusted EBITDA, which is expected to reduce 1Q15 adjusted EBITDA by the same amount</t>
        </r>
      </text>
    </comment>
    <comment ref="Z431" authorId="5">
      <text>
        <r>
          <rPr>
            <b/>
            <sz val="9"/>
            <color indexed="81"/>
            <rFont val="Tahoma"/>
            <family val="2"/>
          </rPr>
          <t>Chaudhry, Baset A (Research):</t>
        </r>
        <r>
          <rPr>
            <sz val="9"/>
            <color indexed="81"/>
            <rFont val="Tahoma"/>
            <family val="2"/>
          </rPr>
          <t xml:space="preserve">
Outperformance in 1H15 but should normalize in 2H</t>
        </r>
      </text>
    </comment>
    <comment ref="P433" authorId="2">
      <text>
        <r>
          <rPr>
            <b/>
            <sz val="8"/>
            <color indexed="81"/>
            <rFont val="Tahoma"/>
            <family val="2"/>
          </rPr>
          <t>jills:</t>
        </r>
        <r>
          <rPr>
            <sz val="8"/>
            <color indexed="81"/>
            <rFont val="Tahoma"/>
            <family val="2"/>
          </rPr>
          <t xml:space="preserve">
guidance 17% growth
Sold 1 location to municipality, $10mm impact on 2013 EBITDA y/y</t>
        </r>
      </text>
    </comment>
    <comment ref="U433" authorId="8">
      <text>
        <r>
          <rPr>
            <b/>
            <sz val="8"/>
            <color indexed="81"/>
            <rFont val="Tahoma"/>
            <family val="2"/>
          </rPr>
          <t>thallen:</t>
        </r>
        <r>
          <rPr>
            <sz val="8"/>
            <color indexed="81"/>
            <rFont val="Tahoma"/>
            <family val="2"/>
          </rPr>
          <t xml:space="preserve">
Guidance: 5-7%</t>
        </r>
      </text>
    </comment>
    <comment ref="Z433" authorId="2">
      <text>
        <r>
          <rPr>
            <b/>
            <sz val="8"/>
            <color indexed="81"/>
            <rFont val="Tahoma"/>
            <family val="2"/>
          </rPr>
          <t>jills:</t>
        </r>
        <r>
          <rPr>
            <sz val="8"/>
            <color indexed="81"/>
            <rFont val="Tahoma"/>
            <family val="2"/>
          </rPr>
          <t xml:space="preserve">
company has guided to roughly flat timeshare EBITDA growth in 2015 (per Nov 2013 analyst presentation)
</t>
        </r>
      </text>
    </comment>
    <comment ref="O434" authorId="7">
      <text>
        <r>
          <rPr>
            <b/>
            <sz val="9"/>
            <color indexed="81"/>
            <rFont val="Tahoma"/>
            <family val="2"/>
          </rPr>
          <t>Allen, Thomas (Research):</t>
        </r>
        <r>
          <rPr>
            <sz val="9"/>
            <color indexed="81"/>
            <rFont val="Tahoma"/>
            <family val="2"/>
          </rPr>
          <t xml:space="preserve">
Pre-IPO: $90m</t>
        </r>
      </text>
    </comment>
    <comment ref="Q434" authorId="7">
      <text>
        <r>
          <rPr>
            <b/>
            <sz val="9"/>
            <color indexed="81"/>
            <rFont val="Tahoma"/>
            <family val="2"/>
          </rPr>
          <t>Allen, Thomas (Research):</t>
        </r>
        <r>
          <rPr>
            <sz val="9"/>
            <color indexed="81"/>
            <rFont val="Tahoma"/>
            <family val="2"/>
          </rPr>
          <t xml:space="preserve">
Pre-IPO: $65m</t>
        </r>
      </text>
    </comment>
    <comment ref="R434" authorId="7">
      <text>
        <r>
          <rPr>
            <b/>
            <sz val="9"/>
            <color indexed="81"/>
            <rFont val="Tahoma"/>
            <family val="2"/>
          </rPr>
          <t>Allen, Thomas (Research):</t>
        </r>
        <r>
          <rPr>
            <sz val="9"/>
            <color indexed="81"/>
            <rFont val="Tahoma"/>
            <family val="2"/>
          </rPr>
          <t xml:space="preserve">
Pre-IPO: $72m</t>
        </r>
      </text>
    </comment>
    <comment ref="S434" authorId="7">
      <text>
        <r>
          <rPr>
            <b/>
            <sz val="9"/>
            <color indexed="81"/>
            <rFont val="Tahoma"/>
            <family val="2"/>
          </rPr>
          <t>Allen, Thomas (Research):</t>
        </r>
        <r>
          <rPr>
            <sz val="9"/>
            <color indexed="81"/>
            <rFont val="Tahoma"/>
            <family val="2"/>
          </rPr>
          <t xml:space="preserve">
Pre-IPO: $85m</t>
        </r>
      </text>
    </comment>
    <comment ref="T434" authorId="7">
      <text>
        <r>
          <rPr>
            <b/>
            <sz val="9"/>
            <color indexed="81"/>
            <rFont val="Tahoma"/>
            <family val="2"/>
          </rPr>
          <t>Allen, Thomas (Research):</t>
        </r>
        <r>
          <rPr>
            <sz val="9"/>
            <color indexed="81"/>
            <rFont val="Tahoma"/>
            <family val="2"/>
          </rPr>
          <t xml:space="preserve">
Pre-IPO: $91m</t>
        </r>
      </text>
    </comment>
    <comment ref="U434" authorId="7">
      <text>
        <r>
          <rPr>
            <b/>
            <sz val="9"/>
            <color indexed="81"/>
            <rFont val="Tahoma"/>
            <family val="2"/>
          </rPr>
          <t>Guidance:</t>
        </r>
        <r>
          <rPr>
            <sz val="9"/>
            <color indexed="81"/>
            <rFont val="Tahoma"/>
            <family val="2"/>
          </rPr>
          <t xml:space="preserve">
(3Q14) $315-330m
(1Q14) $315-330m
(4Q13) $310-325m</t>
        </r>
      </text>
    </comment>
    <comment ref="Z434" authorId="7">
      <text>
        <r>
          <rPr>
            <b/>
            <sz val="9"/>
            <color indexed="81"/>
            <rFont val="Tahoma"/>
            <family val="2"/>
          </rPr>
          <t>Guidance:</t>
        </r>
        <r>
          <rPr>
            <sz val="9"/>
            <color indexed="81"/>
            <rFont val="Tahoma"/>
            <family val="2"/>
          </rPr>
          <t xml:space="preserve">
3Q15: $335-350m
2Q15: $335-350m
1Q15: $335-350m
4Q14: $335-350m
</t>
        </r>
      </text>
    </comment>
    <comment ref="AE434" authorId="7">
      <text>
        <r>
          <rPr>
            <b/>
            <sz val="9"/>
            <color indexed="81"/>
            <rFont val="Tahoma"/>
            <family val="2"/>
          </rPr>
          <t>Guidance:</t>
        </r>
        <r>
          <rPr>
            <sz val="9"/>
            <color indexed="81"/>
            <rFont val="Tahoma"/>
            <family val="2"/>
          </rPr>
          <t xml:space="preserve">
3Q16: $370-390m
2Q16: $370-390m
1Q16: $370-390m
4Q15: $370-390m</t>
        </r>
      </text>
    </comment>
    <comment ref="O437" authorId="3">
      <text>
        <r>
          <rPr>
            <sz val="8"/>
            <color indexed="81"/>
            <rFont val="Tahoma"/>
            <family val="2"/>
          </rPr>
          <t xml:space="preserve">Company Guidance $5,891
</t>
        </r>
      </text>
    </comment>
    <comment ref="Q437" authorId="3">
      <text>
        <r>
          <rPr>
            <sz val="8"/>
            <color indexed="81"/>
            <rFont val="Tahoma"/>
            <family val="2"/>
          </rPr>
          <t>Company Guidance
$5,509</t>
        </r>
      </text>
    </comment>
    <comment ref="R437" authorId="3">
      <text>
        <r>
          <rPr>
            <sz val="8"/>
            <color indexed="81"/>
            <rFont val="Tahoma"/>
            <family val="2"/>
          </rPr>
          <t>Company Guidance
$6,213</t>
        </r>
      </text>
    </comment>
    <comment ref="S437" authorId="3">
      <text>
        <r>
          <rPr>
            <sz val="8"/>
            <color indexed="81"/>
            <rFont val="Tahoma"/>
            <family val="2"/>
          </rPr>
          <t>Company Guidance
$6,670</t>
        </r>
      </text>
    </comment>
    <comment ref="T437" authorId="3">
      <text>
        <r>
          <rPr>
            <sz val="8"/>
            <color indexed="81"/>
            <rFont val="Tahoma"/>
            <family val="2"/>
          </rPr>
          <t>Company Guidance
$6,585</t>
        </r>
      </text>
    </comment>
    <comment ref="O440" authorId="3">
      <text>
        <r>
          <rPr>
            <sz val="8"/>
            <color indexed="81"/>
            <rFont val="Tahoma"/>
            <family val="2"/>
          </rPr>
          <t>Company Guidance
3,249</t>
        </r>
      </text>
    </comment>
    <comment ref="P440" authorId="3">
      <text>
        <r>
          <rPr>
            <sz val="8"/>
            <color indexed="81"/>
            <rFont val="Tahoma"/>
            <family val="2"/>
          </rPr>
          <t xml:space="preserve">Company Guidance
</t>
        </r>
      </text>
    </comment>
    <comment ref="Q440" authorId="3">
      <text>
        <r>
          <rPr>
            <sz val="8"/>
            <color indexed="81"/>
            <rFont val="Tahoma"/>
            <family val="2"/>
          </rPr>
          <t>Company Guidance
3,335</t>
        </r>
      </text>
    </comment>
    <comment ref="R440" authorId="3">
      <text>
        <r>
          <rPr>
            <sz val="8"/>
            <color indexed="81"/>
            <rFont val="Tahoma"/>
            <family val="2"/>
          </rPr>
          <t>Company Guidance
3,195</t>
        </r>
      </text>
    </comment>
    <comment ref="S440" authorId="3">
      <text>
        <r>
          <rPr>
            <sz val="8"/>
            <color indexed="81"/>
            <rFont val="Tahoma"/>
            <family val="2"/>
          </rPr>
          <t>Company Guidance
3,511</t>
        </r>
      </text>
    </comment>
    <comment ref="T440" authorId="3">
      <text>
        <r>
          <rPr>
            <sz val="8"/>
            <color indexed="81"/>
            <rFont val="Tahoma"/>
            <family val="2"/>
          </rPr>
          <t>Company Guidance
3,715</t>
        </r>
      </text>
    </comment>
    <comment ref="U440" authorId="3">
      <text>
        <r>
          <rPr>
            <sz val="8"/>
            <color indexed="81"/>
            <rFont val="Tahoma"/>
            <family val="2"/>
          </rPr>
          <t>Company Guidance
3,422</t>
        </r>
      </text>
    </comment>
    <comment ref="O443" authorId="3">
      <text>
        <r>
          <rPr>
            <sz val="8"/>
            <color indexed="81"/>
            <rFont val="Tahoma"/>
            <family val="2"/>
          </rPr>
          <t>Company Guidance
63,963</t>
        </r>
      </text>
    </comment>
    <comment ref="Q443" authorId="3">
      <text>
        <r>
          <rPr>
            <sz val="8"/>
            <color indexed="81"/>
            <rFont val="Tahoma"/>
            <family val="2"/>
          </rPr>
          <t>Company Guidance
56,742</t>
        </r>
      </text>
    </comment>
    <comment ref="R443" authorId="3">
      <text>
        <r>
          <rPr>
            <sz val="8"/>
            <color indexed="81"/>
            <rFont val="Tahoma"/>
            <family val="2"/>
          </rPr>
          <t>Company Guidance
65,521</t>
        </r>
      </text>
    </comment>
    <comment ref="S443" authorId="3">
      <text>
        <r>
          <rPr>
            <sz val="8"/>
            <color indexed="81"/>
            <rFont val="Tahoma"/>
            <family val="2"/>
          </rPr>
          <t>Company Guidance
66,796</t>
        </r>
      </text>
    </comment>
    <comment ref="T443" authorId="3">
      <text>
        <r>
          <rPr>
            <sz val="8"/>
            <color indexed="81"/>
            <rFont val="Tahoma"/>
            <family val="2"/>
          </rPr>
          <t>Company Guidance
64,234</t>
        </r>
      </text>
    </comment>
    <comment ref="O451" authorId="2">
      <text>
        <r>
          <rPr>
            <b/>
            <sz val="8"/>
            <color indexed="81"/>
            <rFont val="Tahoma"/>
            <family val="2"/>
          </rPr>
          <t>jills:</t>
        </r>
        <r>
          <rPr>
            <sz val="8"/>
            <color indexed="81"/>
            <rFont val="Tahoma"/>
            <family val="2"/>
          </rPr>
          <t xml:space="preserve">
guidance $129m
11/26 updated guidance: $166m, includes net $37m GAAP G&amp;A increase resulting from a one-time $52m charge previously estimated to be in transaction costs (but not previously charged as a GAAP G&amp;A expense) that will be accrued in 4Q13 but not paid until 1Q14; offsetting this is a one-time $15m benefit in 4Q13; neither of these changes will impact adjusted EBITDA</t>
        </r>
      </text>
    </comment>
    <comment ref="Q451" authorId="2">
      <text>
        <r>
          <rPr>
            <b/>
            <sz val="8"/>
            <color indexed="81"/>
            <rFont val="Tahoma"/>
            <family val="2"/>
          </rPr>
          <t>jills:</t>
        </r>
        <r>
          <rPr>
            <sz val="8"/>
            <color indexed="81"/>
            <rFont val="Tahoma"/>
            <family val="2"/>
          </rPr>
          <t xml:space="preserve">
guidance $103m
$18m one-time credit in 1Q14 related to the conversion of our cash-based long-term incentive program into a stock-based program. This credit will reverse itself over the balance of the year and was built into our previous guidance. The expenses associated with our new share-based compensation program flow through our G&amp;A expenses and are included in our adjusted EBITDA.
</t>
        </r>
      </text>
    </comment>
    <comment ref="R451" authorId="2">
      <text>
        <r>
          <rPr>
            <b/>
            <sz val="8"/>
            <color indexed="81"/>
            <rFont val="Tahoma"/>
            <family val="2"/>
          </rPr>
          <t>jills:</t>
        </r>
        <r>
          <rPr>
            <sz val="8"/>
            <color indexed="81"/>
            <rFont val="Tahoma"/>
            <family val="2"/>
          </rPr>
          <t xml:space="preserve">
guidance $103m</t>
        </r>
      </text>
    </comment>
    <comment ref="S451" authorId="2">
      <text>
        <r>
          <rPr>
            <b/>
            <sz val="8"/>
            <color indexed="81"/>
            <rFont val="Tahoma"/>
            <family val="2"/>
          </rPr>
          <t>jills:</t>
        </r>
        <r>
          <rPr>
            <sz val="8"/>
            <color indexed="81"/>
            <rFont val="Tahoma"/>
            <family val="2"/>
          </rPr>
          <t xml:space="preserve">
Pre-IPO guidance $98m</t>
        </r>
      </text>
    </comment>
    <comment ref="T451" authorId="2">
      <text>
        <r>
          <rPr>
            <b/>
            <sz val="8"/>
            <color indexed="81"/>
            <rFont val="Tahoma"/>
            <family val="2"/>
          </rPr>
          <t>jills:</t>
        </r>
        <r>
          <rPr>
            <sz val="8"/>
            <color indexed="81"/>
            <rFont val="Tahoma"/>
            <family val="2"/>
          </rPr>
          <t xml:space="preserve">
Pre-IPO guidance $98m</t>
        </r>
      </text>
    </comment>
    <comment ref="V451" authorId="7">
      <text>
        <r>
          <rPr>
            <b/>
            <sz val="9"/>
            <color indexed="81"/>
            <rFont val="Tahoma"/>
            <family val="2"/>
          </rPr>
          <t>Allen, Thomas (Research):</t>
        </r>
        <r>
          <rPr>
            <sz val="9"/>
            <color indexed="81"/>
            <rFont val="Tahoma"/>
            <family val="2"/>
          </rPr>
          <t xml:space="preserve">
$18m one-time credit in 1Q14 related to the conversion of our cash-based long-term incentive program into a stock-based program. This credit will reverse itself over the balance of the year and was built into our previous guidance. 
The expenses associated with our new share-based compensation program flow through our G&amp;A expenses and are included in our adjusted EBITDA.
</t>
        </r>
      </text>
    </comment>
    <comment ref="AJ451" authorId="0">
      <text>
        <r>
          <rPr>
            <b/>
            <sz val="9"/>
            <color indexed="81"/>
            <rFont val="Tahoma"/>
            <family val="2"/>
          </rPr>
          <t>Savino, Mark (Research):</t>
        </r>
        <r>
          <rPr>
            <sz val="9"/>
            <color indexed="81"/>
            <rFont val="Tahoma"/>
            <family val="2"/>
          </rPr>
          <t xml:space="preserve">
3Q17: $430-440m, incl. appr. $30m of transaction-related costs
2Q17: $430-440m, including appr. $30m of transaction-related costs (estimates transaction costs to be $60m)
1Q17: flat compared to 2016
4Q16: Flat with 2016 pro forma G&amp;A of $403m
</t>
        </r>
      </text>
    </comment>
    <comment ref="AO451" authorId="0">
      <text>
        <r>
          <rPr>
            <b/>
            <sz val="9"/>
            <color indexed="81"/>
            <rFont val="Tahoma"/>
            <family val="2"/>
          </rPr>
          <t>Savino, Mark (Research):</t>
        </r>
        <r>
          <rPr>
            <sz val="9"/>
            <color indexed="81"/>
            <rFont val="Tahoma"/>
            <family val="2"/>
          </rPr>
          <t xml:space="preserve">
4Q17: $400-425m</t>
        </r>
      </text>
    </comment>
    <comment ref="T452" authorId="2">
      <text>
        <r>
          <rPr>
            <b/>
            <sz val="8"/>
            <color indexed="81"/>
            <rFont val="Tahoma"/>
            <family val="2"/>
          </rPr>
          <t>jills:</t>
        </r>
        <r>
          <rPr>
            <sz val="8"/>
            <color indexed="81"/>
            <rFont val="Tahoma"/>
            <family val="2"/>
          </rPr>
          <t xml:space="preserve">
4Q13 included $37m net one-time charges</t>
        </r>
      </text>
    </comment>
    <comment ref="W452" authorId="7">
      <text>
        <r>
          <rPr>
            <b/>
            <sz val="9"/>
            <color indexed="81"/>
            <rFont val="Tahoma"/>
            <family val="2"/>
          </rPr>
          <t>Allen, Thomas (Research):</t>
        </r>
        <r>
          <rPr>
            <sz val="9"/>
            <color indexed="81"/>
            <rFont val="Tahoma"/>
            <family val="2"/>
          </rPr>
          <t xml:space="preserve">
Reversal of credit in 2Q-4Q14</t>
        </r>
      </text>
    </comment>
    <comment ref="X452" authorId="7">
      <text>
        <r>
          <rPr>
            <b/>
            <sz val="9"/>
            <color indexed="81"/>
            <rFont val="Tahoma"/>
            <family val="2"/>
          </rPr>
          <t>Allen, Thomas (Research):</t>
        </r>
        <r>
          <rPr>
            <sz val="9"/>
            <color indexed="81"/>
            <rFont val="Tahoma"/>
            <family val="2"/>
          </rPr>
          <t xml:space="preserve">
Reversal of credit in 2Q-4Q14</t>
        </r>
      </text>
    </comment>
    <comment ref="Y452" authorId="7">
      <text>
        <r>
          <rPr>
            <b/>
            <sz val="9"/>
            <color indexed="81"/>
            <rFont val="Tahoma"/>
            <family val="2"/>
          </rPr>
          <t>Allen, Thomas (Research):</t>
        </r>
        <r>
          <rPr>
            <sz val="9"/>
            <color indexed="81"/>
            <rFont val="Tahoma"/>
            <family val="2"/>
          </rPr>
          <t xml:space="preserve">
Reversal of credit in 2Q-4Q14</t>
        </r>
      </text>
    </comment>
    <comment ref="Z452" authorId="2">
      <text>
        <r>
          <rPr>
            <b/>
            <sz val="8"/>
            <color indexed="81"/>
            <rFont val="Tahoma"/>
            <family val="2"/>
          </rPr>
          <t>Guidance:</t>
        </r>
        <r>
          <rPr>
            <sz val="8"/>
            <color indexed="81"/>
            <rFont val="Tahoma"/>
            <family val="2"/>
          </rPr>
          <t xml:space="preserve">
3Q15: Expected to stay flat to moderately down vs. prior year
2Q15: Expected to stay flat vs. prior year
1Q15: Expected to stay flat vs. prior year
4Q14: Expected to stay flat vs. prior year</t>
        </r>
      </text>
    </comment>
    <comment ref="AF452" authorId="7">
      <text>
        <r>
          <rPr>
            <b/>
            <sz val="9"/>
            <color indexed="81"/>
            <rFont val="Tahoma"/>
            <family val="2"/>
          </rPr>
          <t>Allen, Thomas (Research):</t>
        </r>
        <r>
          <rPr>
            <sz val="9"/>
            <color indexed="81"/>
            <rFont val="Tahoma"/>
            <family val="2"/>
          </rPr>
          <t xml:space="preserve">
Txn costs</t>
        </r>
      </text>
    </comment>
    <comment ref="AG452" authorId="7">
      <text>
        <r>
          <rPr>
            <b/>
            <sz val="9"/>
            <color indexed="81"/>
            <rFont val="Tahoma"/>
            <family val="2"/>
          </rPr>
          <t>Allen, Thomas (Research):</t>
        </r>
        <r>
          <rPr>
            <sz val="9"/>
            <color indexed="81"/>
            <rFont val="Tahoma"/>
            <family val="2"/>
          </rPr>
          <t xml:space="preserve">
Txn costs</t>
        </r>
      </text>
    </comment>
    <comment ref="AI452" authorId="7">
      <text>
        <r>
          <rPr>
            <b/>
            <sz val="9"/>
            <color indexed="81"/>
            <rFont val="Tahoma"/>
            <family val="2"/>
          </rPr>
          <t>Allen, Thomas (Research):</t>
        </r>
        <r>
          <rPr>
            <sz val="9"/>
            <color indexed="81"/>
            <rFont val="Tahoma"/>
            <family val="2"/>
          </rPr>
          <t xml:space="preserve">
Some 1x expense savings</t>
        </r>
      </text>
    </comment>
    <comment ref="AJ452" authorId="7">
      <text>
        <r>
          <rPr>
            <b/>
            <sz val="9"/>
            <color indexed="81"/>
            <rFont val="Tahoma"/>
            <family val="2"/>
          </rPr>
          <t>Allen, Thomas (Research):</t>
        </r>
        <r>
          <rPr>
            <sz val="9"/>
            <color indexed="81"/>
            <rFont val="Tahoma"/>
            <family val="2"/>
          </rPr>
          <t xml:space="preserve">
1Q17: flat
See corp expense line 118 for clean growth</t>
        </r>
      </text>
    </comment>
    <comment ref="AK452" authorId="7">
      <text>
        <r>
          <rPr>
            <b/>
            <sz val="9"/>
            <color indexed="81"/>
            <rFont val="Tahoma"/>
            <family val="2"/>
          </rPr>
          <t>Allen, Thomas (Research):</t>
        </r>
        <r>
          <rPr>
            <sz val="9"/>
            <color indexed="81"/>
            <rFont val="Tahoma"/>
            <family val="2"/>
          </rPr>
          <t xml:space="preserve">
Comping txn costs related to spins</t>
        </r>
      </text>
    </comment>
    <comment ref="AL452" authorId="7">
      <text>
        <r>
          <rPr>
            <b/>
            <sz val="9"/>
            <color indexed="81"/>
            <rFont val="Tahoma"/>
            <family val="2"/>
          </rPr>
          <t>Allen, Thomas (Research):</t>
        </r>
        <r>
          <rPr>
            <sz val="9"/>
            <color indexed="81"/>
            <rFont val="Tahoma"/>
            <family val="2"/>
          </rPr>
          <t xml:space="preserve">
Comping txn costs related to spins</t>
        </r>
      </text>
    </comment>
    <comment ref="AO452" authorId="0">
      <text>
        <r>
          <rPr>
            <b/>
            <sz val="9"/>
            <color indexed="81"/>
            <rFont val="Tahoma"/>
            <family val="2"/>
          </rPr>
          <t>Savino, Mark (Research):</t>
        </r>
        <r>
          <rPr>
            <sz val="9"/>
            <color indexed="81"/>
            <rFont val="Tahoma"/>
            <family val="2"/>
          </rPr>
          <t xml:space="preserve">
4Q17: Lapping txn costs related to spins
4Q16: $25m of 1x costs still in 2017 that should start to roll off
12/8/16 investor day: 3% annual growth in corporate / other but we expect more tepid RevPAR growth to drive lower G&amp;A growth</t>
        </r>
      </text>
    </comment>
    <comment ref="AP452" authorId="0">
      <text>
        <r>
          <rPr>
            <b/>
            <sz val="9"/>
            <color indexed="81"/>
            <rFont val="Tahoma"/>
            <family val="2"/>
          </rPr>
          <t>Savino, Mark (Research):</t>
        </r>
        <r>
          <rPr>
            <sz val="9"/>
            <color indexed="81"/>
            <rFont val="Tahoma"/>
            <family val="2"/>
          </rPr>
          <t xml:space="preserve">
12/8/16 investor day: 3% annual growth in corporate / other but we expect more tepid RevPAR growth to drive lower G&amp;A growth</t>
        </r>
      </text>
    </comment>
    <comment ref="U453" authorId="7">
      <text>
        <r>
          <rPr>
            <b/>
            <sz val="9"/>
            <color indexed="81"/>
            <rFont val="Tahoma"/>
            <family val="2"/>
          </rPr>
          <t xml:space="preserve">Guidance: </t>
        </r>
        <r>
          <rPr>
            <sz val="9"/>
            <color indexed="81"/>
            <rFont val="Tahoma"/>
            <family val="2"/>
          </rPr>
          <t xml:space="preserve">
3Q14: 3-5%
2Q14: 3-5%</t>
        </r>
      </text>
    </comment>
    <comment ref="A455" authorId="2">
      <text>
        <r>
          <rPr>
            <b/>
            <sz val="8"/>
            <color indexed="81"/>
            <rFont val="Tahoma"/>
            <family val="2"/>
          </rPr>
          <t>jills:</t>
        </r>
        <r>
          <rPr>
            <sz val="8"/>
            <color indexed="81"/>
            <rFont val="Tahoma"/>
            <family val="2"/>
          </rPr>
          <t xml:space="preserve">
reimbursements</t>
        </r>
      </text>
    </comment>
    <comment ref="O456" authorId="8">
      <text>
        <r>
          <rPr>
            <b/>
            <sz val="8"/>
            <color indexed="81"/>
            <rFont val="Tahoma"/>
            <family val="2"/>
          </rPr>
          <t>thallen:</t>
        </r>
        <r>
          <rPr>
            <sz val="8"/>
            <color indexed="81"/>
            <rFont val="Tahoma"/>
            <family val="2"/>
          </rPr>
          <t xml:space="preserve">
Equal to change in managed and franchised revenue</t>
        </r>
      </text>
    </comment>
    <comment ref="Q456" authorId="8">
      <text>
        <r>
          <rPr>
            <b/>
            <sz val="8"/>
            <color indexed="81"/>
            <rFont val="Tahoma"/>
            <family val="2"/>
          </rPr>
          <t>thallen:</t>
        </r>
        <r>
          <rPr>
            <sz val="8"/>
            <color indexed="81"/>
            <rFont val="Tahoma"/>
            <family val="2"/>
          </rPr>
          <t xml:space="preserve">
Equal to change in managed and franchised revenue</t>
        </r>
      </text>
    </comment>
    <comment ref="R456" authorId="8">
      <text>
        <r>
          <rPr>
            <b/>
            <sz val="8"/>
            <color indexed="81"/>
            <rFont val="Tahoma"/>
            <family val="2"/>
          </rPr>
          <t>thallen:</t>
        </r>
        <r>
          <rPr>
            <sz val="8"/>
            <color indexed="81"/>
            <rFont val="Tahoma"/>
            <family val="2"/>
          </rPr>
          <t xml:space="preserve">
Equal to change in managed and franchised revenue</t>
        </r>
      </text>
    </comment>
    <comment ref="S456" authorId="8">
      <text>
        <r>
          <rPr>
            <b/>
            <sz val="8"/>
            <color indexed="81"/>
            <rFont val="Tahoma"/>
            <family val="2"/>
          </rPr>
          <t>thallen:</t>
        </r>
        <r>
          <rPr>
            <sz val="8"/>
            <color indexed="81"/>
            <rFont val="Tahoma"/>
            <family val="2"/>
          </rPr>
          <t xml:space="preserve">
Equal to change in managed and franchised revenue</t>
        </r>
      </text>
    </comment>
    <comment ref="T456" authorId="8">
      <text>
        <r>
          <rPr>
            <b/>
            <sz val="8"/>
            <color indexed="81"/>
            <rFont val="Tahoma"/>
            <family val="2"/>
          </rPr>
          <t>thallen:</t>
        </r>
        <r>
          <rPr>
            <sz val="8"/>
            <color indexed="81"/>
            <rFont val="Tahoma"/>
            <family val="2"/>
          </rPr>
          <t xml:space="preserve">
Equal to change in managed and franchised revenue</t>
        </r>
      </text>
    </comment>
    <comment ref="Z456" authorId="8">
      <text>
        <r>
          <rPr>
            <b/>
            <sz val="8"/>
            <color indexed="81"/>
            <rFont val="Tahoma"/>
            <family val="2"/>
          </rPr>
          <t>thallen:</t>
        </r>
        <r>
          <rPr>
            <sz val="8"/>
            <color indexed="81"/>
            <rFont val="Tahoma"/>
            <family val="2"/>
          </rPr>
          <t xml:space="preserve">
Equal to change in managed and franchised revenue</t>
        </r>
      </text>
    </comment>
    <comment ref="AE456" authorId="8">
      <text>
        <r>
          <rPr>
            <b/>
            <sz val="8"/>
            <color indexed="81"/>
            <rFont val="Tahoma"/>
            <family val="2"/>
          </rPr>
          <t>thallen:</t>
        </r>
        <r>
          <rPr>
            <sz val="8"/>
            <color indexed="81"/>
            <rFont val="Tahoma"/>
            <family val="2"/>
          </rPr>
          <t xml:space="preserve">
Equal to change in managed and franchised revenue</t>
        </r>
      </text>
    </comment>
    <comment ref="AJ456" authorId="8">
      <text>
        <r>
          <rPr>
            <b/>
            <sz val="8"/>
            <color indexed="81"/>
            <rFont val="Tahoma"/>
            <family val="2"/>
          </rPr>
          <t>thallen:</t>
        </r>
        <r>
          <rPr>
            <sz val="8"/>
            <color indexed="81"/>
            <rFont val="Tahoma"/>
            <family val="2"/>
          </rPr>
          <t xml:space="preserve">
Equal to change in managed and franchised revenue</t>
        </r>
      </text>
    </comment>
    <comment ref="AO456" authorId="8">
      <text>
        <r>
          <rPr>
            <b/>
            <sz val="8"/>
            <color indexed="81"/>
            <rFont val="Tahoma"/>
            <family val="2"/>
          </rPr>
          <t>thallen:</t>
        </r>
        <r>
          <rPr>
            <sz val="8"/>
            <color indexed="81"/>
            <rFont val="Tahoma"/>
            <family val="2"/>
          </rPr>
          <t xml:space="preserve">
Equal to change in managed and franchised revenue</t>
        </r>
      </text>
    </comment>
    <comment ref="AP456" authorId="8">
      <text>
        <r>
          <rPr>
            <b/>
            <sz val="8"/>
            <color indexed="81"/>
            <rFont val="Tahoma"/>
            <family val="2"/>
          </rPr>
          <t>thallen:</t>
        </r>
        <r>
          <rPr>
            <sz val="8"/>
            <color indexed="81"/>
            <rFont val="Tahoma"/>
            <family val="2"/>
          </rPr>
          <t xml:space="preserve">
Equal to change in managed and franchised revenue</t>
        </r>
      </text>
    </comment>
    <comment ref="AQ456" authorId="8">
      <text>
        <r>
          <rPr>
            <b/>
            <sz val="8"/>
            <color indexed="81"/>
            <rFont val="Tahoma"/>
            <family val="2"/>
          </rPr>
          <t>thallen:</t>
        </r>
        <r>
          <rPr>
            <sz val="8"/>
            <color indexed="81"/>
            <rFont val="Tahoma"/>
            <family val="2"/>
          </rPr>
          <t xml:space="preserve">
Equal to change in managed and franchised revenue</t>
        </r>
      </text>
    </comment>
    <comment ref="P465" authorId="2">
      <text>
        <r>
          <rPr>
            <b/>
            <sz val="8"/>
            <color indexed="81"/>
            <rFont val="Tahoma"/>
            <family val="2"/>
          </rPr>
          <t>jills:</t>
        </r>
        <r>
          <rPr>
            <sz val="8"/>
            <color indexed="81"/>
            <rFont val="Tahoma"/>
            <family val="2"/>
          </rPr>
          <t xml:space="preserve">
$220m guidance</t>
        </r>
      </text>
    </comment>
    <comment ref="U465" authorId="2">
      <text>
        <r>
          <rPr>
            <b/>
            <sz val="8"/>
            <color indexed="81"/>
            <rFont val="Tahoma"/>
            <family val="2"/>
          </rPr>
          <t>jills:</t>
        </r>
        <r>
          <rPr>
            <sz val="8"/>
            <color indexed="81"/>
            <rFont val="Tahoma"/>
            <family val="2"/>
          </rPr>
          <t xml:space="preserve">
$232m guidance</t>
        </r>
      </text>
    </comment>
    <comment ref="P466" authorId="2">
      <text>
        <r>
          <rPr>
            <b/>
            <sz val="8"/>
            <color indexed="81"/>
            <rFont val="Tahoma"/>
            <family val="2"/>
          </rPr>
          <t>jills:</t>
        </r>
        <r>
          <rPr>
            <sz val="8"/>
            <color indexed="81"/>
            <rFont val="Tahoma"/>
            <family val="2"/>
          </rPr>
          <t xml:space="preserve">
$5m guidance</t>
        </r>
      </text>
    </comment>
    <comment ref="U466" authorId="2">
      <text>
        <r>
          <rPr>
            <b/>
            <sz val="8"/>
            <color indexed="81"/>
            <rFont val="Tahoma"/>
            <family val="2"/>
          </rPr>
          <t>jills:</t>
        </r>
        <r>
          <rPr>
            <sz val="8"/>
            <color indexed="81"/>
            <rFont val="Tahoma"/>
            <family val="2"/>
          </rPr>
          <t xml:space="preserve">
$25m guidance</t>
        </r>
      </text>
    </comment>
    <comment ref="P467" authorId="2">
      <text>
        <r>
          <rPr>
            <b/>
            <sz val="8"/>
            <color indexed="81"/>
            <rFont val="Tahoma"/>
            <family val="2"/>
          </rPr>
          <t>jills:</t>
        </r>
        <r>
          <rPr>
            <sz val="8"/>
            <color indexed="81"/>
            <rFont val="Tahoma"/>
            <family val="2"/>
          </rPr>
          <t xml:space="preserve">
$7m guidance</t>
        </r>
      </text>
    </comment>
    <comment ref="U467" authorId="2">
      <text>
        <r>
          <rPr>
            <b/>
            <sz val="8"/>
            <color indexed="81"/>
            <rFont val="Tahoma"/>
            <family val="2"/>
          </rPr>
          <t>jills:</t>
        </r>
        <r>
          <rPr>
            <sz val="8"/>
            <color indexed="81"/>
            <rFont val="Tahoma"/>
            <family val="2"/>
          </rPr>
          <t xml:space="preserve">
$7m guidance</t>
        </r>
      </text>
    </comment>
    <comment ref="AJ468" authorId="0">
      <text>
        <r>
          <rPr>
            <b/>
            <sz val="9"/>
            <color indexed="81"/>
            <rFont val="Tahoma"/>
            <family val="2"/>
          </rPr>
          <t>Savino, Mark (Research):</t>
        </r>
        <r>
          <rPr>
            <sz val="9"/>
            <color indexed="81"/>
            <rFont val="Tahoma"/>
            <family val="2"/>
          </rPr>
          <t xml:space="preserve">
Per mgmt, likely ~$75m for hotel capex</t>
        </r>
      </text>
    </comment>
    <comment ref="P469" authorId="2">
      <text>
        <r>
          <rPr>
            <b/>
            <sz val="8"/>
            <color indexed="81"/>
            <rFont val="Tahoma"/>
            <family val="2"/>
          </rPr>
          <t>jills:</t>
        </r>
        <r>
          <rPr>
            <sz val="8"/>
            <color indexed="81"/>
            <rFont val="Tahoma"/>
            <family val="2"/>
          </rPr>
          <t xml:space="preserve">
$67m guidance</t>
        </r>
      </text>
    </comment>
    <comment ref="U469" authorId="2">
      <text>
        <r>
          <rPr>
            <b/>
            <sz val="8"/>
            <color indexed="81"/>
            <rFont val="Tahoma"/>
            <family val="2"/>
          </rPr>
          <t>jills:</t>
        </r>
        <r>
          <rPr>
            <sz val="8"/>
            <color indexed="81"/>
            <rFont val="Tahoma"/>
            <family val="2"/>
          </rPr>
          <t xml:space="preserve">
$57m guidance</t>
        </r>
      </text>
    </comment>
    <comment ref="P470" authorId="2">
      <text>
        <r>
          <rPr>
            <b/>
            <sz val="8"/>
            <color indexed="81"/>
            <rFont val="Tahoma"/>
            <family val="2"/>
          </rPr>
          <t>jills:</t>
        </r>
        <r>
          <rPr>
            <sz val="8"/>
            <color indexed="81"/>
            <rFont val="Tahoma"/>
            <family val="2"/>
          </rPr>
          <t xml:space="preserve">
$29m guidance</t>
        </r>
      </text>
    </comment>
    <comment ref="U470" authorId="2">
      <text>
        <r>
          <rPr>
            <b/>
            <sz val="8"/>
            <color indexed="81"/>
            <rFont val="Tahoma"/>
            <family val="2"/>
          </rPr>
          <t>jills:</t>
        </r>
        <r>
          <rPr>
            <sz val="8"/>
            <color indexed="81"/>
            <rFont val="Tahoma"/>
            <family val="2"/>
          </rPr>
          <t xml:space="preserve">
$50m guidance</t>
        </r>
      </text>
    </comment>
    <comment ref="P471" authorId="2">
      <text>
        <r>
          <rPr>
            <b/>
            <sz val="8"/>
            <color indexed="81"/>
            <rFont val="Tahoma"/>
            <family val="2"/>
          </rPr>
          <t>jills:</t>
        </r>
        <r>
          <rPr>
            <sz val="8"/>
            <color indexed="81"/>
            <rFont val="Tahoma"/>
            <family val="2"/>
          </rPr>
          <t xml:space="preserve">
($27m) guidance
</t>
        </r>
      </text>
    </comment>
    <comment ref="U471" authorId="2">
      <text>
        <r>
          <rPr>
            <b/>
            <sz val="8"/>
            <color indexed="81"/>
            <rFont val="Tahoma"/>
            <family val="2"/>
          </rPr>
          <t>jills:</t>
        </r>
        <r>
          <rPr>
            <sz val="8"/>
            <color indexed="81"/>
            <rFont val="Tahoma"/>
            <family val="2"/>
          </rPr>
          <t xml:space="preserve">
($53m) guidance
Gross timeshare capex is approx. $75m</t>
        </r>
      </text>
    </comment>
    <comment ref="U472" authorId="3">
      <text>
        <r>
          <rPr>
            <sz val="8"/>
            <color indexed="81"/>
            <rFont val="Tahoma"/>
            <family val="2"/>
          </rPr>
          <t>Guidance:
(2Q14): $350.0m, excluding timeshare inventory
(1Q14): $350.0m
Company Guidance
Excluding time share inventory: $350.0m
Source: Pg 04, 8-K, 4Q13</t>
        </r>
      </text>
    </comment>
    <comment ref="AJ472" authorId="0">
      <text>
        <r>
          <rPr>
            <b/>
            <sz val="9"/>
            <color indexed="81"/>
            <rFont val="Tahoma"/>
            <family val="2"/>
          </rPr>
          <t>Savino, Mark (Research):</t>
        </r>
        <r>
          <rPr>
            <sz val="9"/>
            <color indexed="81"/>
            <rFont val="Tahoma"/>
            <family val="2"/>
          </rPr>
          <t xml:space="preserve">
12/8/16 Investor Day: total investment spending $175-185m / year
Per mgmt, all-in capex should be in the $125-175m range</t>
        </r>
      </text>
    </comment>
    <comment ref="P473" authorId="5">
      <text>
        <r>
          <rPr>
            <b/>
            <sz val="9"/>
            <color indexed="81"/>
            <rFont val="Tahoma"/>
            <family val="2"/>
          </rPr>
          <t xml:space="preserve">Guidance:
</t>
        </r>
        <r>
          <rPr>
            <sz val="9"/>
            <color indexed="81"/>
            <rFont val="Tahoma"/>
            <family val="2"/>
          </rPr>
          <t>Excluding timeshare inventory</t>
        </r>
        <r>
          <rPr>
            <b/>
            <sz val="9"/>
            <color indexed="81"/>
            <rFont val="Tahoma"/>
            <family val="2"/>
          </rPr>
          <t xml:space="preserve">
</t>
        </r>
        <r>
          <rPr>
            <sz val="9"/>
            <color indexed="81"/>
            <rFont val="Tahoma"/>
            <family val="2"/>
          </rPr>
          <t xml:space="preserve">3Q14: $350m
</t>
        </r>
      </text>
    </comment>
    <comment ref="Z473" authorId="5">
      <text>
        <r>
          <rPr>
            <b/>
            <sz val="9"/>
            <color indexed="81"/>
            <rFont val="Tahoma"/>
            <family val="2"/>
          </rPr>
          <t xml:space="preserve">Guidance:
</t>
        </r>
        <r>
          <rPr>
            <sz val="9"/>
            <color indexed="81"/>
            <rFont val="Tahoma"/>
            <family val="2"/>
          </rPr>
          <t>3Q15: $375-400m</t>
        </r>
        <r>
          <rPr>
            <b/>
            <sz val="9"/>
            <color indexed="81"/>
            <rFont val="Tahoma"/>
            <family val="2"/>
          </rPr>
          <t xml:space="preserve">
</t>
        </r>
        <r>
          <rPr>
            <sz val="9"/>
            <color indexed="81"/>
            <rFont val="Tahoma"/>
            <family val="2"/>
          </rPr>
          <t>2Q15: $350-400m</t>
        </r>
        <r>
          <rPr>
            <b/>
            <sz val="9"/>
            <color indexed="81"/>
            <rFont val="Tahoma"/>
            <family val="2"/>
          </rPr>
          <t xml:space="preserve">
</t>
        </r>
        <r>
          <rPr>
            <sz val="9"/>
            <color indexed="81"/>
            <rFont val="Tahoma"/>
            <family val="2"/>
          </rPr>
          <t>1Q15: $350-400m</t>
        </r>
        <r>
          <rPr>
            <b/>
            <sz val="9"/>
            <color indexed="81"/>
            <rFont val="Tahoma"/>
            <family val="2"/>
          </rPr>
          <t xml:space="preserve">
</t>
        </r>
        <r>
          <rPr>
            <sz val="9"/>
            <color indexed="81"/>
            <rFont val="Tahoma"/>
            <family val="2"/>
          </rPr>
          <t xml:space="preserve">4Q14: $350-400m
</t>
        </r>
      </text>
    </comment>
    <comment ref="AE473" authorId="5">
      <text>
        <r>
          <rPr>
            <b/>
            <sz val="9"/>
            <color indexed="81"/>
            <rFont val="Tahoma"/>
            <family val="2"/>
          </rPr>
          <t xml:space="preserve">Guidance:
</t>
        </r>
        <r>
          <rPr>
            <sz val="9"/>
            <color indexed="81"/>
            <rFont val="Tahoma"/>
            <family val="2"/>
          </rPr>
          <t>3Q16: $400-450m</t>
        </r>
        <r>
          <rPr>
            <b/>
            <sz val="9"/>
            <color indexed="81"/>
            <rFont val="Tahoma"/>
            <family val="2"/>
          </rPr>
          <t xml:space="preserve">
</t>
        </r>
        <r>
          <rPr>
            <sz val="9"/>
            <color indexed="81"/>
            <rFont val="Tahoma"/>
            <family val="2"/>
          </rPr>
          <t>2Q16: $400-450m</t>
        </r>
        <r>
          <rPr>
            <b/>
            <sz val="9"/>
            <color indexed="81"/>
            <rFont val="Tahoma"/>
            <family val="2"/>
          </rPr>
          <t xml:space="preserve">
</t>
        </r>
        <r>
          <rPr>
            <sz val="9"/>
            <color indexed="81"/>
            <rFont val="Tahoma"/>
            <family val="2"/>
          </rPr>
          <t>1Q16: $400-450m</t>
        </r>
        <r>
          <rPr>
            <b/>
            <sz val="9"/>
            <color indexed="81"/>
            <rFont val="Tahoma"/>
            <family val="2"/>
          </rPr>
          <t xml:space="preserve">
</t>
        </r>
        <r>
          <rPr>
            <sz val="9"/>
            <color indexed="81"/>
            <rFont val="Tahoma"/>
            <family val="2"/>
          </rPr>
          <t>4Q15: $400-450m</t>
        </r>
      </text>
    </comment>
    <comment ref="AJ473" authorId="5">
      <text>
        <r>
          <rPr>
            <b/>
            <sz val="9"/>
            <color indexed="81"/>
            <rFont val="Tahoma"/>
            <family val="2"/>
          </rPr>
          <t xml:space="preserve">Guidance:
</t>
        </r>
        <r>
          <rPr>
            <sz val="9"/>
            <color indexed="81"/>
            <rFont val="Tahoma"/>
            <family val="2"/>
          </rPr>
          <t>3Q17: $150-200m</t>
        </r>
        <r>
          <rPr>
            <b/>
            <sz val="9"/>
            <color indexed="81"/>
            <rFont val="Tahoma"/>
            <family val="2"/>
          </rPr>
          <t xml:space="preserve">
</t>
        </r>
        <r>
          <rPr>
            <sz val="9"/>
            <color indexed="81"/>
            <rFont val="Tahoma"/>
            <family val="2"/>
          </rPr>
          <t>2Q17: $150-200m</t>
        </r>
        <r>
          <rPr>
            <b/>
            <sz val="9"/>
            <color indexed="81"/>
            <rFont val="Tahoma"/>
            <family val="2"/>
          </rPr>
          <t xml:space="preserve">
</t>
        </r>
        <r>
          <rPr>
            <sz val="9"/>
            <color indexed="81"/>
            <rFont val="Tahoma"/>
            <family val="2"/>
          </rPr>
          <t>1Q17: $150-200m</t>
        </r>
        <r>
          <rPr>
            <b/>
            <sz val="9"/>
            <color indexed="81"/>
            <rFont val="Tahoma"/>
            <family val="2"/>
          </rPr>
          <t xml:space="preserve">
</t>
        </r>
        <r>
          <rPr>
            <sz val="9"/>
            <color indexed="81"/>
            <rFont val="Tahoma"/>
            <family val="2"/>
          </rPr>
          <t>4Q16: $150-200m</t>
        </r>
      </text>
    </comment>
    <comment ref="AO473" authorId="0">
      <text>
        <r>
          <rPr>
            <b/>
            <sz val="9"/>
            <color indexed="81"/>
            <rFont val="Tahoma"/>
            <family val="2"/>
          </rPr>
          <t>Savino, Mark (Research):</t>
        </r>
        <r>
          <rPr>
            <sz val="9"/>
            <color indexed="81"/>
            <rFont val="Tahoma"/>
            <family val="2"/>
          </rPr>
          <t xml:space="preserve">
4Q17: $175-200m</t>
        </r>
      </text>
    </comment>
    <comment ref="Z475" authorId="8">
      <text>
        <r>
          <rPr>
            <b/>
            <sz val="8"/>
            <color indexed="81"/>
            <rFont val="Tahoma"/>
            <family val="2"/>
          </rPr>
          <t>thallen:</t>
        </r>
        <r>
          <rPr>
            <sz val="8"/>
            <color indexed="81"/>
            <rFont val="Tahoma"/>
            <family val="2"/>
          </rPr>
          <t xml:space="preserve">
Guidance: ~6% of revs</t>
        </r>
      </text>
    </comment>
    <comment ref="AE475" authorId="8">
      <text>
        <r>
          <rPr>
            <b/>
            <sz val="8"/>
            <color indexed="81"/>
            <rFont val="Tahoma"/>
            <family val="2"/>
          </rPr>
          <t>thallen:</t>
        </r>
        <r>
          <rPr>
            <sz val="8"/>
            <color indexed="81"/>
            <rFont val="Tahoma"/>
            <family val="2"/>
          </rPr>
          <t xml:space="preserve">
Guidance: ~6% of revs</t>
        </r>
      </text>
    </comment>
    <comment ref="O500" authorId="8">
      <text>
        <r>
          <rPr>
            <b/>
            <sz val="8"/>
            <color indexed="81"/>
            <rFont val="Tahoma"/>
            <family val="2"/>
          </rPr>
          <t>thallen:</t>
        </r>
        <r>
          <rPr>
            <sz val="8"/>
            <color indexed="81"/>
            <rFont val="Tahoma"/>
            <family val="2"/>
          </rPr>
          <t xml:space="preserve">
Per lines 82-83, ~$20m related to difference in GAAP vs. cash taxes</t>
        </r>
      </text>
    </comment>
    <comment ref="AJ500" authorId="7">
      <text>
        <r>
          <rPr>
            <b/>
            <sz val="9"/>
            <color indexed="81"/>
            <rFont val="Tahoma"/>
            <family val="2"/>
          </rPr>
          <t>Allen, Thomas (Research):</t>
        </r>
        <r>
          <rPr>
            <sz val="9"/>
            <color indexed="81"/>
            <rFont val="Tahoma"/>
            <family val="2"/>
          </rPr>
          <t xml:space="preserve">
Hilton has large deferred liability. Have settlement in 2017 that will increase the cash tax rate difference from non-cash, cash tax rate should be high 20s% of EBITDA, vs. 25% going fwd</t>
        </r>
      </text>
    </comment>
    <comment ref="AO500" authorId="7">
      <text>
        <r>
          <rPr>
            <b/>
            <sz val="9"/>
            <color indexed="81"/>
            <rFont val="Tahoma"/>
            <family val="2"/>
          </rPr>
          <t>Allen, Thomas (Research):</t>
        </r>
        <r>
          <rPr>
            <sz val="9"/>
            <color indexed="81"/>
            <rFont val="Tahoma"/>
            <family val="2"/>
          </rPr>
          <t xml:space="preserve">
Cash tax rate should be mid-20% of EBITDA in 2018 and beyond, higher than regular taxes b/c of deferred tax liabilities
Post tax reform could go to high teens - 20%, use 20% to be conservative</t>
        </r>
      </text>
    </comment>
    <comment ref="AP500" authorId="7">
      <text>
        <r>
          <rPr>
            <b/>
            <sz val="9"/>
            <color indexed="81"/>
            <rFont val="Tahoma"/>
            <family val="2"/>
          </rPr>
          <t>Allen, Thomas (Research):</t>
        </r>
        <r>
          <rPr>
            <sz val="9"/>
            <color indexed="81"/>
            <rFont val="Tahoma"/>
            <family val="2"/>
          </rPr>
          <t xml:space="preserve">
Cash tax rate should be mid-20% of EBITDA in 2018 and beyond, higher than regular taxes b/c of deferred tax liabilities
Post tax reform could go to high teens - 20%, use 20% to be conservative</t>
        </r>
      </text>
    </comment>
    <comment ref="AQ500" authorId="7">
      <text>
        <r>
          <rPr>
            <b/>
            <sz val="9"/>
            <color indexed="81"/>
            <rFont val="Tahoma"/>
            <family val="2"/>
          </rPr>
          <t>Allen, Thomas (Research):</t>
        </r>
        <r>
          <rPr>
            <sz val="9"/>
            <color indexed="81"/>
            <rFont val="Tahoma"/>
            <family val="2"/>
          </rPr>
          <t xml:space="preserve">
Cash tax rate should be mid-20% of EBITDA in 2018 and beyond, higher than regular taxes b/c of deferred tax liabilities
Post tax reform could go to high teens - 20%, use 20% to be conservative</t>
        </r>
      </text>
    </comment>
    <comment ref="U501" authorId="7">
      <text>
        <r>
          <rPr>
            <b/>
            <sz val="9"/>
            <color indexed="81"/>
            <rFont val="Tahoma"/>
            <family val="2"/>
          </rPr>
          <t>Allen, Thomas (Research):</t>
        </r>
        <r>
          <rPr>
            <sz val="9"/>
            <color indexed="81"/>
            <rFont val="Tahoma"/>
            <family val="2"/>
          </rPr>
          <t xml:space="preserve">
Underinvested in brand fund during time Hilton was private, so had to catch up from 2014-2016
In addition, sold loyalty points ahead of IPO so had non-cash revenue from those loyalty points through 2016
Together ~$200m WC drag / year</t>
        </r>
      </text>
    </comment>
    <comment ref="Z501" authorId="7">
      <text>
        <r>
          <rPr>
            <b/>
            <sz val="9"/>
            <color indexed="81"/>
            <rFont val="Tahoma"/>
            <family val="2"/>
          </rPr>
          <t>Allen, Thomas (Research):</t>
        </r>
        <r>
          <rPr>
            <sz val="9"/>
            <color indexed="81"/>
            <rFont val="Tahoma"/>
            <family val="2"/>
          </rPr>
          <t xml:space="preserve">
Underinvested in brand fund during time Hilton was private, so had to catch up from 2014-2016
In addition, sold loyalty points ahead of IPO so had non-cash revenue from those loyalty points through 2016
Together ~$200m WC drag / year</t>
        </r>
      </text>
    </comment>
    <comment ref="AE501" authorId="7">
      <text>
        <r>
          <rPr>
            <b/>
            <sz val="9"/>
            <color indexed="81"/>
            <rFont val="Tahoma"/>
            <family val="2"/>
          </rPr>
          <t>Allen, Thomas (Research):</t>
        </r>
        <r>
          <rPr>
            <sz val="9"/>
            <color indexed="81"/>
            <rFont val="Tahoma"/>
            <family val="2"/>
          </rPr>
          <t xml:space="preserve">
Underinvested in brand fund during time Hilton was private, so had to catch up from 2014-2016
In addition, sold loyalty points ahead of IPO so had non-cash revenue from those loyalty points through 2016
Together ~$200m WC drag / year</t>
        </r>
      </text>
    </comment>
    <comment ref="AJ501" authorId="0">
      <text>
        <r>
          <rPr>
            <b/>
            <sz val="9"/>
            <color indexed="81"/>
            <rFont val="Tahoma"/>
            <family val="2"/>
          </rPr>
          <t>Savino, Mark (Research):</t>
        </r>
        <r>
          <rPr>
            <sz val="9"/>
            <color indexed="81"/>
            <rFont val="Tahoma"/>
            <family val="2"/>
          </rPr>
          <t xml:space="preserve">
Per mgmt, total of $200m drag annually in 2014-2016 from loyalty points pre-sale and catching up to brand funds underspending during IPO. During 2014-2016 avg negative WC was $(140)m meaning that loyalty points accrual was benefitting by $60m / year. As drags will not reoccur in 2017, and per mgmt, have overinvested now in brand fund, expect $100m WC benefit in 2017, then growing with room nights and loyalty penetration (we model as prior year x unit growth x RevPAR as best proxy)</t>
        </r>
      </text>
    </comment>
    <comment ref="AO501" authorId="0">
      <text>
        <r>
          <rPr>
            <b/>
            <sz val="9"/>
            <color indexed="81"/>
            <rFont val="Tahoma"/>
            <family val="2"/>
          </rPr>
          <t>Savino, Mark (Research):</t>
        </r>
        <r>
          <rPr>
            <sz val="9"/>
            <color indexed="81"/>
            <rFont val="Tahoma"/>
            <family val="2"/>
          </rPr>
          <t xml:space="preserve">
Per mgmt, total of $200m drag annually in 2014-2016 from loyalty points pre-sale and catching up to brand funds underspending during IPO. During 2014-2016 avg negative WC was $(140)m meaning that loyalty points accrual was benefitting by $60m / year. As drags will not reoccur in 2017, and per mgmt, have overinvested now in brand fund, expect $100m WC benefit in 2017, then growing with room nights and loyalty penetration (we model as prior year x unit growth x RevPAR as best proxy)</t>
        </r>
      </text>
    </comment>
    <comment ref="AP501" authorId="0">
      <text>
        <r>
          <rPr>
            <b/>
            <sz val="9"/>
            <color indexed="81"/>
            <rFont val="Tahoma"/>
            <family val="2"/>
          </rPr>
          <t>Savino, Mark (Research):</t>
        </r>
        <r>
          <rPr>
            <sz val="9"/>
            <color indexed="81"/>
            <rFont val="Tahoma"/>
            <family val="2"/>
          </rPr>
          <t xml:space="preserve">
Per mgmt, total of $200m drag annually in 2014-2016 from loyalty points pre-sale and catching up to brand funds underspending during IPO. During 2014-2016 avg negative WC was $(140)m meaning that loyalty points accrual was benefitting by $60m / year. As drags will not reoccur in 2017, and per mgmt, have overinvested now in brand fund, expect $100m WC benefit in 2017, then growing with room nights and loyalty penetration (we model as prior year x unit growth x RevPAR as best proxy)</t>
        </r>
      </text>
    </comment>
    <comment ref="AQ501" authorId="0">
      <text>
        <r>
          <rPr>
            <b/>
            <sz val="9"/>
            <color indexed="81"/>
            <rFont val="Tahoma"/>
            <family val="2"/>
          </rPr>
          <t>Savino, Mark (Research):</t>
        </r>
        <r>
          <rPr>
            <sz val="9"/>
            <color indexed="81"/>
            <rFont val="Tahoma"/>
            <family val="2"/>
          </rPr>
          <t xml:space="preserve">
Per mgmt, total of $200m drag annually in 2014-2016 from loyalty points pre-sale and catching up to brand funds underspending during IPO. During 2014-2016 avg negative WC was $(140)m meaning that loyalty points accrual was benefitting by $60m / year. As drags will not reoccur in 2017, and per mgmt, have overinvested now in brand fund, expect $100m WC benefit in 2017, then growing with room nights and loyalty penetration (we model as prior year x unit growth x RevPAR as best proxy)</t>
        </r>
      </text>
    </comment>
    <comment ref="O510" authorId="10">
      <text>
        <r>
          <rPr>
            <b/>
            <sz val="9"/>
            <color indexed="81"/>
            <rFont val="Tahoma"/>
            <family val="2"/>
          </rPr>
          <t>Slattery, Jill N (Research):</t>
        </r>
        <r>
          <rPr>
            <sz val="9"/>
            <color indexed="81"/>
            <rFont val="Tahoma"/>
            <family val="2"/>
          </rPr>
          <t xml:space="preserve">
excludes $650m cash inflow from point sales to AMEX and Citi, which appear in financing activity</t>
        </r>
      </text>
    </comment>
    <comment ref="AE510" authorId="2">
      <text>
        <r>
          <rPr>
            <b/>
            <sz val="8"/>
            <color indexed="81"/>
            <rFont val="Tahoma"/>
            <family val="2"/>
          </rPr>
          <t>jills:</t>
        </r>
        <r>
          <rPr>
            <sz val="8"/>
            <color indexed="81"/>
            <rFont val="Tahoma"/>
            <family val="2"/>
          </rPr>
          <t xml:space="preserve">
excludes revenue adjustment from prior $650m cash inflow from point sales to AMEX and Citi, which appears in financing activity</t>
        </r>
      </text>
    </comment>
    <comment ref="Z512" authorId="7">
      <text>
        <r>
          <rPr>
            <b/>
            <sz val="9"/>
            <color indexed="81"/>
            <rFont val="Tahoma"/>
            <family val="2"/>
          </rPr>
          <t>Allen, Thomas (Research):</t>
        </r>
        <r>
          <rPr>
            <sz val="9"/>
            <color indexed="81"/>
            <rFont val="Tahoma"/>
            <family val="2"/>
          </rPr>
          <t xml:space="preserve">
$32m / year amortization of financing costs for 2 years related to 2013 debt refi ahead of IPO, results in non-cash interest expense</t>
        </r>
      </text>
    </comment>
    <comment ref="AD512" authorId="0">
      <text>
        <r>
          <rPr>
            <b/>
            <sz val="9"/>
            <color indexed="81"/>
            <rFont val="Tahoma"/>
            <family val="2"/>
          </rPr>
          <t>Savino, Mark 
(Research):</t>
        </r>
        <r>
          <rPr>
            <sz val="9"/>
            <color indexed="81"/>
            <rFont val="Tahoma"/>
            <family val="2"/>
          </rPr>
          <t xml:space="preserve">
Plug
Per mgmt as of 12/20, accelerated taxes closer to $140m
$250m of transaction costs + $200m of accelerated taxes for OpCo</t>
        </r>
      </text>
    </comment>
    <comment ref="AI512" authorId="0">
      <text>
        <r>
          <rPr>
            <b/>
            <sz val="9"/>
            <color indexed="81"/>
            <rFont val="Tahoma"/>
            <family val="2"/>
          </rPr>
          <t>Savino, Mark (Research):</t>
        </r>
        <r>
          <rPr>
            <sz val="9"/>
            <color indexed="81"/>
            <rFont val="Tahoma"/>
            <family val="2"/>
          </rPr>
          <t xml:space="preserve">
Plug</t>
        </r>
      </text>
    </comment>
    <comment ref="AO512" authorId="0">
      <text>
        <r>
          <rPr>
            <b/>
            <sz val="9"/>
            <color indexed="81"/>
            <rFont val="Tahoma"/>
            <family val="2"/>
          </rPr>
          <t>Savino, Mark (Research):</t>
        </r>
        <r>
          <rPr>
            <sz val="9"/>
            <color indexed="81"/>
            <rFont val="Tahoma"/>
            <family val="2"/>
          </rPr>
          <t xml:space="preserve">
Add back $60m (pre-tax) from the impact of ASU 2014-09</t>
        </r>
      </text>
    </comment>
    <comment ref="U516" authorId="4">
      <text>
        <r>
          <rPr>
            <sz val="8"/>
            <color indexed="81"/>
            <rFont val="Tahoma"/>
            <family val="2"/>
          </rPr>
          <t xml:space="preserve">Company guidance: 
Excluding timeshare inventory, are expected to be approximately $350m
Source: Pg 4, 8K, 1Q14
</t>
        </r>
      </text>
    </comment>
    <comment ref="AD516" authorId="0">
      <text>
        <r>
          <rPr>
            <b/>
            <sz val="9"/>
            <color indexed="81"/>
            <rFont val="Tahoma"/>
            <family val="2"/>
          </rPr>
          <t>Savino, Mark (Research):</t>
        </r>
        <r>
          <rPr>
            <sz val="9"/>
            <color indexed="81"/>
            <rFont val="Tahoma"/>
            <family val="2"/>
          </rPr>
          <t xml:space="preserve">
Per 4Q16 press release</t>
        </r>
      </text>
    </comment>
    <comment ref="AJ516" authorId="7">
      <text>
        <r>
          <rPr>
            <b/>
            <sz val="9"/>
            <color indexed="81"/>
            <rFont val="Tahoma"/>
            <family val="2"/>
          </rPr>
          <t>Allen, Thomas (Research):</t>
        </r>
        <r>
          <rPr>
            <sz val="9"/>
            <color indexed="81"/>
            <rFont val="Tahoma"/>
            <family val="2"/>
          </rPr>
          <t xml:space="preserve">
Marriott historically spent ~$100m / year in maintenance capex on ~$250m of  EBITDA. MAR EBITDA should be slightly lower and Hilton expect to be more efficient with their capital spending, and no plans for investment capex</t>
        </r>
      </text>
    </comment>
    <comment ref="AO516" authorId="7">
      <text>
        <r>
          <rPr>
            <b/>
            <sz val="9"/>
            <color indexed="81"/>
            <rFont val="Tahoma"/>
            <family val="2"/>
          </rPr>
          <t>Allen, Thomas (Research):</t>
        </r>
        <r>
          <rPr>
            <sz val="9"/>
            <color indexed="81"/>
            <rFont val="Tahoma"/>
            <family val="2"/>
          </rPr>
          <t xml:space="preserve">
Marriott historically spent ~$100m / year in maintenance capex on ~$250m of  EBITDA. MAR EBITDA should be slightly lower and Hilton expect to be more efficient with their capital spending, and no plans for investment capex</t>
        </r>
      </text>
    </comment>
    <comment ref="AP516" authorId="7">
      <text>
        <r>
          <rPr>
            <b/>
            <sz val="9"/>
            <color indexed="81"/>
            <rFont val="Tahoma"/>
            <family val="2"/>
          </rPr>
          <t>Allen, Thomas (Research):</t>
        </r>
        <r>
          <rPr>
            <sz val="9"/>
            <color indexed="81"/>
            <rFont val="Tahoma"/>
            <family val="2"/>
          </rPr>
          <t xml:space="preserve">
Marriott historically spent ~$100m / year in maintenance capex on ~$250m of  EBITDA. MAR EBITDA should be slightly lower and Hilton expect to be more efficient with their capital spending, and no plans for investment capex</t>
        </r>
      </text>
    </comment>
    <comment ref="AQ516" authorId="7">
      <text>
        <r>
          <rPr>
            <b/>
            <sz val="9"/>
            <color indexed="81"/>
            <rFont val="Tahoma"/>
            <family val="2"/>
          </rPr>
          <t>Allen, Thomas (Research):</t>
        </r>
        <r>
          <rPr>
            <sz val="9"/>
            <color indexed="81"/>
            <rFont val="Tahoma"/>
            <family val="2"/>
          </rPr>
          <t xml:space="preserve">
Marriott historically spent ~$100m / year in maintenance capex on ~$250m of  EBITDA. MAR EBITDA should be slightly lower and Hilton expect to be more efficient with their capital spending, and no plans for investment capex</t>
        </r>
      </text>
    </comment>
    <comment ref="V517" authorId="5">
      <text>
        <r>
          <rPr>
            <b/>
            <sz val="9"/>
            <color indexed="81"/>
            <rFont val="Tahoma"/>
            <family val="2"/>
          </rPr>
          <t>Chaudhry, Baset A (Research):</t>
        </r>
        <r>
          <rPr>
            <sz val="9"/>
            <color indexed="81"/>
            <rFont val="Tahoma"/>
            <family val="2"/>
          </rPr>
          <t xml:space="preserve">
Hilton bought the following 5 hotels in exchange of proceeds from Waldorf Astoria New York: 
1. Parc 55 Wyndham SF - 1,024 rooms 
2. Hilton Orlando Bonnet Creet (1,001 rooms)
3. The Reach Waldorf Astoria Key West - 150 rooms 
4. Casa Marina Waldorf Astoria Key West - 311 rooms 
5. Waldorf Astoria Orlando - 498 rooms 
Total cash proceeds of $1.76B (rest $100m to be used later). Purchased for 13x TTM EBITDA ($135m incremental EBITDA)</t>
        </r>
      </text>
    </comment>
    <comment ref="W517" authorId="5">
      <text>
        <r>
          <rPr>
            <b/>
            <sz val="9"/>
            <color indexed="81"/>
            <rFont val="Tahoma"/>
            <family val="2"/>
          </rPr>
          <t>1Q15:</t>
        </r>
        <r>
          <rPr>
            <sz val="9"/>
            <color indexed="81"/>
            <rFont val="Tahoma"/>
            <family val="2"/>
          </rPr>
          <t xml:space="preserve">
Re-deploying the remaining Waldorf sale capital under 1031 rules. Company announced the purchase of Cypress hotel which for $112m, expected to close in 2Q</t>
        </r>
      </text>
    </comment>
    <comment ref="AJ517" authorId="6">
      <text>
        <r>
          <rPr>
            <b/>
            <sz val="9"/>
            <color indexed="81"/>
            <rFont val="Tahoma"/>
            <family val="2"/>
          </rPr>
          <t>Zheng, Chaodan (Research):</t>
        </r>
        <r>
          <rPr>
            <sz val="9"/>
            <color indexed="81"/>
            <rFont val="Tahoma"/>
            <family val="2"/>
          </rPr>
          <t xml:space="preserve">
3Q17: asset dispositions $12m</t>
        </r>
      </text>
    </comment>
    <comment ref="V521" authorId="7">
      <text>
        <r>
          <rPr>
            <b/>
            <sz val="9"/>
            <color indexed="81"/>
            <rFont val="Tahoma"/>
            <family val="2"/>
          </rPr>
          <t>Allen, Thomas (Research):</t>
        </r>
        <r>
          <rPr>
            <sz val="9"/>
            <color indexed="81"/>
            <rFont val="Tahoma"/>
            <family val="2"/>
          </rPr>
          <t xml:space="preserve">
$1.95B sale of Waldorf to Aanbang, ann. 10/6, closing date 12/31/14 (can be delayed 1Q). TTM EBITDA $61m, post-mgmt fee</t>
        </r>
      </text>
    </comment>
    <comment ref="X521" authorId="5">
      <text>
        <r>
          <rPr>
            <b/>
            <sz val="9"/>
            <color indexed="81"/>
            <rFont val="Tahoma"/>
            <family val="2"/>
          </rPr>
          <t>1Q15:</t>
        </r>
        <r>
          <rPr>
            <sz val="9"/>
            <color indexed="81"/>
            <rFont val="Tahoma"/>
            <family val="2"/>
          </rPr>
          <t xml:space="preserve">
Sold the Hilton Sydney for A$442m, expected to close in 2H15</t>
        </r>
      </text>
    </comment>
    <comment ref="AD522" authorId="0">
      <text>
        <r>
          <rPr>
            <b/>
            <sz val="9"/>
            <color indexed="81"/>
            <rFont val="Tahoma"/>
            <family val="2"/>
          </rPr>
          <t>Savino, Mark (Research):</t>
        </r>
        <r>
          <rPr>
            <sz val="9"/>
            <color indexed="81"/>
            <rFont val="Tahoma"/>
            <family val="2"/>
          </rPr>
          <t xml:space="preserve">
Per 4Q16 press release</t>
        </r>
      </text>
    </comment>
    <comment ref="AJ522" authorId="7">
      <text>
        <r>
          <rPr>
            <b/>
            <sz val="9"/>
            <color indexed="81"/>
            <rFont val="Tahoma"/>
            <family val="2"/>
          </rPr>
          <t>Allen, Thomas (Research):</t>
        </r>
        <r>
          <rPr>
            <sz val="9"/>
            <color indexed="81"/>
            <rFont val="Tahoma"/>
            <family val="2"/>
          </rPr>
          <t xml:space="preserve">
MAR spends $100-125m / year on contract acquisition costs but Hilton is more select service focused (where one doesn't need key money). Per mgmt Nov 2016 presentation, only spent $140m in key money for 300k room pipeline </t>
        </r>
      </text>
    </comment>
    <comment ref="AD523" authorId="0">
      <text>
        <r>
          <rPr>
            <b/>
            <sz val="9"/>
            <color indexed="81"/>
            <rFont val="Tahoma"/>
            <family val="2"/>
          </rPr>
          <t>Savino, Mark (Research):</t>
        </r>
        <r>
          <rPr>
            <sz val="9"/>
            <color indexed="81"/>
            <rFont val="Tahoma"/>
            <family val="2"/>
          </rPr>
          <t xml:space="preserve">
Per 4Q16 press release</t>
        </r>
      </text>
    </comment>
    <comment ref="AJ523" authorId="7">
      <text>
        <r>
          <rPr>
            <b/>
            <sz val="9"/>
            <color indexed="81"/>
            <rFont val="Tahoma"/>
            <family val="2"/>
          </rPr>
          <t>Allen, Thomas (Research):</t>
        </r>
        <r>
          <rPr>
            <sz val="9"/>
            <color indexed="81"/>
            <rFont val="Tahoma"/>
            <family val="2"/>
          </rPr>
          <t xml:space="preserve">
No more timeshare capex</t>
        </r>
      </text>
    </comment>
    <comment ref="O524" authorId="1">
      <text>
        <r>
          <rPr>
            <sz val="8"/>
            <color indexed="81"/>
            <rFont val="Tahoma"/>
            <family val="2"/>
          </rPr>
          <t>Distributions from unconsolidated affiliates</t>
        </r>
      </text>
    </comment>
    <comment ref="AB524" authorId="11">
      <text>
        <r>
          <rPr>
            <sz val="9"/>
            <color indexed="81"/>
            <rFont val="Tahoma"/>
            <family val="2"/>
          </rPr>
          <t>Includes:
$14mn: Change in restricted cash and cash equivalents
$2mn: Distributions from unconsolidated affiliates</t>
        </r>
      </text>
    </comment>
    <comment ref="O529" authorId="8">
      <text>
        <r>
          <rPr>
            <b/>
            <sz val="8"/>
            <color indexed="81"/>
            <rFont val="Tahoma"/>
            <family val="2"/>
          </rPr>
          <t>thallen:</t>
        </r>
        <r>
          <rPr>
            <sz val="8"/>
            <color indexed="81"/>
            <rFont val="Tahoma"/>
            <family val="2"/>
          </rPr>
          <t xml:space="preserve">
$2.2B offering, $1.25 primary
assumes midpoint of $18-21 / shr range and 64.1m primary shares, less $41.5m (at midpoint) of estimated underwriting discounts, fees, and expenses (per company guidance)</t>
        </r>
      </text>
    </comment>
    <comment ref="AG529" authorId="6">
      <text>
        <r>
          <rPr>
            <b/>
            <sz val="9"/>
            <color indexed="81"/>
            <rFont val="Tahoma"/>
            <family val="2"/>
          </rPr>
          <t>Zheng, Chaodan (Research):</t>
        </r>
        <r>
          <rPr>
            <sz val="9"/>
            <color indexed="81"/>
            <rFont val="Tahoma"/>
            <family val="2"/>
          </rPr>
          <t xml:space="preserve">
6/7/17: HLT repurchased 1.5m from BX at $65.95 per share
1Q17: repurchased an additional $53m in April</t>
        </r>
      </text>
    </comment>
    <comment ref="AH529" authorId="6">
      <text>
        <r>
          <rPr>
            <b/>
            <sz val="9"/>
            <color indexed="81"/>
            <rFont val="Tahoma"/>
            <family val="2"/>
          </rPr>
          <t>Zheng, Chaodan (Research):</t>
        </r>
        <r>
          <rPr>
            <sz val="9"/>
            <color indexed="81"/>
            <rFont val="Tahoma"/>
            <family val="2"/>
          </rPr>
          <t xml:space="preserve">
2Q17: repurchased $425m (6.8m) in March through July, implying that it should have already repurchased another $73m in July</t>
        </r>
      </text>
    </comment>
    <comment ref="AI529" authorId="6">
      <text>
        <r>
          <rPr>
            <b/>
            <sz val="9"/>
            <color indexed="81"/>
            <rFont val="Tahoma"/>
            <family val="2"/>
          </rPr>
          <t>Zheng, Chaodan (Research):</t>
        </r>
        <r>
          <rPr>
            <sz val="9"/>
            <color indexed="81"/>
            <rFont val="Tahoma"/>
            <family val="2"/>
          </rPr>
          <t xml:space="preserve">
3Q17: Through Oct. 2017, HLT has repurcahsed 11m shares for appr. $693m, implying $68m repurchase</t>
        </r>
      </text>
    </comment>
    <comment ref="AJ529" authorId="7">
      <text>
        <r>
          <rPr>
            <b/>
            <sz val="9"/>
            <color indexed="81"/>
            <rFont val="Tahoma"/>
            <family val="2"/>
          </rPr>
          <t>Allen, Thomas (Research):</t>
        </r>
        <r>
          <rPr>
            <sz val="9"/>
            <color indexed="81"/>
            <rFont val="Tahoma"/>
            <family val="2"/>
          </rPr>
          <t xml:space="preserve">
2Q17: total capital return is projected to be $1B-1.1B
Mgmt guided to $900m-1B of capital returns
</t>
        </r>
      </text>
    </comment>
    <comment ref="AO529" authorId="6">
      <text>
        <r>
          <rPr>
            <b/>
            <sz val="9"/>
            <color indexed="81"/>
            <rFont val="Tahoma"/>
            <family val="2"/>
          </rPr>
          <t>Zheng, Chaodan (Research):</t>
        </r>
        <r>
          <rPr>
            <sz val="9"/>
            <color indexed="81"/>
            <rFont val="Tahoma"/>
            <family val="2"/>
          </rPr>
          <t xml:space="preserve">
4Q17: $1.2-1.6B total capital returns
3Q17: FCF should grow, but had some 1x cash benefits post-spins to use for capital returns in 2017
Also note buybacks in 2017 started mid-1Q</t>
        </r>
      </text>
    </comment>
    <comment ref="AE530" authorId="6">
      <text>
        <r>
          <rPr>
            <b/>
            <sz val="9"/>
            <color indexed="81"/>
            <rFont val="Tahoma"/>
            <family val="2"/>
          </rPr>
          <t>Zheng, Chaodan (Research):</t>
        </r>
        <r>
          <rPr>
            <sz val="9"/>
            <color indexed="81"/>
            <rFont val="Tahoma"/>
            <family val="2"/>
          </rPr>
          <t xml:space="preserve">
2016 Investor Day: dividend payout ratio 20-25% of recurring FCF</t>
        </r>
      </text>
    </comment>
    <comment ref="AF535" authorId="0">
      <text>
        <r>
          <rPr>
            <b/>
            <sz val="9"/>
            <color indexed="81"/>
            <rFont val="Tahoma"/>
            <family val="2"/>
          </rPr>
          <t>Savino, Mark (Research):</t>
        </r>
        <r>
          <rPr>
            <sz val="9"/>
            <color indexed="81"/>
            <rFont val="Tahoma"/>
            <family val="2"/>
          </rPr>
          <t xml:space="preserve">
Getting $300m contribution from HGV, but per mgmt that will likely all go to Park to help them meet their distribution requirement</t>
        </r>
      </text>
    </comment>
    <comment ref="O538" authorId="10">
      <text>
        <r>
          <rPr>
            <b/>
            <sz val="9"/>
            <color indexed="81"/>
            <rFont val="Tahoma"/>
            <family val="2"/>
          </rPr>
          <t>jills:</t>
        </r>
        <r>
          <rPr>
            <sz val="9"/>
            <color indexed="81"/>
            <rFont val="Tahoma"/>
            <family val="2"/>
          </rPr>
          <t xml:space="preserve">
$650m cash received from AMEX and Citi for loyalty point purchases</t>
        </r>
      </text>
    </comment>
    <comment ref="AF538" authorId="0">
      <text>
        <r>
          <rPr>
            <b/>
            <sz val="9"/>
            <color indexed="81"/>
            <rFont val="Tahoma"/>
            <family val="2"/>
          </rPr>
          <t>Savino, Mark (Research):</t>
        </r>
        <r>
          <rPr>
            <sz val="9"/>
            <color indexed="81"/>
            <rFont val="Tahoma"/>
            <family val="2"/>
          </rPr>
          <t xml:space="preserve">
$501m cash transferred to Park / HGV</t>
        </r>
      </text>
    </comment>
    <comment ref="N556" authorId="3">
      <text>
        <r>
          <rPr>
            <sz val="8"/>
            <color indexed="81"/>
            <rFont val="Tahoma"/>
            <family val="2"/>
          </rPr>
          <t>Includes:
Current portion of financing receivables, net: $94.0m
Current portion of securitized financing receivables, net: $27.0m</t>
        </r>
      </text>
    </comment>
    <comment ref="W563" authorId="5">
      <text>
        <r>
          <rPr>
            <b/>
            <sz val="9"/>
            <color indexed="81"/>
            <rFont val="Tahoma"/>
            <family val="2"/>
          </rPr>
          <t>Chaudhry, Baset A (Research):</t>
        </r>
        <r>
          <rPr>
            <sz val="9"/>
            <color indexed="81"/>
            <rFont val="Tahoma"/>
            <family val="2"/>
          </rPr>
          <t xml:space="preserve">
Includes P&amp;E held for sale</t>
        </r>
      </text>
    </comment>
    <comment ref="AH563" authorId="0">
      <text>
        <r>
          <rPr>
            <b/>
            <sz val="9"/>
            <color indexed="81"/>
            <rFont val="Tahoma"/>
            <family val="2"/>
          </rPr>
          <t>Savino, Mark (Research):</t>
        </r>
        <r>
          <rPr>
            <sz val="9"/>
            <color indexed="81"/>
            <rFont val="Tahoma"/>
            <family val="2"/>
          </rPr>
          <t xml:space="preserve">
Per mgmt, only have $75m/year (20%) D&amp;A related to buildings. $200m (60%) is related to M&amp;F contracts, and the rest is related to software intangibles</t>
        </r>
      </text>
    </comment>
    <comment ref="N564" authorId="3">
      <text>
        <r>
          <rPr>
            <sz val="8"/>
            <color indexed="81"/>
            <rFont val="Tahoma"/>
            <family val="2"/>
          </rPr>
          <t>Includes:
Financing receivables, net: $623.0m
Securitized financing receivables, net: $202.0m</t>
        </r>
      </text>
    </comment>
    <comment ref="AH568" authorId="0">
      <text>
        <r>
          <rPr>
            <b/>
            <sz val="9"/>
            <color indexed="81"/>
            <rFont val="Tahoma"/>
            <family val="2"/>
          </rPr>
          <t>Savino, Mark (Research):</t>
        </r>
        <r>
          <rPr>
            <sz val="9"/>
            <color indexed="81"/>
            <rFont val="Tahoma"/>
            <family val="2"/>
          </rPr>
          <t xml:space="preserve">
Per mgmt, only have $75m/year (20%) D&amp;A related to buildings. $200m (60%) is related to M&amp;F contracts, and the rest is related to software intangibles</t>
        </r>
      </text>
    </comment>
    <comment ref="AH569" authorId="0">
      <text>
        <r>
          <rPr>
            <b/>
            <sz val="9"/>
            <color indexed="81"/>
            <rFont val="Tahoma"/>
            <family val="2"/>
          </rPr>
          <t>Savino, Mark (Research):</t>
        </r>
        <r>
          <rPr>
            <sz val="9"/>
            <color indexed="81"/>
            <rFont val="Tahoma"/>
            <family val="2"/>
          </rPr>
          <t xml:space="preserve">
Per mgmt, only have $75m/year (20%) D&amp;A related to buildings. $200m (60%) is related to M&amp;F contracts, and the rest is related to software intangibles</t>
        </r>
      </text>
    </comment>
    <comment ref="AC575" authorId="7">
      <text>
        <r>
          <rPr>
            <b/>
            <sz val="9"/>
            <color indexed="81"/>
            <rFont val="Tahoma"/>
            <family val="2"/>
          </rPr>
          <t>Allen, Thomas (Research):</t>
        </r>
        <r>
          <rPr>
            <sz val="9"/>
            <color indexed="81"/>
            <rFont val="Tahoma"/>
            <family val="2"/>
          </rPr>
          <t xml:space="preserve">
Assume remaining liability for points sold to Citi and Amex $50m / qtr in 3Q16 / 4Q16, then according to mgmt, no more liability as burned off quicker than expected</t>
        </r>
      </text>
    </comment>
    <comment ref="AD575" authorId="7">
      <text>
        <r>
          <rPr>
            <b/>
            <sz val="9"/>
            <color indexed="81"/>
            <rFont val="Tahoma"/>
            <family val="2"/>
          </rPr>
          <t>Allen, Thomas (Research):</t>
        </r>
        <r>
          <rPr>
            <sz val="9"/>
            <color indexed="81"/>
            <rFont val="Tahoma"/>
            <family val="2"/>
          </rPr>
          <t xml:space="preserve">
Assume remaining liability for points sold to Citi and Amex $50m / qtr in 3Q16 / 4Q16, then according to mgmt, no more liability as burned off quicker than expected</t>
        </r>
      </text>
    </comment>
    <comment ref="O586" authorId="2">
      <text>
        <r>
          <rPr>
            <b/>
            <sz val="8"/>
            <color indexed="81"/>
            <rFont val="Tahoma"/>
            <family val="2"/>
          </rPr>
          <t>jills:</t>
        </r>
        <r>
          <rPr>
            <sz val="8"/>
            <color indexed="81"/>
            <rFont val="Tahoma"/>
            <family val="2"/>
          </rPr>
          <t xml:space="preserve">
$650m cash received from AMEX and Citi for loyalty point purchases</t>
        </r>
      </text>
    </comment>
    <comment ref="T586" authorId="2">
      <text>
        <r>
          <rPr>
            <b/>
            <sz val="8"/>
            <color indexed="81"/>
            <rFont val="Tahoma"/>
            <family val="2"/>
          </rPr>
          <t>jills:</t>
        </r>
        <r>
          <rPr>
            <sz val="8"/>
            <color indexed="81"/>
            <rFont val="Tahoma"/>
            <family val="2"/>
          </rPr>
          <t xml:space="preserve">
per Nov 2013 presentation, financing activities prior to debt paydown will be ($138m); relates to Hilton Honors Points adjustment
Hilton Honors Points sales: $650m of revenues from AMEX [$250m] and Citi [$400m] to buy Hilton Honors Point; when customer gets points, Hilton recognizes liability; when customer redeems points, Hilton recognizes revenues; ~$180-$190m adjustment for revenues that are recognized in the period but for which cash inflow would have already occurred (company received cash from AMEX / Citi) 
management expects a roughly $180-$190m adjustment to occur annually through 2016
Pg 39 of Analyst presentation says $803m debt paydown, -$138 other financing activities (incl. Hhonors costs offset by change in restricted cash)</t>
        </r>
      </text>
    </comment>
    <comment ref="AE586" authorId="2">
      <text>
        <r>
          <rPr>
            <b/>
            <sz val="8"/>
            <color indexed="81"/>
            <rFont val="Tahoma"/>
            <family val="2"/>
          </rPr>
          <t>jills:</t>
        </r>
        <r>
          <rPr>
            <sz val="8"/>
            <color indexed="81"/>
            <rFont val="Tahoma"/>
            <family val="2"/>
          </rPr>
          <t xml:space="preserve">
relates to Hilton Honors Points adjustment
Hilton Honors Points sales: $650m of revenues from AMEX [$250m] and Citi [$400m] to buy Hilton Honors Point; when customer gets points, Hilton recognizes liability; when customer redeems points, Hilton recognizes revenues; ~$180-$190m adjustment for revenues that are recognized in the period but for which cash inflow would have already occurred (company received cash from AMEX / Citi) 
management expects a roughly $180-$190m adjustment to occur annually through 2016, but given $650m of cash inflow, round up</t>
        </r>
      </text>
    </comment>
    <comment ref="N609" authorId="3">
      <text>
        <r>
          <rPr>
            <sz val="8"/>
            <color indexed="81"/>
            <rFont val="Tahoma"/>
            <family val="2"/>
          </rPr>
          <t xml:space="preserve">Source: Slide 42, Analyst Presentation
</t>
        </r>
      </text>
    </comment>
    <comment ref="O609" authorId="3">
      <text>
        <r>
          <rPr>
            <sz val="8"/>
            <color indexed="81"/>
            <rFont val="Tahoma"/>
            <family val="2"/>
          </rPr>
          <t>Number not updated as it's not reported.
Source for the current number: Slide 42, Analyst Presentation</t>
        </r>
      </text>
    </comment>
    <comment ref="AF610" authorId="7">
      <text>
        <r>
          <rPr>
            <b/>
            <sz val="9"/>
            <color indexed="81"/>
            <rFont val="Tahoma"/>
            <family val="2"/>
          </rPr>
          <t>Allen, Thomas (Research):</t>
        </r>
        <r>
          <rPr>
            <sz val="9"/>
            <color indexed="81"/>
            <rFont val="Tahoma"/>
            <family val="2"/>
          </rPr>
          <t xml:space="preserve">
At YE16, $6.758B per Dec '16 investor day</t>
        </r>
      </text>
    </comment>
    <comment ref="U615" authorId="2">
      <text>
        <r>
          <rPr>
            <b/>
            <sz val="8"/>
            <color indexed="81"/>
            <rFont val="Tahoma"/>
            <family val="2"/>
          </rPr>
          <t>jills:</t>
        </r>
        <r>
          <rPr>
            <sz val="8"/>
            <color indexed="81"/>
            <rFont val="Tahoma"/>
            <family val="2"/>
          </rPr>
          <t xml:space="preserve">
restricted cash decreasing Y/Y due to items that were tied up and will be released ($75m bond being released)</t>
        </r>
      </text>
    </comment>
    <comment ref="AG621" authorId="6">
      <text>
        <r>
          <rPr>
            <b/>
            <sz val="9"/>
            <color indexed="81"/>
            <rFont val="Tahoma"/>
            <family val="2"/>
          </rPr>
          <t>Zheng, Chaodan (Research):</t>
        </r>
        <r>
          <rPr>
            <sz val="9"/>
            <color indexed="81"/>
            <rFont val="Tahoma"/>
            <family val="2"/>
          </rPr>
          <t xml:space="preserve">
2Q17: TTM EBITDA $1,867m, resulting in 3.1x leverage</t>
        </r>
      </text>
    </comment>
    <comment ref="Z622" authorId="8">
      <text>
        <r>
          <rPr>
            <b/>
            <sz val="8"/>
            <color indexed="81"/>
            <rFont val="Tahoma"/>
            <family val="2"/>
          </rPr>
          <t>thallen:</t>
        </r>
        <r>
          <rPr>
            <sz val="8"/>
            <color indexed="81"/>
            <rFont val="Tahoma"/>
            <family val="2"/>
          </rPr>
          <t xml:space="preserve">
Mgmt wants to de-lever to investment grade in 2-3 years, per Nov '13 analyst meeting. 
Per 2Q15 call, mgmt targeting 3-3.5x net debt / EBITDA for IG</t>
        </r>
      </text>
    </comment>
    <comment ref="AB622" authorId="7">
      <text>
        <r>
          <rPr>
            <b/>
            <sz val="9"/>
            <color indexed="81"/>
            <rFont val="Tahoma"/>
            <family val="2"/>
          </rPr>
          <t>Allen, Thomas (Research):</t>
        </r>
        <r>
          <rPr>
            <sz val="9"/>
            <color indexed="81"/>
            <rFont val="Tahoma"/>
            <family val="2"/>
          </rPr>
          <t xml:space="preserve">
Targeting low IG by 2Q/3Q16, 3-3.5x</t>
        </r>
      </text>
    </comment>
    <comment ref="AC622" authorId="7">
      <text>
        <r>
          <rPr>
            <b/>
            <sz val="9"/>
            <color indexed="81"/>
            <rFont val="Tahoma"/>
            <family val="2"/>
          </rPr>
          <t>Allen, Thomas (Research):</t>
        </r>
        <r>
          <rPr>
            <sz val="9"/>
            <color indexed="81"/>
            <rFont val="Tahoma"/>
            <family val="2"/>
          </rPr>
          <t xml:space="preserve">
Targeting low IG by 2Q/3Q16, 3-3.5x</t>
        </r>
      </text>
    </comment>
    <comment ref="AE622" authorId="6">
      <text>
        <r>
          <rPr>
            <b/>
            <sz val="9"/>
            <color indexed="81"/>
            <rFont val="Tahoma"/>
            <family val="2"/>
          </rPr>
          <t>Zheng, Chaodan (Research):</t>
        </r>
        <r>
          <rPr>
            <sz val="9"/>
            <color indexed="81"/>
            <rFont val="Tahoma"/>
            <family val="2"/>
          </rPr>
          <t xml:space="preserve">
2016 Investor Day: 3.0x - 3.5x net leverage ratio to adj. EBITDA</t>
        </r>
      </text>
    </comment>
    <comment ref="AI622" authorId="7">
      <text>
        <r>
          <rPr>
            <b/>
            <sz val="9"/>
            <color indexed="81"/>
            <rFont val="Tahoma"/>
            <family val="2"/>
          </rPr>
          <t>Allen, Thomas (Research):</t>
        </r>
        <r>
          <rPr>
            <sz val="9"/>
            <color indexed="81"/>
            <rFont val="Tahoma"/>
            <family val="2"/>
          </rPr>
          <t xml:space="preserve">
4Q17: 3.1x</t>
        </r>
      </text>
    </comment>
    <comment ref="AO622" authorId="7">
      <text>
        <r>
          <rPr>
            <b/>
            <sz val="9"/>
            <color indexed="81"/>
            <rFont val="Tahoma"/>
            <family val="2"/>
          </rPr>
          <t>Allen, Thomas (Research):</t>
        </r>
        <r>
          <rPr>
            <sz val="9"/>
            <color indexed="81"/>
            <rFont val="Tahoma"/>
            <family val="2"/>
          </rPr>
          <t xml:space="preserve">
12/8/16 investor day: Target 3-3.5x</t>
        </r>
      </text>
    </comment>
    <comment ref="K624" authorId="3">
      <text>
        <r>
          <rPr>
            <sz val="8"/>
            <color indexed="81"/>
            <rFont val="Tahoma"/>
            <family val="2"/>
          </rPr>
          <t>Source: Pg 14, S-1 Statement
Source link: http://www.sec.gov/Archives/edgar/data/1585689/000119312513403840/d593452ds1a.htm</t>
        </r>
      </text>
    </comment>
    <comment ref="M624" authorId="3">
      <text>
        <r>
          <rPr>
            <sz val="8"/>
            <color indexed="81"/>
            <rFont val="Tahoma"/>
            <family val="2"/>
          </rPr>
          <t>Source: Pg 14, S-1 Statement
Source link: http://www.sec.gov/Archives/edgar/data/1585689/000119312513403840/d593452ds1a.htm</t>
        </r>
      </text>
    </comment>
    <comment ref="O628" authorId="1">
      <text>
        <r>
          <rPr>
            <sz val="8"/>
            <color indexed="81"/>
            <rFont val="Tahoma"/>
            <family val="2"/>
          </rPr>
          <t>$29mn unamortized discount on senior secured term loan facility</t>
        </r>
      </text>
    </comment>
    <comment ref="Q628" authorId="1">
      <text>
        <r>
          <rPr>
            <sz val="8"/>
            <color indexed="81"/>
            <rFont val="Tahoma"/>
            <family val="2"/>
          </rPr>
          <t>$28mn unamortized discount on senior secured term loan facility</t>
        </r>
      </text>
    </comment>
    <comment ref="R628" authorId="5">
      <text>
        <r>
          <rPr>
            <sz val="9"/>
            <color indexed="81"/>
            <rFont val="Tahoma"/>
            <family val="2"/>
          </rPr>
          <t>$26mn unamortized discount on senior secured term loan facility</t>
        </r>
      </text>
    </comment>
    <comment ref="S628" authorId="5">
      <text>
        <r>
          <rPr>
            <sz val="9"/>
            <color indexed="81"/>
            <rFont val="Tahoma"/>
            <family val="2"/>
          </rPr>
          <t>$26mn unamortized discount on senior secured term loan facility</t>
        </r>
      </text>
    </comment>
    <comment ref="T628" authorId="5">
      <text>
        <r>
          <rPr>
            <sz val="9"/>
            <color indexed="81"/>
            <rFont val="Tahoma"/>
            <family val="2"/>
          </rPr>
          <t>$24mn unamortized discount on senior secured term loan facility</t>
        </r>
      </text>
    </comment>
    <comment ref="U628" authorId="5">
      <text>
        <r>
          <rPr>
            <b/>
            <sz val="9"/>
            <color indexed="81"/>
            <rFont val="Tahoma"/>
            <family val="2"/>
          </rPr>
          <t>3Q14:</t>
        </r>
        <r>
          <rPr>
            <sz val="9"/>
            <color indexed="81"/>
            <rFont val="Tahoma"/>
            <family val="2"/>
          </rPr>
          <t xml:space="preserve">
Copmany expects to make voluntary debt payments of between $900m and $1B in 2014</t>
        </r>
      </text>
    </comment>
    <comment ref="V628" authorId="5">
      <text>
        <r>
          <rPr>
            <b/>
            <sz val="9"/>
            <color indexed="81"/>
            <rFont val="Tahoma"/>
            <family val="2"/>
          </rPr>
          <t>1Q15</t>
        </r>
        <r>
          <rPr>
            <sz val="9"/>
            <color indexed="81"/>
            <rFont val="Tahoma"/>
            <family val="2"/>
          </rPr>
          <t xml:space="preserve">
Involuntarily prepayment of $150m. Inlcudes $20mn unamortized discount on senior secured term loan facility</t>
        </r>
      </text>
    </comment>
    <comment ref="W628" authorId="5">
      <text>
        <r>
          <rPr>
            <b/>
            <sz val="9"/>
            <color indexed="81"/>
            <rFont val="Tahoma"/>
            <family val="2"/>
          </rPr>
          <t>1Q15</t>
        </r>
        <r>
          <rPr>
            <sz val="9"/>
            <color indexed="81"/>
            <rFont val="Tahoma"/>
            <family val="2"/>
          </rPr>
          <t xml:space="preserve">
Involuntarily prepayment of $175m. Inlcudes $19mn unamortized discount on senior secured term loan facility</t>
        </r>
      </text>
    </comment>
    <comment ref="X628" authorId="5">
      <text>
        <r>
          <rPr>
            <b/>
            <sz val="9"/>
            <color indexed="81"/>
            <rFont val="Tahoma"/>
            <family val="2"/>
          </rPr>
          <t>Chaudhry, Baset A (Research):</t>
        </r>
        <r>
          <rPr>
            <sz val="9"/>
            <color indexed="81"/>
            <rFont val="Tahoma"/>
            <family val="2"/>
          </rPr>
          <t xml:space="preserve">
Inlcudes $19mn unamortized discount on senior secured term loan facility</t>
        </r>
      </text>
    </comment>
    <comment ref="AD630" authorId="0">
      <text>
        <r>
          <rPr>
            <b/>
            <sz val="9"/>
            <color indexed="81"/>
            <rFont val="Tahoma"/>
            <family val="2"/>
          </rPr>
          <t>Savino, Mark (Research):</t>
        </r>
        <r>
          <rPr>
            <sz val="9"/>
            <color indexed="81"/>
            <rFont val="Tahoma"/>
            <family val="2"/>
          </rPr>
          <t xml:space="preserve">
Per 3Q press release, repaid $1,967m in October</t>
        </r>
      </text>
    </comment>
    <comment ref="V633" authorId="5">
      <text>
        <r>
          <rPr>
            <b/>
            <sz val="9"/>
            <color indexed="81"/>
            <rFont val="Tahoma"/>
            <family val="2"/>
          </rPr>
          <t>Chaudhry, Baset A (Research):</t>
        </r>
        <r>
          <rPr>
            <sz val="9"/>
            <color indexed="81"/>
            <rFont val="Tahoma"/>
            <family val="2"/>
          </rPr>
          <t xml:space="preserve">
Prepaid the loan</t>
        </r>
      </text>
    </comment>
    <comment ref="AF634" authorId="6">
      <text>
        <r>
          <rPr>
            <b/>
            <sz val="9"/>
            <color indexed="81"/>
            <rFont val="Tahoma"/>
            <family val="2"/>
          </rPr>
          <t>Zheng, Chaodan (Research):</t>
        </r>
        <r>
          <rPr>
            <sz val="9"/>
            <color indexed="81"/>
            <rFont val="Tahoma"/>
            <family val="2"/>
          </rPr>
          <t xml:space="preserve">
refinanced and redeemed the loan with $900m 4.625% senior notes due 2025 and $600m 4.875% senior notes due 2027</t>
        </r>
      </text>
    </comment>
    <comment ref="AD650" authorId="0">
      <text>
        <r>
          <rPr>
            <b/>
            <sz val="9"/>
            <color indexed="81"/>
            <rFont val="Tahoma"/>
            <family val="2"/>
          </rPr>
          <t>Savino, Mark (Research):</t>
        </r>
        <r>
          <rPr>
            <sz val="9"/>
            <color indexed="81"/>
            <rFont val="Tahoma"/>
            <family val="2"/>
          </rPr>
          <t xml:space="preserve">
Debt issued by Park and HGV</t>
        </r>
      </text>
    </comment>
    <comment ref="AH650" authorId="6">
      <text>
        <r>
          <rPr>
            <b/>
            <sz val="9"/>
            <color indexed="81"/>
            <rFont val="Tahoma"/>
            <family val="2"/>
          </rPr>
          <t>Zheng, Chaodan (Research):</t>
        </r>
        <r>
          <rPr>
            <sz val="9"/>
            <color indexed="81"/>
            <rFont val="Tahoma"/>
            <family val="2"/>
          </rPr>
          <t xml:space="preserve">
plug</t>
        </r>
      </text>
    </comment>
    <comment ref="AA657" authorId="12">
      <text>
        <r>
          <rPr>
            <sz val="9"/>
            <color indexed="81"/>
            <rFont val="Tahoma"/>
            <family val="2"/>
          </rPr>
          <t xml:space="preserve">Timeshare debt
</t>
        </r>
      </text>
    </comment>
    <comment ref="D675" authorId="3">
      <text>
        <r>
          <rPr>
            <sz val="8"/>
            <color indexed="81"/>
            <rFont val="Tahoma"/>
            <family val="2"/>
          </rPr>
          <t xml:space="preserve">Assumed
</t>
        </r>
      </text>
    </comment>
    <comment ref="U690" authorId="2">
      <text>
        <r>
          <rPr>
            <b/>
            <sz val="8"/>
            <color indexed="81"/>
            <rFont val="Tahoma"/>
            <family val="2"/>
          </rPr>
          <t>jills:</t>
        </r>
        <r>
          <rPr>
            <sz val="8"/>
            <color indexed="81"/>
            <rFont val="Tahoma"/>
            <family val="2"/>
          </rPr>
          <t xml:space="preserve">
includes deferred financing costs amortized in int exp ($70m for the year); capture ABS - timeshare $10-12m / year; timeshare outside of ABS is ~$20m, non-recourse ~$20m</t>
        </r>
      </text>
    </comment>
    <comment ref="AE690" authorId="10">
      <text>
        <r>
          <rPr>
            <b/>
            <sz val="9"/>
            <color indexed="81"/>
            <rFont val="Tahoma"/>
            <family val="2"/>
          </rPr>
          <t>Slattery, Jill N (Research):</t>
        </r>
        <r>
          <rPr>
            <sz val="9"/>
            <color indexed="81"/>
            <rFont val="Tahoma"/>
            <family val="2"/>
          </rPr>
          <t xml:space="preserve">
deferred financing costs will impact interest exp for several years per mgmt </t>
        </r>
      </text>
    </comment>
    <comment ref="AJ690" authorId="0">
      <text>
        <r>
          <rPr>
            <b/>
            <sz val="9"/>
            <color indexed="81"/>
            <rFont val="Tahoma"/>
            <family val="2"/>
          </rPr>
          <t>Savino, Mark (Research):</t>
        </r>
        <r>
          <rPr>
            <sz val="9"/>
            <color indexed="81"/>
            <rFont val="Tahoma"/>
            <family val="2"/>
          </rPr>
          <t xml:space="preserve">
Per mgmt, should come down by ~$50m as deferred amortization of loyalty points discount will go away post-spin</t>
        </r>
      </text>
    </comment>
    <comment ref="U691" authorId="5">
      <text>
        <r>
          <rPr>
            <b/>
            <sz val="9"/>
            <color indexed="81"/>
            <rFont val="Tahoma"/>
            <family val="2"/>
          </rPr>
          <t xml:space="preserve">Guidance:
</t>
        </r>
        <r>
          <rPr>
            <sz val="9"/>
            <color indexed="81"/>
            <rFont val="Tahoma"/>
            <family val="2"/>
          </rPr>
          <t xml:space="preserve">$618m
</t>
        </r>
      </text>
    </comment>
    <comment ref="AA691" authorId="0">
      <text>
        <r>
          <rPr>
            <b/>
            <sz val="9"/>
            <color indexed="81"/>
            <rFont val="Tahoma"/>
            <family val="2"/>
          </rPr>
          <t>Savino, Mark (Research):</t>
        </r>
        <r>
          <rPr>
            <sz val="9"/>
            <color indexed="81"/>
            <rFont val="Tahoma"/>
            <family val="2"/>
          </rPr>
          <t xml:space="preserve">
4Q15: $140m</t>
        </r>
      </text>
    </comment>
    <comment ref="AE691" authorId="0">
      <text>
        <r>
          <rPr>
            <b/>
            <sz val="9"/>
            <color indexed="81"/>
            <rFont val="Tahoma"/>
            <family val="2"/>
          </rPr>
          <t>Savino, Mark (Research):</t>
        </r>
        <r>
          <rPr>
            <sz val="9"/>
            <color indexed="81"/>
            <rFont val="Tahoma"/>
            <family val="2"/>
          </rPr>
          <t xml:space="preserve">
2Q16: $570m
4Q15: $562m</t>
        </r>
      </text>
    </comment>
    <comment ref="AF691" authorId="0">
      <text>
        <r>
          <rPr>
            <b/>
            <sz val="9"/>
            <color indexed="81"/>
            <rFont val="Tahoma"/>
            <family val="2"/>
          </rPr>
          <t>Savino, Mark (Research):</t>
        </r>
        <r>
          <rPr>
            <sz val="9"/>
            <color indexed="81"/>
            <rFont val="Tahoma"/>
            <family val="2"/>
          </rPr>
          <t xml:space="preserve">
4Q16: $104m</t>
        </r>
      </text>
    </comment>
    <comment ref="AI691" authorId="6">
      <text>
        <r>
          <rPr>
            <b/>
            <sz val="9"/>
            <color indexed="81"/>
            <rFont val="Tahoma"/>
            <family val="2"/>
          </rPr>
          <t>Zheng, Chaodan (Research):</t>
        </r>
        <r>
          <rPr>
            <sz val="9"/>
            <color indexed="81"/>
            <rFont val="Tahoma"/>
            <family val="2"/>
          </rPr>
          <t xml:space="preserve">
3Q17: $133-145m</t>
        </r>
      </text>
    </comment>
    <comment ref="AJ691" authorId="0">
      <text>
        <r>
          <rPr>
            <b/>
            <sz val="9"/>
            <color indexed="81"/>
            <rFont val="Tahoma"/>
            <family val="2"/>
          </rPr>
          <t>Savino, Mark (Research):</t>
        </r>
        <r>
          <rPr>
            <sz val="9"/>
            <color indexed="81"/>
            <rFont val="Tahoma"/>
            <family val="2"/>
          </rPr>
          <t xml:space="preserve">
3Q17: $404m
2Q17: $403m
1Q17: $403m
4Q16: $416m</t>
        </r>
      </text>
    </comment>
    <comment ref="AK691" authorId="0">
      <text>
        <r>
          <rPr>
            <b/>
            <sz val="9"/>
            <color indexed="81"/>
            <rFont val="Tahoma"/>
            <family val="2"/>
          </rPr>
          <t>Savino, Mark (Research):</t>
        </r>
        <r>
          <rPr>
            <sz val="9"/>
            <color indexed="81"/>
            <rFont val="Tahoma"/>
            <family val="2"/>
          </rPr>
          <t xml:space="preserve">
Guidance $85m</t>
        </r>
      </text>
    </comment>
    <comment ref="AO691" authorId="0">
      <text>
        <r>
          <rPr>
            <b/>
            <sz val="9"/>
            <color indexed="81"/>
            <rFont val="Tahoma"/>
            <family val="2"/>
          </rPr>
          <t>Savino, Mark (Research):</t>
        </r>
        <r>
          <rPr>
            <sz val="9"/>
            <color indexed="81"/>
            <rFont val="Tahoma"/>
            <family val="2"/>
          </rPr>
          <t xml:space="preserve">
4Q17: $346m</t>
        </r>
      </text>
    </comment>
    <comment ref="E709" authorId="3">
      <text>
        <r>
          <rPr>
            <sz val="8"/>
            <color indexed="81"/>
            <rFont val="Tahoma"/>
            <family val="2"/>
          </rPr>
          <t xml:space="preserve">Includes:
Statutory U.S. federal income tax provision: $147.0m
State income taxes, net of U.S. federal tax benefit: $26.0m
Foreign income tax expense (benefit): $8.0m
</t>
        </r>
      </text>
    </comment>
    <comment ref="F709" authorId="3">
      <text>
        <r>
          <rPr>
            <sz val="8"/>
            <color indexed="81"/>
            <rFont val="Tahoma"/>
            <family val="2"/>
          </rPr>
          <t xml:space="preserve">Includes:
Statutory U.S. federal income tax provision: $69.0m
State income taxes, net of U.S. federal tax benefit: $6.0m
Foreign income tax expense (benefit): $50.0m
</t>
        </r>
      </text>
    </comment>
    <comment ref="K709" authorId="3">
      <text>
        <r>
          <rPr>
            <sz val="8"/>
            <color indexed="81"/>
            <rFont val="Tahoma"/>
            <family val="2"/>
          </rPr>
          <t xml:space="preserve">Includes:
Statutory U.S. federal income tax provision: $201.0m
State income taxes, net of U.S. federal tax benefit: $10.0m
Foreign income tax expense (benefit): $18.0m
</t>
        </r>
      </text>
    </comment>
    <comment ref="K716" authorId="3">
      <text>
        <r>
          <rPr>
            <sz val="8"/>
            <color indexed="81"/>
            <rFont val="Tahoma"/>
            <family val="2"/>
          </rPr>
          <t xml:space="preserve">Includes:
Statenet operating loss carryforwards: $1.1bn
Foreign net operating loss carryforwards: $1.9bn
Source: Pg F-35, S-1 Statement 
</t>
        </r>
      </text>
    </comment>
  </commentList>
</comments>
</file>

<file path=xl/comments2.xml><?xml version="1.0" encoding="utf-8"?>
<comments xmlns="http://schemas.openxmlformats.org/spreadsheetml/2006/main">
  <authors>
    <author>Allen, Thomas (Research)</author>
    <author>Chaudhry, Baset A (Research)</author>
    <author>Savino, Mark (Research)</author>
    <author>jills</author>
    <author>pathaman</author>
    <author>Zheng, Chaodan (Research)</author>
  </authors>
  <commentList>
    <comment ref="S9" authorId="0">
      <text>
        <r>
          <rPr>
            <b/>
            <sz val="9"/>
            <color indexed="81"/>
            <rFont val="Tahoma"/>
            <family val="2"/>
          </rPr>
          <t>Allen, Thomas (Research):</t>
        </r>
        <r>
          <rPr>
            <sz val="9"/>
            <color indexed="81"/>
            <rFont val="Tahoma"/>
            <family val="2"/>
          </rPr>
          <t xml:space="preserve">
$1.95B sale of Waldorf to Aanbang, ann. 10/6, closing date 12/31/14 (closed in 1Q). TTM EBITDA $61m, post-mgmt fee
Hilton bought the following 5 hotels in exchange of proceeds from Waldorf Astoria New York: 
1. Parc 55 Wyndham SF - 1,024 rooms 
2. Hilton Orlando Bonnet Creet (1,001 rooms)
3. The Reach Waldorf Astoria Key West - 150 rooms 
4. Casa Marina Waldorf Astoria Key West - 311 rooms 
5. Waldorf Astoria Orlando - 498 rooms 
Total cash proceeds of $1.76B (rest $100m to be used later). Purchased for 13x TTM EBITDA ($135m incremental EBITDA)</t>
        </r>
      </text>
    </comment>
    <comment ref="S12" authorId="1">
      <text>
        <r>
          <rPr>
            <b/>
            <sz val="9"/>
            <color indexed="81"/>
            <rFont val="Tahoma"/>
            <family val="2"/>
          </rPr>
          <t>Chaudhry, Baset A (Research):</t>
        </r>
        <r>
          <rPr>
            <sz val="9"/>
            <color indexed="81"/>
            <rFont val="Tahoma"/>
            <family val="2"/>
          </rPr>
          <t xml:space="preserve">
Hilton bought the following 5 hotels in exchange of proceeds from Waldorf Astoria New York: 
1. Parc 55 Wyndham SF - 1,024 rooms 
2. Hilton Orlando Bonnet Creet (1,001 rooms)
3. The Reach Waldorf Astoria Key West - 150 rooms 
4. Casa Marina Waldorf Astoria Key West - 311 rooms 
5. Waldorf Astoria Orlando - 498 rooms 
Total cash proceeds of $1.76B (rest $100m to be used later). Purchased for 13x TTM EBITDA ($135m incremental EBITDA)</t>
        </r>
      </text>
    </comment>
    <comment ref="T13" authorId="1">
      <text>
        <r>
          <rPr>
            <b/>
            <sz val="9"/>
            <color indexed="81"/>
            <rFont val="Tahoma"/>
            <family val="2"/>
          </rPr>
          <t>1Q15:</t>
        </r>
        <r>
          <rPr>
            <sz val="9"/>
            <color indexed="81"/>
            <rFont val="Tahoma"/>
            <family val="2"/>
          </rPr>
          <t xml:space="preserve">
Bought Cypress Hotel in CA for $112m. Transaction expected to close in 2Q. Hotel to eventually become a Curio</t>
        </r>
      </text>
    </comment>
    <comment ref="AC25" authorId="2">
      <text>
        <r>
          <rPr>
            <b/>
            <sz val="9"/>
            <color indexed="81"/>
            <rFont val="Tahoma"/>
            <family val="2"/>
          </rPr>
          <t>Savino, Mark (Research):</t>
        </r>
        <r>
          <rPr>
            <sz val="9"/>
            <color indexed="81"/>
            <rFont val="Tahoma"/>
            <family val="2"/>
          </rPr>
          <t xml:space="preserve">
Waldorf NY closing for renovations</t>
        </r>
      </text>
    </comment>
    <comment ref="AD28" authorId="2">
      <text>
        <r>
          <rPr>
            <b/>
            <sz val="9"/>
            <color indexed="81"/>
            <rFont val="Tahoma"/>
            <family val="2"/>
          </rPr>
          <t>Savino, Mark (Research):</t>
        </r>
        <r>
          <rPr>
            <sz val="9"/>
            <color indexed="81"/>
            <rFont val="Tahoma"/>
            <family val="2"/>
          </rPr>
          <t xml:space="preserve">
MSe</t>
        </r>
      </text>
    </comment>
    <comment ref="AD99" authorId="2">
      <text>
        <r>
          <rPr>
            <b/>
            <sz val="9"/>
            <color indexed="81"/>
            <rFont val="Tahoma"/>
            <family val="2"/>
          </rPr>
          <t>Savino, Mark (Research):</t>
        </r>
        <r>
          <rPr>
            <sz val="9"/>
            <color indexed="81"/>
            <rFont val="Tahoma"/>
            <family val="2"/>
          </rPr>
          <t xml:space="preserve">
MSe</t>
        </r>
      </text>
    </comment>
    <comment ref="O151" authorId="3">
      <text>
        <r>
          <rPr>
            <b/>
            <sz val="8"/>
            <color indexed="81"/>
            <rFont val="Tahoma"/>
            <family val="2"/>
          </rPr>
          <t>jills:</t>
        </r>
        <r>
          <rPr>
            <sz val="8"/>
            <color indexed="81"/>
            <rFont val="Tahoma"/>
            <family val="2"/>
          </rPr>
          <t xml:space="preserve">
Waldorf in Amsterdam opening</t>
        </r>
      </text>
    </comment>
    <comment ref="AD154" authorId="2">
      <text>
        <r>
          <rPr>
            <b/>
            <sz val="9"/>
            <color indexed="81"/>
            <rFont val="Tahoma"/>
            <family val="2"/>
          </rPr>
          <t>Savino, Mark (Research):</t>
        </r>
        <r>
          <rPr>
            <sz val="9"/>
            <color indexed="81"/>
            <rFont val="Tahoma"/>
            <family val="2"/>
          </rPr>
          <t xml:space="preserve">
MSe</t>
        </r>
      </text>
    </comment>
    <comment ref="AD170" authorId="2">
      <text>
        <r>
          <rPr>
            <b/>
            <sz val="9"/>
            <color indexed="81"/>
            <rFont val="Tahoma"/>
            <family val="2"/>
          </rPr>
          <t>Savino, Mark (Research):</t>
        </r>
        <r>
          <rPr>
            <sz val="9"/>
            <color indexed="81"/>
            <rFont val="Tahoma"/>
            <family val="2"/>
          </rPr>
          <t xml:space="preserve">
MSe</t>
        </r>
      </text>
    </comment>
    <comment ref="AD174" authorId="2">
      <text>
        <r>
          <rPr>
            <b/>
            <sz val="9"/>
            <color indexed="81"/>
            <rFont val="Tahoma"/>
            <family val="2"/>
          </rPr>
          <t>Savino, Mark (Research):</t>
        </r>
        <r>
          <rPr>
            <sz val="9"/>
            <color indexed="81"/>
            <rFont val="Tahoma"/>
            <family val="2"/>
          </rPr>
          <t xml:space="preserve">
MSe</t>
        </r>
      </text>
    </comment>
    <comment ref="AD241" authorId="2">
      <text>
        <r>
          <rPr>
            <b/>
            <sz val="9"/>
            <color indexed="81"/>
            <rFont val="Tahoma"/>
            <family val="2"/>
          </rPr>
          <t>Savino, Mark (Research):</t>
        </r>
        <r>
          <rPr>
            <sz val="9"/>
            <color indexed="81"/>
            <rFont val="Tahoma"/>
            <family val="2"/>
          </rPr>
          <t xml:space="preserve">
MSe</t>
        </r>
      </text>
    </comment>
    <comment ref="U296" authorId="1">
      <text>
        <r>
          <rPr>
            <b/>
            <sz val="9"/>
            <color indexed="81"/>
            <rFont val="Tahoma"/>
            <family val="2"/>
          </rPr>
          <t>1Q15:</t>
        </r>
        <r>
          <rPr>
            <sz val="9"/>
            <color indexed="81"/>
            <rFont val="Tahoma"/>
            <family val="2"/>
          </rPr>
          <t xml:space="preserve">
Sale of Hilton Sydney, expected to close in 2H15</t>
        </r>
      </text>
    </comment>
    <comment ref="AD310" authorId="2">
      <text>
        <r>
          <rPr>
            <b/>
            <sz val="9"/>
            <color indexed="81"/>
            <rFont val="Tahoma"/>
            <family val="2"/>
          </rPr>
          <t>Savino, Mark (Research):</t>
        </r>
        <r>
          <rPr>
            <sz val="9"/>
            <color indexed="81"/>
            <rFont val="Tahoma"/>
            <family val="2"/>
          </rPr>
          <t xml:space="preserve">
MSe</t>
        </r>
      </text>
    </comment>
    <comment ref="AD312" authorId="2">
      <text>
        <r>
          <rPr>
            <b/>
            <sz val="9"/>
            <color indexed="81"/>
            <rFont val="Tahoma"/>
            <family val="2"/>
          </rPr>
          <t>Savino, Mark (Research):</t>
        </r>
        <r>
          <rPr>
            <sz val="9"/>
            <color indexed="81"/>
            <rFont val="Tahoma"/>
            <family val="2"/>
          </rPr>
          <t xml:space="preserve">
MSe</t>
        </r>
      </text>
    </comment>
    <comment ref="AD314" authorId="2">
      <text>
        <r>
          <rPr>
            <b/>
            <sz val="9"/>
            <color indexed="81"/>
            <rFont val="Tahoma"/>
            <family val="2"/>
          </rPr>
          <t>Savino, Mark (Research):</t>
        </r>
        <r>
          <rPr>
            <sz val="9"/>
            <color indexed="81"/>
            <rFont val="Tahoma"/>
            <family val="2"/>
          </rPr>
          <t xml:space="preserve">
MSe</t>
        </r>
      </text>
    </comment>
    <comment ref="S425" authorId="0">
      <text>
        <r>
          <rPr>
            <b/>
            <sz val="9"/>
            <color indexed="81"/>
            <rFont val="Tahoma"/>
            <family val="2"/>
          </rPr>
          <t>Allen, Thomas (Research):</t>
        </r>
        <r>
          <rPr>
            <sz val="9"/>
            <color indexed="81"/>
            <rFont val="Tahoma"/>
            <family val="2"/>
          </rPr>
          <t xml:space="preserve">
$1.95B sale of Waldorf to Aanbang, ann. 10/6, closing date 12/31/14 (closed in 1Q). TTM EBITDA $61m, post-mgmt fee
Hilton bought the following 5 hotels in exchange of proceeds from Waldorf Astoria New York: 
1. Parc 55 Wyndham SF - 1,024 rooms 
2. Hilton Orlando Bonnet Creet (1,001 rooms)
3. The Reach Waldorf Astoria Key West - 150 rooms 
4. Casa Marina Waldorf Astoria Key West - 311 rooms 
5. Waldorf Astoria Orlando - 498 rooms 
Total cash proceeds of $1.76B (rest $100m to be used later). Purchased for 13x TTM EBITDA ($135m incremental EBITDA)</t>
        </r>
      </text>
    </comment>
    <comment ref="S428" authorId="1">
      <text>
        <r>
          <rPr>
            <b/>
            <sz val="9"/>
            <color indexed="81"/>
            <rFont val="Tahoma"/>
            <family val="2"/>
          </rPr>
          <t>Chaudhry, Baset A (Research):</t>
        </r>
        <r>
          <rPr>
            <sz val="9"/>
            <color indexed="81"/>
            <rFont val="Tahoma"/>
            <family val="2"/>
          </rPr>
          <t xml:space="preserve">
Hilton bought the following 5 hotels in exchange of proceeds from Waldorf Astoria New York: 
1. Parc 55 Wyndham SF - 1,024 rooms 
2. Hilton Orlando Bonnet Creet (1,001 rooms)
3. The Reach Waldorf Astoria Key West - 150 rooms 
4. Casa Marina Waldorf Astoria Key West - 311 rooms 
5. Waldorf Astoria Orlando - 498 rooms 
Total cash proceeds of $1.76B (rest $100m to be used later). Purchased for 13x TTM EBITDA ($135m incremental EBITDA)</t>
        </r>
      </text>
    </comment>
    <comment ref="T429" authorId="1">
      <text>
        <r>
          <rPr>
            <b/>
            <sz val="9"/>
            <color indexed="81"/>
            <rFont val="Tahoma"/>
            <family val="2"/>
          </rPr>
          <t>1Q15:</t>
        </r>
        <r>
          <rPr>
            <sz val="9"/>
            <color indexed="81"/>
            <rFont val="Tahoma"/>
            <family val="2"/>
          </rPr>
          <t xml:space="preserve">
Bought Cypress Hotel in CA for $112m. Transaction expected to close in 2Q. Hotel to eventually become a Curio</t>
        </r>
      </text>
    </comment>
    <comment ref="AC441" authorId="2">
      <text>
        <r>
          <rPr>
            <b/>
            <sz val="9"/>
            <color indexed="81"/>
            <rFont val="Tahoma"/>
            <family val="2"/>
          </rPr>
          <t>Savino, Mark (Research):</t>
        </r>
        <r>
          <rPr>
            <sz val="9"/>
            <color indexed="81"/>
            <rFont val="Tahoma"/>
            <family val="2"/>
          </rPr>
          <t xml:space="preserve">
Waldorf Astoria NY closing for renovations</t>
        </r>
      </text>
    </comment>
    <comment ref="AD570" authorId="2">
      <text>
        <r>
          <rPr>
            <b/>
            <sz val="9"/>
            <color indexed="81"/>
            <rFont val="Tahoma"/>
            <family val="2"/>
          </rPr>
          <t>Savino, Mark (Research):</t>
        </r>
        <r>
          <rPr>
            <sz val="9"/>
            <color indexed="81"/>
            <rFont val="Tahoma"/>
            <family val="2"/>
          </rPr>
          <t xml:space="preserve">
MSe</t>
        </r>
      </text>
    </comment>
    <comment ref="U712" authorId="1">
      <text>
        <r>
          <rPr>
            <b/>
            <sz val="9"/>
            <color indexed="81"/>
            <rFont val="Tahoma"/>
            <family val="2"/>
          </rPr>
          <t>1Q15:</t>
        </r>
        <r>
          <rPr>
            <sz val="9"/>
            <color indexed="81"/>
            <rFont val="Tahoma"/>
            <family val="2"/>
          </rPr>
          <t xml:space="preserve">
Sale of Hilton Sydney, expected to close in 2H15</t>
        </r>
      </text>
    </comment>
    <comment ref="R838" authorId="4">
      <text>
        <r>
          <rPr>
            <sz val="8"/>
            <color indexed="81"/>
            <rFont val="Tahoma"/>
            <family val="2"/>
          </rPr>
          <t xml:space="preserve">Guidance
35,000-40,000 rooms
Source: Pg 4, 8-K, 4Q13
</t>
        </r>
      </text>
    </comment>
    <comment ref="AG838" authorId="5">
      <text>
        <r>
          <rPr>
            <b/>
            <sz val="9"/>
            <color indexed="81"/>
            <rFont val="Tahoma"/>
            <family val="2"/>
          </rPr>
          <t>Zheng, Chaodan (Research):</t>
        </r>
        <r>
          <rPr>
            <sz val="9"/>
            <color indexed="81"/>
            <rFont val="Tahoma"/>
            <family val="2"/>
          </rPr>
          <t xml:space="preserve">
1Q17: 50-55k</t>
        </r>
      </text>
    </comment>
    <comment ref="AL838" authorId="5">
      <text>
        <r>
          <rPr>
            <b/>
            <sz val="9"/>
            <color indexed="81"/>
            <rFont val="Tahoma"/>
            <family val="2"/>
          </rPr>
          <t>Zheng, Chaodan (Research):</t>
        </r>
        <r>
          <rPr>
            <sz val="9"/>
            <color indexed="81"/>
            <rFont val="Tahoma"/>
            <family val="2"/>
          </rPr>
          <t xml:space="preserve">
1Q17: 50-55k</t>
        </r>
      </text>
    </comment>
    <comment ref="AG839" authorId="5">
      <text>
        <r>
          <rPr>
            <b/>
            <sz val="9"/>
            <color indexed="81"/>
            <rFont val="Tahoma"/>
            <family val="2"/>
          </rPr>
          <t>Zheng, Chaodan (Research):</t>
        </r>
        <r>
          <rPr>
            <sz val="9"/>
            <color indexed="81"/>
            <rFont val="Tahoma"/>
            <family val="2"/>
          </rPr>
          <t xml:space="preserve">
2016 Investor Day: Net unit growth of appr. 6% or 160,000 rooms</t>
        </r>
      </text>
    </comment>
    <comment ref="AL839" authorId="5">
      <text>
        <r>
          <rPr>
            <b/>
            <sz val="9"/>
            <color indexed="81"/>
            <rFont val="Tahoma"/>
            <family val="2"/>
          </rPr>
          <t>Zheng, Chaodan (Research):</t>
        </r>
        <r>
          <rPr>
            <sz val="9"/>
            <color indexed="81"/>
            <rFont val="Tahoma"/>
            <family val="2"/>
          </rPr>
          <t xml:space="preserve">
4Q17: 6.5%
2016 Investor Day: Net unit growth of appr. 6% or 160,000 rooms</t>
        </r>
      </text>
    </comment>
    <comment ref="A845" authorId="4">
      <text>
        <r>
          <rPr>
            <sz val="8"/>
            <color indexed="81"/>
            <rFont val="Tahoma"/>
            <family val="2"/>
          </rPr>
          <t>As per company's categorization.
Please refer: http://www.hiltonworldwide.com/portfolio/</t>
        </r>
      </text>
    </comment>
    <comment ref="A848" authorId="4">
      <text>
        <r>
          <rPr>
            <sz val="8"/>
            <color indexed="81"/>
            <rFont val="Tahoma"/>
            <family val="2"/>
          </rPr>
          <t>As per company's categorization.
Please refer: http://www.hiltonworldwide.com/portfolio/</t>
        </r>
      </text>
    </comment>
    <comment ref="A851" authorId="4">
      <text>
        <r>
          <rPr>
            <sz val="8"/>
            <color indexed="81"/>
            <rFont val="Tahoma"/>
            <family val="2"/>
          </rPr>
          <t>As per company's categorization.
Please refer: http://www.hiltonworldwide.com/portfolio/</t>
        </r>
      </text>
    </comment>
    <comment ref="A854" authorId="4">
      <text>
        <r>
          <rPr>
            <sz val="8"/>
            <color indexed="81"/>
            <rFont val="Tahoma"/>
            <family val="2"/>
          </rPr>
          <t>Assumed it to be part of US.
Please refer: http://www.hiltonworldwide.com/portfolio/</t>
        </r>
      </text>
    </comment>
    <comment ref="A857" authorId="4">
      <text>
        <r>
          <rPr>
            <sz val="8"/>
            <color indexed="81"/>
            <rFont val="Tahoma"/>
            <family val="2"/>
          </rPr>
          <t xml:space="preserve">Assumed others to be part of US operation.
</t>
        </r>
      </text>
    </comment>
    <comment ref="A869" authorId="4">
      <text>
        <r>
          <rPr>
            <sz val="8"/>
            <color indexed="81"/>
            <rFont val="Tahoma"/>
            <family val="2"/>
          </rPr>
          <t>As per company's categorization.
Please refer: http://www.hiltonworldwide.com/portfolio/</t>
        </r>
      </text>
    </comment>
    <comment ref="A872" authorId="4">
      <text>
        <r>
          <rPr>
            <sz val="8"/>
            <color indexed="81"/>
            <rFont val="Tahoma"/>
            <family val="2"/>
          </rPr>
          <t>As per company's categorization.
Please refer: http://www.hiltonworldwide.com/portfolio/</t>
        </r>
      </text>
    </comment>
    <comment ref="A875" authorId="4">
      <text>
        <r>
          <rPr>
            <sz val="8"/>
            <color indexed="81"/>
            <rFont val="Tahoma"/>
            <family val="2"/>
          </rPr>
          <t>As per company's categorization.
Please refer: http://www.hiltonworldwide.com/portfolio/</t>
        </r>
      </text>
    </comment>
    <comment ref="R876" authorId="3">
      <text>
        <r>
          <rPr>
            <b/>
            <sz val="8"/>
            <color indexed="81"/>
            <rFont val="Tahoma"/>
            <family val="2"/>
          </rPr>
          <t>jills:</t>
        </r>
        <r>
          <rPr>
            <sz val="8"/>
            <color indexed="81"/>
            <rFont val="Tahoma"/>
            <family val="2"/>
          </rPr>
          <t xml:space="preserve">
growth likely more skewed towards US and focused than what overall pipeline suggests given that domestic hotels and limited service hotels typically open quicker</t>
        </r>
      </text>
    </comment>
    <comment ref="A878" authorId="4">
      <text>
        <r>
          <rPr>
            <sz val="8"/>
            <color indexed="81"/>
            <rFont val="Tahoma"/>
            <family val="2"/>
          </rPr>
          <t xml:space="preserve">Assumed others to be part of US operation.
</t>
        </r>
      </text>
    </comment>
    <comment ref="AC879" authorId="2">
      <text>
        <r>
          <rPr>
            <b/>
            <sz val="9"/>
            <color indexed="81"/>
            <rFont val="Tahoma"/>
            <family val="2"/>
          </rPr>
          <t>Savino, Mark (Research):</t>
        </r>
        <r>
          <rPr>
            <sz val="9"/>
            <color indexed="81"/>
            <rFont val="Tahoma"/>
            <family val="2"/>
          </rPr>
          <t xml:space="preserve">
Excludes rooms that shifted into M&amp;F as a result of the spin</t>
        </r>
      </text>
    </comment>
    <comment ref="AD879" authorId="2">
      <text>
        <r>
          <rPr>
            <b/>
            <sz val="9"/>
            <color indexed="81"/>
            <rFont val="Tahoma"/>
            <family val="2"/>
          </rPr>
          <t>Savino, Mark (Research):</t>
        </r>
        <r>
          <rPr>
            <sz val="9"/>
            <color indexed="81"/>
            <rFont val="Tahoma"/>
            <family val="2"/>
          </rPr>
          <t xml:space="preserve">
Excludes rooms that shifted into M&amp;F as a result of the spin</t>
        </r>
      </text>
    </comment>
    <comment ref="AE879" authorId="2">
      <text>
        <r>
          <rPr>
            <b/>
            <sz val="9"/>
            <color indexed="81"/>
            <rFont val="Tahoma"/>
            <family val="2"/>
          </rPr>
          <t>Savino, Mark (Research):</t>
        </r>
        <r>
          <rPr>
            <sz val="9"/>
            <color indexed="81"/>
            <rFont val="Tahoma"/>
            <family val="2"/>
          </rPr>
          <t xml:space="preserve">
Excludes rooms that shifted into M&amp;F as a result of the spin</t>
        </r>
      </text>
    </comment>
    <comment ref="AF879" authorId="2">
      <text>
        <r>
          <rPr>
            <b/>
            <sz val="9"/>
            <color indexed="81"/>
            <rFont val="Tahoma"/>
            <family val="2"/>
          </rPr>
          <t>Savino, Mark (Research):</t>
        </r>
        <r>
          <rPr>
            <sz val="9"/>
            <color indexed="81"/>
            <rFont val="Tahoma"/>
            <family val="2"/>
          </rPr>
          <t xml:space="preserve">
Excludes rooms that shifted into M&amp;F as a result of the spin</t>
        </r>
      </text>
    </comment>
    <comment ref="AG879" authorId="2">
      <text>
        <r>
          <rPr>
            <b/>
            <sz val="9"/>
            <color indexed="81"/>
            <rFont val="Tahoma"/>
            <family val="2"/>
          </rPr>
          <t>Savino, Mark (Research):</t>
        </r>
        <r>
          <rPr>
            <sz val="9"/>
            <color indexed="81"/>
            <rFont val="Tahoma"/>
            <family val="2"/>
          </rPr>
          <t xml:space="preserve">
Excludes rooms that shifted into M&amp;F as a result of the spin</t>
        </r>
      </text>
    </comment>
    <comment ref="R883" authorId="3">
      <text>
        <r>
          <rPr>
            <b/>
            <sz val="8"/>
            <color indexed="81"/>
            <rFont val="Tahoma"/>
            <family val="2"/>
          </rPr>
          <t>jills:</t>
        </r>
        <r>
          <rPr>
            <sz val="8"/>
            <color indexed="81"/>
            <rFont val="Tahoma"/>
            <family val="2"/>
          </rPr>
          <t xml:space="preserve">
growth likely more skewed towards US and focused than what overall pipeline suggests given that domestic hotels and limited service hotels typically open quicker</t>
        </r>
      </text>
    </comment>
    <comment ref="AC883" authorId="2">
      <text>
        <r>
          <rPr>
            <b/>
            <sz val="9"/>
            <color indexed="81"/>
            <rFont val="Tahoma"/>
            <family val="2"/>
          </rPr>
          <t>Savino, Mark (Research):</t>
        </r>
        <r>
          <rPr>
            <sz val="9"/>
            <color indexed="81"/>
            <rFont val="Tahoma"/>
            <family val="2"/>
          </rPr>
          <t xml:space="preserve">
Excludes rooms that shifted into M&amp;F as a result of the spin</t>
        </r>
      </text>
    </comment>
    <comment ref="AD883" authorId="2">
      <text>
        <r>
          <rPr>
            <b/>
            <sz val="9"/>
            <color indexed="81"/>
            <rFont val="Tahoma"/>
            <family val="2"/>
          </rPr>
          <t>Savino, Mark (Research):</t>
        </r>
        <r>
          <rPr>
            <sz val="9"/>
            <color indexed="81"/>
            <rFont val="Tahoma"/>
            <family val="2"/>
          </rPr>
          <t xml:space="preserve">
Excludes rooms that shifted into M&amp;F as a result of the spin</t>
        </r>
      </text>
    </comment>
    <comment ref="AE883" authorId="2">
      <text>
        <r>
          <rPr>
            <b/>
            <sz val="9"/>
            <color indexed="81"/>
            <rFont val="Tahoma"/>
            <family val="2"/>
          </rPr>
          <t>Savino, Mark (Research):</t>
        </r>
        <r>
          <rPr>
            <sz val="9"/>
            <color indexed="81"/>
            <rFont val="Tahoma"/>
            <family val="2"/>
          </rPr>
          <t xml:space="preserve">
Excludes rooms that shifted into M&amp;F as a result of the spin</t>
        </r>
      </text>
    </comment>
    <comment ref="AF883" authorId="2">
      <text>
        <r>
          <rPr>
            <b/>
            <sz val="9"/>
            <color indexed="81"/>
            <rFont val="Tahoma"/>
            <family val="2"/>
          </rPr>
          <t>Savino, Mark (Research):</t>
        </r>
        <r>
          <rPr>
            <sz val="9"/>
            <color indexed="81"/>
            <rFont val="Tahoma"/>
            <family val="2"/>
          </rPr>
          <t xml:space="preserve">
Excludes rooms that shifted into M&amp;F as a result of the spin</t>
        </r>
      </text>
    </comment>
    <comment ref="AG883" authorId="2">
      <text>
        <r>
          <rPr>
            <b/>
            <sz val="9"/>
            <color indexed="81"/>
            <rFont val="Tahoma"/>
            <family val="2"/>
          </rPr>
          <t>Savino, Mark (Research):</t>
        </r>
        <r>
          <rPr>
            <sz val="9"/>
            <color indexed="81"/>
            <rFont val="Tahoma"/>
            <family val="2"/>
          </rPr>
          <t xml:space="preserve">
Excludes rooms that shifted into M&amp;F as a result of the spin</t>
        </r>
      </text>
    </comment>
    <comment ref="AD884" authorId="2">
      <text>
        <r>
          <rPr>
            <b/>
            <sz val="9"/>
            <color indexed="81"/>
            <rFont val="Tahoma"/>
            <family val="2"/>
          </rPr>
          <t>Savino, Mark (Research):</t>
        </r>
        <r>
          <rPr>
            <sz val="9"/>
            <color indexed="81"/>
            <rFont val="Tahoma"/>
            <family val="2"/>
          </rPr>
          <t xml:space="preserve">
Plug to get total managed rooms to match reported 202,476</t>
        </r>
      </text>
    </comment>
    <comment ref="AC887" authorId="2">
      <text>
        <r>
          <rPr>
            <b/>
            <sz val="9"/>
            <color indexed="81"/>
            <rFont val="Tahoma"/>
            <family val="2"/>
          </rPr>
          <t>Savino, Mark (Research):</t>
        </r>
        <r>
          <rPr>
            <sz val="9"/>
            <color indexed="81"/>
            <rFont val="Tahoma"/>
            <family val="2"/>
          </rPr>
          <t xml:space="preserve">
Excludes rooms that shifted into M&amp;F as a result of the spin</t>
        </r>
      </text>
    </comment>
    <comment ref="AD887" authorId="2">
      <text>
        <r>
          <rPr>
            <b/>
            <sz val="9"/>
            <color indexed="81"/>
            <rFont val="Tahoma"/>
            <family val="2"/>
          </rPr>
          <t>Savino, Mark (Research):</t>
        </r>
        <r>
          <rPr>
            <sz val="9"/>
            <color indexed="81"/>
            <rFont val="Tahoma"/>
            <family val="2"/>
          </rPr>
          <t xml:space="preserve">
Excludes rooms that shifted into M&amp;F as a result of the spin</t>
        </r>
      </text>
    </comment>
    <comment ref="AE887" authorId="2">
      <text>
        <r>
          <rPr>
            <b/>
            <sz val="9"/>
            <color indexed="81"/>
            <rFont val="Tahoma"/>
            <family val="2"/>
          </rPr>
          <t>Savino, Mark (Research):</t>
        </r>
        <r>
          <rPr>
            <sz val="9"/>
            <color indexed="81"/>
            <rFont val="Tahoma"/>
            <family val="2"/>
          </rPr>
          <t xml:space="preserve">
Excludes rooms that shifted into M&amp;F as a result of the spin</t>
        </r>
      </text>
    </comment>
    <comment ref="AF887" authorId="2">
      <text>
        <r>
          <rPr>
            <b/>
            <sz val="9"/>
            <color indexed="81"/>
            <rFont val="Tahoma"/>
            <family val="2"/>
          </rPr>
          <t>Savino, Mark (Research):</t>
        </r>
        <r>
          <rPr>
            <sz val="9"/>
            <color indexed="81"/>
            <rFont val="Tahoma"/>
            <family val="2"/>
          </rPr>
          <t xml:space="preserve">
Excludes rooms that shifted into M&amp;F as a result of the spin</t>
        </r>
      </text>
    </comment>
    <comment ref="AG887" authorId="2">
      <text>
        <r>
          <rPr>
            <b/>
            <sz val="9"/>
            <color indexed="81"/>
            <rFont val="Tahoma"/>
            <family val="2"/>
          </rPr>
          <t>Savino, Mark (Research):</t>
        </r>
        <r>
          <rPr>
            <sz val="9"/>
            <color indexed="81"/>
            <rFont val="Tahoma"/>
            <family val="2"/>
          </rPr>
          <t xml:space="preserve">
Excludes rooms that shifted into M&amp;F as a result of the spin</t>
        </r>
      </text>
    </comment>
    <comment ref="R889" authorId="3">
      <text>
        <r>
          <rPr>
            <b/>
            <sz val="8"/>
            <color indexed="81"/>
            <rFont val="Tahoma"/>
            <family val="2"/>
          </rPr>
          <t>jills:</t>
        </r>
        <r>
          <rPr>
            <sz val="8"/>
            <color indexed="81"/>
            <rFont val="Tahoma"/>
            <family val="2"/>
          </rPr>
          <t xml:space="preserve">
half of pipeline is under construction and that part is evenly split bt managed and franchised, but franchised deals open quicker</t>
        </r>
      </text>
    </comment>
    <comment ref="A891" authorId="4">
      <text>
        <r>
          <rPr>
            <sz val="8"/>
            <color indexed="81"/>
            <rFont val="Tahoma"/>
            <family val="2"/>
          </rPr>
          <t>Assumed it to be part of US.
Please refer: http://www.hiltonworldwide.com/portfolio/</t>
        </r>
      </text>
    </comment>
    <comment ref="A898" authorId="4">
      <text>
        <r>
          <rPr>
            <sz val="8"/>
            <color indexed="81"/>
            <rFont val="Tahoma"/>
            <family val="2"/>
          </rPr>
          <t>As per company's categorization.
Please refer: http://www.hiltonworldwide.com/portfolio/</t>
        </r>
      </text>
    </comment>
    <comment ref="A901" authorId="4">
      <text>
        <r>
          <rPr>
            <sz val="8"/>
            <color indexed="81"/>
            <rFont val="Tahoma"/>
            <family val="2"/>
          </rPr>
          <t>As per company's categorization.
Please refer: http://www.hiltonworldwide.com/portfolio/</t>
        </r>
      </text>
    </comment>
    <comment ref="A904" authorId="4">
      <text>
        <r>
          <rPr>
            <sz val="8"/>
            <color indexed="81"/>
            <rFont val="Tahoma"/>
            <family val="2"/>
          </rPr>
          <t>As per company's categorization.
Please refer: http://www.hiltonworldwide.com/portfolio/</t>
        </r>
      </text>
    </comment>
    <comment ref="AC906" authorId="2">
      <text>
        <r>
          <rPr>
            <b/>
            <sz val="9"/>
            <color indexed="81"/>
            <rFont val="Tahoma"/>
            <family val="2"/>
          </rPr>
          <t>Savino, Mark (Research):</t>
        </r>
        <r>
          <rPr>
            <sz val="9"/>
            <color indexed="81"/>
            <rFont val="Tahoma"/>
            <family val="2"/>
          </rPr>
          <t xml:space="preserve">
Plug to match total room count as HLT stopped providing breakout between managed and franchised rooms</t>
        </r>
      </text>
    </comment>
    <comment ref="AD906" authorId="2">
      <text>
        <r>
          <rPr>
            <b/>
            <sz val="9"/>
            <color indexed="81"/>
            <rFont val="Tahoma"/>
            <family val="2"/>
          </rPr>
          <t>Savino, Mark (Research):</t>
        </r>
        <r>
          <rPr>
            <sz val="9"/>
            <color indexed="81"/>
            <rFont val="Tahoma"/>
            <family val="2"/>
          </rPr>
          <t xml:space="preserve">
Plug to get total franchised rooms to match reported 592,936</t>
        </r>
      </text>
    </comment>
    <comment ref="A907" authorId="4">
      <text>
        <r>
          <rPr>
            <sz val="8"/>
            <color indexed="81"/>
            <rFont val="Tahoma"/>
            <family val="2"/>
          </rPr>
          <t xml:space="preserve">Assumed others to be part of US operation.
</t>
        </r>
      </text>
    </comment>
    <comment ref="R921" authorId="3">
      <text>
        <r>
          <rPr>
            <b/>
            <sz val="8"/>
            <color indexed="81"/>
            <rFont val="Tahoma"/>
            <family val="2"/>
          </rPr>
          <t>Guidance:</t>
        </r>
        <r>
          <rPr>
            <sz val="8"/>
            <color indexed="81"/>
            <rFont val="Tahoma"/>
            <family val="2"/>
          </rPr>
          <t xml:space="preserve">
Jan 29, 15 Press Release: Hilton added more than 36,000 rooms in 28 countries in 2014 (net of removals), representing 6% growth
3Q14: 5.6-6.5%</t>
        </r>
      </text>
    </comment>
    <comment ref="W921" authorId="3">
      <text>
        <r>
          <rPr>
            <b/>
            <sz val="8"/>
            <color indexed="81"/>
            <rFont val="Tahoma"/>
            <family val="2"/>
          </rPr>
          <t>Guidance:</t>
        </r>
        <r>
          <rPr>
            <sz val="8"/>
            <color indexed="81"/>
            <rFont val="Tahoma"/>
            <family val="2"/>
          </rPr>
          <t xml:space="preserve">
4Q14: 6-7%, net
3Q14: 6-7%, net</t>
        </r>
      </text>
    </comment>
    <comment ref="AG921" authorId="2">
      <text>
        <r>
          <rPr>
            <b/>
            <sz val="9"/>
            <color indexed="81"/>
            <rFont val="Tahoma"/>
            <family val="2"/>
          </rPr>
          <t>Savino, Mark (Research):</t>
        </r>
        <r>
          <rPr>
            <sz val="9"/>
            <color indexed="81"/>
            <rFont val="Tahoma"/>
            <family val="2"/>
          </rPr>
          <t xml:space="preserve">
Excludes rooms that shifted into M&amp;F as a result of the spin
Per 12/8/16 Investor Day, 6.2% net unit growth over the next 3 years</t>
        </r>
      </text>
    </comment>
    <comment ref="AL921" authorId="2">
      <text>
        <r>
          <rPr>
            <b/>
            <sz val="9"/>
            <color indexed="81"/>
            <rFont val="Tahoma"/>
            <family val="2"/>
          </rPr>
          <t>Savino, Mark (Research):</t>
        </r>
        <r>
          <rPr>
            <sz val="9"/>
            <color indexed="81"/>
            <rFont val="Tahoma"/>
            <family val="2"/>
          </rPr>
          <t xml:space="preserve">
3Q17: expects global rooms to expand by appr. +6.5% 
Per 12/8/16 Investor Day, 6.2% average net unit growth over the next 3 years</t>
        </r>
      </text>
    </comment>
    <comment ref="AM921" authorId="2">
      <text>
        <r>
          <rPr>
            <b/>
            <sz val="9"/>
            <color indexed="81"/>
            <rFont val="Tahoma"/>
            <family val="2"/>
          </rPr>
          <t>Savino, Mark (Research):</t>
        </r>
        <r>
          <rPr>
            <sz val="9"/>
            <color indexed="81"/>
            <rFont val="Tahoma"/>
            <family val="2"/>
          </rPr>
          <t xml:space="preserve">
Per 12/8/16 Investor Day, 6.2% average net unit growth over the next 3 years</t>
        </r>
      </text>
    </comment>
    <comment ref="R923" authorId="3">
      <text>
        <r>
          <rPr>
            <b/>
            <sz val="8"/>
            <color indexed="81"/>
            <rFont val="Tahoma"/>
            <family val="2"/>
          </rPr>
          <t xml:space="preserve">Guidance: </t>
        </r>
        <r>
          <rPr>
            <sz val="8"/>
            <color indexed="81"/>
            <rFont val="Tahoma"/>
            <family val="2"/>
          </rPr>
          <t xml:space="preserve">
4Q14: Added more than 40k gross rooms and 36k net rooms
Jan 29, 15 Press Release: Hilton added more than 36,000 rooms in 28 countries in 2014 (net of removals) 
3Q14:Net room growth guidance of 35-40k
2Q14:Net room growth guidance of 35-40k</t>
        </r>
      </text>
    </comment>
    <comment ref="AG923" authorId="2">
      <text>
        <r>
          <rPr>
            <b/>
            <sz val="9"/>
            <color indexed="81"/>
            <rFont val="Tahoma"/>
            <family val="2"/>
          </rPr>
          <t>Savino, Mark (Research):</t>
        </r>
        <r>
          <rPr>
            <sz val="9"/>
            <color indexed="81"/>
            <rFont val="Tahoma"/>
            <family val="2"/>
          </rPr>
          <t xml:space="preserve">
Excludes rooms that shifted into M&amp;F as a result of the spin</t>
        </r>
      </text>
    </comment>
    <comment ref="W924" authorId="3">
      <text>
        <r>
          <rPr>
            <b/>
            <sz val="8"/>
            <color indexed="81"/>
            <rFont val="Tahoma"/>
            <family val="2"/>
          </rPr>
          <t>Guidance:</t>
        </r>
        <r>
          <rPr>
            <sz val="8"/>
            <color indexed="81"/>
            <rFont val="Tahoma"/>
            <family val="2"/>
          </rPr>
          <t xml:space="preserve">
3Q15: Net 40-45k rooms addition
2Q15: Net 40-45k rooms addition
1Q15: Net 40-45k rooms addition
4Q14: Net 40-45k rooms addition
3Q14: Net 40-45k rooms addition</t>
        </r>
      </text>
    </comment>
    <comment ref="AB924" authorId="3">
      <text>
        <r>
          <rPr>
            <b/>
            <sz val="8"/>
            <color indexed="81"/>
            <rFont val="Tahoma"/>
            <family val="2"/>
          </rPr>
          <t>Guidance:</t>
        </r>
        <r>
          <rPr>
            <sz val="8"/>
            <color indexed="81"/>
            <rFont val="Tahoma"/>
            <family val="2"/>
          </rPr>
          <t xml:space="preserve">
3Q16: Net 45-50k rooms addition
2Q16: Net 45-50k rooms addition
1Q16: Net 45-50k rooms addition
4Q15: Net 45-50k rooms addition
3Q15: Net 45-50k rooms addition
</t>
        </r>
      </text>
    </comment>
    <comment ref="AG924" authorId="3">
      <text>
        <r>
          <rPr>
            <b/>
            <sz val="8"/>
            <color indexed="81"/>
            <rFont val="Tahoma"/>
            <family val="2"/>
          </rPr>
          <t>Guidance:</t>
        </r>
        <r>
          <rPr>
            <sz val="8"/>
            <color indexed="81"/>
            <rFont val="Tahoma"/>
            <family val="2"/>
          </rPr>
          <t xml:space="preserve">
3Q17: net 50-55k rooms
2Q17: net 50-55k rooms
1Q17: net 50-55k rooms
3Q16: Net 50-55k rooms addition
</t>
        </r>
      </text>
    </comment>
    <comment ref="AL924" authorId="0">
      <text>
        <r>
          <rPr>
            <b/>
            <sz val="9"/>
            <color indexed="81"/>
            <rFont val="Tahoma"/>
            <family val="2"/>
          </rPr>
          <t>Allen, Thomas (Research):</t>
        </r>
        <r>
          <rPr>
            <sz val="9"/>
            <color indexed="81"/>
            <rFont val="Tahoma"/>
            <family val="2"/>
          </rPr>
          <t xml:space="preserve">
4Q17: 6.5%
3Q17: 6.5%</t>
        </r>
      </text>
    </comment>
    <comment ref="A931" authorId="3">
      <text>
        <r>
          <rPr>
            <b/>
            <sz val="8"/>
            <color indexed="81"/>
            <rFont val="Tahoma"/>
            <family val="2"/>
          </rPr>
          <t>jills:</t>
        </r>
        <r>
          <rPr>
            <sz val="8"/>
            <color indexed="81"/>
            <rFont val="Tahoma"/>
            <family val="2"/>
          </rPr>
          <t xml:space="preserve">
includes Home2 Suites and Other / Unbranded</t>
        </r>
      </text>
    </comment>
    <comment ref="A938" authorId="3">
      <text>
        <r>
          <rPr>
            <b/>
            <sz val="8"/>
            <color indexed="81"/>
            <rFont val="Tahoma"/>
            <family val="2"/>
          </rPr>
          <t>jills:</t>
        </r>
        <r>
          <rPr>
            <sz val="8"/>
            <color indexed="81"/>
            <rFont val="Tahoma"/>
            <family val="2"/>
          </rPr>
          <t xml:space="preserve">
includes Home2 Suites and Other / Unbranded</t>
        </r>
      </text>
    </comment>
    <comment ref="K944" authorId="3">
      <text>
        <r>
          <rPr>
            <b/>
            <sz val="8"/>
            <color indexed="81"/>
            <rFont val="Tahoma"/>
            <family val="2"/>
          </rPr>
          <t>jills:</t>
        </r>
        <r>
          <rPr>
            <sz val="8"/>
            <color indexed="81"/>
            <rFont val="Tahoma"/>
            <family val="2"/>
          </rPr>
          <t xml:space="preserve">
half of pipeline is under construction and that part is evenly split bt managed and franhised</t>
        </r>
      </text>
    </comment>
    <comment ref="L944" authorId="0">
      <text>
        <r>
          <rPr>
            <b/>
            <sz val="9"/>
            <color indexed="81"/>
            <rFont val="Tahoma"/>
            <family val="2"/>
          </rPr>
          <t>Allen, Thomas (Research):</t>
        </r>
        <r>
          <rPr>
            <sz val="9"/>
            <color indexed="81"/>
            <rFont val="Tahoma"/>
            <family val="2"/>
          </rPr>
          <t xml:space="preserve">
Approved 72,000 rooms for development in 2013, including 22,000 in the fourth quarter, growing the
development pipeline to over 1,100 hotels, consisting of 195,000 rooms as of December 31, 2013.</t>
        </r>
      </text>
    </comment>
    <comment ref="Q944" authorId="1">
      <text>
        <r>
          <rPr>
            <b/>
            <sz val="9"/>
            <color indexed="81"/>
            <rFont val="Tahoma"/>
            <family val="2"/>
          </rPr>
          <t xml:space="preserve">Jan 29, 15 Press Release:
</t>
        </r>
        <r>
          <rPr>
            <sz val="9"/>
            <color indexed="81"/>
            <rFont val="Tahoma"/>
            <family val="2"/>
          </rPr>
          <t xml:space="preserve">The company's pipeline increased by 35,000 guest rooms in 2014 and includes more than 1,350 hotels and nearly 230,000 rooms in 79 countries and territories
</t>
        </r>
        <r>
          <rPr>
            <b/>
            <sz val="9"/>
            <color indexed="81"/>
            <rFont val="Tahoma"/>
            <family val="2"/>
          </rPr>
          <t>4Q14:</t>
        </r>
        <r>
          <rPr>
            <sz val="9"/>
            <color indexed="81"/>
            <rFont val="Tahoma"/>
            <family val="2"/>
          </rPr>
          <t xml:space="preserve"> Our entire pipeline of nearly 230,000 rooms requires approximately $100 million in contract acquisition costs in 5% of deals</t>
        </r>
      </text>
    </comment>
    <comment ref="AN944" authorId="0">
      <text>
        <r>
          <rPr>
            <b/>
            <sz val="9"/>
            <color indexed="81"/>
            <rFont val="Tahoma"/>
            <family val="2"/>
          </rPr>
          <t>Allen, Thomas (Research):</t>
        </r>
        <r>
          <rPr>
            <sz val="9"/>
            <color indexed="81"/>
            <rFont val="Tahoma"/>
            <family val="2"/>
          </rPr>
          <t xml:space="preserve">
4Q17: Will go from 25% intl exposure to 35% once pipeline is developed</t>
        </r>
      </text>
    </comment>
    <comment ref="K946" authorId="3">
      <text>
        <r>
          <rPr>
            <b/>
            <sz val="8"/>
            <color indexed="81"/>
            <rFont val="Tahoma"/>
            <family val="2"/>
          </rPr>
          <t>jills:</t>
        </r>
        <r>
          <rPr>
            <sz val="8"/>
            <color indexed="81"/>
            <rFont val="Tahoma"/>
            <family val="2"/>
          </rPr>
          <t xml:space="preserve">
Regions: ~40% US; ~15% Europe; ~10% ME; ~30% APAC; 5% other Americas
Europe is getting a fair deal of conversions; 25% of rooms opened in Europe over the last few years have been conversions which happen quickly / come in and out of pipeline quickly
China comprises a good chunk of APAC pipeline; current supply: China is ~40% of APAC
90% of int'l pipeline is managed but franchised deals open quicker</t>
        </r>
      </text>
    </comment>
    <comment ref="Q946" authorId="1">
      <text>
        <r>
          <rPr>
            <b/>
            <sz val="9"/>
            <color indexed="81"/>
            <rFont val="Tahoma"/>
            <family val="2"/>
          </rPr>
          <t>Chaudhry, Baset A (Research):</t>
        </r>
        <r>
          <rPr>
            <sz val="9"/>
            <color indexed="81"/>
            <rFont val="Tahoma"/>
            <family val="2"/>
          </rPr>
          <t xml:space="preserve">
Increased its US pipeline to nearly 100k rooms </t>
        </r>
      </text>
    </comment>
    <comment ref="AG946" authorId="0">
      <text>
        <r>
          <rPr>
            <b/>
            <sz val="9"/>
            <color indexed="81"/>
            <rFont val="Tahoma"/>
            <family val="2"/>
          </rPr>
          <t>Allen, Thomas (Research):</t>
        </r>
        <r>
          <rPr>
            <sz val="9"/>
            <color indexed="81"/>
            <rFont val="Tahoma"/>
            <family val="2"/>
          </rPr>
          <t xml:space="preserve">
30% APAC, 20% EMEA, 5% Americas non-US</t>
        </r>
      </text>
    </comment>
    <comment ref="Q948" authorId="1">
      <text>
        <r>
          <rPr>
            <b/>
            <sz val="9"/>
            <color indexed="81"/>
            <rFont val="Tahoma"/>
            <family val="2"/>
          </rPr>
          <t>Chaudhry, Baset A (Research):</t>
        </r>
        <r>
          <rPr>
            <sz val="9"/>
            <color indexed="81"/>
            <rFont val="Tahoma"/>
            <family val="2"/>
          </rPr>
          <t xml:space="preserve">
More than half of the rooms in this pipeline are already under construction</t>
        </r>
      </text>
    </comment>
    <comment ref="S948" authorId="1">
      <text>
        <r>
          <rPr>
            <b/>
            <sz val="9"/>
            <color indexed="81"/>
            <rFont val="Tahoma"/>
            <family val="2"/>
          </rPr>
          <t>Chaudhry, Baset A (Research):</t>
        </r>
        <r>
          <rPr>
            <sz val="9"/>
            <color indexed="81"/>
            <rFont val="Tahoma"/>
            <family val="2"/>
          </rPr>
          <t xml:space="preserve">
126k rooms under construction, translates to 53%</t>
        </r>
      </text>
    </comment>
    <comment ref="Z948" authorId="2">
      <text>
        <r>
          <rPr>
            <b/>
            <sz val="9"/>
            <color indexed="81"/>
            <rFont val="Tahoma"/>
            <family val="2"/>
          </rPr>
          <t>Savino, Mark (Research):</t>
        </r>
        <r>
          <rPr>
            <sz val="9"/>
            <color indexed="81"/>
            <rFont val="Tahoma"/>
            <family val="2"/>
          </rPr>
          <t xml:space="preserve">
Per mgmt, 150k rooms under construction</t>
        </r>
      </text>
    </comment>
  </commentList>
</comments>
</file>

<file path=xl/comments3.xml><?xml version="1.0" encoding="utf-8"?>
<comments xmlns="http://schemas.openxmlformats.org/spreadsheetml/2006/main">
  <authors>
    <author>Chaudhry, Baset A (Research)</author>
    <author>Savino, Mark (Research)</author>
    <author>Allen, Thomas (Research)</author>
    <author>Zheng, Chaodan (Research)</author>
    <author>jills</author>
    <author>pathaman</author>
    <author>thallen</author>
  </authors>
  <commentList>
    <comment ref="U10" authorId="0">
      <text>
        <r>
          <rPr>
            <b/>
            <sz val="9"/>
            <color indexed="81"/>
            <rFont val="Tahoma"/>
            <family val="2"/>
          </rPr>
          <t>Chaudhry, Baset A (Research):</t>
        </r>
        <r>
          <rPr>
            <sz val="9"/>
            <color indexed="81"/>
            <rFont val="Tahoma"/>
            <family val="2"/>
          </rPr>
          <t xml:space="preserve">
Implied chainscale RevPAR of 5.2% (0.5% historical error)</t>
        </r>
      </text>
    </comment>
    <comment ref="V10" authorId="0">
      <text>
        <r>
          <rPr>
            <b/>
            <sz val="9"/>
            <color indexed="81"/>
            <rFont val="Tahoma"/>
            <family val="2"/>
          </rPr>
          <t>Chaudhry, Baset A (Research):</t>
        </r>
        <r>
          <rPr>
            <sz val="9"/>
            <color indexed="81"/>
            <rFont val="Tahoma"/>
            <family val="2"/>
          </rPr>
          <t xml:space="preserve">
Stronger to in line with the 3Q, robust group business expected. MSe of 6.5% for overall US market growth in 4Q (0.5% historical error)</t>
        </r>
      </text>
    </comment>
    <comment ref="W10" authorId="0">
      <text>
        <r>
          <rPr>
            <b/>
            <sz val="9"/>
            <color indexed="81"/>
            <rFont val="Tahoma"/>
            <family val="2"/>
          </rPr>
          <t>Chaudhry, Baset A (Research):</t>
        </r>
        <r>
          <rPr>
            <sz val="9"/>
            <color indexed="81"/>
            <rFont val="Tahoma"/>
            <family val="2"/>
          </rPr>
          <t xml:space="preserve">
MS market estimate of 6.7% in 2015</t>
        </r>
      </text>
    </comment>
    <comment ref="AB10" authorId="1">
      <text>
        <r>
          <rPr>
            <b/>
            <sz val="9"/>
            <color indexed="81"/>
            <rFont val="Tahoma"/>
            <family val="2"/>
          </rPr>
          <t>Savino, Mark (Research):</t>
        </r>
        <r>
          <rPr>
            <sz val="9"/>
            <color indexed="81"/>
            <rFont val="Tahoma"/>
            <family val="2"/>
          </rPr>
          <t xml:space="preserve">
MS US RevPAR forecast +3.1% but in 1H Hilton came in ~70bps below industry growth</t>
        </r>
      </text>
    </comment>
    <comment ref="AC10" authorId="2">
      <text>
        <r>
          <rPr>
            <b/>
            <sz val="9"/>
            <color indexed="81"/>
            <rFont val="Tahoma"/>
            <family val="2"/>
          </rPr>
          <t>Allen, Thomas (Research):</t>
        </r>
        <r>
          <rPr>
            <sz val="9"/>
            <color indexed="81"/>
            <rFont val="Tahoma"/>
            <family val="2"/>
          </rPr>
          <t xml:space="preserve">
Oil markets pressued US RevPAR by 10bps, lowest level in recent timeperiod
Int'l inbound revs up 0-1%</t>
        </r>
      </text>
    </comment>
    <comment ref="AD10" authorId="1">
      <text>
        <r>
          <rPr>
            <b/>
            <sz val="9"/>
            <color indexed="81"/>
            <rFont val="Tahoma"/>
            <family val="2"/>
          </rPr>
          <t>Savino, Mark (Research):</t>
        </r>
        <r>
          <rPr>
            <sz val="9"/>
            <color indexed="81"/>
            <rFont val="Tahoma"/>
            <family val="2"/>
          </rPr>
          <t xml:space="preserve">
Per 2Q17 call, net impact of 4th of July and Easter were a 100bps headwind in the US</t>
        </r>
      </text>
    </comment>
    <comment ref="AE10" authorId="1">
      <text>
        <r>
          <rPr>
            <b/>
            <sz val="9"/>
            <color indexed="81"/>
            <rFont val="Tahoma"/>
            <family val="2"/>
          </rPr>
          <t>Savino, Mark (Research):</t>
        </r>
        <r>
          <rPr>
            <sz val="9"/>
            <color indexed="81"/>
            <rFont val="Tahoma"/>
            <family val="2"/>
          </rPr>
          <t xml:space="preserve">
Per 2Q call: July trending up a bit, August should be stronger, but then Sept weaker given Jewish holiday shift
3Q17: 70bps negative impact from timing of holidays</t>
        </r>
      </text>
    </comment>
    <comment ref="AF10" authorId="3">
      <text>
        <r>
          <rPr>
            <b/>
            <sz val="9"/>
            <color indexed="81"/>
            <rFont val="Tahoma"/>
            <family val="2"/>
          </rPr>
          <t>Zheng, Chaodan (Research):</t>
        </r>
        <r>
          <rPr>
            <sz val="9"/>
            <color indexed="81"/>
            <rFont val="Tahoma"/>
            <family val="2"/>
          </rPr>
          <t xml:space="preserve">
3Q17: U.S. should lag global growth</t>
        </r>
      </text>
    </comment>
    <comment ref="AG10" authorId="1">
      <text>
        <r>
          <rPr>
            <b/>
            <sz val="9"/>
            <color indexed="81"/>
            <rFont val="Tahoma"/>
            <family val="2"/>
          </rPr>
          <t>Savino, Mark (Research):</t>
        </r>
        <r>
          <rPr>
            <sz val="9"/>
            <color indexed="81"/>
            <rFont val="Tahoma"/>
            <family val="2"/>
          </rPr>
          <t xml:space="preserve">
3Q17: Lower-end of 1-3% range
2Q17: Lower-end of 1-3% range
1Q17: Near midpoint of 1-3% range
4Q16: Near midpoint of 1-3% range
3Q16: Expect US to be in the middle of the pack</t>
        </r>
      </text>
    </comment>
    <comment ref="AL10" authorId="1">
      <text>
        <r>
          <rPr>
            <b/>
            <sz val="9"/>
            <color indexed="81"/>
            <rFont val="Tahoma"/>
            <family val="2"/>
          </rPr>
          <t>Savino, Mark (Research):</t>
        </r>
        <r>
          <rPr>
            <sz val="9"/>
            <color indexed="81"/>
            <rFont val="Tahoma"/>
            <family val="2"/>
          </rPr>
          <t xml:space="preserve">
4Q17: Mid-point of the 1-3% range
Group position up MSD
Group position in LSD as of 3Q17 better for 2018 than similar time for 2017
</t>
        </r>
      </text>
    </comment>
    <comment ref="Z11" authorId="1">
      <text>
        <r>
          <rPr>
            <b/>
            <sz val="9"/>
            <color indexed="81"/>
            <rFont val="Tahoma"/>
            <family val="2"/>
          </rPr>
          <t>Savino, Mark (Research):</t>
        </r>
        <r>
          <rPr>
            <sz val="9"/>
            <color indexed="81"/>
            <rFont val="Tahoma"/>
            <family val="2"/>
          </rPr>
          <t xml:space="preserve">
Canada up 9%, Caribbean tempered by Zika</t>
        </r>
      </text>
    </comment>
    <comment ref="AB11" authorId="1">
      <text>
        <r>
          <rPr>
            <b/>
            <sz val="9"/>
            <color indexed="81"/>
            <rFont val="Tahoma"/>
            <family val="2"/>
          </rPr>
          <t>Savino, Mark (Research):</t>
        </r>
        <r>
          <rPr>
            <sz val="9"/>
            <color indexed="81"/>
            <rFont val="Tahoma"/>
            <family val="2"/>
          </rPr>
          <t xml:space="preserve">
3Q16: Expect full year up low-mid single digits</t>
        </r>
      </text>
    </comment>
    <comment ref="AG11" authorId="1">
      <text>
        <r>
          <rPr>
            <b/>
            <sz val="9"/>
            <color indexed="81"/>
            <rFont val="Tahoma"/>
            <family val="2"/>
          </rPr>
          <t>Savino, Mark (Research):</t>
        </r>
        <r>
          <rPr>
            <sz val="9"/>
            <color indexed="81"/>
            <rFont val="Tahoma"/>
            <family val="2"/>
          </rPr>
          <t xml:space="preserve">
3Q17: Higher end of 1-3% range
2Q17: Higher end of 1-3% range
1Q17: Higher end of 1-3% range
4Q16: Higher end of 1-3% range
3Q16: Expect Americas to do reasonably well</t>
        </r>
      </text>
    </comment>
    <comment ref="AL11" authorId="1">
      <text>
        <r>
          <rPr>
            <b/>
            <sz val="9"/>
            <color indexed="81"/>
            <rFont val="Tahoma"/>
            <family val="2"/>
          </rPr>
          <t>Savino, Mark (Research):</t>
        </r>
        <r>
          <rPr>
            <sz val="9"/>
            <color indexed="81"/>
            <rFont val="Tahoma"/>
            <family val="2"/>
          </rPr>
          <t xml:space="preserve">
4Q17: High end of the range</t>
        </r>
      </text>
    </comment>
    <comment ref="Z12" authorId="1">
      <text>
        <r>
          <rPr>
            <b/>
            <sz val="9"/>
            <color indexed="81"/>
            <rFont val="Tahoma"/>
            <family val="2"/>
          </rPr>
          <t>Savino, Mark (Research):</t>
        </r>
        <r>
          <rPr>
            <sz val="9"/>
            <color indexed="81"/>
            <rFont val="Tahoma"/>
            <family val="2"/>
          </rPr>
          <t xml:space="preserve">
Turkey down 40%</t>
        </r>
      </text>
    </comment>
    <comment ref="AB12" authorId="1">
      <text>
        <r>
          <rPr>
            <b/>
            <sz val="9"/>
            <color indexed="81"/>
            <rFont val="Tahoma"/>
            <family val="2"/>
          </rPr>
          <t>Savino, Mark (Research):</t>
        </r>
        <r>
          <rPr>
            <sz val="9"/>
            <color indexed="81"/>
            <rFont val="Tahoma"/>
            <family val="2"/>
          </rPr>
          <t xml:space="preserve">
3Q16: Expect 2016 to be slightly positive</t>
        </r>
      </text>
    </comment>
    <comment ref="AG12" authorId="1">
      <text>
        <r>
          <rPr>
            <b/>
            <sz val="9"/>
            <color indexed="81"/>
            <rFont val="Tahoma"/>
            <family val="2"/>
          </rPr>
          <t>Savino, Mark (Research):</t>
        </r>
        <r>
          <rPr>
            <sz val="9"/>
            <color indexed="81"/>
            <rFont val="Tahoma"/>
            <family val="2"/>
          </rPr>
          <t xml:space="preserve">
3Q17: MSD-HSD
2Q17: MSD
1Q17: Modestly above high end of 1-3% range
4Q16: Mid/high-end of range
3Q16: Europe and MEA growth will be below average</t>
        </r>
      </text>
    </comment>
    <comment ref="AL12" authorId="1">
      <text>
        <r>
          <rPr>
            <b/>
            <sz val="9"/>
            <color indexed="81"/>
            <rFont val="Tahoma"/>
            <family val="2"/>
          </rPr>
          <t>Savino, Mark (Research):</t>
        </r>
        <r>
          <rPr>
            <sz val="9"/>
            <color indexed="81"/>
            <rFont val="Tahoma"/>
            <family val="2"/>
          </rPr>
          <t xml:space="preserve">
4Q17: At to slightly above high end</t>
        </r>
      </text>
    </comment>
    <comment ref="Z13" authorId="1">
      <text>
        <r>
          <rPr>
            <b/>
            <sz val="9"/>
            <color indexed="81"/>
            <rFont val="Tahoma"/>
            <family val="2"/>
          </rPr>
          <t>Savino, Mark (Research):</t>
        </r>
        <r>
          <rPr>
            <sz val="9"/>
            <color indexed="81"/>
            <rFont val="Tahoma"/>
            <family val="2"/>
          </rPr>
          <t xml:space="preserve">
Unfavorable Ramadan timing and political unrest</t>
        </r>
      </text>
    </comment>
    <comment ref="AB13" authorId="1">
      <text>
        <r>
          <rPr>
            <b/>
            <sz val="9"/>
            <color indexed="81"/>
            <rFont val="Tahoma"/>
            <family val="2"/>
          </rPr>
          <t>Savino, Mark (Research):</t>
        </r>
        <r>
          <rPr>
            <sz val="9"/>
            <color indexed="81"/>
            <rFont val="Tahoma"/>
            <family val="2"/>
          </rPr>
          <t xml:space="preserve">
3Q16: Expect 2016 to be slightly negative</t>
        </r>
      </text>
    </comment>
    <comment ref="AD13" authorId="1">
      <text>
        <r>
          <rPr>
            <b/>
            <sz val="9"/>
            <color indexed="81"/>
            <rFont val="Tahoma"/>
            <family val="2"/>
          </rPr>
          <t>Savino, Mark (Research):</t>
        </r>
        <r>
          <rPr>
            <sz val="9"/>
            <color indexed="81"/>
            <rFont val="Tahoma"/>
            <family val="2"/>
          </rPr>
          <t xml:space="preserve">
Benefitted from holiday shifts that will reverse in 3Q</t>
        </r>
      </text>
    </comment>
    <comment ref="AE13" authorId="1">
      <text>
        <r>
          <rPr>
            <b/>
            <sz val="9"/>
            <color indexed="81"/>
            <rFont val="Tahoma"/>
            <family val="2"/>
          </rPr>
          <t>Savino, Mark (Research):</t>
        </r>
        <r>
          <rPr>
            <sz val="9"/>
            <color indexed="81"/>
            <rFont val="Tahoma"/>
            <family val="2"/>
          </rPr>
          <t xml:space="preserve">
Holiday shift benefit in 2Q will reverse</t>
        </r>
      </text>
    </comment>
    <comment ref="AG13" authorId="1">
      <text>
        <r>
          <rPr>
            <b/>
            <sz val="9"/>
            <color indexed="81"/>
            <rFont val="Tahoma"/>
            <family val="2"/>
          </rPr>
          <t>Savino, Mark (Research):</t>
        </r>
        <r>
          <rPr>
            <sz val="9"/>
            <color indexed="81"/>
            <rFont val="Tahoma"/>
            <family val="2"/>
          </rPr>
          <t xml:space="preserve">
3Q17: High-end of guidance
2Q17: Flat to slightly positive
1Q17: Flat to slightly positive
4Q16: Flat to slightly positive
3Q16: Europe and MEA growth will be below average</t>
        </r>
      </text>
    </comment>
    <comment ref="AL13" authorId="1">
      <text>
        <r>
          <rPr>
            <b/>
            <sz val="9"/>
            <color indexed="81"/>
            <rFont val="Tahoma"/>
            <family val="2"/>
          </rPr>
          <t>Savino, Mark (Research):</t>
        </r>
        <r>
          <rPr>
            <sz val="9"/>
            <color indexed="81"/>
            <rFont val="Tahoma"/>
            <family val="2"/>
          </rPr>
          <t xml:space="preserve">
4Q17: At higher end of range</t>
        </r>
      </text>
    </comment>
    <comment ref="Z14" authorId="1">
      <text>
        <r>
          <rPr>
            <b/>
            <sz val="9"/>
            <color indexed="81"/>
            <rFont val="Tahoma"/>
            <family val="2"/>
          </rPr>
          <t>Savino, Mark (Research):</t>
        </r>
        <r>
          <rPr>
            <sz val="9"/>
            <color indexed="81"/>
            <rFont val="Tahoma"/>
            <family val="2"/>
          </rPr>
          <t xml:space="preserve">
China +3%, slowing performance in Japan due to stronger Yen and lower exports, also typhoon</t>
        </r>
      </text>
    </comment>
    <comment ref="AB14" authorId="1">
      <text>
        <r>
          <rPr>
            <b/>
            <sz val="9"/>
            <color indexed="81"/>
            <rFont val="Tahoma"/>
            <family val="2"/>
          </rPr>
          <t>Savino, Mark (Research):</t>
        </r>
        <r>
          <rPr>
            <sz val="9"/>
            <color indexed="81"/>
            <rFont val="Tahoma"/>
            <family val="2"/>
          </rPr>
          <t xml:space="preserve">
3Q16: Expect 2016 to be up MSD with China relatively stronger</t>
        </r>
      </text>
    </comment>
    <comment ref="AC14" authorId="2">
      <text>
        <r>
          <rPr>
            <b/>
            <sz val="9"/>
            <color indexed="81"/>
            <rFont val="Tahoma"/>
            <family val="2"/>
          </rPr>
          <t>Allen, Thomas (Research):</t>
        </r>
        <r>
          <rPr>
            <sz val="9"/>
            <color indexed="81"/>
            <rFont val="Tahoma"/>
            <family val="2"/>
          </rPr>
          <t xml:space="preserve">
China RevPAR +10% in the qtr</t>
        </r>
      </text>
    </comment>
    <comment ref="AE14" authorId="2">
      <text>
        <r>
          <rPr>
            <b/>
            <sz val="9"/>
            <color indexed="81"/>
            <rFont val="Tahoma"/>
            <family val="2"/>
          </rPr>
          <t>Allen, Thomas (Research):</t>
        </r>
        <r>
          <rPr>
            <sz val="9"/>
            <color indexed="81"/>
            <rFont val="Tahoma"/>
            <family val="2"/>
          </rPr>
          <t xml:space="preserve">
China +13%</t>
        </r>
      </text>
    </comment>
    <comment ref="AG14" authorId="1">
      <text>
        <r>
          <rPr>
            <b/>
            <sz val="9"/>
            <color indexed="81"/>
            <rFont val="Tahoma"/>
            <family val="2"/>
          </rPr>
          <t>Savino, Mark (Research):</t>
        </r>
        <r>
          <rPr>
            <sz val="9"/>
            <color indexed="81"/>
            <rFont val="Tahoma"/>
            <family val="2"/>
          </rPr>
          <t xml:space="preserve">
3Q17: MSD-HSD, China +9%
2Q17: Up mid-single digits, with China up 8-9%
1Q17: Up mid-single digits, with China up 6-7%
4Q16: Up mid-single digits, with China up 3-4%
3Q16: APAC should have highest growth</t>
        </r>
      </text>
    </comment>
    <comment ref="AL14" authorId="1">
      <text>
        <r>
          <rPr>
            <b/>
            <sz val="9"/>
            <color indexed="81"/>
            <rFont val="Tahoma"/>
            <family val="2"/>
          </rPr>
          <t>Savino, Mark (Research):</t>
        </r>
        <r>
          <rPr>
            <sz val="9"/>
            <color indexed="81"/>
            <rFont val="Tahoma"/>
            <family val="2"/>
          </rPr>
          <t xml:space="preserve">
4Q17: Up MSD, with 6-7% growth in China</t>
        </r>
      </text>
    </comment>
    <comment ref="S15" authorId="0">
      <text>
        <r>
          <rPr>
            <b/>
            <sz val="9"/>
            <color indexed="81"/>
            <rFont val="Tahoma"/>
            <family val="2"/>
          </rPr>
          <t>1Q15:</t>
        </r>
        <r>
          <rPr>
            <sz val="9"/>
            <color indexed="81"/>
            <rFont val="Tahoma"/>
            <family val="2"/>
          </rPr>
          <t xml:space="preserve">
Half a percentage point impact from bad weather </t>
        </r>
      </text>
    </comment>
    <comment ref="T15" authorId="0">
      <text>
        <r>
          <rPr>
            <b/>
            <sz val="9"/>
            <color indexed="81"/>
            <rFont val="Tahoma"/>
            <family val="2"/>
          </rPr>
          <t>Chaudhry, Baset A (Research):</t>
        </r>
        <r>
          <rPr>
            <sz val="9"/>
            <color indexed="81"/>
            <rFont val="Tahoma"/>
            <family val="2"/>
          </rPr>
          <t xml:space="preserve">
100bps impact by bad weather and Texas market</t>
        </r>
      </text>
    </comment>
    <comment ref="U15" authorId="0">
      <text>
        <r>
          <rPr>
            <b/>
            <sz val="9"/>
            <color indexed="81"/>
            <rFont val="Tahoma"/>
            <family val="2"/>
          </rPr>
          <t>2Q15:</t>
        </r>
        <r>
          <rPr>
            <sz val="9"/>
            <color indexed="81"/>
            <rFont val="Tahoma"/>
            <family val="2"/>
          </rPr>
          <t xml:space="preserve">
3Q to be better than 2Q and 4Q to be better than 3Q</t>
        </r>
      </text>
    </comment>
    <comment ref="W15" authorId="4">
      <text>
        <r>
          <rPr>
            <b/>
            <sz val="8"/>
            <color indexed="81"/>
            <rFont val="Tahoma"/>
            <family val="2"/>
          </rPr>
          <t xml:space="preserve">Guidance:
</t>
        </r>
        <r>
          <rPr>
            <sz val="8"/>
            <color indexed="81"/>
            <rFont val="Tahoma"/>
            <family val="2"/>
          </rPr>
          <t>3Q14: 5-7%
Systemwide RevPAR growth guidance of 4-7% per Nov 2013 Analyst Presentation</t>
        </r>
      </text>
    </comment>
    <comment ref="X15" authorId="1">
      <text>
        <r>
          <rPr>
            <b/>
            <sz val="9"/>
            <color indexed="81"/>
            <rFont val="Tahoma"/>
            <family val="2"/>
          </rPr>
          <t>Savino, Mark (Research):</t>
        </r>
        <r>
          <rPr>
            <sz val="9"/>
            <color indexed="81"/>
            <rFont val="Tahoma"/>
            <family val="2"/>
          </rPr>
          <t xml:space="preserve">
4Q15: 2-4%</t>
        </r>
      </text>
    </comment>
    <comment ref="Y15" authorId="1">
      <text>
        <r>
          <rPr>
            <b/>
            <sz val="9"/>
            <color indexed="81"/>
            <rFont val="Tahoma"/>
            <family val="2"/>
          </rPr>
          <t>Savino, Mark (Research):</t>
        </r>
        <r>
          <rPr>
            <sz val="9"/>
            <color indexed="81"/>
            <rFont val="Tahoma"/>
            <family val="2"/>
          </rPr>
          <t xml:space="preserve">
1Q16 guidance: 3-5%</t>
        </r>
      </text>
    </comment>
    <comment ref="Z15" authorId="1">
      <text>
        <r>
          <rPr>
            <b/>
            <sz val="9"/>
            <color indexed="81"/>
            <rFont val="Tahoma"/>
            <family val="2"/>
          </rPr>
          <t>Savino, Mark (Research):</t>
        </r>
        <r>
          <rPr>
            <sz val="9"/>
            <color indexed="81"/>
            <rFont val="Tahoma"/>
            <family val="2"/>
          </rPr>
          <t xml:space="preserve">
Guidance 2-4%</t>
        </r>
      </text>
    </comment>
    <comment ref="AA15" authorId="1">
      <text>
        <r>
          <rPr>
            <b/>
            <sz val="9"/>
            <color indexed="81"/>
            <rFont val="Tahoma"/>
            <family val="2"/>
          </rPr>
          <t>Savino, Mark (Research):</t>
        </r>
        <r>
          <rPr>
            <sz val="9"/>
            <color indexed="81"/>
            <rFont val="Tahoma"/>
            <family val="2"/>
          </rPr>
          <t xml:space="preserve">
Guidance 0-1%</t>
        </r>
      </text>
    </comment>
    <comment ref="AB15" authorId="1">
      <text>
        <r>
          <rPr>
            <b/>
            <sz val="9"/>
            <color indexed="81"/>
            <rFont val="Tahoma"/>
            <family val="2"/>
          </rPr>
          <t xml:space="preserve">Guidance:
</t>
        </r>
        <r>
          <rPr>
            <sz val="9"/>
            <color indexed="81"/>
            <rFont val="Tahoma"/>
            <family val="2"/>
          </rPr>
          <t>3Q16: 1.5-2.0%</t>
        </r>
        <r>
          <rPr>
            <b/>
            <sz val="9"/>
            <color indexed="81"/>
            <rFont val="Tahoma"/>
            <family val="2"/>
          </rPr>
          <t xml:space="preserve">
</t>
        </r>
        <r>
          <rPr>
            <sz val="9"/>
            <color indexed="81"/>
            <rFont val="Tahoma"/>
            <family val="2"/>
          </rPr>
          <t>2Q16: 2-4%</t>
        </r>
        <r>
          <rPr>
            <b/>
            <sz val="9"/>
            <color indexed="81"/>
            <rFont val="Tahoma"/>
            <family val="2"/>
          </rPr>
          <t xml:space="preserve">
</t>
        </r>
        <r>
          <rPr>
            <sz val="9"/>
            <color indexed="81"/>
            <rFont val="Tahoma"/>
            <family val="2"/>
          </rPr>
          <t>1Q16: 3-5%, based on US GDP of 1.5-2.5%
4Q15: 3-5%
3Q15: 4-6%</t>
        </r>
      </text>
    </comment>
    <comment ref="AC15" authorId="1">
      <text>
        <r>
          <rPr>
            <b/>
            <sz val="9"/>
            <color indexed="81"/>
            <rFont val="Tahoma"/>
            <family val="2"/>
          </rPr>
          <t>Savino, Mark (Research):</t>
        </r>
        <r>
          <rPr>
            <sz val="9"/>
            <color indexed="81"/>
            <rFont val="Tahoma"/>
            <family val="2"/>
          </rPr>
          <t xml:space="preserve">
4Q16: 1-3%</t>
        </r>
      </text>
    </comment>
    <comment ref="AD15" authorId="1">
      <text>
        <r>
          <rPr>
            <b/>
            <sz val="9"/>
            <color indexed="81"/>
            <rFont val="Tahoma"/>
            <family val="2"/>
          </rPr>
          <t>Savino, Mark (Research):</t>
        </r>
        <r>
          <rPr>
            <sz val="9"/>
            <color indexed="81"/>
            <rFont val="Tahoma"/>
            <family val="2"/>
          </rPr>
          <t xml:space="preserve">
Per 2Q call, net impact of 4th of July and Easter was a 70bps headwind
2Q17: 1-3%
1Q17: 1-3%, but calendar shifts likely put them in lower end of the range</t>
        </r>
      </text>
    </comment>
    <comment ref="AE15" authorId="3">
      <text>
        <r>
          <rPr>
            <b/>
            <sz val="9"/>
            <color indexed="81"/>
            <rFont val="Tahoma"/>
            <family val="2"/>
          </rPr>
          <t>Zheng, Chaodan (Research):</t>
        </r>
        <r>
          <rPr>
            <sz val="9"/>
            <color indexed="81"/>
            <rFont val="Tahoma"/>
            <family val="2"/>
          </rPr>
          <t xml:space="preserve">
2Q17: 0-2%</t>
        </r>
      </text>
    </comment>
    <comment ref="AF15" authorId="3">
      <text>
        <r>
          <rPr>
            <b/>
            <sz val="9"/>
            <color indexed="81"/>
            <rFont val="Tahoma"/>
            <family val="2"/>
          </rPr>
          <t>Zheng, Chaodan (Research):</t>
        </r>
        <r>
          <rPr>
            <sz val="9"/>
            <color indexed="81"/>
            <rFont val="Tahoma"/>
            <family val="2"/>
          </rPr>
          <t xml:space="preserve">
3Q17: +1-3%, 40% of business happens in October of 4Q and October is trending above as of earnings call 10/26/17</t>
        </r>
      </text>
    </comment>
    <comment ref="AG15" authorId="1">
      <text>
        <r>
          <rPr>
            <b/>
            <sz val="9"/>
            <color indexed="81"/>
            <rFont val="Tahoma"/>
            <family val="2"/>
          </rPr>
          <t>Savino, Mark (Research):</t>
        </r>
        <r>
          <rPr>
            <sz val="9"/>
            <color indexed="81"/>
            <rFont val="Tahoma"/>
            <family val="2"/>
          </rPr>
          <t xml:space="preserve">
3Q17: +1-3%, per call at or slightly above the midpoint of guidance
2Q17: 1-3%, midpoint of range
1Q17: 1-3%
4Q16: 1-3%
2016 Investor Day: 1-3%
3Q16: 1-3% (expecting corp rates up 3-4%)</t>
        </r>
      </text>
    </comment>
    <comment ref="AH15" authorId="1">
      <text>
        <r>
          <rPr>
            <b/>
            <sz val="9"/>
            <color indexed="81"/>
            <rFont val="Tahoma"/>
            <family val="2"/>
          </rPr>
          <t>Savino, Mark (Research):</t>
        </r>
        <r>
          <rPr>
            <sz val="9"/>
            <color indexed="81"/>
            <rFont val="Tahoma"/>
            <family val="2"/>
          </rPr>
          <t xml:space="preserve">
Guidance 1-3%, including 100bps drag from Easter shift</t>
        </r>
      </text>
    </comment>
    <comment ref="AL15" authorId="3">
      <text>
        <r>
          <rPr>
            <b/>
            <sz val="9"/>
            <color indexed="81"/>
            <rFont val="Tahoma"/>
            <family val="2"/>
          </rPr>
          <t>Zheng, Chaodan (Research):</t>
        </r>
        <r>
          <rPr>
            <sz val="9"/>
            <color indexed="81"/>
            <rFont val="Tahoma"/>
            <family val="2"/>
          </rPr>
          <t xml:space="preserve">
4Q17: +1-3%, but expect to be at mid-high end (so 2-3%)
3Q17: +1-3% (expecting corp rates up 2-3%). Expect similar pricing power to 2017
MSe 2018 +2.3%</t>
        </r>
      </text>
    </comment>
    <comment ref="AM15" authorId="3">
      <text>
        <r>
          <rPr>
            <b/>
            <sz val="9"/>
            <color indexed="81"/>
            <rFont val="Tahoma"/>
            <family val="2"/>
          </rPr>
          <t>Zheng, Chaodan (Research):</t>
        </r>
        <r>
          <rPr>
            <sz val="9"/>
            <color indexed="81"/>
            <rFont val="Tahoma"/>
            <family val="2"/>
          </rPr>
          <t xml:space="preserve">
MSe 2019 +1.6%</t>
        </r>
      </text>
    </comment>
    <comment ref="R65" authorId="4">
      <text>
        <r>
          <rPr>
            <b/>
            <sz val="8"/>
            <color indexed="81"/>
            <rFont val="Tahoma"/>
            <family val="2"/>
          </rPr>
          <t>jills:</t>
        </r>
        <r>
          <rPr>
            <sz val="8"/>
            <color indexed="81"/>
            <rFont val="Tahoma"/>
            <family val="2"/>
          </rPr>
          <t xml:space="preserve">
volatility from quarter to quarter most attributable to movement in comp set, SF renovations, and a series of one-time things</t>
        </r>
      </text>
    </comment>
    <comment ref="R68" authorId="4">
      <text>
        <r>
          <rPr>
            <b/>
            <sz val="8"/>
            <color indexed="81"/>
            <rFont val="Tahoma"/>
            <family val="2"/>
          </rPr>
          <t>Guidance:</t>
        </r>
        <r>
          <rPr>
            <sz val="8"/>
            <color indexed="81"/>
            <rFont val="Tahoma"/>
            <family val="2"/>
          </rPr>
          <t xml:space="preserve">
+5-6% owned RevPAR growth: Pg 4, 8K, 3Q14.
+4.5-6.5% owned RevPAR growth: Pg 4, 8K, 2Q14.
+4.5-6.5% owned RevPAR growth: Pg 4, 8K, 1Q14.
+4.5-6.5% owned RevPAR growth per Nov 2013 Analyst presentation</t>
        </r>
      </text>
    </comment>
    <comment ref="W68" authorId="4">
      <text>
        <r>
          <rPr>
            <b/>
            <sz val="8"/>
            <color indexed="81"/>
            <rFont val="Tahoma"/>
            <family val="2"/>
          </rPr>
          <t>Guidance:</t>
        </r>
        <r>
          <rPr>
            <sz val="8"/>
            <color indexed="81"/>
            <rFont val="Tahoma"/>
            <family val="2"/>
          </rPr>
          <t xml:space="preserve">
3Q15: +4-6%
2Q15: +4-6%
1Q15: +4-6%
4Q14: +4-6% </t>
        </r>
      </text>
    </comment>
    <comment ref="AB68" authorId="4">
      <text>
        <r>
          <rPr>
            <b/>
            <sz val="8"/>
            <color indexed="81"/>
            <rFont val="Tahoma"/>
            <family val="2"/>
          </rPr>
          <t>Guidance:</t>
        </r>
        <r>
          <rPr>
            <sz val="8"/>
            <color indexed="81"/>
            <rFont val="Tahoma"/>
            <family val="2"/>
          </rPr>
          <t xml:space="preserve">
2Q16: 1-3%
1Q16: 3-5%
4Q15: 3-5%</t>
        </r>
      </text>
    </comment>
    <comment ref="AC68" authorId="4">
      <text>
        <r>
          <rPr>
            <b/>
            <sz val="8"/>
            <color indexed="81"/>
            <rFont val="Tahoma"/>
            <family val="2"/>
          </rPr>
          <t>Guidance:</t>
        </r>
        <r>
          <rPr>
            <sz val="8"/>
            <color indexed="81"/>
            <rFont val="Tahoma"/>
            <family val="2"/>
          </rPr>
          <t xml:space="preserve">
1Q17: 1-3%
4Q16: 1-3%
</t>
        </r>
      </text>
    </comment>
    <comment ref="AG68" authorId="4">
      <text>
        <r>
          <rPr>
            <b/>
            <sz val="8"/>
            <color indexed="81"/>
            <rFont val="Tahoma"/>
            <family val="2"/>
          </rPr>
          <t>Guidance:</t>
        </r>
        <r>
          <rPr>
            <sz val="8"/>
            <color indexed="81"/>
            <rFont val="Tahoma"/>
            <family val="2"/>
          </rPr>
          <t xml:space="preserve">
1Q17: 1-3%
4Q16: 1-3%
</t>
        </r>
      </text>
    </comment>
    <comment ref="A76" authorId="5">
      <text>
        <r>
          <rPr>
            <sz val="8"/>
            <color indexed="81"/>
            <rFont val="Tahoma"/>
            <family val="2"/>
          </rPr>
          <t xml:space="preserve">Number not reported. Hence, backcalculated.
</t>
        </r>
      </text>
    </comment>
    <comment ref="A77" authorId="5">
      <text>
        <r>
          <rPr>
            <sz val="8"/>
            <color indexed="81"/>
            <rFont val="Tahoma"/>
            <family val="2"/>
          </rPr>
          <t xml:space="preserve">Number not reported. Hence, backcalculated.
</t>
        </r>
      </text>
    </comment>
    <comment ref="A78" authorId="5">
      <text>
        <r>
          <rPr>
            <sz val="8"/>
            <color indexed="81"/>
            <rFont val="Tahoma"/>
            <family val="2"/>
          </rPr>
          <t xml:space="preserve">Number not reported. Hence, backcalculated.
</t>
        </r>
      </text>
    </comment>
    <comment ref="O82" authorId="6">
      <text>
        <r>
          <rPr>
            <b/>
            <sz val="8"/>
            <color indexed="81"/>
            <rFont val="Tahoma"/>
            <family val="2"/>
          </rPr>
          <t>thallen:</t>
        </r>
        <r>
          <rPr>
            <sz val="8"/>
            <color indexed="81"/>
            <rFont val="Tahoma"/>
            <family val="2"/>
          </rPr>
          <t xml:space="preserve">
Expect group recover more slowly in 2014 than others</t>
        </r>
      </text>
    </comment>
    <comment ref="P82" authorId="6">
      <text>
        <r>
          <rPr>
            <b/>
            <sz val="8"/>
            <color indexed="81"/>
            <rFont val="Tahoma"/>
            <family val="2"/>
          </rPr>
          <t>thallen:</t>
        </r>
        <r>
          <rPr>
            <sz val="8"/>
            <color indexed="81"/>
            <rFont val="Tahoma"/>
            <family val="2"/>
          </rPr>
          <t xml:space="preserve">
Expect group recover more slowly in 2014 than others</t>
        </r>
      </text>
    </comment>
    <comment ref="Q82" authorId="6">
      <text>
        <r>
          <rPr>
            <b/>
            <sz val="8"/>
            <color indexed="81"/>
            <rFont val="Tahoma"/>
            <family val="2"/>
          </rPr>
          <t>thallen:</t>
        </r>
        <r>
          <rPr>
            <sz val="8"/>
            <color indexed="81"/>
            <rFont val="Tahoma"/>
            <family val="2"/>
          </rPr>
          <t xml:space="preserve">
Expect group recover more slowly in 2014 than others
Group softer in 4Q14 vs. 3Q14</t>
        </r>
      </text>
    </comment>
    <comment ref="AB82" authorId="2">
      <text>
        <r>
          <rPr>
            <b/>
            <sz val="9"/>
            <color indexed="81"/>
            <rFont val="Tahoma"/>
            <family val="2"/>
          </rPr>
          <t>Allen, Thomas (Research):</t>
        </r>
        <r>
          <rPr>
            <sz val="9"/>
            <color indexed="81"/>
            <rFont val="Tahoma"/>
            <family val="2"/>
          </rPr>
          <t xml:space="preserve">
More group exposed</t>
        </r>
      </text>
    </comment>
    <comment ref="AC82" authorId="2">
      <text>
        <r>
          <rPr>
            <b/>
            <sz val="9"/>
            <color indexed="81"/>
            <rFont val="Tahoma"/>
            <family val="2"/>
          </rPr>
          <t>Allen, Thomas (Research):</t>
        </r>
        <r>
          <rPr>
            <sz val="9"/>
            <color indexed="81"/>
            <rFont val="Tahoma"/>
            <family val="2"/>
          </rPr>
          <t xml:space="preserve">
Easter shift to April benefits</t>
        </r>
      </text>
    </comment>
    <comment ref="Q84" authorId="0">
      <text>
        <r>
          <rPr>
            <b/>
            <sz val="9"/>
            <color indexed="81"/>
            <rFont val="Tahoma"/>
            <family val="2"/>
          </rPr>
          <t>Chaudhry, Baset A (Research):</t>
        </r>
        <r>
          <rPr>
            <sz val="9"/>
            <color indexed="81"/>
            <rFont val="Tahoma"/>
            <family val="2"/>
          </rPr>
          <t xml:space="preserve">
Increased from 0.7% to 1.5% </t>
        </r>
      </text>
    </comment>
    <comment ref="A92" authorId="5">
      <text>
        <r>
          <rPr>
            <sz val="8"/>
            <color indexed="81"/>
            <rFont val="Tahoma"/>
            <family val="2"/>
          </rPr>
          <t xml:space="preserve">Number not reported. Hence, backcalculated.
</t>
        </r>
      </text>
    </comment>
    <comment ref="A93" authorId="5">
      <text>
        <r>
          <rPr>
            <sz val="8"/>
            <color indexed="81"/>
            <rFont val="Tahoma"/>
            <family val="2"/>
          </rPr>
          <t xml:space="preserve">Number not reported. Hence, backcalculated.
</t>
        </r>
      </text>
    </comment>
    <comment ref="A94" authorId="5">
      <text>
        <r>
          <rPr>
            <sz val="8"/>
            <color indexed="81"/>
            <rFont val="Tahoma"/>
            <family val="2"/>
          </rPr>
          <t xml:space="preserve">Number not reported. Hence, backcalculated.
</t>
        </r>
      </text>
    </comment>
    <comment ref="A96" authorId="4">
      <text>
        <r>
          <rPr>
            <b/>
            <sz val="8"/>
            <color indexed="81"/>
            <rFont val="Tahoma"/>
            <family val="2"/>
          </rPr>
          <t>jills:</t>
        </r>
        <r>
          <rPr>
            <sz val="8"/>
            <color indexed="81"/>
            <rFont val="Tahoma"/>
            <family val="2"/>
          </rPr>
          <t xml:space="preserve">
includes 3 unbranded, owned hotels with 1,272 rooms</t>
        </r>
      </text>
    </comment>
    <comment ref="M98" authorId="4">
      <text>
        <r>
          <rPr>
            <b/>
            <sz val="8"/>
            <color indexed="81"/>
            <rFont val="Tahoma"/>
            <family val="2"/>
          </rPr>
          <t>jills:</t>
        </r>
        <r>
          <rPr>
            <sz val="8"/>
            <color indexed="81"/>
            <rFont val="Tahoma"/>
            <family val="2"/>
          </rPr>
          <t xml:space="preserve">
mgmt expects Europe to have positive growth in 2013 with Europe group pace +24%</t>
        </r>
      </text>
    </comment>
    <comment ref="P98" authorId="4">
      <text>
        <r>
          <rPr>
            <b/>
            <sz val="8"/>
            <color indexed="81"/>
            <rFont val="Tahoma"/>
            <family val="2"/>
          </rPr>
          <t xml:space="preserve">jills:
</t>
        </r>
        <r>
          <rPr>
            <sz val="8"/>
            <color indexed="81"/>
            <rFont val="Tahoma"/>
            <family val="2"/>
          </rPr>
          <t>seasonally strong Q, further boosted by easy comp (3Q13 was negatively impacted by London lapping Olympic benefit in 3Q12, taking time to recover); Turkey / Egypt shld see benefit in 2014 vs. 2013 as disruption wanes but we're not banking on a significant turnaround
Unlikely to have a significant benefit from World Cup given Hilton's owned exposure to Brazil is limited to just one hotel in Sao Paulo</t>
        </r>
      </text>
    </comment>
    <comment ref="Q98" authorId="4">
      <text>
        <r>
          <rPr>
            <b/>
            <sz val="8"/>
            <color indexed="81"/>
            <rFont val="Tahoma"/>
            <family val="2"/>
          </rPr>
          <t>jills:</t>
        </r>
        <r>
          <rPr>
            <sz val="8"/>
            <color indexed="81"/>
            <rFont val="Tahoma"/>
            <family val="2"/>
          </rPr>
          <t xml:space="preserve">
Macro gradually improves in 2014, having the most significant benefit in 4Q
Turkey / Egypt shld see benefit in 2014 vs. 2013 as disruption wanes, but we're not banking on it</t>
        </r>
      </text>
    </comment>
    <comment ref="R98" authorId="4">
      <text>
        <r>
          <rPr>
            <b/>
            <sz val="8"/>
            <color indexed="81"/>
            <rFont val="Tahoma"/>
            <family val="2"/>
          </rPr>
          <t>jills:</t>
        </r>
        <r>
          <rPr>
            <sz val="8"/>
            <color indexed="81"/>
            <rFont val="Tahoma"/>
            <family val="2"/>
          </rPr>
          <t xml:space="preserve">
mostly European hotels; mgmt forecasts Europe below low end of range; US in the middle</t>
        </r>
      </text>
    </comment>
    <comment ref="R99" authorId="4">
      <text>
        <r>
          <rPr>
            <b/>
            <sz val="8"/>
            <color indexed="81"/>
            <rFont val="Tahoma"/>
            <family val="2"/>
          </rPr>
          <t>jills:</t>
        </r>
        <r>
          <rPr>
            <sz val="8"/>
            <color indexed="81"/>
            <rFont val="Tahoma"/>
            <family val="2"/>
          </rPr>
          <t xml:space="preserve">
mgmt expects ADR growth to outpace occ growth for owned European assets</t>
        </r>
      </text>
    </comment>
    <comment ref="A108" authorId="5">
      <text>
        <r>
          <rPr>
            <sz val="8"/>
            <color indexed="81"/>
            <rFont val="Tahoma"/>
            <family val="2"/>
          </rPr>
          <t xml:space="preserve">Number not reported. Hence, backcalculated.
</t>
        </r>
      </text>
    </comment>
    <comment ref="A109" authorId="5">
      <text>
        <r>
          <rPr>
            <sz val="8"/>
            <color indexed="81"/>
            <rFont val="Tahoma"/>
            <family val="2"/>
          </rPr>
          <t xml:space="preserve">Number not reported. Hence, backcalculated.
</t>
        </r>
      </text>
    </comment>
    <comment ref="A110" authorId="5">
      <text>
        <r>
          <rPr>
            <sz val="8"/>
            <color indexed="81"/>
            <rFont val="Tahoma"/>
            <family val="2"/>
          </rPr>
          <t xml:space="preserve">Number not reported. Hence, backcalculated.
</t>
        </r>
      </text>
    </comment>
    <comment ref="A126" authorId="5">
      <text>
        <r>
          <rPr>
            <sz val="8"/>
            <color indexed="81"/>
            <rFont val="Tahoma"/>
            <family val="2"/>
          </rPr>
          <t xml:space="preserve">Number not reported. Hence, backcalculated.
</t>
        </r>
      </text>
    </comment>
    <comment ref="A127" authorId="5">
      <text>
        <r>
          <rPr>
            <sz val="8"/>
            <color indexed="81"/>
            <rFont val="Tahoma"/>
            <family val="2"/>
          </rPr>
          <t xml:space="preserve">Number not reported. Hence, backcalculated.
</t>
        </r>
      </text>
    </comment>
    <comment ref="A128" authorId="5">
      <text>
        <r>
          <rPr>
            <sz val="8"/>
            <color indexed="81"/>
            <rFont val="Tahoma"/>
            <family val="2"/>
          </rPr>
          <t xml:space="preserve">Number not reported. Hence, backcalculated.
</t>
        </r>
      </text>
    </comment>
    <comment ref="A142" authorId="5">
      <text>
        <r>
          <rPr>
            <sz val="8"/>
            <color indexed="81"/>
            <rFont val="Tahoma"/>
            <family val="2"/>
          </rPr>
          <t xml:space="preserve">Number not reported. Hence, backcalculated.
</t>
        </r>
      </text>
    </comment>
    <comment ref="A143" authorId="5">
      <text>
        <r>
          <rPr>
            <sz val="8"/>
            <color indexed="81"/>
            <rFont val="Tahoma"/>
            <family val="2"/>
          </rPr>
          <t xml:space="preserve">Number not reported. Hence, backcalculated.
</t>
        </r>
      </text>
    </comment>
    <comment ref="A144" authorId="5">
      <text>
        <r>
          <rPr>
            <sz val="8"/>
            <color indexed="81"/>
            <rFont val="Tahoma"/>
            <family val="2"/>
          </rPr>
          <t xml:space="preserve">Number not reported. Hence, backcalculated.
</t>
        </r>
      </text>
    </comment>
    <comment ref="A158" authorId="5">
      <text>
        <r>
          <rPr>
            <sz val="8"/>
            <color indexed="81"/>
            <rFont val="Tahoma"/>
            <family val="2"/>
          </rPr>
          <t xml:space="preserve">Number not reported. Hence, backcalculated.
</t>
        </r>
      </text>
    </comment>
    <comment ref="A159" authorId="5">
      <text>
        <r>
          <rPr>
            <sz val="8"/>
            <color indexed="81"/>
            <rFont val="Tahoma"/>
            <family val="2"/>
          </rPr>
          <t xml:space="preserve">Number not reported. Hence, backcalculated.
</t>
        </r>
      </text>
    </comment>
    <comment ref="A160" authorId="5">
      <text>
        <r>
          <rPr>
            <sz val="8"/>
            <color indexed="81"/>
            <rFont val="Tahoma"/>
            <family val="2"/>
          </rPr>
          <t xml:space="preserve">Number not reported. Hence, backcalculated.
</t>
        </r>
      </text>
    </comment>
    <comment ref="A176" authorId="5">
      <text>
        <r>
          <rPr>
            <sz val="8"/>
            <color indexed="81"/>
            <rFont val="Tahoma"/>
            <family val="2"/>
          </rPr>
          <t xml:space="preserve">Number not reported. Hence, backcalculated.
</t>
        </r>
      </text>
    </comment>
    <comment ref="A177" authorId="5">
      <text>
        <r>
          <rPr>
            <sz val="8"/>
            <color indexed="81"/>
            <rFont val="Tahoma"/>
            <family val="2"/>
          </rPr>
          <t xml:space="preserve">Number not reported. Hence, backcalculated.
</t>
        </r>
      </text>
    </comment>
    <comment ref="A178" authorId="5">
      <text>
        <r>
          <rPr>
            <sz val="8"/>
            <color indexed="81"/>
            <rFont val="Tahoma"/>
            <family val="2"/>
          </rPr>
          <t xml:space="preserve">Number not reported. Hence, backcalculated.
</t>
        </r>
      </text>
    </comment>
    <comment ref="A192" authorId="5">
      <text>
        <r>
          <rPr>
            <sz val="8"/>
            <color indexed="81"/>
            <rFont val="Tahoma"/>
            <family val="2"/>
          </rPr>
          <t xml:space="preserve">Number not reported. Hence, backcalculated.
</t>
        </r>
      </text>
    </comment>
    <comment ref="A193" authorId="5">
      <text>
        <r>
          <rPr>
            <sz val="8"/>
            <color indexed="81"/>
            <rFont val="Tahoma"/>
            <family val="2"/>
          </rPr>
          <t xml:space="preserve">Number not reported. Hence, backcalculated.
</t>
        </r>
      </text>
    </comment>
    <comment ref="A194" authorId="5">
      <text>
        <r>
          <rPr>
            <sz val="8"/>
            <color indexed="81"/>
            <rFont val="Tahoma"/>
            <family val="2"/>
          </rPr>
          <t xml:space="preserve">Number not reported. Hence, backcalculated.
</t>
        </r>
      </text>
    </comment>
    <comment ref="A208" authorId="5">
      <text>
        <r>
          <rPr>
            <sz val="8"/>
            <color indexed="81"/>
            <rFont val="Tahoma"/>
            <family val="2"/>
          </rPr>
          <t xml:space="preserve">Number not reported. Hence, backcalculated.
</t>
        </r>
      </text>
    </comment>
    <comment ref="A209" authorId="5">
      <text>
        <r>
          <rPr>
            <sz val="8"/>
            <color indexed="81"/>
            <rFont val="Tahoma"/>
            <family val="2"/>
          </rPr>
          <t xml:space="preserve">Number not reported. Hence, backcalculated.
</t>
        </r>
      </text>
    </comment>
    <comment ref="A210" authorId="5">
      <text>
        <r>
          <rPr>
            <sz val="8"/>
            <color indexed="81"/>
            <rFont val="Tahoma"/>
            <family val="2"/>
          </rPr>
          <t xml:space="preserve">Number not reported. Hence, backcalculated.
</t>
        </r>
      </text>
    </comment>
    <comment ref="S215" authorId="0">
      <text>
        <r>
          <rPr>
            <b/>
            <sz val="9"/>
            <color indexed="81"/>
            <rFont val="Tahoma"/>
            <family val="2"/>
          </rPr>
          <t>1Q15:</t>
        </r>
        <r>
          <rPr>
            <sz val="9"/>
            <color indexed="81"/>
            <rFont val="Tahoma"/>
            <family val="2"/>
          </rPr>
          <t xml:space="preserve">
Half a percentage point impact from bad weather </t>
        </r>
      </text>
    </comment>
    <comment ref="O216" authorId="5">
      <text>
        <r>
          <rPr>
            <sz val="8"/>
            <color indexed="81"/>
            <rFont val="Tahoma"/>
            <family val="2"/>
          </rPr>
          <t xml:space="preserve">System-wide  Company guidance
5.5-6.5%: Pg 04, 8K, 1Q14
</t>
        </r>
      </text>
    </comment>
    <comment ref="R216" authorId="5">
      <text>
        <r>
          <rPr>
            <b/>
            <sz val="8"/>
            <color indexed="81"/>
            <rFont val="Tahoma"/>
            <family val="2"/>
          </rPr>
          <t>Guidance:</t>
        </r>
        <r>
          <rPr>
            <sz val="8"/>
            <color indexed="81"/>
            <rFont val="Tahoma"/>
            <family val="2"/>
          </rPr>
          <t xml:space="preserve">
System-wide  Company
6.0-7.0%: 8K, 3Q14. 
5.5-7.0%: 8K, 2Q14. 
5.5-7.0%: Pg 04, 8K, 1Q14.
5.0-7.0%: Pg 04, 8K, 4Q13.</t>
        </r>
      </text>
    </comment>
    <comment ref="W216" authorId="0">
      <text>
        <r>
          <rPr>
            <b/>
            <sz val="9"/>
            <color indexed="81"/>
            <rFont val="Tahoma"/>
            <family val="2"/>
          </rPr>
          <t>Guidance:</t>
        </r>
        <r>
          <rPr>
            <sz val="9"/>
            <color indexed="81"/>
            <rFont val="Tahoma"/>
            <family val="2"/>
          </rPr>
          <t xml:space="preserve">
3Q15: 5-6.5%
2Q15: 5-7%
1Q15: 5-7%</t>
        </r>
        <r>
          <rPr>
            <b/>
            <sz val="9"/>
            <color indexed="81"/>
            <rFont val="Tahoma"/>
            <family val="2"/>
          </rPr>
          <t xml:space="preserve">
</t>
        </r>
        <r>
          <rPr>
            <sz val="9"/>
            <color indexed="81"/>
            <rFont val="Tahoma"/>
            <family val="2"/>
          </rPr>
          <t>4Q14: 5-7%</t>
        </r>
        <r>
          <rPr>
            <b/>
            <sz val="9"/>
            <color indexed="81"/>
            <rFont val="Tahoma"/>
            <family val="2"/>
          </rPr>
          <t xml:space="preserve">
</t>
        </r>
        <r>
          <rPr>
            <sz val="9"/>
            <color indexed="81"/>
            <rFont val="Tahoma"/>
            <family val="2"/>
          </rPr>
          <t xml:space="preserve">3Q14: 5-7%
</t>
        </r>
      </text>
    </comment>
    <comment ref="AB216" authorId="0">
      <text>
        <r>
          <rPr>
            <b/>
            <sz val="9"/>
            <color indexed="81"/>
            <rFont val="Tahoma"/>
            <family val="2"/>
          </rPr>
          <t>Guidance:</t>
        </r>
        <r>
          <rPr>
            <sz val="9"/>
            <color indexed="81"/>
            <rFont val="Tahoma"/>
            <family val="2"/>
          </rPr>
          <t xml:space="preserve">
3Q16: 1.5-2.0%
2Q16: 2-4%
1Q16: 3-5%
4Q15: 3-5%
3Q15: 4-6%</t>
        </r>
      </text>
    </comment>
    <comment ref="S218" authorId="0">
      <text>
        <r>
          <rPr>
            <b/>
            <sz val="9"/>
            <color indexed="81"/>
            <rFont val="Tahoma"/>
            <family val="2"/>
          </rPr>
          <t xml:space="preserve">1Q15:
</t>
        </r>
        <r>
          <rPr>
            <sz val="9"/>
            <color indexed="81"/>
            <rFont val="Tahoma"/>
            <family val="2"/>
          </rPr>
          <t xml:space="preserve">Strong group performance and strength in Chicago, SF 
</t>
        </r>
      </text>
    </comment>
    <comment ref="W218" authorId="0">
      <text>
        <r>
          <rPr>
            <b/>
            <sz val="9"/>
            <color indexed="81"/>
            <rFont val="Tahoma"/>
            <family val="2"/>
          </rPr>
          <t xml:space="preserve">Guidance:
1Q15: mid-high single digits </t>
        </r>
        <r>
          <rPr>
            <sz val="9"/>
            <color indexed="81"/>
            <rFont val="Tahoma"/>
            <family val="2"/>
          </rPr>
          <t xml:space="preserve">(challenges in New York)
</t>
        </r>
        <r>
          <rPr>
            <b/>
            <sz val="9"/>
            <color indexed="81"/>
            <rFont val="Tahoma"/>
            <family val="2"/>
          </rPr>
          <t>4Q14: mid-high single digits</t>
        </r>
        <r>
          <rPr>
            <sz val="9"/>
            <color indexed="81"/>
            <rFont val="Tahoma"/>
            <family val="2"/>
          </rPr>
          <t xml:space="preserve"> (strength in San Francisco, Florida, Chicago, and Boston, continued recovery in Washington, DC, and ongoing challenges in New York)
</t>
        </r>
      </text>
    </comment>
    <comment ref="A228" authorId="5">
      <text>
        <r>
          <rPr>
            <sz val="8"/>
            <color indexed="81"/>
            <rFont val="Tahoma"/>
            <family val="2"/>
          </rPr>
          <t xml:space="preserve">Number not reported. Hence, backcalculated.
</t>
        </r>
      </text>
    </comment>
    <comment ref="A229" authorId="5">
      <text>
        <r>
          <rPr>
            <sz val="8"/>
            <color indexed="81"/>
            <rFont val="Tahoma"/>
            <family val="2"/>
          </rPr>
          <t xml:space="preserve">Number not reported. Hence, backcalculated.
</t>
        </r>
      </text>
    </comment>
    <comment ref="A230" authorId="5">
      <text>
        <r>
          <rPr>
            <sz val="8"/>
            <color indexed="81"/>
            <rFont val="Tahoma"/>
            <family val="2"/>
          </rPr>
          <t xml:space="preserve">Number not reported. Hence, backcalculated.
</t>
        </r>
      </text>
    </comment>
    <comment ref="A247" authorId="5">
      <text>
        <r>
          <rPr>
            <sz val="8"/>
            <color indexed="81"/>
            <rFont val="Tahoma"/>
            <family val="2"/>
          </rPr>
          <t xml:space="preserve">Number not reported. Hence, backcalculated.
</t>
        </r>
      </text>
    </comment>
    <comment ref="A248" authorId="5">
      <text>
        <r>
          <rPr>
            <sz val="8"/>
            <color indexed="81"/>
            <rFont val="Tahoma"/>
            <family val="2"/>
          </rPr>
          <t xml:space="preserve">Number not reported. Hence, backcalculated.
</t>
        </r>
      </text>
    </comment>
    <comment ref="A249" authorId="5">
      <text>
        <r>
          <rPr>
            <sz val="8"/>
            <color indexed="81"/>
            <rFont val="Tahoma"/>
            <family val="2"/>
          </rPr>
          <t xml:space="preserve">Number not reported. Hence, backcalculated.
</t>
        </r>
      </text>
    </comment>
    <comment ref="R253" authorId="1">
      <text>
        <r>
          <rPr>
            <b/>
            <sz val="9"/>
            <color indexed="81"/>
            <rFont val="Tahoma"/>
            <family val="2"/>
          </rPr>
          <t>Savino, Mark (Research):</t>
        </r>
        <r>
          <rPr>
            <sz val="9"/>
            <color indexed="81"/>
            <rFont val="Tahoma"/>
            <family val="2"/>
          </rPr>
          <t xml:space="preserve">
1Q Call: In Europe, we continue to see improving performance and expect continued strong RevPAR growth lead by the UK and Turkey, both areas where
we have a large presence, compensating for relative sluggishness in France. Overall, we continue to expect Europe RevPAR growth to be up in the
mid-single digits for the full year 2014.</t>
        </r>
      </text>
    </comment>
    <comment ref="A263" authorId="5">
      <text>
        <r>
          <rPr>
            <sz val="8"/>
            <color indexed="81"/>
            <rFont val="Tahoma"/>
            <family val="2"/>
          </rPr>
          <t xml:space="preserve">Number not reported. Hence, backcalculated.
</t>
        </r>
      </text>
    </comment>
    <comment ref="A264" authorId="5">
      <text>
        <r>
          <rPr>
            <sz val="8"/>
            <color indexed="81"/>
            <rFont val="Tahoma"/>
            <family val="2"/>
          </rPr>
          <t xml:space="preserve">Number not reported. Hence, backcalculated.
</t>
        </r>
      </text>
    </comment>
    <comment ref="A265" authorId="5">
      <text>
        <r>
          <rPr>
            <sz val="8"/>
            <color indexed="81"/>
            <rFont val="Tahoma"/>
            <family val="2"/>
          </rPr>
          <t xml:space="preserve">Number not reported. Hence, backcalculated.
</t>
        </r>
      </text>
    </comment>
    <comment ref="A279" authorId="5">
      <text>
        <r>
          <rPr>
            <sz val="8"/>
            <color indexed="81"/>
            <rFont val="Tahoma"/>
            <family val="2"/>
          </rPr>
          <t xml:space="preserve">Number not reported. Hence, backcalculated.
</t>
        </r>
      </text>
    </comment>
    <comment ref="A280" authorId="5">
      <text>
        <r>
          <rPr>
            <sz val="8"/>
            <color indexed="81"/>
            <rFont val="Tahoma"/>
            <family val="2"/>
          </rPr>
          <t xml:space="preserve">Number not reported. Hence, backcalculated.
</t>
        </r>
      </text>
    </comment>
    <comment ref="A281" authorId="5">
      <text>
        <r>
          <rPr>
            <sz val="8"/>
            <color indexed="81"/>
            <rFont val="Tahoma"/>
            <family val="2"/>
          </rPr>
          <t xml:space="preserve">Number not reported. Hence, backcalculated.
</t>
        </r>
      </text>
    </comment>
    <comment ref="A295" authorId="5">
      <text>
        <r>
          <rPr>
            <sz val="8"/>
            <color indexed="81"/>
            <rFont val="Tahoma"/>
            <family val="2"/>
          </rPr>
          <t xml:space="preserve">Number not reported. Hence, backcalculated.
</t>
        </r>
      </text>
    </comment>
    <comment ref="A296" authorId="5">
      <text>
        <r>
          <rPr>
            <sz val="8"/>
            <color indexed="81"/>
            <rFont val="Tahoma"/>
            <family val="2"/>
          </rPr>
          <t xml:space="preserve">Number not reported. Hence, backcalculated.
</t>
        </r>
      </text>
    </comment>
    <comment ref="A297" authorId="5">
      <text>
        <r>
          <rPr>
            <sz val="8"/>
            <color indexed="81"/>
            <rFont val="Tahoma"/>
            <family val="2"/>
          </rPr>
          <t xml:space="preserve">Number not reported. Hence, backcalculated.
</t>
        </r>
      </text>
    </comment>
    <comment ref="Q304" authorId="6">
      <text>
        <r>
          <rPr>
            <b/>
            <sz val="8"/>
            <color indexed="81"/>
            <rFont val="Tahoma"/>
            <family val="2"/>
          </rPr>
          <t>thallen:</t>
        </r>
        <r>
          <rPr>
            <sz val="8"/>
            <color indexed="81"/>
            <rFont val="Tahoma"/>
            <family val="2"/>
          </rPr>
          <t xml:space="preserve">
Easy comp w/ gov't shutdown, but offset but softer convention calendar for industry in 4Q vs. 3Q</t>
        </r>
      </text>
    </comment>
    <comment ref="R304" authorId="0">
      <text>
        <r>
          <rPr>
            <b/>
            <sz val="9"/>
            <color indexed="81"/>
            <rFont val="Tahoma"/>
            <family val="2"/>
          </rPr>
          <t>Chaudhry, Baset A (Research):</t>
        </r>
        <r>
          <rPr>
            <sz val="9"/>
            <color indexed="81"/>
            <rFont val="Tahoma"/>
            <family val="2"/>
          </rPr>
          <t xml:space="preserve">
MSe US RevPAR 7.3%</t>
        </r>
      </text>
    </comment>
    <comment ref="U304" authorId="0">
      <text>
        <r>
          <rPr>
            <b/>
            <sz val="9"/>
            <color indexed="81"/>
            <rFont val="Tahoma"/>
            <family val="2"/>
          </rPr>
          <t>Chaudhry, Baset A (Research):</t>
        </r>
        <r>
          <rPr>
            <sz val="9"/>
            <color indexed="81"/>
            <rFont val="Tahoma"/>
            <family val="2"/>
          </rPr>
          <t xml:space="preserve">
Implied chainscale RevPAR of 5.2% (0.5% historical error)</t>
        </r>
      </text>
    </comment>
    <comment ref="W304" authorId="2">
      <text>
        <r>
          <rPr>
            <b/>
            <sz val="9"/>
            <color indexed="81"/>
            <rFont val="Tahoma"/>
            <family val="2"/>
          </rPr>
          <t>Guidance:</t>
        </r>
        <r>
          <rPr>
            <sz val="9"/>
            <color indexed="81"/>
            <rFont val="Tahoma"/>
            <family val="2"/>
          </rPr>
          <t xml:space="preserve">
MS 2015 US market forecast: 6.8%
</t>
        </r>
        <r>
          <rPr>
            <b/>
            <sz val="9"/>
            <color indexed="81"/>
            <rFont val="Tahoma"/>
            <family val="2"/>
          </rPr>
          <t>4Q14:</t>
        </r>
        <r>
          <rPr>
            <sz val="9"/>
            <color indexed="81"/>
            <rFont val="Tahoma"/>
            <family val="2"/>
          </rPr>
          <t xml:space="preserve"> mid-high single digits (strength in San Francisco, Florida, Chicago, and Boston, continued recovery in Washington, DC, and ongoing challenges in New York)
</t>
        </r>
        <r>
          <rPr>
            <b/>
            <sz val="9"/>
            <color indexed="81"/>
            <rFont val="Tahoma"/>
            <family val="2"/>
          </rPr>
          <t>3Q14:</t>
        </r>
        <r>
          <rPr>
            <sz val="9"/>
            <color indexed="81"/>
            <rFont val="Tahoma"/>
            <family val="2"/>
          </rPr>
          <t xml:space="preserve"> HLT mgmt expects US at high-end of 5-7% 2015 total RevPAR guide range</t>
        </r>
      </text>
    </comment>
    <comment ref="X304" authorId="0">
      <text>
        <r>
          <rPr>
            <b/>
            <sz val="9"/>
            <color indexed="81"/>
            <rFont val="Tahoma"/>
            <family val="2"/>
          </rPr>
          <t>Chaudhry, Baset A (Research):</t>
        </r>
        <r>
          <rPr>
            <sz val="9"/>
            <color indexed="81"/>
            <rFont val="Tahoma"/>
            <family val="2"/>
          </rPr>
          <t xml:space="preserve">
Tougher comp b/c of strength in overall US RevPAR in 1Q15. </t>
        </r>
      </text>
    </comment>
    <comment ref="Z304" authorId="0">
      <text>
        <r>
          <rPr>
            <b/>
            <sz val="9"/>
            <color indexed="81"/>
            <rFont val="Tahoma"/>
            <family val="2"/>
          </rPr>
          <t>Chaudhry, Baset A (Research):</t>
        </r>
        <r>
          <rPr>
            <sz val="9"/>
            <color indexed="81"/>
            <rFont val="Tahoma"/>
            <family val="2"/>
          </rPr>
          <t xml:space="preserve">
3Q16 has an easy comp with the timing of Labor Day and Jewish holidays in 3Q15
Also on 4Q15 call, said group trends were strongest in 1Q and 3Q</t>
        </r>
      </text>
    </comment>
    <comment ref="AB304" authorId="2">
      <text>
        <r>
          <rPr>
            <b/>
            <sz val="9"/>
            <color indexed="81"/>
            <rFont val="Tahoma"/>
            <family val="2"/>
          </rPr>
          <t>Allen, Thomas (Research):</t>
        </r>
        <r>
          <rPr>
            <sz val="9"/>
            <color indexed="81"/>
            <rFont val="Tahoma"/>
            <family val="2"/>
          </rPr>
          <t xml:space="preserve">
MSe market forecast: +3.1%
Guidance
2Q16: LSD to MSD
1Q16: LSD to MSD
4Q15: LSD to MSD</t>
        </r>
      </text>
    </comment>
    <comment ref="AC304" authorId="1">
      <text>
        <r>
          <rPr>
            <b/>
            <sz val="9"/>
            <color indexed="81"/>
            <rFont val="Tahoma"/>
            <family val="2"/>
          </rPr>
          <t>Savino, Mark (Research):</t>
        </r>
        <r>
          <rPr>
            <sz val="9"/>
            <color indexed="81"/>
            <rFont val="Tahoma"/>
            <family val="2"/>
          </rPr>
          <t xml:space="preserve">
Benefit of Easter shifting back into March vs. April last year</t>
        </r>
      </text>
    </comment>
    <comment ref="AD304" authorId="1">
      <text>
        <r>
          <rPr>
            <b/>
            <sz val="9"/>
            <color indexed="81"/>
            <rFont val="Tahoma"/>
            <family val="2"/>
          </rPr>
          <t>Savino, Mark (Research):</t>
        </r>
        <r>
          <rPr>
            <sz val="9"/>
            <color indexed="81"/>
            <rFont val="Tahoma"/>
            <family val="2"/>
          </rPr>
          <t xml:space="preserve">
Per 2Q17 call, net impact of 4th of July and Easter were a 100bps headwind in the US</t>
        </r>
      </text>
    </comment>
    <comment ref="AE304" authorId="1">
      <text>
        <r>
          <rPr>
            <b/>
            <sz val="9"/>
            <color indexed="81"/>
            <rFont val="Tahoma"/>
            <family val="2"/>
          </rPr>
          <t>Savino, Mark (Research):</t>
        </r>
        <r>
          <rPr>
            <sz val="9"/>
            <color indexed="81"/>
            <rFont val="Tahoma"/>
            <family val="2"/>
          </rPr>
          <t xml:space="preserve">
Per 2Q call: July trending up a bit, August should be stronger, but then Sept weaker given Jewish holiday shift</t>
        </r>
      </text>
    </comment>
    <comment ref="AF304" authorId="1">
      <text>
        <r>
          <rPr>
            <b/>
            <sz val="9"/>
            <color indexed="81"/>
            <rFont val="Tahoma"/>
            <family val="2"/>
          </rPr>
          <t>Savino, Mark (Research):</t>
        </r>
        <r>
          <rPr>
            <sz val="9"/>
            <color indexed="81"/>
            <rFont val="Tahoma"/>
            <family val="2"/>
          </rPr>
          <t xml:space="preserve">
Benefit of Jewish holidays shifting back into October vs. September last year</t>
        </r>
      </text>
    </comment>
    <comment ref="AG304" authorId="1">
      <text>
        <r>
          <rPr>
            <b/>
            <sz val="9"/>
            <color indexed="81"/>
            <rFont val="Tahoma"/>
            <family val="2"/>
          </rPr>
          <t>Savino, Mark (Research):</t>
        </r>
        <r>
          <rPr>
            <sz val="9"/>
            <color indexed="81"/>
            <rFont val="Tahoma"/>
            <family val="2"/>
          </rPr>
          <t xml:space="preserve">
3Q17: US low-to-mid end of 1-3% range
2Q17: In the lower end of 1-3% range
1Q17: Near midpoint of 1-3% range
4Q16: Near midpoint of 1-3% range
3Q16: Expect US to be in the middle of the pack</t>
        </r>
      </text>
    </comment>
    <comment ref="AH304" authorId="2">
      <text>
        <r>
          <rPr>
            <b/>
            <sz val="9"/>
            <color indexed="81"/>
            <rFont val="Tahoma"/>
            <family val="2"/>
          </rPr>
          <t>Allen, Thomas (Research):</t>
        </r>
        <r>
          <rPr>
            <sz val="9"/>
            <color indexed="81"/>
            <rFont val="Tahoma"/>
            <family val="2"/>
          </rPr>
          <t xml:space="preserve">
Comping inauguration and womens marches</t>
        </r>
      </text>
    </comment>
    <comment ref="AL304" authorId="2">
      <text>
        <r>
          <rPr>
            <b/>
            <sz val="9"/>
            <color indexed="81"/>
            <rFont val="Tahoma"/>
            <family val="2"/>
          </rPr>
          <t>Allen, Thomas (Research):</t>
        </r>
        <r>
          <rPr>
            <sz val="9"/>
            <color indexed="81"/>
            <rFont val="Tahoma"/>
            <family val="2"/>
          </rPr>
          <t xml:space="preserve">
MSe market forecast: +2.8% but non-comp, so Hilton below
</t>
        </r>
      </text>
    </comment>
    <comment ref="AM304" authorId="2">
      <text>
        <r>
          <rPr>
            <b/>
            <sz val="9"/>
            <color indexed="81"/>
            <rFont val="Tahoma"/>
            <family val="2"/>
          </rPr>
          <t>Allen, Thomas (Research):</t>
        </r>
        <r>
          <rPr>
            <sz val="9"/>
            <color indexed="81"/>
            <rFont val="Tahoma"/>
            <family val="2"/>
          </rPr>
          <t xml:space="preserve">
MSe market forecast: +1.7% but non-comp, so Hilton below
</t>
        </r>
      </text>
    </comment>
    <comment ref="P317" authorId="0">
      <text>
        <r>
          <rPr>
            <b/>
            <sz val="9"/>
            <color indexed="81"/>
            <rFont val="Tahoma"/>
            <family val="2"/>
          </rPr>
          <t>Chaudhry, Baset A (Research):</t>
        </r>
        <r>
          <rPr>
            <sz val="9"/>
            <color indexed="81"/>
            <rFont val="Tahoma"/>
            <family val="2"/>
          </rPr>
          <t xml:space="preserve">
Benefit from World Cup in Brazil</t>
        </r>
      </text>
    </comment>
    <comment ref="R317" authorId="4">
      <text>
        <r>
          <rPr>
            <b/>
            <sz val="8"/>
            <color indexed="81"/>
            <rFont val="Tahoma"/>
            <family val="2"/>
          </rPr>
          <t>Guidance:</t>
        </r>
        <r>
          <rPr>
            <sz val="8"/>
            <color indexed="81"/>
            <rFont val="Tahoma"/>
            <family val="2"/>
          </rPr>
          <t xml:space="preserve">
(3Q14) For the Americas region outside the US, expect high single-digit RevPAR growth for 2014 (strength in Mexico offsets a weakening Brazil) 
(2Q14) For the Americas region, outside the US, we expect continued growth in Mexico and South America to support high single-digit RevPAR increases for the full year 2014.
(4Q13) expect solid growth in Mexico / S America; Brazil to benefit from World Cup in 2014</t>
        </r>
      </text>
    </comment>
    <comment ref="U317" authorId="0">
      <text>
        <r>
          <rPr>
            <b/>
            <sz val="9"/>
            <color indexed="81"/>
            <rFont val="Tahoma"/>
            <family val="2"/>
          </rPr>
          <t>Chaudhry, Baset A (Research):</t>
        </r>
        <r>
          <rPr>
            <sz val="9"/>
            <color indexed="81"/>
            <rFont val="Tahoma"/>
            <family val="2"/>
          </rPr>
          <t xml:space="preserve">
Strength in Mexico, softness in Brazil due to World Cup comp</t>
        </r>
      </text>
    </comment>
    <comment ref="W317" authorId="2">
      <text>
        <r>
          <rPr>
            <b/>
            <sz val="9"/>
            <color indexed="81"/>
            <rFont val="Tahoma"/>
            <family val="2"/>
          </rPr>
          <t xml:space="preserve">Guidance:
3Q15: </t>
        </r>
        <r>
          <rPr>
            <sz val="9"/>
            <color indexed="81"/>
            <rFont val="Tahoma"/>
            <family val="2"/>
          </rPr>
          <t xml:space="preserve">mid-single-digit RevPAR
</t>
        </r>
        <r>
          <rPr>
            <b/>
            <sz val="9"/>
            <color indexed="81"/>
            <rFont val="Tahoma"/>
            <family val="2"/>
          </rPr>
          <t xml:space="preserve">
2Q15: </t>
        </r>
        <r>
          <rPr>
            <sz val="9"/>
            <color indexed="81"/>
            <rFont val="Tahoma"/>
            <family val="2"/>
          </rPr>
          <t xml:space="preserve">mid-single-digit RevPAR supported by solid trends in Mexico, Peru and Colombia, which should more than outweigh challenges in Brazil where economic softness continues.
</t>
        </r>
        <r>
          <rPr>
            <b/>
            <sz val="9"/>
            <color indexed="81"/>
            <rFont val="Tahoma"/>
            <family val="2"/>
          </rPr>
          <t xml:space="preserve">
1Q15: </t>
        </r>
        <r>
          <rPr>
            <sz val="9"/>
            <color indexed="81"/>
            <rFont val="Tahoma"/>
            <family val="2"/>
          </rPr>
          <t xml:space="preserve">mid-single-digit RevPAR growth for the full year, given strength in Mexico, tempered by softness in Argentina, and Brazil
</t>
        </r>
        <r>
          <rPr>
            <b/>
            <sz val="9"/>
            <color indexed="81"/>
            <rFont val="Tahoma"/>
            <family val="2"/>
          </rPr>
          <t xml:space="preserve">
4Q14: </t>
        </r>
        <r>
          <rPr>
            <sz val="9"/>
            <color indexed="81"/>
            <rFont val="Tahoma"/>
            <family val="2"/>
          </rPr>
          <t>mid-single-digit RevPAR growth for the full year, given strength in Mexico and Ecuador, tempered by some softness in Colombia, Argentina, and Brazil</t>
        </r>
      </text>
    </comment>
    <comment ref="Z317" authorId="2">
      <text>
        <r>
          <rPr>
            <b/>
            <sz val="9"/>
            <color indexed="81"/>
            <rFont val="Tahoma"/>
            <family val="2"/>
          </rPr>
          <t>Allen, Thomas (Research):</t>
        </r>
        <r>
          <rPr>
            <sz val="9"/>
            <color indexed="81"/>
            <rFont val="Tahoma"/>
            <family val="2"/>
          </rPr>
          <t xml:space="preserve">
Olympics benefit</t>
        </r>
      </text>
    </comment>
    <comment ref="AB317" authorId="2">
      <text>
        <r>
          <rPr>
            <b/>
            <sz val="9"/>
            <color indexed="81"/>
            <rFont val="Tahoma"/>
            <family val="2"/>
          </rPr>
          <t>Allen, Thomas (Research):</t>
        </r>
        <r>
          <rPr>
            <sz val="9"/>
            <color indexed="81"/>
            <rFont val="Tahoma"/>
            <family val="2"/>
          </rPr>
          <t xml:space="preserve">
Guidance
2Q16: LSD to MSD
1Q16: MSD
4Q15: MSD</t>
        </r>
      </text>
    </comment>
    <comment ref="AE317" authorId="1">
      <text>
        <r>
          <rPr>
            <b/>
            <sz val="9"/>
            <color indexed="81"/>
            <rFont val="Tahoma"/>
            <family val="2"/>
          </rPr>
          <t>Savino, Mark (Research):</t>
        </r>
        <r>
          <rPr>
            <sz val="9"/>
            <color indexed="81"/>
            <rFont val="Tahoma"/>
            <family val="2"/>
          </rPr>
          <t xml:space="preserve">
Lapping Olympics last year</t>
        </r>
      </text>
    </comment>
    <comment ref="AF317" authorId="2">
      <text>
        <r>
          <rPr>
            <b/>
            <sz val="9"/>
            <color indexed="81"/>
            <rFont val="Tahoma"/>
            <family val="2"/>
          </rPr>
          <t>Allen, Thomas (Research):</t>
        </r>
        <r>
          <rPr>
            <sz val="9"/>
            <color indexed="81"/>
            <rFont val="Tahoma"/>
            <family val="2"/>
          </rPr>
          <t xml:space="preserve">
Likely hurt by hurricanes</t>
        </r>
      </text>
    </comment>
    <comment ref="AG317" authorId="1">
      <text>
        <r>
          <rPr>
            <b/>
            <sz val="9"/>
            <color indexed="81"/>
            <rFont val="Tahoma"/>
            <family val="2"/>
          </rPr>
          <t>Savino, Mark (Research):</t>
        </r>
        <r>
          <rPr>
            <sz val="9"/>
            <color indexed="81"/>
            <rFont val="Tahoma"/>
            <family val="2"/>
          </rPr>
          <t xml:space="preserve">
3Q17: Higher end of 1-3% range
2Q17: Higher end of 1-3% range
1Q17: Higher end of 1-3% range
4Q16: Higher end of 1-3% range
3Q16: Expect Americas to do reasonably well</t>
        </r>
      </text>
    </comment>
    <comment ref="AL317" authorId="2">
      <text>
        <r>
          <rPr>
            <b/>
            <sz val="9"/>
            <color indexed="81"/>
            <rFont val="Tahoma"/>
            <family val="2"/>
          </rPr>
          <t>Allen, Thomas (Research):</t>
        </r>
        <r>
          <rPr>
            <sz val="9"/>
            <color indexed="81"/>
            <rFont val="Tahoma"/>
            <family val="2"/>
          </rPr>
          <t xml:space="preserve">
Boosted by stronger Brazil</t>
        </r>
      </text>
    </comment>
    <comment ref="K319" authorId="6">
      <text>
        <r>
          <rPr>
            <b/>
            <sz val="8"/>
            <color indexed="81"/>
            <rFont val="Tahoma"/>
            <family val="2"/>
          </rPr>
          <t>thallen:</t>
        </r>
        <r>
          <rPr>
            <sz val="8"/>
            <color indexed="81"/>
            <rFont val="Tahoma"/>
            <family val="2"/>
          </rPr>
          <t xml:space="preserve">
Comping Olympics</t>
        </r>
      </text>
    </comment>
    <comment ref="R319" authorId="1">
      <text>
        <r>
          <rPr>
            <b/>
            <sz val="9"/>
            <color indexed="81"/>
            <rFont val="Tahoma"/>
            <family val="2"/>
          </rPr>
          <t>Guidance:</t>
        </r>
        <r>
          <rPr>
            <sz val="9"/>
            <color indexed="81"/>
            <rFont val="Tahoma"/>
            <family val="2"/>
          </rPr>
          <t xml:space="preserve">
(3Q14):Mid-single-digit RevPAR growth for 2014 (positive momentum in Western and Southern Europe to continue with lingering softness in France, and uncertainty in Russia and the Ukraine likely to weigh on Eastern European results through the remainder of the year) 
(2Q14): Mid-single digit
(2Q14): Europe continues to benefit from strong group performance and steady transient gains, particularly as rebounding fundamentals in the Southern region and easy year-over-year comparisons in Turkey offset softness in France. While we continue to monitor the ongoing uncertainty in Eastern Europe, our relatively limited exposure to the region should mitigate near-term risk. We remain confident in our mid-single-digit European RevPAR growth expectations for the full year 2014.
1Q Call: In Europe, we continue to see improving performance and expect continued strong RevPAR growth lead by the UK and Turkey, both areas where
we have a large presence, compensating for relative sluggishness in France. Overall, we continue to expect Europe RevPAR growth to be up in the
mid-single digits for the full year 2014.</t>
        </r>
      </text>
    </comment>
    <comment ref="U319" authorId="0">
      <text>
        <r>
          <rPr>
            <b/>
            <sz val="9"/>
            <color indexed="81"/>
            <rFont val="Tahoma"/>
            <family val="2"/>
          </rPr>
          <t>Chaudhry, Baset A (Research):</t>
        </r>
        <r>
          <rPr>
            <sz val="9"/>
            <color indexed="81"/>
            <rFont val="Tahoma"/>
            <family val="2"/>
          </rPr>
          <t xml:space="preserve">
Rugby world cup in London should be a tailwind. Europe RevPAR trending up to 8% in July-Aug</t>
        </r>
      </text>
    </comment>
    <comment ref="V319" authorId="0">
      <text>
        <r>
          <rPr>
            <b/>
            <sz val="9"/>
            <color indexed="81"/>
            <rFont val="Tahoma"/>
            <family val="2"/>
          </rPr>
          <t>3Q15:</t>
        </r>
        <r>
          <rPr>
            <sz val="9"/>
            <color indexed="81"/>
            <rFont val="Tahoma"/>
            <family val="2"/>
          </rPr>
          <t xml:space="preserve">
Outside the US, we expect fourth quarter RevPAR growth to be meaningfully lower than the last couple of quarters in large part driven by the EMEA
region after a Third Quarter that benefited from a tremendous summer season in Europe and a favorable holiday calendar in the Middle East.</t>
        </r>
      </text>
    </comment>
    <comment ref="W319" authorId="2">
      <text>
        <r>
          <rPr>
            <b/>
            <sz val="9"/>
            <color indexed="81"/>
            <rFont val="Tahoma"/>
            <family val="2"/>
          </rPr>
          <t xml:space="preserve">Guidance:
3Q15: Maintain mid-single-digit RevPAR growth expectations for Europe.
2Q15: Maintain mid-single-digit RevPAR growth expectations for Europe. </t>
        </r>
        <r>
          <rPr>
            <sz val="9"/>
            <color indexed="81"/>
            <rFont val="Tahoma"/>
            <family val="2"/>
          </rPr>
          <t>Prolonged challenges in France and Eastern Europe continue to temper regional performance, leisure trends remain very strong, particularly throughout Spain and Italy, as robust international inbound travel and greater local demand drives strong transient business.</t>
        </r>
        <r>
          <rPr>
            <b/>
            <sz val="9"/>
            <color indexed="81"/>
            <rFont val="Tahoma"/>
            <family val="2"/>
          </rPr>
          <t xml:space="preserve">
1Q15: Mid single-digit RevPAR growth expectation for Europe, expecting mixed performance across the region.</t>
        </r>
        <r>
          <rPr>
            <sz val="9"/>
            <color indexed="81"/>
            <rFont val="Tahoma"/>
            <family val="2"/>
          </rPr>
          <t xml:space="preserve"> Positive trends should continue throughout Germany, while Southern Europe should benefit from accelerating leisure demand. This will be tempered by anticipated economic and geopolitical challenges, weighing on results in France and Eastern Europe respectively.</t>
        </r>
        <r>
          <rPr>
            <b/>
            <sz val="9"/>
            <color indexed="81"/>
            <rFont val="Tahoma"/>
            <family val="2"/>
          </rPr>
          <t xml:space="preserve">
4Q14: Europe to remain generally stable with RevPAR growth in the mid-single digits for 2015. </t>
        </r>
        <r>
          <rPr>
            <sz val="9"/>
            <color indexed="81"/>
            <rFont val="Tahoma"/>
            <family val="2"/>
          </rPr>
          <t>Solid fundamentals in the western and southern regions, boosted by strong group business. Continued uncertainty in Russia and the Ukraine to pressure performance in the east, while France remains soft.</t>
        </r>
        <r>
          <rPr>
            <b/>
            <sz val="9"/>
            <color indexed="81"/>
            <rFont val="Tahoma"/>
            <family val="2"/>
          </rPr>
          <t xml:space="preserve">
Allen, Thomas (Research):</t>
        </r>
        <r>
          <rPr>
            <sz val="9"/>
            <color indexed="81"/>
            <rFont val="Tahoma"/>
            <family val="2"/>
          </rPr>
          <t xml:space="preserve">
MS European team forecasting 3-5% RevPAR growth for European hotels, expect HLT at the higher-end given newer hotels, recent relative outperformance</t>
        </r>
      </text>
    </comment>
    <comment ref="Z319" authorId="1">
      <text>
        <r>
          <rPr>
            <b/>
            <sz val="9"/>
            <color indexed="81"/>
            <rFont val="Tahoma"/>
            <family val="2"/>
          </rPr>
          <t>Savino, Mark (Research):</t>
        </r>
        <r>
          <rPr>
            <sz val="9"/>
            <color indexed="81"/>
            <rFont val="Tahoma"/>
            <family val="2"/>
          </rPr>
          <t xml:space="preserve">
Tough comp with Rugby World Cup in London last year OFFSET by Euros</t>
        </r>
      </text>
    </comment>
    <comment ref="AB319" authorId="2">
      <text>
        <r>
          <rPr>
            <b/>
            <sz val="9"/>
            <color indexed="81"/>
            <rFont val="Tahoma"/>
            <family val="2"/>
          </rPr>
          <t>Allen, Thomas (Research):</t>
        </r>
        <r>
          <rPr>
            <sz val="9"/>
            <color indexed="81"/>
            <rFont val="Tahoma"/>
            <family val="2"/>
          </rPr>
          <t xml:space="preserve">
Guidance
2Q16: LSD
1Q16: LSD to MSD
4Q15: LSD to MSD</t>
        </r>
      </text>
    </comment>
    <comment ref="AC319" authorId="2">
      <text>
        <r>
          <rPr>
            <b/>
            <sz val="9"/>
            <color indexed="81"/>
            <rFont val="Tahoma"/>
            <family val="2"/>
          </rPr>
          <t>Allen, Thomas (Research):</t>
        </r>
        <r>
          <rPr>
            <sz val="9"/>
            <color indexed="81"/>
            <rFont val="Tahoma"/>
            <family val="2"/>
          </rPr>
          <t xml:space="preserve">
UK int'l inbound +20% b/c of weak GBP and Middle Eastern demand</t>
        </r>
      </text>
    </comment>
    <comment ref="AG319" authorId="1">
      <text>
        <r>
          <rPr>
            <b/>
            <sz val="9"/>
            <color indexed="81"/>
            <rFont val="Tahoma"/>
            <family val="2"/>
          </rPr>
          <t>Savino, Mark (Research):</t>
        </r>
        <r>
          <rPr>
            <sz val="9"/>
            <color indexed="81"/>
            <rFont val="Tahoma"/>
            <family val="2"/>
          </rPr>
          <t xml:space="preserve">
3Q17: MSD-HSD
2Q17: MSD
1Q17: Modestly above high end of 1-3% range
4Q16: Mid/high-end of range
3Q16: Europe and MEA growth will be below average</t>
        </r>
      </text>
    </comment>
    <comment ref="AL319" authorId="2">
      <text>
        <r>
          <rPr>
            <b/>
            <sz val="9"/>
            <color indexed="81"/>
            <rFont val="Tahoma"/>
            <family val="2"/>
          </rPr>
          <t>Allen, Thomas (Research):</t>
        </r>
        <r>
          <rPr>
            <sz val="9"/>
            <color indexed="81"/>
            <rFont val="Tahoma"/>
            <family val="2"/>
          </rPr>
          <t xml:space="preserve">
Hilton has a lot of new hotels in Europe</t>
        </r>
      </text>
    </comment>
    <comment ref="K320" authorId="4">
      <text>
        <r>
          <rPr>
            <b/>
            <sz val="8"/>
            <color indexed="81"/>
            <rFont val="Tahoma"/>
            <family val="2"/>
          </rPr>
          <t>jills:</t>
        </r>
        <r>
          <rPr>
            <sz val="8"/>
            <color indexed="81"/>
            <rFont val="Tahoma"/>
            <family val="2"/>
          </rPr>
          <t xml:space="preserve">
$6m hit on Mecca hotels in 3Q but getting 5k rooms added for it</t>
        </r>
      </text>
    </comment>
    <comment ref="R321" authorId="4">
      <text>
        <r>
          <rPr>
            <b/>
            <sz val="8"/>
            <color indexed="81"/>
            <rFont val="Tahoma"/>
            <family val="2"/>
          </rPr>
          <t>Guidance:</t>
        </r>
        <r>
          <rPr>
            <sz val="8"/>
            <color indexed="81"/>
            <rFont val="Tahoma"/>
            <family val="2"/>
          </rPr>
          <t xml:space="preserve">
(3Q14): Mid-single digits in 2014 as tailwinds from Egypt and Saudi Arabia offset headwinds in other parts of the region 
(1Q14) the Middle East-Africa region, we expect geopolitical tensions to continue to weigh on travel demand. Our outlook largely assumes a steady state. And we anticipate flat RevPAR in the region for 2014, as a positive booking pace and easy comparisons in Egypt somewhat mitigate challenges elsewhere in the region.
(4Q13) assumes solid growth in areas like Dubai / Abu Dhabi and waning disruption in Egypt / Syria
mgmt forecasts APAC and MEA will lead int'l growth coming in at or above high-end of RevPAR range (~7%)</t>
        </r>
      </text>
    </comment>
    <comment ref="T321" authorId="0">
      <text>
        <r>
          <rPr>
            <b/>
            <sz val="9"/>
            <color indexed="81"/>
            <rFont val="Tahoma"/>
            <family val="2"/>
          </rPr>
          <t>Chaudhry, Baset A (Research):</t>
        </r>
        <r>
          <rPr>
            <sz val="9"/>
            <color indexed="81"/>
            <rFont val="Tahoma"/>
            <family val="2"/>
          </rPr>
          <t xml:space="preserve">
The shift in the
timing of Ramadan could result in very modest RevPAR growth in the second quarter and outsized gains in the third quarter.</t>
        </r>
      </text>
    </comment>
    <comment ref="U321" authorId="0">
      <text>
        <r>
          <rPr>
            <b/>
            <sz val="9"/>
            <color indexed="81"/>
            <rFont val="Tahoma"/>
            <family val="2"/>
          </rPr>
          <t>Chaudhry, Baset A (Research):</t>
        </r>
        <r>
          <rPr>
            <sz val="9"/>
            <color indexed="81"/>
            <rFont val="Tahoma"/>
            <family val="2"/>
          </rPr>
          <t xml:space="preserve">
The shift in the
timing of Ramadan to result in modest RevPAR growth in the second quarter and outsized gains in the third quarter.</t>
        </r>
      </text>
    </comment>
    <comment ref="V321" authorId="0">
      <text>
        <r>
          <rPr>
            <b/>
            <sz val="9"/>
            <color indexed="81"/>
            <rFont val="Tahoma"/>
            <family val="2"/>
          </rPr>
          <t>3Q15:</t>
        </r>
        <r>
          <rPr>
            <sz val="9"/>
            <color indexed="81"/>
            <rFont val="Tahoma"/>
            <family val="2"/>
          </rPr>
          <t xml:space="preserve">
Outside the US, we expect fourth quarter RevPAR growth to be meaningfully lower than the last couple of quarters in large part driven by the EMEA
region after a Third Quarter that benefited from a tremendous summer season in Europe and a favorable holiday calendar in the Middle East.</t>
        </r>
      </text>
    </comment>
    <comment ref="W321" authorId="0">
      <text>
        <r>
          <rPr>
            <b/>
            <sz val="9"/>
            <color indexed="81"/>
            <rFont val="Tahoma"/>
            <family val="2"/>
          </rPr>
          <t xml:space="preserve">Guidance:
3Q15: Low single-digit RevPAR growth for the year,
2Q15: Low single-digit RevPAR growth for the year, </t>
        </r>
        <r>
          <rPr>
            <sz val="9"/>
            <color indexed="81"/>
            <rFont val="Tahoma"/>
            <family val="2"/>
          </rPr>
          <t>as decreasing inbound demand from Russia, Germany and Turkey continues to weigh on results in Saudi Arabia and the UAE. This inbound weakness should be largely offset by strengthening fundamentals and easy comparisons in Egypt.</t>
        </r>
        <r>
          <rPr>
            <b/>
            <sz val="9"/>
            <color indexed="81"/>
            <rFont val="Tahoma"/>
            <family val="2"/>
          </rPr>
          <t xml:space="preserve">
</t>
        </r>
        <r>
          <rPr>
            <sz val="9"/>
            <color indexed="81"/>
            <rFont val="Tahoma"/>
            <family val="2"/>
          </rPr>
          <t xml:space="preserve">
</t>
        </r>
        <r>
          <rPr>
            <b/>
            <sz val="9"/>
            <color indexed="81"/>
            <rFont val="Tahoma"/>
            <family val="2"/>
          </rPr>
          <t xml:space="preserve">1Q15: </t>
        </r>
        <r>
          <rPr>
            <sz val="9"/>
            <color indexed="81"/>
            <rFont val="Tahoma"/>
            <family val="2"/>
          </rPr>
          <t xml:space="preserve">For the Middle East-Africa region, we forecast </t>
        </r>
        <r>
          <rPr>
            <b/>
            <sz val="9"/>
            <color indexed="81"/>
            <rFont val="Tahoma"/>
            <family val="2"/>
          </rPr>
          <t>mid single-digit RevPAR growth for the year.</t>
        </r>
        <r>
          <rPr>
            <sz val="9"/>
            <color indexed="81"/>
            <rFont val="Tahoma"/>
            <family val="2"/>
          </rPr>
          <t xml:space="preserve"> While improvements in Egypt appear sustainable, softening demand from Russia continues to be an overhang on fundamentals in the Arabian peninsula
</t>
        </r>
        <r>
          <rPr>
            <b/>
            <sz val="9"/>
            <color indexed="81"/>
            <rFont val="Tahoma"/>
            <family val="2"/>
          </rPr>
          <t>4Q14:</t>
        </r>
        <r>
          <rPr>
            <sz val="9"/>
            <color indexed="81"/>
            <rFont val="Tahoma"/>
            <family val="2"/>
          </rPr>
          <t xml:space="preserve"> MEA to recover nicely, with improving economic growth likely to drive </t>
        </r>
        <r>
          <rPr>
            <b/>
            <sz val="9"/>
            <color indexed="81"/>
            <rFont val="Tahoma"/>
            <family val="2"/>
          </rPr>
          <t>mid- to high-single-digit RevPAR
growth for 2015</t>
        </r>
        <r>
          <rPr>
            <sz val="9"/>
            <color indexed="81"/>
            <rFont val="Tahoma"/>
            <family val="2"/>
          </rPr>
          <t>. Egypt, in particular, showing great momentum, with some headwinds on the Arabian peninsula from less Russian-inbound demand.</t>
        </r>
      </text>
    </comment>
    <comment ref="Y321" authorId="1">
      <text>
        <r>
          <rPr>
            <b/>
            <sz val="9"/>
            <color indexed="81"/>
            <rFont val="Tahoma"/>
            <family val="2"/>
          </rPr>
          <t>Savino, Mark (Research):</t>
        </r>
        <r>
          <rPr>
            <sz val="9"/>
            <color indexed="81"/>
            <rFont val="Tahoma"/>
            <family val="2"/>
          </rPr>
          <t xml:space="preserve">
Benefitted from Ramadan shift</t>
        </r>
      </text>
    </comment>
    <comment ref="Z321" authorId="0">
      <text>
        <r>
          <rPr>
            <b/>
            <sz val="9"/>
            <color indexed="81"/>
            <rFont val="Tahoma"/>
            <family val="2"/>
          </rPr>
          <t>Chaudhry, Baset A (Research):</t>
        </r>
        <r>
          <rPr>
            <sz val="9"/>
            <color indexed="81"/>
            <rFont val="Tahoma"/>
            <family val="2"/>
          </rPr>
          <t xml:space="preserve">
Tough comp</t>
        </r>
      </text>
    </comment>
    <comment ref="AB321" authorId="2">
      <text>
        <r>
          <rPr>
            <b/>
            <sz val="9"/>
            <color indexed="81"/>
            <rFont val="Tahoma"/>
            <family val="2"/>
          </rPr>
          <t>Allen, Thomas (Research):</t>
        </r>
        <r>
          <rPr>
            <sz val="9"/>
            <color indexed="81"/>
            <rFont val="Tahoma"/>
            <family val="2"/>
          </rPr>
          <t xml:space="preserve">
2Q16: Down LSD
1Q16: Flat to slightly down
4Q15: LSD
Per 3Q15 call, expect below midpoint of 4-6% range
</t>
        </r>
      </text>
    </comment>
    <comment ref="AD321" authorId="1">
      <text>
        <r>
          <rPr>
            <b/>
            <sz val="9"/>
            <color indexed="81"/>
            <rFont val="Tahoma"/>
            <family val="2"/>
          </rPr>
          <t>Savino, Mark (Research):</t>
        </r>
        <r>
          <rPr>
            <sz val="9"/>
            <color indexed="81"/>
            <rFont val="Tahoma"/>
            <family val="2"/>
          </rPr>
          <t xml:space="preserve">
Ramadan starts May 27th vs. June 5th last year, so should not be a materialy impact y/y</t>
        </r>
      </text>
    </comment>
    <comment ref="AE321" authorId="1">
      <text>
        <r>
          <rPr>
            <b/>
            <sz val="9"/>
            <color indexed="81"/>
            <rFont val="Tahoma"/>
            <family val="2"/>
          </rPr>
          <t>Savino, Mark (Research):</t>
        </r>
        <r>
          <rPr>
            <sz val="9"/>
            <color indexed="81"/>
            <rFont val="Tahoma"/>
            <family val="2"/>
          </rPr>
          <t xml:space="preserve">
Holiday shift benefit in 2Q will reverse</t>
        </r>
      </text>
    </comment>
    <comment ref="AG321" authorId="1">
      <text>
        <r>
          <rPr>
            <b/>
            <sz val="9"/>
            <color indexed="81"/>
            <rFont val="Tahoma"/>
            <family val="2"/>
          </rPr>
          <t>Savino, Mark (Research):</t>
        </r>
        <r>
          <rPr>
            <sz val="9"/>
            <color indexed="81"/>
            <rFont val="Tahoma"/>
            <family val="2"/>
          </rPr>
          <t xml:space="preserve">
3Q17: High end of range
2Q17: Flat to slightly positive
1Q17: Flat to slightly positive
4Q16: Flat to slightly positive
3Q16: Europe and MEA growth will be below average</t>
        </r>
      </text>
    </comment>
    <comment ref="R323" authorId="4">
      <text>
        <r>
          <rPr>
            <b/>
            <sz val="8"/>
            <color indexed="81"/>
            <rFont val="Tahoma"/>
            <family val="2"/>
          </rPr>
          <t>Guidance:</t>
        </r>
        <r>
          <rPr>
            <sz val="8"/>
            <color indexed="81"/>
            <rFont val="Tahoma"/>
            <family val="2"/>
          </rPr>
          <t xml:space="preserve">
(3Q14): Mid-single digit RevPAR growth for 2014 (growth in Japan to remain strong tempered by new consumption taxes, performance in China to remain steady, expect uptick in trends in both India and Indonesia, with challenges in Thailand to remain a regional drag) 
(2Q14) Asia-Pacific continues to benefit from strength in Japan and China. With second-quarter GDP growth in China of 7.5% coming in modestly above expectations, and stimulus measures supporting Beijing's commitment to growth within this range, we're confident that solid performance will continue to offset challenges, such as weakness in Thailand, leading to mid-single-digit RevPAR growth for the overall region.
(4Q13) assumes improvement, particularly given easy comps 
mgmt forecasts APAC and MEA will lead int'l growth coming in at or above high-end of RevPAR range (~7%); expect China / Japan to do well</t>
        </r>
      </text>
    </comment>
    <comment ref="V323" authorId="0">
      <text>
        <r>
          <rPr>
            <b/>
            <sz val="9"/>
            <color indexed="81"/>
            <rFont val="Tahoma"/>
            <family val="2"/>
          </rPr>
          <t>Chaudhry, Baset A (Research):</t>
        </r>
        <r>
          <rPr>
            <sz val="9"/>
            <color indexed="81"/>
            <rFont val="Tahoma"/>
            <family val="2"/>
          </rPr>
          <t xml:space="preserve">
Occupy HK comp</t>
        </r>
      </text>
    </comment>
    <comment ref="W323" authorId="0">
      <text>
        <r>
          <rPr>
            <b/>
            <sz val="9"/>
            <color indexed="81"/>
            <rFont val="Tahoma"/>
            <family val="2"/>
          </rPr>
          <t>Guidance:</t>
        </r>
        <r>
          <rPr>
            <sz val="9"/>
            <color indexed="81"/>
            <rFont val="Tahoma"/>
            <family val="2"/>
          </rPr>
          <t xml:space="preserve">
</t>
        </r>
        <r>
          <rPr>
            <b/>
            <sz val="9"/>
            <color indexed="81"/>
            <rFont val="Tahoma"/>
            <family val="2"/>
          </rPr>
          <t>3Q15:</t>
        </r>
        <r>
          <rPr>
            <sz val="9"/>
            <color indexed="81"/>
            <rFont val="Tahoma"/>
            <family val="2"/>
          </rPr>
          <t xml:space="preserve"> Expect high single-digit RevPAR growth and continue to forecast 6% to 8% RevPAR growth in China
</t>
        </r>
        <r>
          <rPr>
            <b/>
            <sz val="9"/>
            <color indexed="81"/>
            <rFont val="Tahoma"/>
            <family val="2"/>
          </rPr>
          <t>2Q15: Expect high single-digit RevPAR growth</t>
        </r>
        <r>
          <rPr>
            <sz val="9"/>
            <color indexed="81"/>
            <rFont val="Tahoma"/>
            <family val="2"/>
          </rPr>
          <t xml:space="preserve"> supported by strong fundamentals in Japan, positive momentum in Thailand, and solid performance in China. We continue to forecast 6% to 8% RevPAR growth in China for the full year, despite decelerating economic growth, due mostly to our favorable market mix and rising market share.
</t>
        </r>
        <r>
          <rPr>
            <b/>
            <sz val="9"/>
            <color indexed="81"/>
            <rFont val="Tahoma"/>
            <family val="2"/>
          </rPr>
          <t>1Q15:</t>
        </r>
        <r>
          <rPr>
            <sz val="9"/>
            <color indexed="81"/>
            <rFont val="Tahoma"/>
            <family val="2"/>
          </rPr>
          <t xml:space="preserve">In Asia-Pacific, we continue to expect </t>
        </r>
        <r>
          <rPr>
            <b/>
            <sz val="9"/>
            <color indexed="81"/>
            <rFont val="Tahoma"/>
            <family val="2"/>
          </rPr>
          <t>high single-digit RevPAR growth</t>
        </r>
        <r>
          <rPr>
            <sz val="9"/>
            <color indexed="81"/>
            <rFont val="Tahoma"/>
            <family val="2"/>
          </rPr>
          <t xml:space="preserve"> supported by robust demand in Japan, recovery in Thailand, and positive momentum in Shanghai and Beijing. The strength of these trends should more than offset modest weakness in Hong Kong and softening business transient demand in Singapore. </t>
        </r>
        <r>
          <rPr>
            <b/>
            <sz val="9"/>
            <color indexed="81"/>
            <rFont val="Tahoma"/>
            <family val="2"/>
          </rPr>
          <t>We continue to forecast 6% to 8% RevPAR growth in China for the year, given our significant market share gains and market mix.</t>
        </r>
        <r>
          <rPr>
            <sz val="9"/>
            <color indexed="81"/>
            <rFont val="Tahoma"/>
            <family val="2"/>
          </rPr>
          <t xml:space="preserve">
</t>
        </r>
        <r>
          <rPr>
            <b/>
            <sz val="9"/>
            <color indexed="81"/>
            <rFont val="Tahoma"/>
            <family val="2"/>
          </rPr>
          <t>4Q14:</t>
        </r>
        <r>
          <rPr>
            <sz val="9"/>
            <color indexed="81"/>
            <rFont val="Tahoma"/>
            <family val="2"/>
          </rPr>
          <t xml:space="preserve"> Asia Pacific, optimistic due, in part, to strength in Japan and India, and positive momentum in Thailand. In China, we expect relatively strong RevPAR in the 6% to 8% range, and overall regional </t>
        </r>
        <r>
          <rPr>
            <b/>
            <sz val="9"/>
            <color indexed="81"/>
            <rFont val="Tahoma"/>
            <family val="2"/>
          </rPr>
          <t xml:space="preserve">RevPAR growth in the high-single digits for 2015. </t>
        </r>
        <r>
          <rPr>
            <sz val="9"/>
            <color indexed="81"/>
            <rFont val="Tahoma"/>
            <family val="2"/>
          </rPr>
          <t>Also, company reported surge in F&amp;B revenues in China (more anciliary spend).</t>
        </r>
      </text>
    </comment>
    <comment ref="AB323" authorId="2">
      <text>
        <r>
          <rPr>
            <b/>
            <sz val="9"/>
            <color indexed="81"/>
            <rFont val="Tahoma"/>
            <family val="2"/>
          </rPr>
          <t>Allen, Thomas (Research):</t>
        </r>
        <r>
          <rPr>
            <sz val="9"/>
            <color indexed="81"/>
            <rFont val="Tahoma"/>
            <family val="2"/>
          </rPr>
          <t xml:space="preserve">
2Q16: MSD, China 5-6%
1Q16: MSD to HSD, China 5-6%
4Q15: MSD, China 5-6%
Per 3Q15 call, mgmt expects APAC to be above midpoint of 4-6% 2016 guidance range
</t>
        </r>
      </text>
    </comment>
    <comment ref="AG323" authorId="1">
      <text>
        <r>
          <rPr>
            <b/>
            <sz val="9"/>
            <color indexed="81"/>
            <rFont val="Tahoma"/>
            <family val="2"/>
          </rPr>
          <t>Savino, Mark (Research):</t>
        </r>
        <r>
          <rPr>
            <sz val="9"/>
            <color indexed="81"/>
            <rFont val="Tahoma"/>
            <family val="2"/>
          </rPr>
          <t xml:space="preserve">
3Q17: Up mid-single digits to HSD, with China up 9%
2Q17: Up mid-single digits, with China up 8-9%
1Q17: Up mid-single digits, with China up 6-7%
4Q16: Up mid-single digits, with China up 3-4%
3Q16: APAC should have highest growth</t>
        </r>
      </text>
    </comment>
    <comment ref="V326" authorId="0">
      <text>
        <r>
          <rPr>
            <b/>
            <sz val="9"/>
            <color indexed="81"/>
            <rFont val="Tahoma"/>
            <family val="2"/>
          </rPr>
          <t>3Q15:</t>
        </r>
        <r>
          <rPr>
            <sz val="9"/>
            <color indexed="81"/>
            <rFont val="Tahoma"/>
            <family val="2"/>
          </rPr>
          <t xml:space="preserve">
Outside the US, we expect fourth quarter RevPAR growth to be meaningfully lower than the last couple of quarters in large part driven by the EMEA
region after a Third Quarter that benefited from a tremendous summer season in Europe and a favorable holiday calendar in the Middle East.</t>
        </r>
      </text>
    </comment>
    <comment ref="W326" authorId="2">
      <text>
        <r>
          <rPr>
            <b/>
            <sz val="9"/>
            <color indexed="81"/>
            <rFont val="Tahoma"/>
            <family val="2"/>
          </rPr>
          <t>Allen, Thomas (Research):</t>
        </r>
        <r>
          <rPr>
            <sz val="9"/>
            <color indexed="81"/>
            <rFont val="Tahoma"/>
            <family val="2"/>
          </rPr>
          <t xml:space="preserve">
Per mgmt on 3Q call, expect US to lead RevPAR, int'l mid/low-end of 5-7% range</t>
        </r>
      </text>
    </comment>
    <comment ref="AB326" authorId="2">
      <text>
        <r>
          <rPr>
            <b/>
            <sz val="9"/>
            <color indexed="81"/>
            <rFont val="Tahoma"/>
            <family val="2"/>
          </rPr>
          <t>Allen, Thomas (Research):</t>
        </r>
        <r>
          <rPr>
            <sz val="9"/>
            <color indexed="81"/>
            <rFont val="Tahoma"/>
            <family val="2"/>
          </rPr>
          <t xml:space="preserve">
Per mgmt on 3Q15 call, expect int'l RevPAR to be worse in 2016 than 2015 b/c tough comps in Europe / MEA</t>
        </r>
      </text>
    </comment>
    <comment ref="A337" authorId="5">
      <text>
        <r>
          <rPr>
            <sz val="8"/>
            <color indexed="81"/>
            <rFont val="Tahoma"/>
            <family val="2"/>
          </rPr>
          <t xml:space="preserve">Not reported by the company. Hence, we have derived it.
</t>
        </r>
      </text>
    </comment>
    <comment ref="A349" authorId="5">
      <text>
        <r>
          <rPr>
            <sz val="8"/>
            <color indexed="81"/>
            <rFont val="Tahoma"/>
            <family val="2"/>
          </rPr>
          <t xml:space="preserve">Not reported by the company. Hence, we have derived it.
</t>
        </r>
      </text>
    </comment>
    <comment ref="A485" authorId="4">
      <text>
        <r>
          <rPr>
            <b/>
            <sz val="8"/>
            <color indexed="81"/>
            <rFont val="Tahoma"/>
            <family val="2"/>
          </rPr>
          <t>jills:</t>
        </r>
        <r>
          <rPr>
            <sz val="8"/>
            <color indexed="81"/>
            <rFont val="Tahoma"/>
            <family val="2"/>
          </rPr>
          <t xml:space="preserve">
includes Home2 Suites and Other / Unbranded</t>
        </r>
      </text>
    </comment>
    <comment ref="L495" authorId="1">
      <text>
        <r>
          <rPr>
            <b/>
            <sz val="9"/>
            <color indexed="81"/>
            <rFont val="Tahoma"/>
            <family val="2"/>
          </rPr>
          <t>Savino, Mark (Research):</t>
        </r>
        <r>
          <rPr>
            <sz val="9"/>
            <color indexed="81"/>
            <rFont val="Tahoma"/>
            <family val="2"/>
          </rPr>
          <t xml:space="preserve">
Big 8 group revenue up 10%</t>
        </r>
      </text>
    </comment>
    <comment ref="AD495" authorId="1">
      <text>
        <r>
          <rPr>
            <b/>
            <sz val="9"/>
            <color indexed="81"/>
            <rFont val="Tahoma"/>
            <family val="2"/>
          </rPr>
          <t>Savino, Mark (Research):</t>
        </r>
        <r>
          <rPr>
            <sz val="9"/>
            <color indexed="81"/>
            <rFont val="Tahoma"/>
            <family val="2"/>
          </rPr>
          <t xml:space="preserve">
YTD towards the mid-point of guidance</t>
        </r>
      </text>
    </comment>
    <comment ref="AI495" authorId="1">
      <text>
        <r>
          <rPr>
            <b/>
            <sz val="9"/>
            <color indexed="81"/>
            <rFont val="Tahoma"/>
            <family val="2"/>
          </rPr>
          <t>Savino, Mark (Research):</t>
        </r>
        <r>
          <rPr>
            <sz val="9"/>
            <color indexed="81"/>
            <rFont val="Tahoma"/>
            <family val="2"/>
          </rPr>
          <t xml:space="preserve">
YTD towards the mid-point of guidance</t>
        </r>
      </text>
    </comment>
    <comment ref="N499" authorId="1">
      <text>
        <r>
          <rPr>
            <b/>
            <sz val="9"/>
            <color indexed="81"/>
            <rFont val="Tahoma"/>
            <family val="2"/>
          </rPr>
          <t>Savino, Mark (Research):</t>
        </r>
        <r>
          <rPr>
            <sz val="9"/>
            <color indexed="81"/>
            <rFont val="Tahoma"/>
            <family val="2"/>
          </rPr>
          <t xml:space="preserve">
Big 8 hotels up nearly 20% in 2H14</t>
        </r>
      </text>
    </comment>
    <comment ref="L502" authorId="1">
      <text>
        <r>
          <rPr>
            <b/>
            <sz val="9"/>
            <color indexed="81"/>
            <rFont val="Tahoma"/>
            <family val="2"/>
          </rPr>
          <t>Savino, Mark (Research):</t>
        </r>
        <r>
          <rPr>
            <sz val="9"/>
            <color indexed="81"/>
            <rFont val="Tahoma"/>
            <family val="2"/>
          </rPr>
          <t xml:space="preserve">
Up 10% at Big 8 hotels</t>
        </r>
      </text>
    </comment>
    <comment ref="O502" authorId="1">
      <text>
        <r>
          <rPr>
            <b/>
            <sz val="9"/>
            <color indexed="81"/>
            <rFont val="Tahoma"/>
            <family val="2"/>
          </rPr>
          <t>Savino, Mark (Research):</t>
        </r>
        <r>
          <rPr>
            <sz val="9"/>
            <color indexed="81"/>
            <rFont val="Tahoma"/>
            <family val="2"/>
          </rPr>
          <t xml:space="preserve">
Specifically for 1H15</t>
        </r>
      </text>
    </comment>
    <comment ref="Z502" authorId="1">
      <text>
        <r>
          <rPr>
            <b/>
            <sz val="9"/>
            <color indexed="81"/>
            <rFont val="Tahoma"/>
            <family val="2"/>
          </rPr>
          <t>Savino, Mark (Research):</t>
        </r>
        <r>
          <rPr>
            <sz val="9"/>
            <color indexed="81"/>
            <rFont val="Tahoma"/>
            <family val="2"/>
          </rPr>
          <t xml:space="preserve">
1H17 up 6-7%</t>
        </r>
      </text>
    </comment>
  </commentList>
</comments>
</file>

<file path=xl/comments4.xml><?xml version="1.0" encoding="utf-8"?>
<comments xmlns="http://schemas.openxmlformats.org/spreadsheetml/2006/main">
  <authors>
    <author>jills</author>
  </authors>
  <commentList>
    <comment ref="F10" authorId="0">
      <text>
        <r>
          <rPr>
            <b/>
            <sz val="8"/>
            <color indexed="81"/>
            <rFont val="Tahoma"/>
            <family val="2"/>
          </rPr>
          <t>jills:</t>
        </r>
        <r>
          <rPr>
            <sz val="8"/>
            <color indexed="81"/>
            <rFont val="Tahoma"/>
            <family val="2"/>
          </rPr>
          <t xml:space="preserve">
per mgmt, 1% of RevPAR=low $30s EBITDA</t>
        </r>
      </text>
    </comment>
    <comment ref="F34" authorId="0">
      <text>
        <r>
          <rPr>
            <b/>
            <sz val="8"/>
            <color indexed="81"/>
            <rFont val="Tahoma"/>
            <family val="2"/>
          </rPr>
          <t>jills:</t>
        </r>
        <r>
          <rPr>
            <sz val="8"/>
            <color indexed="81"/>
            <rFont val="Tahoma"/>
            <family val="2"/>
          </rPr>
          <t xml:space="preserve">
per mgmt, 1% of RevPAR=low $30s EBITDA</t>
        </r>
      </text>
    </comment>
  </commentList>
</comments>
</file>

<file path=xl/comments5.xml><?xml version="1.0" encoding="utf-8"?>
<comments xmlns="http://schemas.openxmlformats.org/spreadsheetml/2006/main">
  <authors>
    <author>Allen, Thomas (Research)</author>
    <author>Savino, Mark (Research)</author>
  </authors>
  <commentList>
    <comment ref="J6" authorId="0">
      <text>
        <r>
          <rPr>
            <b/>
            <sz val="9"/>
            <color indexed="81"/>
            <rFont val="Tahoma"/>
            <family val="2"/>
          </rPr>
          <t>Allen, Thomas (Research):</t>
        </r>
        <r>
          <rPr>
            <sz val="9"/>
            <color indexed="81"/>
            <rFont val="Tahoma"/>
            <family val="2"/>
          </rPr>
          <t xml:space="preserve">
Matches US owned RevPAR. Assume lower than industry given higher urban exposure, similar to our forecast for peers</t>
        </r>
      </text>
    </comment>
    <comment ref="I40" authorId="1">
      <text>
        <r>
          <rPr>
            <b/>
            <sz val="9"/>
            <color indexed="81"/>
            <rFont val="Tahoma"/>
            <family val="2"/>
          </rPr>
          <t>Savino, Mark (Research):</t>
        </r>
        <r>
          <rPr>
            <sz val="9"/>
            <color indexed="81"/>
            <rFont val="Tahoma"/>
            <family val="2"/>
          </rPr>
          <t xml:space="preserve">
Pay taxes on 4 assets held in TRS. Per mgmt, should be ~6-7%</t>
        </r>
      </text>
    </comment>
    <comment ref="I59" authorId="0">
      <text>
        <r>
          <rPr>
            <b/>
            <sz val="9"/>
            <color indexed="81"/>
            <rFont val="Tahoma"/>
            <family val="2"/>
          </rPr>
          <t>Allen, Thomas (Research):</t>
        </r>
        <r>
          <rPr>
            <sz val="9"/>
            <color indexed="81"/>
            <rFont val="Tahoma"/>
            <family val="2"/>
          </rPr>
          <t xml:space="preserve">
Per 12/5/16 8-K, 198m shares at Park</t>
        </r>
      </text>
    </comment>
    <comment ref="J85" authorId="0">
      <text>
        <r>
          <rPr>
            <b/>
            <sz val="9"/>
            <color indexed="81"/>
            <rFont val="Tahoma"/>
            <family val="2"/>
          </rPr>
          <t>Allen, Thomas (Research):</t>
        </r>
        <r>
          <rPr>
            <sz val="9"/>
            <color indexed="81"/>
            <rFont val="Tahoma"/>
            <family val="2"/>
          </rPr>
          <t xml:space="preserve">
Mgmt noted on 3Q16 call margins likely shouldn't change for ownership segment with low RevPAR growth</t>
        </r>
      </text>
    </comment>
    <comment ref="I87" authorId="1">
      <text>
        <r>
          <rPr>
            <b/>
            <sz val="9"/>
            <color indexed="81"/>
            <rFont val="Tahoma"/>
            <family val="2"/>
          </rPr>
          <t>Savino, Mark (Research):</t>
        </r>
        <r>
          <rPr>
            <sz val="9"/>
            <color indexed="81"/>
            <rFont val="Tahoma"/>
            <family val="2"/>
          </rPr>
          <t xml:space="preserve">
3Q16: $750-780m
2Q16: $770-780m</t>
        </r>
      </text>
    </comment>
    <comment ref="I90" authorId="0">
      <text>
        <r>
          <rPr>
            <b/>
            <sz val="9"/>
            <color indexed="81"/>
            <rFont val="Tahoma"/>
            <family val="2"/>
          </rPr>
          <t>Allen, Thomas (Research):</t>
        </r>
        <r>
          <rPr>
            <sz val="9"/>
            <color indexed="81"/>
            <rFont val="Tahoma"/>
            <family val="2"/>
          </rPr>
          <t xml:space="preserve">
Investor presentation says $100-200m</t>
        </r>
      </text>
    </comment>
    <comment ref="I94" authorId="1">
      <text>
        <r>
          <rPr>
            <b/>
            <sz val="9"/>
            <color indexed="81"/>
            <rFont val="Tahoma"/>
            <family val="2"/>
          </rPr>
          <t>Savino, Mark (Research):</t>
        </r>
        <r>
          <rPr>
            <sz val="9"/>
            <color indexed="81"/>
            <rFont val="Tahoma"/>
            <family val="2"/>
          </rPr>
          <t xml:space="preserve">
Per mgmt, likely towards the higher end</t>
        </r>
      </text>
    </comment>
    <comment ref="I147" authorId="1">
      <text>
        <r>
          <rPr>
            <b/>
            <sz val="9"/>
            <color indexed="81"/>
            <rFont val="Tahoma"/>
            <family val="2"/>
          </rPr>
          <t>Savino, Mark (Research):</t>
        </r>
        <r>
          <rPr>
            <sz val="9"/>
            <color indexed="81"/>
            <rFont val="Tahoma"/>
            <family val="2"/>
          </rPr>
          <t xml:space="preserve">
Plug, mostly E&amp;P purge</t>
        </r>
      </text>
    </comment>
    <comment ref="D151" authorId="0">
      <text>
        <r>
          <rPr>
            <b/>
            <sz val="9"/>
            <color indexed="81"/>
            <rFont val="Tahoma"/>
            <family val="2"/>
          </rPr>
          <t>Allen, Thomas (Research):</t>
        </r>
        <r>
          <rPr>
            <sz val="9"/>
            <color indexed="81"/>
            <rFont val="Tahoma"/>
            <family val="2"/>
          </rPr>
          <t xml:space="preserve">
8.4% of revs, but $15m for portecachere / retail re-development at Hilton NY</t>
        </r>
      </text>
    </comment>
    <comment ref="I151" authorId="1">
      <text>
        <r>
          <rPr>
            <b/>
            <sz val="9"/>
            <color indexed="81"/>
            <rFont val="Tahoma"/>
            <family val="2"/>
          </rPr>
          <t>Savino, Mark (Research):</t>
        </r>
        <r>
          <rPr>
            <sz val="9"/>
            <color indexed="81"/>
            <rFont val="Tahoma"/>
            <family val="2"/>
          </rPr>
          <t xml:space="preserve">
Per mgmt, likely ~$200m, have spend $1.5B on portfolio from 2008 to 2016, not underspent, &gt;10% of revenue during some periods of that time
Maint capex should be 5.5-6% of revs</t>
        </r>
      </text>
    </comment>
    <comment ref="J151" authorId="1">
      <text>
        <r>
          <rPr>
            <b/>
            <sz val="9"/>
            <color indexed="81"/>
            <rFont val="Tahoma"/>
            <family val="2"/>
          </rPr>
          <t>Savino, Mark (Research):</t>
        </r>
        <r>
          <rPr>
            <sz val="9"/>
            <color indexed="81"/>
            <rFont val="Tahoma"/>
            <family val="2"/>
          </rPr>
          <t xml:space="preserve">
Per mgmt, likely ~$200m, have spend $1.5B on portfolio from 2008 to 2016, not underspent, &gt;10% of revenue during some periods of that time
Maint capex should be 5.5-6% of revs</t>
        </r>
      </text>
    </comment>
    <comment ref="K151" authorId="1">
      <text>
        <r>
          <rPr>
            <b/>
            <sz val="9"/>
            <color indexed="81"/>
            <rFont val="Tahoma"/>
            <family val="2"/>
          </rPr>
          <t>Savino, Mark (Research):</t>
        </r>
        <r>
          <rPr>
            <sz val="9"/>
            <color indexed="81"/>
            <rFont val="Tahoma"/>
            <family val="2"/>
          </rPr>
          <t xml:space="preserve">
Per mgmt, likely ~$200m, have spend $1.5B on portfolio from 2008 to 2016, not underspent, &gt;10% of revenue during some periods of that time
Maint capex should be 5.5-6% of revs</t>
        </r>
      </text>
    </comment>
    <comment ref="L151" authorId="1">
      <text>
        <r>
          <rPr>
            <b/>
            <sz val="9"/>
            <color indexed="81"/>
            <rFont val="Tahoma"/>
            <family val="2"/>
          </rPr>
          <t>Savino, Mark (Research):</t>
        </r>
        <r>
          <rPr>
            <sz val="9"/>
            <color indexed="81"/>
            <rFont val="Tahoma"/>
            <family val="2"/>
          </rPr>
          <t xml:space="preserve">
Per mgmt, likely ~$200m, have spend $1.5B on portfolio from 2008 to 2016, not underspent, &gt;10% of revenue during some periods of that time
Maint capex should be 5.5-6% of revs</t>
        </r>
      </text>
    </comment>
    <comment ref="M151" authorId="1">
      <text>
        <r>
          <rPr>
            <b/>
            <sz val="9"/>
            <color indexed="81"/>
            <rFont val="Tahoma"/>
            <family val="2"/>
          </rPr>
          <t>Savino, Mark (Research):</t>
        </r>
        <r>
          <rPr>
            <sz val="9"/>
            <color indexed="81"/>
            <rFont val="Tahoma"/>
            <family val="2"/>
          </rPr>
          <t xml:space="preserve">
Per mgmt, likely ~$200m, have spend $1.5B on portfolio from 2008 to 2016, not underspent, &gt;10% of revenue during some periods of that time
Maint capex should be 5.5-6% of revs</t>
        </r>
      </text>
    </comment>
    <comment ref="I196" authorId="1">
      <text>
        <r>
          <rPr>
            <b/>
            <sz val="9"/>
            <color indexed="81"/>
            <rFont val="Tahoma"/>
            <family val="2"/>
          </rPr>
          <t>Savino, Mark (Research):</t>
        </r>
        <r>
          <rPr>
            <sz val="9"/>
            <color indexed="81"/>
            <rFont val="Tahoma"/>
            <family val="2"/>
          </rPr>
          <t xml:space="preserve">
Per 12/8/16 investor day</t>
        </r>
      </text>
    </comment>
  </commentList>
</comments>
</file>

<file path=xl/comments6.xml><?xml version="1.0" encoding="utf-8"?>
<comments xmlns="http://schemas.openxmlformats.org/spreadsheetml/2006/main">
  <authors>
    <author>Savino, Mark (Research)</author>
    <author>Allen, Thomas (Research)</author>
  </authors>
  <commentList>
    <comment ref="J12" authorId="0">
      <text>
        <r>
          <rPr>
            <b/>
            <sz val="9"/>
            <color indexed="81"/>
            <rFont val="Tahoma"/>
            <family val="2"/>
          </rPr>
          <t>Savino, Mark (Research):</t>
        </r>
        <r>
          <rPr>
            <sz val="9"/>
            <color indexed="81"/>
            <rFont val="Tahoma"/>
            <family val="2"/>
          </rPr>
          <t xml:space="preserve">
Includes $28m of incremental management fees</t>
        </r>
      </text>
    </comment>
    <comment ref="J27" authorId="0">
      <text>
        <r>
          <rPr>
            <b/>
            <sz val="9"/>
            <color indexed="81"/>
            <rFont val="Tahoma"/>
            <family val="2"/>
          </rPr>
          <t>Savino, Mark (Research):</t>
        </r>
        <r>
          <rPr>
            <sz val="9"/>
            <color indexed="81"/>
            <rFont val="Tahoma"/>
            <family val="2"/>
          </rPr>
          <t xml:space="preserve">
Includes $28m of incremental SG&amp;A, but 2016 included $18m of costs associated with spin-off</t>
        </r>
      </text>
    </comment>
    <comment ref="I47" authorId="1">
      <text>
        <r>
          <rPr>
            <b/>
            <sz val="9"/>
            <color indexed="81"/>
            <rFont val="Tahoma"/>
            <family val="2"/>
          </rPr>
          <t>Allen, Thomas (Research):</t>
        </r>
        <r>
          <rPr>
            <sz val="9"/>
            <color indexed="81"/>
            <rFont val="Tahoma"/>
            <family val="2"/>
          </rPr>
          <t xml:space="preserve">
Per 12/5/16 8-K, 99m shares at HGV</t>
        </r>
      </text>
    </comment>
    <comment ref="I60" authorId="0">
      <text>
        <r>
          <rPr>
            <b/>
            <sz val="9"/>
            <color indexed="81"/>
            <rFont val="Tahoma"/>
            <family val="2"/>
          </rPr>
          <t>Savino, Mark (Research):</t>
        </r>
        <r>
          <rPr>
            <sz val="9"/>
            <color indexed="81"/>
            <rFont val="Tahoma"/>
            <family val="2"/>
          </rPr>
          <t xml:space="preserve">
Includes $18m of costs associated with spin-off transaction</t>
        </r>
      </text>
    </comment>
    <comment ref="I70" authorId="0">
      <text>
        <r>
          <rPr>
            <b/>
            <sz val="9"/>
            <color indexed="81"/>
            <rFont val="Tahoma"/>
            <family val="2"/>
          </rPr>
          <t>Savino, Mark (Research):</t>
        </r>
        <r>
          <rPr>
            <sz val="9"/>
            <color indexed="81"/>
            <rFont val="Tahoma"/>
            <family val="2"/>
          </rPr>
          <t xml:space="preserve">
3Q16: $370-390m
2Q16: $370-390m</t>
        </r>
      </text>
    </comment>
    <comment ref="J128" authorId="1">
      <text>
        <r>
          <rPr>
            <b/>
            <sz val="9"/>
            <color indexed="81"/>
            <rFont val="Tahoma"/>
            <family val="2"/>
          </rPr>
          <t>Allen, Thomas (Research):</t>
        </r>
        <r>
          <rPr>
            <sz val="9"/>
            <color indexed="81"/>
            <rFont val="Tahoma"/>
            <family val="2"/>
          </rPr>
          <t xml:space="preserve">
Will likely increase spending to grow their developed portfolio more, to add to 3rd party developed growth</t>
        </r>
      </text>
    </comment>
    <comment ref="J134" authorId="0">
      <text>
        <r>
          <rPr>
            <b/>
            <sz val="9"/>
            <color indexed="81"/>
            <rFont val="Tahoma"/>
            <family val="2"/>
          </rPr>
          <t>Savino, Mark (Research):</t>
        </r>
        <r>
          <rPr>
            <sz val="9"/>
            <color indexed="81"/>
            <rFont val="Tahoma"/>
            <family val="2"/>
          </rPr>
          <t xml:space="preserve">
Expect to issue a total of $450m of non-recourse timeshare facility, but $300m already included in pro forma adjusments</t>
        </r>
      </text>
    </comment>
    <comment ref="I177" authorId="0">
      <text>
        <r>
          <rPr>
            <b/>
            <sz val="9"/>
            <color indexed="81"/>
            <rFont val="Tahoma"/>
            <family val="2"/>
          </rPr>
          <t>Savino, Mark (Research):</t>
        </r>
        <r>
          <rPr>
            <sz val="9"/>
            <color indexed="81"/>
            <rFont val="Tahoma"/>
            <family val="2"/>
          </rPr>
          <t xml:space="preserve">
Includes $300m pro forma adjustment for non-recourse debt being dividended back to Hilton parent</t>
        </r>
      </text>
    </comment>
  </commentList>
</comments>
</file>

<file path=xl/comments7.xml><?xml version="1.0" encoding="utf-8"?>
<comments xmlns="http://schemas.openxmlformats.org/spreadsheetml/2006/main">
  <authors>
    <author>Chaudhry, Baset A (Research)</author>
    <author>Savino, Mark (Research)</author>
    <author>Zheng, Chaodan (Research)</author>
    <author>Allen, Thomas (Research)</author>
  </authors>
  <commentList>
    <comment ref="C24" authorId="0">
      <text>
        <r>
          <rPr>
            <b/>
            <sz val="9"/>
            <color indexed="81"/>
            <rFont val="Tahoma"/>
            <family val="2"/>
          </rPr>
          <t>Chaudhry, Baset A (Research):</t>
        </r>
        <r>
          <rPr>
            <sz val="9"/>
            <color indexed="81"/>
            <rFont val="Tahoma"/>
            <family val="2"/>
          </rPr>
          <t xml:space="preserve">
Systemwide RevPAR
</t>
        </r>
      </text>
    </comment>
    <comment ref="C30" authorId="0">
      <text>
        <r>
          <rPr>
            <b/>
            <sz val="9"/>
            <color indexed="81"/>
            <rFont val="Tahoma"/>
            <family val="2"/>
          </rPr>
          <t>Chaudhry, Baset A (Research):</t>
        </r>
        <r>
          <rPr>
            <sz val="9"/>
            <color indexed="81"/>
            <rFont val="Tahoma"/>
            <family val="2"/>
          </rPr>
          <t xml:space="preserve">
Systemwide RevPAR
used US for Americas</t>
        </r>
      </text>
    </comment>
    <comment ref="I87" authorId="0">
      <text>
        <r>
          <rPr>
            <b/>
            <sz val="9"/>
            <color indexed="81"/>
            <rFont val="Tahoma"/>
            <family val="2"/>
          </rPr>
          <t>Chaudhry, Baset A (Research):</t>
        </r>
        <r>
          <rPr>
            <sz val="9"/>
            <color indexed="81"/>
            <rFont val="Tahoma"/>
            <family val="2"/>
          </rPr>
          <t xml:space="preserve">
Stronger than 3Q, robust group business expected. Mse of 6.5% in 4Q (0.5% historical error)</t>
        </r>
      </text>
    </comment>
    <comment ref="BP203" authorId="1">
      <text>
        <r>
          <rPr>
            <b/>
            <sz val="9"/>
            <color indexed="81"/>
            <rFont val="Tahoma"/>
            <family val="2"/>
          </rPr>
          <t>Savino, Mark (Research):</t>
        </r>
        <r>
          <rPr>
            <sz val="9"/>
            <color indexed="81"/>
            <rFont val="Tahoma"/>
            <family val="2"/>
          </rPr>
          <t xml:space="preserve">
$351m of depreciation in 2015, and ~90% of current PPE is related to land and building</t>
        </r>
      </text>
    </comment>
    <comment ref="EC440" authorId="2">
      <text>
        <r>
          <rPr>
            <b/>
            <sz val="9"/>
            <color indexed="81"/>
            <rFont val="Tahoma"/>
            <family val="2"/>
          </rPr>
          <t>Zheng, Chaodan (Research):</t>
        </r>
        <r>
          <rPr>
            <sz val="9"/>
            <color indexed="81"/>
            <rFont val="Tahoma"/>
            <family val="2"/>
          </rPr>
          <t xml:space="preserve">
Nov 4 2016 Investor Presentation</t>
        </r>
      </text>
    </comment>
    <comment ref="EK469" authorId="2">
      <text>
        <r>
          <rPr>
            <b/>
            <sz val="9"/>
            <color indexed="81"/>
            <rFont val="Tahoma"/>
            <family val="2"/>
          </rPr>
          <t>Zheng, Chaodan (Research):</t>
        </r>
        <r>
          <rPr>
            <sz val="9"/>
            <color indexed="81"/>
            <rFont val="Tahoma"/>
            <family val="2"/>
          </rPr>
          <t xml:space="preserve">
Nov 4 2016 Investor Presentation</t>
        </r>
      </text>
    </comment>
    <comment ref="ET497" authorId="2">
      <text>
        <r>
          <rPr>
            <b/>
            <sz val="9"/>
            <color indexed="81"/>
            <rFont val="Tahoma"/>
            <family val="2"/>
          </rPr>
          <t>Zheng, Chaodan (Research):</t>
        </r>
        <r>
          <rPr>
            <sz val="9"/>
            <color indexed="81"/>
            <rFont val="Tahoma"/>
            <family val="2"/>
          </rPr>
          <t xml:space="preserve">
2016 Investor Day
pg. 19</t>
        </r>
      </text>
    </comment>
    <comment ref="FE540" authorId="3">
      <text>
        <r>
          <rPr>
            <b/>
            <sz val="9"/>
            <color indexed="81"/>
            <rFont val="Tahoma"/>
            <family val="2"/>
          </rPr>
          <t>Allen, Thomas (Research):</t>
        </r>
        <r>
          <rPr>
            <sz val="9"/>
            <color indexed="81"/>
            <rFont val="Tahoma"/>
            <family val="2"/>
          </rPr>
          <t xml:space="preserve">
$100-200</t>
        </r>
      </text>
    </comment>
    <comment ref="GX633" authorId="2">
      <text>
        <r>
          <rPr>
            <b/>
            <sz val="9"/>
            <color indexed="81"/>
            <rFont val="Tahoma"/>
            <family val="2"/>
          </rPr>
          <t>Zheng, Chaodan (Research):</t>
        </r>
        <r>
          <rPr>
            <sz val="9"/>
            <color indexed="81"/>
            <rFont val="Tahoma"/>
            <family val="2"/>
          </rPr>
          <t xml:space="preserve">
3 year forward sale of points</t>
        </r>
      </text>
    </comment>
    <comment ref="GW640" authorId="2">
      <text>
        <r>
          <rPr>
            <b/>
            <sz val="9"/>
            <color indexed="81"/>
            <rFont val="Tahoma"/>
            <family val="2"/>
          </rPr>
          <t>Zheng, Chaodan (Research):</t>
        </r>
        <r>
          <rPr>
            <sz val="9"/>
            <color indexed="81"/>
            <rFont val="Tahoma"/>
            <family val="2"/>
          </rPr>
          <t xml:space="preserve">
assuming branding fees are 13.3% of contributions as is the case for MAR</t>
        </r>
      </text>
    </comment>
    <comment ref="GW644" authorId="2">
      <text>
        <r>
          <rPr>
            <b/>
            <sz val="9"/>
            <color indexed="81"/>
            <rFont val="Tahoma"/>
            <family val="2"/>
          </rPr>
          <t>Zheng, Chaodan (Research):</t>
        </r>
        <r>
          <rPr>
            <sz val="9"/>
            <color indexed="81"/>
            <rFont val="Tahoma"/>
            <family val="2"/>
          </rPr>
          <t xml:space="preserve">
MAR received 2.2% contributions as a % of its total credit card spend of $60B from its co-brand partners. However, we note that HLT's contract is older than MAR's so it's possible that HLT received an even lower contribution %. We assume 2% here to account for this</t>
        </r>
      </text>
    </comment>
    <comment ref="HA654" authorId="2">
      <text>
        <r>
          <rPr>
            <b/>
            <sz val="9"/>
            <color indexed="81"/>
            <rFont val="Tahoma"/>
            <family val="2"/>
          </rPr>
          <t>Zheng, Chaodan (Research):</t>
        </r>
        <r>
          <rPr>
            <sz val="9"/>
            <color indexed="81"/>
            <rFont val="Tahoma"/>
            <family val="2"/>
          </rPr>
          <t xml:space="preserve">
25bps lower than the 2.16% that MAR receives as % of total card spend</t>
        </r>
      </text>
    </comment>
    <comment ref="HA656" authorId="2">
      <text>
        <r>
          <rPr>
            <b/>
            <sz val="9"/>
            <color indexed="81"/>
            <rFont val="Tahoma"/>
            <family val="2"/>
          </rPr>
          <t>Zheng, Chaodan (Research):</t>
        </r>
        <r>
          <rPr>
            <sz val="9"/>
            <color indexed="81"/>
            <rFont val="Tahoma"/>
            <family val="2"/>
          </rPr>
          <t xml:space="preserve">
based off of what MAR parent receives: 13.3% of total contributions</t>
        </r>
      </text>
    </comment>
    <comment ref="IE711" authorId="2">
      <text>
        <r>
          <rPr>
            <b/>
            <sz val="9"/>
            <color indexed="81"/>
            <rFont val="Tahoma"/>
            <family val="2"/>
          </rPr>
          <t>Zheng, Chaodan (Research):</t>
        </r>
        <r>
          <rPr>
            <sz val="9"/>
            <color indexed="81"/>
            <rFont val="Tahoma"/>
            <family val="2"/>
          </rPr>
          <t xml:space="preserve">
6/1/17 call with Christian Charnaux: IMFs would be 6% of fees</t>
        </r>
      </text>
    </comment>
    <comment ref="IM741" authorId="1">
      <text>
        <r>
          <rPr>
            <b/>
            <sz val="9"/>
            <color indexed="81"/>
            <rFont val="Tahoma"/>
            <family val="2"/>
          </rPr>
          <t>Savino, Mark (Research):</t>
        </r>
        <r>
          <rPr>
            <sz val="9"/>
            <color indexed="81"/>
            <rFont val="Tahoma"/>
            <family val="2"/>
          </rPr>
          <t xml:space="preserve">
2017e to reflect spin</t>
        </r>
      </text>
    </comment>
    <comment ref="JF820" authorId="2">
      <text>
        <r>
          <rPr>
            <b/>
            <sz val="9"/>
            <color indexed="81"/>
            <rFont val="Tahoma"/>
            <family val="2"/>
          </rPr>
          <t>Zheng, Chaodan (Research):</t>
        </r>
        <r>
          <rPr>
            <sz val="9"/>
            <color indexed="81"/>
            <rFont val="Tahoma"/>
            <family val="2"/>
          </rPr>
          <t xml:space="preserve">
3/8/17 Investor Day: Delta was 7% of 2H16 billings</t>
        </r>
      </text>
    </comment>
  </commentList>
</comments>
</file>

<file path=xl/comments8.xml><?xml version="1.0" encoding="utf-8"?>
<comments xmlns="http://schemas.openxmlformats.org/spreadsheetml/2006/main">
  <authors>
    <author>thallen</author>
    <author>Slattery, Jill N (Research)</author>
    <author>jills</author>
    <author>Chaudhry, Baset A (Research)</author>
  </authors>
  <commentList>
    <comment ref="AR107" authorId="0">
      <text>
        <r>
          <rPr>
            <b/>
            <sz val="8"/>
            <color indexed="81"/>
            <rFont val="Tahoma"/>
            <family val="2"/>
          </rPr>
          <t>thallen:</t>
        </r>
        <r>
          <rPr>
            <sz val="8"/>
            <color indexed="81"/>
            <rFont val="Tahoma"/>
            <family val="2"/>
          </rPr>
          <t xml:space="preserve">
Ex. Bal Harbor?</t>
        </r>
      </text>
    </comment>
    <comment ref="DM253" authorId="1">
      <text>
        <r>
          <rPr>
            <b/>
            <sz val="9"/>
            <color indexed="81"/>
            <rFont val="Tahoma"/>
            <family val="2"/>
          </rPr>
          <t>Slattery, Jill N (Research):</t>
        </r>
        <r>
          <rPr>
            <sz val="9"/>
            <color indexed="81"/>
            <rFont val="Tahoma"/>
            <family val="2"/>
          </rPr>
          <t xml:space="preserve">
assumes "other" owned assets generate 1/2 owned EBITDA; adjusts for lower corporate exp based on prorata share of corporate expense</t>
        </r>
      </text>
    </comment>
    <comment ref="DN253" authorId="1">
      <text>
        <r>
          <rPr>
            <b/>
            <sz val="9"/>
            <color indexed="81"/>
            <rFont val="Tahoma"/>
            <family val="2"/>
          </rPr>
          <t>Slattery, Jill N (Research):</t>
        </r>
        <r>
          <rPr>
            <sz val="9"/>
            <color indexed="81"/>
            <rFont val="Tahoma"/>
            <family val="2"/>
          </rPr>
          <t xml:space="preserve">
assumes "other" owned assets generate 1/2 owned EBITDA; adjusts for lower corporate exp based on prorata share of corporate expense</t>
        </r>
      </text>
    </comment>
    <comment ref="EY320" authorId="1">
      <text>
        <r>
          <rPr>
            <b/>
            <sz val="9"/>
            <color indexed="81"/>
            <rFont val="Tahoma"/>
            <family val="2"/>
          </rPr>
          <t>Slattery, Jill N (Research):</t>
        </r>
        <r>
          <rPr>
            <sz val="9"/>
            <color indexed="81"/>
            <rFont val="Tahoma"/>
            <family val="2"/>
          </rPr>
          <t xml:space="preserve">
core margin, ex timeshare</t>
        </r>
      </text>
    </comment>
    <comment ref="EY330" authorId="1">
      <text>
        <r>
          <rPr>
            <b/>
            <sz val="9"/>
            <color indexed="81"/>
            <rFont val="Tahoma"/>
            <family val="2"/>
          </rPr>
          <t>Slattery, Jill N (Research):</t>
        </r>
        <r>
          <rPr>
            <sz val="9"/>
            <color indexed="81"/>
            <rFont val="Tahoma"/>
            <family val="2"/>
          </rPr>
          <t xml:space="preserve">
core margin, ex timeshare</t>
        </r>
      </text>
    </comment>
    <comment ref="FF358" authorId="1">
      <text>
        <r>
          <rPr>
            <b/>
            <sz val="9"/>
            <color indexed="81"/>
            <rFont val="Tahoma"/>
            <family val="2"/>
          </rPr>
          <t>Slattery, Jill N (Research):</t>
        </r>
        <r>
          <rPr>
            <sz val="9"/>
            <color indexed="81"/>
            <rFont val="Tahoma"/>
            <family val="2"/>
          </rPr>
          <t xml:space="preserve">
assumed tax rate equivalent to company's corporate tax rate</t>
        </r>
      </text>
    </comment>
    <comment ref="FF368" authorId="1">
      <text>
        <r>
          <rPr>
            <b/>
            <sz val="9"/>
            <color indexed="81"/>
            <rFont val="Tahoma"/>
            <family val="2"/>
          </rPr>
          <t>Slattery, Jill N (Research):</t>
        </r>
        <r>
          <rPr>
            <sz val="9"/>
            <color indexed="81"/>
            <rFont val="Tahoma"/>
            <family val="2"/>
          </rPr>
          <t xml:space="preserve">
assumed tax rate equivalent to company's corporate tax rate (excl special items)</t>
        </r>
      </text>
    </comment>
    <comment ref="FL377" authorId="1">
      <text>
        <r>
          <rPr>
            <b/>
            <sz val="9"/>
            <color indexed="81"/>
            <rFont val="Tahoma"/>
            <family val="2"/>
          </rPr>
          <t>Slattery, Jill N (Research):</t>
        </r>
        <r>
          <rPr>
            <sz val="9"/>
            <color indexed="81"/>
            <rFont val="Tahoma"/>
            <family val="2"/>
          </rPr>
          <t xml:space="preserve">
assumed tax rate equivalent to company's corporate tax rate</t>
        </r>
      </text>
    </comment>
    <comment ref="FM381" authorId="1">
      <text>
        <r>
          <rPr>
            <b/>
            <sz val="9"/>
            <color indexed="81"/>
            <rFont val="Tahoma"/>
            <family val="2"/>
          </rPr>
          <t>Slattery, Jill N (Research):</t>
        </r>
        <r>
          <rPr>
            <sz val="9"/>
            <color indexed="81"/>
            <rFont val="Tahoma"/>
            <family val="2"/>
          </rPr>
          <t xml:space="preserve">
analyst presentation 11/05/13, slide 39 footnote (d) references timeshare capex for inventory additions of $56 for 2012</t>
        </r>
      </text>
    </comment>
    <comment ref="FN381" authorId="1">
      <text>
        <r>
          <rPr>
            <b/>
            <sz val="9"/>
            <color indexed="81"/>
            <rFont val="Tahoma"/>
            <family val="2"/>
          </rPr>
          <t>Slattery, Jill N (Research):</t>
        </r>
        <r>
          <rPr>
            <sz val="9"/>
            <color indexed="81"/>
            <rFont val="Tahoma"/>
            <family val="2"/>
          </rPr>
          <t xml:space="preserve">
per mgmt guidance
analyst presentation 11/05/13, slide 39 footnote (d) references timeshare capex for inventory additions of $102 2013E</t>
        </r>
      </text>
    </comment>
    <comment ref="FO381" authorId="1">
      <text>
        <r>
          <rPr>
            <b/>
            <sz val="9"/>
            <color indexed="81"/>
            <rFont val="Tahoma"/>
            <family val="2"/>
          </rPr>
          <t>Slattery, Jill N (Research):</t>
        </r>
        <r>
          <rPr>
            <sz val="9"/>
            <color indexed="81"/>
            <rFont val="Tahoma"/>
            <family val="2"/>
          </rPr>
          <t xml:space="preserve">
per mgmt guidance
analyst presentation 11/05/13, slide 37 references mgmt's 2014E $75m gross timeshare capex</t>
        </r>
      </text>
    </comment>
    <comment ref="FP381" authorId="1">
      <text>
        <r>
          <rPr>
            <b/>
            <sz val="9"/>
            <color indexed="81"/>
            <rFont val="Tahoma"/>
            <family val="2"/>
          </rPr>
          <t>Slattery, Jill N (Research):</t>
        </r>
        <r>
          <rPr>
            <sz val="9"/>
            <color indexed="81"/>
            <rFont val="Tahoma"/>
            <family val="2"/>
          </rPr>
          <t xml:space="preserve">
per mgmt guidance</t>
        </r>
      </text>
    </comment>
    <comment ref="FL387" authorId="1">
      <text>
        <r>
          <rPr>
            <b/>
            <sz val="9"/>
            <color indexed="81"/>
            <rFont val="Tahoma"/>
            <family val="2"/>
          </rPr>
          <t>Slattery, Jill N (Research):</t>
        </r>
        <r>
          <rPr>
            <sz val="9"/>
            <color indexed="81"/>
            <rFont val="Tahoma"/>
            <family val="2"/>
          </rPr>
          <t xml:space="preserve">
assumed tax rate equivalent to company's corporate tax rate</t>
        </r>
      </text>
    </comment>
    <comment ref="FS391" authorId="2">
      <text>
        <r>
          <rPr>
            <b/>
            <sz val="8"/>
            <color indexed="81"/>
            <rFont val="Tahoma"/>
            <family val="2"/>
          </rPr>
          <t>jills:</t>
        </r>
        <r>
          <rPr>
            <sz val="8"/>
            <color indexed="81"/>
            <rFont val="Tahoma"/>
            <family val="2"/>
          </rPr>
          <t xml:space="preserve">
includes JVs</t>
        </r>
      </text>
    </comment>
    <comment ref="GD414" authorId="1">
      <text>
        <r>
          <rPr>
            <b/>
            <sz val="9"/>
            <color indexed="81"/>
            <rFont val="Tahoma"/>
            <family val="2"/>
          </rPr>
          <t>Slattery, Jill N (Research):</t>
        </r>
        <r>
          <rPr>
            <sz val="9"/>
            <color indexed="81"/>
            <rFont val="Tahoma"/>
            <family val="2"/>
          </rPr>
          <t xml:space="preserve">
assumed tax rate equivalent to company's corporate tax rate</t>
        </r>
      </text>
    </comment>
    <comment ref="GD422" authorId="1">
      <text>
        <r>
          <rPr>
            <b/>
            <sz val="9"/>
            <color indexed="81"/>
            <rFont val="Tahoma"/>
            <family val="2"/>
          </rPr>
          <t>Slattery, Jill N (Research):</t>
        </r>
        <r>
          <rPr>
            <sz val="9"/>
            <color indexed="81"/>
            <rFont val="Tahoma"/>
            <family val="2"/>
          </rPr>
          <t xml:space="preserve">
assumed tax rate equivalent to company's corporate tax rate</t>
        </r>
      </text>
    </comment>
    <comment ref="GK424" authorId="1">
      <text>
        <r>
          <rPr>
            <b/>
            <sz val="9"/>
            <color indexed="81"/>
            <rFont val="Tahoma"/>
            <family val="2"/>
          </rPr>
          <t>Slattery, Jill N (Research):</t>
        </r>
        <r>
          <rPr>
            <sz val="9"/>
            <color indexed="81"/>
            <rFont val="Tahoma"/>
            <family val="2"/>
          </rPr>
          <t xml:space="preserve">
per 3Q13 financials; excludes eight mixed-use and one unconsolidated JV</t>
        </r>
      </text>
    </comment>
    <comment ref="GI427" authorId="1">
      <text>
        <r>
          <rPr>
            <b/>
            <sz val="9"/>
            <color indexed="81"/>
            <rFont val="Tahoma"/>
            <family val="2"/>
          </rPr>
          <t>Slattery, Jill N (Research):</t>
        </r>
        <r>
          <rPr>
            <sz val="9"/>
            <color indexed="81"/>
            <rFont val="Tahoma"/>
            <family val="2"/>
          </rPr>
          <t xml:space="preserve">
also includes TX, AZ, NV, and Puerto Rico</t>
        </r>
      </text>
    </comment>
    <comment ref="GK427" authorId="1">
      <text>
        <r>
          <rPr>
            <b/>
            <sz val="9"/>
            <color indexed="81"/>
            <rFont val="Tahoma"/>
            <family val="2"/>
          </rPr>
          <t>Slattery, Jill N (Research):</t>
        </r>
        <r>
          <rPr>
            <sz val="9"/>
            <color indexed="81"/>
            <rFont val="Tahoma"/>
            <family val="2"/>
          </rPr>
          <t xml:space="preserve">
also includes AZ, SC, Cancun, the Bahamas, and St. John</t>
        </r>
      </text>
    </comment>
    <comment ref="GL427" authorId="1">
      <text>
        <r>
          <rPr>
            <b/>
            <sz val="9"/>
            <color indexed="81"/>
            <rFont val="Tahoma"/>
            <family val="2"/>
          </rPr>
          <t>Slattery, Jill N (Research):</t>
        </r>
        <r>
          <rPr>
            <sz val="9"/>
            <color indexed="81"/>
            <rFont val="Tahoma"/>
            <family val="2"/>
          </rPr>
          <t xml:space="preserve">
small European and Asian exposure</t>
        </r>
      </text>
    </comment>
    <comment ref="GI428" authorId="1">
      <text>
        <r>
          <rPr>
            <b/>
            <sz val="9"/>
            <color indexed="81"/>
            <rFont val="Tahoma"/>
            <family val="2"/>
          </rPr>
          <t>Slattery, Jill N (Research):</t>
        </r>
        <r>
          <rPr>
            <sz val="9"/>
            <color indexed="81"/>
            <rFont val="Tahoma"/>
            <family val="2"/>
          </rPr>
          <t xml:space="preserve">
included in corporate and other revenue</t>
        </r>
      </text>
    </comment>
    <comment ref="GK428" authorId="1">
      <text>
        <r>
          <rPr>
            <b/>
            <sz val="9"/>
            <color indexed="81"/>
            <rFont val="Tahoma"/>
            <family val="2"/>
          </rPr>
          <t>Slattery, Jill N (Research):</t>
        </r>
        <r>
          <rPr>
            <sz val="9"/>
            <color indexed="81"/>
            <rFont val="Tahoma"/>
            <family val="2"/>
          </rPr>
          <t xml:space="preserve">
includes VOI and residential; excludes Bal Harbour</t>
        </r>
      </text>
    </comment>
    <comment ref="GL428" authorId="1">
      <text>
        <r>
          <rPr>
            <b/>
            <sz val="9"/>
            <color indexed="81"/>
            <rFont val="Tahoma"/>
            <family val="2"/>
          </rPr>
          <t>Slattery, Jill N (Research):</t>
        </r>
        <r>
          <rPr>
            <sz val="9"/>
            <color indexed="81"/>
            <rFont val="Tahoma"/>
            <family val="2"/>
          </rPr>
          <t xml:space="preserve">
$1,648m per 4Q12 release, 10k, and bloomberg
$1,637m per consensus metrix
</t>
        </r>
      </text>
    </comment>
    <comment ref="GK429" authorId="1">
      <text>
        <r>
          <rPr>
            <b/>
            <sz val="9"/>
            <color indexed="81"/>
            <rFont val="Tahoma"/>
            <family val="2"/>
          </rPr>
          <t>Slattery, Jill N (Research):</t>
        </r>
        <r>
          <rPr>
            <sz val="9"/>
            <color indexed="81"/>
            <rFont val="Tahoma"/>
            <family val="2"/>
          </rPr>
          <t xml:space="preserve">
includes VOI and residential; excludes Bal Harbour</t>
        </r>
      </text>
    </comment>
    <comment ref="GL429" authorId="1">
      <text>
        <r>
          <rPr>
            <b/>
            <sz val="9"/>
            <color indexed="81"/>
            <rFont val="Tahoma"/>
            <family val="2"/>
          </rPr>
          <t>Slattery, Jill N (Research):</t>
        </r>
        <r>
          <rPr>
            <sz val="9"/>
            <color indexed="81"/>
            <rFont val="Tahoma"/>
            <family val="2"/>
          </rPr>
          <t xml:space="preserve">
$138m per 4Q12 release adjusted EBITDA and consensus metrix
- add back $86m G&amp;A to adjust for comparability (stand-alone company vs. segment); $86m reflects adjusted G&amp;A per quarterly press releases</t>
        </r>
      </text>
    </comment>
    <comment ref="IL592" authorId="3">
      <text>
        <r>
          <rPr>
            <b/>
            <sz val="9"/>
            <color indexed="81"/>
            <rFont val="Tahoma"/>
            <family val="2"/>
          </rPr>
          <t>1Q15:</t>
        </r>
        <r>
          <rPr>
            <sz val="9"/>
            <color indexed="81"/>
            <rFont val="Tahoma"/>
            <family val="2"/>
          </rPr>
          <t xml:space="preserve">
Sold the Hilton Sydney for A$442m, expected to close in 2H15</t>
        </r>
      </text>
    </comment>
    <comment ref="IL593" authorId="3">
      <text>
        <r>
          <rPr>
            <b/>
            <sz val="9"/>
            <color indexed="81"/>
            <rFont val="Tahoma"/>
            <family val="2"/>
          </rPr>
          <t>1Q15:</t>
        </r>
        <r>
          <rPr>
            <sz val="9"/>
            <color indexed="81"/>
            <rFont val="Tahoma"/>
            <family val="2"/>
          </rPr>
          <t xml:space="preserve">
Sold the Hilton Sydney for A$442m, expected to close in 2H15</t>
        </r>
      </text>
    </comment>
    <comment ref="ID603" authorId="0">
      <text>
        <r>
          <rPr>
            <b/>
            <sz val="8"/>
            <color indexed="81"/>
            <rFont val="Tahoma"/>
            <family val="2"/>
          </rPr>
          <t>thallen:</t>
        </r>
        <r>
          <rPr>
            <sz val="8"/>
            <color indexed="81"/>
            <rFont val="Tahoma"/>
            <family val="2"/>
          </rPr>
          <t xml:space="preserve">
Includes HOA and PIP / other fees</t>
        </r>
      </text>
    </comment>
    <comment ref="ID611" authorId="0">
      <text>
        <r>
          <rPr>
            <b/>
            <sz val="8"/>
            <color indexed="81"/>
            <rFont val="Tahoma"/>
            <family val="2"/>
          </rPr>
          <t>thallen:</t>
        </r>
        <r>
          <rPr>
            <sz val="8"/>
            <color indexed="81"/>
            <rFont val="Tahoma"/>
            <family val="2"/>
          </rPr>
          <t xml:space="preserve">
Includes HOA and PIP / other fees</t>
        </r>
      </text>
    </comment>
    <comment ref="ID619" authorId="0">
      <text>
        <r>
          <rPr>
            <b/>
            <sz val="8"/>
            <color indexed="81"/>
            <rFont val="Tahoma"/>
            <family val="2"/>
          </rPr>
          <t>thallen:</t>
        </r>
        <r>
          <rPr>
            <sz val="8"/>
            <color indexed="81"/>
            <rFont val="Tahoma"/>
            <family val="2"/>
          </rPr>
          <t xml:space="preserve">
Includes HOA and PIP / other fees</t>
        </r>
      </text>
    </comment>
  </commentList>
</comments>
</file>

<file path=xl/comments9.xml><?xml version="1.0" encoding="utf-8"?>
<comments xmlns="http://schemas.openxmlformats.org/spreadsheetml/2006/main">
  <authors>
    <author>Chaudhry, Baset A (Research)</author>
  </authors>
  <commentList>
    <comment ref="G15" authorId="0">
      <text>
        <r>
          <rPr>
            <b/>
            <sz val="9"/>
            <color indexed="81"/>
            <rFont val="Tahoma"/>
            <family val="2"/>
          </rPr>
          <t>Chaudhry, Baset A (Research):</t>
        </r>
        <r>
          <rPr>
            <sz val="9"/>
            <color indexed="81"/>
            <rFont val="Tahoma"/>
            <family val="2"/>
          </rPr>
          <t xml:space="preserve">
Hilton bought 5 hotels for $1.76B from the proceeds of the sale of Waldorf Astoria NY  (average of $590k/key)</t>
        </r>
      </text>
    </comment>
  </commentList>
</comments>
</file>

<file path=xl/comments10.xml><?xml version="1.0" encoding="utf-8"?>
<comments xmlns="http://schemas.openxmlformats.org/spreadsheetml/2006/main">
  <authors>
    <author>Morabia, Bob (Research)</author>
    <author>Allen, Thomas (Research)</author>
    <author>Chaudhry, Baset A (Research)</author>
  </authors>
  <commentList>
    <comment ref="A10" authorId="0">
      <text>
        <r>
          <rPr>
            <b/>
            <sz val="9"/>
            <color indexed="81"/>
            <rFont val="Tahoma"/>
            <family val="2"/>
          </rPr>
          <t>Morabia, Bob (Research):</t>
        </r>
        <r>
          <rPr>
            <sz val="9"/>
            <color indexed="81"/>
            <rFont val="Tahoma"/>
            <family val="2"/>
          </rPr>
          <t xml:space="preserve">
Used to be Cypress</t>
        </r>
      </text>
    </comment>
    <comment ref="D16" authorId="1">
      <text>
        <r>
          <rPr>
            <b/>
            <sz val="9"/>
            <color indexed="81"/>
            <rFont val="Tahoma"/>
            <family val="2"/>
          </rPr>
          <t>Allen, Thomas (Research):</t>
        </r>
        <r>
          <rPr>
            <sz val="9"/>
            <color indexed="81"/>
            <rFont val="Tahoma"/>
            <family val="2"/>
          </rPr>
          <t xml:space="preserve">
Shifting 120 rooms to HGV prior to spin</t>
        </r>
      </text>
    </comment>
    <comment ref="G18" authorId="2">
      <text>
        <r>
          <rPr>
            <b/>
            <sz val="9"/>
            <color indexed="81"/>
            <rFont val="Tahoma"/>
            <family val="2"/>
          </rPr>
          <t>Chaudhry, Baset A (Research):</t>
        </r>
        <r>
          <rPr>
            <sz val="9"/>
            <color indexed="81"/>
            <rFont val="Tahoma"/>
            <family val="2"/>
          </rPr>
          <t xml:space="preserve">
Hilton bought 5 hotels for $1.76B from the proceeds of the sale of Waldorf Astoria NY  (average of $590k/key)</t>
        </r>
      </text>
    </comment>
    <comment ref="D27" authorId="1">
      <text>
        <r>
          <rPr>
            <b/>
            <sz val="9"/>
            <color indexed="81"/>
            <rFont val="Tahoma"/>
            <family val="2"/>
          </rPr>
          <t>Allen, Thomas (Research):</t>
        </r>
        <r>
          <rPr>
            <sz val="9"/>
            <color indexed="81"/>
            <rFont val="Tahoma"/>
            <family val="2"/>
          </rPr>
          <t xml:space="preserve">
Shifting 600 rooms to HGV prior to spin</t>
        </r>
      </text>
    </comment>
    <comment ref="D39" authorId="1">
      <text>
        <r>
          <rPr>
            <b/>
            <sz val="9"/>
            <color indexed="81"/>
            <rFont val="Tahoma"/>
            <family val="2"/>
          </rPr>
          <t>Allen, Thomas (Research):</t>
        </r>
        <r>
          <rPr>
            <sz val="9"/>
            <color indexed="81"/>
            <rFont val="Tahoma"/>
            <family val="2"/>
          </rPr>
          <t xml:space="preserve">
25 rooms shifting to HGV prior to spin-off</t>
        </r>
      </text>
    </comment>
  </commentList>
</comments>
</file>

<file path=xl/comments11.xml><?xml version="1.0" encoding="utf-8"?>
<comments xmlns="http://schemas.openxmlformats.org/spreadsheetml/2006/main">
  <authors>
    <author>Allen, Thomas (Research)</author>
  </authors>
  <commentList>
    <comment ref="T244" authorId="0">
      <text>
        <r>
          <rPr>
            <b/>
            <sz val="9"/>
            <color indexed="81"/>
            <rFont val="Tahoma"/>
            <family val="2"/>
          </rPr>
          <t>Allen, Thomas (Research):</t>
        </r>
        <r>
          <rPr>
            <sz val="9"/>
            <color indexed="81"/>
            <rFont val="Tahoma"/>
            <family val="2"/>
          </rPr>
          <t xml:space="preserve">
In 2013, Essex House was $442
Hilton NY 2013 forecast $312</t>
        </r>
      </text>
    </comment>
    <comment ref="T245" authorId="0">
      <text>
        <r>
          <rPr>
            <b/>
            <sz val="9"/>
            <color indexed="81"/>
            <rFont val="Tahoma"/>
            <family val="2"/>
          </rPr>
          <t>Allen, Thomas (Research):</t>
        </r>
        <r>
          <rPr>
            <sz val="9"/>
            <color indexed="81"/>
            <rFont val="Tahoma"/>
            <family val="2"/>
          </rPr>
          <t xml:space="preserve">
In 2013, Essex House was 81.2%
Hilton NY 2013 forecast was 94%</t>
        </r>
      </text>
    </comment>
  </commentList>
</comments>
</file>

<file path=xl/comments12.xml><?xml version="1.0" encoding="utf-8"?>
<comments xmlns="http://schemas.openxmlformats.org/spreadsheetml/2006/main">
  <authors>
    <author>jills</author>
    <author>thallen</author>
  </authors>
  <commentList>
    <comment ref="A19" authorId="0">
      <text>
        <r>
          <rPr>
            <b/>
            <sz val="8"/>
            <color indexed="81"/>
            <rFont val="Tahoma"/>
            <family val="2"/>
          </rPr>
          <t>jills:</t>
        </r>
        <r>
          <rPr>
            <sz val="8"/>
            <color indexed="81"/>
            <rFont val="Tahoma"/>
            <family val="2"/>
          </rPr>
          <t xml:space="preserve">
constant currency</t>
        </r>
      </text>
    </comment>
    <comment ref="A30" authorId="0">
      <text>
        <r>
          <rPr>
            <b/>
            <sz val="8"/>
            <color indexed="81"/>
            <rFont val="Tahoma"/>
            <family val="2"/>
          </rPr>
          <t>jills:</t>
        </r>
        <r>
          <rPr>
            <sz val="8"/>
            <color indexed="81"/>
            <rFont val="Tahoma"/>
            <family val="2"/>
          </rPr>
          <t xml:space="preserve">
actuals are actual $ but forecasts are const currency</t>
        </r>
      </text>
    </comment>
    <comment ref="C41" authorId="1">
      <text>
        <r>
          <rPr>
            <b/>
            <sz val="8"/>
            <color indexed="81"/>
            <rFont val="Tahoma"/>
            <family val="2"/>
          </rPr>
          <t>thallen:</t>
        </r>
        <r>
          <rPr>
            <sz val="8"/>
            <color indexed="81"/>
            <rFont val="Tahoma"/>
            <family val="2"/>
          </rPr>
          <t xml:space="preserve">
Would have been up &gt;5% if BA (923 rooms) wasn't down 27%</t>
        </r>
      </text>
    </comment>
  </commentList>
</comments>
</file>

<file path=xl/comments13.xml><?xml version="1.0" encoding="utf-8"?>
<comments xmlns="http://schemas.openxmlformats.org/spreadsheetml/2006/main">
  <authors>
    <author>Slattery, Jill N (Research)</author>
    <author>jills</author>
    <author>thallen</author>
  </authors>
  <commentList>
    <comment ref="CB236" authorId="0">
      <text>
        <r>
          <rPr>
            <b/>
            <sz val="9"/>
            <color indexed="81"/>
            <rFont val="Tahoma"/>
            <family val="2"/>
          </rPr>
          <t>Slattery, Jill N (Research):</t>
        </r>
        <r>
          <rPr>
            <sz val="9"/>
            <color indexed="81"/>
            <rFont val="Tahoma"/>
            <family val="2"/>
          </rPr>
          <t xml:space="preserve">
from Jamie Rollo's published model dated 1/6/14</t>
        </r>
      </text>
    </comment>
    <comment ref="EN420" authorId="1">
      <text>
        <r>
          <rPr>
            <b/>
            <sz val="8"/>
            <color indexed="81"/>
            <rFont val="Tahoma"/>
            <family val="2"/>
          </rPr>
          <t>jills:</t>
        </r>
        <r>
          <rPr>
            <sz val="8"/>
            <color indexed="81"/>
            <rFont val="Tahoma"/>
            <family val="2"/>
          </rPr>
          <t xml:space="preserve">
per 2012 analyst day</t>
        </r>
      </text>
    </comment>
    <comment ref="FG483" authorId="2">
      <text>
        <r>
          <rPr>
            <b/>
            <sz val="8"/>
            <color indexed="81"/>
            <rFont val="Tahoma"/>
            <family val="2"/>
          </rPr>
          <t>thallen:</t>
        </r>
        <r>
          <rPr>
            <sz val="8"/>
            <color indexed="81"/>
            <rFont val="Tahoma"/>
            <family val="2"/>
          </rPr>
          <t xml:space="preserve">
Our customer loyalty programs, Marriott Rewards and The Ritz-Carlton Rewards, have over 41 million members and 14 participating brands. MVW and other program partners also participate in our rewards programs. The rewards programs yield repeat guest business by rewarding frequent stays with points toward free hotel stays and other rewards, or airline miles with any of 35 participating airline programs. We believe that our rewards programs generate substantial repeat business that might otherwise go to competing hotels. In 2012, rewards program members purchased over 50 percent of our room nights. We continue to enhance our rewards program offerings and strategically market to this large and growing customer base. Our loyal rewards member base provides a low cost and high impact vehicle for our revenue generation efforts. See the "Our Rewards Programs" caption in Footnote No. 1 "Summary of Significant Accounting Policies" for more information. 
</t>
        </r>
      </text>
    </comment>
    <comment ref="FH483" authorId="2">
      <text>
        <r>
          <rPr>
            <b/>
            <sz val="8"/>
            <color indexed="81"/>
            <rFont val="Tahoma"/>
            <family val="2"/>
          </rPr>
          <t>thallen:</t>
        </r>
        <r>
          <rPr>
            <sz val="8"/>
            <color indexed="81"/>
            <rFont val="Tahoma"/>
            <family val="2"/>
          </rPr>
          <t xml:space="preserve">
Marriott Rewards is a frequent guest program with over 28 million members and nine participating Marriott brands. The Marriott Rewards program yields repeat guest business by rewarding frequent stays with points toward free hotel stays and other rewards, or airline miles with any of 29 participating airline programs. We believe that Marriott Rewards generates substantial repeat business that might otherwise go to competing hotels. In 2007, over 50 percent of our room nights were purchased by Marriott Rewards members. In addition, the ability of timeshare owners to convert unused intervals into Marriott Rewards points enhances the competitive position of our timeshare brand. 
</t>
        </r>
      </text>
    </comment>
    <comment ref="FG484" authorId="2">
      <text>
        <r>
          <rPr>
            <b/>
            <sz val="8"/>
            <color indexed="81"/>
            <rFont val="Tahoma"/>
            <family val="2"/>
          </rPr>
          <t>thallen:</t>
        </r>
        <r>
          <rPr>
            <sz val="8"/>
            <color indexed="81"/>
            <rFont val="Tahoma"/>
            <family val="2"/>
          </rPr>
          <t xml:space="preserve">
Our customer loyalty programs, Marriott Rewards and The Ritz-Carlton Rewards, have over 41 million members and 14 participating brands. MVW and other program partners also participate in our rewards programs. The rewards programs yield repeat guest business by rewarding frequent stays with points toward free hotel stays and other rewards, or airline miles with any of 35 participating airline programs. We believe that our rewards programs generate substantial repeat business that might otherwise go to competing hotels. In 2012, rewards program members purchased over 50 percent of our room nights. We continue to enhance our rewards program offerings and strategically market to this large and growing customer base. Our loyal rewards member base provides a low cost and high impact vehicle for our revenue generation efforts. See the "Our Rewards Programs" caption in Footnote No. 1 "Summary of Significant Accounting Policies" for more information. 
</t>
        </r>
      </text>
    </comment>
    <comment ref="FH484" authorId="2">
      <text>
        <r>
          <rPr>
            <b/>
            <sz val="8"/>
            <color indexed="81"/>
            <rFont val="Tahoma"/>
            <family val="2"/>
          </rPr>
          <t>thallen:</t>
        </r>
        <r>
          <rPr>
            <sz val="8"/>
            <color indexed="81"/>
            <rFont val="Tahoma"/>
            <family val="2"/>
          </rPr>
          <t xml:space="preserve">
Marriott Rewards is a frequent guest program with over 28 million members and nine participating Marriott brands. The Marriott Rewards program yields repeat guest business by rewarding frequent stays with points toward free hotel stays and other rewards, or airline miles with any of 29 participating airline programs. We believe that Marriott Rewards generates substantial repeat business that might otherwise go to competing hotels. In 2007, over 50 percent of our room nights were purchased by Marriott Rewards members. In addition, the ability of timeshare owners to convert unused intervals into Marriott Rewards points enhances the competitive position of our timeshare brand. 
</t>
        </r>
      </text>
    </comment>
    <comment ref="FI487" authorId="2">
      <text>
        <r>
          <rPr>
            <b/>
            <sz val="8"/>
            <color indexed="81"/>
            <rFont val="Tahoma"/>
            <family val="2"/>
          </rPr>
          <t>thallen:</t>
        </r>
        <r>
          <rPr>
            <sz val="8"/>
            <color indexed="81"/>
            <rFont val="Tahoma"/>
            <family val="2"/>
          </rPr>
          <t xml:space="preserve">
Per 2013 investor day</t>
        </r>
      </text>
    </comment>
    <comment ref="FG488" authorId="2">
      <text>
        <r>
          <rPr>
            <b/>
            <sz val="8"/>
            <color indexed="81"/>
            <rFont val="Tahoma"/>
            <family val="2"/>
          </rPr>
          <t>thallen:</t>
        </r>
        <r>
          <rPr>
            <sz val="8"/>
            <color indexed="81"/>
            <rFont val="Tahoma"/>
            <family val="2"/>
          </rPr>
          <t xml:space="preserve">
Per March 2013 analyst day</t>
        </r>
      </text>
    </comment>
    <comment ref="FH488" authorId="2">
      <text>
        <r>
          <rPr>
            <b/>
            <sz val="8"/>
            <color indexed="81"/>
            <rFont val="Tahoma"/>
            <family val="2"/>
          </rPr>
          <t>thallen:</t>
        </r>
        <r>
          <rPr>
            <sz val="8"/>
            <color indexed="81"/>
            <rFont val="Tahoma"/>
            <family val="2"/>
          </rPr>
          <t xml:space="preserve">
40% as of 2008, per March 2013 analyst day</t>
        </r>
      </text>
    </comment>
  </commentList>
</comments>
</file>

<file path=xl/comments14.xml><?xml version="1.0" encoding="utf-8"?>
<comments xmlns="http://schemas.openxmlformats.org/spreadsheetml/2006/main">
  <authors>
    <author>jills</author>
  </authors>
  <commentList>
    <comment ref="F5" authorId="0">
      <text>
        <r>
          <rPr>
            <b/>
            <sz val="8"/>
            <color indexed="81"/>
            <rFont val="Tahoma"/>
            <family val="2"/>
          </rPr>
          <t>jills:</t>
        </r>
        <r>
          <rPr>
            <sz val="8"/>
            <color indexed="81"/>
            <rFont val="Tahoma"/>
            <family val="2"/>
          </rPr>
          <t xml:space="preserve">
Mgmt guidance $11,869mm, includes 2013e year-end consolidated and JV debt less cash and restricted cash</t>
        </r>
      </text>
    </comment>
    <comment ref="F16" authorId="0">
      <text>
        <r>
          <rPr>
            <b/>
            <sz val="8"/>
            <color indexed="81"/>
            <rFont val="Tahoma"/>
            <family val="2"/>
          </rPr>
          <t>jills:</t>
        </r>
        <r>
          <rPr>
            <sz val="8"/>
            <color indexed="81"/>
            <rFont val="Tahoma"/>
            <family val="2"/>
          </rPr>
          <t xml:space="preserve">
Mgmt guidance $11,869mm, includes 2013e year-end consolidated and JV debt less cash and restricted cash</t>
        </r>
      </text>
    </comment>
  </commentList>
</comments>
</file>

<file path=xl/comments15.xml><?xml version="1.0" encoding="utf-8"?>
<comments xmlns="http://schemas.openxmlformats.org/spreadsheetml/2006/main">
  <authors>
    <author>moshkowi</author>
    <author>Evalueserve</author>
    <author>urbank</author>
  </authors>
  <commentList>
    <comment ref="G18" authorId="0">
      <text>
        <r>
          <rPr>
            <sz val="8"/>
            <color indexed="81"/>
            <rFont val="Tahoma"/>
            <family val="2"/>
          </rPr>
          <t xml:space="preserve"> [G29] Assets_x000D_
= [G40] Liabilities and equity_x000D_
</t>
        </r>
      </text>
    </comment>
    <comment ref="H18" authorId="0">
      <text>
        <r>
          <rPr>
            <sz val="8"/>
            <color indexed="81"/>
            <rFont val="Tahoma"/>
            <family val="2"/>
          </rPr>
          <t xml:space="preserve"> [H29] Assets_x000D_
= [H40] Liabilities and equity_x000D_
</t>
        </r>
      </text>
    </comment>
    <comment ref="I18" authorId="0">
      <text>
        <r>
          <rPr>
            <sz val="8"/>
            <color indexed="81"/>
            <rFont val="Tahoma"/>
            <family val="2"/>
          </rPr>
          <t xml:space="preserve"> [I29] Assets_x000D_
= [I40] Liabilities and equity_x000D_
</t>
        </r>
      </text>
    </comment>
    <comment ref="J18" authorId="0">
      <text>
        <r>
          <rPr>
            <sz val="8"/>
            <color indexed="81"/>
            <rFont val="Tahoma"/>
            <family val="2"/>
          </rPr>
          <t xml:space="preserve"> [J29] Assets_x000D_
= [J40] Liabilities and equity_x000D_
</t>
        </r>
      </text>
    </comment>
    <comment ref="K18" authorId="0">
      <text>
        <r>
          <rPr>
            <sz val="8"/>
            <color indexed="81"/>
            <rFont val="Tahoma"/>
            <family val="2"/>
          </rPr>
          <t xml:space="preserve"> [K29] Assets_x000D_
= [K40] Liabilities and equity_x000D_
</t>
        </r>
      </text>
    </comment>
    <comment ref="L18" authorId="0">
      <text>
        <r>
          <rPr>
            <sz val="8"/>
            <color indexed="81"/>
            <rFont val="Tahoma"/>
            <family val="2"/>
          </rPr>
          <t xml:space="preserve"> [L29] Assets_x000D_
= [L40] Liabilities and equity_x000D_
</t>
        </r>
      </text>
    </comment>
    <comment ref="M18" authorId="0">
      <text>
        <r>
          <rPr>
            <sz val="8"/>
            <color indexed="81"/>
            <rFont val="Tahoma"/>
            <family val="2"/>
          </rPr>
          <t xml:space="preserve"> [M29] Assets_x000D_
= [M40] Liabilities and equity_x000D_
</t>
        </r>
      </text>
    </comment>
    <comment ref="N18" authorId="0">
      <text>
        <r>
          <rPr>
            <sz val="8"/>
            <color indexed="81"/>
            <rFont val="Tahoma"/>
            <family val="2"/>
          </rPr>
          <t xml:space="preserve"> [L29] Assets_x000D_
= [L40] Liabilities and equity_x000D_
</t>
        </r>
      </text>
    </comment>
    <comment ref="G29" authorId="0">
      <text>
        <r>
          <rPr>
            <sz val="8"/>
            <color indexed="81"/>
            <rFont val="Tahoma"/>
            <family val="2"/>
          </rPr>
          <t xml:space="preserve"> [G271] Cash and cash equivalents_x000D_
+ [G272] Restricted cash required for operations_x000D_
+ [G273] Trade receivables_x000D_
+ [G280] Finance lease receivables_x000D_
+ [G283] Notes receivable_x000D_
+ [G286] Unbilled receivables_x000D_
+ [G289] Other receivables_x000D_
+ [G292] Prepaid expenses_x000D_
+ [G295] Income tax receivable_x000D_
+ [G299] Inventories_x000D_
+ [G306] Property, plant, and equipment, net_x000D_
+ [G313] Goodwill_x000D_
+ [G316] Other intangible assets_x000D_
+ [G319] Investments, nonoperating_x000D_
+ [G322] Investments under the equity method, operating_x000D_
+ [G326] Investments under the equity method, nonoperating_x000D_
+ [G327] Deferred tax assets_x000D_
+ [G330] Pension and other postretirement assets_x000D_
+ [G331] Investment in own shares, asset_x000D_
+ [G333] Other assets, operating_x000D_
+ [G336] Other assets, nonoperating_x000D_
+ [G339] Assets of discontinued operations_x000D_
</t>
        </r>
      </text>
    </comment>
    <comment ref="H29" authorId="0">
      <text>
        <r>
          <rPr>
            <sz val="8"/>
            <color indexed="81"/>
            <rFont val="Tahoma"/>
            <family val="2"/>
          </rPr>
          <t xml:space="preserve"> [H271] Cash and cash equivalents_x000D_
+ [H272] Restricted cash required for operations_x000D_
+ [H273] Trade receivables_x000D_
+ [H280] Finance lease receivables_x000D_
+ [H283] Notes receivable_x000D_
+ [H286] Unbilled receivables_x000D_
+ [H289] Other receivables_x000D_
+ [H292] Prepaid expenses_x000D_
+ [H295] Income tax receivable_x000D_
+ [H299] Inventories_x000D_
+ [H306] Property, plant, and equipment, net_x000D_
+ [H313] Goodwill_x000D_
+ [H316] Other intangible assets_x000D_
+ [H319] Investments, nonoperating_x000D_
+ [H322] Investments under the equity method, operating_x000D_
+ [H326] Investments under the equity method, nonoperating_x000D_
+ [H327] Deferred tax assets_x000D_
+ [H330] Pension and other postretirement assets_x000D_
+ [H331] Investment in own shares, asset_x000D_
+ [H333] Other assets, operating_x000D_
+ [H336] Other assets, nonoperating_x000D_
+ [H339] Assets of discontinued operations_x000D_
</t>
        </r>
      </text>
    </comment>
    <comment ref="I29" authorId="0">
      <text>
        <r>
          <rPr>
            <sz val="8"/>
            <color indexed="81"/>
            <rFont val="Tahoma"/>
            <family val="2"/>
          </rPr>
          <t xml:space="preserve"> [I271] Cash and cash equivalents_x000D_
+ [I272] Restricted cash required for operations_x000D_
+ [I273] Trade receivables_x000D_
+ [I280] Finance lease receivables_x000D_
+ [I283] Notes receivable_x000D_
+ [I286] Unbilled receivables_x000D_
+ [I289] Other receivables_x000D_
+ [I292] Prepaid expenses_x000D_
+ [I295] Income tax receivable_x000D_
+ [I299] Inventories_x000D_
+ [I306] Property, plant, and equipment, net_x000D_
+ [I313] Goodwill_x000D_
+ [I316] Other intangible assets_x000D_
+ [I319] Investments, nonoperating_x000D_
+ [I322] Investments under the equity method, operating_x000D_
+ [I326] Investments under the equity method, nonoperating_x000D_
+ [I327] Deferred tax assets_x000D_
+ [I330] Pension and other postretirement assets_x000D_
+ [I331] Investment in own shares, asset_x000D_
+ [I333] Other assets, operating_x000D_
+ [I336] Other assets, nonoperating_x000D_
+ [I339] Assets of discontinued operations_x000D_
</t>
        </r>
      </text>
    </comment>
    <comment ref="J29" authorId="0">
      <text>
        <r>
          <rPr>
            <sz val="8"/>
            <color indexed="81"/>
            <rFont val="Tahoma"/>
            <family val="2"/>
          </rPr>
          <t xml:space="preserve"> [J271] Cash and cash equivalents_x000D_
+ [J272] Restricted cash required for operations_x000D_
+ [J273] Trade receivables_x000D_
+ [J280] Finance lease receivables_x000D_
+ [J283] Notes receivable_x000D_
+ [J286] Unbilled receivables_x000D_
+ [J289] Other receivables_x000D_
+ [J292] Prepaid expenses_x000D_
+ [J295] Income tax receivable_x000D_
+ [J299] Inventories_x000D_
+ [J306] Property, plant, and equipment, net_x000D_
+ [J313] Goodwill_x000D_
+ [J316] Other intangible assets_x000D_
+ [J319] Investments, nonoperating_x000D_
+ [J322] Investments under the equity method, operating_x000D_
+ [J326] Investments under the equity method, nonoperating_x000D_
+ [J327] Deferred tax assets_x000D_
+ [J330] Pension and other postretirement assets_x000D_
+ [J331] Investment in own shares, asset_x000D_
+ [J333] Other assets, operating_x000D_
+ [J336] Other assets, nonoperating_x000D_
+ [J339] Assets of discontinued operations_x000D_
</t>
        </r>
      </text>
    </comment>
    <comment ref="K29" authorId="0">
      <text>
        <r>
          <rPr>
            <sz val="8"/>
            <color indexed="81"/>
            <rFont val="Tahoma"/>
            <family val="2"/>
          </rPr>
          <t xml:space="preserve"> [K271] Cash and cash equivalents_x000D_
+ [K272] Restricted cash required for operations_x000D_
+ [K273] Trade receivables_x000D_
+ [K280] Finance lease receivables_x000D_
+ [K283] Notes receivable_x000D_
+ [K286] Unbilled receivables_x000D_
+ [K289] Other receivables_x000D_
+ [K292] Prepaid expenses_x000D_
+ [K295] Income tax receivable_x000D_
+ [K299] Inventories_x000D_
+ [K306] Property, plant, and equipment, net_x000D_
+ [K313] Goodwill_x000D_
+ [K316] Other intangible assets_x000D_
+ [K319] Investments, nonoperating_x000D_
+ [K322] Investments under the equity method, operating_x000D_
+ [K326] Investments under the equity method, nonoperating_x000D_
+ [K327] Deferred tax assets_x000D_
+ [K330] Pension and other postretirement assets_x000D_
+ [K331] Investment in own shares, asset_x000D_
+ [K333] Other assets, operating_x000D_
+ [K336] Other assets, nonoperating_x000D_
+ [K339] Assets of discontinued operations_x000D_
</t>
        </r>
      </text>
    </comment>
    <comment ref="L29" authorId="0">
      <text>
        <r>
          <rPr>
            <sz val="8"/>
            <color indexed="81"/>
            <rFont val="Tahoma"/>
            <family val="2"/>
          </rPr>
          <t xml:space="preserve"> [L271] Cash and cash equivalents_x000D_
+ [L272] Restricted cash required for operations_x000D_
+ [L273] Trade receivables_x000D_
+ [L280] Finance lease receivables_x000D_
+ [L283] Notes receivable_x000D_
+ [L286] Unbilled receivables_x000D_
+ [L289] Other receivables_x000D_
+ [L292] Prepaid expenses_x000D_
+ [L295] Income tax receivable_x000D_
+ [L299] Inventories_x000D_
+ [L306] Property, plant, and equipment, net_x000D_
+ [L313] Goodwill_x000D_
+ [L316] Other intangible assets_x000D_
+ [L319] Investments, nonoperating_x000D_
+ [L322] Investments under the equity method, operating_x000D_
+ [L326] Investments under the equity method, nonoperating_x000D_
+ [L327] Deferred tax assets_x000D_
+ [L330] Pension and other postretirement assets_x000D_
+ [L331] Investment in own shares, asset_x000D_
+ [L333] Other assets, operating_x000D_
+ [L336] Other assets, nonoperating_x000D_
+ [L339] Assets of discontinued operations_x000D_
</t>
        </r>
      </text>
    </comment>
    <comment ref="M29" authorId="0">
      <text>
        <r>
          <rPr>
            <sz val="8"/>
            <color indexed="81"/>
            <rFont val="Tahoma"/>
            <family val="2"/>
          </rPr>
          <t xml:space="preserve"> [M271] Cash and cash equivalents_x000D_
+ [M272] Restricted cash required for operations_x000D_
+ [M273] Trade receivables_x000D_
+ [M280] Finance lease receivables_x000D_
+ [M283] Notes receivable_x000D_
+ [M286] Unbilled receivables_x000D_
+ [M289] Other receivables_x000D_
+ [M292] Prepaid expenses_x000D_
+ [M295] Income tax receivable_x000D_
+ [M299] Inventories_x000D_
+ [M306] Property, plant, and equipment, net_x000D_
+ [M313] Goodwill_x000D_
+ [M316] Other intangible assets_x000D_
+ [M319] Investments, nonoperating_x000D_
+ [M322] Investments under the equity method, operating_x000D_
+ [M326] Investments under the equity method, nonoperating_x000D_
+ [M327] Deferred tax assets_x000D_
+ [M330] Pension and other postretirement assets_x000D_
+ [M331] Investment in own shares, asset_x000D_
+ [M333] Other assets, operating_x000D_
+ [M336] Other assets, nonoperating_x000D_
+ [M339] Assets of discontinued operations_x000D_
</t>
        </r>
      </text>
    </comment>
    <comment ref="N29" authorId="0">
      <text>
        <r>
          <rPr>
            <sz val="8"/>
            <color indexed="81"/>
            <rFont val="Tahoma"/>
            <family val="2"/>
          </rPr>
          <t xml:space="preserve"> [L271] Cash and cash equivalents_x000D_
+ [L272] Restricted cash required for operations_x000D_
+ [L273] Trade receivables_x000D_
+ [L280] Finance lease receivables_x000D_
+ [L283] Notes receivable_x000D_
+ [L286] Unbilled receivables_x000D_
+ [L289] Other receivables_x000D_
+ [L292] Prepaid expenses_x000D_
+ [L295] Income tax receivable_x000D_
+ [L299] Inventories_x000D_
+ [L306] Property, plant, and equipment, net_x000D_
+ [L313] Goodwill_x000D_
+ [L316] Other intangible assets_x000D_
+ [L319] Investments, nonoperating_x000D_
+ [L322] Investments under the equity method, operating_x000D_
+ [L326] Investments under the equity method, nonoperating_x000D_
+ [L327] Deferred tax assets_x000D_
+ [L330] Pension and other postretirement assets_x000D_
+ [L331] Investment in own shares, asset_x000D_
+ [L333] Other assets, operating_x000D_
+ [L336] Other assets, nonoperating_x000D_
+ [L339] Assets of discontinued operations_x000D_
</t>
        </r>
      </text>
    </comment>
    <comment ref="G40" authorId="0">
      <text>
        <r>
          <rPr>
            <sz val="8"/>
            <color indexed="81"/>
            <rFont val="Tahoma"/>
            <family val="2"/>
          </rPr>
          <t xml:space="preserve">+ [G341] Trade and other payables_x000D_
+ [G348] Dividends payable_x000D_
+ [G349] Short-term borrowings, up to 1 year_x000D_
+ [G355] Income tax payable_x000D_
+ [G359] Accrued expenses_x000D_
+ [G363] Billings in excess of cost_x000D_
+ [G364] Long-term debt, greater than 1 year_x000D_
+ [G350] Other interest bearing liabilities_x000D_
+ [G369] Provisions and reserves_x000D_
+ [G378] Customer advances or deposits_x000D_
+ [G381] Deferred tax liabilities_x000D_
+ [G384] Deferred revenue_x000D_
+ [G387] Pension and other postretirement obligations_x000D_
+ [G388] Deferred compensation_x000D_
+ [G389] Other liabilities, operating_x000D_
+ [G392] Other liabilities, nonoperating_x000D_
+ [G395] Liabilities of discontinued operations_x000D_
+ [G396] Minority interests in shareholders' equity_x000D_
+ [G397] Preferred equity_x000D_
+ [G398] Common equity_x000D_
</t>
        </r>
      </text>
    </comment>
    <comment ref="H40" authorId="0">
      <text>
        <r>
          <rPr>
            <sz val="8"/>
            <color indexed="81"/>
            <rFont val="Tahoma"/>
            <family val="2"/>
          </rPr>
          <t xml:space="preserve">+ [H341] Trade and other payables_x000D_
+ [H348] Dividends payable_x000D_
+ [H349] Short-term borrowings, up to 1 year_x000D_
+ [H355] Income tax payable_x000D_
+ [H359] Accrued expenses_x000D_
+ [H363] Billings in excess of cost_x000D_
+ [H364] Long-term debt, greater than 1 year_x000D_
+ [H350] Other interest bearing liabilities_x000D_
+ [H369] Provisions and reserves_x000D_
+ [H378] Customer advances or deposits_x000D_
+ [H381] Deferred tax liabilities_x000D_
+ [H384] Deferred revenue_x000D_
+ [H387] Pension and other postretirement obligations_x000D_
+ [H388] Deferred compensation_x000D_
+ [H389] Other liabilities, operating_x000D_
+ [H392] Other liabilities, nonoperating_x000D_
+ [H395] Liabilities of discontinued operations_x000D_
+ [H396] Minority interests in shareholders' equity_x000D_
+ [H397] Preferred equity_x000D_
+ [H398] Common equity_x000D_
</t>
        </r>
      </text>
    </comment>
    <comment ref="I40" authorId="0">
      <text>
        <r>
          <rPr>
            <sz val="8"/>
            <color indexed="81"/>
            <rFont val="Tahoma"/>
            <family val="2"/>
          </rPr>
          <t xml:space="preserve">+ [I341] Trade and other payables_x000D_
+ [I348] Dividends payable_x000D_
+ [I349] Short-term borrowings, up to 1 year_x000D_
+ [I355] Income tax payable_x000D_
+ [I359] Accrued expenses_x000D_
+ [I363] Billings in excess of cost_x000D_
+ [I364] Long-term debt, greater than 1 year_x000D_
+ [I350] Other interest bearing liabilities_x000D_
+ [I369] Provisions and reserves_x000D_
+ [I378] Customer advances or deposits_x000D_
+ [I381] Deferred tax liabilities_x000D_
+ [I384] Deferred revenue_x000D_
+ [I387] Pension and other postretirement obligations_x000D_
+ [I388] Deferred compensation_x000D_
+ [I389] Other liabilities, operating_x000D_
+ [I392] Other liabilities, nonoperating_x000D_
+ [I395] Liabilities of discontinued operations_x000D_
+ [I396] Minority interests in shareholders' equity_x000D_
+ [I397] Preferred equity_x000D_
+ [I398] Common equity_x000D_
</t>
        </r>
      </text>
    </comment>
    <comment ref="J40" authorId="0">
      <text>
        <r>
          <rPr>
            <sz val="8"/>
            <color indexed="81"/>
            <rFont val="Tahoma"/>
            <family val="2"/>
          </rPr>
          <t xml:space="preserve">+ [J341] Trade and other payables_x000D_
+ [J348] Dividends payable_x000D_
+ [J349] Short-term borrowings, up to 1 year_x000D_
+ [J355] Income tax payable_x000D_
+ [J359] Accrued expenses_x000D_
+ [J363] Billings in excess of cost_x000D_
+ [J364] Long-term debt, greater than 1 year_x000D_
+ [J350] Other interest bearing liabilities_x000D_
+ [J369] Provisions and reserves_x000D_
+ [J378] Customer advances or deposits_x000D_
+ [J381] Deferred tax liabilities_x000D_
+ [J384] Deferred revenue_x000D_
+ [J387] Pension and other postretirement obligations_x000D_
+ [J388] Deferred compensation_x000D_
+ [J389] Other liabilities, operating_x000D_
+ [J392] Other liabilities, nonoperating_x000D_
+ [J395] Liabilities of discontinued operations_x000D_
+ [J396] Minority interests in shareholders' equity_x000D_
+ [J397] Preferred equity_x000D_
+ [J398] Common equity_x000D_
</t>
        </r>
      </text>
    </comment>
    <comment ref="K40" authorId="0">
      <text>
        <r>
          <rPr>
            <sz val="8"/>
            <color indexed="81"/>
            <rFont val="Tahoma"/>
            <family val="2"/>
          </rPr>
          <t xml:space="preserve">+ [K341] Trade and other payables_x000D_
+ [K348] Dividends payable_x000D_
+ [K349] Short-term borrowings, up to 1 year_x000D_
+ [K355] Income tax payable_x000D_
+ [K359] Accrued expenses_x000D_
+ [K363] Billings in excess of cost_x000D_
+ [K364] Long-term debt, greater than 1 year_x000D_
+ [K350] Other interest bearing liabilities_x000D_
+ [K369] Provisions and reserves_x000D_
+ [K378] Customer advances or deposits_x000D_
+ [K381] Deferred tax liabilities_x000D_
+ [K384] Deferred revenue_x000D_
+ [K387] Pension and other postretirement obligations_x000D_
+ [K388] Deferred compensation_x000D_
+ [K389] Other liabilities, operating_x000D_
+ [K392] Other liabilities, nonoperating_x000D_
+ [K395] Liabilities of discontinued operations_x000D_
+ [K396] Minority interests in shareholders' equity_x000D_
+ [K397] Preferred equity_x000D_
+ [K398] Common equity_x000D_
</t>
        </r>
      </text>
    </comment>
    <comment ref="L40" authorId="0">
      <text>
        <r>
          <rPr>
            <sz val="8"/>
            <color indexed="81"/>
            <rFont val="Tahoma"/>
            <family val="2"/>
          </rPr>
          <t xml:space="preserve">+ [L341] Trade and other payables_x000D_
+ [L348] Dividends payable_x000D_
+ [L349] Short-term borrowings, up to 1 year_x000D_
+ [L355] Income tax payable_x000D_
+ [L359] Accrued expenses_x000D_
+ [L363] Billings in excess of cost_x000D_
+ [L364] Long-term debt, greater than 1 year_x000D_
+ [L350] Other interest bearing liabilities_x000D_
+ [L369] Provisions and reserves_x000D_
+ [L378] Customer advances or deposits_x000D_
+ [L381] Deferred tax liabilities_x000D_
+ [L384] Deferred revenue_x000D_
+ [L387] Pension and other postretirement obligations_x000D_
+ [L388] Deferred compensation_x000D_
+ [L389] Other liabilities, operating_x000D_
+ [L392] Other liabilities, nonoperating_x000D_
+ [L395] Liabilities of discontinued operations_x000D_
+ [L396] Minority interests in shareholders' equity_x000D_
+ [L397] Preferred equity_x000D_
+ [L398] Common equity_x000D_
</t>
        </r>
      </text>
    </comment>
    <comment ref="M40" authorId="0">
      <text>
        <r>
          <rPr>
            <sz val="8"/>
            <color indexed="81"/>
            <rFont val="Tahoma"/>
            <family val="2"/>
          </rPr>
          <t xml:space="preserve">+ [M341] Trade and other payables_x000D_
+ [M348] Dividends payable_x000D_
+ [M349] Short-term borrowings, up to 1 year_x000D_
+ [M355] Income tax payable_x000D_
+ [M359] Accrued expenses_x000D_
+ [M363] Billings in excess of cost_x000D_
+ [M364] Long-term debt, greater than 1 year_x000D_
+ [M350] Other interest bearing liabilities_x000D_
+ [M369] Provisions and reserves_x000D_
+ [M378] Customer advances or deposits_x000D_
+ [M381] Deferred tax liabilities_x000D_
+ [M384] Deferred revenue_x000D_
+ [M387] Pension and other postretirement obligations_x000D_
+ [M388] Deferred compensation_x000D_
+ [M389] Other liabilities, operating_x000D_
+ [M392] Other liabilities, nonoperating_x000D_
+ [M395] Liabilities of discontinued operations_x000D_
+ [M396] Minority interests in shareholders' equity_x000D_
+ [M397] Preferred equity_x000D_
+ [M398] Common equity_x000D_
</t>
        </r>
      </text>
    </comment>
    <comment ref="N40" authorId="0">
      <text>
        <r>
          <rPr>
            <sz val="8"/>
            <color indexed="81"/>
            <rFont val="Tahoma"/>
            <family val="2"/>
          </rPr>
          <t xml:space="preserve">+ [L341] Trade and other payables_x000D_
+ [L348] Dividends payable_x000D_
+ [L349] Short-term borrowings, up to 1 year_x000D_
+ [L355] Income tax payable_x000D_
+ [L359] Accrued expenses_x000D_
+ [L363] Billings in excess of cost_x000D_
+ [L364] Long-term debt, greater than 1 year_x000D_
+ [L350] Other interest bearing liabilities_x000D_
+ [L369] Provisions and reserves_x000D_
+ [L378] Customer advances or deposits_x000D_
+ [L381] Deferred tax liabilities_x000D_
+ [L384] Deferred revenue_x000D_
+ [L387] Pension and other postretirement obligations_x000D_
+ [L388] Deferred compensation_x000D_
+ [L389] Other liabilities, operating_x000D_
+ [L392] Other liabilities, nonoperating_x000D_
+ [L395] Liabilities of discontinued operations_x000D_
+ [L396] Minority interests in shareholders' equity_x000D_
+ [L397] Preferred equity_x000D_
+ [L398] Common equity_x000D_
</t>
        </r>
      </text>
    </comment>
    <comment ref="G51" authorId="0">
      <text>
        <r>
          <rPr>
            <sz val="8"/>
            <color indexed="81"/>
            <rFont val="Tahoma"/>
            <family val="2"/>
          </rPr>
          <t xml:space="preserve"> [F398] Common equity_x000D_
+ [G62] Changes in shareholders' equity_x000D_
= [G398] Common equity_x000D_
</t>
        </r>
      </text>
    </comment>
    <comment ref="H51" authorId="0">
      <text>
        <r>
          <rPr>
            <sz val="8"/>
            <color indexed="81"/>
            <rFont val="Tahoma"/>
            <family val="2"/>
          </rPr>
          <t xml:space="preserve"> [G398] Common equity_x000D_
+ [H62] Changes in shareholders' equity_x000D_
= [H398] Common equity_x000D_
</t>
        </r>
      </text>
    </comment>
    <comment ref="I51" authorId="0">
      <text>
        <r>
          <rPr>
            <sz val="8"/>
            <color indexed="81"/>
            <rFont val="Tahoma"/>
            <family val="2"/>
          </rPr>
          <t xml:space="preserve"> [H398] Common equity_x000D_
+ [I62] Changes in shareholders' equity_x000D_
= [I398] Common equity_x000D_
</t>
        </r>
      </text>
    </comment>
    <comment ref="J51" authorId="0">
      <text>
        <r>
          <rPr>
            <sz val="8"/>
            <color indexed="81"/>
            <rFont val="Tahoma"/>
            <family val="2"/>
          </rPr>
          <t xml:space="preserve"> [I398] Common equity_x000D_
+ [J62] Changes in shareholders' equity_x000D_
= [J398] Common equity_x000D_
</t>
        </r>
      </text>
    </comment>
    <comment ref="K51" authorId="0">
      <text>
        <r>
          <rPr>
            <sz val="8"/>
            <color indexed="81"/>
            <rFont val="Tahoma"/>
            <family val="2"/>
          </rPr>
          <t xml:space="preserve"> [J398] Common equity_x000D_
+ [K62] Changes in shareholders' equity_x000D_
= [K398] Common equity_x000D_
</t>
        </r>
      </text>
    </comment>
    <comment ref="L51" authorId="0">
      <text>
        <r>
          <rPr>
            <sz val="8"/>
            <color indexed="81"/>
            <rFont val="Tahoma"/>
            <family val="2"/>
          </rPr>
          <t xml:space="preserve"> [K398] Common equity_x000D_
+ [L62] Changes in shareholders' equity_x000D_
= [L398] Common equity_x000D_
</t>
        </r>
      </text>
    </comment>
    <comment ref="M51" authorId="0">
      <text>
        <r>
          <rPr>
            <sz val="8"/>
            <color indexed="81"/>
            <rFont val="Tahoma"/>
            <family val="2"/>
          </rPr>
          <t xml:space="preserve"> [L398] Common equity_x000D_
+ [M62] Changes in shareholders' equity_x000D_
= [M398] Common equity_x000D_
</t>
        </r>
      </text>
    </comment>
    <comment ref="N51" authorId="0">
      <text>
        <r>
          <rPr>
            <sz val="8"/>
            <color indexed="81"/>
            <rFont val="Tahoma"/>
            <family val="2"/>
          </rPr>
          <t xml:space="preserve"> [K398] Common equity_x000D_
+ [L62] Changes in shareholders' equity_x000D_
= [L398] Common equity_x000D_
</t>
        </r>
      </text>
    </comment>
    <comment ref="G62" authorId="0">
      <text>
        <r>
          <rPr>
            <sz val="8"/>
            <color indexed="81"/>
            <rFont val="Tahoma"/>
            <family val="2"/>
          </rPr>
          <t xml:space="preserve"> [G73] Net income (reported) less preferred dividends_x000D_
+ [G519] Net issuance (repurchase) of common stock_x000D_
- [G517] Common dividends_x000D_
- [G527] Bonus to directors and corporate auditors (Japan)_x000D_
- [G528] Bonus to directors and supervisors (Taiwan)_x000D_
- [G529] Employee cash bonus (Taiwan)_x000D_
+ [G84] Change in accumulated other comprehensive income (loss) or other reserves_x000D_
+ [G95] Change in investment in own shares (asset)_x000D_
</t>
        </r>
      </text>
    </comment>
    <comment ref="H62" authorId="0">
      <text>
        <r>
          <rPr>
            <sz val="8"/>
            <color indexed="81"/>
            <rFont val="Tahoma"/>
            <family val="2"/>
          </rPr>
          <t xml:space="preserve"> [H73] Net income (reported) less preferred dividends_x000D_
+ [H519] Net issuance (repurchase) of common stock_x000D_
- [H517] Common dividends_x000D_
- [H527] Bonus to directors and corporate auditors (Japan)_x000D_
- [H528] Bonus to directors and supervisors (Taiwan)_x000D_
- [H529] Employee cash bonus (Taiwan)_x000D_
+ [H84] Change in accumulated other comprehensive income (loss) or other reserves_x000D_
+ [H95] Change in investment in own shares (asset)_x000D_
</t>
        </r>
      </text>
    </comment>
    <comment ref="I62" authorId="0">
      <text>
        <r>
          <rPr>
            <sz val="8"/>
            <color indexed="81"/>
            <rFont val="Tahoma"/>
            <family val="2"/>
          </rPr>
          <t xml:space="preserve"> [I73] Net income (reported) less preferred dividends_x000D_
+ [I519] Net issuance (repurchase) of common stock_x000D_
- [I517] Common dividends_x000D_
- [I527] Bonus to directors and corporate auditors (Japan)_x000D_
- [I528] Bonus to directors and supervisors (Taiwan)_x000D_
- [I529] Employee cash bonus (Taiwan)_x000D_
+ [I84] Change in accumulated other comprehensive income (loss) or other reserves_x000D_
+ [I95] Change in investment in own shares (asset)_x000D_
</t>
        </r>
      </text>
    </comment>
    <comment ref="J62" authorId="0">
      <text>
        <r>
          <rPr>
            <sz val="8"/>
            <color indexed="81"/>
            <rFont val="Tahoma"/>
            <family val="2"/>
          </rPr>
          <t xml:space="preserve"> [J73] Net income (reported) less preferred dividends_x000D_
+ [J519] Net issuance (repurchase) of common stock_x000D_
- [J517] Common dividends_x000D_
- [J527] Bonus to directors and corporate auditors (Japan)_x000D_
- [J528] Bonus to directors and supervisors (Taiwan)_x000D_
- [J529] Employee cash bonus (Taiwan)_x000D_
+ [J84] Change in accumulated other comprehensive income (loss) or other reserves_x000D_
+ [J95] Change in investment in own shares (asset)_x000D_
</t>
        </r>
      </text>
    </comment>
    <comment ref="K62" authorId="0">
      <text>
        <r>
          <rPr>
            <sz val="8"/>
            <color indexed="81"/>
            <rFont val="Tahoma"/>
            <family val="2"/>
          </rPr>
          <t xml:space="preserve"> [K73] Net income (reported) less preferred dividends_x000D_
+ [K519] Net issuance (repurchase) of common stock_x000D_
- [K517] Common dividends_x000D_
- [K527] Bonus to directors and corporate auditors (Japan)_x000D_
- [K528] Bonus to directors and supervisors (Taiwan)_x000D_
- [K529] Employee cash bonus (Taiwan)_x000D_
+ [K84] Change in accumulated other comprehensive income (loss) or other reserves_x000D_
+ [K95] Change in investment in own shares (asset)_x000D_
</t>
        </r>
      </text>
    </comment>
    <comment ref="L62" authorId="0">
      <text>
        <r>
          <rPr>
            <sz val="8"/>
            <color indexed="81"/>
            <rFont val="Tahoma"/>
            <family val="2"/>
          </rPr>
          <t xml:space="preserve"> [L73] Net income (reported) less preferred dividends_x000D_
+ [L519] Net issuance (repurchase) of common stock_x000D_
- [L517] Common dividends_x000D_
- [L527] Bonus to directors and corporate auditors (Japan)_x000D_
- [L528] Bonus to directors and supervisors (Taiwan)_x000D_
- [L529] Employee cash bonus (Taiwan)_x000D_
+ [L84] Change in accumulated other comprehensive income (loss) or other reserves_x000D_
+ [L95] Change in investment in own shares (asset)_x000D_
</t>
        </r>
      </text>
    </comment>
    <comment ref="M62" authorId="0">
      <text>
        <r>
          <rPr>
            <sz val="8"/>
            <color indexed="81"/>
            <rFont val="Tahoma"/>
            <family val="2"/>
          </rPr>
          <t xml:space="preserve"> [M73] Net income (reported) less preferred dividends_x000D_
+ [M519] Net issuance (repurchase) of common stock_x000D_
- [M517] Common dividends_x000D_
- [M527] Bonus to directors and corporate auditors (Japan)_x000D_
- [M528] Bonus to directors and supervisors (Taiwan)_x000D_
- [M529] Employee cash bonus (Taiwan)_x000D_
+ [M84] Change in accumulated other comprehensive income (loss) or other reserves_x000D_
+ [M95] Change in investment in own shares (asset)_x000D_
</t>
        </r>
      </text>
    </comment>
    <comment ref="N62" authorId="0">
      <text>
        <r>
          <rPr>
            <sz val="8"/>
            <color indexed="81"/>
            <rFont val="Tahoma"/>
            <family val="2"/>
          </rPr>
          <t xml:space="preserve"> [L73] Net income (reported) less preferred dividends_x000D_
+ [L519] Net issuance (repurchase) of common stock_x000D_
- [L517] Common dividends_x000D_
- [L527] Bonus to directors and corporate auditors (Japan)_x000D_
- [L528] Bonus to directors and supervisors (Taiwan)_x000D_
- [L529] Employee cash bonus (Taiwan)_x000D_
+ [L84] Change in accumulated other comprehensive income (loss) or other reserves_x000D_
+ [L95] Change in investment in own shares (asset)_x000D_
</t>
        </r>
      </text>
    </comment>
    <comment ref="G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H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I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J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K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L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M73" authorId="0">
      <text>
        <r>
          <rPr>
            <sz val="8"/>
            <color indexed="81"/>
            <rFont val="Tahoma"/>
            <family val="2"/>
          </rPr>
          <t xml:space="preserve"> [M142] Revenue, net_x000D_
+ [M156] Royalty, licensee income_x000D_
- [M157] Cost of sales, with depreciation_x000D_
- [M158] Cost of sales, without depreciation_x000D_
- [M159] Cost of materials_x000D_
- [M160] Cost of services sold_x000D_
- [M161] Selling, general, and administrative expenses_x000D_
- [M165] Stock compensation_x000D_
- [M166] Employee expenses_x000D_
- [M167] Rental expense_x000D_
- [M168] Marketing costs_x000D_
- [M169] Depreciation, in income statement_x000D_
- [M170] Amortization of goodwill, in income statement_x000D_
- [M173] Amortization of intangibles assumed to have indefinite life, in income statement_x000D_
- [M174] Amortization of other intangibles, in income statement_x000D_
- [M177] Goodwill impairment_x000D_
- [M178] Indefinite life intangible impairment_x000D_
- [M179] Asset impairment, nongoodwill, one time_x000D_
- [M182] Other operating expense (income)_x000D_
+ [M183] Interest and dividend income_x000D_
- [M186] Interest expense_x000D_
+ [M190] Income (losses) from investments, nonoperating_x000D_
+ [M191] Income (loss) from investments under the equity method, operating_x000D_
+ [M198] Income (loss) from investments under the equity method, operating, pretax_x000D_
+ [M199] Income (loss) from investments under the equity method, nonoperating_x000D_
+ [M200] Income (loss) from investments under the equity method, nonoperating, pretax_x000D_
+ [M201] Gains (losses) from sale of PPE and intangibles, recurring_x000D_
+ [M202] Gains (losses) from sale of PPE and intangibles, one time_x000D_
+ [M205] Net monetary gains (losses) from inflationary accounting_x000D_
+ [M206] Gain (loss) on redemption and extinguishment of debt_x000D_
+ [M207] Foreign currency exchange gains (losses)_x000D_
- [M214] Restructuring costs, recurring_x000D_
- [M215] Restructuring costs, one time_x000D_
- [M218] Legal provision, recurring_x000D_
- [M219] Legal provision, one time_x000D_
- [M222] Environmental provision, recurring_x000D_
- [M223] Environmental provision, one time_x000D_
- [M226] Other provisions, recurring_x000D_
- [M227] Other provisions, one time_x000D_
+ [M230] Pension settlement and curtailment gains (losses), one time_x000D_
+ [M233] Other nonoperating income (expense)_x000D_
- [M234] Tax expense (income)_x000D_
- [M239] Minority interests in net income_x000D_
+ [M240] Cumulative effect of change in accounting principle, net of tax_x000D_
+ [M241] Income (loss) from extraordinary items, net of tax_x000D_
+ [M244] Income (loss) from discontinued operations, net of tax_x000D_
- [M247] Preferred dividends paid_x000D_
</t>
        </r>
      </text>
    </comment>
    <comment ref="N73" authorId="0">
      <text>
        <r>
          <rPr>
            <sz val="8"/>
            <color indexed="81"/>
            <rFont val="Tahoma"/>
            <family val="2"/>
          </rPr>
          <t xml:space="preserve"> [L142] Revenue, net_x000D_
+ [L156] Royalty, licensee income_x000D_
- [L157] Cost of sales, with depreciation_x000D_
- [L158] Cost of sales, without depreciation_x000D_
- [L159] Cost of materials_x000D_
- [L160] Cost of services sold_x000D_
- [L161] Selling, general, and administrative expenses_x000D_
- [L165] Stock compensation_x000D_
- [L166] Employee expenses_x000D_
- [L167] Rental expense_x000D_
- [L168] Marketing costs_x000D_
- [L169] Depreciation, in income statement_x000D_
- [L170] Amortization of goodwill, in income statement_x000D_
- [L173] Amortization of intangibles assumed to have indefinite life, in income statement_x000D_
- [L174] Amortization of other intangibles, in income statement_x000D_
- [L177] Goodwill impairment_x000D_
- [L178] Indefinite life intangible impairment_x000D_
- [L179] Asset impairment, nongoodwill, one time_x000D_
- [L182] Other operating expense (income)_x000D_
+ [L183] Interest and dividend income_x000D_
- [L186] Interest expense_x000D_
+ [L190] Income (losses) from investments, nonoperating_x000D_
+ [L191] Income (loss) from investments under the equity method, operating_x000D_
+ [L198] Income (loss) from investments under the equity method, operating, pretax_x000D_
+ [L199] Income (loss) from investments under the equity method, nonoperating_x000D_
+ [L200] Income (loss) from investments under the equity method, nonoperating, pretax_x000D_
+ [L201] Gains (losses) from sale of PPE and intangibles, recurring_x000D_
+ [L202] Gains (losses) from sale of PPE and intangibles, one time_x000D_
+ [L205] Net monetary gains (losses) from inflationary accounting_x000D_
+ [L206] Gain (loss) on redemption and extinguishment of debt_x000D_
+ [L207] Foreign currency exchange gains (losses)_x000D_
- [L214] Restructuring costs, recurring_x000D_
- [L215] Restructuring costs, one time_x000D_
- [L218] Legal provision, recurring_x000D_
- [L219] Legal provision, one time_x000D_
- [L222] Environmental provision, recurring_x000D_
- [L223] Environmental provision, one time_x000D_
- [L226] Other provisions, recurring_x000D_
- [L227] Other provisions, one time_x000D_
+ [L230] Pension settlement and curtailment gains (losses), one time_x000D_
+ [L233] Other nonoperating income (expense)_x000D_
- [L234] Tax expense (income)_x000D_
- [L239] Minority interests in net income_x000D_
+ [L240] Cumulative effect of change in accounting principle, net of tax_x000D_
+ [L241] Income (loss) from extraordinary items, net of tax_x000D_
+ [L244] Income (loss) from discontinued operations, net of tax_x000D_
- [L247] Preferred dividends paid_x000D_
</t>
        </r>
      </text>
    </comment>
    <comment ref="G84" authorId="0">
      <text>
        <r>
          <rPr>
            <sz val="8"/>
            <color indexed="81"/>
            <rFont val="Tahoma"/>
            <family val="2"/>
          </rPr>
          <t xml:space="preserve"> [G403] Accumulated other comprehensive income (loss) and reserves_x000D_
- [F403] Accumulated other comprehensive income (loss) and reserves_x000D_
</t>
        </r>
      </text>
    </comment>
    <comment ref="H84" authorId="0">
      <text>
        <r>
          <rPr>
            <sz val="8"/>
            <color indexed="81"/>
            <rFont val="Tahoma"/>
            <family val="2"/>
          </rPr>
          <t xml:space="preserve"> [H403] Accumulated other comprehensive income (loss) and reserves_x000D_
- [G403] Accumulated other comprehensive income (loss) and reserves_x000D_
</t>
        </r>
      </text>
    </comment>
    <comment ref="I84" authorId="0">
      <text>
        <r>
          <rPr>
            <sz val="8"/>
            <color indexed="81"/>
            <rFont val="Tahoma"/>
            <family val="2"/>
          </rPr>
          <t xml:space="preserve"> [I403] Accumulated other comprehensive income (loss) and reserves_x000D_
- [H403] Accumulated other comprehensive income (loss) and reserves_x000D_
</t>
        </r>
      </text>
    </comment>
    <comment ref="J84" authorId="0">
      <text>
        <r>
          <rPr>
            <sz val="8"/>
            <color indexed="81"/>
            <rFont val="Tahoma"/>
            <family val="2"/>
          </rPr>
          <t xml:space="preserve"> [J403] Accumulated other comprehensive income (loss) and reserves_x000D_
- [I403] Accumulated other comprehensive income (loss) and reserves_x000D_
</t>
        </r>
      </text>
    </comment>
    <comment ref="K84" authorId="0">
      <text>
        <r>
          <rPr>
            <sz val="8"/>
            <color indexed="81"/>
            <rFont val="Tahoma"/>
            <family val="2"/>
          </rPr>
          <t xml:space="preserve"> [K403] Accumulated other comprehensive income (loss) and reserves_x000D_
- [J403] Accumulated other comprehensive income (loss) and reserves_x000D_
</t>
        </r>
      </text>
    </comment>
    <comment ref="L84" authorId="0">
      <text>
        <r>
          <rPr>
            <sz val="8"/>
            <color indexed="81"/>
            <rFont val="Tahoma"/>
            <family val="2"/>
          </rPr>
          <t xml:space="preserve"> [L403] Accumulated other comprehensive income (loss) and reserves_x000D_
- [K403] Accumulated other comprehensive income (loss) and reserves_x000D_
</t>
        </r>
      </text>
    </comment>
    <comment ref="M84" authorId="0">
      <text>
        <r>
          <rPr>
            <sz val="8"/>
            <color indexed="81"/>
            <rFont val="Tahoma"/>
            <family val="2"/>
          </rPr>
          <t xml:space="preserve"> [M403] Accumulated other comprehensive income (loss) and reserves_x000D_
- [L403] Accumulated other comprehensive income (loss) and reserves_x000D_
</t>
        </r>
      </text>
    </comment>
    <comment ref="N84" authorId="0">
      <text>
        <r>
          <rPr>
            <sz val="8"/>
            <color indexed="81"/>
            <rFont val="Tahoma"/>
            <family val="2"/>
          </rPr>
          <t xml:space="preserve"> [L403] Accumulated other comprehensive income (loss) and reserves_x000D_
- [K403] Accumulated other comprehensive income (loss) and reserves_x000D_
</t>
        </r>
      </text>
    </comment>
    <comment ref="G95" authorId="0">
      <text>
        <r>
          <rPr>
            <sz val="8"/>
            <color indexed="81"/>
            <rFont val="Tahoma"/>
            <family val="2"/>
          </rPr>
          <t xml:space="preserve"> [G331] Investment in own shares, asset_x000D_
- [F331] Investment in own shares, asset_x000D_
</t>
        </r>
      </text>
    </comment>
    <comment ref="H95" authorId="0">
      <text>
        <r>
          <rPr>
            <sz val="8"/>
            <color indexed="81"/>
            <rFont val="Tahoma"/>
            <family val="2"/>
          </rPr>
          <t xml:space="preserve"> [H331] Investment in own shares, asset_x000D_
- [G331] Investment in own shares, asset_x000D_
</t>
        </r>
      </text>
    </comment>
    <comment ref="I95" authorId="0">
      <text>
        <r>
          <rPr>
            <sz val="8"/>
            <color indexed="81"/>
            <rFont val="Tahoma"/>
            <family val="2"/>
          </rPr>
          <t xml:space="preserve"> [I331] Investment in own shares, asset_x000D_
- [H331] Investment in own shares, asset_x000D_
</t>
        </r>
      </text>
    </comment>
    <comment ref="J95" authorId="0">
      <text>
        <r>
          <rPr>
            <sz val="8"/>
            <color indexed="81"/>
            <rFont val="Tahoma"/>
            <family val="2"/>
          </rPr>
          <t xml:space="preserve"> [J331] Investment in own shares, asset_x000D_
- [I331] Investment in own shares, asset_x000D_
</t>
        </r>
      </text>
    </comment>
    <comment ref="K95" authorId="0">
      <text>
        <r>
          <rPr>
            <sz val="8"/>
            <color indexed="81"/>
            <rFont val="Tahoma"/>
            <family val="2"/>
          </rPr>
          <t xml:space="preserve"> [K331] Investment in own shares, asset_x000D_
- [J331] Investment in own shares, asset_x000D_
</t>
        </r>
      </text>
    </comment>
    <comment ref="L95" authorId="0">
      <text>
        <r>
          <rPr>
            <sz val="8"/>
            <color indexed="81"/>
            <rFont val="Tahoma"/>
            <family val="2"/>
          </rPr>
          <t xml:space="preserve"> [L331] Investment in own shares, asset_x000D_
- [K331] Investment in own shares, asset_x000D_
</t>
        </r>
      </text>
    </comment>
    <comment ref="M95" authorId="0">
      <text>
        <r>
          <rPr>
            <sz val="8"/>
            <color indexed="81"/>
            <rFont val="Tahoma"/>
            <family val="2"/>
          </rPr>
          <t xml:space="preserve"> [M331] Investment in own shares, asset_x000D_
- [L331] Investment in own shares, asset_x000D_
</t>
        </r>
      </text>
    </comment>
    <comment ref="N95" authorId="0">
      <text>
        <r>
          <rPr>
            <sz val="8"/>
            <color indexed="81"/>
            <rFont val="Tahoma"/>
            <family val="2"/>
          </rPr>
          <t xml:space="preserve"> [L331] Investment in own shares, asset_x000D_
- [K331] Investment in own shares, asset_x000D_
</t>
        </r>
      </text>
    </comment>
    <comment ref="G106" authorId="0">
      <text>
        <r>
          <rPr>
            <sz val="8"/>
            <color indexed="81"/>
            <rFont val="Tahoma"/>
            <family val="2"/>
          </rPr>
          <t xml:space="preserve"> [F117] Aggregate cash and cash equivalents for validation_x000D_
+ [G128] Changes in cash and cash equivalents_x000D_
= [G117] Aggregate cash and cash equivalents for validation_x000D_
</t>
        </r>
      </text>
    </comment>
    <comment ref="H106" authorId="0">
      <text>
        <r>
          <rPr>
            <sz val="8"/>
            <color indexed="81"/>
            <rFont val="Tahoma"/>
            <family val="2"/>
          </rPr>
          <t xml:space="preserve"> [G117] Aggregate cash and cash equivalents for validation_x000D_
+ [H128] Changes in cash and cash equivalents_x000D_
= [H117] Aggregate cash and cash equivalents for validation_x000D_
</t>
        </r>
      </text>
    </comment>
    <comment ref="I106" authorId="0">
      <text>
        <r>
          <rPr>
            <sz val="8"/>
            <color indexed="81"/>
            <rFont val="Tahoma"/>
            <family val="2"/>
          </rPr>
          <t xml:space="preserve"> [H117] Aggregate cash and cash equivalents for validation_x000D_
+ [I128] Changes in cash and cash equivalents_x000D_
= [I117] Aggregate cash and cash equivalents for validation_x000D_
</t>
        </r>
      </text>
    </comment>
    <comment ref="J106" authorId="0">
      <text>
        <r>
          <rPr>
            <sz val="8"/>
            <color indexed="81"/>
            <rFont val="Tahoma"/>
            <family val="2"/>
          </rPr>
          <t xml:space="preserve"> [I117] Aggregate cash and cash equivalents for validation_x000D_
+ [J128] Changes in cash and cash equivalents_x000D_
= [J117] Aggregate cash and cash equivalents for validation_x000D_
</t>
        </r>
      </text>
    </comment>
    <comment ref="K106" authorId="0">
      <text>
        <r>
          <rPr>
            <sz val="8"/>
            <color indexed="81"/>
            <rFont val="Tahoma"/>
            <family val="2"/>
          </rPr>
          <t xml:space="preserve"> [J117] Aggregate cash and cash equivalents for validation_x000D_
+ [K128] Changes in cash and cash equivalents_x000D_
= [K117] Aggregate cash and cash equivalents for validation_x000D_
</t>
        </r>
      </text>
    </comment>
    <comment ref="L106" authorId="0">
      <text>
        <r>
          <rPr>
            <sz val="8"/>
            <color indexed="81"/>
            <rFont val="Tahoma"/>
            <family val="2"/>
          </rPr>
          <t xml:space="preserve"> [K117] Aggregate cash and cash equivalents for validation_x000D_
+ [L128] Changes in cash and cash equivalents_x000D_
= [L117] Aggregate cash and cash equivalents for validation_x000D_
</t>
        </r>
      </text>
    </comment>
    <comment ref="M106" authorId="0">
      <text>
        <r>
          <rPr>
            <sz val="8"/>
            <color indexed="81"/>
            <rFont val="Tahoma"/>
            <family val="2"/>
          </rPr>
          <t xml:space="preserve"> [L117] Aggregate cash and cash equivalents for validation_x000D_
+ [M128] Changes in cash and cash equivalents_x000D_
= [M117] Aggregate cash and cash equivalents for validation_x000D_
</t>
        </r>
      </text>
    </comment>
    <comment ref="N106" authorId="0">
      <text>
        <r>
          <rPr>
            <sz val="8"/>
            <color indexed="81"/>
            <rFont val="Tahoma"/>
            <family val="2"/>
          </rPr>
          <t xml:space="preserve"> [K117] Aggregate cash and cash equivalents for validation_x000D_
+ [L128] Changes in cash and cash equivalents_x000D_
= [L117] Aggregate cash and cash equivalents for validation_x000D_
</t>
        </r>
      </text>
    </comment>
    <comment ref="F117" authorId="1">
      <text>
        <r>
          <rPr>
            <b/>
            <sz val="8"/>
            <color indexed="81"/>
            <rFont val="Tahoma"/>
            <family val="2"/>
          </rPr>
          <t>Evalueserve:</t>
        </r>
        <r>
          <rPr>
            <sz val="8"/>
            <color indexed="81"/>
            <rFont val="Tahoma"/>
            <family val="2"/>
          </rPr>
          <t xml:space="preserve">
Reported as:
Cash and Cash equivalents as 1st Jan 1997
Source:
Page 83, Form 10K405 1998</t>
        </r>
      </text>
    </comment>
    <comment ref="G117" authorId="0">
      <text>
        <r>
          <rPr>
            <sz val="8"/>
            <color indexed="81"/>
            <rFont val="Tahoma"/>
            <family val="2"/>
          </rPr>
          <t xml:space="preserve"> [G271] Cash and cash equivalents_x000D_
+ [G272] Restricted cash required for operations_x000D_
</t>
        </r>
      </text>
    </comment>
    <comment ref="H117" authorId="0">
      <text>
        <r>
          <rPr>
            <sz val="8"/>
            <color indexed="81"/>
            <rFont val="Tahoma"/>
            <family val="2"/>
          </rPr>
          <t xml:space="preserve"> [H271] Cash and cash equivalents_x000D_
+ [H272] Restricted cash required for operations_x000D_
</t>
        </r>
      </text>
    </comment>
    <comment ref="I117" authorId="0">
      <text>
        <r>
          <rPr>
            <sz val="8"/>
            <color indexed="81"/>
            <rFont val="Tahoma"/>
            <family val="2"/>
          </rPr>
          <t xml:space="preserve"> [I271] Cash and cash equivalents_x000D_
+ [I272] Restricted cash required for operations_x000D_
</t>
        </r>
      </text>
    </comment>
    <comment ref="J117" authorId="0">
      <text>
        <r>
          <rPr>
            <sz val="8"/>
            <color indexed="81"/>
            <rFont val="Tahoma"/>
            <family val="2"/>
          </rPr>
          <t xml:space="preserve"> [J271] Cash and cash equivalents_x000D_
+ [J272] Restricted cash required for operations_x000D_
</t>
        </r>
      </text>
    </comment>
    <comment ref="K117" authorId="0">
      <text>
        <r>
          <rPr>
            <sz val="8"/>
            <color indexed="81"/>
            <rFont val="Tahoma"/>
            <family val="2"/>
          </rPr>
          <t xml:space="preserve"> [K271] Cash and cash equivalents_x000D_
+ [K272] Restricted cash required for operations_x000D_
</t>
        </r>
      </text>
    </comment>
    <comment ref="L117" authorId="0">
      <text>
        <r>
          <rPr>
            <sz val="8"/>
            <color indexed="81"/>
            <rFont val="Tahoma"/>
            <family val="2"/>
          </rPr>
          <t xml:space="preserve"> [L271] Cash and cash equivalents_x000D_
+ [L272] Restricted cash required for operations_x000D_
</t>
        </r>
      </text>
    </comment>
    <comment ref="M117" authorId="0">
      <text>
        <r>
          <rPr>
            <sz val="8"/>
            <color indexed="81"/>
            <rFont val="Tahoma"/>
            <family val="2"/>
          </rPr>
          <t xml:space="preserve"> [M271] Cash and cash equivalents_x000D_
+ [M272] Restricted cash required for operations_x000D_
</t>
        </r>
      </text>
    </comment>
    <comment ref="N117" authorId="0">
      <text>
        <r>
          <rPr>
            <sz val="8"/>
            <color indexed="81"/>
            <rFont val="Tahoma"/>
            <family val="2"/>
          </rPr>
          <t xml:space="preserve"> [L271] Cash and cash equivalents_x000D_
+ [L272] Restricted cash required for operations_x000D_
</t>
        </r>
      </text>
    </comment>
    <comment ref="G128" authorId="0">
      <text>
        <r>
          <rPr>
            <sz val="8"/>
            <color indexed="81"/>
            <rFont val="Tahoma"/>
            <family val="2"/>
          </rPr>
          <t xml:space="preserve"> [G415] Net income, reported, cash flow statement_x000D_
+ [G416] Depreciation, cash flow statement_x000D_
+ [G417] Depreciation on operating leases, lessor, cash flow statement_x000D_
+ [G418] Amortization of goodwill, cash flow statement_x000D_
+ [G419] Amortization of intangibles assumed to have indefinite life, cash flow statement_x000D_
+ [G420] Amortization of other intangibles, cash flow statement_x000D_
+ [G423] Restructuring costs, recurring, cash flow statement_x000D_
+ [G424] Restructuring costs, one time, cash flow statement_x000D_
+ [G425] Legal provision, recurring, cash flow statement_x000D_
+ [G426] Legal provision, one time, cash flow statement_x000D_
+ [G427] Environmental provision, recurring, cash flow statement_x000D_
+ [G428] Environmental provision, one time, cash flow statement_x000D_
+ [G429] Other provisions, recurring, cash flow statement_x000D_
+ [G430] Other provisions, one time, cash flow statement_x000D_
+ [G431] Goodwill impairment, cash flow statement_x000D_
+ [G432] Indefinite life intangible impairment, cash flow statement_x000D_
+ [G433] Asset impairment, nongoodwill, one time, cash flow statement_x000D_
- [G434] Gains (losses) from sale of PPE and intangibles, recurring, cash flow statement_x000D_
- [G435] Gains (losses) from sale of PPE and intangibles, one time, cash flow statement_x000D_
- [G436] Bonus paid to directors and corporate auditors (Japan)_x000D_
- [G437] Bonus to directors and supervisors, cash flow statement (Taiwan)_x000D_
- [G438] Employee cash bonus, cash flow statement (Taiwan)_x000D_
- [G439] Capital expenditures_x000D_
- [G442] Capital expenditures, related to lessor financing_x000D_
- [G443] Interest capitalized, cash flow statement_x000D_
- [G444] Unrealized foreign currency exchange gain (loss), cash flow statement_x000D_
+ [G446] Amortization of discount (premium) on debt_x000D_
+ [G448] Net disposals (acquisitions)_x000D_
- [G462] Investment in intangible assets_x000D_
+ [G445] Proceeds from sale of PPE and intangible assets_x000D_
- [G469] Income (loss) from investments under the equity method, operating, cash flow statement_x000D_
- [G470] Income (loss) from investments under the equity method, nonoperating, cash flow statement_x000D_
+ [G471] Dividends from investments under the equity method, operating, cash flow statement_x000D_
+ [G472] Dividends from investments under the equity method, nonoperating, cash flow statement_x000D_
+ [G473] Net increase in deferred tax liabilities (assets)_x000D_
+ [G475] Net increase in income tax payable (receivable)_x000D_
+ [G477] Stock-based compensation charge, pretax_x000D_
+ [G478] Tax benefit from exercise of employee stock options, cash flow statement_x000D_
+ [G479] Net decrease in other assets, operating_x000D_
+ [G480] Net decrease in trade receivables_x000D_
+ [G481] Net decrease in finance lease receivables_x000D_
+ [G482] Net decrease in unbilled receivables_x000D_
+ [G483] Net decrease in other receivables_x000D_
+ [G484] Net decrease in prepaid expenses_x000D_
+ [G485] Net decrease in inventories_x000D_
+ [G486] Net increase in trade and other payables_x000D_
+ [G487] Net increase in deferred revenue_x000D_
+ [G488] Net increase in accrued expenses_x000D_
+ [G489] Net increase in billings in excess of cost_x000D_
+ [G490] Net increase in customer advances and deposits_x000D_
+ [G491] Net increase in deferred compensation_x000D_
+ [G492] Proceeds from issuance and cash used to repay short term borrowings_x000D_
+ [G493] Proceeds from issuance and cash used to repay long term debt_x000D_
+ [G494] Net increase in provisions and reserves_x000D_
+ [G495] Net increase in other payables and accrued expenses_x000D_
+ [G496] Net increase in other liabilities, operating_x000D_
+ [G497] Net increase in minority interests in shareholders' equity_x000D_
+ [G498] Net issuance of preferred stock_x000D_
+ [G501] Proceeds from issuance/(funds used to repurchase) common stock_x000D_
- [G504] Cash dividends paid_x000D_
+ [G505] Net decrease in notes receivable_x000D_
+ [G506] Net decrease in other assets, nonoperating_x000D_
+ [G507] Net increase in dividends payable_x000D_
+ [G508] Net increase in other liabilities, nonoperating_x000D_
+ [G509] Contribution to pension and other post retirement plan assets_x000D_
+ [G447] Net pension and OPEB expense, cash flow statement_x000D_
+ [G510] Net increase in securitized assets, cash flow statement_x000D_
+ [G511] Net decrease in investments, nonoperating_x000D_
+ [G512] Net cash flow from discontinued operations_x000D_
+ [G513] Other cash flow_x000D_
+ [G514] Effect of foreign exchange rates on cash_x000D_
</t>
        </r>
      </text>
    </comment>
    <comment ref="H128" authorId="0">
      <text>
        <r>
          <rPr>
            <sz val="8"/>
            <color indexed="81"/>
            <rFont val="Tahoma"/>
            <family val="2"/>
          </rPr>
          <t xml:space="preserve"> [H415] Net income, reported, cash flow statement_x000D_
+ [H416] Depreciation, cash flow statement_x000D_
+ [H417] Depreciation on operating leases, lessor, cash flow statement_x000D_
+ [H418] Amortization of goodwill, cash flow statement_x000D_
+ [H419] Amortization of intangibles assumed to have indefinite life, cash flow statement_x000D_
+ [H420] Amortization of other intangibles, cash flow statement_x000D_
+ [H423] Restructuring costs, recurring, cash flow statement_x000D_
+ [H424] Restructuring costs, one time, cash flow statement_x000D_
+ [H425] Legal provision, recurring, cash flow statement_x000D_
+ [H426] Legal provision, one time, cash flow statement_x000D_
+ [H427] Environmental provision, recurring, cash flow statement_x000D_
+ [H428] Environmental provision, one time, cash flow statement_x000D_
+ [H429] Other provisions, recurring, cash flow statement_x000D_
+ [H430] Other provisions, one time, cash flow statement_x000D_
+ [H431] Goodwill impairment, cash flow statement_x000D_
+ [H432] Indefinite life intangible impairment, cash flow statement_x000D_
+ [H433] Asset impairment, nongoodwill, one time, cash flow statement_x000D_
- [H434] Gains (losses) from sale of PPE and intangibles, recurring, cash flow statement_x000D_
- [H435] Gains (losses) from sale of PPE and intangibles, one time, cash flow statement_x000D_
- [H436] Bonus paid to directors and corporate auditors (Japan)_x000D_
- [H437] Bonus to directors and supervisors, cash flow statement (Taiwan)_x000D_
- [H438] Employee cash bonus, cash flow statement (Taiwan)_x000D_
- [H439] Capital expenditures_x000D_
- [H442] Capital expenditures, related to lessor financing_x000D_
- [H443] Interest capitalized, cash flow statement_x000D_
- [H444] Unrealized foreign currency exchange gain (loss), cash flow statement_x000D_
+ [H446] Amortization of discount (premium) on debt_x000D_
+ [H448] Net disposals (acquisitions)_x000D_
- [H462] Investment in intangible assets_x000D_
+ [H445] Proceeds from sale of PPE and intangible assets_x000D_
- [H469] Income (loss) from investments under the equity method, operating, cash flow statement_x000D_
- [H470] Income (loss) from investments under the equity method, nonoperating, cash flow statement_x000D_
+ [H471] Dividends from investments under the equity method, operating, cash flow statement_x000D_
+ [H472] Dividends from investments under the equity method, nonoperating, cash flow statement_x000D_
+ [H473] Net increase in deferred tax liabilities (assets)_x000D_
+ [H475] Net increase in income tax payable (receivable)_x000D_
+ [H477] Stock-based compensation charge, pretax_x000D_
+ [H478] Tax benefit from exercise of employee stock options, cash flow statement_x000D_
+ [H479] Net decrease in other assets, operating_x000D_
+ [H480] Net decrease in trade receivables_x000D_
+ [H481] Net decrease in finance lease receivables_x000D_
+ [H482] Net decrease in unbilled receivables_x000D_
+ [H483] Net decrease in other receivables_x000D_
+ [H484] Net decrease in prepaid expenses_x000D_
+ [H485] Net decrease in inventories_x000D_
+ [H486] Net increase in trade and other payables_x000D_
+ [H487] Net increase in deferred revenue_x000D_
+ [H488] Net increase in accrued expenses_x000D_
+ [H489] Net increase in billings in excess of cost_x000D_
+ [H490] Net increase in customer advances and deposits_x000D_
+ [H491] Net increase in deferred compensation_x000D_
+ [H492] Proceeds from issuance and cash used to repay short term borrowings_x000D_
+ [H493] Proceeds from issuance and cash used to repay long term debt_x000D_
+ [H494] Net increase in provisions and reserves_x000D_
+ [H495] Net increase in other payables and accrued expenses_x000D_
+ [H496] Net increase in other liabilities, operating_x000D_
+ [H497] Net increase in minority interests in shareholders' equity_x000D_
+ [H498] Net issuance of preferred stock_x000D_
+ [H501] Proceeds from issuance/(funds used to repurchase) common stock_x000D_
- [H504] Cash dividends paid_x000D_
+ [H505] Net decrease in notes receivable_x000D_
+ [H506] Net decrease in other assets, nonoperating_x000D_
+ [H507] Net increase in dividends payable_x000D_
+ [H508] Net increase in other liabilities, nonoperating_x000D_
+ [H509] Contribution to pension and other post retirement plan assets_x000D_
+ [H447] Net pension and OPEB expense, cash flow statement_x000D_
+ [H510] Net increase in securitized assets, cash flow statement_x000D_
+ [H511] Net decrease in investments, nonoperating_x000D_
+ [H512] Net cash flow from discontinued operations_x000D_
+ [H513] Other cash flow_x000D_
+ [H514] Effect of foreign exchange rates on cash_x000D_
</t>
        </r>
      </text>
    </comment>
    <comment ref="I128" authorId="0">
      <text>
        <r>
          <rPr>
            <sz val="8"/>
            <color indexed="81"/>
            <rFont val="Tahoma"/>
            <family val="2"/>
          </rPr>
          <t xml:space="preserve"> [I415] Net income, reported, cash flow statement_x000D_
+ [I416] Depreciation, cash flow statement_x000D_
+ [I417] Depreciation on operating leases, lessor, cash flow statement_x000D_
+ [I418] Amortization of goodwill, cash flow statement_x000D_
+ [I419] Amortization of intangibles assumed to have indefinite life, cash flow statement_x000D_
+ [I420] Amortization of other intangibles, cash flow statement_x000D_
+ [I423] Restructuring costs, recurring, cash flow statement_x000D_
+ [I424] Restructuring costs, one time, cash flow statement_x000D_
+ [I425] Legal provision, recurring, cash flow statement_x000D_
+ [I426] Legal provision, one time, cash flow statement_x000D_
+ [I427] Environmental provision, recurring, cash flow statement_x000D_
+ [I428] Environmental provision, one time, cash flow statement_x000D_
+ [I429] Other provisions, recurring, cash flow statement_x000D_
+ [I430] Other provisions, one time, cash flow statement_x000D_
+ [I431] Goodwill impairment, cash flow statement_x000D_
+ [I432] Indefinite life intangible impairment, cash flow statement_x000D_
+ [I433] Asset impairment, nongoodwill, one time, cash flow statement_x000D_
- [I434] Gains (losses) from sale of PPE and intangibles, recurring, cash flow statement_x000D_
- [I435] Gains (losses) from sale of PPE and intangibles, one time, cash flow statement_x000D_
- [I436] Bonus paid to directors and corporate auditors (Japan)_x000D_
- [I437] Bonus to directors and supervisors, cash flow statement (Taiwan)_x000D_
- [I438] Employee cash bonus, cash flow statement (Taiwan)_x000D_
- [I439] Capital expenditures_x000D_
- [I442] Capital expenditures, related to lessor financing_x000D_
- [I443] Interest capitalized, cash flow statement_x000D_
- [I444] Unrealized foreign currency exchange gain (loss), cash flow statement_x000D_
+ [I446] Amortization of discount (premium) on debt_x000D_
+ [I448] Net disposals (acquisitions)_x000D_
- [I462] Investment in intangible assets_x000D_
+ [I445] Proceeds from sale of PPE and intangible assets_x000D_
- [I469] Income (loss) from investments under the equity method, operating, cash flow statement_x000D_
- [I470] Income (loss) from investments under the equity method, nonoperating, cash flow statement_x000D_
+ [I471] Dividends from investments under the equity method, operating, cash flow statement_x000D_
+ [I472] Dividends from investments under the equity method, nonoperating, cash flow statement_x000D_
+ [I473] Net increase in deferred tax liabilities (assets)_x000D_
+ [I475] Net increase in income tax payable (receivable)_x000D_
+ [I477] Stock-based compensation charge, pretax_x000D_
+ [I478] Tax benefit from exercise of employee stock options, cash flow statement_x000D_
+ [I479] Net decrease in other assets, operating_x000D_
+ [I480] Net decrease in trade receivables_x000D_
+ [I481] Net decrease in finance lease receivables_x000D_
+ [I482] Net decrease in unbilled receivables_x000D_
+ [I483] Net decrease in other receivables_x000D_
+ [I484] Net decrease in prepaid expenses_x000D_
+ [I485] Net decrease in inventories_x000D_
+ [I486] Net increase in trade and other payables_x000D_
+ [I487] Net increase in deferred revenue_x000D_
+ [I488] Net increase in accrued expenses_x000D_
+ [I489] Net increase in billings in excess of cost_x000D_
+ [I490] Net increase in customer advances and deposits_x000D_
+ [I491] Net increase in deferred compensation_x000D_
+ [I492] Proceeds from issuance and cash used to repay short term borrowings_x000D_
+ [I493] Proceeds from issuance and cash used to repay long term debt_x000D_
+ [I494] Net increase in provisions and reserves_x000D_
+ [I495] Net increase in other payables and accrued expenses_x000D_
+ [I496] Net increase in other liabilities, operating_x000D_
+ [I497] Net increase in minority interests in shareholders' equity_x000D_
+ [I498] Net issuance of preferred stock_x000D_
+ [I501] Proceeds from issuance/(funds used to repurchase) common stock_x000D_
- [I504] Cash dividends paid_x000D_
+ [I505] Net decrease in notes receivable_x000D_
+ [I506] Net decrease in other assets, nonoperating_x000D_
+ [I507] Net increase in dividends payable_x000D_
+ [I508] Net increase in other liabilities, nonoperating_x000D_
+ [I509] Contribution to pension and other post retirement plan assets_x000D_
+ [I447] Net pension and OPEB expense, cash flow statement_x000D_
+ [I510] Net increase in securitized assets, cash flow statement_x000D_
+ [I511] Net decrease in investments, nonoperating_x000D_
+ [I512] Net cash flow from discontinued operations_x000D_
+ [I513] Other cash flow_x000D_
+ [I514] Effect of foreign exchange rates on cash_x000D_
</t>
        </r>
      </text>
    </comment>
    <comment ref="J128" authorId="0">
      <text>
        <r>
          <rPr>
            <sz val="8"/>
            <color indexed="81"/>
            <rFont val="Tahoma"/>
            <family val="2"/>
          </rPr>
          <t xml:space="preserve"> [J415] Net income, reported, cash flow statement_x000D_
+ [J416] Depreciation, cash flow statement_x000D_
+ [J417] Depreciation on operating leases, lessor, cash flow statement_x000D_
+ [J418] Amortization of goodwill, cash flow statement_x000D_
+ [J419] Amortization of intangibles assumed to have indefinite life, cash flow statement_x000D_
+ [J420] Amortization of other intangibles, cash flow statement_x000D_
+ [J423] Restructuring costs, recurring, cash flow statement_x000D_
+ [J424] Restructuring costs, one time, cash flow statement_x000D_
+ [J425] Legal provision, recurring, cash flow statement_x000D_
+ [J426] Legal provision, one time, cash flow statement_x000D_
+ [J427] Environmental provision, recurring, cash flow statement_x000D_
+ [J428] Environmental provision, one time, cash flow statement_x000D_
+ [J429] Other provisions, recurring, cash flow statement_x000D_
+ [J430] Other provisions, one time, cash flow statement_x000D_
+ [J431] Goodwill impairment, cash flow statement_x000D_
+ [J432] Indefinite life intangible impairment, cash flow statement_x000D_
+ [J433] Asset impairment, nongoodwill, one time, cash flow statement_x000D_
- [J434] Gains (losses) from sale of PPE and intangibles, recurring, cash flow statement_x000D_
- [J435] Gains (losses) from sale of PPE and intangibles, one time, cash flow statement_x000D_
- [J436] Bonus paid to directors and corporate auditors (Japan)_x000D_
- [J437] Bonus to directors and supervisors, cash flow statement (Taiwan)_x000D_
- [J438] Employee cash bonus, cash flow statement (Taiwan)_x000D_
- [J439] Capital expenditures_x000D_
- [J442] Capital expenditures, related to lessor financing_x000D_
- [J443] Interest capitalized, cash flow statement_x000D_
- [J444] Unrealized foreign currency exchange gain (loss), cash flow statement_x000D_
+ [J446] Amortization of discount (premium) on debt_x000D_
+ [J448] Net disposals (acquisitions)_x000D_
- [J462] Investment in intangible assets_x000D_
+ [J445] Proceeds from sale of PPE and intangible assets_x000D_
- [J469] Income (loss) from investments under the equity method, operating, cash flow statement_x000D_
- [J470] Income (loss) from investments under the equity method, nonoperating, cash flow statement_x000D_
+ [J471] Dividends from investments under the equity method, operating, cash flow statement_x000D_
+ [J472] Dividends from investments under the equity method, nonoperating, cash flow statement_x000D_
+ [J473] Net increase in deferred tax liabilities (assets)_x000D_
+ [J475] Net increase in income tax payable (receivable)_x000D_
+ [J477] Stock-based compensation charge, pretax_x000D_
+ [J478] Tax benefit from exercise of employee stock options, cash flow statement_x000D_
+ [J479] Net decrease in other assets, operating_x000D_
+ [J480] Net decrease in trade receivables_x000D_
+ [J481] Net decrease in finance lease receivables_x000D_
+ [J482] Net decrease in unbilled receivables_x000D_
+ [J483] Net decrease in other receivables_x000D_
+ [J484] Net decrease in prepaid expenses_x000D_
+ [J485] Net decrease in inventories_x000D_
+ [J486] Net increase in trade and other payables_x000D_
+ [J487] Net increase in deferred revenue_x000D_
+ [J488] Net increase in accrued expenses_x000D_
+ [J489] Net increase in billings in excess of cost_x000D_
+ [J490] Net increase in customer advances and deposits_x000D_
+ [J491] Net increase in deferred compensation_x000D_
+ [J492] Proceeds from issuance and cash used to repay short term borrowings_x000D_
+ [J493] Proceeds from issuance and cash used to repay long term debt_x000D_
+ [J494] Net increase in provisions and reserves_x000D_
+ [J495] Net increase in other payables and accrued expenses_x000D_
+ [J496] Net increase in other liabilities, operating_x000D_
+ [J497] Net increase in minority interests in shareholders' equity_x000D_
+ [J498] Net issuance of preferred stock_x000D_
+ [J501] Proceeds from issuance/(funds used to repurchase) common stock_x000D_
- [J504] Cash dividends paid_x000D_
+ [J505] Net decrease in notes receivable_x000D_
+ [J506] Net decrease in other assets, nonoperating_x000D_
+ [J507] Net increase in dividends payable_x000D_
+ [J508] Net increase in other liabilities, nonoperating_x000D_
+ [J509] Contribution to pension and other post retirement plan assets_x000D_
+ [J447] Net pension and OPEB expense, cash flow statement_x000D_
+ [J510] Net increase in securitized assets, cash flow statement_x000D_
+ [J511] Net decrease in investments, nonoperating_x000D_
+ [J512] Net cash flow from discontinued operations_x000D_
+ [J513] Other cash flow_x000D_
+ [J514] Effect of foreign exchange rates on cash_x000D_
</t>
        </r>
      </text>
    </comment>
    <comment ref="K128" authorId="0">
      <text>
        <r>
          <rPr>
            <sz val="8"/>
            <color indexed="81"/>
            <rFont val="Tahoma"/>
            <family val="2"/>
          </rPr>
          <t xml:space="preserve"> [K415] Net income, reported, cash flow statement_x000D_
+ [K416] Depreciation, cash flow statement_x000D_
+ [K417] Depreciation on operating leases, lessor, cash flow statement_x000D_
+ [K418] Amortization of goodwill, cash flow statement_x000D_
+ [K419] Amortization of intangibles assumed to have indefinite life, cash flow statement_x000D_
+ [K420] Amortization of other intangibles, cash flow statement_x000D_
+ [K423] Restructuring costs, recurring, cash flow statement_x000D_
+ [K424] Restructuring costs, one time, cash flow statement_x000D_
+ [K425] Legal provision, recurring, cash flow statement_x000D_
+ [K426] Legal provision, one time, cash flow statement_x000D_
+ [K427] Environmental provision, recurring, cash flow statement_x000D_
+ [K428] Environmental provision, one time, cash flow statement_x000D_
+ [K429] Other provisions, recurring, cash flow statement_x000D_
+ [K430] Other provisions, one time, cash flow statement_x000D_
+ [K431] Goodwill impairment, cash flow statement_x000D_
+ [K432] Indefinite life intangible impairment, cash flow statement_x000D_
+ [K433] Asset impairment, nongoodwill, one time, cash flow statement_x000D_
- [K434] Gains (losses) from sale of PPE and intangibles, recurring, cash flow statement_x000D_
- [K435] Gains (losses) from sale of PPE and intangibles, one time, cash flow statement_x000D_
- [K436] Bonus paid to directors and corporate auditors (Japan)_x000D_
- [K437] Bonus to directors and supervisors, cash flow statement (Taiwan)_x000D_
- [K438] Employee cash bonus, cash flow statement (Taiwan)_x000D_
- [K439] Capital expenditures_x000D_
- [K442] Capital expenditures, related to lessor financing_x000D_
- [K443] Interest capitalized, cash flow statement_x000D_
- [K444] Unrealized foreign currency exchange gain (loss), cash flow statement_x000D_
+ [K446] Amortization of discount (premium) on debt_x000D_
+ [K448] Net disposals (acquisitions)_x000D_
- [K462] Investment in intangible assets_x000D_
+ [K445] Proceeds from sale of PPE and intangible assets_x000D_
- [K469] Income (loss) from investments under the equity method, operating, cash flow statement_x000D_
- [K470] Income (loss) from investments under the equity method, nonoperating, cash flow statement_x000D_
+ [K471] Dividends from investments under the equity method, operating, cash flow statement_x000D_
+ [K472] Dividends from investments under the equity method, nonoperating, cash flow statement_x000D_
+ [K473] Net increase in deferred tax liabilities (assets)_x000D_
+ [K475] Net increase in income tax payable (receivable)_x000D_
+ [K477] Stock-based compensation charge, pretax_x000D_
+ [K478] Tax benefit from exercise of employee stock options, cash flow statement_x000D_
+ [K479] Net decrease in other assets, operating_x000D_
+ [K480] Net decrease in trade receivables_x000D_
+ [K481] Net decrease in finance lease receivables_x000D_
+ [K482] Net decrease in unbilled receivables_x000D_
+ [K483] Net decrease in other receivables_x000D_
+ [K484] Net decrease in prepaid expenses_x000D_
+ [K485] Net decrease in inventories_x000D_
+ [K486] Net increase in trade and other payables_x000D_
+ [K487] Net increase in deferred revenue_x000D_
+ [K488] Net increase in accrued expenses_x000D_
+ [K489] Net increase in billings in excess of cost_x000D_
+ [K490] Net increase in customer advances and deposits_x000D_
+ [K491] Net increase in deferred compensation_x000D_
+ [K492] Proceeds from issuance and cash used to repay short term borrowings_x000D_
+ [K493] Proceeds from issuance and cash used to repay long term debt_x000D_
+ [K494] Net increase in provisions and reserves_x000D_
+ [K495] Net increase in other payables and accrued expenses_x000D_
+ [K496] Net increase in other liabilities, operating_x000D_
+ [K497] Net increase in minority interests in shareholders' equity_x000D_
+ [K498] Net issuance of preferred stock_x000D_
+ [K501] Proceeds from issuance/(funds used to repurchase) common stock_x000D_
- [K504] Cash dividends paid_x000D_
+ [K505] Net decrease in notes receivable_x000D_
+ [K506] Net decrease in other assets, nonoperating_x000D_
+ [K507] Net increase in dividends payable_x000D_
+ [K508] Net increase in other liabilities, nonoperating_x000D_
+ [K509] Contribution to pension and other post retirement plan assets_x000D_
+ [K447] Net pension and OPEB expense, cash flow statement_x000D_
+ [K510] Net increase in securitized assets, cash flow statement_x000D_
+ [K511] Net decrease in investments, nonoperating_x000D_
+ [K512] Net cash flow from discontinued operations_x000D_
+ [K513] Other cash flow_x000D_
+ [K514] Effect of foreign exchange rates on cash_x000D_
</t>
        </r>
      </text>
    </comment>
    <comment ref="L128" authorId="0">
      <text>
        <r>
          <rPr>
            <sz val="8"/>
            <color indexed="81"/>
            <rFont val="Tahoma"/>
            <family val="2"/>
          </rPr>
          <t xml:space="preserve"> [L415] Net income, reported, cash flow statement_x000D_
+ [L416] Depreciation, cash flow statement_x000D_
+ [L417] Depreciation on operating leases, lessor, cash flow statement_x000D_
+ [L418] Amortization of goodwill, cash flow statement_x000D_
+ [L419] Amortization of intangibles assumed to have indefinite life, cash flow statement_x000D_
+ [L420] Amortization of other intangibles, cash flow statement_x000D_
+ [L423] Restructuring costs, recurring, cash flow statement_x000D_
+ [L424] Restructuring costs, one time, cash flow statement_x000D_
+ [L425] Legal provision, recurring, cash flow statement_x000D_
+ [L426] Legal provision, one time, cash flow statement_x000D_
+ [L427] Environmental provision, recurring, cash flow statement_x000D_
+ [L428] Environmental provision, one time, cash flow statement_x000D_
+ [L429] Other provisions, recurring, cash flow statement_x000D_
+ [L430] Other provisions, one time, cash flow statement_x000D_
+ [L431] Goodwill impairment, cash flow statement_x000D_
+ [L432] Indefinite life intangible impairment, cash flow statement_x000D_
+ [L433] Asset impairment, nongoodwill, one time, cash flow statement_x000D_
- [L434] Gains (losses) from sale of PPE and intangibles, recurring, cash flow statement_x000D_
- [L435] Gains (losses) from sale of PPE and intangibles, one time, cash flow statement_x000D_
- [L436] Bonus paid to directors and corporate auditors (Japan)_x000D_
- [L437] Bonus to directors and supervisors, cash flow statement (Taiwan)_x000D_
- [L438] Employee cash bonus, cash flow statement (Taiwan)_x000D_
- [L439] Capital expenditures_x000D_
- [L442] Capital expenditures, related to lessor financing_x000D_
- [L443] Interest capitalized, cash flow statement_x000D_
- [L444] Unrealized foreign currency exchange gain (loss), cash flow statement_x000D_
+ [L446] Amortization of discount (premium) on debt_x000D_
+ [L448] Net disposals (acquisitions)_x000D_
- [L462] Investment in intangible assets_x000D_
+ [L445] Proceeds from sale of PPE and intangible assets_x000D_
- [L469] Income (loss) from investments under the equity method, operating, cash flow statement_x000D_
- [L470] Income (loss) from investments under the equity method, nonoperating, cash flow statement_x000D_
+ [L471] Dividends from investments under the equity method, operating, cash flow statement_x000D_
+ [L472] Dividends from investments under the equity method, nonoperating, cash flow statement_x000D_
+ [L473] Net increase in deferred tax liabilities (assets)_x000D_
+ [L475] Net increase in income tax payable (receivable)_x000D_
+ [L477] Stock-based compensation charge, pretax_x000D_
+ [L478] Tax benefit from exercise of employee stock options, cash flow statement_x000D_
+ [L479] Net decrease in other assets, operating_x000D_
+ [L480] Net decrease in trade receivables_x000D_
+ [L481] Net decrease in finance lease receivables_x000D_
+ [L482] Net decrease in unbilled receivables_x000D_
+ [L483] Net decrease in other receivables_x000D_
+ [L484] Net decrease in prepaid expenses_x000D_
+ [L485] Net decrease in inventories_x000D_
+ [L486] Net increase in trade and other payables_x000D_
+ [L487] Net increase in deferred revenue_x000D_
+ [L488] Net increase in accrued expenses_x000D_
+ [L489] Net increase in billings in excess of cost_x000D_
+ [L490] Net increase in customer advances and deposits_x000D_
+ [L491] Net increase in deferred compensation_x000D_
+ [L492] Proceeds from issuance and cash used to repay short term borrowings_x000D_
+ [L493] Proceeds from issuance and cash used to repay long term debt_x000D_
+ [L494] Net increase in provisions and reserves_x000D_
+ [L495] Net increase in other payables and accrued expenses_x000D_
+ [L496] Net increase in other liabilities, operating_x000D_
+ [L497] Net increase in minority interests in shareholders' equity_x000D_
+ [L498] Net issuance of preferred stock_x000D_
+ [L501] Proceeds from issuance/(funds used to repurchase) common stock_x000D_
- [L504] Cash dividends paid_x000D_
+ [L505] Net decrease in notes receivable_x000D_
+ [L506] Net decrease in other assets, nonoperating_x000D_
+ [L507] Net increase in dividends payable_x000D_
+ [L508] Net increase in other liabilities, nonoperating_x000D_
+ [L509] Contribution to pension and other post retirement plan assets_x000D_
+ [L447] Net pension and OPEB expense, cash flow statement_x000D_
+ [L510] Net increase in securitized assets, cash flow statement_x000D_
+ [L511] Net decrease in investments, nonoperating_x000D_
+ [L512] Net cash flow from discontinued operations_x000D_
+ [L513] Other cash flow_x000D_
+ [L514] Effect of foreign exchange rates on cash_x000D_
</t>
        </r>
      </text>
    </comment>
    <comment ref="M128" authorId="0">
      <text>
        <r>
          <rPr>
            <sz val="8"/>
            <color indexed="81"/>
            <rFont val="Tahoma"/>
            <family val="2"/>
          </rPr>
          <t xml:space="preserve"> [M415] Net income, reported, cash flow statement_x000D_
+ [M416] Depreciation, cash flow statement_x000D_
+ [M417] Depreciation on operating leases, lessor, cash flow statement_x000D_
+ [M418] Amortization of goodwill, cash flow statement_x000D_
+ [M419] Amortization of intangibles assumed to have indefinite life, cash flow statement_x000D_
+ [M420] Amortization of other intangibles, cash flow statement_x000D_
+ [M423] Restructuring costs, recurring, cash flow statement_x000D_
+ [M424] Restructuring costs, one time, cash flow statement_x000D_
+ [M425] Legal provision, recurring, cash flow statement_x000D_
+ [M426] Legal provision, one time, cash flow statement_x000D_
+ [M427] Environmental provision, recurring, cash flow statement_x000D_
+ [M428] Environmental provision, one time, cash flow statement_x000D_
+ [M429] Other provisions, recurring, cash flow statement_x000D_
+ [M430] Other provisions, one time, cash flow statement_x000D_
+ [M431] Goodwill impairment, cash flow statement_x000D_
+ [M432] Indefinite life intangible impairment, cash flow statement_x000D_
+ [M433] Asset impairment, nongoodwill, one time, cash flow statement_x000D_
- [M434] Gains (losses) from sale of PPE and intangibles, recurring, cash flow statement_x000D_
- [M435] Gains (losses) from sale of PPE and intangibles, one time, cash flow statement_x000D_
- [M436] Bonus paid to directors and corporate auditors (Japan)_x000D_
- [M437] Bonus to directors and supervisors, cash flow statement (Taiwan)_x000D_
- [M438] Employee cash bonus, cash flow statement (Taiwan)_x000D_
- [M439] Capital expenditures_x000D_
- [M442] Capital expenditures, related to lessor financing_x000D_
- [M443] Interest capitalized, cash flow statement_x000D_
- [M444] Unrealized foreign currency exchange gain (loss), cash flow statement_x000D_
+ [M446] Amortization of discount (premium) on debt_x000D_
+ [M448] Net disposals (acquisitions)_x000D_
- [M462] Investment in intangible assets_x000D_
+ [M445] Proceeds from sale of PPE and intangible assets_x000D_
- [M469] Income (loss) from investments under the equity method, operating, cash flow statement_x000D_
- [M470] Income (loss) from investments under the equity method, nonoperating, cash flow statement_x000D_
+ [M471] Dividends from investments under the equity method, operating, cash flow statement_x000D_
+ [M472] Dividends from investments under the equity method, nonoperating, cash flow statement_x000D_
+ [M473] Net increase in deferred tax liabilities (assets)_x000D_
+ [M475] Net increase in income tax payable (receivable)_x000D_
+ [M477] Stock-based compensation charge, pretax_x000D_
+ [M478] Tax benefit from exercise of employee stock options, cash flow statement_x000D_
+ [M479] Net decrease in other assets, operating_x000D_
+ [M480] Net decrease in trade receivables_x000D_
+ [M481] Net decrease in finance lease receivables_x000D_
+ [M482] Net decrease in unbilled receivables_x000D_
+ [M483] Net decrease in other receivables_x000D_
+ [M484] Net decrease in prepaid expenses_x000D_
+ [M485] Net decrease in inventories_x000D_
+ [M486] Net increase in trade and other payables_x000D_
+ [M487] Net increase in deferred revenue_x000D_
+ [M488] Net increase in accrued expenses_x000D_
+ [M489] Net increase in billings in excess of cost_x000D_
+ [M490] Net increase in customer advances and deposits_x000D_
+ [M491] Net increase in deferred compensation_x000D_
+ [M492] Proceeds from issuance and cash used to repay short term borrowings_x000D_
+ [M493] Proceeds from issuance and cash used to repay long term debt_x000D_
+ [M494] Net increase in provisions and reserves_x000D_
+ [M495] Net increase in other payables and accrued expenses_x000D_
+ [M496] Net increase in other liabilities, operating_x000D_
+ [M497] Net increase in minority interests in shareholders' equity_x000D_
+ [M498] Net issuance of preferred stock_x000D_
+ [M501] Proceeds from issuance/(funds used to repurchase) common stock_x000D_
- [M504] Cash dividends paid_x000D_
+ [M505] Net decrease in notes receivable_x000D_
+ [M506] Net decrease in other assets, nonoperating_x000D_
+ [M507] Net increase in dividends payable_x000D_
+ [M508] Net increase in other liabilities, nonoperating_x000D_
+ [M509] Contribution to pension and other post retirement plan assets_x000D_
+ [M447] Net pension and OPEB expense, cash flow statement_x000D_
+ [M510] Net increase in securitized assets, cash flow statement_x000D_
+ [M511] Net decrease in investments, nonoperating_x000D_
+ [M512] Net cash flow from discontinued operations_x000D_
+ [M513] Other cash flow_x000D_
+ [M514] Effect of foreign exchange rates on cash_x000D_
</t>
        </r>
      </text>
    </comment>
    <comment ref="N128" authorId="0">
      <text>
        <r>
          <rPr>
            <sz val="8"/>
            <color indexed="81"/>
            <rFont val="Tahoma"/>
            <family val="2"/>
          </rPr>
          <t xml:space="preserve"> [L415] Net income, reported, cash flow statement_x000D_
+ [L416] Depreciation, cash flow statement_x000D_
+ [L417] Depreciation on operating leases, lessor, cash flow statement_x000D_
+ [L418] Amortization of goodwill, cash flow statement_x000D_
+ [L419] Amortization of intangibles assumed to have indefinite life, cash flow statement_x000D_
+ [L420] Amortization of other intangibles, cash flow statement_x000D_
+ [L423] Restructuring costs, recurring, cash flow statement_x000D_
+ [L424] Restructuring costs, one time, cash flow statement_x000D_
+ [L425] Legal provision, recurring, cash flow statement_x000D_
+ [L426] Legal provision, one time, cash flow statement_x000D_
+ [L427] Environmental provision, recurring, cash flow statement_x000D_
+ [L428] Environmental provision, one time, cash flow statement_x000D_
+ [L429] Other provisions, recurring, cash flow statement_x000D_
+ [L430] Other provisions, one time, cash flow statement_x000D_
+ [L431] Goodwill impairment, cash flow statement_x000D_
+ [L432] Indefinite life intangible impairment, cash flow statement_x000D_
+ [L433] Asset impairment, nongoodwill, one time, cash flow statement_x000D_
- [L434] Gains (losses) from sale of PPE and intangibles, recurring, cash flow statement_x000D_
- [L435] Gains (losses) from sale of PPE and intangibles, one time, cash flow statement_x000D_
- [L436] Bonus paid to directors and corporate auditors (Japan)_x000D_
- [L437] Bonus to directors and supervisors, cash flow statement (Taiwan)_x000D_
- [L438] Employee cash bonus, cash flow statement (Taiwan)_x000D_
- [L439] Capital expenditures_x000D_
- [L442] Capital expenditures, related to lessor financing_x000D_
- [L443] Interest capitalized, cash flow statement_x000D_
- [L444] Unrealized foreign currency exchange gain (loss), cash flow statement_x000D_
+ [L446] Amortization of discount (premium) on debt_x000D_
+ [L448] Net disposals (acquisitions)_x000D_
- [L462] Investment in intangible assets_x000D_
+ [L445] Proceeds from sale of PPE and intangible assets_x000D_
- [L469] Income (loss) from investments under the equity method, operating, cash flow statement_x000D_
- [L470] Income (loss) from investments under the equity method, nonoperating, cash flow statement_x000D_
+ [L471] Dividends from investments under the equity method, operating, cash flow statement_x000D_
+ [L472] Dividends from investments under the equity method, nonoperating, cash flow statement_x000D_
+ [L473] Net increase in deferred tax liabilities (assets)_x000D_
+ [L475] Net increase in income tax payable (receivable)_x000D_
+ [L477] Stock-based compensation charge, pretax_x000D_
+ [L478] Tax benefit from exercise of employee stock options, cash flow statement_x000D_
+ [L479] Net decrease in other assets, operating_x000D_
+ [L480] Net decrease in trade receivables_x000D_
+ [L481] Net decrease in finance lease receivables_x000D_
+ [L482] Net decrease in unbilled receivables_x000D_
+ [L483] Net decrease in other receivables_x000D_
+ [L484] Net decrease in prepaid expenses_x000D_
+ [L485] Net decrease in inventories_x000D_
+ [L486] Net increase in trade and other payables_x000D_
+ [L487] Net increase in deferred revenue_x000D_
+ [L488] Net increase in accrued expenses_x000D_
+ [L489] Net increase in billings in excess of cost_x000D_
+ [L490] Net increase in customer advances and deposits_x000D_
+ [L491] Net increase in deferred compensation_x000D_
+ [L492] Proceeds from issuance and cash used to repay short term borrowings_x000D_
+ [L493] Proceeds from issuance and cash used to repay long term debt_x000D_
+ [L494] Net increase in provisions and reserves_x000D_
+ [L495] Net increase in other payables and accrued expenses_x000D_
+ [L496] Net increase in other liabilities, operating_x000D_
+ [L497] Net increase in minority interests in shareholders' equity_x000D_
+ [L498] Net issuance of preferred stock_x000D_
+ [L501] Proceeds from issuance/(funds used to repurchase) common stock_x000D_
- [L504] Cash dividends paid_x000D_
+ [L505] Net decrease in notes receivable_x000D_
+ [L506] Net decrease in other assets, nonoperating_x000D_
+ [L507] Net increase in dividends payable_x000D_
+ [L508] Net increase in other liabilities, nonoperating_x000D_
+ [L509] Contribution to pension and other post retirement plan assets_x000D_
+ [L447] Net pension and OPEB expense, cash flow statement_x000D_
+ [L510] Net increase in securitized assets, cash flow statement_x000D_
+ [L511] Net decrease in investments, nonoperating_x000D_
+ [L512] Net cash flow from discontinued operations_x000D_
+ [L513] Other cash flow_x000D_
+ [L514] Effect of foreign exchange rates on cash_x000D_
</t>
        </r>
      </text>
    </comment>
    <comment ref="G139" authorId="0">
      <text>
        <r>
          <rPr>
            <sz val="8"/>
            <color indexed="81"/>
            <rFont val="Tahoma"/>
            <family val="2"/>
          </rPr>
          <t xml:space="preserve"> [G267] Statutory tax rate_x000D_
</t>
        </r>
      </text>
    </comment>
    <comment ref="H139" authorId="0">
      <text>
        <r>
          <rPr>
            <sz val="8"/>
            <color indexed="81"/>
            <rFont val="Tahoma"/>
            <family val="2"/>
          </rPr>
          <t xml:space="preserve"> [H267] Statutory tax rate_x000D_
</t>
        </r>
      </text>
    </comment>
    <comment ref="I139" authorId="0">
      <text>
        <r>
          <rPr>
            <sz val="8"/>
            <color indexed="81"/>
            <rFont val="Tahoma"/>
            <family val="2"/>
          </rPr>
          <t xml:space="preserve"> [I267] Statutory tax rate_x000D_
</t>
        </r>
      </text>
    </comment>
    <comment ref="J139" authorId="0">
      <text>
        <r>
          <rPr>
            <sz val="8"/>
            <color indexed="81"/>
            <rFont val="Tahoma"/>
            <family val="2"/>
          </rPr>
          <t xml:space="preserve"> [J267] Statutory tax rate_x000D_
</t>
        </r>
      </text>
    </comment>
    <comment ref="K139" authorId="0">
      <text>
        <r>
          <rPr>
            <sz val="8"/>
            <color indexed="81"/>
            <rFont val="Tahoma"/>
            <family val="2"/>
          </rPr>
          <t xml:space="preserve"> [K267] Statutory tax rate_x000D_
</t>
        </r>
      </text>
    </comment>
    <comment ref="L139" authorId="0">
      <text>
        <r>
          <rPr>
            <sz val="8"/>
            <color indexed="81"/>
            <rFont val="Tahoma"/>
            <family val="2"/>
          </rPr>
          <t xml:space="preserve"> [L267] Statutory tax rate_x000D_
</t>
        </r>
      </text>
    </comment>
    <comment ref="M139" authorId="0">
      <text>
        <r>
          <rPr>
            <sz val="8"/>
            <color indexed="81"/>
            <rFont val="Tahoma"/>
            <family val="2"/>
          </rPr>
          <t xml:space="preserve"> [M267] Statutory tax rate_x000D_
</t>
        </r>
      </text>
    </comment>
    <comment ref="N139" authorId="0">
      <text>
        <r>
          <rPr>
            <sz val="8"/>
            <color indexed="81"/>
            <rFont val="Tahoma"/>
            <family val="2"/>
          </rPr>
          <t xml:space="preserve"> [L267] Statutory tax rate_x000D_
</t>
        </r>
      </text>
    </comment>
    <comment ref="G142" authorId="1">
      <text>
        <r>
          <rPr>
            <b/>
            <sz val="8"/>
            <color indexed="81"/>
            <rFont val="Tahoma"/>
            <family val="2"/>
          </rPr>
          <t>Evalueserve:</t>
        </r>
        <r>
          <rPr>
            <sz val="8"/>
            <color indexed="81"/>
            <rFont val="Tahoma"/>
            <family val="2"/>
          </rPr>
          <t xml:space="preserve">
Calculated as:
+ Owned, leased and consolidated joint venture hotels
+ Management and franchise fees
+ Unconsolidated Joint ventures and other
+ Gaming </t>
        </r>
      </text>
    </comment>
    <comment ref="H142" authorId="1">
      <text>
        <r>
          <rPr>
            <b/>
            <sz val="8"/>
            <color indexed="81"/>
            <rFont val="Tahoma"/>
            <family val="2"/>
          </rPr>
          <t>Evalueserve:</t>
        </r>
        <r>
          <rPr>
            <sz val="8"/>
            <color indexed="81"/>
            <rFont val="Tahoma"/>
            <family val="2"/>
          </rPr>
          <t xml:space="preserve">
Calculated as:
+ Owned, leased and consolidated joint venture hotels
+ Management and franchise fees
+ Other </t>
        </r>
      </text>
    </comment>
    <comment ref="I142" authorId="1">
      <text>
        <r>
          <rPr>
            <b/>
            <sz val="8"/>
            <color indexed="81"/>
            <rFont val="Tahoma"/>
            <family val="2"/>
          </rPr>
          <t>Evalueserve:</t>
        </r>
        <r>
          <rPr>
            <sz val="8"/>
            <color indexed="81"/>
            <rFont val="Tahoma"/>
            <family val="2"/>
          </rPr>
          <t xml:space="preserve">
Calculated as:
+ Owned, leased and consolidated joint venture hotels
+ Other hotel and leisure</t>
        </r>
      </text>
    </comment>
    <comment ref="J142" authorId="1">
      <text>
        <r>
          <rPr>
            <b/>
            <sz val="8"/>
            <color indexed="81"/>
            <rFont val="Tahoma"/>
            <family val="2"/>
          </rPr>
          <t>Evalueserve:</t>
        </r>
        <r>
          <rPr>
            <sz val="8"/>
            <color indexed="81"/>
            <rFont val="Tahoma"/>
            <family val="2"/>
          </rPr>
          <t xml:space="preserve">
Calculated as:
+ Owned, leased and consolidated joint venture hotels
+ Other hotel and leisure</t>
        </r>
      </text>
    </comment>
    <comment ref="K142" authorId="1">
      <text>
        <r>
          <rPr>
            <b/>
            <sz val="8"/>
            <color indexed="81"/>
            <rFont val="Tahoma"/>
            <family val="2"/>
          </rPr>
          <t>Evalueserve:</t>
        </r>
        <r>
          <rPr>
            <sz val="8"/>
            <color indexed="81"/>
            <rFont val="Tahoma"/>
            <family val="2"/>
          </rPr>
          <t xml:space="preserve">
Calculated as:
+ Owned, leased and consolidated joint venture hotels
+ Other hotel and leisure
+ Other revenues from managed and franchised properties</t>
        </r>
      </text>
    </comment>
    <comment ref="L142" authorId="1">
      <text>
        <r>
          <rPr>
            <b/>
            <sz val="8"/>
            <color indexed="81"/>
            <rFont val="Tahoma"/>
            <family val="2"/>
          </rPr>
          <t>Evalueserve:</t>
        </r>
        <r>
          <rPr>
            <sz val="8"/>
            <color indexed="81"/>
            <rFont val="Tahoma"/>
            <family val="2"/>
          </rPr>
          <t xml:space="preserve">
Calculated as:
+ Owned, leased and consolidated joint venture hotels
+ Other hotel and leisure
+ Other revenues from managed and franchised properties</t>
        </r>
      </text>
    </comment>
    <comment ref="M142" authorId="1">
      <text>
        <r>
          <rPr>
            <b/>
            <sz val="8"/>
            <color indexed="81"/>
            <rFont val="Tahoma"/>
            <family val="2"/>
          </rPr>
          <t>Evalueserve:</t>
        </r>
        <r>
          <rPr>
            <sz val="8"/>
            <color indexed="81"/>
            <rFont val="Tahoma"/>
            <family val="2"/>
          </rPr>
          <t xml:space="preserve">
Calculated as:
+ Owned, leased and consolidated joint venture hotels
+ Vacation ownership and residential sales and services
+ Management fees, franchise fees and other income
+ Other revenues from managed and franchised properties</t>
        </r>
      </text>
    </comment>
    <comment ref="N142" authorId="1">
      <text>
        <r>
          <rPr>
            <b/>
            <sz val="8"/>
            <color indexed="81"/>
            <rFont val="Tahoma"/>
            <family val="2"/>
          </rPr>
          <t>Evalueserve:</t>
        </r>
        <r>
          <rPr>
            <sz val="8"/>
            <color indexed="81"/>
            <rFont val="Tahoma"/>
            <family val="2"/>
          </rPr>
          <t xml:space="preserve">
Calculated as:
+ Owned, leased and consolidated joint venture hotels
+ Vacation ownership and residential sales and services
+ Management fees, franchise fees and other income
+ Other revenues from managed and franchised properties</t>
        </r>
      </text>
    </comment>
    <comment ref="G160" authorId="1">
      <text>
        <r>
          <rPr>
            <b/>
            <sz val="8"/>
            <color indexed="81"/>
            <rFont val="Tahoma"/>
            <family val="2"/>
          </rPr>
          <t>Evalueserve:</t>
        </r>
        <r>
          <rPr>
            <sz val="8"/>
            <color indexed="81"/>
            <rFont val="Tahoma"/>
            <family val="2"/>
          </rPr>
          <t xml:space="preserve">
Calculated as:
+ Owned, leased and consolidated joint venture hotels
+ Other
+ Gaming</t>
        </r>
      </text>
    </comment>
    <comment ref="H160" authorId="1">
      <text>
        <r>
          <rPr>
            <b/>
            <sz val="8"/>
            <color indexed="81"/>
            <rFont val="Tahoma"/>
            <family val="2"/>
          </rPr>
          <t>Evalueserve:</t>
        </r>
        <r>
          <rPr>
            <sz val="8"/>
            <color indexed="81"/>
            <rFont val="Tahoma"/>
            <family val="2"/>
          </rPr>
          <t xml:space="preserve">
Reported as:
Owned, leased and consolidated joint venture hotels
</t>
        </r>
      </text>
    </comment>
    <comment ref="I160" authorId="1">
      <text>
        <r>
          <rPr>
            <b/>
            <sz val="8"/>
            <color indexed="81"/>
            <rFont val="Tahoma"/>
            <family val="2"/>
          </rPr>
          <t>Evalueserve:</t>
        </r>
        <r>
          <rPr>
            <sz val="8"/>
            <color indexed="81"/>
            <rFont val="Tahoma"/>
            <family val="2"/>
          </rPr>
          <t xml:space="preserve">
Reported as:
Owned, leased and consolidated joint venture hotels
</t>
        </r>
      </text>
    </comment>
    <comment ref="J160" authorId="1">
      <text>
        <r>
          <rPr>
            <b/>
            <sz val="8"/>
            <color indexed="81"/>
            <rFont val="Tahoma"/>
            <family val="2"/>
          </rPr>
          <t>Evalueserve:</t>
        </r>
        <r>
          <rPr>
            <sz val="8"/>
            <color indexed="81"/>
            <rFont val="Tahoma"/>
            <family val="2"/>
          </rPr>
          <t xml:space="preserve">
Reported as:
Owned, leased and consolidated joint venture hotels
</t>
        </r>
      </text>
    </comment>
    <comment ref="K160" authorId="1">
      <text>
        <r>
          <rPr>
            <b/>
            <sz val="8"/>
            <color indexed="81"/>
            <rFont val="Tahoma"/>
            <family val="2"/>
          </rPr>
          <t>Evalueserve:</t>
        </r>
        <r>
          <rPr>
            <sz val="8"/>
            <color indexed="81"/>
            <rFont val="Tahoma"/>
            <family val="2"/>
          </rPr>
          <t xml:space="preserve">
Reported as:
Owned, leased and consolidated joint venture hotels
</t>
        </r>
      </text>
    </comment>
    <comment ref="L160" authorId="1">
      <text>
        <r>
          <rPr>
            <b/>
            <sz val="8"/>
            <color indexed="81"/>
            <rFont val="Tahoma"/>
            <family val="2"/>
          </rPr>
          <t>Evalueserve:</t>
        </r>
        <r>
          <rPr>
            <sz val="8"/>
            <color indexed="81"/>
            <rFont val="Tahoma"/>
            <family val="2"/>
          </rPr>
          <t xml:space="preserve">
Reported as:
Owned, leased and consolidated joint venture hotels
</t>
        </r>
      </text>
    </comment>
    <comment ref="M160" authorId="1">
      <text>
        <r>
          <rPr>
            <b/>
            <sz val="8"/>
            <color indexed="81"/>
            <rFont val="Tahoma"/>
            <family val="2"/>
          </rPr>
          <t>Evalueserve:</t>
        </r>
        <r>
          <rPr>
            <sz val="8"/>
            <color indexed="81"/>
            <rFont val="Tahoma"/>
            <family val="2"/>
          </rPr>
          <t xml:space="preserve">
Calculated as:
+ Owned, leased and consolidated joint venture hotels
+ Vacation ownership and residential</t>
        </r>
      </text>
    </comment>
    <comment ref="N160" authorId="1">
      <text>
        <r>
          <rPr>
            <b/>
            <sz val="8"/>
            <color indexed="81"/>
            <rFont val="Tahoma"/>
            <family val="2"/>
          </rPr>
          <t>Evalueserve:</t>
        </r>
        <r>
          <rPr>
            <sz val="8"/>
            <color indexed="81"/>
            <rFont val="Tahoma"/>
            <family val="2"/>
          </rPr>
          <t xml:space="preserve">
Calculated as:
+ Owned, leased and consolidated joint venture hotels
+ Vacation ownership and residential</t>
        </r>
      </text>
    </comment>
    <comment ref="G163" authorId="1">
      <text>
        <r>
          <rPr>
            <b/>
            <sz val="8"/>
            <color indexed="81"/>
            <rFont val="Tahoma"/>
            <family val="2"/>
          </rPr>
          <t>Evalueserve:</t>
        </r>
        <r>
          <rPr>
            <sz val="8"/>
            <color indexed="81"/>
            <rFont val="Tahoma"/>
            <family val="2"/>
          </rPr>
          <t xml:space="preserve">
Data not available.</t>
        </r>
      </text>
    </comment>
    <comment ref="H163" authorId="1">
      <text>
        <r>
          <rPr>
            <b/>
            <sz val="8"/>
            <color indexed="81"/>
            <rFont val="Tahoma"/>
            <family val="2"/>
          </rPr>
          <t>Evalueserve:</t>
        </r>
        <r>
          <rPr>
            <sz val="8"/>
            <color indexed="81"/>
            <rFont val="Tahoma"/>
            <family val="2"/>
          </rPr>
          <t xml:space="preserve">
Data not available.</t>
        </r>
      </text>
    </comment>
    <comment ref="I163" authorId="1">
      <text>
        <r>
          <rPr>
            <b/>
            <sz val="8"/>
            <color indexed="81"/>
            <rFont val="Tahoma"/>
            <family val="2"/>
          </rPr>
          <t>Evalueserve:</t>
        </r>
        <r>
          <rPr>
            <sz val="8"/>
            <color indexed="81"/>
            <rFont val="Tahoma"/>
            <family val="2"/>
          </rPr>
          <t xml:space="preserve">
Data not available.</t>
        </r>
      </text>
    </comment>
    <comment ref="J163" authorId="1">
      <text>
        <r>
          <rPr>
            <b/>
            <sz val="8"/>
            <color indexed="81"/>
            <rFont val="Tahoma"/>
            <family val="2"/>
          </rPr>
          <t>Evalueserve:</t>
        </r>
        <r>
          <rPr>
            <sz val="8"/>
            <color indexed="81"/>
            <rFont val="Tahoma"/>
            <family val="2"/>
          </rPr>
          <t xml:space="preserve">
Data not available.</t>
        </r>
      </text>
    </comment>
    <comment ref="K163" authorId="1">
      <text>
        <r>
          <rPr>
            <b/>
            <sz val="8"/>
            <color indexed="81"/>
            <rFont val="Tahoma"/>
            <family val="2"/>
          </rPr>
          <t>Evalueserve:</t>
        </r>
        <r>
          <rPr>
            <sz val="8"/>
            <color indexed="81"/>
            <rFont val="Tahoma"/>
            <family val="2"/>
          </rPr>
          <t xml:space="preserve">
Data not available.</t>
        </r>
      </text>
    </comment>
    <comment ref="L163" authorId="1">
      <text>
        <r>
          <rPr>
            <b/>
            <sz val="8"/>
            <color indexed="81"/>
            <rFont val="Tahoma"/>
            <family val="2"/>
          </rPr>
          <t>Evalueserve:</t>
        </r>
        <r>
          <rPr>
            <sz val="8"/>
            <color indexed="81"/>
            <rFont val="Tahoma"/>
            <family val="2"/>
          </rPr>
          <t xml:space="preserve">
Source:
Page 81, Form 10K 2003</t>
        </r>
      </text>
    </comment>
    <comment ref="M163" authorId="1">
      <text>
        <r>
          <rPr>
            <b/>
            <sz val="8"/>
            <color indexed="81"/>
            <rFont val="Tahoma"/>
            <family val="2"/>
          </rPr>
          <t>Evalueserve:</t>
        </r>
        <r>
          <rPr>
            <sz val="8"/>
            <color indexed="81"/>
            <rFont val="Tahoma"/>
            <family val="2"/>
          </rPr>
          <t xml:space="preserve">
Source:
Page 83, Form 10K 2004</t>
        </r>
      </text>
    </comment>
    <comment ref="N163" authorId="1">
      <text>
        <r>
          <rPr>
            <b/>
            <sz val="8"/>
            <color indexed="81"/>
            <rFont val="Tahoma"/>
            <family val="2"/>
          </rPr>
          <t>Evalueserve:</t>
        </r>
        <r>
          <rPr>
            <sz val="8"/>
            <color indexed="81"/>
            <rFont val="Tahoma"/>
            <family val="2"/>
          </rPr>
          <t xml:space="preserve">
Source:
Page 83, Form 10K 2004</t>
        </r>
      </text>
    </comment>
    <comment ref="L164" authorId="1">
      <text>
        <r>
          <rPr>
            <b/>
            <sz val="8"/>
            <color indexed="81"/>
            <rFont val="Tahoma"/>
            <family val="2"/>
          </rPr>
          <t>Evalueserve:</t>
        </r>
        <r>
          <rPr>
            <sz val="8"/>
            <color indexed="81"/>
            <rFont val="Tahoma"/>
            <family val="2"/>
          </rPr>
          <t xml:space="preserve">
Calculated as:
+Selling, general, administrative, and other
-Advertising cost</t>
        </r>
      </text>
    </comment>
    <comment ref="M164" authorId="1">
      <text>
        <r>
          <rPr>
            <b/>
            <sz val="8"/>
            <color indexed="81"/>
            <rFont val="Tahoma"/>
            <family val="2"/>
          </rPr>
          <t>Evalueserve:</t>
        </r>
        <r>
          <rPr>
            <sz val="8"/>
            <color indexed="81"/>
            <rFont val="Tahoma"/>
            <family val="2"/>
          </rPr>
          <t xml:space="preserve">
Calculated as:
+Selling, general, administrative, and other
-Advertising cost</t>
        </r>
      </text>
    </comment>
    <comment ref="N164" authorId="1">
      <text>
        <r>
          <rPr>
            <b/>
            <sz val="8"/>
            <color indexed="81"/>
            <rFont val="Tahoma"/>
            <family val="2"/>
          </rPr>
          <t>Evalueserve:</t>
        </r>
        <r>
          <rPr>
            <sz val="8"/>
            <color indexed="81"/>
            <rFont val="Tahoma"/>
            <family val="2"/>
          </rPr>
          <t xml:space="preserve">
Calculated as:
+Selling, general, administrative, and other
-Advertising cost</t>
        </r>
      </text>
    </comment>
    <comment ref="G165" authorId="1">
      <text>
        <r>
          <rPr>
            <b/>
            <sz val="8"/>
            <color indexed="81"/>
            <rFont val="Tahoma"/>
            <family val="2"/>
          </rPr>
          <t>Evalueserve:</t>
        </r>
        <r>
          <rPr>
            <sz val="8"/>
            <color indexed="81"/>
            <rFont val="Tahoma"/>
            <family val="2"/>
          </rPr>
          <t xml:space="preserve">
The company does not expense this item.
Source:
Page 118 Form 10K405 1998</t>
        </r>
      </text>
    </comment>
    <comment ref="H165" authorId="1">
      <text>
        <r>
          <rPr>
            <b/>
            <sz val="8"/>
            <color indexed="81"/>
            <rFont val="Tahoma"/>
            <family val="2"/>
          </rPr>
          <t>Evalueserve:</t>
        </r>
        <r>
          <rPr>
            <sz val="8"/>
            <color indexed="81"/>
            <rFont val="Tahoma"/>
            <family val="2"/>
          </rPr>
          <t xml:space="preserve">
The company does not expense this item.
Source:
Page 83 Form 10K405 1999</t>
        </r>
      </text>
    </comment>
    <comment ref="I165" authorId="1">
      <text>
        <r>
          <rPr>
            <b/>
            <sz val="8"/>
            <color indexed="81"/>
            <rFont val="Tahoma"/>
            <family val="2"/>
          </rPr>
          <t>Evalueserve:</t>
        </r>
        <r>
          <rPr>
            <sz val="8"/>
            <color indexed="81"/>
            <rFont val="Tahoma"/>
            <family val="2"/>
          </rPr>
          <t xml:space="preserve">
The company does not expense this item.
Source:
Page 78 Form 10K405 2000</t>
        </r>
      </text>
    </comment>
    <comment ref="J165" authorId="1">
      <text>
        <r>
          <rPr>
            <b/>
            <sz val="8"/>
            <color indexed="81"/>
            <rFont val="Tahoma"/>
            <family val="2"/>
          </rPr>
          <t>Evalueserve:</t>
        </r>
        <r>
          <rPr>
            <sz val="8"/>
            <color indexed="81"/>
            <rFont val="Tahoma"/>
            <family val="2"/>
          </rPr>
          <t xml:space="preserve">
The company does not expense this item.
Source:
Page 87 Form 10K405 2001</t>
        </r>
      </text>
    </comment>
    <comment ref="K165" authorId="1">
      <text>
        <r>
          <rPr>
            <b/>
            <sz val="8"/>
            <color indexed="81"/>
            <rFont val="Tahoma"/>
            <family val="2"/>
          </rPr>
          <t>Evalueserve:</t>
        </r>
        <r>
          <rPr>
            <sz val="8"/>
            <color indexed="81"/>
            <rFont val="Tahoma"/>
            <family val="2"/>
          </rPr>
          <t xml:space="preserve">
The company does not expense this item.
Source:
Page 81 Form 10K 2002</t>
        </r>
      </text>
    </comment>
    <comment ref="L165" authorId="1">
      <text>
        <r>
          <rPr>
            <b/>
            <sz val="8"/>
            <color indexed="81"/>
            <rFont val="Tahoma"/>
            <family val="2"/>
          </rPr>
          <t>Evalueserve:</t>
        </r>
        <r>
          <rPr>
            <sz val="8"/>
            <color indexed="81"/>
            <rFont val="Tahoma"/>
            <family val="2"/>
          </rPr>
          <t xml:space="preserve">
The company does not expense this item.
Source:
Page 80 Form 10K 2003</t>
        </r>
      </text>
    </comment>
    <comment ref="M165" authorId="1">
      <text>
        <r>
          <rPr>
            <b/>
            <sz val="8"/>
            <color indexed="81"/>
            <rFont val="Tahoma"/>
            <family val="2"/>
          </rPr>
          <t>Evalueserve:</t>
        </r>
        <r>
          <rPr>
            <sz val="8"/>
            <color indexed="81"/>
            <rFont val="Tahoma"/>
            <family val="2"/>
          </rPr>
          <t xml:space="preserve">
The company does not expense this item.
Source:
Page 81 Form 10K 2004</t>
        </r>
      </text>
    </comment>
    <comment ref="N165" authorId="1">
      <text>
        <r>
          <rPr>
            <b/>
            <sz val="8"/>
            <color indexed="81"/>
            <rFont val="Tahoma"/>
            <family val="2"/>
          </rPr>
          <t>Evalueserve:</t>
        </r>
        <r>
          <rPr>
            <sz val="8"/>
            <color indexed="81"/>
            <rFont val="Tahoma"/>
            <family val="2"/>
          </rPr>
          <t xml:space="preserve">
The company does not expense this item.
Source:
Page 81 Form 10K 2004</t>
        </r>
      </text>
    </comment>
    <comment ref="G169" authorId="1">
      <text>
        <r>
          <rPr>
            <b/>
            <sz val="8"/>
            <color indexed="81"/>
            <rFont val="Tahoma"/>
            <family val="2"/>
          </rPr>
          <t>Evalueserve:</t>
        </r>
        <r>
          <rPr>
            <sz val="8"/>
            <color indexed="81"/>
            <rFont val="Tahoma"/>
            <family val="2"/>
          </rPr>
          <t xml:space="preserve">
Reported as:
Depreciation and Amortization
Since no break up of this item is given between depreciation, amortization of goodwill and amortization of other intangible assets, we are reporting the entire amount here only. 
</t>
        </r>
      </text>
    </comment>
    <comment ref="H169" authorId="1">
      <text>
        <r>
          <rPr>
            <b/>
            <sz val="8"/>
            <color indexed="81"/>
            <rFont val="Tahoma"/>
            <family val="2"/>
          </rPr>
          <t>Evalueserve:</t>
        </r>
        <r>
          <rPr>
            <sz val="8"/>
            <color indexed="81"/>
            <rFont val="Tahoma"/>
            <family val="2"/>
          </rPr>
          <t xml:space="preserve">
Reported as:
Depreciation and Amortization
Since no break up of this item is given between depreciation, amortization of goodwill and amortization of other intangible assets, we are reporting the entire amount here only. 
</t>
        </r>
      </text>
    </comment>
    <comment ref="G170" authorId="1">
      <text>
        <r>
          <rPr>
            <b/>
            <sz val="8"/>
            <color indexed="81"/>
            <rFont val="Tahoma"/>
            <family val="2"/>
          </rPr>
          <t>Evalueserve:</t>
        </r>
        <r>
          <rPr>
            <sz val="8"/>
            <color indexed="81"/>
            <rFont val="Tahoma"/>
            <family val="2"/>
          </rPr>
          <t xml:space="preserve">
Break-up is not available.</t>
        </r>
      </text>
    </comment>
    <comment ref="H170" authorId="1">
      <text>
        <r>
          <rPr>
            <b/>
            <sz val="8"/>
            <color indexed="81"/>
            <rFont val="Tahoma"/>
            <family val="2"/>
          </rPr>
          <t>Evalueserve:</t>
        </r>
        <r>
          <rPr>
            <sz val="8"/>
            <color indexed="81"/>
            <rFont val="Tahoma"/>
            <family val="2"/>
          </rPr>
          <t xml:space="preserve">
Break-up is not available.</t>
        </r>
      </text>
    </comment>
    <comment ref="I170" authorId="1">
      <text>
        <r>
          <rPr>
            <b/>
            <sz val="8"/>
            <color indexed="81"/>
            <rFont val="Tahoma"/>
            <family val="2"/>
          </rPr>
          <t>Evalueserve:</t>
        </r>
        <r>
          <rPr>
            <sz val="8"/>
            <color indexed="81"/>
            <rFont val="Tahoma"/>
            <family val="2"/>
          </rPr>
          <t xml:space="preserve">
Reported as:
Amortization
Since no break up of amortization expense is given between goodwill and other intangible assets, we are reporting the entire amount here only. 
</t>
        </r>
      </text>
    </comment>
    <comment ref="J170" authorId="1">
      <text>
        <r>
          <rPr>
            <b/>
            <sz val="8"/>
            <color indexed="81"/>
            <rFont val="Tahoma"/>
            <family val="2"/>
          </rPr>
          <t>Evalueserve:</t>
        </r>
        <r>
          <rPr>
            <sz val="8"/>
            <color indexed="81"/>
            <rFont val="Tahoma"/>
            <family val="2"/>
          </rPr>
          <t xml:space="preserve">
Reported as:
Amortization
Since no break up of amortization expense is given between goodwill and other intangible assets, we are reporting the entire amount here only. 
</t>
        </r>
      </text>
    </comment>
    <comment ref="K170" authorId="1">
      <text>
        <r>
          <rPr>
            <b/>
            <sz val="8"/>
            <color indexed="81"/>
            <rFont val="Tahoma"/>
            <family val="2"/>
          </rPr>
          <t>Evalueserve:</t>
        </r>
        <r>
          <rPr>
            <sz val="8"/>
            <color indexed="81"/>
            <rFont val="Tahoma"/>
            <family val="2"/>
          </rPr>
          <t xml:space="preserve">
Calculated as:
+ Amortization
- Amortization expense on other intangibles</t>
        </r>
      </text>
    </comment>
    <comment ref="L170" authorId="1">
      <text>
        <r>
          <rPr>
            <b/>
            <sz val="8"/>
            <color indexed="81"/>
            <rFont val="Tahoma"/>
            <family val="2"/>
          </rPr>
          <t>Evalueserve:</t>
        </r>
        <r>
          <rPr>
            <sz val="8"/>
            <color indexed="81"/>
            <rFont val="Tahoma"/>
            <family val="2"/>
          </rPr>
          <t xml:space="preserve">
The company has adopted SFAS no. 142, with effect from Jan 1, 2002. It does not require the company to amortize goodwill.
Source:
Page 77, Form 10K 2003</t>
        </r>
      </text>
    </comment>
    <comment ref="M170" authorId="1">
      <text>
        <r>
          <rPr>
            <b/>
            <sz val="8"/>
            <color indexed="81"/>
            <rFont val="Tahoma"/>
            <family val="2"/>
          </rPr>
          <t>Evalueserve:</t>
        </r>
        <r>
          <rPr>
            <sz val="8"/>
            <color indexed="81"/>
            <rFont val="Tahoma"/>
            <family val="2"/>
          </rPr>
          <t xml:space="preserve">
The company has adopted SFAS no. 142, with effect from Jan 1, 2002. It does not require the company to amortize goodwill.
Source:
Page 78, Form 10K 2004</t>
        </r>
      </text>
    </comment>
    <comment ref="N170" authorId="1">
      <text>
        <r>
          <rPr>
            <b/>
            <sz val="8"/>
            <color indexed="81"/>
            <rFont val="Tahoma"/>
            <family val="2"/>
          </rPr>
          <t>Evalueserve:</t>
        </r>
        <r>
          <rPr>
            <sz val="8"/>
            <color indexed="81"/>
            <rFont val="Tahoma"/>
            <family val="2"/>
          </rPr>
          <t xml:space="preserve">
The company has adopted SFAS no. 142, with effect from Jan 1, 2002. It does not require the company to amortize goodwill.
Source:
Page 78, Form 10K 2004</t>
        </r>
      </text>
    </comment>
    <comment ref="G174" authorId="1">
      <text>
        <r>
          <rPr>
            <b/>
            <sz val="8"/>
            <color indexed="81"/>
            <rFont val="Tahoma"/>
            <family val="2"/>
          </rPr>
          <t>Evalueserve:</t>
        </r>
        <r>
          <rPr>
            <sz val="8"/>
            <color indexed="81"/>
            <rFont val="Tahoma"/>
            <family val="2"/>
          </rPr>
          <t xml:space="preserve">
Data not available </t>
        </r>
      </text>
    </comment>
    <comment ref="H174" authorId="1">
      <text>
        <r>
          <rPr>
            <b/>
            <sz val="8"/>
            <color indexed="81"/>
            <rFont val="Tahoma"/>
            <family val="2"/>
          </rPr>
          <t>Evalueserve:</t>
        </r>
        <r>
          <rPr>
            <sz val="8"/>
            <color indexed="81"/>
            <rFont val="Tahoma"/>
            <family val="2"/>
          </rPr>
          <t xml:space="preserve">
Data not available </t>
        </r>
      </text>
    </comment>
    <comment ref="I174" authorId="1">
      <text>
        <r>
          <rPr>
            <b/>
            <sz val="8"/>
            <color indexed="81"/>
            <rFont val="Tahoma"/>
            <family val="2"/>
          </rPr>
          <t>Evalueserve:</t>
        </r>
        <r>
          <rPr>
            <sz val="8"/>
            <color indexed="81"/>
            <rFont val="Tahoma"/>
            <family val="2"/>
          </rPr>
          <t xml:space="preserve">
Data not available </t>
        </r>
      </text>
    </comment>
    <comment ref="J174" authorId="1">
      <text>
        <r>
          <rPr>
            <b/>
            <sz val="8"/>
            <color indexed="81"/>
            <rFont val="Tahoma"/>
            <family val="2"/>
          </rPr>
          <t>Evalueserve:</t>
        </r>
        <r>
          <rPr>
            <sz val="8"/>
            <color indexed="81"/>
            <rFont val="Tahoma"/>
            <family val="2"/>
          </rPr>
          <t xml:space="preserve">
Data not available </t>
        </r>
      </text>
    </comment>
    <comment ref="K174" authorId="1">
      <text>
        <r>
          <rPr>
            <b/>
            <sz val="8"/>
            <color indexed="81"/>
            <rFont val="Tahoma"/>
            <family val="2"/>
          </rPr>
          <t>Evalueserve:</t>
        </r>
        <r>
          <rPr>
            <sz val="8"/>
            <color indexed="81"/>
            <rFont val="Tahoma"/>
            <family val="2"/>
          </rPr>
          <t xml:space="preserve">
Reported as:
Amortization expense related to intangible assets with finite lives
Source:
Page 90, Form 10K 2002</t>
        </r>
      </text>
    </comment>
    <comment ref="G182" authorId="1">
      <text>
        <r>
          <rPr>
            <b/>
            <sz val="8"/>
            <color indexed="81"/>
            <rFont val="Tahoma"/>
            <family val="2"/>
          </rPr>
          <t>Evalueserve:</t>
        </r>
        <r>
          <rPr>
            <sz val="8"/>
            <color indexed="81"/>
            <rFont val="Tahoma"/>
            <family val="2"/>
          </rPr>
          <t xml:space="preserve">
Data not available.</t>
        </r>
      </text>
    </comment>
    <comment ref="H182" authorId="1">
      <text>
        <r>
          <rPr>
            <b/>
            <sz val="8"/>
            <color indexed="81"/>
            <rFont val="Tahoma"/>
            <family val="2"/>
          </rPr>
          <t>Evalueserve:</t>
        </r>
        <r>
          <rPr>
            <sz val="8"/>
            <color indexed="81"/>
            <rFont val="Tahoma"/>
            <family val="2"/>
          </rPr>
          <t xml:space="preserve">
Reported as:
Reversal in accruals related to resolution of certain employment related contingencies
Source: Page 72, Form 10k, 1999</t>
        </r>
      </text>
    </comment>
    <comment ref="I182" authorId="1">
      <text>
        <r>
          <rPr>
            <b/>
            <sz val="8"/>
            <color indexed="81"/>
            <rFont val="Tahoma"/>
            <family val="2"/>
          </rPr>
          <t>Evalueserve:</t>
        </r>
        <r>
          <rPr>
            <sz val="8"/>
            <color indexed="81"/>
            <rFont val="Tahoma"/>
            <family val="2"/>
          </rPr>
          <t xml:space="preserve">
Calculated as: 
-Reversal of accrual related to resolution of certain employment related contingencies
+Charges attributed to severance benefit for the former President and COO of the corporation
Source: Page 69, Form 10K 405 2000</t>
        </r>
      </text>
    </comment>
    <comment ref="J182" authorId="1">
      <text>
        <r>
          <rPr>
            <b/>
            <sz val="8"/>
            <color indexed="81"/>
            <rFont val="Tahoma"/>
            <family val="2"/>
          </rPr>
          <t>Evalueserve:</t>
        </r>
        <r>
          <rPr>
            <sz val="8"/>
            <color indexed="81"/>
            <rFont val="Tahoma"/>
            <family val="2"/>
          </rPr>
          <t xml:space="preserve">
Data not available.</t>
        </r>
      </text>
    </comment>
    <comment ref="K182" authorId="1">
      <text>
        <r>
          <rPr>
            <b/>
            <sz val="8"/>
            <color indexed="81"/>
            <rFont val="Tahoma"/>
            <family val="2"/>
          </rPr>
          <t>Evalueserve:</t>
        </r>
        <r>
          <rPr>
            <sz val="8"/>
            <color indexed="81"/>
            <rFont val="Tahoma"/>
            <family val="2"/>
          </rPr>
          <t xml:space="preserve">
Calculated as:
+Other expenses from managed and franchised properties
+Employee retention cost
+bad debt expenses classified as special charge
+abandoned pursuit projects
Source: Page 31
Form 10K 2002</t>
        </r>
      </text>
    </comment>
    <comment ref="L182" authorId="1">
      <text>
        <r>
          <rPr>
            <b/>
            <sz val="8"/>
            <color indexed="81"/>
            <rFont val="Tahoma"/>
            <family val="2"/>
          </rPr>
          <t>Evalueserve:</t>
        </r>
        <r>
          <rPr>
            <sz val="8"/>
            <color indexed="81"/>
            <rFont val="Tahoma"/>
            <family val="2"/>
          </rPr>
          <t xml:space="preserve">
Calculated as:
+ Other expenses from managed and franchised properties
- Gain on sale of VOI notes receivable
</t>
        </r>
      </text>
    </comment>
    <comment ref="M182" authorId="1">
      <text>
        <r>
          <rPr>
            <b/>
            <sz val="8"/>
            <color indexed="81"/>
            <rFont val="Tahoma"/>
            <family val="2"/>
          </rPr>
          <t>Evalueserve:</t>
        </r>
        <r>
          <rPr>
            <sz val="8"/>
            <color indexed="81"/>
            <rFont val="Tahoma"/>
            <family val="2"/>
          </rPr>
          <t xml:space="preserve">
Calculated as:
+ Other expenses from managed and franchised properties
- Gain on sale of VOI notes receivable
-Liability reversed which was established in 1997 for ITT Excess pension plan
-Reversal related to the collection of receivables previously deemed impaired </t>
        </r>
      </text>
    </comment>
    <comment ref="N182" authorId="1">
      <text>
        <r>
          <rPr>
            <b/>
            <sz val="8"/>
            <color indexed="81"/>
            <rFont val="Tahoma"/>
            <family val="2"/>
          </rPr>
          <t>Evalueserve:</t>
        </r>
        <r>
          <rPr>
            <sz val="8"/>
            <color indexed="81"/>
            <rFont val="Tahoma"/>
            <family val="2"/>
          </rPr>
          <t xml:space="preserve">
Calculated as:
+ Other expenses from managed and franchised properties
- Gain on sale of VOI notes receivable</t>
        </r>
      </text>
    </comment>
    <comment ref="G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H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I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J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K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L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M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N187" authorId="1">
      <text>
        <r>
          <rPr>
            <b/>
            <sz val="8"/>
            <color indexed="81"/>
            <rFont val="Tahoma"/>
            <family val="2"/>
          </rPr>
          <t>Evalueserve:</t>
        </r>
        <r>
          <rPr>
            <sz val="8"/>
            <color indexed="81"/>
            <rFont val="Tahoma"/>
            <family val="2"/>
          </rPr>
          <t xml:space="preserve">
Calculated as:
+ Net interest expense
+ Interest Income
+ Interest capitalized</t>
        </r>
      </text>
    </comment>
    <comment ref="G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H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I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J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K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L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M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N188" authorId="1">
      <text>
        <r>
          <rPr>
            <b/>
            <sz val="8"/>
            <color indexed="81"/>
            <rFont val="Tahoma"/>
            <family val="2"/>
          </rPr>
          <t>Evalueserve:</t>
        </r>
        <r>
          <rPr>
            <sz val="8"/>
            <color indexed="81"/>
            <rFont val="Tahoma"/>
            <family val="2"/>
          </rPr>
          <t xml:space="preserve">
Calculated as:
+Interest Capitalized
+Amortization of interest capitalized
Page 78, Form 10K 2004</t>
        </r>
      </text>
    </comment>
    <comment ref="G190" authorId="1">
      <text>
        <r>
          <rPr>
            <b/>
            <sz val="8"/>
            <color indexed="81"/>
            <rFont val="Tahoma"/>
            <family val="2"/>
          </rPr>
          <t>Evalueserve:</t>
        </r>
        <r>
          <rPr>
            <sz val="8"/>
            <color indexed="81"/>
            <rFont val="Tahoma"/>
            <family val="2"/>
          </rPr>
          <t xml:space="preserve">
Data not available.</t>
        </r>
      </text>
    </comment>
    <comment ref="H190" authorId="1">
      <text>
        <r>
          <rPr>
            <b/>
            <sz val="8"/>
            <color indexed="81"/>
            <rFont val="Tahoma"/>
            <family val="2"/>
          </rPr>
          <t>Evalueserve:</t>
        </r>
        <r>
          <rPr>
            <sz val="8"/>
            <color indexed="81"/>
            <rFont val="Tahoma"/>
            <family val="2"/>
          </rPr>
          <t xml:space="preserve">
Data not available.</t>
        </r>
      </text>
    </comment>
    <comment ref="I190" authorId="1">
      <text>
        <r>
          <rPr>
            <b/>
            <sz val="8"/>
            <color indexed="81"/>
            <rFont val="Tahoma"/>
            <family val="2"/>
          </rPr>
          <t>Evalueserve:</t>
        </r>
        <r>
          <rPr>
            <sz val="8"/>
            <color indexed="81"/>
            <rFont val="Tahoma"/>
            <family val="2"/>
          </rPr>
          <t xml:space="preserve">
Data not available.</t>
        </r>
      </text>
    </comment>
    <comment ref="J190" authorId="1">
      <text>
        <r>
          <rPr>
            <b/>
            <sz val="8"/>
            <color indexed="81"/>
            <rFont val="Tahoma"/>
            <family val="2"/>
          </rPr>
          <t>Evalueserve:</t>
        </r>
        <r>
          <rPr>
            <sz val="8"/>
            <color indexed="81"/>
            <rFont val="Tahoma"/>
            <family val="2"/>
          </rPr>
          <t xml:space="preserve">
Data not available.</t>
        </r>
      </text>
    </comment>
    <comment ref="K190" authorId="1">
      <text>
        <r>
          <rPr>
            <b/>
            <sz val="8"/>
            <color indexed="81"/>
            <rFont val="Tahoma"/>
            <family val="2"/>
          </rPr>
          <t>Evalueserve:</t>
        </r>
        <r>
          <rPr>
            <sz val="8"/>
            <color indexed="81"/>
            <rFont val="Tahoma"/>
            <family val="2"/>
          </rPr>
          <t xml:space="preserve">
Calculated as: 
+ Impairment of certain investments and other assets
+ Write down of investments in e-business ventures 
Source: Page 91, Form 10k, 2002
</t>
        </r>
      </text>
    </comment>
    <comment ref="L190" authorId="1">
      <text>
        <r>
          <rPr>
            <b/>
            <sz val="8"/>
            <color indexed="81"/>
            <rFont val="Tahoma"/>
            <family val="2"/>
          </rPr>
          <t>Evalueserve:</t>
        </r>
        <r>
          <rPr>
            <sz val="8"/>
            <color indexed="81"/>
            <rFont val="Tahoma"/>
            <family val="2"/>
          </rPr>
          <t xml:space="preserve">
Reported as: 
Reversal of other special charges related to sales of investments
Source: Page 91, Form 10k, 2003</t>
        </r>
      </text>
    </comment>
    <comment ref="M190" authorId="1">
      <text>
        <r>
          <rPr>
            <b/>
            <sz val="8"/>
            <color indexed="81"/>
            <rFont val="Tahoma"/>
            <family val="2"/>
          </rPr>
          <t>Evalueserve:</t>
        </r>
        <r>
          <rPr>
            <sz val="8"/>
            <color indexed="81"/>
            <rFont val="Tahoma"/>
            <family val="2"/>
          </rPr>
          <t xml:space="preserve">
Data not available.</t>
        </r>
      </text>
    </comment>
    <comment ref="N190" authorId="1">
      <text>
        <r>
          <rPr>
            <b/>
            <sz val="8"/>
            <color indexed="81"/>
            <rFont val="Tahoma"/>
            <family val="2"/>
          </rPr>
          <t>Evalueserve:</t>
        </r>
        <r>
          <rPr>
            <sz val="8"/>
            <color indexed="81"/>
            <rFont val="Tahoma"/>
            <family val="2"/>
          </rPr>
          <t xml:space="preserve">
Data not available.</t>
        </r>
      </text>
    </comment>
    <comment ref="G198" authorId="1">
      <text>
        <r>
          <rPr>
            <b/>
            <sz val="8"/>
            <color indexed="81"/>
            <rFont val="Tahoma"/>
            <family val="2"/>
          </rPr>
          <t>Evalueserve:</t>
        </r>
        <r>
          <rPr>
            <sz val="8"/>
            <color indexed="81"/>
            <rFont val="Tahoma"/>
            <family val="2"/>
          </rPr>
          <t xml:space="preserve">
Data not available.</t>
        </r>
      </text>
    </comment>
    <comment ref="H198" authorId="1">
      <text>
        <r>
          <rPr>
            <b/>
            <sz val="8"/>
            <color indexed="81"/>
            <rFont val="Tahoma"/>
            <family val="2"/>
          </rPr>
          <t>Evalueserve:</t>
        </r>
        <r>
          <rPr>
            <sz val="8"/>
            <color indexed="81"/>
            <rFont val="Tahoma"/>
            <family val="2"/>
          </rPr>
          <t xml:space="preserve">
Data not available.</t>
        </r>
      </text>
    </comment>
    <comment ref="I198" authorId="1">
      <text>
        <r>
          <rPr>
            <b/>
            <sz val="8"/>
            <color indexed="81"/>
            <rFont val="Tahoma"/>
            <family val="2"/>
          </rPr>
          <t>Evalueserve:</t>
        </r>
        <r>
          <rPr>
            <sz val="8"/>
            <color indexed="81"/>
            <rFont val="Tahoma"/>
            <family val="2"/>
          </rPr>
          <t xml:space="preserve">
Data not available.</t>
        </r>
      </text>
    </comment>
    <comment ref="J198" authorId="1">
      <text>
        <r>
          <rPr>
            <b/>
            <sz val="8"/>
            <color indexed="81"/>
            <rFont val="Tahoma"/>
            <family val="2"/>
          </rPr>
          <t>Evalueserve:</t>
        </r>
        <r>
          <rPr>
            <sz val="8"/>
            <color indexed="81"/>
            <rFont val="Tahoma"/>
            <family val="2"/>
          </rPr>
          <t xml:space="preserve">
Data not available.</t>
        </r>
      </text>
    </comment>
    <comment ref="K198" authorId="1">
      <text>
        <r>
          <rPr>
            <b/>
            <sz val="8"/>
            <color indexed="81"/>
            <rFont val="Tahoma"/>
            <family val="2"/>
          </rPr>
          <t>Evalueserve:</t>
        </r>
        <r>
          <rPr>
            <sz val="8"/>
            <color indexed="81"/>
            <rFont val="Tahoma"/>
            <family val="2"/>
          </rPr>
          <t xml:space="preserve">
Data not available.</t>
        </r>
      </text>
    </comment>
    <comment ref="G201" authorId="1">
      <text>
        <r>
          <rPr>
            <b/>
            <sz val="8"/>
            <color indexed="81"/>
            <rFont val="Tahoma"/>
            <family val="2"/>
          </rPr>
          <t>Evalueserve:</t>
        </r>
        <r>
          <rPr>
            <sz val="8"/>
            <color indexed="81"/>
            <rFont val="Tahoma"/>
            <family val="2"/>
          </rPr>
          <t xml:space="preserve">
Reported as:
Gain (loss) on sales of real estate and investments</t>
        </r>
      </text>
    </comment>
    <comment ref="H201" authorId="1">
      <text>
        <r>
          <rPr>
            <b/>
            <sz val="8"/>
            <color indexed="81"/>
            <rFont val="Tahoma"/>
            <family val="2"/>
          </rPr>
          <t>Evalueserve:</t>
        </r>
        <r>
          <rPr>
            <sz val="8"/>
            <color indexed="81"/>
            <rFont val="Tahoma"/>
            <family val="2"/>
          </rPr>
          <t xml:space="preserve">
Reported as:
Gain (loss) on sales of real estate and investments</t>
        </r>
      </text>
    </comment>
    <comment ref="I201" authorId="1">
      <text>
        <r>
          <rPr>
            <b/>
            <sz val="8"/>
            <color indexed="81"/>
            <rFont val="Tahoma"/>
            <family val="2"/>
          </rPr>
          <t>Evalueserve:</t>
        </r>
        <r>
          <rPr>
            <sz val="8"/>
            <color indexed="81"/>
            <rFont val="Tahoma"/>
            <family val="2"/>
          </rPr>
          <t xml:space="preserve">
Reported as:
Gain (loss) on sales of real estate and investments</t>
        </r>
      </text>
    </comment>
    <comment ref="J201" authorId="1">
      <text>
        <r>
          <rPr>
            <b/>
            <sz val="8"/>
            <color indexed="81"/>
            <rFont val="Tahoma"/>
            <family val="2"/>
          </rPr>
          <t>Evalueserve:</t>
        </r>
        <r>
          <rPr>
            <sz val="8"/>
            <color indexed="81"/>
            <rFont val="Tahoma"/>
            <family val="2"/>
          </rPr>
          <t xml:space="preserve">
Reported as:
Gain (loss) on asset dispositions and impairments
</t>
        </r>
      </text>
    </comment>
    <comment ref="K201" authorId="1">
      <text>
        <r>
          <rPr>
            <b/>
            <sz val="8"/>
            <color indexed="81"/>
            <rFont val="Tahoma"/>
            <family val="2"/>
          </rPr>
          <t>Evalueserve:</t>
        </r>
        <r>
          <rPr>
            <sz val="8"/>
            <color indexed="81"/>
            <rFont val="Tahoma"/>
            <family val="2"/>
          </rPr>
          <t xml:space="preserve">
Reported as: 
Gain (loss) on asset dispositions and impairments
Source:
Page 31, Form 10k,2002
</t>
        </r>
      </text>
    </comment>
    <comment ref="L201" authorId="1">
      <text>
        <r>
          <rPr>
            <b/>
            <sz val="8"/>
            <color indexed="81"/>
            <rFont val="Tahoma"/>
            <family val="2"/>
          </rPr>
          <t>Evalueserve:</t>
        </r>
        <r>
          <rPr>
            <sz val="8"/>
            <color indexed="81"/>
            <rFont val="Tahoma"/>
            <family val="2"/>
          </rPr>
          <t xml:space="preserve">
Reported as:
Gain (loss) on asset dispositions and impairments
Note: The impairments relates to the investments in hotel properties. Therefore instead of showing it as assets impairment it is recorded as loss from investments</t>
        </r>
      </text>
    </comment>
    <comment ref="M201" authorId="1">
      <text>
        <r>
          <rPr>
            <b/>
            <sz val="8"/>
            <color indexed="81"/>
            <rFont val="Tahoma"/>
            <family val="2"/>
          </rPr>
          <t>Evalueserve:</t>
        </r>
        <r>
          <rPr>
            <sz val="8"/>
            <color indexed="81"/>
            <rFont val="Tahoma"/>
            <family val="2"/>
          </rPr>
          <t xml:space="preserve">
Data not available </t>
        </r>
      </text>
    </comment>
    <comment ref="N201" authorId="1">
      <text>
        <r>
          <rPr>
            <b/>
            <sz val="8"/>
            <color indexed="81"/>
            <rFont val="Tahoma"/>
            <family val="2"/>
          </rPr>
          <t>Evalueserve:</t>
        </r>
        <r>
          <rPr>
            <sz val="8"/>
            <color indexed="81"/>
            <rFont val="Tahoma"/>
            <family val="2"/>
          </rPr>
          <t xml:space="preserve">
Reported as:
Gain (loss) on asset dispositions and impairments
Note: The impairments relates to the investments in hotel properties. Therefore instead of showing it as assets impairment it is recorded as loss from investments</t>
        </r>
      </text>
    </comment>
    <comment ref="G207" authorId="1">
      <text>
        <r>
          <rPr>
            <b/>
            <sz val="8"/>
            <color indexed="81"/>
            <rFont val="Tahoma"/>
            <family val="2"/>
          </rPr>
          <t>Evalueserve:</t>
        </r>
        <r>
          <rPr>
            <sz val="8"/>
            <color indexed="81"/>
            <rFont val="Tahoma"/>
            <family val="2"/>
          </rPr>
          <t xml:space="preserve">
Data not available.</t>
        </r>
      </text>
    </comment>
    <comment ref="H207" authorId="1">
      <text>
        <r>
          <rPr>
            <b/>
            <sz val="8"/>
            <color indexed="81"/>
            <rFont val="Tahoma"/>
            <family val="2"/>
          </rPr>
          <t>Evalueserve:</t>
        </r>
        <r>
          <rPr>
            <sz val="8"/>
            <color indexed="81"/>
            <rFont val="Tahoma"/>
            <family val="2"/>
          </rPr>
          <t xml:space="preserve">
Data not available.</t>
        </r>
      </text>
    </comment>
    <comment ref="I207" authorId="1">
      <text>
        <r>
          <rPr>
            <b/>
            <sz val="8"/>
            <color indexed="81"/>
            <rFont val="Tahoma"/>
            <family val="2"/>
          </rPr>
          <t>Evalueserve:</t>
        </r>
        <r>
          <rPr>
            <sz val="8"/>
            <color indexed="81"/>
            <rFont val="Tahoma"/>
            <family val="2"/>
          </rPr>
          <t xml:space="preserve">
Data not available.</t>
        </r>
      </text>
    </comment>
    <comment ref="J207" authorId="1">
      <text>
        <r>
          <rPr>
            <b/>
            <sz val="8"/>
            <color indexed="81"/>
            <rFont val="Tahoma"/>
            <family val="2"/>
          </rPr>
          <t>Evalueserve:</t>
        </r>
        <r>
          <rPr>
            <sz val="8"/>
            <color indexed="81"/>
            <rFont val="Tahoma"/>
            <family val="2"/>
          </rPr>
          <t xml:space="preserve">
The company reports Gains and losses from foreign exchange rate worth $ -7 million. Since it is not mentioned where this item is included, we are reporting by way of cell comment.
Source:
Page 70, Form 10K405 2001</t>
        </r>
      </text>
    </comment>
    <comment ref="K207" authorId="1">
      <text>
        <r>
          <rPr>
            <b/>
            <sz val="8"/>
            <color indexed="81"/>
            <rFont val="Tahoma"/>
            <family val="2"/>
          </rPr>
          <t>Evalueserve:</t>
        </r>
        <r>
          <rPr>
            <sz val="8"/>
            <color indexed="81"/>
            <rFont val="Tahoma"/>
            <family val="2"/>
          </rPr>
          <t xml:space="preserve">
The company reports Gains and losses from foreign exchange rate worth $ 27million. Since it is not mentioned where this item is included, we are reporting by way of cell comment.
Source:
Page 80, Form 10K 2002</t>
        </r>
      </text>
    </comment>
    <comment ref="L207" authorId="1">
      <text>
        <r>
          <rPr>
            <b/>
            <sz val="8"/>
            <color indexed="81"/>
            <rFont val="Tahoma"/>
            <family val="2"/>
          </rPr>
          <t>Evalueserve:</t>
        </r>
        <r>
          <rPr>
            <sz val="8"/>
            <color indexed="81"/>
            <rFont val="Tahoma"/>
            <family val="2"/>
          </rPr>
          <t xml:space="preserve">
The company reports Gains and losses from foreign exchange rate worth $ 33million. Since it is not mentioned where this item is included, we are reporting by way of cell comment.
Source:
Page 78, Form 10K 2003</t>
        </r>
      </text>
    </comment>
    <comment ref="M207" authorId="1">
      <text>
        <r>
          <rPr>
            <b/>
            <sz val="8"/>
            <color indexed="81"/>
            <rFont val="Tahoma"/>
            <family val="2"/>
          </rPr>
          <t>Evalueserve:</t>
        </r>
        <r>
          <rPr>
            <sz val="8"/>
            <color indexed="81"/>
            <rFont val="Tahoma"/>
            <family val="2"/>
          </rPr>
          <t xml:space="preserve">
The company reports Gains and losses from foreign exchange rate worth $ 4 million. Since it is not mentioned where this item is included, we are reporting by way of cell comment.
Source:
Page 79, Form 10K 2004</t>
        </r>
      </text>
    </comment>
    <comment ref="N207" authorId="1">
      <text>
        <r>
          <rPr>
            <b/>
            <sz val="8"/>
            <color indexed="81"/>
            <rFont val="Tahoma"/>
            <family val="2"/>
          </rPr>
          <t>Evalueserve:</t>
        </r>
        <r>
          <rPr>
            <sz val="8"/>
            <color indexed="81"/>
            <rFont val="Tahoma"/>
            <family val="2"/>
          </rPr>
          <t xml:space="preserve">
The company reports Gains and losses from foreign exchange rate worth $ 9 million. Since it is not mentioned where this item is included, we are reporting by way of cell comment.
Source:
Page 79, Form 10K 2004</t>
        </r>
      </text>
    </comment>
    <comment ref="J215" authorId="1">
      <text>
        <r>
          <rPr>
            <b/>
            <sz val="8"/>
            <color indexed="81"/>
            <rFont val="Tahoma"/>
            <family val="2"/>
          </rPr>
          <t>Evalueserve:</t>
        </r>
        <r>
          <rPr>
            <sz val="8"/>
            <color indexed="81"/>
            <rFont val="Tahoma"/>
            <family val="2"/>
          </rPr>
          <t xml:space="preserve">
Data not available </t>
        </r>
      </text>
    </comment>
    <comment ref="M215" authorId="1">
      <text>
        <r>
          <rPr>
            <b/>
            <sz val="8"/>
            <color indexed="81"/>
            <rFont val="Tahoma"/>
            <family val="2"/>
          </rPr>
          <t>Evalueserve:</t>
        </r>
        <r>
          <rPr>
            <sz val="8"/>
            <color indexed="81"/>
            <rFont val="Tahoma"/>
            <family val="2"/>
          </rPr>
          <t xml:space="preserve">
Data not available </t>
        </r>
      </text>
    </comment>
    <comment ref="N215" authorId="1">
      <text>
        <r>
          <rPr>
            <b/>
            <sz val="8"/>
            <color indexed="81"/>
            <rFont val="Tahoma"/>
            <family val="2"/>
          </rPr>
          <t>Evalueserve:</t>
        </r>
        <r>
          <rPr>
            <sz val="8"/>
            <color indexed="81"/>
            <rFont val="Tahoma"/>
            <family val="2"/>
          </rPr>
          <t xml:space="preserve">
Data not available </t>
        </r>
      </text>
    </comment>
    <comment ref="G216" authorId="1">
      <text>
        <r>
          <rPr>
            <b/>
            <sz val="8"/>
            <color indexed="81"/>
            <rFont val="Tahoma"/>
            <family val="2"/>
          </rPr>
          <t>Evalueserve:</t>
        </r>
        <r>
          <rPr>
            <sz val="8"/>
            <color indexed="81"/>
            <rFont val="Tahoma"/>
            <family val="2"/>
          </rPr>
          <t xml:space="preserve">
Reported as:
Restructuring and other special credits, net</t>
        </r>
      </text>
    </comment>
    <comment ref="H216" authorId="1">
      <text>
        <r>
          <rPr>
            <b/>
            <sz val="8"/>
            <color indexed="81"/>
            <rFont val="Tahoma"/>
            <family val="2"/>
          </rPr>
          <t>Evalueserve:</t>
        </r>
        <r>
          <rPr>
            <sz val="8"/>
            <color indexed="81"/>
            <rFont val="Tahoma"/>
            <family val="2"/>
          </rPr>
          <t xml:space="preserve">
Reported as:
Restructuring and other special charges
Source: Page 72, Form 10k,
1999</t>
        </r>
      </text>
    </comment>
    <comment ref="I216" authorId="1">
      <text>
        <r>
          <rPr>
            <b/>
            <sz val="8"/>
            <color indexed="81"/>
            <rFont val="Tahoma"/>
            <family val="2"/>
          </rPr>
          <t>Evalueserve:</t>
        </r>
        <r>
          <rPr>
            <sz val="8"/>
            <color indexed="81"/>
            <rFont val="Tahoma"/>
            <family val="2"/>
          </rPr>
          <t xml:space="preserve">
-Reversal of charges relating to restructuring and rationalizing operations carried out in 1997
-reversal of charges related to IIT merger and write-down of certain assets
+Restructuring charges attributed to restructuring of technology centers
Source: Page 69, form 10K, 2000</t>
        </r>
      </text>
    </comment>
    <comment ref="J216" authorId="1">
      <text>
        <r>
          <rPr>
            <b/>
            <sz val="8"/>
            <color indexed="81"/>
            <rFont val="Tahoma"/>
            <family val="2"/>
          </rPr>
          <t>Evalueserve:</t>
        </r>
        <r>
          <rPr>
            <sz val="8"/>
            <color indexed="81"/>
            <rFont val="Tahoma"/>
            <family val="2"/>
          </rPr>
          <t xml:space="preserve">
Data not available </t>
        </r>
      </text>
    </comment>
    <comment ref="K216" authorId="1">
      <text>
        <r>
          <rPr>
            <b/>
            <sz val="8"/>
            <color indexed="81"/>
            <rFont val="Tahoma"/>
            <family val="2"/>
          </rPr>
          <t>Evalueserve:</t>
        </r>
        <r>
          <rPr>
            <sz val="8"/>
            <color indexed="81"/>
            <rFont val="Tahoma"/>
            <family val="2"/>
          </rPr>
          <t xml:space="preserve">
Calculated as: 
+ Restructuring charge
 - Reversal of restructuring charge taken in 1998 relating to a note receivable
Source: Page 91, Form 10k, 2002</t>
        </r>
      </text>
    </comment>
    <comment ref="L216" authorId="1">
      <text>
        <r>
          <rPr>
            <b/>
            <sz val="8"/>
            <color indexed="81"/>
            <rFont val="Tahoma"/>
            <family val="2"/>
          </rPr>
          <t>Evalueserve:</t>
        </r>
        <r>
          <rPr>
            <sz val="8"/>
            <color indexed="81"/>
            <rFont val="Tahoma"/>
            <family val="2"/>
          </rPr>
          <t xml:space="preserve">
Reported as:
Reversal of Restructuring charge
Source: Page 91, Form 10k, 2003</t>
        </r>
      </text>
    </comment>
    <comment ref="M216" authorId="1">
      <text>
        <r>
          <rPr>
            <b/>
            <sz val="8"/>
            <color indexed="81"/>
            <rFont val="Tahoma"/>
            <family val="2"/>
          </rPr>
          <t>Evalueserve:</t>
        </r>
        <r>
          <rPr>
            <sz val="8"/>
            <color indexed="81"/>
            <rFont val="Tahoma"/>
            <family val="2"/>
          </rPr>
          <t xml:space="preserve">
Data not available </t>
        </r>
      </text>
    </comment>
    <comment ref="N216" authorId="1">
      <text>
        <r>
          <rPr>
            <b/>
            <sz val="8"/>
            <color indexed="81"/>
            <rFont val="Tahoma"/>
            <family val="2"/>
          </rPr>
          <t>Evalueserve:</t>
        </r>
        <r>
          <rPr>
            <sz val="8"/>
            <color indexed="81"/>
            <rFont val="Tahoma"/>
            <family val="2"/>
          </rPr>
          <t xml:space="preserve">
Data not available </t>
        </r>
      </text>
    </comment>
    <comment ref="G217" authorId="1">
      <text>
        <r>
          <rPr>
            <b/>
            <sz val="8"/>
            <color indexed="81"/>
            <rFont val="Tahoma"/>
            <family val="2"/>
          </rPr>
          <t>Evalueserve:</t>
        </r>
        <r>
          <rPr>
            <sz val="8"/>
            <color indexed="81"/>
            <rFont val="Tahoma"/>
            <family val="2"/>
          </rPr>
          <t xml:space="preserve">
Reported as:
[(Restructuring cost)*(Tax rate)]
</t>
        </r>
      </text>
    </comment>
    <comment ref="H217" authorId="1">
      <text>
        <r>
          <rPr>
            <b/>
            <sz val="8"/>
            <color indexed="81"/>
            <rFont val="Tahoma"/>
            <family val="2"/>
          </rPr>
          <t>Evalueserve:</t>
        </r>
        <r>
          <rPr>
            <sz val="8"/>
            <color indexed="81"/>
            <rFont val="Tahoma"/>
            <family val="2"/>
          </rPr>
          <t xml:space="preserve">
Reported as:
[(Restructuring cost)*(Tax rate)]
</t>
        </r>
      </text>
    </comment>
    <comment ref="I217" authorId="1">
      <text>
        <r>
          <rPr>
            <b/>
            <sz val="8"/>
            <color indexed="81"/>
            <rFont val="Tahoma"/>
            <family val="2"/>
          </rPr>
          <t>Evalueserve:</t>
        </r>
        <r>
          <rPr>
            <sz val="8"/>
            <color indexed="81"/>
            <rFont val="Tahoma"/>
            <family val="2"/>
          </rPr>
          <t xml:space="preserve">
Reported as:
[(Restructuring cost)*(Tax rate)]
</t>
        </r>
      </text>
    </comment>
    <comment ref="J217" authorId="1">
      <text>
        <r>
          <rPr>
            <b/>
            <sz val="8"/>
            <color indexed="81"/>
            <rFont val="Tahoma"/>
            <family val="2"/>
          </rPr>
          <t>Evalueserve:</t>
        </r>
        <r>
          <rPr>
            <sz val="8"/>
            <color indexed="81"/>
            <rFont val="Tahoma"/>
            <family val="2"/>
          </rPr>
          <t xml:space="preserve">
Data not available </t>
        </r>
      </text>
    </comment>
    <comment ref="K217" authorId="1">
      <text>
        <r>
          <rPr>
            <b/>
            <sz val="8"/>
            <color indexed="81"/>
            <rFont val="Tahoma"/>
            <family val="2"/>
          </rPr>
          <t>Evalueserve:</t>
        </r>
        <r>
          <rPr>
            <sz val="8"/>
            <color indexed="81"/>
            <rFont val="Tahoma"/>
            <family val="2"/>
          </rPr>
          <t xml:space="preserve">
Calculated as: 
Restructuring costs, one time, gross of tax
* Statutory tax rate</t>
        </r>
      </text>
    </comment>
    <comment ref="L217" authorId="1">
      <text>
        <r>
          <rPr>
            <b/>
            <sz val="8"/>
            <color indexed="81"/>
            <rFont val="Tahoma"/>
            <family val="2"/>
          </rPr>
          <t>Evalueserve:</t>
        </r>
        <r>
          <rPr>
            <sz val="8"/>
            <color indexed="81"/>
            <rFont val="Tahoma"/>
            <family val="2"/>
          </rPr>
          <t xml:space="preserve">
Calculated as: 
Restructuring costs, one time, gross of tax
* Statutory tax rate</t>
        </r>
      </text>
    </comment>
    <comment ref="M217" authorId="1">
      <text>
        <r>
          <rPr>
            <b/>
            <sz val="8"/>
            <color indexed="81"/>
            <rFont val="Tahoma"/>
            <family val="2"/>
          </rPr>
          <t>Evalueserve:</t>
        </r>
        <r>
          <rPr>
            <sz val="8"/>
            <color indexed="81"/>
            <rFont val="Tahoma"/>
            <family val="2"/>
          </rPr>
          <t xml:space="preserve">
Data not available </t>
        </r>
      </text>
    </comment>
    <comment ref="N217" authorId="1">
      <text>
        <r>
          <rPr>
            <b/>
            <sz val="8"/>
            <color indexed="81"/>
            <rFont val="Tahoma"/>
            <family val="2"/>
          </rPr>
          <t>Evalueserve:</t>
        </r>
        <r>
          <rPr>
            <sz val="8"/>
            <color indexed="81"/>
            <rFont val="Tahoma"/>
            <family val="2"/>
          </rPr>
          <t xml:space="preserve">
Data not available </t>
        </r>
      </text>
    </comment>
    <comment ref="G220" authorId="1">
      <text>
        <r>
          <rPr>
            <b/>
            <sz val="8"/>
            <color indexed="81"/>
            <rFont val="Tahoma"/>
            <family val="2"/>
          </rPr>
          <t>Evalueserve:</t>
        </r>
        <r>
          <rPr>
            <sz val="8"/>
            <color indexed="81"/>
            <rFont val="Tahoma"/>
            <family val="2"/>
          </rPr>
          <t xml:space="preserve">
Data not available</t>
        </r>
      </text>
    </comment>
    <comment ref="H220" authorId="1">
      <text>
        <r>
          <rPr>
            <b/>
            <sz val="8"/>
            <color indexed="81"/>
            <rFont val="Tahoma"/>
            <family val="2"/>
          </rPr>
          <t>Evalueserve:</t>
        </r>
        <r>
          <rPr>
            <sz val="8"/>
            <color indexed="81"/>
            <rFont val="Tahoma"/>
            <family val="2"/>
          </rPr>
          <t xml:space="preserve">
Data not available</t>
        </r>
      </text>
    </comment>
    <comment ref="I220" authorId="1">
      <text>
        <r>
          <rPr>
            <b/>
            <sz val="8"/>
            <color indexed="81"/>
            <rFont val="Tahoma"/>
            <family val="2"/>
          </rPr>
          <t>Evalueserve:</t>
        </r>
        <r>
          <rPr>
            <sz val="8"/>
            <color indexed="81"/>
            <rFont val="Tahoma"/>
            <family val="2"/>
          </rPr>
          <t xml:space="preserve">
Reported as:
Litigation charges
Source: Page 69
Form 10K 2000</t>
        </r>
      </text>
    </comment>
    <comment ref="J220" authorId="1">
      <text>
        <r>
          <rPr>
            <b/>
            <sz val="8"/>
            <color indexed="81"/>
            <rFont val="Tahoma"/>
            <family val="2"/>
          </rPr>
          <t>Evalueserve:</t>
        </r>
        <r>
          <rPr>
            <sz val="8"/>
            <color indexed="81"/>
            <rFont val="Tahoma"/>
            <family val="2"/>
          </rPr>
          <t xml:space="preserve">
Data not available</t>
        </r>
      </text>
    </comment>
    <comment ref="K220" authorId="1">
      <text>
        <r>
          <rPr>
            <b/>
            <sz val="8"/>
            <color indexed="81"/>
            <rFont val="Tahoma"/>
            <family val="2"/>
          </rPr>
          <t>Evalueserve:</t>
        </r>
        <r>
          <rPr>
            <sz val="8"/>
            <color indexed="81"/>
            <rFont val="Tahoma"/>
            <family val="2"/>
          </rPr>
          <t xml:space="preserve">
Data not available</t>
        </r>
      </text>
    </comment>
    <comment ref="L220" authorId="1">
      <text>
        <r>
          <rPr>
            <b/>
            <sz val="8"/>
            <color indexed="81"/>
            <rFont val="Tahoma"/>
            <family val="2"/>
          </rPr>
          <t>Evalueserve:</t>
        </r>
        <r>
          <rPr>
            <sz val="8"/>
            <color indexed="81"/>
            <rFont val="Tahoma"/>
            <family val="2"/>
          </rPr>
          <t xml:space="preserve">
Data not available</t>
        </r>
      </text>
    </comment>
    <comment ref="M220" authorId="1">
      <text>
        <r>
          <rPr>
            <b/>
            <sz val="8"/>
            <color indexed="81"/>
            <rFont val="Tahoma"/>
            <family val="2"/>
          </rPr>
          <t>Evalueserve:</t>
        </r>
        <r>
          <rPr>
            <sz val="8"/>
            <color indexed="81"/>
            <rFont val="Tahoma"/>
            <family val="2"/>
          </rPr>
          <t xml:space="preserve">
Calculated as:
+Reserve for legal defense costs
+ proceeds from litigation matter</t>
        </r>
      </text>
    </comment>
    <comment ref="N220" authorId="1">
      <text>
        <r>
          <rPr>
            <b/>
            <sz val="8"/>
            <color indexed="81"/>
            <rFont val="Tahoma"/>
            <family val="2"/>
          </rPr>
          <t>Evalueserve:</t>
        </r>
        <r>
          <rPr>
            <sz val="8"/>
            <color indexed="81"/>
            <rFont val="Tahoma"/>
            <family val="2"/>
          </rPr>
          <t xml:space="preserve">
Reported as:
Reversal of reserve recorded through restructuring and other special charges
Source: Page 31, Form 10k,
2004</t>
        </r>
      </text>
    </comment>
    <comment ref="G221" authorId="1">
      <text>
        <r>
          <rPr>
            <b/>
            <sz val="8"/>
            <color indexed="81"/>
            <rFont val="Tahoma"/>
            <family val="2"/>
          </rPr>
          <t>Evalueserve:</t>
        </r>
        <r>
          <rPr>
            <sz val="8"/>
            <color indexed="81"/>
            <rFont val="Tahoma"/>
            <family val="2"/>
          </rPr>
          <t xml:space="preserve">
Data not available</t>
        </r>
      </text>
    </comment>
    <comment ref="H221" authorId="1">
      <text>
        <r>
          <rPr>
            <b/>
            <sz val="8"/>
            <color indexed="81"/>
            <rFont val="Tahoma"/>
            <family val="2"/>
          </rPr>
          <t>Evalueserve:</t>
        </r>
        <r>
          <rPr>
            <sz val="8"/>
            <color indexed="81"/>
            <rFont val="Tahoma"/>
            <family val="2"/>
          </rPr>
          <t xml:space="preserve">
Data not available</t>
        </r>
      </text>
    </comment>
    <comment ref="I221" authorId="1">
      <text>
        <r>
          <rPr>
            <b/>
            <sz val="8"/>
            <color indexed="81"/>
            <rFont val="Tahoma"/>
            <family val="2"/>
          </rPr>
          <t>Evalueserve:</t>
        </r>
        <r>
          <rPr>
            <sz val="8"/>
            <color indexed="81"/>
            <rFont val="Tahoma"/>
            <family val="2"/>
          </rPr>
          <t xml:space="preserve">
Calculated as:
Legal Provisions*Statutory tax rate
</t>
        </r>
      </text>
    </comment>
    <comment ref="J221" authorId="1">
      <text>
        <r>
          <rPr>
            <b/>
            <sz val="8"/>
            <color indexed="81"/>
            <rFont val="Tahoma"/>
            <family val="2"/>
          </rPr>
          <t>Evalueserve:</t>
        </r>
        <r>
          <rPr>
            <sz val="8"/>
            <color indexed="81"/>
            <rFont val="Tahoma"/>
            <family val="2"/>
          </rPr>
          <t xml:space="preserve">
Data not available</t>
        </r>
      </text>
    </comment>
    <comment ref="K221" authorId="1">
      <text>
        <r>
          <rPr>
            <b/>
            <sz val="8"/>
            <color indexed="81"/>
            <rFont val="Tahoma"/>
            <family val="2"/>
          </rPr>
          <t>Evalueserve:</t>
        </r>
        <r>
          <rPr>
            <sz val="8"/>
            <color indexed="81"/>
            <rFont val="Tahoma"/>
            <family val="2"/>
          </rPr>
          <t xml:space="preserve">
Data not available</t>
        </r>
      </text>
    </comment>
    <comment ref="L221" authorId="1">
      <text>
        <r>
          <rPr>
            <b/>
            <sz val="8"/>
            <color indexed="81"/>
            <rFont val="Tahoma"/>
            <family val="2"/>
          </rPr>
          <t>Evalueserve:</t>
        </r>
        <r>
          <rPr>
            <sz val="8"/>
            <color indexed="81"/>
            <rFont val="Tahoma"/>
            <family val="2"/>
          </rPr>
          <t xml:space="preserve">
Data not available</t>
        </r>
      </text>
    </comment>
    <comment ref="M221" authorId="1">
      <text>
        <r>
          <rPr>
            <b/>
            <sz val="8"/>
            <color indexed="81"/>
            <rFont val="Tahoma"/>
            <family val="2"/>
          </rPr>
          <t>Evalueserve:</t>
        </r>
        <r>
          <rPr>
            <sz val="8"/>
            <color indexed="81"/>
            <rFont val="Tahoma"/>
            <family val="2"/>
          </rPr>
          <t xml:space="preserve">
Calculated as:
Legal Provisions*Statutory tax rate
</t>
        </r>
      </text>
    </comment>
    <comment ref="N221" authorId="1">
      <text>
        <r>
          <rPr>
            <b/>
            <sz val="8"/>
            <color indexed="81"/>
            <rFont val="Tahoma"/>
            <family val="2"/>
          </rPr>
          <t>Evalueserve:</t>
        </r>
        <r>
          <rPr>
            <sz val="8"/>
            <color indexed="81"/>
            <rFont val="Tahoma"/>
            <family val="2"/>
          </rPr>
          <t xml:space="preserve">
Calculated as:
Legal Provisions*Statutory tax rate
</t>
        </r>
      </text>
    </comment>
    <comment ref="G232" authorId="1">
      <text>
        <r>
          <rPr>
            <b/>
            <sz val="8"/>
            <color indexed="81"/>
            <rFont val="Tahoma"/>
            <family val="2"/>
          </rPr>
          <t>Evalueserve:</t>
        </r>
        <r>
          <rPr>
            <sz val="8"/>
            <color indexed="81"/>
            <rFont val="Tahoma"/>
            <family val="2"/>
          </rPr>
          <t xml:space="preserve">
The Company reports settlement credit worth $ -3 mn on pension and curtailment credit and settlement charge worth $ -3 mn $ 1 mn respectively on other post retirement benefits. Since it is not mentioned, where this item is included, we are reporting by way of cell comment.</t>
        </r>
      </text>
    </comment>
    <comment ref="H232" authorId="1">
      <text>
        <r>
          <rPr>
            <b/>
            <sz val="8"/>
            <color indexed="81"/>
            <rFont val="Tahoma"/>
            <family val="2"/>
          </rPr>
          <t>Evalueserve:</t>
        </r>
        <r>
          <rPr>
            <sz val="8"/>
            <color indexed="81"/>
            <rFont val="Tahoma"/>
            <family val="2"/>
          </rPr>
          <t xml:space="preserve">
The Company reports 
Curtailment charge  (Pension benefits) = $ 4 million,
Curtailment charge  (Foreign Pension benefits) = $ -1 million
Settlement credit (Foreign Pension benefits) = $ 5 million
Since it is not mentioned, where these items are included we are reporting it by way of cell comment.
</t>
        </r>
      </text>
    </comment>
    <comment ref="I232" authorId="1">
      <text>
        <r>
          <rPr>
            <b/>
            <sz val="8"/>
            <color indexed="81"/>
            <rFont val="Tahoma"/>
            <family val="2"/>
          </rPr>
          <t>Evalueserve:</t>
        </r>
        <r>
          <rPr>
            <sz val="8"/>
            <color indexed="81"/>
            <rFont val="Tahoma"/>
            <family val="2"/>
          </rPr>
          <t xml:space="preserve">
The company reports curtailment charges to be 0.</t>
        </r>
      </text>
    </comment>
    <comment ref="J232" authorId="1">
      <text>
        <r>
          <rPr>
            <b/>
            <sz val="8"/>
            <color indexed="81"/>
            <rFont val="Tahoma"/>
            <family val="2"/>
          </rPr>
          <t>Evalueserve:</t>
        </r>
        <r>
          <rPr>
            <sz val="8"/>
            <color indexed="81"/>
            <rFont val="Tahoma"/>
            <family val="2"/>
          </rPr>
          <t xml:space="preserve">
The Company reports 
Settlement credit (Pension benefits) = $ -8 million
Since it is not mentioned, where these items are included we are reporting it by way of cell comment.</t>
        </r>
      </text>
    </comment>
    <comment ref="K232" authorId="1">
      <text>
        <r>
          <rPr>
            <b/>
            <sz val="8"/>
            <color indexed="81"/>
            <rFont val="Tahoma"/>
            <family val="2"/>
          </rPr>
          <t>Evalueserve:</t>
        </r>
        <r>
          <rPr>
            <sz val="8"/>
            <color indexed="81"/>
            <rFont val="Tahoma"/>
            <family val="2"/>
          </rPr>
          <t xml:space="preserve">
The company reports
SFAS NO. 88 settlement gain (Pension benefits) = $ -14 million
Since it is not mentioned, where these items are included we are reporting it by way of cell comment.</t>
        </r>
      </text>
    </comment>
    <comment ref="L232" authorId="1">
      <text>
        <r>
          <rPr>
            <b/>
            <sz val="8"/>
            <color indexed="81"/>
            <rFont val="Tahoma"/>
            <family val="2"/>
          </rPr>
          <t>Evalueserve:</t>
        </r>
        <r>
          <rPr>
            <sz val="8"/>
            <color indexed="81"/>
            <rFont val="Tahoma"/>
            <family val="2"/>
          </rPr>
          <t xml:space="preserve">
The Company reports
SFAS NO. 88 settlement gain (Pension benefits) = $ -3 million
Since it is not mentioned, where these items are included we are reporting it by way of cell comment.</t>
        </r>
      </text>
    </comment>
    <comment ref="M232" authorId="1">
      <text>
        <r>
          <rPr>
            <b/>
            <sz val="8"/>
            <color indexed="81"/>
            <rFont val="Tahoma"/>
            <family val="2"/>
          </rPr>
          <t>Evalueserve:</t>
        </r>
        <r>
          <rPr>
            <sz val="8"/>
            <color indexed="81"/>
            <rFont val="Tahoma"/>
            <family val="2"/>
          </rPr>
          <t xml:space="preserve">
The Company reports 
SFAS NO. 88 settlement gain (Pension benefits) = $ -5 million
Since it is not mentioned, where these items are included we are reporting it by way of cell comment.</t>
        </r>
      </text>
    </comment>
    <comment ref="N232" authorId="1">
      <text>
        <r>
          <rPr>
            <b/>
            <sz val="8"/>
            <color indexed="81"/>
            <rFont val="Tahoma"/>
            <family val="2"/>
          </rPr>
          <t>Evalueserve:</t>
        </r>
        <r>
          <rPr>
            <sz val="8"/>
            <color indexed="81"/>
            <rFont val="Tahoma"/>
            <family val="2"/>
          </rPr>
          <t xml:space="preserve">
The Company reports 
SFAS NO. 88 settlement gain (Pension benefits) = $ -2 million
Since it is not mentioned, where these items are included we are reporting it by way of cell comment.</t>
        </r>
      </text>
    </comment>
    <comment ref="G233" authorId="1">
      <text>
        <r>
          <rPr>
            <b/>
            <sz val="8"/>
            <color indexed="81"/>
            <rFont val="Tahoma"/>
            <family val="2"/>
          </rPr>
          <t>Evalueserve:</t>
        </r>
        <r>
          <rPr>
            <sz val="8"/>
            <color indexed="81"/>
            <rFont val="Tahoma"/>
            <family val="2"/>
          </rPr>
          <t xml:space="preserve">
Reported as:
Miscellaneous expense</t>
        </r>
      </text>
    </comment>
    <comment ref="I233" authorId="1">
      <text>
        <r>
          <rPr>
            <b/>
            <sz val="8"/>
            <color indexed="81"/>
            <rFont val="Tahoma"/>
            <family val="2"/>
          </rPr>
          <t>Evalueserve:</t>
        </r>
        <r>
          <rPr>
            <sz val="8"/>
            <color indexed="81"/>
            <rFont val="Tahoma"/>
            <family val="2"/>
          </rPr>
          <t xml:space="preserve">
Reported as:
Miscellaneous expense</t>
        </r>
      </text>
    </comment>
    <comment ref="J233" authorId="1">
      <text>
        <r>
          <rPr>
            <b/>
            <sz val="8"/>
            <color indexed="81"/>
            <rFont val="Tahoma"/>
            <family val="2"/>
          </rPr>
          <t>Evalueserve:</t>
        </r>
        <r>
          <rPr>
            <sz val="8"/>
            <color indexed="81"/>
            <rFont val="Tahoma"/>
            <family val="2"/>
          </rPr>
          <t xml:space="preserve">
Data not available.</t>
        </r>
      </text>
    </comment>
    <comment ref="K233" authorId="1">
      <text>
        <r>
          <rPr>
            <b/>
            <sz val="8"/>
            <color indexed="81"/>
            <rFont val="Tahoma"/>
            <family val="2"/>
          </rPr>
          <t>Evalueserve:</t>
        </r>
        <r>
          <rPr>
            <sz val="8"/>
            <color indexed="81"/>
            <rFont val="Tahoma"/>
            <family val="2"/>
          </rPr>
          <t xml:space="preserve">
Data not available.</t>
        </r>
      </text>
    </comment>
    <comment ref="L233" authorId="1">
      <text>
        <r>
          <rPr>
            <b/>
            <sz val="8"/>
            <color indexed="81"/>
            <rFont val="Tahoma"/>
            <family val="2"/>
          </rPr>
          <t>Evalueserve:</t>
        </r>
        <r>
          <rPr>
            <sz val="8"/>
            <color indexed="81"/>
            <rFont val="Tahoma"/>
            <family val="2"/>
          </rPr>
          <t xml:space="preserve">
Data not available.</t>
        </r>
      </text>
    </comment>
    <comment ref="M233" authorId="1">
      <text>
        <r>
          <rPr>
            <b/>
            <sz val="8"/>
            <color indexed="81"/>
            <rFont val="Tahoma"/>
            <family val="2"/>
          </rPr>
          <t>Evalueserve:</t>
        </r>
        <r>
          <rPr>
            <sz val="8"/>
            <color indexed="81"/>
            <rFont val="Tahoma"/>
            <family val="2"/>
          </rPr>
          <t xml:space="preserve">
Data not available.</t>
        </r>
      </text>
    </comment>
    <comment ref="N233" authorId="1">
      <text>
        <r>
          <rPr>
            <b/>
            <sz val="8"/>
            <color indexed="81"/>
            <rFont val="Tahoma"/>
            <family val="2"/>
          </rPr>
          <t>Evalueserve:</t>
        </r>
        <r>
          <rPr>
            <sz val="8"/>
            <color indexed="81"/>
            <rFont val="Tahoma"/>
            <family val="2"/>
          </rPr>
          <t xml:space="preserve">
Data not available.</t>
        </r>
      </text>
    </comment>
    <comment ref="G235" authorId="1">
      <text>
        <r>
          <rPr>
            <b/>
            <sz val="8"/>
            <color indexed="81"/>
            <rFont val="Tahoma"/>
            <family val="2"/>
          </rPr>
          <t>Evalueserve:</t>
        </r>
        <r>
          <rPr>
            <sz val="8"/>
            <color indexed="81"/>
            <rFont val="Tahoma"/>
            <family val="2"/>
          </rPr>
          <t xml:space="preserve">
Calculated as:
+ Current tax
+ Tax on restructuring
</t>
        </r>
      </text>
    </comment>
    <comment ref="H235" authorId="1">
      <text>
        <r>
          <rPr>
            <b/>
            <sz val="8"/>
            <color indexed="81"/>
            <rFont val="Tahoma"/>
            <family val="2"/>
          </rPr>
          <t>Evalueserve:</t>
        </r>
        <r>
          <rPr>
            <sz val="8"/>
            <color indexed="81"/>
            <rFont val="Tahoma"/>
            <family val="2"/>
          </rPr>
          <t xml:space="preserve">
Calculated as:
+ Current tax
+ Tax on restructuring
</t>
        </r>
      </text>
    </comment>
    <comment ref="I235" authorId="1">
      <text>
        <r>
          <rPr>
            <b/>
            <sz val="8"/>
            <color indexed="81"/>
            <rFont val="Tahoma"/>
            <family val="2"/>
          </rPr>
          <t>Evalueserve:</t>
        </r>
        <r>
          <rPr>
            <sz val="8"/>
            <color indexed="81"/>
            <rFont val="Tahoma"/>
            <family val="2"/>
          </rPr>
          <t xml:space="preserve">
Calculated as:
+ Current tax
+ Tax on restructuring
+Tax on Legal Provision
-Tax on income from extraordinary item</t>
        </r>
      </text>
    </comment>
    <comment ref="J235" authorId="1">
      <text>
        <r>
          <rPr>
            <b/>
            <sz val="8"/>
            <color indexed="81"/>
            <rFont val="Tahoma"/>
            <family val="2"/>
          </rPr>
          <t>Evalueserve:</t>
        </r>
        <r>
          <rPr>
            <sz val="8"/>
            <color indexed="81"/>
            <rFont val="Tahoma"/>
            <family val="2"/>
          </rPr>
          <t xml:space="preserve">
Calculated as:
+ Current tax
- Tax on income from extraordinary item</t>
        </r>
      </text>
    </comment>
    <comment ref="K235" authorId="1">
      <text>
        <r>
          <rPr>
            <b/>
            <sz val="8"/>
            <color indexed="81"/>
            <rFont val="Tahoma"/>
            <family val="2"/>
          </rPr>
          <t>Evalueserve:</t>
        </r>
        <r>
          <rPr>
            <sz val="8"/>
            <color indexed="81"/>
            <rFont val="Tahoma"/>
            <family val="2"/>
          </rPr>
          <t xml:space="preserve">
Calculated as:
+ Current tax
+ Tax on restructuring
</t>
        </r>
      </text>
    </comment>
    <comment ref="L235" authorId="1">
      <text>
        <r>
          <rPr>
            <b/>
            <sz val="8"/>
            <color indexed="81"/>
            <rFont val="Tahoma"/>
            <family val="2"/>
          </rPr>
          <t>Evalueserve:</t>
        </r>
        <r>
          <rPr>
            <sz val="8"/>
            <color indexed="81"/>
            <rFont val="Tahoma"/>
            <family val="2"/>
          </rPr>
          <t xml:space="preserve">
Calculated as:
+ Current tax
+ Tax on restructuring
</t>
        </r>
      </text>
    </comment>
    <comment ref="M235" authorId="1">
      <text>
        <r>
          <rPr>
            <b/>
            <sz val="8"/>
            <color indexed="81"/>
            <rFont val="Tahoma"/>
            <family val="2"/>
          </rPr>
          <t>Evalueserve:</t>
        </r>
        <r>
          <rPr>
            <sz val="8"/>
            <color indexed="81"/>
            <rFont val="Tahoma"/>
            <family val="2"/>
          </rPr>
          <t xml:space="preserve">
Calculated as:
+ Current tax
+Tax on legal provision</t>
        </r>
      </text>
    </comment>
    <comment ref="N235" authorId="1">
      <text>
        <r>
          <rPr>
            <b/>
            <sz val="8"/>
            <color indexed="81"/>
            <rFont val="Tahoma"/>
            <family val="2"/>
          </rPr>
          <t>Evalueserve:</t>
        </r>
        <r>
          <rPr>
            <sz val="8"/>
            <color indexed="81"/>
            <rFont val="Tahoma"/>
            <family val="2"/>
          </rPr>
          <t xml:space="preserve">
Calculated as:
+ Current tax
+Tax on legal provision</t>
        </r>
      </text>
    </comment>
    <comment ref="I240" authorId="1">
      <text>
        <r>
          <rPr>
            <b/>
            <sz val="8"/>
            <color indexed="81"/>
            <rFont val="Tahoma"/>
            <family val="2"/>
          </rPr>
          <t>Evalueserve:</t>
        </r>
        <r>
          <rPr>
            <sz val="8"/>
            <color indexed="81"/>
            <rFont val="Tahoma"/>
            <family val="2"/>
          </rPr>
          <t xml:space="preserve">
Data not available.</t>
        </r>
      </text>
    </comment>
    <comment ref="J240" authorId="1">
      <text>
        <r>
          <rPr>
            <b/>
            <sz val="8"/>
            <color indexed="81"/>
            <rFont val="Tahoma"/>
            <family val="2"/>
          </rPr>
          <t>Evalueserve:</t>
        </r>
        <r>
          <rPr>
            <sz val="8"/>
            <color indexed="81"/>
            <rFont val="Tahoma"/>
            <family val="2"/>
          </rPr>
          <t xml:space="preserve">
Data not available.</t>
        </r>
      </text>
    </comment>
    <comment ref="K240" authorId="1">
      <text>
        <r>
          <rPr>
            <b/>
            <sz val="8"/>
            <color indexed="81"/>
            <rFont val="Tahoma"/>
            <family val="2"/>
          </rPr>
          <t>Evalueserve:</t>
        </r>
        <r>
          <rPr>
            <sz val="8"/>
            <color indexed="81"/>
            <rFont val="Tahoma"/>
            <family val="2"/>
          </rPr>
          <t xml:space="preserve">
Data not available.</t>
        </r>
      </text>
    </comment>
    <comment ref="L240" authorId="1">
      <text>
        <r>
          <rPr>
            <b/>
            <sz val="8"/>
            <color indexed="81"/>
            <rFont val="Tahoma"/>
            <family val="2"/>
          </rPr>
          <t>Evalueserve:</t>
        </r>
        <r>
          <rPr>
            <sz val="8"/>
            <color indexed="81"/>
            <rFont val="Tahoma"/>
            <family val="2"/>
          </rPr>
          <t xml:space="preserve">
Data not available.</t>
        </r>
      </text>
    </comment>
    <comment ref="M240" authorId="1">
      <text>
        <r>
          <rPr>
            <b/>
            <sz val="8"/>
            <color indexed="81"/>
            <rFont val="Tahoma"/>
            <family val="2"/>
          </rPr>
          <t>Evalueserve:</t>
        </r>
        <r>
          <rPr>
            <sz val="8"/>
            <color indexed="81"/>
            <rFont val="Tahoma"/>
            <family val="2"/>
          </rPr>
          <t xml:space="preserve">
Data not available.</t>
        </r>
      </text>
    </comment>
    <comment ref="N240" authorId="1">
      <text>
        <r>
          <rPr>
            <b/>
            <sz val="8"/>
            <color indexed="81"/>
            <rFont val="Tahoma"/>
            <family val="2"/>
          </rPr>
          <t>Evalueserve:</t>
        </r>
        <r>
          <rPr>
            <sz val="8"/>
            <color indexed="81"/>
            <rFont val="Tahoma"/>
            <family val="2"/>
          </rPr>
          <t xml:space="preserve">
Data not available.</t>
        </r>
      </text>
    </comment>
    <comment ref="G242" authorId="1">
      <text>
        <r>
          <rPr>
            <b/>
            <sz val="8"/>
            <color indexed="81"/>
            <rFont val="Tahoma"/>
            <family val="2"/>
          </rPr>
          <t>Evalueserve:</t>
        </r>
        <r>
          <rPr>
            <sz val="8"/>
            <color indexed="81"/>
            <rFont val="Tahoma"/>
            <family val="2"/>
          </rPr>
          <t xml:space="preserve">
Source: page 105
Form 10K 1998</t>
        </r>
      </text>
    </comment>
    <comment ref="H242" authorId="1">
      <text>
        <r>
          <rPr>
            <b/>
            <sz val="8"/>
            <color indexed="81"/>
            <rFont val="Tahoma"/>
            <family val="2"/>
          </rPr>
          <t>Evalueserve:</t>
        </r>
        <r>
          <rPr>
            <sz val="8"/>
            <color indexed="81"/>
            <rFont val="Tahoma"/>
            <family val="2"/>
          </rPr>
          <t xml:space="preserve">
Data not available</t>
        </r>
      </text>
    </comment>
    <comment ref="I242" authorId="1">
      <text>
        <r>
          <rPr>
            <b/>
            <sz val="8"/>
            <color indexed="81"/>
            <rFont val="Tahoma"/>
            <family val="2"/>
          </rPr>
          <t>Evalueserve:</t>
        </r>
        <r>
          <rPr>
            <sz val="8"/>
            <color indexed="81"/>
            <rFont val="Tahoma"/>
            <family val="2"/>
          </rPr>
          <t xml:space="preserve">
Reported as:
Extraordinary item,net of tax relating to loss on early extinguishment of debt</t>
        </r>
      </text>
    </comment>
    <comment ref="J242" authorId="1">
      <text>
        <r>
          <rPr>
            <b/>
            <sz val="8"/>
            <color indexed="81"/>
            <rFont val="Tahoma"/>
            <family val="2"/>
          </rPr>
          <t>Evalueserve:</t>
        </r>
        <r>
          <rPr>
            <sz val="8"/>
            <color indexed="81"/>
            <rFont val="Tahoma"/>
            <family val="2"/>
          </rPr>
          <t xml:space="preserve">
Reported as:
Extraordinary item,net of tax relating to loss on early extinguishment of debt</t>
        </r>
      </text>
    </comment>
    <comment ref="K242" authorId="1">
      <text>
        <r>
          <rPr>
            <b/>
            <sz val="8"/>
            <color indexed="81"/>
            <rFont val="Tahoma"/>
            <family val="2"/>
          </rPr>
          <t>Evalueserve:</t>
        </r>
        <r>
          <rPr>
            <sz val="8"/>
            <color indexed="81"/>
            <rFont val="Tahoma"/>
            <family val="2"/>
          </rPr>
          <t xml:space="preserve">
Data not available</t>
        </r>
      </text>
    </comment>
    <comment ref="L242" authorId="1">
      <text>
        <r>
          <rPr>
            <b/>
            <sz val="8"/>
            <color indexed="81"/>
            <rFont val="Tahoma"/>
            <family val="2"/>
          </rPr>
          <t>Evalueserve:</t>
        </r>
        <r>
          <rPr>
            <sz val="8"/>
            <color indexed="81"/>
            <rFont val="Tahoma"/>
            <family val="2"/>
          </rPr>
          <t xml:space="preserve">
Data not available</t>
        </r>
      </text>
    </comment>
    <comment ref="M242" authorId="1">
      <text>
        <r>
          <rPr>
            <b/>
            <sz val="8"/>
            <color indexed="81"/>
            <rFont val="Tahoma"/>
            <family val="2"/>
          </rPr>
          <t>Evalueserve:</t>
        </r>
        <r>
          <rPr>
            <sz val="8"/>
            <color indexed="81"/>
            <rFont val="Tahoma"/>
            <family val="2"/>
          </rPr>
          <t xml:space="preserve">
Data not available</t>
        </r>
      </text>
    </comment>
    <comment ref="N242" authorId="1">
      <text>
        <r>
          <rPr>
            <b/>
            <sz val="8"/>
            <color indexed="81"/>
            <rFont val="Tahoma"/>
            <family val="2"/>
          </rPr>
          <t>Evalueserve:</t>
        </r>
        <r>
          <rPr>
            <sz val="8"/>
            <color indexed="81"/>
            <rFont val="Tahoma"/>
            <family val="2"/>
          </rPr>
          <t xml:space="preserve">
Data not available</t>
        </r>
      </text>
    </comment>
    <comment ref="G243" authorId="1">
      <text>
        <r>
          <rPr>
            <b/>
            <sz val="8"/>
            <color indexed="81"/>
            <rFont val="Tahoma"/>
            <family val="2"/>
          </rPr>
          <t>Evalueserve:</t>
        </r>
        <r>
          <rPr>
            <sz val="8"/>
            <color indexed="81"/>
            <rFont val="Tahoma"/>
            <family val="2"/>
          </rPr>
          <t xml:space="preserve">
Calculated as:
Extraordinary items,gross
-Extraordinary items,net
</t>
        </r>
      </text>
    </comment>
    <comment ref="H243" authorId="1">
      <text>
        <r>
          <rPr>
            <b/>
            <sz val="8"/>
            <color indexed="81"/>
            <rFont val="Tahoma"/>
            <family val="2"/>
          </rPr>
          <t>Evalueserve:</t>
        </r>
        <r>
          <rPr>
            <sz val="8"/>
            <color indexed="81"/>
            <rFont val="Tahoma"/>
            <family val="2"/>
          </rPr>
          <t xml:space="preserve">
Data not available</t>
        </r>
      </text>
    </comment>
    <comment ref="I243" authorId="1">
      <text>
        <r>
          <rPr>
            <b/>
            <sz val="8"/>
            <color indexed="81"/>
            <rFont val="Tahoma"/>
            <family val="2"/>
          </rPr>
          <t>Evalueserve:</t>
        </r>
        <r>
          <rPr>
            <sz val="8"/>
            <color indexed="81"/>
            <rFont val="Tahoma"/>
            <family val="2"/>
          </rPr>
          <t xml:space="preserve">
Data not available</t>
        </r>
      </text>
    </comment>
    <comment ref="J243" authorId="1">
      <text>
        <r>
          <rPr>
            <b/>
            <sz val="8"/>
            <color indexed="81"/>
            <rFont val="Tahoma"/>
            <family val="2"/>
          </rPr>
          <t>Evalueserve:</t>
        </r>
        <r>
          <rPr>
            <sz val="8"/>
            <color indexed="81"/>
            <rFont val="Tahoma"/>
            <family val="2"/>
          </rPr>
          <t xml:space="preserve">
Data not available</t>
        </r>
      </text>
    </comment>
    <comment ref="K243" authorId="1">
      <text>
        <r>
          <rPr>
            <b/>
            <sz val="8"/>
            <color indexed="81"/>
            <rFont val="Tahoma"/>
            <family val="2"/>
          </rPr>
          <t>Evalueserve:</t>
        </r>
        <r>
          <rPr>
            <sz val="8"/>
            <color indexed="81"/>
            <rFont val="Tahoma"/>
            <family val="2"/>
          </rPr>
          <t xml:space="preserve">
Data not available</t>
        </r>
      </text>
    </comment>
    <comment ref="L243" authorId="1">
      <text>
        <r>
          <rPr>
            <b/>
            <sz val="8"/>
            <color indexed="81"/>
            <rFont val="Tahoma"/>
            <family val="2"/>
          </rPr>
          <t>Evalueserve:</t>
        </r>
        <r>
          <rPr>
            <sz val="8"/>
            <color indexed="81"/>
            <rFont val="Tahoma"/>
            <family val="2"/>
          </rPr>
          <t xml:space="preserve">
Data not available</t>
        </r>
      </text>
    </comment>
    <comment ref="M243" authorId="1">
      <text>
        <r>
          <rPr>
            <b/>
            <sz val="8"/>
            <color indexed="81"/>
            <rFont val="Tahoma"/>
            <family val="2"/>
          </rPr>
          <t>Evalueserve:</t>
        </r>
        <r>
          <rPr>
            <sz val="8"/>
            <color indexed="81"/>
            <rFont val="Tahoma"/>
            <family val="2"/>
          </rPr>
          <t xml:space="preserve">
Data not available</t>
        </r>
      </text>
    </comment>
    <comment ref="N243" authorId="1">
      <text>
        <r>
          <rPr>
            <b/>
            <sz val="8"/>
            <color indexed="81"/>
            <rFont val="Tahoma"/>
            <family val="2"/>
          </rPr>
          <t>Evalueserve:</t>
        </r>
        <r>
          <rPr>
            <sz val="8"/>
            <color indexed="81"/>
            <rFont val="Tahoma"/>
            <family val="2"/>
          </rPr>
          <t xml:space="preserve">
Data not available</t>
        </r>
      </text>
    </comment>
    <comment ref="G245" authorId="1">
      <text>
        <r>
          <rPr>
            <b/>
            <sz val="8"/>
            <color indexed="81"/>
            <rFont val="Tahoma"/>
            <family val="2"/>
          </rPr>
          <t>Evalueserve:</t>
        </r>
        <r>
          <rPr>
            <sz val="8"/>
            <color indexed="81"/>
            <rFont val="Tahoma"/>
            <family val="2"/>
          </rPr>
          <t xml:space="preserve">
Calculated as:
[(Net Income/loss)/(1-tax rate)]
</t>
        </r>
      </text>
    </comment>
    <comment ref="H245" authorId="1">
      <text>
        <r>
          <rPr>
            <b/>
            <sz val="8"/>
            <color indexed="81"/>
            <rFont val="Tahoma"/>
            <family val="2"/>
          </rPr>
          <t>Evalueserve:</t>
        </r>
        <r>
          <rPr>
            <sz val="8"/>
            <color indexed="81"/>
            <rFont val="Tahoma"/>
            <family val="2"/>
          </rPr>
          <t xml:space="preserve">
Calculated as:
- Net loss from operations
+ Gain on dispositions
+ Tax amount</t>
        </r>
      </text>
    </comment>
    <comment ref="I245" authorId="1">
      <text>
        <r>
          <rPr>
            <b/>
            <sz val="8"/>
            <color indexed="81"/>
            <rFont val="Tahoma"/>
            <family val="2"/>
          </rPr>
          <t>Evalueserve:</t>
        </r>
        <r>
          <rPr>
            <sz val="8"/>
            <color indexed="81"/>
            <rFont val="Tahoma"/>
            <family val="2"/>
          </rPr>
          <t xml:space="preserve">
Calculated as:
-  Gain/Loss  on dispositions
+ Tax amount</t>
        </r>
      </text>
    </comment>
    <comment ref="J245" authorId="1">
      <text>
        <r>
          <rPr>
            <b/>
            <sz val="8"/>
            <color indexed="81"/>
            <rFont val="Tahoma"/>
            <family val="2"/>
          </rPr>
          <t>Evalueserve:</t>
        </r>
        <r>
          <rPr>
            <sz val="8"/>
            <color indexed="81"/>
            <rFont val="Tahoma"/>
            <family val="2"/>
          </rPr>
          <t xml:space="preserve">
Calculated as:
+ Gain on dispositions
+ Tax amount</t>
        </r>
      </text>
    </comment>
    <comment ref="L245" authorId="1">
      <text>
        <r>
          <rPr>
            <b/>
            <sz val="8"/>
            <color indexed="81"/>
            <rFont val="Tahoma"/>
            <family val="2"/>
          </rPr>
          <t>Evalueserve:</t>
        </r>
        <r>
          <rPr>
            <sz val="8"/>
            <color indexed="81"/>
            <rFont val="Tahoma"/>
            <family val="2"/>
          </rPr>
          <t xml:space="preserve">
Calculated as:
- Net loss from operations
+ Gain on dispositions
+ Tax amount</t>
        </r>
      </text>
    </comment>
    <comment ref="M245" authorId="1">
      <text>
        <r>
          <rPr>
            <b/>
            <sz val="8"/>
            <color indexed="81"/>
            <rFont val="Tahoma"/>
            <family val="2"/>
          </rPr>
          <t>Evalueserve:</t>
        </r>
        <r>
          <rPr>
            <sz val="8"/>
            <color indexed="81"/>
            <rFont val="Tahoma"/>
            <family val="2"/>
          </rPr>
          <t xml:space="preserve">
Calculated as:
- Net loss from operations (disconttineud)
+ Gain on dispositions (discontinued operations)
- Loss on asset disposition and impairments, net
+ Tax amount
</t>
        </r>
      </text>
    </comment>
    <comment ref="N245" authorId="1">
      <text>
        <r>
          <rPr>
            <b/>
            <sz val="8"/>
            <color indexed="81"/>
            <rFont val="Tahoma"/>
            <family val="2"/>
          </rPr>
          <t>Evalueserve:</t>
        </r>
        <r>
          <rPr>
            <sz val="8"/>
            <color indexed="81"/>
            <rFont val="Tahoma"/>
            <family val="2"/>
          </rPr>
          <t xml:space="preserve">
Calculated as:
+ Gain on dispositions
+ Tax amount
Source: Page 67, Form 10k,2004
</t>
        </r>
      </text>
    </comment>
    <comment ref="G246" authorId="1">
      <text>
        <r>
          <rPr>
            <b/>
            <sz val="8"/>
            <color indexed="81"/>
            <rFont val="Tahoma"/>
            <family val="2"/>
          </rPr>
          <t>Evalueserve:</t>
        </r>
        <r>
          <rPr>
            <sz val="8"/>
            <color indexed="81"/>
            <rFont val="Tahoma"/>
            <family val="2"/>
          </rPr>
          <t xml:space="preserve">
Calculated as:
(Income/loss from discontinued operations)*(Tax rate)</t>
        </r>
      </text>
    </comment>
    <comment ref="H246" authorId="1">
      <text>
        <r>
          <rPr>
            <b/>
            <sz val="8"/>
            <color indexed="81"/>
            <rFont val="Tahoma"/>
            <family val="2"/>
          </rPr>
          <t>Evalueserve:</t>
        </r>
        <r>
          <rPr>
            <sz val="8"/>
            <color indexed="81"/>
            <rFont val="Tahoma"/>
            <family val="2"/>
          </rPr>
          <t xml:space="preserve">
Calculated as:
+ Tax on loss from operations
+ Tax on gain on dispositions</t>
        </r>
      </text>
    </comment>
    <comment ref="L246" authorId="1">
      <text>
        <r>
          <rPr>
            <b/>
            <sz val="8"/>
            <color indexed="81"/>
            <rFont val="Tahoma"/>
            <family val="2"/>
          </rPr>
          <t>Evalueserve:</t>
        </r>
        <r>
          <rPr>
            <sz val="8"/>
            <color indexed="81"/>
            <rFont val="Tahoma"/>
            <family val="2"/>
          </rPr>
          <t xml:space="preserve">
Calculated as:
+ Tax on loss from operations
+ Tax on gain on dispositions</t>
        </r>
      </text>
    </comment>
    <comment ref="M246" authorId="1">
      <text>
        <r>
          <rPr>
            <b/>
            <sz val="8"/>
            <color indexed="81"/>
            <rFont val="Tahoma"/>
            <family val="2"/>
          </rPr>
          <t>Evalueserve:</t>
        </r>
        <r>
          <rPr>
            <sz val="8"/>
            <color indexed="81"/>
            <rFont val="Tahoma"/>
            <family val="2"/>
          </rPr>
          <t xml:space="preserve">
Calculated as:
+ Tax on loss from operations (discontinued)
+ Tax on gain on dispositions (discontinued)
+ (Loss on asset disposition and impairments, net * Statutory tax rate)</t>
        </r>
      </text>
    </comment>
    <comment ref="N246" authorId="1">
      <text>
        <r>
          <rPr>
            <b/>
            <sz val="8"/>
            <color indexed="81"/>
            <rFont val="Tahoma"/>
            <family val="2"/>
          </rPr>
          <t>Evalueserve:</t>
        </r>
        <r>
          <rPr>
            <sz val="8"/>
            <color indexed="81"/>
            <rFont val="Tahoma"/>
            <family val="2"/>
          </rPr>
          <t xml:space="preserve">
Reported as:
Tax expense
Source: Page 67, Form 10k,
2004</t>
        </r>
      </text>
    </comment>
    <comment ref="G247" authorId="1">
      <text>
        <r>
          <rPr>
            <b/>
            <sz val="8"/>
            <color indexed="81"/>
            <rFont val="Tahoma"/>
            <family val="2"/>
          </rPr>
          <t>Evalueserve:</t>
        </r>
        <r>
          <rPr>
            <sz val="8"/>
            <color indexed="81"/>
            <rFont val="Tahoma"/>
            <family val="2"/>
          </rPr>
          <t xml:space="preserve">
Source: Page 97
Form 10K 1998</t>
        </r>
      </text>
    </comment>
    <comment ref="H247" authorId="1">
      <text>
        <r>
          <rPr>
            <b/>
            <sz val="8"/>
            <color indexed="81"/>
            <rFont val="Tahoma"/>
            <family val="2"/>
          </rPr>
          <t>Evalueserve:</t>
        </r>
        <r>
          <rPr>
            <sz val="8"/>
            <color indexed="81"/>
            <rFont val="Tahoma"/>
            <family val="2"/>
          </rPr>
          <t xml:space="preserve">
Source: Page 66
Form 10K 1999</t>
        </r>
      </text>
    </comment>
    <comment ref="I247" authorId="1">
      <text>
        <r>
          <rPr>
            <b/>
            <sz val="8"/>
            <color indexed="81"/>
            <rFont val="Tahoma"/>
            <family val="2"/>
          </rPr>
          <t>Evalueserve:</t>
        </r>
        <r>
          <rPr>
            <sz val="8"/>
            <color indexed="81"/>
            <rFont val="Tahoma"/>
            <family val="2"/>
          </rPr>
          <t xml:space="preserve">
Source: Page 64
Form 10K 2000</t>
        </r>
      </text>
    </comment>
    <comment ref="J247" authorId="1">
      <text>
        <r>
          <rPr>
            <b/>
            <sz val="8"/>
            <color indexed="81"/>
            <rFont val="Tahoma"/>
            <family val="2"/>
          </rPr>
          <t>Evalueserve:</t>
        </r>
        <r>
          <rPr>
            <sz val="8"/>
            <color indexed="81"/>
            <rFont val="Tahoma"/>
            <family val="2"/>
          </rPr>
          <t xml:space="preserve">
Source: Page 70
Form 10K 2001</t>
        </r>
      </text>
    </comment>
    <comment ref="K247" authorId="1">
      <text>
        <r>
          <rPr>
            <b/>
            <sz val="8"/>
            <color indexed="81"/>
            <rFont val="Tahoma"/>
            <family val="2"/>
          </rPr>
          <t>Evalueserve:</t>
        </r>
        <r>
          <rPr>
            <sz val="8"/>
            <color indexed="81"/>
            <rFont val="Tahoma"/>
            <family val="2"/>
          </rPr>
          <t xml:space="preserve">
Data not available.</t>
        </r>
      </text>
    </comment>
    <comment ref="L247" authorId="1">
      <text>
        <r>
          <rPr>
            <b/>
            <sz val="8"/>
            <color indexed="81"/>
            <rFont val="Tahoma"/>
            <family val="2"/>
          </rPr>
          <t>Evalueserve:</t>
        </r>
        <r>
          <rPr>
            <sz val="8"/>
            <color indexed="81"/>
            <rFont val="Tahoma"/>
            <family val="2"/>
          </rPr>
          <t xml:space="preserve">
Data not available.</t>
        </r>
      </text>
    </comment>
    <comment ref="M247" authorId="1">
      <text>
        <r>
          <rPr>
            <b/>
            <sz val="8"/>
            <color indexed="81"/>
            <rFont val="Tahoma"/>
            <family val="2"/>
          </rPr>
          <t>Evalueserve:</t>
        </r>
        <r>
          <rPr>
            <sz val="8"/>
            <color indexed="81"/>
            <rFont val="Tahoma"/>
            <family val="2"/>
          </rPr>
          <t xml:space="preserve">
Data not available.</t>
        </r>
      </text>
    </comment>
    <comment ref="N247" authorId="1">
      <text>
        <r>
          <rPr>
            <b/>
            <sz val="8"/>
            <color indexed="81"/>
            <rFont val="Tahoma"/>
            <family val="2"/>
          </rPr>
          <t>Evalueserve:</t>
        </r>
        <r>
          <rPr>
            <sz val="8"/>
            <color indexed="81"/>
            <rFont val="Tahoma"/>
            <family val="2"/>
          </rPr>
          <t xml:space="preserve">
Data not available.</t>
        </r>
      </text>
    </comment>
    <comment ref="G252" authorId="1">
      <text>
        <r>
          <rPr>
            <b/>
            <sz val="8"/>
            <color indexed="81"/>
            <rFont val="Tahoma"/>
            <family val="2"/>
          </rPr>
          <t>Evalueserve:</t>
        </r>
        <r>
          <rPr>
            <sz val="8"/>
            <color indexed="81"/>
            <rFont val="Tahoma"/>
            <family val="2"/>
          </rPr>
          <t xml:space="preserve">
Data not available.</t>
        </r>
      </text>
    </comment>
    <comment ref="H252" authorId="1">
      <text>
        <r>
          <rPr>
            <b/>
            <sz val="8"/>
            <color indexed="81"/>
            <rFont val="Tahoma"/>
            <family val="2"/>
          </rPr>
          <t>Evalueserve:</t>
        </r>
        <r>
          <rPr>
            <sz val="8"/>
            <color indexed="81"/>
            <rFont val="Tahoma"/>
            <family val="2"/>
          </rPr>
          <t xml:space="preserve">
Data not available.</t>
        </r>
      </text>
    </comment>
    <comment ref="I252" authorId="1">
      <text>
        <r>
          <rPr>
            <b/>
            <sz val="8"/>
            <color indexed="81"/>
            <rFont val="Tahoma"/>
            <family val="2"/>
          </rPr>
          <t>Evalueserve:</t>
        </r>
        <r>
          <rPr>
            <sz val="8"/>
            <color indexed="81"/>
            <rFont val="Tahoma"/>
            <family val="2"/>
          </rPr>
          <t xml:space="preserve">
Data not available.</t>
        </r>
      </text>
    </comment>
    <comment ref="J252" authorId="1">
      <text>
        <r>
          <rPr>
            <b/>
            <sz val="8"/>
            <color indexed="81"/>
            <rFont val="Tahoma"/>
            <family val="2"/>
          </rPr>
          <t>Evalueserve:</t>
        </r>
        <r>
          <rPr>
            <sz val="8"/>
            <color indexed="81"/>
            <rFont val="Tahoma"/>
            <family val="2"/>
          </rPr>
          <t xml:space="preserve">
Reported as:
Effect of dilutive securities - Class A EPS and Class B EPS
Source:
Page 64, Form 10K 405 2000</t>
        </r>
      </text>
    </comment>
    <comment ref="K252" authorId="1">
      <text>
        <r>
          <rPr>
            <b/>
            <sz val="8"/>
            <color indexed="81"/>
            <rFont val="Tahoma"/>
            <family val="2"/>
          </rPr>
          <t>Evalueserve:</t>
        </r>
        <r>
          <rPr>
            <sz val="8"/>
            <color indexed="81"/>
            <rFont val="Tahoma"/>
            <family val="2"/>
          </rPr>
          <t xml:space="preserve">
Data not available.</t>
        </r>
      </text>
    </comment>
    <comment ref="L252" authorId="1">
      <text>
        <r>
          <rPr>
            <b/>
            <sz val="8"/>
            <color indexed="81"/>
            <rFont val="Tahoma"/>
            <family val="2"/>
          </rPr>
          <t>Evalueserve:</t>
        </r>
        <r>
          <rPr>
            <sz val="8"/>
            <color indexed="81"/>
            <rFont val="Tahoma"/>
            <family val="2"/>
          </rPr>
          <t xml:space="preserve">
Data not available.</t>
        </r>
      </text>
    </comment>
    <comment ref="M252" authorId="1">
      <text>
        <r>
          <rPr>
            <b/>
            <sz val="8"/>
            <color indexed="81"/>
            <rFont val="Tahoma"/>
            <family val="2"/>
          </rPr>
          <t>Evalueserve:</t>
        </r>
        <r>
          <rPr>
            <sz val="8"/>
            <color indexed="81"/>
            <rFont val="Tahoma"/>
            <family val="2"/>
          </rPr>
          <t xml:space="preserve">
Data not available.</t>
        </r>
      </text>
    </comment>
    <comment ref="N252" authorId="1">
      <text>
        <r>
          <rPr>
            <b/>
            <sz val="8"/>
            <color indexed="81"/>
            <rFont val="Tahoma"/>
            <family val="2"/>
          </rPr>
          <t>Evalueserve:</t>
        </r>
        <r>
          <rPr>
            <sz val="8"/>
            <color indexed="81"/>
            <rFont val="Tahoma"/>
            <family val="2"/>
          </rPr>
          <t xml:space="preserve">
Data not available.</t>
        </r>
      </text>
    </comment>
    <comment ref="G256" authorId="1">
      <text>
        <r>
          <rPr>
            <b/>
            <sz val="8"/>
            <color indexed="81"/>
            <rFont val="Tahoma"/>
            <family val="2"/>
          </rPr>
          <t>Evalueserve:</t>
        </r>
        <r>
          <rPr>
            <sz val="8"/>
            <color indexed="81"/>
            <rFont val="Tahoma"/>
            <family val="2"/>
          </rPr>
          <t xml:space="preserve">
Reported as:
Outstanding shares
Reported in Millions
Source:
Page 77, Form 10K405 1998</t>
        </r>
      </text>
    </comment>
    <comment ref="H256" authorId="1">
      <text>
        <r>
          <rPr>
            <b/>
            <sz val="8"/>
            <color indexed="81"/>
            <rFont val="Tahoma"/>
            <family val="2"/>
          </rPr>
          <t>Evalueserve:</t>
        </r>
        <r>
          <rPr>
            <sz val="8"/>
            <color indexed="81"/>
            <rFont val="Tahoma"/>
            <family val="2"/>
          </rPr>
          <t xml:space="preserve">
Reported as:
Outstanding shares
Reported in Millions
Source:
Page 53, Form 10K405 1999</t>
        </r>
      </text>
    </comment>
    <comment ref="I256" authorId="1">
      <text>
        <r>
          <rPr>
            <b/>
            <sz val="8"/>
            <color indexed="81"/>
            <rFont val="Tahoma"/>
            <family val="2"/>
          </rPr>
          <t>Evalueserve:</t>
        </r>
        <r>
          <rPr>
            <sz val="8"/>
            <color indexed="81"/>
            <rFont val="Tahoma"/>
            <family val="2"/>
          </rPr>
          <t xml:space="preserve">
Reported as:
Outstanding shares
Reported in Millions
Source:
Page 49, Form 10K405 2000</t>
        </r>
      </text>
    </comment>
    <comment ref="J256" authorId="1">
      <text>
        <r>
          <rPr>
            <b/>
            <sz val="8"/>
            <color indexed="81"/>
            <rFont val="Tahoma"/>
            <family val="2"/>
          </rPr>
          <t>Evalueserve:</t>
        </r>
        <r>
          <rPr>
            <sz val="8"/>
            <color indexed="81"/>
            <rFont val="Tahoma"/>
            <family val="2"/>
          </rPr>
          <t xml:space="preserve">
Reported as:
Outstanding shares
Reported in Millions
Source:
Page 57, Form 10K405 2001</t>
        </r>
      </text>
    </comment>
    <comment ref="K256" authorId="1">
      <text>
        <r>
          <rPr>
            <b/>
            <sz val="8"/>
            <color indexed="81"/>
            <rFont val="Tahoma"/>
            <family val="2"/>
          </rPr>
          <t>Evalueserve:</t>
        </r>
        <r>
          <rPr>
            <sz val="8"/>
            <color indexed="81"/>
            <rFont val="Tahoma"/>
            <family val="2"/>
          </rPr>
          <t xml:space="preserve">
Reported as:
Outstanding shares
Reported in Millions
Source:
Page 66, Form 10K 2002</t>
        </r>
      </text>
    </comment>
    <comment ref="L256" authorId="1">
      <text>
        <r>
          <rPr>
            <b/>
            <sz val="8"/>
            <color indexed="81"/>
            <rFont val="Tahoma"/>
            <family val="2"/>
          </rPr>
          <t>Evalueserve:</t>
        </r>
        <r>
          <rPr>
            <sz val="8"/>
            <color indexed="81"/>
            <rFont val="Tahoma"/>
            <family val="2"/>
          </rPr>
          <t xml:space="preserve">
Reported as:
Outstanding shares
Reported in Millions
Source:
Page 65, Form 10K 2003</t>
        </r>
      </text>
    </comment>
    <comment ref="M256" authorId="1">
      <text>
        <r>
          <rPr>
            <b/>
            <sz val="8"/>
            <color indexed="81"/>
            <rFont val="Tahoma"/>
            <family val="2"/>
          </rPr>
          <t>Evalueserve:</t>
        </r>
        <r>
          <rPr>
            <sz val="8"/>
            <color indexed="81"/>
            <rFont val="Tahoma"/>
            <family val="2"/>
          </rPr>
          <t xml:space="preserve">
Reported as:
Outstanding shares
Reported in Millions
Source:
Page 66, Form 10K 2004</t>
        </r>
      </text>
    </comment>
    <comment ref="N256" authorId="1">
      <text>
        <r>
          <rPr>
            <b/>
            <sz val="8"/>
            <color indexed="81"/>
            <rFont val="Tahoma"/>
            <family val="2"/>
          </rPr>
          <t>Evalueserve:</t>
        </r>
        <r>
          <rPr>
            <sz val="8"/>
            <color indexed="81"/>
            <rFont val="Tahoma"/>
            <family val="2"/>
          </rPr>
          <t xml:space="preserve">
Reported as:
Outstanding shares
Reported in Millions
Source:
Page 66, Form 10K 2004</t>
        </r>
      </text>
    </comment>
    <comment ref="G259" authorId="1">
      <text>
        <r>
          <rPr>
            <b/>
            <sz val="8"/>
            <color indexed="81"/>
            <rFont val="Tahoma"/>
            <family val="2"/>
          </rPr>
          <t>Evalueserve:</t>
        </r>
        <r>
          <rPr>
            <sz val="8"/>
            <color indexed="81"/>
            <rFont val="Tahoma"/>
            <family val="2"/>
          </rPr>
          <t xml:space="preserve">
Reported in millions
Source:
Page 78, Form 10K405 1998</t>
        </r>
      </text>
    </comment>
    <comment ref="H259" authorId="1">
      <text>
        <r>
          <rPr>
            <b/>
            <sz val="8"/>
            <color indexed="81"/>
            <rFont val="Tahoma"/>
            <family val="2"/>
          </rPr>
          <t>Evalueserve:</t>
        </r>
        <r>
          <rPr>
            <sz val="8"/>
            <color indexed="81"/>
            <rFont val="Tahoma"/>
            <family val="2"/>
          </rPr>
          <t xml:space="preserve">
Reported in millions
Source:
Page 54, Form 10K405 1999</t>
        </r>
      </text>
    </comment>
    <comment ref="I259" authorId="1">
      <text>
        <r>
          <rPr>
            <b/>
            <sz val="8"/>
            <color indexed="81"/>
            <rFont val="Tahoma"/>
            <family val="2"/>
          </rPr>
          <t>Evalueserve:</t>
        </r>
        <r>
          <rPr>
            <sz val="8"/>
            <color indexed="81"/>
            <rFont val="Tahoma"/>
            <family val="2"/>
          </rPr>
          <t xml:space="preserve">
Reported in millions
Source:
Page 51, Form 10K405 2000</t>
        </r>
      </text>
    </comment>
    <comment ref="J259" authorId="1">
      <text>
        <r>
          <rPr>
            <b/>
            <sz val="8"/>
            <color indexed="81"/>
            <rFont val="Tahoma"/>
            <family val="2"/>
          </rPr>
          <t>Evalueserve:</t>
        </r>
        <r>
          <rPr>
            <sz val="8"/>
            <color indexed="81"/>
            <rFont val="Tahoma"/>
            <family val="2"/>
          </rPr>
          <t xml:space="preserve">
Reported in millions
Source:
Page 58, Form 10K405 2001</t>
        </r>
      </text>
    </comment>
    <comment ref="K259" authorId="1">
      <text>
        <r>
          <rPr>
            <b/>
            <sz val="8"/>
            <color indexed="81"/>
            <rFont val="Tahoma"/>
            <family val="2"/>
          </rPr>
          <t>Evalueserve:</t>
        </r>
        <r>
          <rPr>
            <sz val="8"/>
            <color indexed="81"/>
            <rFont val="Tahoma"/>
            <family val="2"/>
          </rPr>
          <t xml:space="preserve">
Reported in millions
Source:
Page 80, Form 10K 2002</t>
        </r>
      </text>
    </comment>
    <comment ref="L259" authorId="1">
      <text>
        <r>
          <rPr>
            <b/>
            <sz val="8"/>
            <color indexed="81"/>
            <rFont val="Tahoma"/>
            <family val="2"/>
          </rPr>
          <t>Evalueserve:</t>
        </r>
        <r>
          <rPr>
            <sz val="8"/>
            <color indexed="81"/>
            <rFont val="Tahoma"/>
            <family val="2"/>
          </rPr>
          <t xml:space="preserve">
Reported in millions
Source:
Page 79, Form 10K 2003</t>
        </r>
      </text>
    </comment>
    <comment ref="M259" authorId="1">
      <text>
        <r>
          <rPr>
            <b/>
            <sz val="8"/>
            <color indexed="81"/>
            <rFont val="Tahoma"/>
            <family val="2"/>
          </rPr>
          <t>Evalueserve:</t>
        </r>
        <r>
          <rPr>
            <sz val="8"/>
            <color indexed="81"/>
            <rFont val="Tahoma"/>
            <family val="2"/>
          </rPr>
          <t xml:space="preserve">
Reported in millions
Source:
Page 80, Form 10K 2004</t>
        </r>
      </text>
    </comment>
    <comment ref="N259" authorId="1">
      <text>
        <r>
          <rPr>
            <b/>
            <sz val="8"/>
            <color indexed="81"/>
            <rFont val="Tahoma"/>
            <family val="2"/>
          </rPr>
          <t>Evalueserve:</t>
        </r>
        <r>
          <rPr>
            <sz val="8"/>
            <color indexed="81"/>
            <rFont val="Tahoma"/>
            <family val="2"/>
          </rPr>
          <t xml:space="preserve">
Reported in millions
Source:
Page 80, Form 10K 2004</t>
        </r>
      </text>
    </comment>
    <comment ref="G261" authorId="1">
      <text>
        <r>
          <rPr>
            <b/>
            <sz val="8"/>
            <color indexed="81"/>
            <rFont val="Tahoma"/>
            <family val="2"/>
          </rPr>
          <t>Evalueserve:</t>
        </r>
        <r>
          <rPr>
            <sz val="8"/>
            <color indexed="81"/>
            <rFont val="Tahoma"/>
            <family val="2"/>
          </rPr>
          <t xml:space="preserve">
Reported in millions
Source:
Page 78, Form 10K405 1998</t>
        </r>
      </text>
    </comment>
    <comment ref="H261" authorId="1">
      <text>
        <r>
          <rPr>
            <b/>
            <sz val="8"/>
            <color indexed="81"/>
            <rFont val="Tahoma"/>
            <family val="2"/>
          </rPr>
          <t>Evalueserve:</t>
        </r>
        <r>
          <rPr>
            <sz val="8"/>
            <color indexed="81"/>
            <rFont val="Tahoma"/>
            <family val="2"/>
          </rPr>
          <t xml:space="preserve">
Reported in millions
Source:
Page 54, Form 10K405 1999</t>
        </r>
      </text>
    </comment>
    <comment ref="I261" authorId="1">
      <text>
        <r>
          <rPr>
            <b/>
            <sz val="8"/>
            <color indexed="81"/>
            <rFont val="Tahoma"/>
            <family val="2"/>
          </rPr>
          <t>Evalueserve:</t>
        </r>
        <r>
          <rPr>
            <sz val="8"/>
            <color indexed="81"/>
            <rFont val="Tahoma"/>
            <family val="2"/>
          </rPr>
          <t xml:space="preserve">
Reported in millions
Source:
Page 51, Form 10K405 2000</t>
        </r>
      </text>
    </comment>
    <comment ref="J261" authorId="1">
      <text>
        <r>
          <rPr>
            <b/>
            <sz val="8"/>
            <color indexed="81"/>
            <rFont val="Tahoma"/>
            <family val="2"/>
          </rPr>
          <t>Evalueserve:</t>
        </r>
        <r>
          <rPr>
            <sz val="8"/>
            <color indexed="81"/>
            <rFont val="Tahoma"/>
            <family val="2"/>
          </rPr>
          <t xml:space="preserve">
Reported in millions
It includes 6 mn. Exchangeable preferred shares.
The company adopted Topic no. D-95 issued by EITF of FASB relating to "effect of participating convertible securities on the computation of basic earning per shares in April 2001. It states that participating convertible securities should be included in the computation of basic earning per share, if dilutive. 
Reported in millions
Source:
Page 58, Form 10K405 2001</t>
        </r>
      </text>
    </comment>
    <comment ref="K261" authorId="1">
      <text>
        <r>
          <rPr>
            <b/>
            <sz val="8"/>
            <color indexed="81"/>
            <rFont val="Tahoma"/>
            <family val="2"/>
          </rPr>
          <t>Evalueserve:</t>
        </r>
        <r>
          <rPr>
            <sz val="8"/>
            <color indexed="81"/>
            <rFont val="Tahoma"/>
            <family val="2"/>
          </rPr>
          <t xml:space="preserve">
It includes 2 mn. Exchangeable preferred shares.
The company adopted Topic no. D-95 issued by EITF of FASB relating to "effect of participating convertible securities on the computation of basic earning per shares in April 2001. It states that participating convertible securities should be included in the computation of basic earning per share, if dilutive. 
Reported in millions
Source:
Page 80, Form 10K 2002</t>
        </r>
      </text>
    </comment>
    <comment ref="L261" authorId="1">
      <text>
        <r>
          <rPr>
            <b/>
            <sz val="8"/>
            <color indexed="81"/>
            <rFont val="Tahoma"/>
            <family val="2"/>
          </rPr>
          <t>Evalueserve:</t>
        </r>
        <r>
          <rPr>
            <sz val="8"/>
            <color indexed="81"/>
            <rFont val="Tahoma"/>
            <family val="2"/>
          </rPr>
          <t xml:space="preserve">
It includes 2 mn. Exchangeable preferred shares.
The company adopted Topic no. D-95 issued by EITF of FASB relating to "effect of participating convertible securities on the computation of basic earning per shares in April 2001. It states that participating convertible securities should be included in the computation of basic earning per share, if dilutive. 
Reported in millions
Source:
Page 79, Form 10K 2003</t>
        </r>
      </text>
    </comment>
    <comment ref="M261" authorId="1">
      <text>
        <r>
          <rPr>
            <b/>
            <sz val="8"/>
            <color indexed="81"/>
            <rFont val="Tahoma"/>
            <family val="2"/>
          </rPr>
          <t>Evalueserve:</t>
        </r>
        <r>
          <rPr>
            <sz val="8"/>
            <color indexed="81"/>
            <rFont val="Tahoma"/>
            <family val="2"/>
          </rPr>
          <t xml:space="preserve">
It includes 1 mn. Exchangeable preferred shares.
The company adopted Topic no. D-95 issued by EITF of FASB relating to "effect of participating convertible securities on the computation of basic earning per shares in April 2001. It states that participating convertible securities should be included in the computation of basic earning per share, if dilutive. 
Reported in millions
Source:
Page 80, Form 10K 2004</t>
        </r>
      </text>
    </comment>
    <comment ref="N261" authorId="1">
      <text>
        <r>
          <rPr>
            <b/>
            <sz val="8"/>
            <color indexed="81"/>
            <rFont val="Tahoma"/>
            <family val="2"/>
          </rPr>
          <t>Evalueserve:</t>
        </r>
        <r>
          <rPr>
            <sz val="8"/>
            <color indexed="81"/>
            <rFont val="Tahoma"/>
            <family val="2"/>
          </rPr>
          <t xml:space="preserve">
It includes 1 mn. Exchangeable preferred shares.
The company adopted Topic no. D-95 issued by EITF of FASB relating to "effect of participating convertible securities on the computation of basic earning per shares in April 2001. It states that participating convertible securities should be included in the computation of basic earning per share, if dilutive. 
Reported in millions
Source:
Page 80, Form 10K 2004</t>
        </r>
      </text>
    </comment>
    <comment ref="G267" authorId="1">
      <text>
        <r>
          <rPr>
            <b/>
            <sz val="8"/>
            <color indexed="81"/>
            <rFont val="Tahoma"/>
            <family val="2"/>
          </rPr>
          <t>Evalueserve:</t>
        </r>
        <r>
          <rPr>
            <sz val="8"/>
            <color indexed="81"/>
            <rFont val="Tahoma"/>
            <family val="2"/>
          </rPr>
          <t xml:space="preserve">
Reported Federal tax rate as calculated tax rate (see below the template at row 742) is significantly higher than that for the other years 
</t>
        </r>
      </text>
    </comment>
    <comment ref="H267"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I267" authorId="1">
      <text>
        <r>
          <rPr>
            <b/>
            <sz val="8"/>
            <color indexed="81"/>
            <rFont val="Tahoma"/>
            <family val="2"/>
          </rPr>
          <t>Evalueserve:</t>
        </r>
        <r>
          <rPr>
            <sz val="8"/>
            <color indexed="81"/>
            <rFont val="Tahoma"/>
            <family val="2"/>
          </rPr>
          <t xml:space="preserve">
Reported Federal tax rate as calculated tax rate (see below the template at row 742) is significantly higher than that for the other years 
</t>
        </r>
      </text>
    </comment>
    <comment ref="J267"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K267"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L267"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M267" authorId="1">
      <text>
        <r>
          <rPr>
            <b/>
            <sz val="8"/>
            <color indexed="81"/>
            <rFont val="Tahoma"/>
            <family val="2"/>
          </rPr>
          <t>Evalueserve:</t>
        </r>
        <r>
          <rPr>
            <sz val="8"/>
            <color indexed="81"/>
            <rFont val="Tahoma"/>
            <family val="2"/>
          </rPr>
          <t xml:space="preserve">
Reported Federal tax rate as calculated tax rate (see below the template at row 742) is significantly higher than that for the other years 
</t>
        </r>
      </text>
    </comment>
    <comment ref="N267"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G268" authorId="1">
      <text>
        <r>
          <rPr>
            <b/>
            <sz val="8"/>
            <color indexed="81"/>
            <rFont val="Tahoma"/>
            <family val="2"/>
          </rPr>
          <t>Evalueserve:</t>
        </r>
        <r>
          <rPr>
            <sz val="8"/>
            <color indexed="81"/>
            <rFont val="Tahoma"/>
            <family val="2"/>
          </rPr>
          <t xml:space="preserve">
Reported in units
Source:
Page 37, Form 10K 405 1998</t>
        </r>
      </text>
    </comment>
    <comment ref="H268" authorId="1">
      <text>
        <r>
          <rPr>
            <b/>
            <sz val="8"/>
            <color indexed="81"/>
            <rFont val="Tahoma"/>
            <family val="2"/>
          </rPr>
          <t>Evalueserve:</t>
        </r>
        <r>
          <rPr>
            <sz val="8"/>
            <color indexed="81"/>
            <rFont val="Tahoma"/>
            <family val="2"/>
          </rPr>
          <t xml:space="preserve">
Reported in units
Source:
Page 23, Form 10K 405 1999</t>
        </r>
      </text>
    </comment>
    <comment ref="I268" authorId="1">
      <text>
        <r>
          <rPr>
            <b/>
            <sz val="8"/>
            <color indexed="81"/>
            <rFont val="Tahoma"/>
            <family val="2"/>
          </rPr>
          <t>Evalueserve:</t>
        </r>
        <r>
          <rPr>
            <sz val="8"/>
            <color indexed="81"/>
            <rFont val="Tahoma"/>
            <family val="2"/>
          </rPr>
          <t xml:space="preserve">
Reported in units
Source:
Page 21, Form 10K 405 2000</t>
        </r>
      </text>
    </comment>
    <comment ref="J268" authorId="1">
      <text>
        <r>
          <rPr>
            <b/>
            <sz val="8"/>
            <color indexed="81"/>
            <rFont val="Tahoma"/>
            <family val="2"/>
          </rPr>
          <t>Evalueserve:</t>
        </r>
        <r>
          <rPr>
            <sz val="8"/>
            <color indexed="81"/>
            <rFont val="Tahoma"/>
            <family val="2"/>
          </rPr>
          <t xml:space="preserve">
Reported in units
Source:
Page 24, Form 10K 405 2001</t>
        </r>
      </text>
    </comment>
    <comment ref="K268" authorId="1">
      <text>
        <r>
          <rPr>
            <b/>
            <sz val="8"/>
            <color indexed="81"/>
            <rFont val="Tahoma"/>
            <family val="2"/>
          </rPr>
          <t>Evalueserve:</t>
        </r>
        <r>
          <rPr>
            <sz val="8"/>
            <color indexed="81"/>
            <rFont val="Tahoma"/>
            <family val="2"/>
          </rPr>
          <t xml:space="preserve">
Reported in units
Source:
Page 26, Form 10K 2002</t>
        </r>
      </text>
    </comment>
    <comment ref="L268" authorId="1">
      <text>
        <r>
          <rPr>
            <b/>
            <sz val="8"/>
            <color indexed="81"/>
            <rFont val="Tahoma"/>
            <family val="2"/>
          </rPr>
          <t>Evalueserve:</t>
        </r>
        <r>
          <rPr>
            <sz val="8"/>
            <color indexed="81"/>
            <rFont val="Tahoma"/>
            <family val="2"/>
          </rPr>
          <t xml:space="preserve">
Reported in units
Source:
Page 27, Form 10K 2003</t>
        </r>
      </text>
    </comment>
    <comment ref="M268" authorId="1">
      <text>
        <r>
          <rPr>
            <b/>
            <sz val="8"/>
            <color indexed="81"/>
            <rFont val="Tahoma"/>
            <family val="2"/>
          </rPr>
          <t>Evalueserve:</t>
        </r>
        <r>
          <rPr>
            <sz val="8"/>
            <color indexed="81"/>
            <rFont val="Tahoma"/>
            <family val="2"/>
          </rPr>
          <t xml:space="preserve">
Reported in units
Source:
Page 26, Form 10K 2004</t>
        </r>
      </text>
    </comment>
    <comment ref="N268" authorId="1">
      <text>
        <r>
          <rPr>
            <b/>
            <sz val="8"/>
            <color indexed="81"/>
            <rFont val="Tahoma"/>
            <family val="2"/>
          </rPr>
          <t>Evalueserve:</t>
        </r>
        <r>
          <rPr>
            <sz val="8"/>
            <color indexed="81"/>
            <rFont val="Tahoma"/>
            <family val="2"/>
          </rPr>
          <t xml:space="preserve">
Reported in units
Source:
Page 26, Form 10K 2004</t>
        </r>
      </text>
    </comment>
    <comment ref="G272" authorId="1">
      <text>
        <r>
          <rPr>
            <b/>
            <sz val="8"/>
            <color indexed="81"/>
            <rFont val="Tahoma"/>
            <family val="2"/>
          </rPr>
          <t>Evalueserve:</t>
        </r>
        <r>
          <rPr>
            <sz val="8"/>
            <color indexed="81"/>
            <rFont val="Tahoma"/>
            <family val="2"/>
          </rPr>
          <t xml:space="preserve">
Data not available.</t>
        </r>
      </text>
    </comment>
    <comment ref="H272" authorId="1">
      <text>
        <r>
          <rPr>
            <b/>
            <sz val="8"/>
            <color indexed="81"/>
            <rFont val="Tahoma"/>
            <family val="2"/>
          </rPr>
          <t>Evalueserve:</t>
        </r>
        <r>
          <rPr>
            <sz val="8"/>
            <color indexed="81"/>
            <rFont val="Tahoma"/>
            <family val="2"/>
          </rPr>
          <t xml:space="preserve">
Data not available.</t>
        </r>
      </text>
    </comment>
    <comment ref="I272" authorId="1">
      <text>
        <r>
          <rPr>
            <b/>
            <sz val="8"/>
            <color indexed="81"/>
            <rFont val="Tahoma"/>
            <family val="2"/>
          </rPr>
          <t>Evalueserve:</t>
        </r>
        <r>
          <rPr>
            <sz val="8"/>
            <color indexed="81"/>
            <rFont val="Tahoma"/>
            <family val="2"/>
          </rPr>
          <t xml:space="preserve">
Data not available.</t>
        </r>
      </text>
    </comment>
    <comment ref="J272" authorId="1">
      <text>
        <r>
          <rPr>
            <b/>
            <sz val="8"/>
            <color indexed="81"/>
            <rFont val="Tahoma"/>
            <family val="2"/>
          </rPr>
          <t>Evalueserve:</t>
        </r>
        <r>
          <rPr>
            <sz val="8"/>
            <color indexed="81"/>
            <rFont val="Tahoma"/>
            <family val="2"/>
          </rPr>
          <t xml:space="preserve">
It seems that the company has included restricted cash in cash and cash equivalent</t>
        </r>
      </text>
    </comment>
    <comment ref="G275" authorId="1">
      <text>
        <r>
          <rPr>
            <b/>
            <sz val="8"/>
            <color indexed="81"/>
            <rFont val="Tahoma"/>
            <family val="2"/>
          </rPr>
          <t>Evalueserve:</t>
        </r>
        <r>
          <rPr>
            <sz val="8"/>
            <color indexed="81"/>
            <rFont val="Tahoma"/>
            <family val="2"/>
          </rPr>
          <t xml:space="preserve">
Calculated as:
+ Net Accounts Receivable
+ Allowance for doubtful accounts</t>
        </r>
      </text>
    </comment>
    <comment ref="H275" authorId="1">
      <text>
        <r>
          <rPr>
            <b/>
            <sz val="8"/>
            <color indexed="81"/>
            <rFont val="Tahoma"/>
            <family val="2"/>
          </rPr>
          <t>Evalueserve:</t>
        </r>
        <r>
          <rPr>
            <sz val="8"/>
            <color indexed="81"/>
            <rFont val="Tahoma"/>
            <family val="2"/>
          </rPr>
          <t xml:space="preserve">
Calculated as:
+ Net Accounts Receivable
+ Allowance for doubtful accounts</t>
        </r>
      </text>
    </comment>
    <comment ref="I275" authorId="1">
      <text>
        <r>
          <rPr>
            <b/>
            <sz val="8"/>
            <color indexed="81"/>
            <rFont val="Tahoma"/>
            <family val="2"/>
          </rPr>
          <t>Evalueserve:</t>
        </r>
        <r>
          <rPr>
            <sz val="8"/>
            <color indexed="81"/>
            <rFont val="Tahoma"/>
            <family val="2"/>
          </rPr>
          <t xml:space="preserve">
Calculated as:
+ Net Accounts Receivable
+ Allowance for doubtful accounts</t>
        </r>
      </text>
    </comment>
    <comment ref="J275" authorId="1">
      <text>
        <r>
          <rPr>
            <b/>
            <sz val="8"/>
            <color indexed="81"/>
            <rFont val="Tahoma"/>
            <family val="2"/>
          </rPr>
          <t>Evalueserve:</t>
        </r>
        <r>
          <rPr>
            <sz val="8"/>
            <color indexed="81"/>
            <rFont val="Tahoma"/>
            <family val="2"/>
          </rPr>
          <t xml:space="preserve">
Calculated as:
+ Net Accounts Receivable
+ Allowance for doubtful accounts</t>
        </r>
      </text>
    </comment>
    <comment ref="K275" authorId="1">
      <text>
        <r>
          <rPr>
            <b/>
            <sz val="8"/>
            <color indexed="81"/>
            <rFont val="Tahoma"/>
            <family val="2"/>
          </rPr>
          <t>Evalueserve:</t>
        </r>
        <r>
          <rPr>
            <sz val="8"/>
            <color indexed="81"/>
            <rFont val="Tahoma"/>
            <family val="2"/>
          </rPr>
          <t xml:space="preserve">
Calculated as:
+ Net Accounts Receivable
+ Allowance for doubtful accounts</t>
        </r>
      </text>
    </comment>
    <comment ref="L275" authorId="1">
      <text>
        <r>
          <rPr>
            <b/>
            <sz val="8"/>
            <color indexed="81"/>
            <rFont val="Tahoma"/>
            <family val="2"/>
          </rPr>
          <t>Evalueserve:</t>
        </r>
        <r>
          <rPr>
            <sz val="8"/>
            <color indexed="81"/>
            <rFont val="Tahoma"/>
            <family val="2"/>
          </rPr>
          <t xml:space="preserve">
Calculated as:
+ Net Accounts Receivable
+ Allowance for doubtful accounts</t>
        </r>
      </text>
    </comment>
    <comment ref="M275" authorId="1">
      <text>
        <r>
          <rPr>
            <b/>
            <sz val="8"/>
            <color indexed="81"/>
            <rFont val="Tahoma"/>
            <family val="2"/>
          </rPr>
          <t>Evalueserve:</t>
        </r>
        <r>
          <rPr>
            <sz val="8"/>
            <color indexed="81"/>
            <rFont val="Tahoma"/>
            <family val="2"/>
          </rPr>
          <t xml:space="preserve">
Calculated as:
+ Net Accounts Receivable
+ Allowance for doubtful accounts</t>
        </r>
      </text>
    </comment>
    <comment ref="N275" authorId="1">
      <text>
        <r>
          <rPr>
            <b/>
            <sz val="8"/>
            <color indexed="81"/>
            <rFont val="Tahoma"/>
            <family val="2"/>
          </rPr>
          <t>Evalueserve:</t>
        </r>
        <r>
          <rPr>
            <sz val="8"/>
            <color indexed="81"/>
            <rFont val="Tahoma"/>
            <family val="2"/>
          </rPr>
          <t xml:space="preserve">
Calculated as:
+ Net Accounts Receivable
+ Allowance for doubtful accounts</t>
        </r>
      </text>
    </comment>
    <comment ref="G285" authorId="1">
      <text>
        <r>
          <rPr>
            <b/>
            <sz val="8"/>
            <color indexed="81"/>
            <rFont val="Tahoma"/>
            <family val="2"/>
          </rPr>
          <t>Evalueserve:</t>
        </r>
        <r>
          <rPr>
            <sz val="8"/>
            <color indexed="81"/>
            <rFont val="Tahoma"/>
            <family val="2"/>
          </rPr>
          <t xml:space="preserve">
Reported as: 
Long-term receivables
Source: Page 107, Form 10k,
1998</t>
        </r>
      </text>
    </comment>
    <comment ref="H285" authorId="1">
      <text>
        <r>
          <rPr>
            <b/>
            <sz val="8"/>
            <color indexed="81"/>
            <rFont val="Tahoma"/>
            <family val="2"/>
          </rPr>
          <t>Evalueserve:</t>
        </r>
        <r>
          <rPr>
            <sz val="8"/>
            <color indexed="81"/>
            <rFont val="Tahoma"/>
            <family val="2"/>
          </rPr>
          <t xml:space="preserve">
Data not available.</t>
        </r>
      </text>
    </comment>
    <comment ref="I285" authorId="1">
      <text>
        <r>
          <rPr>
            <b/>
            <sz val="8"/>
            <color indexed="81"/>
            <rFont val="Tahoma"/>
            <family val="2"/>
          </rPr>
          <t>Evalueserve:</t>
        </r>
        <r>
          <rPr>
            <sz val="8"/>
            <color indexed="81"/>
            <rFont val="Tahoma"/>
            <family val="2"/>
          </rPr>
          <t xml:space="preserve">
Data not available.</t>
        </r>
      </text>
    </comment>
    <comment ref="J285" authorId="1">
      <text>
        <r>
          <rPr>
            <b/>
            <sz val="8"/>
            <color indexed="81"/>
            <rFont val="Tahoma"/>
            <family val="2"/>
          </rPr>
          <t>Evalueserve:</t>
        </r>
        <r>
          <rPr>
            <sz val="8"/>
            <color indexed="81"/>
            <rFont val="Tahoma"/>
            <family val="2"/>
          </rPr>
          <t xml:space="preserve">
Data not available.</t>
        </r>
      </text>
    </comment>
    <comment ref="K285" authorId="1">
      <text>
        <r>
          <rPr>
            <b/>
            <sz val="8"/>
            <color indexed="81"/>
            <rFont val="Tahoma"/>
            <family val="2"/>
          </rPr>
          <t>Evalueserve:</t>
        </r>
        <r>
          <rPr>
            <sz val="8"/>
            <color indexed="81"/>
            <rFont val="Tahoma"/>
            <family val="2"/>
          </rPr>
          <t xml:space="preserve">
The company reports Vacation ownership notes receivable worth $ 190 million for the FY 2001. 
Source:
Page 86, Form 10K 2002</t>
        </r>
      </text>
    </comment>
    <comment ref="L285" authorId="1">
      <text>
        <r>
          <rPr>
            <b/>
            <sz val="8"/>
            <color indexed="81"/>
            <rFont val="Tahoma"/>
            <family val="2"/>
          </rPr>
          <t>Evalueserve:</t>
        </r>
        <r>
          <rPr>
            <sz val="8"/>
            <color indexed="81"/>
            <rFont val="Tahoma"/>
            <family val="2"/>
          </rPr>
          <t xml:space="preserve">
The company reports Vacation ownership notes receivable worth $ 157 million for the FY 2002. 
Source:
Page 85, Form 10K 2003</t>
        </r>
      </text>
    </comment>
    <comment ref="M285" authorId="1">
      <text>
        <r>
          <rPr>
            <b/>
            <sz val="8"/>
            <color indexed="81"/>
            <rFont val="Tahoma"/>
            <family val="2"/>
          </rPr>
          <t>Evalueserve:</t>
        </r>
        <r>
          <rPr>
            <sz val="8"/>
            <color indexed="81"/>
            <rFont val="Tahoma"/>
            <family val="2"/>
          </rPr>
          <t xml:space="preserve">
Source:
Page 90, Form 10K 2004</t>
        </r>
      </text>
    </comment>
    <comment ref="N285" authorId="1">
      <text>
        <r>
          <rPr>
            <b/>
            <sz val="8"/>
            <color indexed="81"/>
            <rFont val="Tahoma"/>
            <family val="2"/>
          </rPr>
          <t>Evalueserve:</t>
        </r>
        <r>
          <rPr>
            <sz val="8"/>
            <color indexed="81"/>
            <rFont val="Tahoma"/>
            <family val="2"/>
          </rPr>
          <t xml:space="preserve">
Source:
Page 90, Form 10K 2004</t>
        </r>
      </text>
    </comment>
    <comment ref="G293" authorId="1">
      <text>
        <r>
          <rPr>
            <b/>
            <sz val="8"/>
            <color indexed="81"/>
            <rFont val="Tahoma"/>
            <family val="2"/>
          </rPr>
          <t>Evalueserve:</t>
        </r>
        <r>
          <rPr>
            <sz val="8"/>
            <color indexed="81"/>
            <rFont val="Tahoma"/>
            <family val="2"/>
          </rPr>
          <t xml:space="preserve">
Reported as:
Prepaid expenses and other</t>
        </r>
      </text>
    </comment>
    <comment ref="H293" authorId="1">
      <text>
        <r>
          <rPr>
            <b/>
            <sz val="8"/>
            <color indexed="81"/>
            <rFont val="Tahoma"/>
            <family val="2"/>
          </rPr>
          <t>Evalueserve:</t>
        </r>
        <r>
          <rPr>
            <sz val="8"/>
            <color indexed="81"/>
            <rFont val="Tahoma"/>
            <family val="2"/>
          </rPr>
          <t xml:space="preserve">
Reported as:
Prepaid expenses and other</t>
        </r>
      </text>
    </comment>
    <comment ref="I293" authorId="1">
      <text>
        <r>
          <rPr>
            <b/>
            <sz val="8"/>
            <color indexed="81"/>
            <rFont val="Tahoma"/>
            <family val="2"/>
          </rPr>
          <t>Evalueserve:</t>
        </r>
        <r>
          <rPr>
            <sz val="8"/>
            <color indexed="81"/>
            <rFont val="Tahoma"/>
            <family val="2"/>
          </rPr>
          <t xml:space="preserve">
Reported as:
Prepaid expenses and other</t>
        </r>
      </text>
    </comment>
    <comment ref="J293" authorId="1">
      <text>
        <r>
          <rPr>
            <b/>
            <sz val="8"/>
            <color indexed="81"/>
            <rFont val="Tahoma"/>
            <family val="2"/>
          </rPr>
          <t>Evalueserve:</t>
        </r>
        <r>
          <rPr>
            <sz val="8"/>
            <color indexed="81"/>
            <rFont val="Tahoma"/>
            <family val="2"/>
          </rPr>
          <t xml:space="preserve">
Reported as:
Prepaid expenses and other</t>
        </r>
      </text>
    </comment>
    <comment ref="K293" authorId="1">
      <text>
        <r>
          <rPr>
            <b/>
            <sz val="8"/>
            <color indexed="81"/>
            <rFont val="Tahoma"/>
            <family val="2"/>
          </rPr>
          <t>Evalueserve:</t>
        </r>
        <r>
          <rPr>
            <sz val="8"/>
            <color indexed="81"/>
            <rFont val="Tahoma"/>
            <family val="2"/>
          </rPr>
          <t xml:space="preserve">
Reported as:
Prepaid expenses and other</t>
        </r>
      </text>
    </comment>
    <comment ref="L293" authorId="1">
      <text>
        <r>
          <rPr>
            <b/>
            <sz val="8"/>
            <color indexed="81"/>
            <rFont val="Tahoma"/>
            <family val="2"/>
          </rPr>
          <t>Evalueserve:</t>
        </r>
        <r>
          <rPr>
            <sz val="8"/>
            <color indexed="81"/>
            <rFont val="Tahoma"/>
            <family val="2"/>
          </rPr>
          <t xml:space="preserve">
Reported as:
Prepaid expenses and other</t>
        </r>
      </text>
    </comment>
    <comment ref="M293" authorId="1">
      <text>
        <r>
          <rPr>
            <b/>
            <sz val="8"/>
            <color indexed="81"/>
            <rFont val="Tahoma"/>
            <family val="2"/>
          </rPr>
          <t>Evalueserve:</t>
        </r>
        <r>
          <rPr>
            <sz val="8"/>
            <color indexed="81"/>
            <rFont val="Tahoma"/>
            <family val="2"/>
          </rPr>
          <t xml:space="preserve">
Reported as:
Prepaid expenses and other</t>
        </r>
      </text>
    </comment>
    <comment ref="N293" authorId="1">
      <text>
        <r>
          <rPr>
            <b/>
            <sz val="8"/>
            <color indexed="81"/>
            <rFont val="Tahoma"/>
            <family val="2"/>
          </rPr>
          <t>Evalueserve:</t>
        </r>
        <r>
          <rPr>
            <sz val="8"/>
            <color indexed="81"/>
            <rFont val="Tahoma"/>
            <family val="2"/>
          </rPr>
          <t xml:space="preserve">
Reported as:
Prepaid expenses and other</t>
        </r>
      </text>
    </comment>
    <comment ref="G302"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H302"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I302"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J302"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K302" authorId="1">
      <text>
        <r>
          <rPr>
            <b/>
            <sz val="8"/>
            <color indexed="81"/>
            <rFont val="Tahoma"/>
            <family val="2"/>
          </rPr>
          <t>Evalueserve:</t>
        </r>
        <r>
          <rPr>
            <sz val="8"/>
            <color indexed="81"/>
            <rFont val="Tahoma"/>
            <family val="2"/>
          </rPr>
          <t xml:space="preserve">
Calculated as:
+ Inventories
- Other Inventories
It has been reported as operating supplies
Source:
Page 77, Form 10K 2002</t>
        </r>
      </text>
    </comment>
    <comment ref="L302" authorId="1">
      <text>
        <r>
          <rPr>
            <b/>
            <sz val="8"/>
            <color indexed="81"/>
            <rFont val="Tahoma"/>
            <family val="2"/>
          </rPr>
          <t>Evalueserve:</t>
        </r>
        <r>
          <rPr>
            <sz val="8"/>
            <color indexed="81"/>
            <rFont val="Tahoma"/>
            <family val="2"/>
          </rPr>
          <t xml:space="preserve">
Calculated as:
+ Inventories
- Other Inventories
It has been reported as operating supplies
Source:
Page 76, Form 10K 2003</t>
        </r>
      </text>
    </comment>
    <comment ref="M302" authorId="1">
      <text>
        <r>
          <rPr>
            <b/>
            <sz val="8"/>
            <color indexed="81"/>
            <rFont val="Tahoma"/>
            <family val="2"/>
          </rPr>
          <t>Evalueserve:</t>
        </r>
        <r>
          <rPr>
            <sz val="8"/>
            <color indexed="81"/>
            <rFont val="Tahoma"/>
            <family val="2"/>
          </rPr>
          <t xml:space="preserve">
Calculated as:
+ Inventories
- Other Inventories
It has been reported as operating supplies
Source:
Page 77, Form 10K 2004</t>
        </r>
      </text>
    </comment>
    <comment ref="N302" authorId="1">
      <text>
        <r>
          <rPr>
            <b/>
            <sz val="8"/>
            <color indexed="81"/>
            <rFont val="Tahoma"/>
            <family val="2"/>
          </rPr>
          <t>Evalueserve:</t>
        </r>
        <r>
          <rPr>
            <sz val="8"/>
            <color indexed="81"/>
            <rFont val="Tahoma"/>
            <family val="2"/>
          </rPr>
          <t xml:space="preserve">
Calculated as:
+ Inventories
- Other Inventories
It has been reported as operating supplies
Source:
Page 77, Form 10K 2004</t>
        </r>
      </text>
    </comment>
    <comment ref="G305"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H305"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I305"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J305" authorId="1">
      <text>
        <r>
          <rPr>
            <b/>
            <sz val="8"/>
            <color indexed="81"/>
            <rFont val="Tahoma"/>
            <family val="2"/>
          </rPr>
          <t>Evalueserve:</t>
        </r>
        <r>
          <rPr>
            <sz val="8"/>
            <color indexed="81"/>
            <rFont val="Tahoma"/>
            <family val="2"/>
          </rPr>
          <t xml:space="preserve">
The company reports that Inventories consist of VOIs and Hotel operating supplies. Since its breakup between the two is not given, we could not capture it. </t>
        </r>
      </text>
    </comment>
    <comment ref="K305" authorId="1">
      <text>
        <r>
          <rPr>
            <b/>
            <sz val="8"/>
            <color indexed="81"/>
            <rFont val="Tahoma"/>
            <family val="2"/>
          </rPr>
          <t>Evalueserve:</t>
        </r>
        <r>
          <rPr>
            <sz val="8"/>
            <color indexed="81"/>
            <rFont val="Tahoma"/>
            <family val="2"/>
          </rPr>
          <t xml:space="preserve">
Reported as:
VOIs
Source:
Page 77, Form 10K 2002</t>
        </r>
      </text>
    </comment>
    <comment ref="L305" authorId="1">
      <text>
        <r>
          <rPr>
            <b/>
            <sz val="8"/>
            <color indexed="81"/>
            <rFont val="Tahoma"/>
            <family val="2"/>
          </rPr>
          <t>Evalueserve:</t>
        </r>
        <r>
          <rPr>
            <sz val="8"/>
            <color indexed="81"/>
            <rFont val="Tahoma"/>
            <family val="2"/>
          </rPr>
          <t xml:space="preserve">
Reported as:
VOIs
Source:
Page 76, Form 10K 2003</t>
        </r>
      </text>
    </comment>
    <comment ref="M305" authorId="1">
      <text>
        <r>
          <rPr>
            <b/>
            <sz val="8"/>
            <color indexed="81"/>
            <rFont val="Tahoma"/>
            <family val="2"/>
          </rPr>
          <t>Evalueserve:</t>
        </r>
        <r>
          <rPr>
            <sz val="8"/>
            <color indexed="81"/>
            <rFont val="Tahoma"/>
            <family val="2"/>
          </rPr>
          <t xml:space="preserve">
Calculated as:
+ VOIs
+ Residential
Source:
Page 77, Form 10K 2004</t>
        </r>
      </text>
    </comment>
    <comment ref="N305" authorId="1">
      <text>
        <r>
          <rPr>
            <b/>
            <sz val="8"/>
            <color indexed="81"/>
            <rFont val="Tahoma"/>
            <family val="2"/>
          </rPr>
          <t>Evalueserve:</t>
        </r>
        <r>
          <rPr>
            <sz val="8"/>
            <color indexed="81"/>
            <rFont val="Tahoma"/>
            <family val="2"/>
          </rPr>
          <t xml:space="preserve">
Calculated as:
+ VOIs
+ Residential
Source:
Page 77, Form 10K 2004</t>
        </r>
      </text>
    </comment>
    <comment ref="G308" authorId="1">
      <text>
        <r>
          <rPr>
            <b/>
            <sz val="8"/>
            <color indexed="81"/>
            <rFont val="Tahoma"/>
            <family val="2"/>
          </rPr>
          <t>Evalueserve:</t>
        </r>
        <r>
          <rPr>
            <sz val="8"/>
            <color indexed="81"/>
            <rFont val="Tahoma"/>
            <family val="2"/>
          </rPr>
          <t xml:space="preserve">
Reported as:
Buildings and Improvement</t>
        </r>
      </text>
    </comment>
    <comment ref="H308" authorId="1">
      <text>
        <r>
          <rPr>
            <b/>
            <sz val="8"/>
            <color indexed="81"/>
            <rFont val="Tahoma"/>
            <family val="2"/>
          </rPr>
          <t>Evalueserve:</t>
        </r>
        <r>
          <rPr>
            <sz val="8"/>
            <color indexed="81"/>
            <rFont val="Tahoma"/>
            <family val="2"/>
          </rPr>
          <t xml:space="preserve">
Reported as:
Buildings and Improvement</t>
        </r>
      </text>
    </comment>
    <comment ref="I308" authorId="1">
      <text>
        <r>
          <rPr>
            <b/>
            <sz val="8"/>
            <color indexed="81"/>
            <rFont val="Tahoma"/>
            <family val="2"/>
          </rPr>
          <t>Evalueserve:</t>
        </r>
        <r>
          <rPr>
            <sz val="8"/>
            <color indexed="81"/>
            <rFont val="Tahoma"/>
            <family val="2"/>
          </rPr>
          <t xml:space="preserve">
Reported as:
Buildings and Improvement</t>
        </r>
      </text>
    </comment>
    <comment ref="J308" authorId="1">
      <text>
        <r>
          <rPr>
            <b/>
            <sz val="8"/>
            <color indexed="81"/>
            <rFont val="Tahoma"/>
            <family val="2"/>
          </rPr>
          <t>Evalueserve:</t>
        </r>
        <r>
          <rPr>
            <sz val="8"/>
            <color indexed="81"/>
            <rFont val="Tahoma"/>
            <family val="2"/>
          </rPr>
          <t xml:space="preserve">
Reported as:
Buildings and Improvement</t>
        </r>
      </text>
    </comment>
    <comment ref="K308" authorId="1">
      <text>
        <r>
          <rPr>
            <b/>
            <sz val="8"/>
            <color indexed="81"/>
            <rFont val="Tahoma"/>
            <family val="2"/>
          </rPr>
          <t>Evalueserve:</t>
        </r>
        <r>
          <rPr>
            <sz val="8"/>
            <color indexed="81"/>
            <rFont val="Tahoma"/>
            <family val="2"/>
          </rPr>
          <t xml:space="preserve">
Reported as:
Buildings and Improvement</t>
        </r>
      </text>
    </comment>
    <comment ref="L308" authorId="1">
      <text>
        <r>
          <rPr>
            <b/>
            <sz val="8"/>
            <color indexed="81"/>
            <rFont val="Tahoma"/>
            <family val="2"/>
          </rPr>
          <t>Evalueserve:</t>
        </r>
        <r>
          <rPr>
            <sz val="8"/>
            <color indexed="81"/>
            <rFont val="Tahoma"/>
            <family val="2"/>
          </rPr>
          <t xml:space="preserve">
Reported as:
Buildings and Improvement</t>
        </r>
      </text>
    </comment>
    <comment ref="M308" authorId="1">
      <text>
        <r>
          <rPr>
            <b/>
            <sz val="8"/>
            <color indexed="81"/>
            <rFont val="Tahoma"/>
            <family val="2"/>
          </rPr>
          <t>Evalueserve:</t>
        </r>
        <r>
          <rPr>
            <sz val="8"/>
            <color indexed="81"/>
            <rFont val="Tahoma"/>
            <family val="2"/>
          </rPr>
          <t xml:space="preserve">
Reported as:
Buildings and Improvement</t>
        </r>
      </text>
    </comment>
    <comment ref="N308" authorId="1">
      <text>
        <r>
          <rPr>
            <b/>
            <sz val="8"/>
            <color indexed="81"/>
            <rFont val="Tahoma"/>
            <family val="2"/>
          </rPr>
          <t>Evalueserve:</t>
        </r>
        <r>
          <rPr>
            <sz val="8"/>
            <color indexed="81"/>
            <rFont val="Tahoma"/>
            <family val="2"/>
          </rPr>
          <t xml:space="preserve">
Reported as:
Buildings and Improvement</t>
        </r>
      </text>
    </comment>
    <comment ref="G309" authorId="1">
      <text>
        <r>
          <rPr>
            <b/>
            <sz val="8"/>
            <color indexed="81"/>
            <rFont val="Tahoma"/>
            <family val="2"/>
          </rPr>
          <t>Evalueserve:</t>
        </r>
        <r>
          <rPr>
            <sz val="8"/>
            <color indexed="81"/>
            <rFont val="Tahoma"/>
            <family val="2"/>
          </rPr>
          <t xml:space="preserve">
Reported as:
Furniture, Fixtures and equipment</t>
        </r>
      </text>
    </comment>
    <comment ref="H309" authorId="1">
      <text>
        <r>
          <rPr>
            <b/>
            <sz val="8"/>
            <color indexed="81"/>
            <rFont val="Tahoma"/>
            <family val="2"/>
          </rPr>
          <t>Evalueserve:</t>
        </r>
        <r>
          <rPr>
            <sz val="8"/>
            <color indexed="81"/>
            <rFont val="Tahoma"/>
            <family val="2"/>
          </rPr>
          <t xml:space="preserve">
Reported as:
Furniture, Fixtures and equipment</t>
        </r>
      </text>
    </comment>
    <comment ref="I309" authorId="1">
      <text>
        <r>
          <rPr>
            <b/>
            <sz val="8"/>
            <color indexed="81"/>
            <rFont val="Tahoma"/>
            <family val="2"/>
          </rPr>
          <t>Evalueserve:</t>
        </r>
        <r>
          <rPr>
            <sz val="8"/>
            <color indexed="81"/>
            <rFont val="Tahoma"/>
            <family val="2"/>
          </rPr>
          <t xml:space="preserve">
Reported as:
Furniture, Fixtures and equipment</t>
        </r>
      </text>
    </comment>
    <comment ref="J309" authorId="1">
      <text>
        <r>
          <rPr>
            <b/>
            <sz val="8"/>
            <color indexed="81"/>
            <rFont val="Tahoma"/>
            <family val="2"/>
          </rPr>
          <t>Evalueserve:</t>
        </r>
        <r>
          <rPr>
            <sz val="8"/>
            <color indexed="81"/>
            <rFont val="Tahoma"/>
            <family val="2"/>
          </rPr>
          <t xml:space="preserve">
Reported as:
Furniture, Fixtures and equipment</t>
        </r>
      </text>
    </comment>
    <comment ref="K309" authorId="1">
      <text>
        <r>
          <rPr>
            <b/>
            <sz val="8"/>
            <color indexed="81"/>
            <rFont val="Tahoma"/>
            <family val="2"/>
          </rPr>
          <t>Evalueserve:</t>
        </r>
        <r>
          <rPr>
            <sz val="8"/>
            <color indexed="81"/>
            <rFont val="Tahoma"/>
            <family val="2"/>
          </rPr>
          <t xml:space="preserve">
Reported as:
Furniture, Fixtures and equipment</t>
        </r>
      </text>
    </comment>
    <comment ref="L309" authorId="1">
      <text>
        <r>
          <rPr>
            <b/>
            <sz val="8"/>
            <color indexed="81"/>
            <rFont val="Tahoma"/>
            <family val="2"/>
          </rPr>
          <t>Evalueserve:</t>
        </r>
        <r>
          <rPr>
            <sz val="8"/>
            <color indexed="81"/>
            <rFont val="Tahoma"/>
            <family val="2"/>
          </rPr>
          <t xml:space="preserve">
Reported as:
Furniture, Fixtures and equipment</t>
        </r>
      </text>
    </comment>
    <comment ref="M309" authorId="1">
      <text>
        <r>
          <rPr>
            <b/>
            <sz val="8"/>
            <color indexed="81"/>
            <rFont val="Tahoma"/>
            <family val="2"/>
          </rPr>
          <t>Evalueserve:</t>
        </r>
        <r>
          <rPr>
            <sz val="8"/>
            <color indexed="81"/>
            <rFont val="Tahoma"/>
            <family val="2"/>
          </rPr>
          <t xml:space="preserve">
Reported as:
Furniture, Fixtures and equipment</t>
        </r>
      </text>
    </comment>
    <comment ref="N309" authorId="1">
      <text>
        <r>
          <rPr>
            <b/>
            <sz val="8"/>
            <color indexed="81"/>
            <rFont val="Tahoma"/>
            <family val="2"/>
          </rPr>
          <t>Evalueserve:</t>
        </r>
        <r>
          <rPr>
            <sz val="8"/>
            <color indexed="81"/>
            <rFont val="Tahoma"/>
            <family val="2"/>
          </rPr>
          <t xml:space="preserve">
Reported as:
Furniture, Fixtures and equipment</t>
        </r>
      </text>
    </comment>
    <comment ref="G310" authorId="1">
      <text>
        <r>
          <rPr>
            <b/>
            <sz val="8"/>
            <color indexed="81"/>
            <rFont val="Tahoma"/>
            <family val="2"/>
          </rPr>
          <t>Evalueserve:</t>
        </r>
        <r>
          <rPr>
            <sz val="8"/>
            <color indexed="81"/>
            <rFont val="Tahoma"/>
            <family val="2"/>
          </rPr>
          <t xml:space="preserve">
Reported as:
Land and Improvements</t>
        </r>
      </text>
    </comment>
    <comment ref="H310" authorId="1">
      <text>
        <r>
          <rPr>
            <b/>
            <sz val="8"/>
            <color indexed="81"/>
            <rFont val="Tahoma"/>
            <family val="2"/>
          </rPr>
          <t>Evalueserve:</t>
        </r>
        <r>
          <rPr>
            <sz val="8"/>
            <color indexed="81"/>
            <rFont val="Tahoma"/>
            <family val="2"/>
          </rPr>
          <t xml:space="preserve">
Reported as:
Land and Improvements</t>
        </r>
      </text>
    </comment>
    <comment ref="I310" authorId="1">
      <text>
        <r>
          <rPr>
            <b/>
            <sz val="8"/>
            <color indexed="81"/>
            <rFont val="Tahoma"/>
            <family val="2"/>
          </rPr>
          <t>Evalueserve:</t>
        </r>
        <r>
          <rPr>
            <sz val="8"/>
            <color indexed="81"/>
            <rFont val="Tahoma"/>
            <family val="2"/>
          </rPr>
          <t xml:space="preserve">
Reported as:
Land and Improvements</t>
        </r>
      </text>
    </comment>
    <comment ref="J310" authorId="1">
      <text>
        <r>
          <rPr>
            <b/>
            <sz val="8"/>
            <color indexed="81"/>
            <rFont val="Tahoma"/>
            <family val="2"/>
          </rPr>
          <t>Evalueserve:</t>
        </r>
        <r>
          <rPr>
            <sz val="8"/>
            <color indexed="81"/>
            <rFont val="Tahoma"/>
            <family val="2"/>
          </rPr>
          <t xml:space="preserve">
Reported as:
Land and Improvements</t>
        </r>
      </text>
    </comment>
    <comment ref="K310" authorId="1">
      <text>
        <r>
          <rPr>
            <b/>
            <sz val="8"/>
            <color indexed="81"/>
            <rFont val="Tahoma"/>
            <family val="2"/>
          </rPr>
          <t>Evalueserve:</t>
        </r>
        <r>
          <rPr>
            <sz val="8"/>
            <color indexed="81"/>
            <rFont val="Tahoma"/>
            <family val="2"/>
          </rPr>
          <t xml:space="preserve">
Reported as:
Land and Improvements</t>
        </r>
      </text>
    </comment>
    <comment ref="L310" authorId="1">
      <text>
        <r>
          <rPr>
            <b/>
            <sz val="8"/>
            <color indexed="81"/>
            <rFont val="Tahoma"/>
            <family val="2"/>
          </rPr>
          <t>Evalueserve:</t>
        </r>
        <r>
          <rPr>
            <sz val="8"/>
            <color indexed="81"/>
            <rFont val="Tahoma"/>
            <family val="2"/>
          </rPr>
          <t xml:space="preserve">
Reported as:
Land and Improvements</t>
        </r>
      </text>
    </comment>
    <comment ref="M310" authorId="1">
      <text>
        <r>
          <rPr>
            <b/>
            <sz val="8"/>
            <color indexed="81"/>
            <rFont val="Tahoma"/>
            <family val="2"/>
          </rPr>
          <t>Evalueserve:</t>
        </r>
        <r>
          <rPr>
            <sz val="8"/>
            <color indexed="81"/>
            <rFont val="Tahoma"/>
            <family val="2"/>
          </rPr>
          <t xml:space="preserve">
Reported as:
Land and Improvements</t>
        </r>
      </text>
    </comment>
    <comment ref="N310" authorId="1">
      <text>
        <r>
          <rPr>
            <b/>
            <sz val="8"/>
            <color indexed="81"/>
            <rFont val="Tahoma"/>
            <family val="2"/>
          </rPr>
          <t>Evalueserve:</t>
        </r>
        <r>
          <rPr>
            <sz val="8"/>
            <color indexed="81"/>
            <rFont val="Tahoma"/>
            <family val="2"/>
          </rPr>
          <t xml:space="preserve">
Reported as:
Land and Improvements</t>
        </r>
      </text>
    </comment>
    <comment ref="G314" authorId="1">
      <text>
        <r>
          <rPr>
            <b/>
            <sz val="8"/>
            <color indexed="81"/>
            <rFont val="Tahoma"/>
            <family val="2"/>
          </rPr>
          <t>Evalueserve:</t>
        </r>
        <r>
          <rPr>
            <sz val="8"/>
            <color indexed="81"/>
            <rFont val="Tahoma"/>
            <family val="2"/>
          </rPr>
          <t xml:space="preserve">
Calculated as:
+ Net Goodwill
+ Accumulated amortization</t>
        </r>
      </text>
    </comment>
    <comment ref="H314" authorId="1">
      <text>
        <r>
          <rPr>
            <b/>
            <sz val="8"/>
            <color indexed="81"/>
            <rFont val="Tahoma"/>
            <family val="2"/>
          </rPr>
          <t>Evalueserve:</t>
        </r>
        <r>
          <rPr>
            <sz val="8"/>
            <color indexed="81"/>
            <rFont val="Tahoma"/>
            <family val="2"/>
          </rPr>
          <t xml:space="preserve">
Calculated as:
+ Net Goodwill
+ Accumulated amortization</t>
        </r>
      </text>
    </comment>
    <comment ref="I314" authorId="1">
      <text>
        <r>
          <rPr>
            <b/>
            <sz val="8"/>
            <color indexed="81"/>
            <rFont val="Tahoma"/>
            <family val="2"/>
          </rPr>
          <t>Evalueserve:</t>
        </r>
        <r>
          <rPr>
            <sz val="8"/>
            <color indexed="81"/>
            <rFont val="Tahoma"/>
            <family val="2"/>
          </rPr>
          <t xml:space="preserve">
Calculated as:
+ Net Goodwill
+ Accumulated amortization</t>
        </r>
      </text>
    </comment>
    <comment ref="K314" authorId="1">
      <text>
        <r>
          <rPr>
            <b/>
            <sz val="8"/>
            <color indexed="81"/>
            <rFont val="Tahoma"/>
            <family val="2"/>
          </rPr>
          <t>Evalueserve:</t>
        </r>
        <r>
          <rPr>
            <sz val="8"/>
            <color indexed="81"/>
            <rFont val="Tahoma"/>
            <family val="2"/>
          </rPr>
          <t xml:space="preserve">
Calculated as:
+ Net Goodwill
+ Accumulated Amortization</t>
        </r>
      </text>
    </comment>
    <comment ref="L314" authorId="1">
      <text>
        <r>
          <rPr>
            <b/>
            <sz val="8"/>
            <color indexed="81"/>
            <rFont val="Tahoma"/>
            <family val="2"/>
          </rPr>
          <t>Evalueserve:</t>
        </r>
        <r>
          <rPr>
            <sz val="8"/>
            <color indexed="81"/>
            <rFont val="Tahoma"/>
            <family val="2"/>
          </rPr>
          <t xml:space="preserve">
The company reports goodwill net of amortization</t>
        </r>
      </text>
    </comment>
    <comment ref="M314" authorId="1">
      <text>
        <r>
          <rPr>
            <b/>
            <sz val="8"/>
            <color indexed="81"/>
            <rFont val="Tahoma"/>
            <family val="2"/>
          </rPr>
          <t>Evalueserve:</t>
        </r>
        <r>
          <rPr>
            <sz val="8"/>
            <color indexed="81"/>
            <rFont val="Tahoma"/>
            <family val="2"/>
          </rPr>
          <t xml:space="preserve">
The company reports goodwill net of amortization</t>
        </r>
      </text>
    </comment>
    <comment ref="N314" authorId="1">
      <text>
        <r>
          <rPr>
            <b/>
            <sz val="8"/>
            <color indexed="81"/>
            <rFont val="Tahoma"/>
            <family val="2"/>
          </rPr>
          <t>Evalueserve:</t>
        </r>
        <r>
          <rPr>
            <sz val="8"/>
            <color indexed="81"/>
            <rFont val="Tahoma"/>
            <family val="2"/>
          </rPr>
          <t xml:space="preserve">
The company reports goodwill net of amortization</t>
        </r>
      </text>
    </comment>
    <comment ref="G315" authorId="1">
      <text>
        <r>
          <rPr>
            <b/>
            <sz val="8"/>
            <color indexed="81"/>
            <rFont val="Tahoma"/>
            <family val="2"/>
          </rPr>
          <t xml:space="preserve">Evalueserve:
</t>
        </r>
        <r>
          <rPr>
            <sz val="8"/>
            <color indexed="81"/>
            <rFont val="Tahoma"/>
            <family val="2"/>
          </rPr>
          <t xml:space="preserve">Reported as:
Accumulated amortization of goodwill and intangibles 
</t>
        </r>
        <r>
          <rPr>
            <sz val="8"/>
            <color indexed="81"/>
            <rFont val="Tahoma"/>
            <family val="2"/>
          </rPr>
          <t xml:space="preserve">
Source:
Page 96, Form 10K405 1998</t>
        </r>
      </text>
    </comment>
    <comment ref="H315" authorId="1">
      <text>
        <r>
          <rPr>
            <b/>
            <sz val="8"/>
            <color indexed="81"/>
            <rFont val="Tahoma"/>
            <family val="2"/>
          </rPr>
          <t>Evalueserve:</t>
        </r>
        <r>
          <rPr>
            <sz val="8"/>
            <color indexed="81"/>
            <rFont val="Tahoma"/>
            <family val="2"/>
          </rPr>
          <t xml:space="preserve">
Reported as:
Accumulated amortization of goodwill and intangibles 
Source:
Page 65, Form 10K405 1999</t>
        </r>
      </text>
    </comment>
    <comment ref="I315" authorId="1">
      <text>
        <r>
          <rPr>
            <b/>
            <sz val="8"/>
            <color indexed="81"/>
            <rFont val="Tahoma"/>
            <family val="2"/>
          </rPr>
          <t>Evalueserve:</t>
        </r>
        <r>
          <rPr>
            <sz val="8"/>
            <color indexed="81"/>
            <rFont val="Tahoma"/>
            <family val="2"/>
          </rPr>
          <t xml:space="preserve">
Reported as:
Accumulated amortization of goodwill and intangibles 
Source:
Page 63, Form 10K405 2000</t>
        </r>
      </text>
    </comment>
    <comment ref="J315" authorId="1">
      <text>
        <r>
          <rPr>
            <b/>
            <sz val="8"/>
            <color indexed="81"/>
            <rFont val="Tahoma"/>
            <family val="2"/>
          </rPr>
          <t>Evalueserve:</t>
        </r>
        <r>
          <rPr>
            <sz val="8"/>
            <color indexed="81"/>
            <rFont val="Tahoma"/>
            <family val="2"/>
          </rPr>
          <t xml:space="preserve">
The Company does not report the break up of Accumulated Amortization between Goodwill and Other intangibles assets. Hence we are capturing the entire amount here.</t>
        </r>
      </text>
    </comment>
    <comment ref="K315" authorId="1">
      <text>
        <r>
          <rPr>
            <b/>
            <sz val="8"/>
            <color indexed="81"/>
            <rFont val="Tahoma"/>
            <family val="2"/>
          </rPr>
          <t>Evalueserve:</t>
        </r>
        <r>
          <rPr>
            <sz val="8"/>
            <color indexed="81"/>
            <rFont val="Tahoma"/>
            <family val="2"/>
          </rPr>
          <t xml:space="preserve">
Calculated as:
+ Accumulated amortization on goodwill and other intangible asset as per Form 10K 405 2001
- Accumulated amortization on other intangible asset as per Form 10K 2002
Source:
Page 89, Form 10K 2002
Page 76, Form 10K 405 2001
</t>
        </r>
      </text>
    </comment>
    <comment ref="L315" authorId="1">
      <text>
        <r>
          <rPr>
            <b/>
            <sz val="8"/>
            <color indexed="81"/>
            <rFont val="Tahoma"/>
            <family val="2"/>
          </rPr>
          <t>Evalueserve:</t>
        </r>
        <r>
          <rPr>
            <sz val="8"/>
            <color indexed="81"/>
            <rFont val="Tahoma"/>
            <family val="2"/>
          </rPr>
          <t xml:space="preserve">
The company has adopted SFAS no. 142, with effect from Jan 1, 2002 which does not require the company to amortize goodwill.
Source:
Page 83, Form 10K 2003</t>
        </r>
      </text>
    </comment>
    <comment ref="M315" authorId="1">
      <text>
        <r>
          <rPr>
            <b/>
            <sz val="8"/>
            <color indexed="81"/>
            <rFont val="Tahoma"/>
            <family val="2"/>
          </rPr>
          <t>Evalueserve:</t>
        </r>
        <r>
          <rPr>
            <sz val="8"/>
            <color indexed="81"/>
            <rFont val="Tahoma"/>
            <family val="2"/>
          </rPr>
          <t xml:space="preserve">
The company has adopted SFAS no. 142, with effect from Jan 1, 2002 which does not require the company to amortize goodwill.
Source:
Page 78, Form 10K 2004</t>
        </r>
      </text>
    </comment>
    <comment ref="N315" authorId="1">
      <text>
        <r>
          <rPr>
            <b/>
            <sz val="8"/>
            <color indexed="81"/>
            <rFont val="Tahoma"/>
            <family val="2"/>
          </rPr>
          <t>Evalueserve:</t>
        </r>
        <r>
          <rPr>
            <sz val="8"/>
            <color indexed="81"/>
            <rFont val="Tahoma"/>
            <family val="2"/>
          </rPr>
          <t xml:space="preserve">
The company has adopted SFAS no. 142, with effect from Jan 1, 2002 which does not require the company to amortize goodwill.
Source:
Page 78, Form 10K 2004</t>
        </r>
      </text>
    </comment>
    <comment ref="G317" authorId="1">
      <text>
        <r>
          <rPr>
            <b/>
            <sz val="8"/>
            <color indexed="81"/>
            <rFont val="Tahoma"/>
            <family val="2"/>
          </rPr>
          <t>Evalueserve:</t>
        </r>
        <r>
          <rPr>
            <sz val="8"/>
            <color indexed="81"/>
            <rFont val="Tahoma"/>
            <family val="2"/>
          </rPr>
          <t xml:space="preserve">
The Company has reported Net Goodwill and intangibles asset in Balance Sheet. Since it does not report its break up between goodwill and other intangibles, it could not be captured.</t>
        </r>
      </text>
    </comment>
    <comment ref="H317" authorId="1">
      <text>
        <r>
          <rPr>
            <b/>
            <sz val="8"/>
            <color indexed="81"/>
            <rFont val="Tahoma"/>
            <family val="2"/>
          </rPr>
          <t>Evalueserve:</t>
        </r>
        <r>
          <rPr>
            <sz val="8"/>
            <color indexed="81"/>
            <rFont val="Tahoma"/>
            <family val="2"/>
          </rPr>
          <t xml:space="preserve">
The Company has reported Net Goodwill and intangibles asset in Balance Sheet. Since it does not report its break up between goodwill and other intangibles, it could not be captured.</t>
        </r>
      </text>
    </comment>
    <comment ref="I317" authorId="1">
      <text>
        <r>
          <rPr>
            <b/>
            <sz val="8"/>
            <color indexed="81"/>
            <rFont val="Tahoma"/>
            <family val="2"/>
          </rPr>
          <t>Evalueserve:</t>
        </r>
        <r>
          <rPr>
            <sz val="8"/>
            <color indexed="81"/>
            <rFont val="Tahoma"/>
            <family val="2"/>
          </rPr>
          <t xml:space="preserve">
The Company has reported Net Goodwill and intangibles asset in Balance Sheet. Since it does not report its break up between goodwill and other intangibles, it could not be captured.</t>
        </r>
      </text>
    </comment>
    <comment ref="J317" authorId="1">
      <text>
        <r>
          <rPr>
            <b/>
            <sz val="8"/>
            <color indexed="81"/>
            <rFont val="Tahoma"/>
            <family val="2"/>
          </rPr>
          <t>Evalueserve:</t>
        </r>
        <r>
          <rPr>
            <sz val="8"/>
            <color indexed="81"/>
            <rFont val="Tahoma"/>
            <family val="2"/>
          </rPr>
          <t xml:space="preserve">
Calculated as:
+ Net Goodwill and Intangibles assets as on Balance sheet
- Net Goodwill (as calculated)
- Trademark</t>
        </r>
      </text>
    </comment>
    <comment ref="K317" authorId="1">
      <text>
        <r>
          <rPr>
            <b/>
            <sz val="8"/>
            <color indexed="81"/>
            <rFont val="Tahoma"/>
            <family val="2"/>
          </rPr>
          <t>Evalueserve:</t>
        </r>
        <r>
          <rPr>
            <sz val="8"/>
            <color indexed="81"/>
            <rFont val="Tahoma"/>
            <family val="2"/>
          </rPr>
          <t xml:space="preserve">
Calculated as:
+ Other Intangibles
- Trade mark</t>
        </r>
      </text>
    </comment>
    <comment ref="L317" authorId="1">
      <text>
        <r>
          <rPr>
            <b/>
            <sz val="8"/>
            <color indexed="81"/>
            <rFont val="Tahoma"/>
            <family val="2"/>
          </rPr>
          <t>Evalueserve:</t>
        </r>
        <r>
          <rPr>
            <sz val="8"/>
            <color indexed="81"/>
            <rFont val="Tahoma"/>
            <family val="2"/>
          </rPr>
          <t xml:space="preserve">
Calculated as:
+ Other Intangibles
- Trade mark</t>
        </r>
      </text>
    </comment>
    <comment ref="M317" authorId="1">
      <text>
        <r>
          <rPr>
            <b/>
            <sz val="8"/>
            <color indexed="81"/>
            <rFont val="Tahoma"/>
            <family val="2"/>
          </rPr>
          <t>Evalueserve:</t>
        </r>
        <r>
          <rPr>
            <sz val="8"/>
            <color indexed="81"/>
            <rFont val="Tahoma"/>
            <family val="2"/>
          </rPr>
          <t xml:space="preserve">
Calculated as:
+ Other Intangibles
- Trade mark</t>
        </r>
      </text>
    </comment>
    <comment ref="N317" authorId="1">
      <text>
        <r>
          <rPr>
            <b/>
            <sz val="8"/>
            <color indexed="81"/>
            <rFont val="Tahoma"/>
            <family val="2"/>
          </rPr>
          <t>Evalueserve:</t>
        </r>
        <r>
          <rPr>
            <sz val="8"/>
            <color indexed="81"/>
            <rFont val="Tahoma"/>
            <family val="2"/>
          </rPr>
          <t xml:space="preserve">
Calculated as:
+ Other Intangibles
- Trade mark</t>
        </r>
      </text>
    </comment>
    <comment ref="G318" authorId="1">
      <text>
        <r>
          <rPr>
            <b/>
            <sz val="8"/>
            <color indexed="81"/>
            <rFont val="Tahoma"/>
            <family val="2"/>
          </rPr>
          <t>Evalueserve:</t>
        </r>
        <r>
          <rPr>
            <sz val="8"/>
            <color indexed="81"/>
            <rFont val="Tahoma"/>
            <family val="2"/>
          </rPr>
          <t xml:space="preserve">
The Company has reported Net Goodwill and intangibles asset in Balance Sheet. Since it does not report its break up between goodwill and other intangibles, it could not be captured.</t>
        </r>
      </text>
    </comment>
    <comment ref="H318" authorId="1">
      <text>
        <r>
          <rPr>
            <b/>
            <sz val="8"/>
            <color indexed="81"/>
            <rFont val="Tahoma"/>
            <family val="2"/>
          </rPr>
          <t>Evalueserve:</t>
        </r>
        <r>
          <rPr>
            <sz val="8"/>
            <color indexed="81"/>
            <rFont val="Tahoma"/>
            <family val="2"/>
          </rPr>
          <t xml:space="preserve">
The Company has reported Net Goodwill and intangibles asset in Balance Sheet. Since it does not report its break up between goodwill and other intangibles, it could not be captured.</t>
        </r>
      </text>
    </comment>
    <comment ref="I318" authorId="1">
      <text>
        <r>
          <rPr>
            <b/>
            <sz val="8"/>
            <color indexed="81"/>
            <rFont val="Tahoma"/>
            <family val="2"/>
          </rPr>
          <t>Evalueserve:</t>
        </r>
        <r>
          <rPr>
            <sz val="8"/>
            <color indexed="81"/>
            <rFont val="Tahoma"/>
            <family val="2"/>
          </rPr>
          <t xml:space="preserve">
The Company has reported Net Goodwill and intangibles asset in Balance Sheet. Since it does not report its break up between goodwill and other intangibles, it could not be captured.</t>
        </r>
      </text>
    </comment>
    <comment ref="J318" authorId="1">
      <text>
        <r>
          <rPr>
            <b/>
            <sz val="8"/>
            <color indexed="81"/>
            <rFont val="Tahoma"/>
            <family val="2"/>
          </rPr>
          <t>Evalueserve:</t>
        </r>
        <r>
          <rPr>
            <sz val="8"/>
            <color indexed="81"/>
            <rFont val="Tahoma"/>
            <family val="2"/>
          </rPr>
          <t xml:space="preserve">
Source:
Page 76, Form 10K405 2001</t>
        </r>
      </text>
    </comment>
    <comment ref="K318" authorId="1">
      <text>
        <r>
          <rPr>
            <b/>
            <sz val="8"/>
            <color indexed="81"/>
            <rFont val="Tahoma"/>
            <family val="2"/>
          </rPr>
          <t>Evalueserve:</t>
        </r>
        <r>
          <rPr>
            <sz val="8"/>
            <color indexed="81"/>
            <rFont val="Tahoma"/>
            <family val="2"/>
          </rPr>
          <t xml:space="preserve">
Source:
Page 89, Form 10K 2002</t>
        </r>
      </text>
    </comment>
    <comment ref="L318" authorId="1">
      <text>
        <r>
          <rPr>
            <b/>
            <sz val="8"/>
            <color indexed="81"/>
            <rFont val="Tahoma"/>
            <family val="2"/>
          </rPr>
          <t>Evalueserve:</t>
        </r>
        <r>
          <rPr>
            <sz val="8"/>
            <color indexed="81"/>
            <rFont val="Tahoma"/>
            <family val="2"/>
          </rPr>
          <t xml:space="preserve">
Source:
Page 89, Form 10K 2003</t>
        </r>
      </text>
    </comment>
    <comment ref="M318" authorId="1">
      <text>
        <r>
          <rPr>
            <b/>
            <sz val="8"/>
            <color indexed="81"/>
            <rFont val="Tahoma"/>
            <family val="2"/>
          </rPr>
          <t>Evalueserve:</t>
        </r>
        <r>
          <rPr>
            <sz val="8"/>
            <color indexed="81"/>
            <rFont val="Tahoma"/>
            <family val="2"/>
          </rPr>
          <t xml:space="preserve">
Source:
Page 90, Form 10K 2004</t>
        </r>
      </text>
    </comment>
    <comment ref="N318" authorId="1">
      <text>
        <r>
          <rPr>
            <b/>
            <sz val="8"/>
            <color indexed="81"/>
            <rFont val="Tahoma"/>
            <family val="2"/>
          </rPr>
          <t>Evalueserve:</t>
        </r>
        <r>
          <rPr>
            <sz val="8"/>
            <color indexed="81"/>
            <rFont val="Tahoma"/>
            <family val="2"/>
          </rPr>
          <t xml:space="preserve">
Source:
Page 90, Form 10K 2004</t>
        </r>
      </text>
    </comment>
    <comment ref="G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H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I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J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K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L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M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N319" authorId="1">
      <text>
        <r>
          <rPr>
            <b/>
            <sz val="8"/>
            <color indexed="81"/>
            <rFont val="Tahoma"/>
            <family val="2"/>
          </rPr>
          <t>Evalueserve:</t>
        </r>
        <r>
          <rPr>
            <sz val="8"/>
            <color indexed="81"/>
            <rFont val="Tahoma"/>
            <family val="2"/>
          </rPr>
          <t xml:space="preserve">
This amount also includes Investment under equity method (Joint venture). Since its break up is not given, we have not captured it. </t>
        </r>
      </text>
    </comment>
    <comment ref="G335" authorId="1">
      <text>
        <r>
          <rPr>
            <b/>
            <sz val="8"/>
            <color indexed="81"/>
            <rFont val="Tahoma"/>
            <family val="2"/>
          </rPr>
          <t>Evalueserve:</t>
        </r>
        <r>
          <rPr>
            <sz val="8"/>
            <color indexed="81"/>
            <rFont val="Tahoma"/>
            <family val="2"/>
          </rPr>
          <t xml:space="preserve">
Calculated as:
+ Other assets
- Long term receivables</t>
        </r>
      </text>
    </comment>
    <comment ref="K335" authorId="1">
      <text>
        <r>
          <rPr>
            <b/>
            <sz val="8"/>
            <color indexed="81"/>
            <rFont val="Tahoma"/>
            <family val="2"/>
          </rPr>
          <t>Evalueserve:</t>
        </r>
        <r>
          <rPr>
            <sz val="8"/>
            <color indexed="81"/>
            <rFont val="Tahoma"/>
            <family val="2"/>
          </rPr>
          <t xml:space="preserve">
Calculated as:
+Other assets
-Notes receivables</t>
        </r>
      </text>
    </comment>
    <comment ref="L335" authorId="1">
      <text>
        <r>
          <rPr>
            <b/>
            <sz val="8"/>
            <color indexed="81"/>
            <rFont val="Tahoma"/>
            <family val="2"/>
          </rPr>
          <t>Evalueserve:</t>
        </r>
        <r>
          <rPr>
            <sz val="8"/>
            <color indexed="81"/>
            <rFont val="Tahoma"/>
            <family val="2"/>
          </rPr>
          <t xml:space="preserve">
Calculated as:
+Other assets
-Notes receivables</t>
        </r>
      </text>
    </comment>
    <comment ref="M335" authorId="1">
      <text>
        <r>
          <rPr>
            <b/>
            <sz val="8"/>
            <color indexed="81"/>
            <rFont val="Tahoma"/>
            <family val="2"/>
          </rPr>
          <t>Evalueserve:</t>
        </r>
        <r>
          <rPr>
            <sz val="8"/>
            <color indexed="81"/>
            <rFont val="Tahoma"/>
            <family val="2"/>
          </rPr>
          <t xml:space="preserve">
Calculated as:
+ Other assets
- Notes Receivable</t>
        </r>
      </text>
    </comment>
    <comment ref="N335" authorId="1">
      <text>
        <r>
          <rPr>
            <b/>
            <sz val="8"/>
            <color indexed="81"/>
            <rFont val="Tahoma"/>
            <family val="2"/>
          </rPr>
          <t>Evalueserve:</t>
        </r>
        <r>
          <rPr>
            <sz val="8"/>
            <color indexed="81"/>
            <rFont val="Tahoma"/>
            <family val="2"/>
          </rPr>
          <t xml:space="preserve">
Calculated as:
+ Other assets
- Notes Receivable</t>
        </r>
      </text>
    </comment>
    <comment ref="G339" authorId="1">
      <text>
        <r>
          <rPr>
            <b/>
            <sz val="8"/>
            <color indexed="81"/>
            <rFont val="Tahoma"/>
            <family val="2"/>
          </rPr>
          <t>Evalueserve:</t>
        </r>
        <r>
          <rPr>
            <sz val="8"/>
            <color indexed="81"/>
            <rFont val="Tahoma"/>
            <family val="2"/>
          </rPr>
          <t xml:space="preserve">
Calculated as:
+ Net assets held for sale
+ Net assets of discontinued operations</t>
        </r>
      </text>
    </comment>
    <comment ref="H339" authorId="1">
      <text>
        <r>
          <rPr>
            <b/>
            <sz val="8"/>
            <color indexed="81"/>
            <rFont val="Tahoma"/>
            <family val="2"/>
          </rPr>
          <t>Evalueserve:</t>
        </r>
        <r>
          <rPr>
            <sz val="8"/>
            <color indexed="81"/>
            <rFont val="Tahoma"/>
            <family val="2"/>
          </rPr>
          <t xml:space="preserve">
Reported as:
Net assets of discontinued operations
Note: Net assets are net of $2316mn of indebtedness related to discontinued operations
Source: Page 70, Form 10k,
1999</t>
        </r>
      </text>
    </comment>
    <comment ref="I339" authorId="1">
      <text>
        <r>
          <rPr>
            <b/>
            <sz val="8"/>
            <color indexed="81"/>
            <rFont val="Tahoma"/>
            <family val="2"/>
          </rPr>
          <t>Evalueserve:</t>
        </r>
        <r>
          <rPr>
            <sz val="8"/>
            <color indexed="81"/>
            <rFont val="Tahoma"/>
            <family val="2"/>
          </rPr>
          <t xml:space="preserve">
Reported as:
Net assets of discontinued operations
Note: Net assets are net of $165mn of indebtedness related to discontinued operations
Source: Page 67, Form 10k,
1999</t>
        </r>
      </text>
    </comment>
    <comment ref="J339" authorId="1">
      <text>
        <r>
          <rPr>
            <b/>
            <sz val="8"/>
            <color indexed="81"/>
            <rFont val="Tahoma"/>
            <family val="2"/>
          </rPr>
          <t>Evalueserve:</t>
        </r>
        <r>
          <rPr>
            <sz val="8"/>
            <color indexed="81"/>
            <rFont val="Tahoma"/>
            <family val="2"/>
          </rPr>
          <t xml:space="preserve">
Data not available.</t>
        </r>
      </text>
    </comment>
    <comment ref="K339" authorId="1">
      <text>
        <r>
          <rPr>
            <b/>
            <sz val="8"/>
            <color indexed="81"/>
            <rFont val="Tahoma"/>
            <family val="2"/>
          </rPr>
          <t>Evalueserve:</t>
        </r>
        <r>
          <rPr>
            <sz val="8"/>
            <color indexed="81"/>
            <rFont val="Tahoma"/>
            <family val="2"/>
          </rPr>
          <t xml:space="preserve">
Data not available.</t>
        </r>
      </text>
    </comment>
    <comment ref="L339" authorId="1">
      <text>
        <r>
          <rPr>
            <b/>
            <sz val="8"/>
            <color indexed="81"/>
            <rFont val="Tahoma"/>
            <family val="2"/>
          </rPr>
          <t>Evalueserve:</t>
        </r>
        <r>
          <rPr>
            <sz val="8"/>
            <color indexed="81"/>
            <rFont val="Tahoma"/>
            <family val="2"/>
          </rPr>
          <t xml:space="preserve">
Reported as:
Assets held for sale</t>
        </r>
      </text>
    </comment>
    <comment ref="M339" authorId="1">
      <text>
        <r>
          <rPr>
            <b/>
            <sz val="8"/>
            <color indexed="81"/>
            <rFont val="Tahoma"/>
            <family val="2"/>
          </rPr>
          <t>Evalueserve:</t>
        </r>
        <r>
          <rPr>
            <sz val="8"/>
            <color indexed="81"/>
            <rFont val="Tahoma"/>
            <family val="2"/>
          </rPr>
          <t xml:space="preserve">
Data not available.</t>
        </r>
      </text>
    </comment>
    <comment ref="N339" authorId="1">
      <text>
        <r>
          <rPr>
            <b/>
            <sz val="8"/>
            <color indexed="81"/>
            <rFont val="Tahoma"/>
            <family val="2"/>
          </rPr>
          <t>Evalueserve:</t>
        </r>
        <r>
          <rPr>
            <sz val="8"/>
            <color indexed="81"/>
            <rFont val="Tahoma"/>
            <family val="2"/>
          </rPr>
          <t xml:space="preserve">
Data not available.</t>
        </r>
      </text>
    </comment>
    <comment ref="G348" authorId="1">
      <text>
        <r>
          <rPr>
            <b/>
            <sz val="8"/>
            <color indexed="81"/>
            <rFont val="Tahoma"/>
            <family val="2"/>
          </rPr>
          <t>Evalueserve:</t>
        </r>
        <r>
          <rPr>
            <sz val="8"/>
            <color indexed="81"/>
            <rFont val="Tahoma"/>
            <family val="2"/>
          </rPr>
          <t xml:space="preserve">
Data not available.</t>
        </r>
      </text>
    </comment>
    <comment ref="H348" authorId="1">
      <text>
        <r>
          <rPr>
            <b/>
            <sz val="8"/>
            <color indexed="81"/>
            <rFont val="Tahoma"/>
            <family val="2"/>
          </rPr>
          <t>Evalueserve:</t>
        </r>
        <r>
          <rPr>
            <sz val="8"/>
            <color indexed="81"/>
            <rFont val="Tahoma"/>
            <family val="2"/>
          </rPr>
          <t xml:space="preserve">
Data not available.</t>
        </r>
      </text>
    </comment>
    <comment ref="I348" authorId="1">
      <text>
        <r>
          <rPr>
            <b/>
            <sz val="8"/>
            <color indexed="81"/>
            <rFont val="Tahoma"/>
            <family val="2"/>
          </rPr>
          <t>Evalueserve:</t>
        </r>
        <r>
          <rPr>
            <sz val="8"/>
            <color indexed="81"/>
            <rFont val="Tahoma"/>
            <family val="2"/>
          </rPr>
          <t xml:space="preserve">
Data not available.</t>
        </r>
      </text>
    </comment>
    <comment ref="J348" authorId="1">
      <text>
        <r>
          <rPr>
            <b/>
            <sz val="8"/>
            <color indexed="81"/>
            <rFont val="Tahoma"/>
            <family val="2"/>
          </rPr>
          <t>Evalueserve:</t>
        </r>
        <r>
          <rPr>
            <sz val="8"/>
            <color indexed="81"/>
            <rFont val="Tahoma"/>
            <family val="2"/>
          </rPr>
          <t xml:space="preserve">
Data not available.</t>
        </r>
      </text>
    </comment>
    <comment ref="K348" authorId="1">
      <text>
        <r>
          <rPr>
            <b/>
            <sz val="8"/>
            <color indexed="81"/>
            <rFont val="Tahoma"/>
            <family val="2"/>
          </rPr>
          <t>Evalueserve:</t>
        </r>
        <r>
          <rPr>
            <sz val="8"/>
            <color indexed="81"/>
            <rFont val="Tahoma"/>
            <family val="2"/>
          </rPr>
          <t xml:space="preserve">
Reported as:
Accrued distributions
Source: Page 91, Form 10k,2002</t>
        </r>
      </text>
    </comment>
    <comment ref="L348" authorId="1">
      <text>
        <r>
          <rPr>
            <b/>
            <sz val="8"/>
            <color indexed="81"/>
            <rFont val="Tahoma"/>
            <family val="2"/>
          </rPr>
          <t>Evalueserve:</t>
        </r>
        <r>
          <rPr>
            <sz val="8"/>
            <color indexed="81"/>
            <rFont val="Tahoma"/>
            <family val="2"/>
          </rPr>
          <t xml:space="preserve">
Reported as:
Accrued distributions
Source: Page 92, Form 10k,2003</t>
        </r>
      </text>
    </comment>
    <comment ref="M348" authorId="1">
      <text>
        <r>
          <rPr>
            <b/>
            <sz val="8"/>
            <color indexed="81"/>
            <rFont val="Tahoma"/>
            <family val="2"/>
          </rPr>
          <t>Evalueserve:</t>
        </r>
        <r>
          <rPr>
            <sz val="8"/>
            <color indexed="81"/>
            <rFont val="Tahoma"/>
            <family val="2"/>
          </rPr>
          <t xml:space="preserve">
Reported as:
Accrued distributions
Source: Page 92, Form 10k,
2004</t>
        </r>
      </text>
    </comment>
    <comment ref="N348" authorId="1">
      <text>
        <r>
          <rPr>
            <b/>
            <sz val="8"/>
            <color indexed="81"/>
            <rFont val="Tahoma"/>
            <family val="2"/>
          </rPr>
          <t>Evalueserve:</t>
        </r>
        <r>
          <rPr>
            <sz val="8"/>
            <color indexed="81"/>
            <rFont val="Tahoma"/>
            <family val="2"/>
          </rPr>
          <t xml:space="preserve">
Reported as:
Accrued distributions
Source: Page 92, Form 10k,
2004</t>
        </r>
      </text>
    </comment>
    <comment ref="G360" authorId="1">
      <text>
        <r>
          <rPr>
            <b/>
            <sz val="8"/>
            <color indexed="81"/>
            <rFont val="Tahoma"/>
            <family val="2"/>
          </rPr>
          <t>Evalueserve:</t>
        </r>
        <r>
          <rPr>
            <sz val="8"/>
            <color indexed="81"/>
            <rFont val="Tahoma"/>
            <family val="2"/>
          </rPr>
          <t xml:space="preserve">
Source:
Page 107, Form 10K 405 1998</t>
        </r>
      </text>
    </comment>
    <comment ref="H360" authorId="1">
      <text>
        <r>
          <rPr>
            <b/>
            <sz val="8"/>
            <color indexed="81"/>
            <rFont val="Tahoma"/>
            <family val="2"/>
          </rPr>
          <t>Evalueserve:</t>
        </r>
        <r>
          <rPr>
            <sz val="8"/>
            <color indexed="81"/>
            <rFont val="Tahoma"/>
            <family val="2"/>
          </rPr>
          <t xml:space="preserve">
Source:
Page 74, Form 10K 405 1999</t>
        </r>
      </text>
    </comment>
    <comment ref="G361" authorId="1">
      <text>
        <r>
          <rPr>
            <b/>
            <sz val="8"/>
            <color indexed="81"/>
            <rFont val="Tahoma"/>
            <family val="2"/>
          </rPr>
          <t>Evalueserve:</t>
        </r>
        <r>
          <rPr>
            <sz val="8"/>
            <color indexed="81"/>
            <rFont val="Tahoma"/>
            <family val="2"/>
          </rPr>
          <t xml:space="preserve">
Data not available.</t>
        </r>
      </text>
    </comment>
    <comment ref="G362" authorId="1">
      <text>
        <r>
          <rPr>
            <b/>
            <sz val="8"/>
            <color indexed="81"/>
            <rFont val="Tahoma"/>
            <family val="2"/>
          </rPr>
          <t>Evalueserve:</t>
        </r>
        <r>
          <rPr>
            <sz val="8"/>
            <color indexed="81"/>
            <rFont val="Tahoma"/>
            <family val="2"/>
          </rPr>
          <t xml:space="preserve">
Calculated as:
+ Accrued expenses
- Salaries, wages and benefits
- Restructuring and other special charges included in accrued liabilities</t>
        </r>
      </text>
    </comment>
    <comment ref="H362" authorId="1">
      <text>
        <r>
          <rPr>
            <b/>
            <sz val="8"/>
            <color indexed="81"/>
            <rFont val="Tahoma"/>
            <family val="2"/>
          </rPr>
          <t>Evalueserve:</t>
        </r>
        <r>
          <rPr>
            <sz val="8"/>
            <color indexed="81"/>
            <rFont val="Tahoma"/>
            <family val="2"/>
          </rPr>
          <t xml:space="preserve">
Calculated as:
+ Accrued expenses
- Salaries, wages and benefits
- Restructuring and other special charges related to accrued expense</t>
        </r>
      </text>
    </comment>
    <comment ref="I362" authorId="1">
      <text>
        <r>
          <rPr>
            <b/>
            <sz val="8"/>
            <color indexed="81"/>
            <rFont val="Tahoma"/>
            <family val="2"/>
          </rPr>
          <t>Evalueserve:</t>
        </r>
        <r>
          <rPr>
            <sz val="8"/>
            <color indexed="81"/>
            <rFont val="Tahoma"/>
            <family val="2"/>
          </rPr>
          <t xml:space="preserve">
Calculated as:
+ Accrued expenses
- Restructuring and other special charges</t>
        </r>
      </text>
    </comment>
    <comment ref="J362" authorId="1">
      <text>
        <r>
          <rPr>
            <b/>
            <sz val="8"/>
            <color indexed="81"/>
            <rFont val="Tahoma"/>
            <family val="2"/>
          </rPr>
          <t>Evalueserve:</t>
        </r>
        <r>
          <rPr>
            <sz val="8"/>
            <color indexed="81"/>
            <rFont val="Tahoma"/>
            <family val="2"/>
          </rPr>
          <t xml:space="preserve">
Calculated as:
+ Accrued expenses
- Total accruals related to restructuring
+ Accruals related to restructuring included in other liabilities
Source: Page 69, Form 10K 405 2000</t>
        </r>
      </text>
    </comment>
    <comment ref="K362" authorId="1">
      <text>
        <r>
          <rPr>
            <b/>
            <sz val="8"/>
            <color indexed="81"/>
            <rFont val="Tahoma"/>
            <family val="2"/>
          </rPr>
          <t>Evalueserve:</t>
        </r>
        <r>
          <rPr>
            <sz val="8"/>
            <color indexed="81"/>
            <rFont val="Tahoma"/>
            <family val="2"/>
          </rPr>
          <t xml:space="preserve">
Calculated as:
+Accrued expense
-Accrued distributions
- Total accruals related to restructuring
+ Accruals related to restructuring included in other liabilities
Source: Page 90, Form 10K 2002</t>
        </r>
      </text>
    </comment>
    <comment ref="L362" authorId="1">
      <text>
        <r>
          <rPr>
            <b/>
            <sz val="8"/>
            <color indexed="81"/>
            <rFont val="Tahoma"/>
            <family val="2"/>
          </rPr>
          <t>Evalueserve:</t>
        </r>
        <r>
          <rPr>
            <sz val="8"/>
            <color indexed="81"/>
            <rFont val="Tahoma"/>
            <family val="2"/>
          </rPr>
          <t xml:space="preserve">
Calculated as:
+Accrued expense
-Accrued distributions
- Total accruals related to restructuring
+ Accruals related to restructuring included in other liabilities
Source: Page 90, Form 10K 2003</t>
        </r>
      </text>
    </comment>
    <comment ref="M362" authorId="1">
      <text>
        <r>
          <rPr>
            <b/>
            <sz val="8"/>
            <color indexed="81"/>
            <rFont val="Tahoma"/>
            <family val="2"/>
          </rPr>
          <t>Evalueserve:</t>
        </r>
        <r>
          <rPr>
            <sz val="8"/>
            <color indexed="81"/>
            <rFont val="Tahoma"/>
            <family val="2"/>
          </rPr>
          <t xml:space="preserve">
Calculated as:
+Accrued expense
-Accrued distributions
- Total accruals related to restructuring
+ Accruals related to restructuring included in other liabilities
Source: Page 91, Form 10K 2004</t>
        </r>
      </text>
    </comment>
    <comment ref="N362" authorId="1">
      <text>
        <r>
          <rPr>
            <b/>
            <sz val="8"/>
            <color indexed="81"/>
            <rFont val="Tahoma"/>
            <family val="2"/>
          </rPr>
          <t>Evalueserve:</t>
        </r>
        <r>
          <rPr>
            <sz val="8"/>
            <color indexed="81"/>
            <rFont val="Tahoma"/>
            <family val="2"/>
          </rPr>
          <t xml:space="preserve">
Calculated as:
+Accrued expense
-Accrued distributions
- Total accruals related to restructuring
+ Accruals related to restructuring included in other liabilities
Source: Page 91, Form 10K 2004</t>
        </r>
      </text>
    </comment>
    <comment ref="G365" authorId="1">
      <text>
        <r>
          <rPr>
            <b/>
            <sz val="8"/>
            <color indexed="81"/>
            <rFont val="Tahoma"/>
            <family val="2"/>
          </rPr>
          <t>Evalueserve:</t>
        </r>
        <r>
          <rPr>
            <sz val="8"/>
            <color indexed="81"/>
            <rFont val="Tahoma"/>
            <family val="2"/>
          </rPr>
          <t xml:space="preserve">
Data not available.</t>
        </r>
      </text>
    </comment>
    <comment ref="H365" authorId="1">
      <text>
        <r>
          <rPr>
            <b/>
            <sz val="8"/>
            <color indexed="81"/>
            <rFont val="Tahoma"/>
            <family val="2"/>
          </rPr>
          <t>Evalueserve:</t>
        </r>
        <r>
          <rPr>
            <sz val="8"/>
            <color indexed="81"/>
            <rFont val="Tahoma"/>
            <family val="2"/>
          </rPr>
          <t xml:space="preserve">
Calculated as:
+Long term debt
-Other long term debt
Source: Page 76, Form 10k,2000
</t>
        </r>
      </text>
    </comment>
    <comment ref="I365" authorId="1">
      <text>
        <r>
          <rPr>
            <b/>
            <sz val="8"/>
            <color indexed="81"/>
            <rFont val="Tahoma"/>
            <family val="2"/>
          </rPr>
          <t>Evalueserve:</t>
        </r>
        <r>
          <rPr>
            <sz val="8"/>
            <color indexed="81"/>
            <rFont val="Tahoma"/>
            <family val="2"/>
          </rPr>
          <t xml:space="preserve">
Calculated as:
+Long term debt
-Other long term debt
Source: Page 72, Form 10k,2000
</t>
        </r>
      </text>
    </comment>
    <comment ref="J365" authorId="1">
      <text>
        <r>
          <rPr>
            <b/>
            <sz val="8"/>
            <color indexed="81"/>
            <rFont val="Tahoma"/>
            <family val="2"/>
          </rPr>
          <t>Evalueserve:</t>
        </r>
        <r>
          <rPr>
            <sz val="8"/>
            <color indexed="81"/>
            <rFont val="Tahoma"/>
            <family val="2"/>
          </rPr>
          <t xml:space="preserve">
Calculated as:
+Long term debt
-Other long term debt
Source: Page 81, Form 10k,2001
</t>
        </r>
      </text>
    </comment>
    <comment ref="K365" authorId="1">
      <text>
        <r>
          <rPr>
            <b/>
            <sz val="8"/>
            <color indexed="81"/>
            <rFont val="Tahoma"/>
            <family val="2"/>
          </rPr>
          <t>Evalueserve:</t>
        </r>
        <r>
          <rPr>
            <sz val="8"/>
            <color indexed="81"/>
            <rFont val="Tahoma"/>
            <family val="2"/>
          </rPr>
          <t xml:space="preserve">
Calculated as:
+Long term debt
-Other long term debt
Source: Page 94, Form 10k,2002
</t>
        </r>
      </text>
    </comment>
    <comment ref="L365" authorId="1">
      <text>
        <r>
          <rPr>
            <b/>
            <sz val="8"/>
            <color indexed="81"/>
            <rFont val="Tahoma"/>
            <family val="2"/>
          </rPr>
          <t>Evalueserve:</t>
        </r>
        <r>
          <rPr>
            <sz val="8"/>
            <color indexed="81"/>
            <rFont val="Tahoma"/>
            <family val="2"/>
          </rPr>
          <t xml:space="preserve">
Calculated as:
+Long term debt
-Other long term debt
Source: Page 95, Form 10k,2003
</t>
        </r>
      </text>
    </comment>
    <comment ref="M365" authorId="1">
      <text>
        <r>
          <rPr>
            <b/>
            <sz val="8"/>
            <color indexed="81"/>
            <rFont val="Tahoma"/>
            <family val="2"/>
          </rPr>
          <t>Evalueserve:</t>
        </r>
        <r>
          <rPr>
            <sz val="8"/>
            <color indexed="81"/>
            <rFont val="Tahoma"/>
            <family val="2"/>
          </rPr>
          <t xml:space="preserve">
Calculated as:
+Long term debt
-Other long term debt
Source: Page 96, Form 10k,2004
</t>
        </r>
      </text>
    </comment>
    <comment ref="N365" authorId="1">
      <text>
        <r>
          <rPr>
            <b/>
            <sz val="8"/>
            <color indexed="81"/>
            <rFont val="Tahoma"/>
            <family val="2"/>
          </rPr>
          <t>Evalueserve:</t>
        </r>
        <r>
          <rPr>
            <sz val="8"/>
            <color indexed="81"/>
            <rFont val="Tahoma"/>
            <family val="2"/>
          </rPr>
          <t xml:space="preserve">
Calculated as:
+Long term debt
-Other long term debt
Source: Page 96, Form 10k,2004
</t>
        </r>
      </text>
    </comment>
    <comment ref="G366" authorId="1">
      <text>
        <r>
          <rPr>
            <b/>
            <sz val="8"/>
            <color indexed="81"/>
            <rFont val="Tahoma"/>
            <family val="2"/>
          </rPr>
          <t>Evalueserve:</t>
        </r>
        <r>
          <rPr>
            <sz val="8"/>
            <color indexed="81"/>
            <rFont val="Tahoma"/>
            <family val="2"/>
          </rPr>
          <t xml:space="preserve">
Reported as:
Senior subordinated notes
Source: Page 109, Form 10k,
1998</t>
        </r>
      </text>
    </comment>
    <comment ref="G368" authorId="1">
      <text>
        <r>
          <rPr>
            <b/>
            <sz val="8"/>
            <color indexed="81"/>
            <rFont val="Tahoma"/>
            <family val="2"/>
          </rPr>
          <t>Evalueserve:</t>
        </r>
        <r>
          <rPr>
            <sz val="8"/>
            <color indexed="81"/>
            <rFont val="Tahoma"/>
            <family val="2"/>
          </rPr>
          <t xml:space="preserve">
Calculated as:
+Long term debt
-Senior subordinated debt
Source: Page 109, Form 10k,
1998</t>
        </r>
      </text>
    </comment>
    <comment ref="H368" authorId="1">
      <text>
        <r>
          <rPr>
            <b/>
            <sz val="8"/>
            <color indexed="81"/>
            <rFont val="Tahoma"/>
            <family val="2"/>
          </rPr>
          <t>Evalueserve:</t>
        </r>
        <r>
          <rPr>
            <sz val="8"/>
            <color indexed="81"/>
            <rFont val="Tahoma"/>
            <family val="2"/>
          </rPr>
          <t xml:space="preserve">
Calculated as:
+ITT public public debt
+Mortgages and other
Source: Page 76, Form 10k,2000
</t>
        </r>
      </text>
    </comment>
    <comment ref="I368" authorId="1">
      <text>
        <r>
          <rPr>
            <b/>
            <sz val="8"/>
            <color indexed="81"/>
            <rFont val="Tahoma"/>
            <family val="2"/>
          </rPr>
          <t>Evalueserve:</t>
        </r>
        <r>
          <rPr>
            <sz val="8"/>
            <color indexed="81"/>
            <rFont val="Tahoma"/>
            <family val="2"/>
          </rPr>
          <t xml:space="preserve">
Calculated as:
+Sheraton holding public debt
+Mortgages and other
Source: Page 72, Form 10k,2000
</t>
        </r>
      </text>
    </comment>
    <comment ref="J368" authorId="1">
      <text>
        <r>
          <rPr>
            <b/>
            <sz val="8"/>
            <color indexed="81"/>
            <rFont val="Tahoma"/>
            <family val="2"/>
          </rPr>
          <t>Evalueserve:</t>
        </r>
        <r>
          <rPr>
            <sz val="8"/>
            <color indexed="81"/>
            <rFont val="Tahoma"/>
            <family val="2"/>
          </rPr>
          <t xml:space="preserve">
Calculated as:
+Sheraton holding public debt
+Euro loan
+Mortgages and other
Source: Page 81, Form 10k,2001
</t>
        </r>
      </text>
    </comment>
    <comment ref="K368" authorId="1">
      <text>
        <r>
          <rPr>
            <b/>
            <sz val="8"/>
            <color indexed="81"/>
            <rFont val="Tahoma"/>
            <family val="2"/>
          </rPr>
          <t>Evalueserve:</t>
        </r>
        <r>
          <rPr>
            <sz val="8"/>
            <color indexed="81"/>
            <rFont val="Tahoma"/>
            <family val="2"/>
          </rPr>
          <t xml:space="preserve">
Calculated as:
+Sheraton holding public debt
+Euro loan
+Mortgages and other
Source: Page 94Form 10k,2002
</t>
        </r>
      </text>
    </comment>
    <comment ref="L368" authorId="1">
      <text>
        <r>
          <rPr>
            <b/>
            <sz val="8"/>
            <color indexed="81"/>
            <rFont val="Tahoma"/>
            <family val="2"/>
          </rPr>
          <t>Evalueserve:</t>
        </r>
        <r>
          <rPr>
            <sz val="8"/>
            <color indexed="81"/>
            <rFont val="Tahoma"/>
            <family val="2"/>
          </rPr>
          <t xml:space="preserve">
Calculated as:
+Sheraton holding public debt
+Euro loan
+Mortgages and other
Source: Page 95,Form 10k,2003
</t>
        </r>
      </text>
    </comment>
    <comment ref="M368" authorId="1">
      <text>
        <r>
          <rPr>
            <b/>
            <sz val="8"/>
            <color indexed="81"/>
            <rFont val="Tahoma"/>
            <family val="2"/>
          </rPr>
          <t>Evalueserve:</t>
        </r>
        <r>
          <rPr>
            <sz val="8"/>
            <color indexed="81"/>
            <rFont val="Tahoma"/>
            <family val="2"/>
          </rPr>
          <t xml:space="preserve">
Calculated as:
+Sheraton holding public debt
+Convertible debt
+Mortgages and other
Source: Page 96,Form 10k,2004
</t>
        </r>
      </text>
    </comment>
    <comment ref="N368" authorId="1">
      <text>
        <r>
          <rPr>
            <b/>
            <sz val="8"/>
            <color indexed="81"/>
            <rFont val="Tahoma"/>
            <family val="2"/>
          </rPr>
          <t>Evalueserve:</t>
        </r>
        <r>
          <rPr>
            <sz val="8"/>
            <color indexed="81"/>
            <rFont val="Tahoma"/>
            <family val="2"/>
          </rPr>
          <t xml:space="preserve">
Calculated as:
+Sheraton holding public debt
+Convertible debt
+Mortgages and other
Source: Page 96,Form 10k,2004
</t>
        </r>
      </text>
    </comment>
    <comment ref="G371" authorId="1">
      <text>
        <r>
          <rPr>
            <b/>
            <sz val="8"/>
            <color indexed="81"/>
            <rFont val="Tahoma"/>
            <family val="2"/>
          </rPr>
          <t>Evalueserve:</t>
        </r>
        <r>
          <rPr>
            <sz val="8"/>
            <color indexed="81"/>
            <rFont val="Tahoma"/>
            <family val="2"/>
          </rPr>
          <t xml:space="preserve">
Reported as:
Restructuring and other special charges
Source:
Page 125, Form 10K 405 1998</t>
        </r>
      </text>
    </comment>
    <comment ref="H371" authorId="1">
      <text>
        <r>
          <rPr>
            <b/>
            <sz val="8"/>
            <color indexed="81"/>
            <rFont val="Tahoma"/>
            <family val="2"/>
          </rPr>
          <t>Evalueserve:</t>
        </r>
        <r>
          <rPr>
            <sz val="8"/>
            <color indexed="81"/>
            <rFont val="Tahoma"/>
            <family val="2"/>
          </rPr>
          <t xml:space="preserve">
Reported as:
Restructuring and other special charges
Source:
Page 91, Form 10K 405 1999</t>
        </r>
      </text>
    </comment>
    <comment ref="I371" authorId="1">
      <text>
        <r>
          <rPr>
            <b/>
            <sz val="8"/>
            <color indexed="81"/>
            <rFont val="Tahoma"/>
            <family val="2"/>
          </rPr>
          <t>Evalueserve:</t>
        </r>
        <r>
          <rPr>
            <sz val="8"/>
            <color indexed="81"/>
            <rFont val="Tahoma"/>
            <family val="2"/>
          </rPr>
          <t xml:space="preserve">
Source:
Page 86, Form 10K 405 2000 
Page 72, Form 10K 405 1999</t>
        </r>
      </text>
    </comment>
    <comment ref="J371" authorId="1">
      <text>
        <r>
          <rPr>
            <b/>
            <sz val="8"/>
            <color indexed="81"/>
            <rFont val="Tahoma"/>
            <family val="2"/>
          </rPr>
          <t>Evalueserve:</t>
        </r>
        <r>
          <rPr>
            <sz val="8"/>
            <color indexed="81"/>
            <rFont val="Tahoma"/>
            <family val="2"/>
          </rPr>
          <t xml:space="preserve">
The company has reported reserves related to restructuring and other special charges of $100.
Source: Page 97, Form 10K 405 2001</t>
        </r>
      </text>
    </comment>
    <comment ref="K371" authorId="1">
      <text>
        <r>
          <rPr>
            <b/>
            <sz val="8"/>
            <color indexed="81"/>
            <rFont val="Tahoma"/>
            <family val="2"/>
          </rPr>
          <t>Evalueserve:</t>
        </r>
        <r>
          <rPr>
            <sz val="8"/>
            <color indexed="81"/>
            <rFont val="Tahoma"/>
            <family val="2"/>
          </rPr>
          <t xml:space="preserve">
The company has reported reserves related to restructuring and other special charges of $98. 
Source: Page 121, Form 10K 2002</t>
        </r>
      </text>
    </comment>
    <comment ref="L371" authorId="1">
      <text>
        <r>
          <rPr>
            <b/>
            <sz val="8"/>
            <color indexed="81"/>
            <rFont val="Tahoma"/>
            <family val="2"/>
          </rPr>
          <t>Evalueserve:</t>
        </r>
        <r>
          <rPr>
            <sz val="8"/>
            <color indexed="81"/>
            <rFont val="Tahoma"/>
            <family val="2"/>
          </rPr>
          <t xml:space="preserve">
The company has reported accruals related to restructuring charges. 
Source: Page 90, Form 10K 2003</t>
        </r>
      </text>
    </comment>
    <comment ref="M371" authorId="1">
      <text>
        <r>
          <rPr>
            <b/>
            <sz val="8"/>
            <color indexed="81"/>
            <rFont val="Tahoma"/>
            <family val="2"/>
          </rPr>
          <t>Evalueserve:</t>
        </r>
        <r>
          <rPr>
            <sz val="8"/>
            <color indexed="81"/>
            <rFont val="Tahoma"/>
            <family val="2"/>
          </rPr>
          <t xml:space="preserve">
Reported as:
Accruals related to restructuring charges=$24mn of which  $20mn is included in other liabilities
Source: Page 91, Form 10k, 2004</t>
        </r>
      </text>
    </comment>
    <comment ref="N371" authorId="1">
      <text>
        <r>
          <rPr>
            <b/>
            <sz val="8"/>
            <color indexed="81"/>
            <rFont val="Tahoma"/>
            <family val="2"/>
          </rPr>
          <t>Evalueserve:</t>
        </r>
        <r>
          <rPr>
            <sz val="8"/>
            <color indexed="81"/>
            <rFont val="Tahoma"/>
            <family val="2"/>
          </rPr>
          <t xml:space="preserve">
Reported as:
Accruals related to restructuring charges=$23mn of which  $19mn is included in other liabilities
Source: Page 91, Form 10k, 
2004</t>
        </r>
      </text>
    </comment>
    <comment ref="G387" authorId="1">
      <text>
        <r>
          <rPr>
            <b/>
            <sz val="8"/>
            <color indexed="81"/>
            <rFont val="Tahoma"/>
            <family val="2"/>
          </rPr>
          <t>Evalueserve:</t>
        </r>
        <r>
          <rPr>
            <sz val="8"/>
            <color indexed="81"/>
            <rFont val="Tahoma"/>
            <family val="2"/>
          </rPr>
          <t xml:space="preserve">
Calculated as:
- Net pension prepaid liability
- Net OPEB liability
</t>
        </r>
      </text>
    </comment>
    <comment ref="H387" authorId="1">
      <text>
        <r>
          <rPr>
            <b/>
            <sz val="8"/>
            <color indexed="81"/>
            <rFont val="Tahoma"/>
            <family val="2"/>
          </rPr>
          <t>Evalueserve:</t>
        </r>
        <r>
          <rPr>
            <sz val="8"/>
            <color indexed="81"/>
            <rFont val="Tahoma"/>
            <family val="2"/>
          </rPr>
          <t xml:space="preserve">
Calculated as:
- Net pension prepaid liability
- Net OPEB liability
</t>
        </r>
      </text>
    </comment>
    <comment ref="I387" authorId="1">
      <text>
        <r>
          <rPr>
            <b/>
            <sz val="8"/>
            <color indexed="81"/>
            <rFont val="Tahoma"/>
            <family val="2"/>
          </rPr>
          <t>Evalueserve:</t>
        </r>
        <r>
          <rPr>
            <sz val="8"/>
            <color indexed="81"/>
            <rFont val="Tahoma"/>
            <family val="2"/>
          </rPr>
          <t xml:space="preserve">
Calculated as:
- Net pension prepaid liability
- Net OPEB liability
</t>
        </r>
      </text>
    </comment>
    <comment ref="J387" authorId="1">
      <text>
        <r>
          <rPr>
            <b/>
            <sz val="8"/>
            <color indexed="81"/>
            <rFont val="Tahoma"/>
            <family val="2"/>
          </rPr>
          <t>Evalueserve:</t>
        </r>
        <r>
          <rPr>
            <sz val="8"/>
            <color indexed="81"/>
            <rFont val="Tahoma"/>
            <family val="2"/>
          </rPr>
          <t xml:space="preserve">
Calculated as:
- Net pension prepaid liability
- Net OPEB liability
</t>
        </r>
      </text>
    </comment>
    <comment ref="K387" authorId="1">
      <text>
        <r>
          <rPr>
            <b/>
            <sz val="8"/>
            <color indexed="81"/>
            <rFont val="Tahoma"/>
            <family val="2"/>
          </rPr>
          <t>Evalueserve:</t>
        </r>
        <r>
          <rPr>
            <sz val="8"/>
            <color indexed="81"/>
            <rFont val="Tahoma"/>
            <family val="2"/>
          </rPr>
          <t xml:space="preserve">
Calculated as:
- Net pension prepaid liability
- Net OPEB liability
</t>
        </r>
      </text>
    </comment>
    <comment ref="L387" authorId="1">
      <text>
        <r>
          <rPr>
            <b/>
            <sz val="8"/>
            <color indexed="81"/>
            <rFont val="Tahoma"/>
            <family val="2"/>
          </rPr>
          <t>Evalueserve:</t>
        </r>
        <r>
          <rPr>
            <sz val="8"/>
            <color indexed="81"/>
            <rFont val="Tahoma"/>
            <family val="2"/>
          </rPr>
          <t xml:space="preserve">
Calculated as:
- Net pension prepaid liability
- Net OPEB liability
</t>
        </r>
      </text>
    </comment>
    <comment ref="M387" authorId="1">
      <text>
        <r>
          <rPr>
            <b/>
            <sz val="8"/>
            <color indexed="81"/>
            <rFont val="Tahoma"/>
            <family val="2"/>
          </rPr>
          <t>Evalueserve:</t>
        </r>
        <r>
          <rPr>
            <sz val="8"/>
            <color indexed="81"/>
            <rFont val="Tahoma"/>
            <family val="2"/>
          </rPr>
          <t xml:space="preserve">
Calculated as:
- Net pension prepaid liability
- Net OPEB liability
</t>
        </r>
      </text>
    </comment>
    <comment ref="N387" authorId="1">
      <text>
        <r>
          <rPr>
            <b/>
            <sz val="8"/>
            <color indexed="81"/>
            <rFont val="Tahoma"/>
            <family val="2"/>
          </rPr>
          <t>Evalueserve:</t>
        </r>
        <r>
          <rPr>
            <sz val="8"/>
            <color indexed="81"/>
            <rFont val="Tahoma"/>
            <family val="2"/>
          </rPr>
          <t xml:space="preserve">
Calculated as:
- Net pension prepaid liability
- Net OPEB liability
</t>
        </r>
      </text>
    </comment>
    <comment ref="H390" authorId="1">
      <text>
        <r>
          <rPr>
            <b/>
            <sz val="8"/>
            <color indexed="81"/>
            <rFont val="Tahoma"/>
            <family val="2"/>
          </rPr>
          <t>Evalueserve:</t>
        </r>
        <r>
          <rPr>
            <sz val="8"/>
            <color indexed="81"/>
            <rFont val="Tahoma"/>
            <family val="2"/>
          </rPr>
          <t xml:space="preserve">
Data not available.</t>
        </r>
      </text>
    </comment>
    <comment ref="I390" authorId="1">
      <text>
        <r>
          <rPr>
            <b/>
            <sz val="8"/>
            <color indexed="81"/>
            <rFont val="Tahoma"/>
            <family val="2"/>
          </rPr>
          <t>Evalueserve:</t>
        </r>
        <r>
          <rPr>
            <sz val="8"/>
            <color indexed="81"/>
            <rFont val="Tahoma"/>
            <family val="2"/>
          </rPr>
          <t xml:space="preserve">
Data not available.</t>
        </r>
      </text>
    </comment>
    <comment ref="J390" authorId="1">
      <text>
        <r>
          <rPr>
            <b/>
            <sz val="8"/>
            <color indexed="81"/>
            <rFont val="Tahoma"/>
            <family val="2"/>
          </rPr>
          <t>Evalueserve:</t>
        </r>
        <r>
          <rPr>
            <sz val="8"/>
            <color indexed="81"/>
            <rFont val="Tahoma"/>
            <family val="2"/>
          </rPr>
          <t xml:space="preserve">
Data not available.</t>
        </r>
      </text>
    </comment>
    <comment ref="K390" authorId="1">
      <text>
        <r>
          <rPr>
            <b/>
            <sz val="8"/>
            <color indexed="81"/>
            <rFont val="Tahoma"/>
            <family val="2"/>
          </rPr>
          <t>Evalueserve:</t>
        </r>
        <r>
          <rPr>
            <sz val="8"/>
            <color indexed="81"/>
            <rFont val="Tahoma"/>
            <family val="2"/>
          </rPr>
          <t xml:space="preserve">
Data not available.</t>
        </r>
      </text>
    </comment>
    <comment ref="L390" authorId="1">
      <text>
        <r>
          <rPr>
            <b/>
            <sz val="8"/>
            <color indexed="81"/>
            <rFont val="Tahoma"/>
            <family val="2"/>
          </rPr>
          <t>Evalueserve:</t>
        </r>
        <r>
          <rPr>
            <sz val="8"/>
            <color indexed="81"/>
            <rFont val="Tahoma"/>
            <family val="2"/>
          </rPr>
          <t xml:space="preserve">
Data not available.</t>
        </r>
      </text>
    </comment>
    <comment ref="M390" authorId="1">
      <text>
        <r>
          <rPr>
            <b/>
            <sz val="8"/>
            <color indexed="81"/>
            <rFont val="Tahoma"/>
            <family val="2"/>
          </rPr>
          <t>Evalueserve:</t>
        </r>
        <r>
          <rPr>
            <sz val="8"/>
            <color indexed="81"/>
            <rFont val="Tahoma"/>
            <family val="2"/>
          </rPr>
          <t xml:space="preserve">
Data not available.</t>
        </r>
      </text>
    </comment>
    <comment ref="N390" authorId="1">
      <text>
        <r>
          <rPr>
            <b/>
            <sz val="8"/>
            <color indexed="81"/>
            <rFont val="Tahoma"/>
            <family val="2"/>
          </rPr>
          <t>Evalueserve:</t>
        </r>
        <r>
          <rPr>
            <sz val="8"/>
            <color indexed="81"/>
            <rFont val="Tahoma"/>
            <family val="2"/>
          </rPr>
          <t xml:space="preserve">
Data not available.</t>
        </r>
      </text>
    </comment>
    <comment ref="G391" authorId="1">
      <text>
        <r>
          <rPr>
            <b/>
            <sz val="8"/>
            <color indexed="81"/>
            <rFont val="Tahoma"/>
            <family val="2"/>
          </rPr>
          <t>Evalueserve:</t>
        </r>
        <r>
          <rPr>
            <sz val="8"/>
            <color indexed="81"/>
            <rFont val="Tahoma"/>
            <family val="2"/>
          </rPr>
          <t xml:space="preserve">
Calculated as:
+ Other liabilities
- Pension and other post retirement benefit
-Restructuring provision
+Restructuring and special charges related to accrued expense</t>
        </r>
      </text>
    </comment>
    <comment ref="H391" authorId="1">
      <text>
        <r>
          <rPr>
            <b/>
            <sz val="8"/>
            <color indexed="81"/>
            <rFont val="Tahoma"/>
            <family val="2"/>
          </rPr>
          <t>Evalueserve:</t>
        </r>
        <r>
          <rPr>
            <sz val="8"/>
            <color indexed="81"/>
            <rFont val="Tahoma"/>
            <family val="2"/>
          </rPr>
          <t xml:space="preserve">
Calculated as:
+ Other liabilities
+ Equity put options
- Pension and other post retirement benefit
-Restructuring provision
+Restructuring and special charges related to accrued expense</t>
        </r>
      </text>
    </comment>
    <comment ref="I391" authorId="1">
      <text>
        <r>
          <rPr>
            <b/>
            <sz val="8"/>
            <color indexed="81"/>
            <rFont val="Tahoma"/>
            <family val="2"/>
          </rPr>
          <t>Evalueserve:</t>
        </r>
        <r>
          <rPr>
            <sz val="8"/>
            <color indexed="81"/>
            <rFont val="Tahoma"/>
            <family val="2"/>
          </rPr>
          <t xml:space="preserve">
Calculated as:
+ Other liabilities
+ Equity put options
- Pension and other post retirement benefit
-Restructuring provision
+Restructuring and special charges related to accrued expense</t>
        </r>
      </text>
    </comment>
    <comment ref="J391" authorId="1">
      <text>
        <r>
          <rPr>
            <b/>
            <sz val="8"/>
            <color indexed="81"/>
            <rFont val="Tahoma"/>
            <family val="2"/>
          </rPr>
          <t>Evalueserve:</t>
        </r>
        <r>
          <rPr>
            <sz val="8"/>
            <color indexed="81"/>
            <rFont val="Tahoma"/>
            <family val="2"/>
          </rPr>
          <t xml:space="preserve">
Calculated as:
+ Other liabilities
- Pension and other post retirement benefit
 - Accruals related to Restructuring included in other liabiltiies
Source: Page 69, Form 10K 405 2000</t>
        </r>
      </text>
    </comment>
    <comment ref="K391" authorId="1">
      <text>
        <r>
          <rPr>
            <b/>
            <sz val="8"/>
            <color indexed="81"/>
            <rFont val="Tahoma"/>
            <family val="2"/>
          </rPr>
          <t>Evalueserve:</t>
        </r>
        <r>
          <rPr>
            <sz val="8"/>
            <color indexed="81"/>
            <rFont val="Tahoma"/>
            <family val="2"/>
          </rPr>
          <t xml:space="preserve">
Calculated as:
+ Other liabilities
- Pension and other post retirement benefit
 - Accruals related to Restructuring included in other liabiltiies
Source: Page 90, Form 10K 2002</t>
        </r>
      </text>
    </comment>
    <comment ref="L391" authorId="1">
      <text>
        <r>
          <rPr>
            <b/>
            <sz val="8"/>
            <color indexed="81"/>
            <rFont val="Tahoma"/>
            <family val="2"/>
          </rPr>
          <t>Evalueserve:</t>
        </r>
        <r>
          <rPr>
            <sz val="8"/>
            <color indexed="81"/>
            <rFont val="Tahoma"/>
            <family val="2"/>
          </rPr>
          <t xml:space="preserve">
Calculated as:
+ Other liabilities
- Pension and other post retirement benefit
 - Accruals related to Restructuring included in other liabiltiies
Source: Page 90, Form 10K 2003</t>
        </r>
      </text>
    </comment>
    <comment ref="M391" authorId="1">
      <text>
        <r>
          <rPr>
            <b/>
            <sz val="8"/>
            <color indexed="81"/>
            <rFont val="Tahoma"/>
            <family val="2"/>
          </rPr>
          <t>Evalueserve:</t>
        </r>
        <r>
          <rPr>
            <sz val="8"/>
            <color indexed="81"/>
            <rFont val="Tahoma"/>
            <family val="2"/>
          </rPr>
          <t xml:space="preserve">
Calculated as:
+ Other liabilities
- Pension and other post retirement benefit
 - Accruals related to Restructuring included in other liabiltiies
Source: Page 91, Form 10K 2004</t>
        </r>
      </text>
    </comment>
    <comment ref="N391" authorId="1">
      <text>
        <r>
          <rPr>
            <b/>
            <sz val="8"/>
            <color indexed="81"/>
            <rFont val="Tahoma"/>
            <family val="2"/>
          </rPr>
          <t>Evalueserve:</t>
        </r>
        <r>
          <rPr>
            <sz val="8"/>
            <color indexed="81"/>
            <rFont val="Tahoma"/>
            <family val="2"/>
          </rPr>
          <t xml:space="preserve">
Calculated as:
+ Other liabilities
- Pension and other post retirement benefit
 - Accruals related to Restructuring included in other liabiltiies
Source: Page 91, Form 10K 2004</t>
        </r>
      </text>
    </comment>
    <comment ref="H395" authorId="1">
      <text>
        <r>
          <rPr>
            <b/>
            <sz val="8"/>
            <color indexed="81"/>
            <rFont val="Tahoma"/>
            <family val="2"/>
          </rPr>
          <t>Evalueserve:</t>
        </r>
        <r>
          <rPr>
            <sz val="8"/>
            <color indexed="81"/>
            <rFont val="Tahoma"/>
            <family val="2"/>
          </rPr>
          <t xml:space="preserve">
Reported as:
Indebtedness classified as discontinued operations=$2,316 which has been accounted for in calculating net assets in the statement 
Source:
Page 76, Form 10K 405 1999</t>
        </r>
      </text>
    </comment>
    <comment ref="I395" authorId="1">
      <text>
        <r>
          <rPr>
            <b/>
            <sz val="8"/>
            <color indexed="81"/>
            <rFont val="Tahoma"/>
            <family val="2"/>
          </rPr>
          <t>Evalueserve:</t>
        </r>
        <r>
          <rPr>
            <sz val="8"/>
            <color indexed="81"/>
            <rFont val="Tahoma"/>
            <family val="2"/>
          </rPr>
          <t xml:space="preserve">
Reported as:
Indebtedness classified as discontinued operations=$165mn which has been accounted for in calculating net assets in the statement 
Source:
Page 76, Form 10K 405 1999</t>
        </r>
      </text>
    </comment>
    <comment ref="J395" authorId="1">
      <text>
        <r>
          <rPr>
            <b/>
            <sz val="8"/>
            <color indexed="81"/>
            <rFont val="Tahoma"/>
            <family val="2"/>
          </rPr>
          <t>Evalueserve:</t>
        </r>
        <r>
          <rPr>
            <sz val="8"/>
            <color indexed="81"/>
            <rFont val="Tahoma"/>
            <family val="2"/>
          </rPr>
          <t xml:space="preserve">
Data not available.</t>
        </r>
      </text>
    </comment>
    <comment ref="K395" authorId="1">
      <text>
        <r>
          <rPr>
            <b/>
            <sz val="8"/>
            <color indexed="81"/>
            <rFont val="Tahoma"/>
            <family val="2"/>
          </rPr>
          <t>Evalueserve:</t>
        </r>
        <r>
          <rPr>
            <sz val="8"/>
            <color indexed="81"/>
            <rFont val="Tahoma"/>
            <family val="2"/>
          </rPr>
          <t xml:space="preserve">
Data not available.</t>
        </r>
      </text>
    </comment>
    <comment ref="L395" authorId="1">
      <text>
        <r>
          <rPr>
            <b/>
            <sz val="8"/>
            <color indexed="81"/>
            <rFont val="Tahoma"/>
            <family val="2"/>
          </rPr>
          <t>Evalueserve:</t>
        </r>
        <r>
          <rPr>
            <sz val="8"/>
            <color indexed="81"/>
            <rFont val="Tahoma"/>
            <family val="2"/>
          </rPr>
          <t xml:space="preserve">
Data not available.</t>
        </r>
      </text>
    </comment>
    <comment ref="M395" authorId="1">
      <text>
        <r>
          <rPr>
            <b/>
            <sz val="8"/>
            <color indexed="81"/>
            <rFont val="Tahoma"/>
            <family val="2"/>
          </rPr>
          <t>Evalueserve:</t>
        </r>
        <r>
          <rPr>
            <sz val="8"/>
            <color indexed="81"/>
            <rFont val="Tahoma"/>
            <family val="2"/>
          </rPr>
          <t xml:space="preserve">
Data not available.</t>
        </r>
      </text>
    </comment>
    <comment ref="N395" authorId="1">
      <text>
        <r>
          <rPr>
            <b/>
            <sz val="8"/>
            <color indexed="81"/>
            <rFont val="Tahoma"/>
            <family val="2"/>
          </rPr>
          <t>Evalueserve:</t>
        </r>
        <r>
          <rPr>
            <sz val="8"/>
            <color indexed="81"/>
            <rFont val="Tahoma"/>
            <family val="2"/>
          </rPr>
          <t xml:space="preserve">
Data not available.</t>
        </r>
      </text>
    </comment>
    <comment ref="F398" authorId="1">
      <text>
        <r>
          <rPr>
            <b/>
            <sz val="8"/>
            <color indexed="81"/>
            <rFont val="Tahoma"/>
            <family val="2"/>
          </rPr>
          <t>Evalueserve:</t>
        </r>
        <r>
          <rPr>
            <sz val="8"/>
            <color indexed="81"/>
            <rFont val="Tahoma"/>
            <family val="2"/>
          </rPr>
          <t xml:space="preserve">
Calculated as:
+ Units
+ Additional paid in capital
- Cumulative translation and marketable securities adjustments
+ Retained earnings
Reported for validation purposes
Source:
Page 81, Form 10K 405 1998
</t>
        </r>
      </text>
    </comment>
    <comment ref="G400" authorId="1">
      <text>
        <r>
          <rPr>
            <b/>
            <sz val="8"/>
            <color indexed="81"/>
            <rFont val="Tahoma"/>
            <family val="2"/>
          </rPr>
          <t>Evalueserve:</t>
        </r>
        <r>
          <rPr>
            <sz val="8"/>
            <color indexed="81"/>
            <rFont val="Tahoma"/>
            <family val="2"/>
          </rPr>
          <t xml:space="preserve">
Calculated as:
+ Corporation Common stock
+ Trust Common shares of beneficial interest</t>
        </r>
      </text>
    </comment>
    <comment ref="H400" authorId="1">
      <text>
        <r>
          <rPr>
            <b/>
            <sz val="8"/>
            <color indexed="81"/>
            <rFont val="Tahoma"/>
            <family val="2"/>
          </rPr>
          <t>Evalueserve:</t>
        </r>
        <r>
          <rPr>
            <sz val="8"/>
            <color indexed="81"/>
            <rFont val="Tahoma"/>
            <family val="2"/>
          </rPr>
          <t xml:space="preserve">
Calculated as:
+ Corporation Common stock
+ Trust Common shares of beneficial interest</t>
        </r>
      </text>
    </comment>
    <comment ref="I400" authorId="1">
      <text>
        <r>
          <rPr>
            <b/>
            <sz val="8"/>
            <color indexed="81"/>
            <rFont val="Tahoma"/>
            <family val="2"/>
          </rPr>
          <t>Evalueserve:</t>
        </r>
        <r>
          <rPr>
            <sz val="8"/>
            <color indexed="81"/>
            <rFont val="Tahoma"/>
            <family val="2"/>
          </rPr>
          <t xml:space="preserve">
Calculated as:
+ Corporation Common stock
+ Trust Class B shares of beneficial interest</t>
        </r>
      </text>
    </comment>
    <comment ref="J400" authorId="1">
      <text>
        <r>
          <rPr>
            <b/>
            <sz val="8"/>
            <color indexed="81"/>
            <rFont val="Tahoma"/>
            <family val="2"/>
          </rPr>
          <t>Evalueserve:</t>
        </r>
        <r>
          <rPr>
            <sz val="8"/>
            <color indexed="81"/>
            <rFont val="Tahoma"/>
            <family val="2"/>
          </rPr>
          <t xml:space="preserve">
Calculated as:
+ Corporation Common stock
+ Trust Class B shares of beneficial interest</t>
        </r>
      </text>
    </comment>
    <comment ref="K400" authorId="1">
      <text>
        <r>
          <rPr>
            <b/>
            <sz val="8"/>
            <color indexed="81"/>
            <rFont val="Tahoma"/>
            <family val="2"/>
          </rPr>
          <t>Evalueserve:</t>
        </r>
        <r>
          <rPr>
            <sz val="8"/>
            <color indexed="81"/>
            <rFont val="Tahoma"/>
            <family val="2"/>
          </rPr>
          <t xml:space="preserve">
Calculated as:
+ Corporation Common stock
+ Trust Class B shares of beneficial interest</t>
        </r>
      </text>
    </comment>
    <comment ref="L400" authorId="1">
      <text>
        <r>
          <rPr>
            <b/>
            <sz val="8"/>
            <color indexed="81"/>
            <rFont val="Tahoma"/>
            <family val="2"/>
          </rPr>
          <t>Evalueserve:</t>
        </r>
        <r>
          <rPr>
            <sz val="8"/>
            <color indexed="81"/>
            <rFont val="Tahoma"/>
            <family val="2"/>
          </rPr>
          <t xml:space="preserve">
Calculated as:
+ Corporation Common stock
+ Trust Class B shares of beneficial interest</t>
        </r>
      </text>
    </comment>
    <comment ref="M400" authorId="1">
      <text>
        <r>
          <rPr>
            <b/>
            <sz val="8"/>
            <color indexed="81"/>
            <rFont val="Tahoma"/>
            <family val="2"/>
          </rPr>
          <t>Evalueserve:</t>
        </r>
        <r>
          <rPr>
            <sz val="8"/>
            <color indexed="81"/>
            <rFont val="Tahoma"/>
            <family val="2"/>
          </rPr>
          <t xml:space="preserve">
Calculated as:
+ Corporation Common stock
+ Trust Class B shares of beneficial interest</t>
        </r>
      </text>
    </comment>
    <comment ref="N400" authorId="1">
      <text>
        <r>
          <rPr>
            <b/>
            <sz val="8"/>
            <color indexed="81"/>
            <rFont val="Tahoma"/>
            <family val="2"/>
          </rPr>
          <t>Evalueserve:</t>
        </r>
        <r>
          <rPr>
            <sz val="8"/>
            <color indexed="81"/>
            <rFont val="Tahoma"/>
            <family val="2"/>
          </rPr>
          <t xml:space="preserve">
Calculated as:
+ Corporation Common stock
+ Trust Class B shares of beneficial interest</t>
        </r>
      </text>
    </comment>
    <comment ref="G402" authorId="1">
      <text>
        <r>
          <rPr>
            <b/>
            <sz val="8"/>
            <color indexed="81"/>
            <rFont val="Tahoma"/>
            <family val="2"/>
          </rPr>
          <t>Evalueserve:</t>
        </r>
        <r>
          <rPr>
            <sz val="8"/>
            <color indexed="81"/>
            <rFont val="Tahoma"/>
            <family val="2"/>
          </rPr>
          <t xml:space="preserve">
Reported as:
Accumulated Deficit</t>
        </r>
      </text>
    </comment>
    <comment ref="H402" authorId="1">
      <text>
        <r>
          <rPr>
            <b/>
            <sz val="8"/>
            <color indexed="81"/>
            <rFont val="Tahoma"/>
            <family val="2"/>
          </rPr>
          <t>Evalueserve:</t>
        </r>
        <r>
          <rPr>
            <sz val="8"/>
            <color indexed="81"/>
            <rFont val="Tahoma"/>
            <family val="2"/>
          </rPr>
          <t xml:space="preserve">
Reported as:
Retained earnings (Accumulated Deficit)</t>
        </r>
      </text>
    </comment>
    <comment ref="I402" authorId="1">
      <text>
        <r>
          <rPr>
            <b/>
            <sz val="8"/>
            <color indexed="81"/>
            <rFont val="Tahoma"/>
            <family val="2"/>
          </rPr>
          <t>Evalueserve:</t>
        </r>
        <r>
          <rPr>
            <sz val="8"/>
            <color indexed="81"/>
            <rFont val="Tahoma"/>
            <family val="2"/>
          </rPr>
          <t xml:space="preserve">
Reported as:
Accumulated Deficit</t>
        </r>
      </text>
    </comment>
    <comment ref="J402" authorId="1">
      <text>
        <r>
          <rPr>
            <b/>
            <sz val="8"/>
            <color indexed="81"/>
            <rFont val="Tahoma"/>
            <family val="2"/>
          </rPr>
          <t>Evalueserve:</t>
        </r>
        <r>
          <rPr>
            <sz val="8"/>
            <color indexed="81"/>
            <rFont val="Tahoma"/>
            <family val="2"/>
          </rPr>
          <t xml:space="preserve">
Reported as:
Accumulated Deficit</t>
        </r>
      </text>
    </comment>
    <comment ref="K402" authorId="1">
      <text>
        <r>
          <rPr>
            <b/>
            <sz val="8"/>
            <color indexed="81"/>
            <rFont val="Tahoma"/>
            <family val="2"/>
          </rPr>
          <t>Evalueserve:</t>
        </r>
        <r>
          <rPr>
            <sz val="8"/>
            <color indexed="81"/>
            <rFont val="Tahoma"/>
            <family val="2"/>
          </rPr>
          <t xml:space="preserve">
Reported as:
Accumulated Deficit</t>
        </r>
      </text>
    </comment>
    <comment ref="L402" authorId="1">
      <text>
        <r>
          <rPr>
            <b/>
            <sz val="8"/>
            <color indexed="81"/>
            <rFont val="Tahoma"/>
            <family val="2"/>
          </rPr>
          <t>Evalueserve:</t>
        </r>
        <r>
          <rPr>
            <sz val="8"/>
            <color indexed="81"/>
            <rFont val="Tahoma"/>
            <family val="2"/>
          </rPr>
          <t xml:space="preserve">
Reported as:
Accumulated Deficit</t>
        </r>
      </text>
    </comment>
    <comment ref="M402" authorId="1">
      <text>
        <r>
          <rPr>
            <b/>
            <sz val="8"/>
            <color indexed="81"/>
            <rFont val="Tahoma"/>
            <family val="2"/>
          </rPr>
          <t>Evalueserve:</t>
        </r>
        <r>
          <rPr>
            <sz val="8"/>
            <color indexed="81"/>
            <rFont val="Tahoma"/>
            <family val="2"/>
          </rPr>
          <t xml:space="preserve">
Reported as:
Accumulated Deficit</t>
        </r>
      </text>
    </comment>
    <comment ref="N402" authorId="1">
      <text>
        <r>
          <rPr>
            <b/>
            <sz val="8"/>
            <color indexed="81"/>
            <rFont val="Tahoma"/>
            <family val="2"/>
          </rPr>
          <t>Evalueserve:</t>
        </r>
        <r>
          <rPr>
            <sz val="8"/>
            <color indexed="81"/>
            <rFont val="Tahoma"/>
            <family val="2"/>
          </rPr>
          <t xml:space="preserve">
Reported as:
Accumulated Deficit</t>
        </r>
      </text>
    </comment>
    <comment ref="G404" authorId="1">
      <text>
        <r>
          <rPr>
            <b/>
            <sz val="8"/>
            <color indexed="81"/>
            <rFont val="Tahoma"/>
            <family val="2"/>
          </rPr>
          <t>Evalueserve:</t>
        </r>
        <r>
          <rPr>
            <sz val="8"/>
            <color indexed="81"/>
            <rFont val="Tahoma"/>
            <family val="2"/>
          </rPr>
          <t xml:space="preserve">
Reported as:
Cumulative translation adjustment
Source: Page 70,Form 10k,2004  </t>
        </r>
      </text>
    </comment>
    <comment ref="H404" authorId="1">
      <text>
        <r>
          <rPr>
            <b/>
            <sz val="8"/>
            <color indexed="81"/>
            <rFont val="Tahoma"/>
            <family val="2"/>
          </rPr>
          <t>Evalueserve:</t>
        </r>
        <r>
          <rPr>
            <sz val="8"/>
            <color indexed="81"/>
            <rFont val="Tahoma"/>
            <family val="2"/>
          </rPr>
          <t xml:space="preserve">
Reported as:
Cumulative translation adjustment
Source: Page 70,Form 10k,2004  </t>
        </r>
      </text>
    </comment>
    <comment ref="I404" authorId="1">
      <text>
        <r>
          <rPr>
            <b/>
            <sz val="8"/>
            <color indexed="81"/>
            <rFont val="Tahoma"/>
            <family val="2"/>
          </rPr>
          <t>Evalueserve:</t>
        </r>
        <r>
          <rPr>
            <sz val="8"/>
            <color indexed="81"/>
            <rFont val="Tahoma"/>
            <family val="2"/>
          </rPr>
          <t xml:space="preserve">
Reported as:
Cumulative translation adjustment
Source: Page 70,Form 10k,2004  </t>
        </r>
      </text>
    </comment>
    <comment ref="J404" authorId="1">
      <text>
        <r>
          <rPr>
            <b/>
            <sz val="8"/>
            <color indexed="81"/>
            <rFont val="Tahoma"/>
            <family val="2"/>
          </rPr>
          <t>Evalueserve:</t>
        </r>
        <r>
          <rPr>
            <sz val="8"/>
            <color indexed="81"/>
            <rFont val="Tahoma"/>
            <family val="2"/>
          </rPr>
          <t xml:space="preserve">
Reported as:
Cumulative translation adjustment
Source: Page 70,Form 10k,2004  </t>
        </r>
      </text>
    </comment>
    <comment ref="K404" authorId="1">
      <text>
        <r>
          <rPr>
            <b/>
            <sz val="8"/>
            <color indexed="81"/>
            <rFont val="Tahoma"/>
            <family val="2"/>
          </rPr>
          <t>Evalueserve:</t>
        </r>
        <r>
          <rPr>
            <sz val="8"/>
            <color indexed="81"/>
            <rFont val="Tahoma"/>
            <family val="2"/>
          </rPr>
          <t xml:space="preserve">
Reported as:
Cumulative translation adjustment
Source: Page 60,Form 10k,2001  </t>
        </r>
      </text>
    </comment>
    <comment ref="L404" authorId="1">
      <text>
        <r>
          <rPr>
            <b/>
            <sz val="8"/>
            <color indexed="81"/>
            <rFont val="Tahoma"/>
            <family val="2"/>
          </rPr>
          <t>Evalueserve:</t>
        </r>
        <r>
          <rPr>
            <sz val="8"/>
            <color indexed="81"/>
            <rFont val="Tahoma"/>
            <family val="2"/>
          </rPr>
          <t xml:space="preserve">
Reported as:
Cumulative translation adjustment
Source: Page 70,Form 10k,2002  </t>
        </r>
      </text>
    </comment>
    <comment ref="M404" authorId="1">
      <text>
        <r>
          <rPr>
            <b/>
            <sz val="8"/>
            <color indexed="81"/>
            <rFont val="Tahoma"/>
            <family val="2"/>
          </rPr>
          <t>Evalueserve:</t>
        </r>
        <r>
          <rPr>
            <sz val="8"/>
            <color indexed="81"/>
            <rFont val="Tahoma"/>
            <family val="2"/>
          </rPr>
          <t xml:space="preserve">
Reported as:
Cumulative translation adjustment
Source: Page 68,Form 10k,2003  </t>
        </r>
      </text>
    </comment>
    <comment ref="N404" authorId="1">
      <text>
        <r>
          <rPr>
            <b/>
            <sz val="8"/>
            <color indexed="81"/>
            <rFont val="Tahoma"/>
            <family val="2"/>
          </rPr>
          <t>Evalueserve:</t>
        </r>
        <r>
          <rPr>
            <sz val="8"/>
            <color indexed="81"/>
            <rFont val="Tahoma"/>
            <family val="2"/>
          </rPr>
          <t xml:space="preserve">
Reported as:
Cumulative translation adjustment
Source: Page 70,Form 10k,2004  </t>
        </r>
      </text>
    </comment>
    <comment ref="G405" authorId="1">
      <text>
        <r>
          <rPr>
            <b/>
            <sz val="8"/>
            <color indexed="81"/>
            <rFont val="Tahoma"/>
            <family val="2"/>
          </rPr>
          <t>Evalueserve:</t>
        </r>
        <r>
          <rPr>
            <sz val="8"/>
            <color indexed="81"/>
            <rFont val="Tahoma"/>
            <family val="2"/>
          </rPr>
          <t xml:space="preserve">
Reported as:
Cumulative unrealized gain on securities, including derivative instruments
Source: Page 70,Form 10k,2004  </t>
        </r>
      </text>
    </comment>
    <comment ref="H405" authorId="1">
      <text>
        <r>
          <rPr>
            <b/>
            <sz val="8"/>
            <color indexed="81"/>
            <rFont val="Tahoma"/>
            <family val="2"/>
          </rPr>
          <t>Evalueserve:</t>
        </r>
        <r>
          <rPr>
            <sz val="8"/>
            <color indexed="81"/>
            <rFont val="Tahoma"/>
            <family val="2"/>
          </rPr>
          <t xml:space="preserve">
Reported as:
Cumulative unrealized gain on securities, including derivative instruments
Source: Page 70,Form 10k,2004  </t>
        </r>
      </text>
    </comment>
    <comment ref="I405" authorId="1">
      <text>
        <r>
          <rPr>
            <b/>
            <sz val="8"/>
            <color indexed="81"/>
            <rFont val="Tahoma"/>
            <family val="2"/>
          </rPr>
          <t>Evalueserve:</t>
        </r>
        <r>
          <rPr>
            <sz val="8"/>
            <color indexed="81"/>
            <rFont val="Tahoma"/>
            <family val="2"/>
          </rPr>
          <t xml:space="preserve">
Reported as:
Cumulative unrealized gain on securities, including derivative instruments
Source: Page 70,Form 10k,2004  </t>
        </r>
      </text>
    </comment>
    <comment ref="J405" authorId="1">
      <text>
        <r>
          <rPr>
            <b/>
            <sz val="8"/>
            <color indexed="81"/>
            <rFont val="Tahoma"/>
            <family val="2"/>
          </rPr>
          <t>Evalueserve:</t>
        </r>
        <r>
          <rPr>
            <sz val="8"/>
            <color indexed="81"/>
            <rFont val="Tahoma"/>
            <family val="2"/>
          </rPr>
          <t xml:space="preserve">
Reported as:
Cumulative unrealized gain on securities, including derivative instruments
Source: Page 70,Form 10k,2004  </t>
        </r>
      </text>
    </comment>
    <comment ref="K405" authorId="1">
      <text>
        <r>
          <rPr>
            <b/>
            <sz val="8"/>
            <color indexed="81"/>
            <rFont val="Tahoma"/>
            <family val="2"/>
          </rPr>
          <t>Evalueserve:</t>
        </r>
        <r>
          <rPr>
            <sz val="8"/>
            <color indexed="81"/>
            <rFont val="Tahoma"/>
            <family val="2"/>
          </rPr>
          <t xml:space="preserve">
Reported as:
Cumulative unrealized gain on securities, including derivative instruments
Source: Page 60,Form 10k,2001  </t>
        </r>
      </text>
    </comment>
    <comment ref="L405" authorId="1">
      <text>
        <r>
          <rPr>
            <b/>
            <sz val="8"/>
            <color indexed="81"/>
            <rFont val="Tahoma"/>
            <family val="2"/>
          </rPr>
          <t>Evalueserve:</t>
        </r>
        <r>
          <rPr>
            <sz val="8"/>
            <color indexed="81"/>
            <rFont val="Tahoma"/>
            <family val="2"/>
          </rPr>
          <t xml:space="preserve">
Reported as:
Cumulative unrealized gain on securities, including derivative instruments
Source: Page 70,Form 10k,2002  </t>
        </r>
      </text>
    </comment>
    <comment ref="M405" authorId="1">
      <text>
        <r>
          <rPr>
            <b/>
            <sz val="8"/>
            <color indexed="81"/>
            <rFont val="Tahoma"/>
            <family val="2"/>
          </rPr>
          <t>Evalueserve:</t>
        </r>
        <r>
          <rPr>
            <sz val="8"/>
            <color indexed="81"/>
            <rFont val="Tahoma"/>
            <family val="2"/>
          </rPr>
          <t xml:space="preserve">
Reported as:
Cumulative unrealized gain on securities, including derivative instruments
Source: Page 68,Form 10k,2003  </t>
        </r>
      </text>
    </comment>
    <comment ref="N405" authorId="1">
      <text>
        <r>
          <rPr>
            <b/>
            <sz val="8"/>
            <color indexed="81"/>
            <rFont val="Tahoma"/>
            <family val="2"/>
          </rPr>
          <t>Evalueserve:</t>
        </r>
        <r>
          <rPr>
            <sz val="8"/>
            <color indexed="81"/>
            <rFont val="Tahoma"/>
            <family val="2"/>
          </rPr>
          <t xml:space="preserve">
Reported as:
Cumulative unrealized gain on securities, including derivative instruments
Source: Page 70,Form 10k,2004  </t>
        </r>
      </text>
    </comment>
    <comment ref="G406" authorId="1">
      <text>
        <r>
          <rPr>
            <b/>
            <sz val="8"/>
            <color indexed="81"/>
            <rFont val="Tahoma"/>
            <family val="2"/>
          </rPr>
          <t>Evalueserve:</t>
        </r>
        <r>
          <rPr>
            <sz val="8"/>
            <color indexed="81"/>
            <rFont val="Tahoma"/>
            <family val="2"/>
          </rPr>
          <t xml:space="preserve">
Reported as:
Cumulative minimum pension liability adjustments
Source: Page 70,Form 10k,2004  </t>
        </r>
      </text>
    </comment>
    <comment ref="H406" authorId="1">
      <text>
        <r>
          <rPr>
            <b/>
            <sz val="8"/>
            <color indexed="81"/>
            <rFont val="Tahoma"/>
            <family val="2"/>
          </rPr>
          <t>Evalueserve:</t>
        </r>
        <r>
          <rPr>
            <sz val="8"/>
            <color indexed="81"/>
            <rFont val="Tahoma"/>
            <family val="2"/>
          </rPr>
          <t xml:space="preserve">
Reported as:
Cumulative minimum pension liability adjustments
Source: Page 70,Form 10k,2004  </t>
        </r>
      </text>
    </comment>
    <comment ref="I406" authorId="1">
      <text>
        <r>
          <rPr>
            <b/>
            <sz val="8"/>
            <color indexed="81"/>
            <rFont val="Tahoma"/>
            <family val="2"/>
          </rPr>
          <t>Evalueserve:</t>
        </r>
        <r>
          <rPr>
            <sz val="8"/>
            <color indexed="81"/>
            <rFont val="Tahoma"/>
            <family val="2"/>
          </rPr>
          <t xml:space="preserve">
Reported as:
Cumulative minimum pension liability adjustments
Source: Page 70,Form 10k,2004  </t>
        </r>
      </text>
    </comment>
    <comment ref="J406" authorId="1">
      <text>
        <r>
          <rPr>
            <b/>
            <sz val="8"/>
            <color indexed="81"/>
            <rFont val="Tahoma"/>
            <family val="2"/>
          </rPr>
          <t>Evalueserve:</t>
        </r>
        <r>
          <rPr>
            <sz val="8"/>
            <color indexed="81"/>
            <rFont val="Tahoma"/>
            <family val="2"/>
          </rPr>
          <t xml:space="preserve">
Reported as:
Cumulative minimum pension liability adjustments
Source: Page 70,Form 10k,2004  </t>
        </r>
      </text>
    </comment>
    <comment ref="K406" authorId="1">
      <text>
        <r>
          <rPr>
            <b/>
            <sz val="8"/>
            <color indexed="81"/>
            <rFont val="Tahoma"/>
            <family val="2"/>
          </rPr>
          <t>Evalueserve:</t>
        </r>
        <r>
          <rPr>
            <sz val="8"/>
            <color indexed="81"/>
            <rFont val="Tahoma"/>
            <family val="2"/>
          </rPr>
          <t xml:space="preserve">
Reported as:
Cumulative minimum pension liability adjustments
Source: Page 60,Form 10k,2001  </t>
        </r>
      </text>
    </comment>
    <comment ref="L406" authorId="1">
      <text>
        <r>
          <rPr>
            <b/>
            <sz val="8"/>
            <color indexed="81"/>
            <rFont val="Tahoma"/>
            <family val="2"/>
          </rPr>
          <t>Evalueserve:</t>
        </r>
        <r>
          <rPr>
            <sz val="8"/>
            <color indexed="81"/>
            <rFont val="Tahoma"/>
            <family val="2"/>
          </rPr>
          <t xml:space="preserve">
Reported as:
Cumulative minimum pension liability adjustments
Source: Page 70,Form 10k,2002  </t>
        </r>
      </text>
    </comment>
    <comment ref="M406" authorId="1">
      <text>
        <r>
          <rPr>
            <b/>
            <sz val="8"/>
            <color indexed="81"/>
            <rFont val="Tahoma"/>
            <family val="2"/>
          </rPr>
          <t>Evalueserve:</t>
        </r>
        <r>
          <rPr>
            <sz val="8"/>
            <color indexed="81"/>
            <rFont val="Tahoma"/>
            <family val="2"/>
          </rPr>
          <t xml:space="preserve">
Reported as:
Cumulative minimum pension liability adjustments
Source: Page 68,Form 10k,2004  </t>
        </r>
      </text>
    </comment>
    <comment ref="N406" authorId="1">
      <text>
        <r>
          <rPr>
            <b/>
            <sz val="8"/>
            <color indexed="81"/>
            <rFont val="Tahoma"/>
            <family val="2"/>
          </rPr>
          <t>Evalueserve:</t>
        </r>
        <r>
          <rPr>
            <sz val="8"/>
            <color indexed="81"/>
            <rFont val="Tahoma"/>
            <family val="2"/>
          </rPr>
          <t xml:space="preserve">
Reported as:
Cumulative minimum pension liability adjustments
Source: Page 70,Form 10k,2004  </t>
        </r>
      </text>
    </comment>
    <comment ref="G410" authorId="1">
      <text>
        <r>
          <rPr>
            <b/>
            <sz val="8"/>
            <color indexed="81"/>
            <rFont val="Tahoma"/>
            <family val="2"/>
          </rPr>
          <t>Evalueserve:</t>
        </r>
        <r>
          <rPr>
            <sz val="8"/>
            <color indexed="81"/>
            <rFont val="Tahoma"/>
            <family val="2"/>
          </rPr>
          <t xml:space="preserve">
Data not available.</t>
        </r>
      </text>
    </comment>
    <comment ref="H410" authorId="1">
      <text>
        <r>
          <rPr>
            <b/>
            <sz val="8"/>
            <color indexed="81"/>
            <rFont val="Tahoma"/>
            <family val="2"/>
          </rPr>
          <t>Evalueserve:</t>
        </r>
        <r>
          <rPr>
            <sz val="8"/>
            <color indexed="81"/>
            <rFont val="Tahoma"/>
            <family val="2"/>
          </rPr>
          <t xml:space="preserve">
Reported as:
Deferred Compensation</t>
        </r>
      </text>
    </comment>
    <comment ref="I410" authorId="1">
      <text>
        <r>
          <rPr>
            <b/>
            <sz val="8"/>
            <color indexed="81"/>
            <rFont val="Tahoma"/>
            <family val="2"/>
          </rPr>
          <t>Evalueserve:</t>
        </r>
        <r>
          <rPr>
            <sz val="8"/>
            <color indexed="81"/>
            <rFont val="Tahoma"/>
            <family val="2"/>
          </rPr>
          <t xml:space="preserve">
Reported as:
Deferred Compensation</t>
        </r>
      </text>
    </comment>
    <comment ref="J410" authorId="1">
      <text>
        <r>
          <rPr>
            <b/>
            <sz val="8"/>
            <color indexed="81"/>
            <rFont val="Tahoma"/>
            <family val="2"/>
          </rPr>
          <t>Evalueserve:</t>
        </r>
        <r>
          <rPr>
            <sz val="8"/>
            <color indexed="81"/>
            <rFont val="Tahoma"/>
            <family val="2"/>
          </rPr>
          <t xml:space="preserve">
Reported as:
Deferred Compensation</t>
        </r>
      </text>
    </comment>
    <comment ref="K410" authorId="1">
      <text>
        <r>
          <rPr>
            <b/>
            <sz val="8"/>
            <color indexed="81"/>
            <rFont val="Tahoma"/>
            <family val="2"/>
          </rPr>
          <t>Evalueserve:</t>
        </r>
        <r>
          <rPr>
            <sz val="8"/>
            <color indexed="81"/>
            <rFont val="Tahoma"/>
            <family val="2"/>
          </rPr>
          <t xml:space="preserve">
Reported as:
Deferred Compensation</t>
        </r>
      </text>
    </comment>
    <comment ref="L410" authorId="1">
      <text>
        <r>
          <rPr>
            <b/>
            <sz val="8"/>
            <color indexed="81"/>
            <rFont val="Tahoma"/>
            <family val="2"/>
          </rPr>
          <t>Evalueserve:</t>
        </r>
        <r>
          <rPr>
            <sz val="8"/>
            <color indexed="81"/>
            <rFont val="Tahoma"/>
            <family val="2"/>
          </rPr>
          <t xml:space="preserve">
Reported as:
Deferred Compensation</t>
        </r>
      </text>
    </comment>
    <comment ref="M410" authorId="1">
      <text>
        <r>
          <rPr>
            <b/>
            <sz val="8"/>
            <color indexed="81"/>
            <rFont val="Tahoma"/>
            <family val="2"/>
          </rPr>
          <t>Evalueserve:</t>
        </r>
        <r>
          <rPr>
            <sz val="8"/>
            <color indexed="81"/>
            <rFont val="Tahoma"/>
            <family val="2"/>
          </rPr>
          <t xml:space="preserve">
Reported as:
Deferred Compensation</t>
        </r>
      </text>
    </comment>
    <comment ref="N410" authorId="1">
      <text>
        <r>
          <rPr>
            <b/>
            <sz val="8"/>
            <color indexed="81"/>
            <rFont val="Tahoma"/>
            <family val="2"/>
          </rPr>
          <t>Evalueserve:</t>
        </r>
        <r>
          <rPr>
            <sz val="8"/>
            <color indexed="81"/>
            <rFont val="Tahoma"/>
            <family val="2"/>
          </rPr>
          <t xml:space="preserve">
Reported as:
Deferred Compensation</t>
        </r>
      </text>
    </comment>
    <comment ref="G417" authorId="1">
      <text>
        <r>
          <rPr>
            <b/>
            <sz val="8"/>
            <color indexed="81"/>
            <rFont val="Tahoma"/>
            <family val="2"/>
          </rPr>
          <t>Evalueserve:</t>
        </r>
        <r>
          <rPr>
            <sz val="8"/>
            <color indexed="81"/>
            <rFont val="Tahoma"/>
            <family val="2"/>
          </rPr>
          <t xml:space="preserve">
Reported as:
Depreciation and amortization
</t>
        </r>
      </text>
    </comment>
    <comment ref="H417" authorId="1">
      <text>
        <r>
          <rPr>
            <b/>
            <sz val="8"/>
            <color indexed="81"/>
            <rFont val="Tahoma"/>
            <family val="2"/>
          </rPr>
          <t>Evalueserve:</t>
        </r>
        <r>
          <rPr>
            <sz val="8"/>
            <color indexed="81"/>
            <rFont val="Tahoma"/>
            <family val="2"/>
          </rPr>
          <t xml:space="preserve">
Reported as:
Depreciation and amortization
</t>
        </r>
      </text>
    </comment>
    <comment ref="I417" authorId="1">
      <text>
        <r>
          <rPr>
            <b/>
            <sz val="8"/>
            <color indexed="81"/>
            <rFont val="Tahoma"/>
            <family val="2"/>
          </rPr>
          <t>Evalueserve:</t>
        </r>
        <r>
          <rPr>
            <sz val="8"/>
            <color indexed="81"/>
            <rFont val="Tahoma"/>
            <family val="2"/>
          </rPr>
          <t xml:space="preserve">
Source:
Page 51, Form 10K405 2000
</t>
        </r>
      </text>
    </comment>
    <comment ref="J417" authorId="1">
      <text>
        <r>
          <rPr>
            <b/>
            <sz val="8"/>
            <color indexed="81"/>
            <rFont val="Tahoma"/>
            <family val="2"/>
          </rPr>
          <t>Evalueserve:</t>
        </r>
        <r>
          <rPr>
            <sz val="8"/>
            <color indexed="81"/>
            <rFont val="Tahoma"/>
            <family val="2"/>
          </rPr>
          <t xml:space="preserve">
Source:
Page 58, Form 10K405 2001
</t>
        </r>
      </text>
    </comment>
    <comment ref="K417" authorId="1">
      <text>
        <r>
          <rPr>
            <b/>
            <sz val="8"/>
            <color indexed="81"/>
            <rFont val="Tahoma"/>
            <family val="2"/>
          </rPr>
          <t>Evalueserve:</t>
        </r>
        <r>
          <rPr>
            <sz val="8"/>
            <color indexed="81"/>
            <rFont val="Tahoma"/>
            <family val="2"/>
          </rPr>
          <t xml:space="preserve">
Source:
Page 67, Form 10K 2002
</t>
        </r>
      </text>
    </comment>
    <comment ref="L417" authorId="1">
      <text>
        <r>
          <rPr>
            <b/>
            <sz val="8"/>
            <color indexed="81"/>
            <rFont val="Tahoma"/>
            <family val="2"/>
          </rPr>
          <t>Evalueserve:</t>
        </r>
        <r>
          <rPr>
            <sz val="8"/>
            <color indexed="81"/>
            <rFont val="Tahoma"/>
            <family val="2"/>
          </rPr>
          <t xml:space="preserve">
Source:
Page 66, Form 10K 2003
</t>
        </r>
      </text>
    </comment>
    <comment ref="M417" authorId="1">
      <text>
        <r>
          <rPr>
            <b/>
            <sz val="8"/>
            <color indexed="81"/>
            <rFont val="Tahoma"/>
            <family val="2"/>
          </rPr>
          <t>Evalueserve:</t>
        </r>
        <r>
          <rPr>
            <sz val="8"/>
            <color indexed="81"/>
            <rFont val="Tahoma"/>
            <family val="2"/>
          </rPr>
          <t xml:space="preserve">
Source:
Page 67, Form 10K 2004
</t>
        </r>
      </text>
    </comment>
    <comment ref="N417" authorId="1">
      <text>
        <r>
          <rPr>
            <b/>
            <sz val="8"/>
            <color indexed="81"/>
            <rFont val="Tahoma"/>
            <family val="2"/>
          </rPr>
          <t>Evalueserve:</t>
        </r>
        <r>
          <rPr>
            <sz val="8"/>
            <color indexed="81"/>
            <rFont val="Tahoma"/>
            <family val="2"/>
          </rPr>
          <t xml:space="preserve">
Source:
Page 67, Form 10K 2004
</t>
        </r>
      </text>
    </comment>
    <comment ref="G420" authorId="1">
      <text>
        <r>
          <rPr>
            <b/>
            <sz val="8"/>
            <color indexed="81"/>
            <rFont val="Tahoma"/>
            <family val="2"/>
          </rPr>
          <t>Evalueserve:</t>
        </r>
        <r>
          <rPr>
            <sz val="8"/>
            <color indexed="81"/>
            <rFont val="Tahoma"/>
            <family val="2"/>
          </rPr>
          <t xml:space="preserve">
Data not available </t>
        </r>
      </text>
    </comment>
    <comment ref="H420" authorId="1">
      <text>
        <r>
          <rPr>
            <b/>
            <sz val="8"/>
            <color indexed="81"/>
            <rFont val="Tahoma"/>
            <family val="2"/>
          </rPr>
          <t>Evalueserve:</t>
        </r>
        <r>
          <rPr>
            <sz val="8"/>
            <color indexed="81"/>
            <rFont val="Tahoma"/>
            <family val="2"/>
          </rPr>
          <t xml:space="preserve">
Data not available </t>
        </r>
      </text>
    </comment>
    <comment ref="I420" authorId="1">
      <text>
        <r>
          <rPr>
            <b/>
            <sz val="8"/>
            <color indexed="81"/>
            <rFont val="Tahoma"/>
            <family val="2"/>
          </rPr>
          <t>Evalueserve:</t>
        </r>
        <r>
          <rPr>
            <sz val="8"/>
            <color indexed="81"/>
            <rFont val="Tahoma"/>
            <family val="2"/>
          </rPr>
          <t xml:space="preserve">
Reported as:
Amortization
Since no break up of amortization expense is given between goodwill and other intangible assets, we are reporting the entire amount here only. 
</t>
        </r>
      </text>
    </comment>
    <comment ref="J420" authorId="1">
      <text>
        <r>
          <rPr>
            <b/>
            <sz val="8"/>
            <color indexed="81"/>
            <rFont val="Tahoma"/>
            <family val="2"/>
          </rPr>
          <t>Evalueserve:</t>
        </r>
        <r>
          <rPr>
            <sz val="8"/>
            <color indexed="81"/>
            <rFont val="Tahoma"/>
            <family val="2"/>
          </rPr>
          <t xml:space="preserve">
Reported as:
Amortization
Since no break up of amortization expense is given between goodwill and other intangible assets, we are reporting the entire amount here only. 
</t>
        </r>
      </text>
    </comment>
    <comment ref="K420" authorId="1">
      <text>
        <r>
          <rPr>
            <b/>
            <sz val="8"/>
            <color indexed="81"/>
            <rFont val="Tahoma"/>
            <family val="2"/>
          </rPr>
          <t>Evalueserve:</t>
        </r>
        <r>
          <rPr>
            <sz val="8"/>
            <color indexed="81"/>
            <rFont val="Tahoma"/>
            <family val="2"/>
          </rPr>
          <t xml:space="preserve">
Calculated as:
+ Amortization
- Amortization expense on other intangibles</t>
        </r>
      </text>
    </comment>
    <comment ref="L420" authorId="1">
      <text>
        <r>
          <rPr>
            <b/>
            <sz val="8"/>
            <color indexed="81"/>
            <rFont val="Tahoma"/>
            <family val="2"/>
          </rPr>
          <t>Evalueserve:</t>
        </r>
        <r>
          <rPr>
            <sz val="8"/>
            <color indexed="81"/>
            <rFont val="Tahoma"/>
            <family val="2"/>
          </rPr>
          <t xml:space="preserve">
Data not available </t>
        </r>
      </text>
    </comment>
    <comment ref="M420" authorId="1">
      <text>
        <r>
          <rPr>
            <b/>
            <sz val="8"/>
            <color indexed="81"/>
            <rFont val="Tahoma"/>
            <family val="2"/>
          </rPr>
          <t>Evalueserve:</t>
        </r>
        <r>
          <rPr>
            <sz val="8"/>
            <color indexed="81"/>
            <rFont val="Tahoma"/>
            <family val="2"/>
          </rPr>
          <t xml:space="preserve">
Data not available </t>
        </r>
      </text>
    </comment>
    <comment ref="N420" authorId="1">
      <text>
        <r>
          <rPr>
            <b/>
            <sz val="8"/>
            <color indexed="81"/>
            <rFont val="Tahoma"/>
            <family val="2"/>
          </rPr>
          <t>Evalueserve:</t>
        </r>
        <r>
          <rPr>
            <sz val="8"/>
            <color indexed="81"/>
            <rFont val="Tahoma"/>
            <family val="2"/>
          </rPr>
          <t xml:space="preserve">
Data not available </t>
        </r>
      </text>
    </comment>
    <comment ref="H422" authorId="1">
      <text>
        <r>
          <rPr>
            <b/>
            <sz val="8"/>
            <color indexed="81"/>
            <rFont val="Tahoma"/>
            <family val="2"/>
          </rPr>
          <t>Evalueserve:</t>
        </r>
        <r>
          <rPr>
            <sz val="8"/>
            <color indexed="81"/>
            <rFont val="Tahoma"/>
            <family val="2"/>
          </rPr>
          <t xml:space="preserve">
Data not available </t>
        </r>
      </text>
    </comment>
    <comment ref="I422" authorId="1">
      <text>
        <r>
          <rPr>
            <b/>
            <sz val="8"/>
            <color indexed="81"/>
            <rFont val="Tahoma"/>
            <family val="2"/>
          </rPr>
          <t>Evalueserve:</t>
        </r>
        <r>
          <rPr>
            <sz val="8"/>
            <color indexed="81"/>
            <rFont val="Tahoma"/>
            <family val="2"/>
          </rPr>
          <t xml:space="preserve">
Calculated as:
+ Amortization
Source:
Page 51, Form 10K405 2000
</t>
        </r>
      </text>
    </comment>
    <comment ref="J422" authorId="1">
      <text>
        <r>
          <rPr>
            <b/>
            <sz val="8"/>
            <color indexed="81"/>
            <rFont val="Tahoma"/>
            <family val="2"/>
          </rPr>
          <t>Evalueserve:</t>
        </r>
        <r>
          <rPr>
            <sz val="8"/>
            <color indexed="81"/>
            <rFont val="Tahoma"/>
            <family val="2"/>
          </rPr>
          <t xml:space="preserve">
Calculated as:
+ Amortization
Source:
Page 58, Form 10K405 2001
</t>
        </r>
      </text>
    </comment>
    <comment ref="K422" authorId="1">
      <text>
        <r>
          <rPr>
            <b/>
            <sz val="8"/>
            <color indexed="81"/>
            <rFont val="Tahoma"/>
            <family val="2"/>
          </rPr>
          <t>Evalueserve:</t>
        </r>
        <r>
          <rPr>
            <sz val="8"/>
            <color indexed="81"/>
            <rFont val="Tahoma"/>
            <family val="2"/>
          </rPr>
          <t xml:space="preserve">
Reported as:
Amortization expense related to intangible assets with finite lives
Source:
Page 90, Form 10K 2002</t>
        </r>
      </text>
    </comment>
    <comment ref="L422" authorId="1">
      <text>
        <r>
          <rPr>
            <b/>
            <sz val="8"/>
            <color indexed="81"/>
            <rFont val="Tahoma"/>
            <family val="2"/>
          </rPr>
          <t>Evalueserve:</t>
        </r>
        <r>
          <rPr>
            <sz val="8"/>
            <color indexed="81"/>
            <rFont val="Tahoma"/>
            <family val="2"/>
          </rPr>
          <t xml:space="preserve">
Calculated as:
+ Amortization
Source:
Page 66, Form 10K 2003
</t>
        </r>
      </text>
    </comment>
    <comment ref="M422" authorId="1">
      <text>
        <r>
          <rPr>
            <b/>
            <sz val="8"/>
            <color indexed="81"/>
            <rFont val="Tahoma"/>
            <family val="2"/>
          </rPr>
          <t>Evalueserve:</t>
        </r>
        <r>
          <rPr>
            <sz val="8"/>
            <color indexed="81"/>
            <rFont val="Tahoma"/>
            <family val="2"/>
          </rPr>
          <t xml:space="preserve">
Calculated as:
+ Amortization
Source:
Page 67, Form 10K 2004
</t>
        </r>
      </text>
    </comment>
    <comment ref="N422" authorId="1">
      <text>
        <r>
          <rPr>
            <b/>
            <sz val="8"/>
            <color indexed="81"/>
            <rFont val="Tahoma"/>
            <family val="2"/>
          </rPr>
          <t>Evalueserve:</t>
        </r>
        <r>
          <rPr>
            <sz val="8"/>
            <color indexed="81"/>
            <rFont val="Tahoma"/>
            <family val="2"/>
          </rPr>
          <t xml:space="preserve">
Calculated as:
+ Amortization
Source:
Page 67, Form 10K 2004
</t>
        </r>
      </text>
    </comment>
    <comment ref="I426" authorId="1">
      <text>
        <r>
          <rPr>
            <b/>
            <sz val="8"/>
            <color indexed="81"/>
            <rFont val="Tahoma"/>
            <family val="2"/>
          </rPr>
          <t>Evalueserve:</t>
        </r>
        <r>
          <rPr>
            <sz val="8"/>
            <color indexed="81"/>
            <rFont val="Tahoma"/>
            <family val="2"/>
          </rPr>
          <t xml:space="preserve">
Calculated as:
+ Non-cash portion of restructuring and other special charges
+ Non-cash portion of Reorganization</t>
        </r>
      </text>
    </comment>
    <comment ref="M438" authorId="1">
      <text>
        <r>
          <rPr>
            <b/>
            <sz val="8"/>
            <color indexed="81"/>
            <rFont val="Tahoma"/>
            <family val="2"/>
          </rPr>
          <t>Evalueserve:</t>
        </r>
        <r>
          <rPr>
            <sz val="8"/>
            <color indexed="81"/>
            <rFont val="Tahoma"/>
            <family val="2"/>
          </rPr>
          <t xml:space="preserve">
Data not available </t>
        </r>
      </text>
    </comment>
    <comment ref="G444" authorId="1">
      <text>
        <r>
          <rPr>
            <b/>
            <sz val="8"/>
            <color indexed="81"/>
            <rFont val="Tahoma"/>
            <family val="2"/>
          </rPr>
          <t>Evalueserve:</t>
        </r>
        <r>
          <rPr>
            <sz val="8"/>
            <color indexed="81"/>
            <rFont val="Tahoma"/>
            <family val="2"/>
          </rPr>
          <t xml:space="preserve">
Data not available.</t>
        </r>
      </text>
    </comment>
    <comment ref="H444" authorId="1">
      <text>
        <r>
          <rPr>
            <b/>
            <sz val="8"/>
            <color indexed="81"/>
            <rFont val="Tahoma"/>
            <family val="2"/>
          </rPr>
          <t>Evalueserve:</t>
        </r>
        <r>
          <rPr>
            <sz val="8"/>
            <color indexed="81"/>
            <rFont val="Tahoma"/>
            <family val="2"/>
          </rPr>
          <t xml:space="preserve">
Data not available.</t>
        </r>
      </text>
    </comment>
    <comment ref="I444" authorId="1">
      <text>
        <r>
          <rPr>
            <b/>
            <sz val="8"/>
            <color indexed="81"/>
            <rFont val="Tahoma"/>
            <family val="2"/>
          </rPr>
          <t>Evalueserve:</t>
        </r>
        <r>
          <rPr>
            <sz val="8"/>
            <color indexed="81"/>
            <rFont val="Tahoma"/>
            <family val="2"/>
          </rPr>
          <t xml:space="preserve">
Data not available.</t>
        </r>
      </text>
    </comment>
    <comment ref="H448" authorId="1">
      <text>
        <r>
          <rPr>
            <b/>
            <sz val="8"/>
            <color indexed="81"/>
            <rFont val="Tahoma"/>
            <family val="2"/>
          </rPr>
          <t>Evalueserve:</t>
        </r>
        <r>
          <rPr>
            <sz val="8"/>
            <color indexed="81"/>
            <rFont val="Tahoma"/>
            <family val="2"/>
          </rPr>
          <t xml:space="preserve">
Reported as:
Equity Income, net of dividends received
</t>
        </r>
      </text>
    </comment>
    <comment ref="I448" authorId="1">
      <text>
        <r>
          <rPr>
            <b/>
            <sz val="8"/>
            <color indexed="81"/>
            <rFont val="Tahoma"/>
            <family val="2"/>
          </rPr>
          <t>Evalueserve:</t>
        </r>
        <r>
          <rPr>
            <sz val="8"/>
            <color indexed="81"/>
            <rFont val="Tahoma"/>
            <family val="2"/>
          </rPr>
          <t xml:space="preserve">
Reported as:
Equity Income, net of dividends received
</t>
        </r>
      </text>
    </comment>
    <comment ref="J448" authorId="1">
      <text>
        <r>
          <rPr>
            <b/>
            <sz val="8"/>
            <color indexed="81"/>
            <rFont val="Tahoma"/>
            <family val="2"/>
          </rPr>
          <t>Evalueserve:</t>
        </r>
        <r>
          <rPr>
            <sz val="8"/>
            <color indexed="81"/>
            <rFont val="Tahoma"/>
            <family val="2"/>
          </rPr>
          <t xml:space="preserve">
Reported as:
Equity Income, net of dividends received
</t>
        </r>
      </text>
    </comment>
    <comment ref="G449" authorId="1">
      <text>
        <r>
          <rPr>
            <b/>
            <sz val="8"/>
            <color indexed="81"/>
            <rFont val="Tahoma"/>
            <family val="2"/>
          </rPr>
          <t>Evalueserve:</t>
        </r>
        <r>
          <rPr>
            <sz val="8"/>
            <color indexed="81"/>
            <rFont val="Tahoma"/>
            <family val="2"/>
          </rPr>
          <t xml:space="preserve">
Reported as:
Equity Income, net of dividends received
</t>
        </r>
      </text>
    </comment>
    <comment ref="H449" authorId="1">
      <text>
        <r>
          <rPr>
            <b/>
            <sz val="8"/>
            <color indexed="81"/>
            <rFont val="Tahoma"/>
            <family val="2"/>
          </rPr>
          <t>Evalueserve:</t>
        </r>
        <r>
          <rPr>
            <sz val="8"/>
            <color indexed="81"/>
            <rFont val="Tahoma"/>
            <family val="2"/>
          </rPr>
          <t xml:space="preserve">
Reported as:
Equity Income, net of dividends received
</t>
        </r>
      </text>
    </comment>
    <comment ref="I449" authorId="1">
      <text>
        <r>
          <rPr>
            <b/>
            <sz val="8"/>
            <color indexed="81"/>
            <rFont val="Tahoma"/>
            <family val="2"/>
          </rPr>
          <t>Evalueserve:</t>
        </r>
        <r>
          <rPr>
            <sz val="8"/>
            <color indexed="81"/>
            <rFont val="Tahoma"/>
            <family val="2"/>
          </rPr>
          <t xml:space="preserve">
Reported as:
Equity Income, net of dividends received
</t>
        </r>
      </text>
    </comment>
    <comment ref="J449" authorId="1">
      <text>
        <r>
          <rPr>
            <b/>
            <sz val="8"/>
            <color indexed="81"/>
            <rFont val="Tahoma"/>
            <family val="2"/>
          </rPr>
          <t>Evalueserve:</t>
        </r>
        <r>
          <rPr>
            <sz val="8"/>
            <color indexed="81"/>
            <rFont val="Tahoma"/>
            <family val="2"/>
          </rPr>
          <t xml:space="preserve">
Reported as:
Equity Income, net of dividends received
</t>
        </r>
      </text>
    </comment>
    <comment ref="K449" authorId="1">
      <text>
        <r>
          <rPr>
            <b/>
            <sz val="8"/>
            <color indexed="81"/>
            <rFont val="Tahoma"/>
            <family val="2"/>
          </rPr>
          <t>Evalueserve:</t>
        </r>
        <r>
          <rPr>
            <sz val="8"/>
            <color indexed="81"/>
            <rFont val="Tahoma"/>
            <family val="2"/>
          </rPr>
          <t xml:space="preserve">
Data not available </t>
        </r>
      </text>
    </comment>
    <comment ref="L449" authorId="1">
      <text>
        <r>
          <rPr>
            <b/>
            <sz val="8"/>
            <color indexed="81"/>
            <rFont val="Tahoma"/>
            <family val="2"/>
          </rPr>
          <t>Evalueserve:</t>
        </r>
        <r>
          <rPr>
            <sz val="8"/>
            <color indexed="81"/>
            <rFont val="Tahoma"/>
            <family val="2"/>
          </rPr>
          <t xml:space="preserve">
Data not available </t>
        </r>
      </text>
    </comment>
    <comment ref="M449" authorId="1">
      <text>
        <r>
          <rPr>
            <b/>
            <sz val="8"/>
            <color indexed="81"/>
            <rFont val="Tahoma"/>
            <family val="2"/>
          </rPr>
          <t>Evalueserve:</t>
        </r>
        <r>
          <rPr>
            <sz val="8"/>
            <color indexed="81"/>
            <rFont val="Tahoma"/>
            <family val="2"/>
          </rPr>
          <t xml:space="preserve">
Data not available </t>
        </r>
      </text>
    </comment>
    <comment ref="N449" authorId="1">
      <text>
        <r>
          <rPr>
            <b/>
            <sz val="8"/>
            <color indexed="81"/>
            <rFont val="Tahoma"/>
            <family val="2"/>
          </rPr>
          <t>Evalueserve:</t>
        </r>
        <r>
          <rPr>
            <sz val="8"/>
            <color indexed="81"/>
            <rFont val="Tahoma"/>
            <family val="2"/>
          </rPr>
          <t xml:space="preserve">
Data not available </t>
        </r>
      </text>
    </comment>
    <comment ref="G450" authorId="1">
      <text>
        <r>
          <rPr>
            <b/>
            <sz val="8"/>
            <color indexed="81"/>
            <rFont val="Tahoma"/>
            <family val="2"/>
          </rPr>
          <t>Evalueserve:</t>
        </r>
        <r>
          <rPr>
            <sz val="8"/>
            <color indexed="81"/>
            <rFont val="Tahoma"/>
            <family val="2"/>
          </rPr>
          <t xml:space="preserve">
Data not available </t>
        </r>
      </text>
    </comment>
    <comment ref="H450" authorId="1">
      <text>
        <r>
          <rPr>
            <b/>
            <sz val="8"/>
            <color indexed="81"/>
            <rFont val="Tahoma"/>
            <family val="2"/>
          </rPr>
          <t>Evalueserve:</t>
        </r>
        <r>
          <rPr>
            <sz val="8"/>
            <color indexed="81"/>
            <rFont val="Tahoma"/>
            <family val="2"/>
          </rPr>
          <t xml:space="preserve">
Data not available </t>
        </r>
      </text>
    </comment>
    <comment ref="I450" authorId="1">
      <text>
        <r>
          <rPr>
            <b/>
            <sz val="8"/>
            <color indexed="81"/>
            <rFont val="Tahoma"/>
            <family val="2"/>
          </rPr>
          <t>Evalueserve:</t>
        </r>
        <r>
          <rPr>
            <sz val="8"/>
            <color indexed="81"/>
            <rFont val="Tahoma"/>
            <family val="2"/>
          </rPr>
          <t xml:space="preserve">
Data not available </t>
        </r>
      </text>
    </comment>
    <comment ref="J450" authorId="1">
      <text>
        <r>
          <rPr>
            <b/>
            <sz val="8"/>
            <color indexed="81"/>
            <rFont val="Tahoma"/>
            <family val="2"/>
          </rPr>
          <t>Evalueserve:</t>
        </r>
        <r>
          <rPr>
            <sz val="8"/>
            <color indexed="81"/>
            <rFont val="Tahoma"/>
            <family val="2"/>
          </rPr>
          <t xml:space="preserve">
Data not available </t>
        </r>
      </text>
    </comment>
    <comment ref="K450" authorId="1">
      <text>
        <r>
          <rPr>
            <b/>
            <sz val="8"/>
            <color indexed="81"/>
            <rFont val="Tahoma"/>
            <family val="2"/>
          </rPr>
          <t>Evalueserve:</t>
        </r>
        <r>
          <rPr>
            <sz val="8"/>
            <color indexed="81"/>
            <rFont val="Tahoma"/>
            <family val="2"/>
          </rPr>
          <t xml:space="preserve">
Reported as:
Distributions in excess of equity earnings
</t>
        </r>
      </text>
    </comment>
    <comment ref="L450" authorId="1">
      <text>
        <r>
          <rPr>
            <b/>
            <sz val="8"/>
            <color indexed="81"/>
            <rFont val="Tahoma"/>
            <family val="2"/>
          </rPr>
          <t>Evalueserve:</t>
        </r>
        <r>
          <rPr>
            <sz val="8"/>
            <color indexed="81"/>
            <rFont val="Tahoma"/>
            <family val="2"/>
          </rPr>
          <t xml:space="preserve">
Reported as:
Distributions in excess of equity earnings
</t>
        </r>
      </text>
    </comment>
    <comment ref="M450" authorId="1">
      <text>
        <r>
          <rPr>
            <b/>
            <sz val="8"/>
            <color indexed="81"/>
            <rFont val="Tahoma"/>
            <family val="2"/>
          </rPr>
          <t>Evalueserve:</t>
        </r>
        <r>
          <rPr>
            <sz val="8"/>
            <color indexed="81"/>
            <rFont val="Tahoma"/>
            <family val="2"/>
          </rPr>
          <t xml:space="preserve">
Reported as:
Distributions in excess of equity earnings
</t>
        </r>
      </text>
    </comment>
    <comment ref="N450" authorId="1">
      <text>
        <r>
          <rPr>
            <b/>
            <sz val="8"/>
            <color indexed="81"/>
            <rFont val="Tahoma"/>
            <family val="2"/>
          </rPr>
          <t>Evalueserve:</t>
        </r>
        <r>
          <rPr>
            <sz val="8"/>
            <color indexed="81"/>
            <rFont val="Tahoma"/>
            <family val="2"/>
          </rPr>
          <t xml:space="preserve">
Reported as:
Distributions in excess of equity earnings
</t>
        </r>
      </text>
    </comment>
    <comment ref="G457" authorId="1">
      <text>
        <r>
          <rPr>
            <b/>
            <sz val="8"/>
            <color indexed="81"/>
            <rFont val="Tahoma"/>
            <family val="2"/>
          </rPr>
          <t>Evalueserve:</t>
        </r>
        <r>
          <rPr>
            <sz val="8"/>
            <color indexed="81"/>
            <rFont val="Tahoma"/>
            <family val="2"/>
          </rPr>
          <t xml:space="preserve">
Reported as:
Minority equity in net income</t>
        </r>
      </text>
    </comment>
    <comment ref="H457" authorId="1">
      <text>
        <r>
          <rPr>
            <b/>
            <sz val="8"/>
            <color indexed="81"/>
            <rFont val="Tahoma"/>
            <family val="2"/>
          </rPr>
          <t>Evalueserve:</t>
        </r>
        <r>
          <rPr>
            <sz val="8"/>
            <color indexed="81"/>
            <rFont val="Tahoma"/>
            <family val="2"/>
          </rPr>
          <t xml:space="preserve">
Reported as:
Minority equity in net income</t>
        </r>
      </text>
    </comment>
    <comment ref="I457" authorId="1">
      <text>
        <r>
          <rPr>
            <b/>
            <sz val="8"/>
            <color indexed="81"/>
            <rFont val="Tahoma"/>
            <family val="2"/>
          </rPr>
          <t>Evalueserve:</t>
        </r>
        <r>
          <rPr>
            <sz val="8"/>
            <color indexed="81"/>
            <rFont val="Tahoma"/>
            <family val="2"/>
          </rPr>
          <t xml:space="preserve">
Reported as:
Minority equity in net income</t>
        </r>
      </text>
    </comment>
    <comment ref="J457" authorId="1">
      <text>
        <r>
          <rPr>
            <b/>
            <sz val="8"/>
            <color indexed="81"/>
            <rFont val="Tahoma"/>
            <family val="2"/>
          </rPr>
          <t>Evalueserve:</t>
        </r>
        <r>
          <rPr>
            <sz val="8"/>
            <color indexed="81"/>
            <rFont val="Tahoma"/>
            <family val="2"/>
          </rPr>
          <t xml:space="preserve">
Reported as:
Minority equity in net income</t>
        </r>
      </text>
    </comment>
    <comment ref="K457" authorId="1">
      <text>
        <r>
          <rPr>
            <b/>
            <sz val="8"/>
            <color indexed="81"/>
            <rFont val="Tahoma"/>
            <family val="2"/>
          </rPr>
          <t>Evalueserve:</t>
        </r>
        <r>
          <rPr>
            <sz val="8"/>
            <color indexed="81"/>
            <rFont val="Tahoma"/>
            <family val="2"/>
          </rPr>
          <t xml:space="preserve">
Reported as:
Minority equity in net income</t>
        </r>
      </text>
    </comment>
    <comment ref="L457" authorId="1">
      <text>
        <r>
          <rPr>
            <b/>
            <sz val="8"/>
            <color indexed="81"/>
            <rFont val="Tahoma"/>
            <family val="2"/>
          </rPr>
          <t>Evalueserve:</t>
        </r>
        <r>
          <rPr>
            <sz val="8"/>
            <color indexed="81"/>
            <rFont val="Tahoma"/>
            <family val="2"/>
          </rPr>
          <t xml:space="preserve">
Reported as:
Minority equity in net income</t>
        </r>
      </text>
    </comment>
    <comment ref="M457" authorId="1">
      <text>
        <r>
          <rPr>
            <b/>
            <sz val="8"/>
            <color indexed="81"/>
            <rFont val="Tahoma"/>
            <family val="2"/>
          </rPr>
          <t>Evalueserve:</t>
        </r>
        <r>
          <rPr>
            <sz val="8"/>
            <color indexed="81"/>
            <rFont val="Tahoma"/>
            <family val="2"/>
          </rPr>
          <t xml:space="preserve">
Reported as:
Minority equity in net income</t>
        </r>
      </text>
    </comment>
    <comment ref="I458" authorId="1">
      <text>
        <r>
          <rPr>
            <b/>
            <sz val="8"/>
            <color indexed="81"/>
            <rFont val="Tahoma"/>
            <family val="2"/>
          </rPr>
          <t>Evalueserve:</t>
        </r>
        <r>
          <rPr>
            <sz val="8"/>
            <color indexed="81"/>
            <rFont val="Tahoma"/>
            <family val="2"/>
          </rPr>
          <t xml:space="preserve">
Data not available. </t>
        </r>
      </text>
    </comment>
    <comment ref="J458" authorId="1">
      <text>
        <r>
          <rPr>
            <b/>
            <sz val="8"/>
            <color indexed="81"/>
            <rFont val="Tahoma"/>
            <family val="2"/>
          </rPr>
          <t>Evalueserve:</t>
        </r>
        <r>
          <rPr>
            <sz val="8"/>
            <color indexed="81"/>
            <rFont val="Tahoma"/>
            <family val="2"/>
          </rPr>
          <t xml:space="preserve">
Data not available. </t>
        </r>
      </text>
    </comment>
    <comment ref="K458" authorId="1">
      <text>
        <r>
          <rPr>
            <b/>
            <sz val="8"/>
            <color indexed="81"/>
            <rFont val="Tahoma"/>
            <family val="2"/>
          </rPr>
          <t>Evalueserve:</t>
        </r>
        <r>
          <rPr>
            <sz val="8"/>
            <color indexed="81"/>
            <rFont val="Tahoma"/>
            <family val="2"/>
          </rPr>
          <t xml:space="preserve">
Data not available. </t>
        </r>
      </text>
    </comment>
    <comment ref="L458" authorId="1">
      <text>
        <r>
          <rPr>
            <b/>
            <sz val="8"/>
            <color indexed="81"/>
            <rFont val="Tahoma"/>
            <family val="2"/>
          </rPr>
          <t>Evalueserve:</t>
        </r>
        <r>
          <rPr>
            <sz val="8"/>
            <color indexed="81"/>
            <rFont val="Tahoma"/>
            <family val="2"/>
          </rPr>
          <t xml:space="preserve">
Data not available. </t>
        </r>
      </text>
    </comment>
    <comment ref="M458" authorId="1">
      <text>
        <r>
          <rPr>
            <b/>
            <sz val="8"/>
            <color indexed="81"/>
            <rFont val="Tahoma"/>
            <family val="2"/>
          </rPr>
          <t>Evalueserve:</t>
        </r>
        <r>
          <rPr>
            <sz val="8"/>
            <color indexed="81"/>
            <rFont val="Tahoma"/>
            <family val="2"/>
          </rPr>
          <t xml:space="preserve">
Data not available. </t>
        </r>
      </text>
    </comment>
    <comment ref="N458" authorId="1">
      <text>
        <r>
          <rPr>
            <b/>
            <sz val="8"/>
            <color indexed="81"/>
            <rFont val="Tahoma"/>
            <family val="2"/>
          </rPr>
          <t>Evalueserve:</t>
        </r>
        <r>
          <rPr>
            <sz val="8"/>
            <color indexed="81"/>
            <rFont val="Tahoma"/>
            <family val="2"/>
          </rPr>
          <t xml:space="preserve">
Data not available. </t>
        </r>
      </text>
    </comment>
    <comment ref="G463" authorId="1">
      <text>
        <r>
          <rPr>
            <b/>
            <sz val="8"/>
            <color indexed="81"/>
            <rFont val="Tahoma"/>
            <family val="2"/>
          </rPr>
          <t>Evalueserve:</t>
        </r>
        <r>
          <rPr>
            <sz val="8"/>
            <color indexed="81"/>
            <rFont val="Tahoma"/>
            <family val="2"/>
          </rPr>
          <t xml:space="preserve">
Data not receivable.</t>
        </r>
      </text>
    </comment>
    <comment ref="H463" authorId="1">
      <text>
        <r>
          <rPr>
            <b/>
            <sz val="8"/>
            <color indexed="81"/>
            <rFont val="Tahoma"/>
            <family val="2"/>
          </rPr>
          <t>Evalueserve:</t>
        </r>
        <r>
          <rPr>
            <sz val="8"/>
            <color indexed="81"/>
            <rFont val="Tahoma"/>
            <family val="2"/>
          </rPr>
          <t xml:space="preserve">
Data not available </t>
        </r>
      </text>
    </comment>
    <comment ref="I463" authorId="1">
      <text>
        <r>
          <rPr>
            <b/>
            <sz val="8"/>
            <color indexed="81"/>
            <rFont val="Tahoma"/>
            <family val="2"/>
          </rPr>
          <t>Evalueserve:</t>
        </r>
        <r>
          <rPr>
            <sz val="8"/>
            <color indexed="81"/>
            <rFont val="Tahoma"/>
            <family val="2"/>
          </rPr>
          <t xml:space="preserve">
Data not available </t>
        </r>
      </text>
    </comment>
    <comment ref="J463" authorId="1">
      <text>
        <r>
          <rPr>
            <b/>
            <sz val="8"/>
            <color indexed="81"/>
            <rFont val="Tahoma"/>
            <family val="2"/>
          </rPr>
          <t>Evalueserve:</t>
        </r>
        <r>
          <rPr>
            <sz val="8"/>
            <color indexed="81"/>
            <rFont val="Tahoma"/>
            <family val="2"/>
          </rPr>
          <t xml:space="preserve">
Data not available </t>
        </r>
      </text>
    </comment>
    <comment ref="K463" authorId="1">
      <text>
        <r>
          <rPr>
            <b/>
            <sz val="8"/>
            <color indexed="81"/>
            <rFont val="Tahoma"/>
            <family val="2"/>
          </rPr>
          <t>Evalueserve:</t>
        </r>
        <r>
          <rPr>
            <sz val="8"/>
            <color indexed="81"/>
            <rFont val="Tahoma"/>
            <family val="2"/>
          </rPr>
          <t xml:space="preserve">
Data not available </t>
        </r>
      </text>
    </comment>
    <comment ref="K466" authorId="1">
      <text>
        <r>
          <rPr>
            <b/>
            <sz val="8"/>
            <color indexed="81"/>
            <rFont val="Tahoma"/>
            <family val="2"/>
          </rPr>
          <t>Evalueserve:</t>
        </r>
        <r>
          <rPr>
            <sz val="8"/>
            <color indexed="81"/>
            <rFont val="Tahoma"/>
            <family val="2"/>
          </rPr>
          <t xml:space="preserve">
Data not available </t>
        </r>
      </text>
    </comment>
    <comment ref="L466" authorId="1">
      <text>
        <r>
          <rPr>
            <b/>
            <sz val="8"/>
            <color indexed="81"/>
            <rFont val="Tahoma"/>
            <family val="2"/>
          </rPr>
          <t>Evalueserve:</t>
        </r>
        <r>
          <rPr>
            <sz val="8"/>
            <color indexed="81"/>
            <rFont val="Tahoma"/>
            <family val="2"/>
          </rPr>
          <t xml:space="preserve">
Data not available </t>
        </r>
      </text>
    </comment>
    <comment ref="M466" authorId="1">
      <text>
        <r>
          <rPr>
            <b/>
            <sz val="8"/>
            <color indexed="81"/>
            <rFont val="Tahoma"/>
            <family val="2"/>
          </rPr>
          <t>Evalueserve:</t>
        </r>
        <r>
          <rPr>
            <sz val="8"/>
            <color indexed="81"/>
            <rFont val="Tahoma"/>
            <family val="2"/>
          </rPr>
          <t xml:space="preserve">
Data not available </t>
        </r>
      </text>
    </comment>
    <comment ref="N466" authorId="1">
      <text>
        <r>
          <rPr>
            <b/>
            <sz val="8"/>
            <color indexed="81"/>
            <rFont val="Tahoma"/>
            <family val="2"/>
          </rPr>
          <t>Evalueserve:</t>
        </r>
        <r>
          <rPr>
            <sz val="8"/>
            <color indexed="81"/>
            <rFont val="Tahoma"/>
            <family val="2"/>
          </rPr>
          <t xml:space="preserve">
Data not available </t>
        </r>
      </text>
    </comment>
    <comment ref="G484" authorId="1">
      <text>
        <r>
          <rPr>
            <b/>
            <sz val="8"/>
            <color indexed="81"/>
            <rFont val="Tahoma"/>
            <family val="2"/>
          </rPr>
          <t>Evalueserve:</t>
        </r>
        <r>
          <rPr>
            <sz val="8"/>
            <color indexed="81"/>
            <rFont val="Tahoma"/>
            <family val="2"/>
          </rPr>
          <t xml:space="preserve">
Reported as:
Employee benefit trust
</t>
        </r>
      </text>
    </comment>
    <comment ref="H484" authorId="1">
      <text>
        <r>
          <rPr>
            <b/>
            <sz val="8"/>
            <color indexed="81"/>
            <rFont val="Tahoma"/>
            <family val="2"/>
          </rPr>
          <t>Evalueserve:</t>
        </r>
        <r>
          <rPr>
            <sz val="8"/>
            <color indexed="81"/>
            <rFont val="Tahoma"/>
            <family val="2"/>
          </rPr>
          <t xml:space="preserve">
Reported as:
Employee benefit trust
</t>
        </r>
      </text>
    </comment>
    <comment ref="I484" authorId="1">
      <text>
        <r>
          <rPr>
            <b/>
            <sz val="8"/>
            <color indexed="81"/>
            <rFont val="Tahoma"/>
            <family val="2"/>
          </rPr>
          <t>Evalueserve:</t>
        </r>
        <r>
          <rPr>
            <sz val="8"/>
            <color indexed="81"/>
            <rFont val="Tahoma"/>
            <family val="2"/>
          </rPr>
          <t xml:space="preserve">
Data not available.</t>
        </r>
      </text>
    </comment>
    <comment ref="J484" authorId="1">
      <text>
        <r>
          <rPr>
            <b/>
            <sz val="8"/>
            <color indexed="81"/>
            <rFont val="Tahoma"/>
            <family val="2"/>
          </rPr>
          <t>Evalueserve:</t>
        </r>
        <r>
          <rPr>
            <sz val="8"/>
            <color indexed="81"/>
            <rFont val="Tahoma"/>
            <family val="2"/>
          </rPr>
          <t xml:space="preserve">
Data not available.</t>
        </r>
      </text>
    </comment>
    <comment ref="K484" authorId="1">
      <text>
        <r>
          <rPr>
            <b/>
            <sz val="8"/>
            <color indexed="81"/>
            <rFont val="Tahoma"/>
            <family val="2"/>
          </rPr>
          <t>Evalueserve:</t>
        </r>
        <r>
          <rPr>
            <sz val="8"/>
            <color indexed="81"/>
            <rFont val="Tahoma"/>
            <family val="2"/>
          </rPr>
          <t xml:space="preserve">
Data not available.</t>
        </r>
      </text>
    </comment>
    <comment ref="L484" authorId="1">
      <text>
        <r>
          <rPr>
            <b/>
            <sz val="8"/>
            <color indexed="81"/>
            <rFont val="Tahoma"/>
            <family val="2"/>
          </rPr>
          <t>Evalueserve:</t>
        </r>
        <r>
          <rPr>
            <sz val="8"/>
            <color indexed="81"/>
            <rFont val="Tahoma"/>
            <family val="2"/>
          </rPr>
          <t xml:space="preserve">
Data not available.</t>
        </r>
      </text>
    </comment>
    <comment ref="M484" authorId="1">
      <text>
        <r>
          <rPr>
            <b/>
            <sz val="8"/>
            <color indexed="81"/>
            <rFont val="Tahoma"/>
            <family val="2"/>
          </rPr>
          <t>Evalueserve:</t>
        </r>
        <r>
          <rPr>
            <sz val="8"/>
            <color indexed="81"/>
            <rFont val="Tahoma"/>
            <family val="2"/>
          </rPr>
          <t xml:space="preserve">
Data not available.</t>
        </r>
      </text>
    </comment>
    <comment ref="N484" authorId="1">
      <text>
        <r>
          <rPr>
            <b/>
            <sz val="8"/>
            <color indexed="81"/>
            <rFont val="Tahoma"/>
            <family val="2"/>
          </rPr>
          <t>Evalueserve:</t>
        </r>
        <r>
          <rPr>
            <sz val="8"/>
            <color indexed="81"/>
            <rFont val="Tahoma"/>
            <family val="2"/>
          </rPr>
          <t xml:space="preserve">
Data not available.</t>
        </r>
      </text>
    </comment>
    <comment ref="G489" authorId="1">
      <text>
        <r>
          <rPr>
            <b/>
            <sz val="8"/>
            <color indexed="81"/>
            <rFont val="Tahoma"/>
            <family val="2"/>
          </rPr>
          <t>Evalueserve:</t>
        </r>
        <r>
          <rPr>
            <sz val="8"/>
            <color indexed="81"/>
            <rFont val="Tahoma"/>
            <family val="2"/>
          </rPr>
          <t xml:space="preserve">
Calculated as:
+ Extraordinary items
+Other, net
+ Amortization of deferred loan costs
</t>
        </r>
      </text>
    </comment>
    <comment ref="H489" authorId="1">
      <text>
        <r>
          <rPr>
            <b/>
            <sz val="8"/>
            <color indexed="81"/>
            <rFont val="Tahoma"/>
            <family val="2"/>
          </rPr>
          <t>Evalueserve:</t>
        </r>
        <r>
          <rPr>
            <sz val="8"/>
            <color indexed="81"/>
            <rFont val="Tahoma"/>
            <family val="2"/>
          </rPr>
          <t xml:space="preserve">
Calculated as:
+Other, net
+ Amortization of deferred loan costs
</t>
        </r>
      </text>
    </comment>
    <comment ref="I489" authorId="1">
      <text>
        <r>
          <rPr>
            <b/>
            <sz val="8"/>
            <color indexed="81"/>
            <rFont val="Tahoma"/>
            <family val="2"/>
          </rPr>
          <t>Evalueserve:</t>
        </r>
        <r>
          <rPr>
            <sz val="8"/>
            <color indexed="81"/>
            <rFont val="Tahoma"/>
            <family val="2"/>
          </rPr>
          <t xml:space="preserve">
Calculated as:
+ Extraordinary item
+other, net
+ Amortization of deferred loan costs
</t>
        </r>
      </text>
    </comment>
    <comment ref="J489" authorId="1">
      <text>
        <r>
          <rPr>
            <b/>
            <sz val="8"/>
            <color indexed="81"/>
            <rFont val="Tahoma"/>
            <family val="2"/>
          </rPr>
          <t>Evalueserve:</t>
        </r>
        <r>
          <rPr>
            <sz val="8"/>
            <color indexed="81"/>
            <rFont val="Tahoma"/>
            <family val="2"/>
          </rPr>
          <t xml:space="preserve">
Calculated as:
+ Extraordinary item
+other,net
+ Amortization of deferred loan costs
</t>
        </r>
      </text>
    </comment>
    <comment ref="K489" authorId="1">
      <text>
        <r>
          <rPr>
            <b/>
            <sz val="8"/>
            <color indexed="81"/>
            <rFont val="Tahoma"/>
            <family val="2"/>
          </rPr>
          <t>Evalueserve:</t>
        </r>
        <r>
          <rPr>
            <sz val="8"/>
            <color indexed="81"/>
            <rFont val="Tahoma"/>
            <family val="2"/>
          </rPr>
          <t xml:space="preserve">
Calculated as:
+ Restricted cash
+ Restricted Cash (Closing) (Adjusted for valuation purpose)
- Restricted Cash (Opening) (Adjusted for valuation purpose)
+ Other 
- Gain on sale of VOI notes receivable
+ Amortization of deferred loan costs
</t>
        </r>
      </text>
    </comment>
    <comment ref="L489" authorId="1">
      <text>
        <r>
          <rPr>
            <b/>
            <sz val="8"/>
            <color indexed="81"/>
            <rFont val="Tahoma"/>
            <family val="2"/>
          </rPr>
          <t>Evalueserve:</t>
        </r>
        <r>
          <rPr>
            <sz val="8"/>
            <color indexed="81"/>
            <rFont val="Tahoma"/>
            <family val="2"/>
          </rPr>
          <t xml:space="preserve">
Calculated as:
+ Restricted cash
+ Restricted Cash (Closing) (Adjusted for valuation purpose)
- Restricted Cash (Opening) (Adjusted for valuation purpose)
+ Other 
- Gain on sale of VOI notes receivable
+ Amortization of deferred loan costs
</t>
        </r>
      </text>
    </comment>
    <comment ref="M489" authorId="1">
      <text>
        <r>
          <rPr>
            <b/>
            <sz val="8"/>
            <color indexed="81"/>
            <rFont val="Tahoma"/>
            <family val="2"/>
          </rPr>
          <t>Evalueserve:</t>
        </r>
        <r>
          <rPr>
            <sz val="8"/>
            <color indexed="81"/>
            <rFont val="Tahoma"/>
            <family val="2"/>
          </rPr>
          <t xml:space="preserve">
Calculated as:
+ Restricted cash
+ Restricted Cash (Closing) (Adjusted for valuation purpose)
- Restricted Cash (Opening) (Adjusted for valuation purpose)
+ Other 
- Gain on sale of VOI notes receivable
+ Amortization of deferred loan costs
</t>
        </r>
      </text>
    </comment>
    <comment ref="N489" authorId="1">
      <text>
        <r>
          <rPr>
            <b/>
            <sz val="8"/>
            <color indexed="81"/>
            <rFont val="Tahoma"/>
            <family val="2"/>
          </rPr>
          <t>Evalueserve:</t>
        </r>
        <r>
          <rPr>
            <sz val="8"/>
            <color indexed="81"/>
            <rFont val="Tahoma"/>
            <family val="2"/>
          </rPr>
          <t xml:space="preserve">
Calculated as:
+ Restricted cash
+ Restricted Cash (Closing) (Adjusted for valuation purpose)
- Restricted Cash (Opening) (Adjusted for valuation purpose)
+ Other 
- Gain on sale of VOI notes receivable
+ Amortization of deferred loan costs
</t>
        </r>
      </text>
    </comment>
    <comment ref="G521" authorId="1">
      <text>
        <r>
          <rPr>
            <b/>
            <sz val="8"/>
            <color indexed="81"/>
            <rFont val="Tahoma"/>
            <family val="2"/>
          </rPr>
          <t>Evalueserve:</t>
        </r>
        <r>
          <rPr>
            <sz val="8"/>
            <color indexed="81"/>
            <rFont val="Tahoma"/>
            <family val="2"/>
          </rPr>
          <t xml:space="preserve">
Data not available.</t>
        </r>
      </text>
    </comment>
    <comment ref="G524" authorId="1">
      <text>
        <r>
          <rPr>
            <b/>
            <sz val="8"/>
            <color indexed="81"/>
            <rFont val="Tahoma"/>
            <family val="2"/>
          </rPr>
          <t>Evalueserve:</t>
        </r>
        <r>
          <rPr>
            <sz val="8"/>
            <color indexed="81"/>
            <rFont val="Tahoma"/>
            <family val="2"/>
          </rPr>
          <t xml:space="preserve">
Calculated as:
+ Long-term debt issued
- Long term debt repaid</t>
        </r>
      </text>
    </comment>
    <comment ref="H524" authorId="1">
      <text>
        <r>
          <rPr>
            <b/>
            <sz val="8"/>
            <color indexed="81"/>
            <rFont val="Tahoma"/>
            <family val="2"/>
          </rPr>
          <t>Evalueserve:</t>
        </r>
        <r>
          <rPr>
            <sz val="8"/>
            <color indexed="81"/>
            <rFont val="Tahoma"/>
            <family val="2"/>
          </rPr>
          <t xml:space="preserve">
Calculated as:
+ Long-term debt issued
- Long term debt repaid</t>
        </r>
      </text>
    </comment>
    <comment ref="I524" authorId="1">
      <text>
        <r>
          <rPr>
            <b/>
            <sz val="8"/>
            <color indexed="81"/>
            <rFont val="Tahoma"/>
            <family val="2"/>
          </rPr>
          <t>Evalueserve:</t>
        </r>
        <r>
          <rPr>
            <sz val="8"/>
            <color indexed="81"/>
            <rFont val="Tahoma"/>
            <family val="2"/>
          </rPr>
          <t xml:space="preserve">
Calculated as:
+ Long-term debt issued
- Long term debt repaid</t>
        </r>
      </text>
    </comment>
    <comment ref="J524" authorId="1">
      <text>
        <r>
          <rPr>
            <b/>
            <sz val="8"/>
            <color indexed="81"/>
            <rFont val="Tahoma"/>
            <family val="2"/>
          </rPr>
          <t>Evalueserve:</t>
        </r>
        <r>
          <rPr>
            <sz val="8"/>
            <color indexed="81"/>
            <rFont val="Tahoma"/>
            <family val="2"/>
          </rPr>
          <t xml:space="preserve">
Calculated as:
+ Long-term debt issued
- Long term debt repaid</t>
        </r>
      </text>
    </comment>
    <comment ref="K524" authorId="1">
      <text>
        <r>
          <rPr>
            <b/>
            <sz val="8"/>
            <color indexed="81"/>
            <rFont val="Tahoma"/>
            <family val="2"/>
          </rPr>
          <t>Evalueserve:</t>
        </r>
        <r>
          <rPr>
            <sz val="8"/>
            <color indexed="81"/>
            <rFont val="Tahoma"/>
            <family val="2"/>
          </rPr>
          <t xml:space="preserve">
Calculated as:
+ Long-term debt issued
- Long term debt repaid</t>
        </r>
      </text>
    </comment>
    <comment ref="L524" authorId="1">
      <text>
        <r>
          <rPr>
            <b/>
            <sz val="8"/>
            <color indexed="81"/>
            <rFont val="Tahoma"/>
            <family val="2"/>
          </rPr>
          <t>Evalueserve:</t>
        </r>
        <r>
          <rPr>
            <sz val="8"/>
            <color indexed="81"/>
            <rFont val="Tahoma"/>
            <family val="2"/>
          </rPr>
          <t xml:space="preserve">
Calculated as:
+ Long-term debt issued
- Long term debt repaid</t>
        </r>
      </text>
    </comment>
    <comment ref="M524" authorId="1">
      <text>
        <r>
          <rPr>
            <b/>
            <sz val="8"/>
            <color indexed="81"/>
            <rFont val="Tahoma"/>
            <family val="2"/>
          </rPr>
          <t>Evalueserve:</t>
        </r>
        <r>
          <rPr>
            <sz val="8"/>
            <color indexed="81"/>
            <rFont val="Tahoma"/>
            <family val="2"/>
          </rPr>
          <t xml:space="preserve">
Calculated as:
- Acquisition of senior debt
+ Long-term debt issued
- Long term debt repaid</t>
        </r>
      </text>
    </comment>
    <comment ref="N524" authorId="1">
      <text>
        <r>
          <rPr>
            <b/>
            <sz val="8"/>
            <color indexed="81"/>
            <rFont val="Tahoma"/>
            <family val="2"/>
          </rPr>
          <t>Evalueserve:</t>
        </r>
        <r>
          <rPr>
            <sz val="8"/>
            <color indexed="81"/>
            <rFont val="Tahoma"/>
            <family val="2"/>
          </rPr>
          <t xml:space="preserve">
Calculated as:
- Acquisition of senior debt
+ Long-term debt issued
- Long term debt repaid</t>
        </r>
      </text>
    </comment>
    <comment ref="G531" authorId="1">
      <text>
        <r>
          <rPr>
            <b/>
            <sz val="8"/>
            <color indexed="81"/>
            <rFont val="Tahoma"/>
            <family val="2"/>
          </rPr>
          <t>Evalueserve:</t>
        </r>
        <r>
          <rPr>
            <sz val="8"/>
            <color indexed="81"/>
            <rFont val="Tahoma"/>
            <family val="2"/>
          </rPr>
          <t xml:space="preserve">
Data not available. </t>
        </r>
      </text>
    </comment>
    <comment ref="H531" authorId="1">
      <text>
        <r>
          <rPr>
            <b/>
            <sz val="8"/>
            <color indexed="81"/>
            <rFont val="Tahoma"/>
            <family val="2"/>
          </rPr>
          <t>Evalueserve:</t>
        </r>
        <r>
          <rPr>
            <sz val="8"/>
            <color indexed="81"/>
            <rFont val="Tahoma"/>
            <family val="2"/>
          </rPr>
          <t xml:space="preserve">
Data not available. </t>
        </r>
      </text>
    </comment>
    <comment ref="I531" authorId="1">
      <text>
        <r>
          <rPr>
            <b/>
            <sz val="8"/>
            <color indexed="81"/>
            <rFont val="Tahoma"/>
            <family val="2"/>
          </rPr>
          <t>Evalueserve:</t>
        </r>
        <r>
          <rPr>
            <sz val="8"/>
            <color indexed="81"/>
            <rFont val="Tahoma"/>
            <family val="2"/>
          </rPr>
          <t xml:space="preserve">
Data not available. </t>
        </r>
      </text>
    </comment>
    <comment ref="J531" authorId="1">
      <text>
        <r>
          <rPr>
            <b/>
            <sz val="8"/>
            <color indexed="81"/>
            <rFont val="Tahoma"/>
            <family val="2"/>
          </rPr>
          <t>Evalueserve:</t>
        </r>
        <r>
          <rPr>
            <sz val="8"/>
            <color indexed="81"/>
            <rFont val="Tahoma"/>
            <family val="2"/>
          </rPr>
          <t xml:space="preserve">
Data not available. </t>
        </r>
      </text>
    </comment>
    <comment ref="K531" authorId="1">
      <text>
        <r>
          <rPr>
            <b/>
            <sz val="8"/>
            <color indexed="81"/>
            <rFont val="Tahoma"/>
            <family val="2"/>
          </rPr>
          <t>Evalueserve:</t>
        </r>
        <r>
          <rPr>
            <sz val="8"/>
            <color indexed="81"/>
            <rFont val="Tahoma"/>
            <family val="2"/>
          </rPr>
          <t xml:space="preserve">
Data not available. </t>
        </r>
      </text>
    </comment>
    <comment ref="L531" authorId="1">
      <text>
        <r>
          <rPr>
            <b/>
            <sz val="8"/>
            <color indexed="81"/>
            <rFont val="Tahoma"/>
            <family val="2"/>
          </rPr>
          <t>Evalueserve:</t>
        </r>
        <r>
          <rPr>
            <sz val="8"/>
            <color indexed="81"/>
            <rFont val="Tahoma"/>
            <family val="2"/>
          </rPr>
          <t xml:space="preserve">
Data not available. </t>
        </r>
      </text>
    </comment>
    <comment ref="M531" authorId="1">
      <text>
        <r>
          <rPr>
            <b/>
            <sz val="8"/>
            <color indexed="81"/>
            <rFont val="Tahoma"/>
            <family val="2"/>
          </rPr>
          <t>Evalueserve:</t>
        </r>
        <r>
          <rPr>
            <sz val="8"/>
            <color indexed="81"/>
            <rFont val="Tahoma"/>
            <family val="2"/>
          </rPr>
          <t xml:space="preserve">
Reported as:
Proceeds from employee stock option exercises</t>
        </r>
      </text>
    </comment>
    <comment ref="N531" authorId="1">
      <text>
        <r>
          <rPr>
            <b/>
            <sz val="8"/>
            <color indexed="81"/>
            <rFont val="Tahoma"/>
            <family val="2"/>
          </rPr>
          <t>Evalueserve:</t>
        </r>
        <r>
          <rPr>
            <sz val="8"/>
            <color indexed="81"/>
            <rFont val="Tahoma"/>
            <family val="2"/>
          </rPr>
          <t xml:space="preserve">
Reported as:
Proceeds from employee stock option exercises</t>
        </r>
      </text>
    </comment>
    <comment ref="H536" authorId="1">
      <text>
        <r>
          <rPr>
            <b/>
            <sz val="8"/>
            <color indexed="81"/>
            <rFont val="Tahoma"/>
            <family val="2"/>
          </rPr>
          <t>Evalueserve:</t>
        </r>
        <r>
          <rPr>
            <sz val="8"/>
            <color indexed="81"/>
            <rFont val="Tahoma"/>
            <family val="2"/>
          </rPr>
          <t xml:space="preserve">
Calculated as:
+Other,net
+Settlement of forward equity contracts</t>
        </r>
      </text>
    </comment>
    <comment ref="I536" authorId="1">
      <text>
        <r>
          <rPr>
            <b/>
            <sz val="8"/>
            <color indexed="81"/>
            <rFont val="Tahoma"/>
            <family val="2"/>
          </rPr>
          <t>Evalueserve:</t>
        </r>
        <r>
          <rPr>
            <sz val="8"/>
            <color indexed="81"/>
            <rFont val="Tahoma"/>
            <family val="2"/>
          </rPr>
          <t xml:space="preserve">
Calculated as:
+Other,net
+Settlement of forward equity contracts</t>
        </r>
      </text>
    </comment>
    <comment ref="J536" authorId="1">
      <text>
        <r>
          <rPr>
            <b/>
            <sz val="8"/>
            <color indexed="81"/>
            <rFont val="Tahoma"/>
            <family val="2"/>
          </rPr>
          <t>Evalueserve:</t>
        </r>
        <r>
          <rPr>
            <sz val="8"/>
            <color indexed="81"/>
            <rFont val="Tahoma"/>
            <family val="2"/>
          </rPr>
          <t xml:space="preserve">
Calculated as:
+Other,net
+Settlement of forward equity contracts</t>
        </r>
      </text>
    </comment>
    <comment ref="G537" authorId="1">
      <text>
        <r>
          <rPr>
            <b/>
            <sz val="8"/>
            <color indexed="81"/>
            <rFont val="Tahoma"/>
            <family val="2"/>
          </rPr>
          <t>Evalueserve:</t>
        </r>
        <r>
          <rPr>
            <sz val="8"/>
            <color indexed="81"/>
            <rFont val="Tahoma"/>
            <family val="2"/>
          </rPr>
          <t xml:space="preserve">
Reported as:
Other, net (Investing activities)</t>
        </r>
      </text>
    </comment>
    <comment ref="H537" authorId="1">
      <text>
        <r>
          <rPr>
            <b/>
            <sz val="8"/>
            <color indexed="81"/>
            <rFont val="Tahoma"/>
            <family val="2"/>
          </rPr>
          <t>Evalueserve:</t>
        </r>
        <r>
          <rPr>
            <sz val="8"/>
            <color indexed="81"/>
            <rFont val="Tahoma"/>
            <family val="2"/>
          </rPr>
          <t xml:space="preserve">
Reported as:
Other, net (Investing activities)</t>
        </r>
      </text>
    </comment>
    <comment ref="I537" authorId="1">
      <text>
        <r>
          <rPr>
            <b/>
            <sz val="8"/>
            <color indexed="81"/>
            <rFont val="Tahoma"/>
            <family val="2"/>
          </rPr>
          <t>Evalueserve:</t>
        </r>
        <r>
          <rPr>
            <sz val="8"/>
            <color indexed="81"/>
            <rFont val="Tahoma"/>
            <family val="2"/>
          </rPr>
          <t xml:space="preserve">
Reported as:
Other, net (Investing activities)</t>
        </r>
      </text>
    </comment>
    <comment ref="J537" authorId="1">
      <text>
        <r>
          <rPr>
            <b/>
            <sz val="8"/>
            <color indexed="81"/>
            <rFont val="Tahoma"/>
            <family val="2"/>
          </rPr>
          <t>Evalueserve:</t>
        </r>
        <r>
          <rPr>
            <sz val="8"/>
            <color indexed="81"/>
            <rFont val="Tahoma"/>
            <family val="2"/>
          </rPr>
          <t xml:space="preserve">
Reported as:
Other, net (Investing activities)</t>
        </r>
      </text>
    </comment>
    <comment ref="K537" authorId="1">
      <text>
        <r>
          <rPr>
            <b/>
            <sz val="8"/>
            <color indexed="81"/>
            <rFont val="Tahoma"/>
            <family val="2"/>
          </rPr>
          <t>Evalueserve:</t>
        </r>
        <r>
          <rPr>
            <sz val="8"/>
            <color indexed="81"/>
            <rFont val="Tahoma"/>
            <family val="2"/>
          </rPr>
          <t xml:space="preserve">
Reported as:
Other, net (Investing activities)</t>
        </r>
      </text>
    </comment>
    <comment ref="L537" authorId="1">
      <text>
        <r>
          <rPr>
            <b/>
            <sz val="8"/>
            <color indexed="81"/>
            <rFont val="Tahoma"/>
            <family val="2"/>
          </rPr>
          <t>Evalueserve:</t>
        </r>
        <r>
          <rPr>
            <sz val="8"/>
            <color indexed="81"/>
            <rFont val="Tahoma"/>
            <family val="2"/>
          </rPr>
          <t xml:space="preserve">
Reported as:
Other, net (Investing activities)</t>
        </r>
      </text>
    </comment>
    <comment ref="M537" authorId="1">
      <text>
        <r>
          <rPr>
            <b/>
            <sz val="8"/>
            <color indexed="81"/>
            <rFont val="Tahoma"/>
            <family val="2"/>
          </rPr>
          <t>Evalueserve:</t>
        </r>
        <r>
          <rPr>
            <sz val="8"/>
            <color indexed="81"/>
            <rFont val="Tahoma"/>
            <family val="2"/>
          </rPr>
          <t xml:space="preserve">
Reported as:
Other, net (Investing activities)</t>
        </r>
      </text>
    </comment>
    <comment ref="N537" authorId="1">
      <text>
        <r>
          <rPr>
            <b/>
            <sz val="8"/>
            <color indexed="81"/>
            <rFont val="Tahoma"/>
            <family val="2"/>
          </rPr>
          <t>Evalueserve:</t>
        </r>
        <r>
          <rPr>
            <sz val="8"/>
            <color indexed="81"/>
            <rFont val="Tahoma"/>
            <family val="2"/>
          </rPr>
          <t xml:space="preserve">
Reported as:
Other, net (Investing activities)</t>
        </r>
      </text>
    </comment>
    <comment ref="G538" authorId="1">
      <text>
        <r>
          <rPr>
            <b/>
            <sz val="8"/>
            <color indexed="81"/>
            <rFont val="Tahoma"/>
            <family val="2"/>
          </rPr>
          <t>Evalueserve:</t>
        </r>
        <r>
          <rPr>
            <sz val="8"/>
            <color indexed="81"/>
            <rFont val="Tahoma"/>
            <family val="2"/>
          </rPr>
          <t xml:space="preserve">
Calculated as:
- Net Loss from operations (Discontinued operations)
- Cash from discontinued operations
+ Long term debt issued by discontinued operations
</t>
        </r>
      </text>
    </comment>
    <comment ref="H538" authorId="1">
      <text>
        <r>
          <rPr>
            <b/>
            <sz val="8"/>
            <color indexed="81"/>
            <rFont val="Tahoma"/>
            <family val="2"/>
          </rPr>
          <t>Evalueserve:</t>
        </r>
        <r>
          <rPr>
            <sz val="8"/>
            <color indexed="81"/>
            <rFont val="Tahoma"/>
            <family val="2"/>
          </rPr>
          <t xml:space="preserve">
Calculated as:
+ Net Loss from operations (Discontinued operations)
- Net gain/loss on dispositions (Discontinued operations)
- Cash from discontinued operations</t>
        </r>
      </text>
    </comment>
    <comment ref="I538" authorId="1">
      <text>
        <r>
          <rPr>
            <b/>
            <sz val="8"/>
            <color indexed="81"/>
            <rFont val="Tahoma"/>
            <family val="2"/>
          </rPr>
          <t>Evalueserve:</t>
        </r>
        <r>
          <rPr>
            <sz val="8"/>
            <color indexed="81"/>
            <rFont val="Tahoma"/>
            <family val="2"/>
          </rPr>
          <t xml:space="preserve">
Calculated as:
+ Net Income of discontinued operations
- Cash from discontinued operations</t>
        </r>
      </text>
    </comment>
    <comment ref="J538" authorId="1">
      <text>
        <r>
          <rPr>
            <b/>
            <sz val="8"/>
            <color indexed="81"/>
            <rFont val="Tahoma"/>
            <family val="2"/>
          </rPr>
          <t>Evalueserve:</t>
        </r>
        <r>
          <rPr>
            <sz val="8"/>
            <color indexed="81"/>
            <rFont val="Tahoma"/>
            <family val="2"/>
          </rPr>
          <t xml:space="preserve">
Calculated as:
- Net Income of discontinued operations
+ Cash from discontinued operations</t>
        </r>
      </text>
    </comment>
    <comment ref="L538" authorId="1">
      <text>
        <r>
          <rPr>
            <b/>
            <sz val="8"/>
            <color indexed="81"/>
            <rFont val="Tahoma"/>
            <family val="2"/>
          </rPr>
          <t>Evalueserve:</t>
        </r>
        <r>
          <rPr>
            <sz val="8"/>
            <color indexed="81"/>
            <rFont val="Tahoma"/>
            <family val="2"/>
          </rPr>
          <t xml:space="preserve">
Calculated as:
- Net Income of discontinued operations
+ Cash from discontinued operations</t>
        </r>
      </text>
    </comment>
    <comment ref="M538" authorId="1">
      <text>
        <r>
          <rPr>
            <b/>
            <sz val="8"/>
            <color indexed="81"/>
            <rFont val="Tahoma"/>
            <family val="2"/>
          </rPr>
          <t>Evalueserve:</t>
        </r>
        <r>
          <rPr>
            <sz val="8"/>
            <color indexed="81"/>
            <rFont val="Tahoma"/>
            <family val="2"/>
          </rPr>
          <t xml:space="preserve">
Calculated as:
- Net Income of discontinued operations
+ Cash from discontinued operations
+Gain on asset dispositions and impairments (primarily related to impairments of 18 non-core hotels that were held for sale)
Source: Page 86, Form 10k, 2004</t>
        </r>
      </text>
    </comment>
    <comment ref="N538" authorId="1">
      <text>
        <r>
          <rPr>
            <b/>
            <sz val="8"/>
            <color indexed="81"/>
            <rFont val="Tahoma"/>
            <family val="2"/>
          </rPr>
          <t>Evalueserve:</t>
        </r>
        <r>
          <rPr>
            <sz val="8"/>
            <color indexed="81"/>
            <rFont val="Tahoma"/>
            <family val="2"/>
          </rPr>
          <t xml:space="preserve">
Calculated as:
- Net Income of discontinued operations
+ Cash from discontinued operations</t>
        </r>
      </text>
    </comment>
    <comment ref="H543" authorId="1">
      <text>
        <r>
          <rPr>
            <b/>
            <sz val="8"/>
            <color indexed="81"/>
            <rFont val="Tahoma"/>
            <family val="2"/>
          </rPr>
          <t>Evalueserve:</t>
        </r>
        <r>
          <rPr>
            <sz val="8"/>
            <color indexed="81"/>
            <rFont val="Tahoma"/>
            <family val="2"/>
          </rPr>
          <t xml:space="preserve">
Calculated as:
Total dividend 
-Preferred dividend</t>
        </r>
      </text>
    </comment>
    <comment ref="I543" authorId="1">
      <text>
        <r>
          <rPr>
            <b/>
            <sz val="8"/>
            <color indexed="81"/>
            <rFont val="Tahoma"/>
            <family val="2"/>
          </rPr>
          <t>Evalueserve:</t>
        </r>
        <r>
          <rPr>
            <sz val="8"/>
            <color indexed="81"/>
            <rFont val="Tahoma"/>
            <family val="2"/>
          </rPr>
          <t xml:space="preserve">
Calculated as:
Total dividend 
-Preferred dividend</t>
        </r>
      </text>
    </comment>
    <comment ref="G545" authorId="2">
      <text>
        <r>
          <rPr>
            <b/>
            <sz val="8"/>
            <color indexed="81"/>
            <rFont val="Tahoma"/>
            <family val="2"/>
          </rPr>
          <t>urbank:</t>
        </r>
        <r>
          <rPr>
            <sz val="8"/>
            <color indexed="81"/>
            <rFont val="Tahoma"/>
            <family val="2"/>
          </rPr>
          <t xml:space="preserve">
KU hardcoded value for data quality screen</t>
        </r>
      </text>
    </comment>
    <comment ref="G547" authorId="1">
      <text>
        <r>
          <rPr>
            <b/>
            <sz val="8"/>
            <color indexed="81"/>
            <rFont val="Tahoma"/>
            <family val="2"/>
          </rPr>
          <t>Evalueserve:</t>
        </r>
        <r>
          <rPr>
            <sz val="8"/>
            <color indexed="81"/>
            <rFont val="Tahoma"/>
            <family val="2"/>
          </rPr>
          <t xml:space="preserve">
Reported as:
Stock option transactions</t>
        </r>
      </text>
    </comment>
    <comment ref="H547" authorId="1">
      <text>
        <r>
          <rPr>
            <b/>
            <sz val="8"/>
            <color indexed="81"/>
            <rFont val="Tahoma"/>
            <family val="2"/>
          </rPr>
          <t>Evalueserve:</t>
        </r>
        <r>
          <rPr>
            <sz val="8"/>
            <color indexed="81"/>
            <rFont val="Tahoma"/>
            <family val="2"/>
          </rPr>
          <t xml:space="preserve">
Calculated as:
+ Stock option and restricted stock award transactions (Additional paid in capital)
- Stock option and restricted stock award transactions (Deferred Compensation)
</t>
        </r>
      </text>
    </comment>
    <comment ref="I547" authorId="1">
      <text>
        <r>
          <rPr>
            <b/>
            <sz val="8"/>
            <color indexed="81"/>
            <rFont val="Tahoma"/>
            <family val="2"/>
          </rPr>
          <t>Evalueserve:</t>
        </r>
        <r>
          <rPr>
            <sz val="8"/>
            <color indexed="81"/>
            <rFont val="Tahoma"/>
            <family val="2"/>
          </rPr>
          <t xml:space="preserve">
Calculated as:
- Stock option and restricted stock award transactions (Additional paid in capital)
- Stock option and restricted stock award transactions (Deferred Compensation)</t>
        </r>
      </text>
    </comment>
    <comment ref="J547" authorId="1">
      <text>
        <r>
          <rPr>
            <b/>
            <sz val="8"/>
            <color indexed="81"/>
            <rFont val="Tahoma"/>
            <family val="2"/>
          </rPr>
          <t>Evalueserve:</t>
        </r>
        <r>
          <rPr>
            <sz val="8"/>
            <color indexed="81"/>
            <rFont val="Tahoma"/>
            <family val="2"/>
          </rPr>
          <t xml:space="preserve">
Calculated as:
+ Stock option and restricted stock award transactions (Additional paid in capital)
+ Stock option and restricted stock award transactions (Deferred Compensation)
</t>
        </r>
      </text>
    </comment>
    <comment ref="K547" authorId="1">
      <text>
        <r>
          <rPr>
            <b/>
            <sz val="8"/>
            <color indexed="81"/>
            <rFont val="Tahoma"/>
            <family val="2"/>
          </rPr>
          <t>Evalueserve:</t>
        </r>
        <r>
          <rPr>
            <sz val="8"/>
            <color indexed="81"/>
            <rFont val="Tahoma"/>
            <family val="2"/>
          </rPr>
          <t xml:space="preserve">
Calculated as:
+ Stock option and restricted stock award transactions (Additional paid in capital)
- Stock option and restricted stock award transactions (Deferred Compensation)</t>
        </r>
      </text>
    </comment>
    <comment ref="L547" authorId="1">
      <text>
        <r>
          <rPr>
            <b/>
            <sz val="8"/>
            <color indexed="81"/>
            <rFont val="Tahoma"/>
            <family val="2"/>
          </rPr>
          <t>Evalueserve:</t>
        </r>
        <r>
          <rPr>
            <sz val="8"/>
            <color indexed="81"/>
            <rFont val="Tahoma"/>
            <family val="2"/>
          </rPr>
          <t xml:space="preserve">
Calculated as:
+ ESPP stock issuances
- Tax benefit on exercise of stock option
+ Stock option and restricted stock award transactions (Additional paid in capital)
+ Stock option and restricted stock award transactions (Deferred Compensation)</t>
        </r>
      </text>
    </comment>
    <comment ref="M547" authorId="1">
      <text>
        <r>
          <rPr>
            <b/>
            <sz val="8"/>
            <color indexed="81"/>
            <rFont val="Tahoma"/>
            <family val="2"/>
          </rPr>
          <t>Evalueserve:</t>
        </r>
        <r>
          <rPr>
            <sz val="8"/>
            <color indexed="81"/>
            <rFont val="Tahoma"/>
            <family val="2"/>
          </rPr>
          <t xml:space="preserve">
Calculated as:
+ ESPP stock issuances
- Tax benefit on exercise of stock option
+ Stock option and restricted stock award transactions (Additional paid in capital)
+ Stock option and restricted stock award transactions (Deferred Compensation)</t>
        </r>
      </text>
    </comment>
    <comment ref="N547" authorId="1">
      <text>
        <r>
          <rPr>
            <b/>
            <sz val="8"/>
            <color indexed="81"/>
            <rFont val="Tahoma"/>
            <family val="2"/>
          </rPr>
          <t>Evalueserve:</t>
        </r>
        <r>
          <rPr>
            <sz val="8"/>
            <color indexed="81"/>
            <rFont val="Tahoma"/>
            <family val="2"/>
          </rPr>
          <t xml:space="preserve">
Calculated as:
+ ESPP stock issuances
- Tax benefit on exercise of stock option
+ Stock option and restricted stock award transactions (Additional paid in capital)
+ Stock option and restricted stock award transactions (Deferred Compensation)</t>
        </r>
      </text>
    </comment>
    <comment ref="G548" authorId="1">
      <text>
        <r>
          <rPr>
            <b/>
            <sz val="8"/>
            <color indexed="81"/>
            <rFont val="Tahoma"/>
            <family val="2"/>
          </rPr>
          <t>Evalueserve:</t>
        </r>
        <r>
          <rPr>
            <sz val="8"/>
            <color indexed="81"/>
            <rFont val="Tahoma"/>
            <family val="2"/>
          </rPr>
          <t xml:space="preserve">
Data not available.</t>
        </r>
      </text>
    </comment>
    <comment ref="H548" authorId="1">
      <text>
        <r>
          <rPr>
            <b/>
            <sz val="8"/>
            <color indexed="81"/>
            <rFont val="Tahoma"/>
            <family val="2"/>
          </rPr>
          <t>Evalueserve:</t>
        </r>
        <r>
          <rPr>
            <sz val="8"/>
            <color indexed="81"/>
            <rFont val="Tahoma"/>
            <family val="2"/>
          </rPr>
          <t xml:space="preserve">
Calculated as:
+ ITT reverse purchase(APIC)
+ Conversion and cancellation of Class A EPS and Class B EPS
+ ITT reverse purchase(Shares)</t>
        </r>
      </text>
    </comment>
    <comment ref="I548" authorId="1">
      <text>
        <r>
          <rPr>
            <b/>
            <sz val="8"/>
            <color indexed="81"/>
            <rFont val="Tahoma"/>
            <family val="2"/>
          </rPr>
          <t>Evalueserve:</t>
        </r>
        <r>
          <rPr>
            <sz val="8"/>
            <color indexed="81"/>
            <rFont val="Tahoma"/>
            <family val="2"/>
          </rPr>
          <t xml:space="preserve">
Calculated as: 
+Conversion and cancellation of Class A EPS and Class B EPS
+SVO Acquisition</t>
        </r>
      </text>
    </comment>
    <comment ref="J548" authorId="1">
      <text>
        <r>
          <rPr>
            <b/>
            <sz val="8"/>
            <color indexed="81"/>
            <rFont val="Tahoma"/>
            <family val="2"/>
          </rPr>
          <t>Evalueserve:</t>
        </r>
        <r>
          <rPr>
            <sz val="8"/>
            <color indexed="81"/>
            <rFont val="Tahoma"/>
            <family val="2"/>
          </rPr>
          <t xml:space="preserve">
Reported as:
Conversion and cancellation of Class A EPS and Class B EPS</t>
        </r>
      </text>
    </comment>
    <comment ref="K548" authorId="1">
      <text>
        <r>
          <rPr>
            <b/>
            <sz val="8"/>
            <color indexed="81"/>
            <rFont val="Tahoma"/>
            <family val="2"/>
          </rPr>
          <t>Evalueserve:</t>
        </r>
        <r>
          <rPr>
            <sz val="8"/>
            <color indexed="81"/>
            <rFont val="Tahoma"/>
            <family val="2"/>
          </rPr>
          <t xml:space="preserve">
Reported as:
Conversion and cancellation of Class A EPS and Class B EPS</t>
        </r>
      </text>
    </comment>
    <comment ref="L548" authorId="1">
      <text>
        <r>
          <rPr>
            <b/>
            <sz val="8"/>
            <color indexed="81"/>
            <rFont val="Tahoma"/>
            <family val="2"/>
          </rPr>
          <t>Evalueserve:</t>
        </r>
        <r>
          <rPr>
            <sz val="8"/>
            <color indexed="81"/>
            <rFont val="Tahoma"/>
            <family val="2"/>
          </rPr>
          <t xml:space="preserve">
Reported as:
Conversion and cancellation of Class A EPS and Class B EPS</t>
        </r>
      </text>
    </comment>
    <comment ref="M548" authorId="1">
      <text>
        <r>
          <rPr>
            <b/>
            <sz val="8"/>
            <color indexed="81"/>
            <rFont val="Tahoma"/>
            <family val="2"/>
          </rPr>
          <t>Evalueserve:</t>
        </r>
        <r>
          <rPr>
            <sz val="8"/>
            <color indexed="81"/>
            <rFont val="Tahoma"/>
            <family val="2"/>
          </rPr>
          <t xml:space="preserve">
Data not available.</t>
        </r>
      </text>
    </comment>
    <comment ref="N548" authorId="1">
      <text>
        <r>
          <rPr>
            <b/>
            <sz val="8"/>
            <color indexed="81"/>
            <rFont val="Tahoma"/>
            <family val="2"/>
          </rPr>
          <t>Evalueserve:</t>
        </r>
        <r>
          <rPr>
            <sz val="8"/>
            <color indexed="81"/>
            <rFont val="Tahoma"/>
            <family val="2"/>
          </rPr>
          <t xml:space="preserve">
Reported as:
Conversion and cancellation of Class A EPS and Class B EPS</t>
        </r>
      </text>
    </comment>
    <comment ref="G550" authorId="1">
      <text>
        <r>
          <rPr>
            <b/>
            <sz val="8"/>
            <color indexed="81"/>
            <rFont val="Tahoma"/>
            <family val="2"/>
          </rPr>
          <t>Evalueserve:</t>
        </r>
        <r>
          <rPr>
            <sz val="8"/>
            <color indexed="81"/>
            <rFont val="Tahoma"/>
            <family val="2"/>
          </rPr>
          <t xml:space="preserve">
Data not available.</t>
        </r>
      </text>
    </comment>
    <comment ref="H550" authorId="1">
      <text>
        <r>
          <rPr>
            <b/>
            <sz val="8"/>
            <color indexed="81"/>
            <rFont val="Tahoma"/>
            <family val="2"/>
          </rPr>
          <t>Evalueserve:</t>
        </r>
        <r>
          <rPr>
            <sz val="8"/>
            <color indexed="81"/>
            <rFont val="Tahoma"/>
            <family val="2"/>
          </rPr>
          <t xml:space="preserve">
Data not available.</t>
        </r>
      </text>
    </comment>
    <comment ref="I550" authorId="1">
      <text>
        <r>
          <rPr>
            <b/>
            <sz val="8"/>
            <color indexed="81"/>
            <rFont val="Tahoma"/>
            <family val="2"/>
          </rPr>
          <t>Evalueserve:</t>
        </r>
        <r>
          <rPr>
            <sz val="8"/>
            <color indexed="81"/>
            <rFont val="Tahoma"/>
            <family val="2"/>
          </rPr>
          <t xml:space="preserve">
Data not available.</t>
        </r>
      </text>
    </comment>
    <comment ref="J550" authorId="1">
      <text>
        <r>
          <rPr>
            <b/>
            <sz val="8"/>
            <color indexed="81"/>
            <rFont val="Tahoma"/>
            <family val="2"/>
          </rPr>
          <t>Evalueserve:</t>
        </r>
        <r>
          <rPr>
            <sz val="8"/>
            <color indexed="81"/>
            <rFont val="Tahoma"/>
            <family val="2"/>
          </rPr>
          <t xml:space="preserve">
Data not available.</t>
        </r>
      </text>
    </comment>
    <comment ref="K550" authorId="1">
      <text>
        <r>
          <rPr>
            <b/>
            <sz val="8"/>
            <color indexed="81"/>
            <rFont val="Tahoma"/>
            <family val="2"/>
          </rPr>
          <t>Evalueserve:</t>
        </r>
        <r>
          <rPr>
            <sz val="8"/>
            <color indexed="81"/>
            <rFont val="Tahoma"/>
            <family val="2"/>
          </rPr>
          <t xml:space="preserve">
Data not available.</t>
        </r>
      </text>
    </comment>
    <comment ref="L550" authorId="1">
      <text>
        <r>
          <rPr>
            <b/>
            <sz val="8"/>
            <color indexed="81"/>
            <rFont val="Tahoma"/>
            <family val="2"/>
          </rPr>
          <t>Evalueserve:</t>
        </r>
        <r>
          <rPr>
            <sz val="8"/>
            <color indexed="81"/>
            <rFont val="Tahoma"/>
            <family val="2"/>
          </rPr>
          <t xml:space="preserve">
Source:
Page 70, Form 10K 2004</t>
        </r>
      </text>
    </comment>
    <comment ref="M550" authorId="1">
      <text>
        <r>
          <rPr>
            <b/>
            <sz val="8"/>
            <color indexed="81"/>
            <rFont val="Tahoma"/>
            <family val="2"/>
          </rPr>
          <t>Evalueserve:</t>
        </r>
        <r>
          <rPr>
            <sz val="8"/>
            <color indexed="81"/>
            <rFont val="Tahoma"/>
            <family val="2"/>
          </rPr>
          <t xml:space="preserve">
Source:
Page 70, Form 10K 2004</t>
        </r>
      </text>
    </comment>
    <comment ref="N550" authorId="1">
      <text>
        <r>
          <rPr>
            <b/>
            <sz val="8"/>
            <color indexed="81"/>
            <rFont val="Tahoma"/>
            <family val="2"/>
          </rPr>
          <t>Evalueserve:</t>
        </r>
        <r>
          <rPr>
            <sz val="8"/>
            <color indexed="81"/>
            <rFont val="Tahoma"/>
            <family val="2"/>
          </rPr>
          <t xml:space="preserve">
Source:
Page 70, Form 10K 2004</t>
        </r>
      </text>
    </comment>
    <comment ref="G551" authorId="1">
      <text>
        <r>
          <rPr>
            <b/>
            <sz val="8"/>
            <color indexed="81"/>
            <rFont val="Tahoma"/>
            <family val="2"/>
          </rPr>
          <t>Evalueserve:</t>
        </r>
        <r>
          <rPr>
            <sz val="8"/>
            <color indexed="81"/>
            <rFont val="Tahoma"/>
            <family val="2"/>
          </rPr>
          <t xml:space="preserve">
Data not available.</t>
        </r>
      </text>
    </comment>
    <comment ref="H551" authorId="1">
      <text>
        <r>
          <rPr>
            <b/>
            <sz val="8"/>
            <color indexed="81"/>
            <rFont val="Tahoma"/>
            <family val="2"/>
          </rPr>
          <t>Evalueserve:</t>
        </r>
        <r>
          <rPr>
            <sz val="8"/>
            <color indexed="81"/>
            <rFont val="Tahoma"/>
            <family val="2"/>
          </rPr>
          <t xml:space="preserve">
Calculated as:
- Cash dividend to ITT stockholders (Additional paid in capital)
- Issuance of equity put options
+ Change in minority interest
</t>
        </r>
      </text>
    </comment>
    <comment ref="I551" authorId="1">
      <text>
        <r>
          <rPr>
            <b/>
            <sz val="8"/>
            <color indexed="81"/>
            <rFont val="Tahoma"/>
            <family val="2"/>
          </rPr>
          <t>Evalueserve:</t>
        </r>
        <r>
          <rPr>
            <sz val="8"/>
            <color indexed="81"/>
            <rFont val="Tahoma"/>
            <family val="2"/>
          </rPr>
          <t xml:space="preserve">
Calculated as:
- Issuance of equity put options
+ Settlement of equity put options
</t>
        </r>
      </text>
    </comment>
    <comment ref="J551" authorId="1">
      <text>
        <r>
          <rPr>
            <b/>
            <sz val="8"/>
            <color indexed="81"/>
            <rFont val="Tahoma"/>
            <family val="2"/>
          </rPr>
          <t>Evalueserve:</t>
        </r>
        <r>
          <rPr>
            <sz val="8"/>
            <color indexed="81"/>
            <rFont val="Tahoma"/>
            <family val="2"/>
          </rPr>
          <t xml:space="preserve">
Reported as:
Settlement of equity put options</t>
        </r>
      </text>
    </comment>
    <comment ref="K551" authorId="1">
      <text>
        <r>
          <rPr>
            <b/>
            <sz val="8"/>
            <color indexed="81"/>
            <rFont val="Tahoma"/>
            <family val="2"/>
          </rPr>
          <t>Evalueserve:</t>
        </r>
        <r>
          <rPr>
            <sz val="8"/>
            <color indexed="81"/>
            <rFont val="Tahoma"/>
            <family val="2"/>
          </rPr>
          <t xml:space="preserve">
Data not available.</t>
        </r>
      </text>
    </comment>
    <comment ref="L551" authorId="1">
      <text>
        <r>
          <rPr>
            <b/>
            <sz val="8"/>
            <color indexed="81"/>
            <rFont val="Tahoma"/>
            <family val="2"/>
          </rPr>
          <t>Evalueserve:</t>
        </r>
        <r>
          <rPr>
            <sz val="8"/>
            <color indexed="81"/>
            <rFont val="Tahoma"/>
            <family val="2"/>
          </rPr>
          <t xml:space="preserve">
Data not available </t>
        </r>
      </text>
    </comment>
    <comment ref="M551" authorId="1">
      <text>
        <r>
          <rPr>
            <b/>
            <sz val="8"/>
            <color indexed="81"/>
            <rFont val="Tahoma"/>
            <family val="2"/>
          </rPr>
          <t>Evalueserve:</t>
        </r>
        <r>
          <rPr>
            <sz val="8"/>
            <color indexed="81"/>
            <rFont val="Tahoma"/>
            <family val="2"/>
          </rPr>
          <t xml:space="preserve">
Data not available.</t>
        </r>
      </text>
    </comment>
    <comment ref="N551" authorId="1">
      <text>
        <r>
          <rPr>
            <b/>
            <sz val="8"/>
            <color indexed="81"/>
            <rFont val="Tahoma"/>
            <family val="2"/>
          </rPr>
          <t>Evalueserve:</t>
        </r>
        <r>
          <rPr>
            <sz val="8"/>
            <color indexed="81"/>
            <rFont val="Tahoma"/>
            <family val="2"/>
          </rPr>
          <t xml:space="preserve">
Data not available </t>
        </r>
      </text>
    </comment>
    <comment ref="G552" authorId="1">
      <text>
        <r>
          <rPr>
            <b/>
            <sz val="8"/>
            <color indexed="81"/>
            <rFont val="Tahoma"/>
            <family val="2"/>
          </rPr>
          <t>Evalueserve:</t>
        </r>
        <r>
          <rPr>
            <sz val="8"/>
            <color indexed="81"/>
            <rFont val="Tahoma"/>
            <family val="2"/>
          </rPr>
          <t xml:space="preserve">
Data not available.</t>
        </r>
      </text>
    </comment>
    <comment ref="L552" authorId="1">
      <text>
        <r>
          <rPr>
            <b/>
            <sz val="8"/>
            <color indexed="81"/>
            <rFont val="Tahoma"/>
            <family val="2"/>
          </rPr>
          <t>Evalueserve:</t>
        </r>
        <r>
          <rPr>
            <sz val="8"/>
            <color indexed="81"/>
            <rFont val="Tahoma"/>
            <family val="2"/>
          </rPr>
          <t xml:space="preserve">
Data not available </t>
        </r>
      </text>
    </comment>
    <comment ref="K558" authorId="1">
      <text>
        <r>
          <rPr>
            <b/>
            <sz val="8"/>
            <color indexed="81"/>
            <rFont val="Tahoma"/>
            <family val="2"/>
          </rPr>
          <t>Evalueserve:</t>
        </r>
        <r>
          <rPr>
            <sz val="8"/>
            <color indexed="81"/>
            <rFont val="Tahoma"/>
            <family val="2"/>
          </rPr>
          <t xml:space="preserve">
Calculated as:
+ Unrealized gain on securities
- Unrealized gain on derivative instruments</t>
        </r>
      </text>
    </comment>
    <comment ref="L558" authorId="1">
      <text>
        <r>
          <rPr>
            <b/>
            <sz val="8"/>
            <color indexed="81"/>
            <rFont val="Tahoma"/>
            <family val="2"/>
          </rPr>
          <t>Evalueserve:</t>
        </r>
        <r>
          <rPr>
            <sz val="8"/>
            <color indexed="81"/>
            <rFont val="Tahoma"/>
            <family val="2"/>
          </rPr>
          <t xml:space="preserve">
Calculated as:
+ Unrealized gain on securities
+ Unrealized gain on derivative instruments
</t>
        </r>
      </text>
    </comment>
    <comment ref="M558" authorId="1">
      <text>
        <r>
          <rPr>
            <b/>
            <sz val="8"/>
            <color indexed="81"/>
            <rFont val="Tahoma"/>
            <family val="2"/>
          </rPr>
          <t>Evalueserve:</t>
        </r>
        <r>
          <rPr>
            <sz val="8"/>
            <color indexed="81"/>
            <rFont val="Tahoma"/>
            <family val="2"/>
          </rPr>
          <t xml:space="preserve">
Calculated as:
+ Unrealized gain on securities
- Unrealized loss on derivative instruments</t>
        </r>
      </text>
    </comment>
    <comment ref="G560" authorId="1">
      <text>
        <r>
          <rPr>
            <b/>
            <sz val="8"/>
            <color indexed="81"/>
            <rFont val="Tahoma"/>
            <family val="2"/>
          </rPr>
          <t>Evalueserve:</t>
        </r>
        <r>
          <rPr>
            <sz val="8"/>
            <color indexed="81"/>
            <rFont val="Tahoma"/>
            <family val="2"/>
          </rPr>
          <t xml:space="preserve">
Data not available.</t>
        </r>
      </text>
    </comment>
    <comment ref="H560" authorId="1">
      <text>
        <r>
          <rPr>
            <b/>
            <sz val="8"/>
            <color indexed="81"/>
            <rFont val="Tahoma"/>
            <family val="2"/>
          </rPr>
          <t>Evalueserve:</t>
        </r>
        <r>
          <rPr>
            <sz val="8"/>
            <color indexed="81"/>
            <rFont val="Tahoma"/>
            <family val="2"/>
          </rPr>
          <t xml:space="preserve">
Data not available.</t>
        </r>
      </text>
    </comment>
    <comment ref="I560" authorId="1">
      <text>
        <r>
          <rPr>
            <b/>
            <sz val="8"/>
            <color indexed="81"/>
            <rFont val="Tahoma"/>
            <family val="2"/>
          </rPr>
          <t>Evalueserve:</t>
        </r>
        <r>
          <rPr>
            <sz val="8"/>
            <color indexed="81"/>
            <rFont val="Tahoma"/>
            <family val="2"/>
          </rPr>
          <t xml:space="preserve">
Data not available.</t>
        </r>
      </text>
    </comment>
    <comment ref="J560" authorId="1">
      <text>
        <r>
          <rPr>
            <b/>
            <sz val="8"/>
            <color indexed="81"/>
            <rFont val="Tahoma"/>
            <family val="2"/>
          </rPr>
          <t>Evalueserve:</t>
        </r>
        <r>
          <rPr>
            <sz val="8"/>
            <color indexed="81"/>
            <rFont val="Tahoma"/>
            <family val="2"/>
          </rPr>
          <t xml:space="preserve">
Data not available.</t>
        </r>
      </text>
    </comment>
    <comment ref="G562" authorId="1">
      <text>
        <r>
          <rPr>
            <b/>
            <sz val="8"/>
            <color indexed="81"/>
            <rFont val="Tahoma"/>
            <family val="2"/>
          </rPr>
          <t>Evalueserve:</t>
        </r>
        <r>
          <rPr>
            <sz val="8"/>
            <color indexed="81"/>
            <rFont val="Tahoma"/>
            <family val="2"/>
          </rPr>
          <t xml:space="preserve">
Data not available </t>
        </r>
      </text>
    </comment>
    <comment ref="H562" authorId="1">
      <text>
        <r>
          <rPr>
            <b/>
            <sz val="8"/>
            <color indexed="81"/>
            <rFont val="Tahoma"/>
            <family val="2"/>
          </rPr>
          <t>Evalueserve:</t>
        </r>
        <r>
          <rPr>
            <sz val="8"/>
            <color indexed="81"/>
            <rFont val="Tahoma"/>
            <family val="2"/>
          </rPr>
          <t xml:space="preserve">
Reported as: 
Cash dividend to ITT stockholders (Retained earnings)
</t>
        </r>
      </text>
    </comment>
    <comment ref="I562" authorId="1">
      <text>
        <r>
          <rPr>
            <b/>
            <sz val="8"/>
            <color indexed="81"/>
            <rFont val="Tahoma"/>
            <family val="2"/>
          </rPr>
          <t>Evalueserve:</t>
        </r>
        <r>
          <rPr>
            <sz val="8"/>
            <color indexed="81"/>
            <rFont val="Tahoma"/>
            <family val="2"/>
          </rPr>
          <t xml:space="preserve">
Data not available </t>
        </r>
      </text>
    </comment>
    <comment ref="J562" authorId="1">
      <text>
        <r>
          <rPr>
            <b/>
            <sz val="8"/>
            <color indexed="81"/>
            <rFont val="Tahoma"/>
            <family val="2"/>
          </rPr>
          <t>Evalueserve:</t>
        </r>
        <r>
          <rPr>
            <sz val="8"/>
            <color indexed="81"/>
            <rFont val="Tahoma"/>
            <family val="2"/>
          </rPr>
          <t xml:space="preserve">
Data not available </t>
        </r>
      </text>
    </comment>
    <comment ref="K562" authorId="1">
      <text>
        <r>
          <rPr>
            <b/>
            <sz val="8"/>
            <color indexed="81"/>
            <rFont val="Tahoma"/>
            <family val="2"/>
          </rPr>
          <t>Evalueserve:</t>
        </r>
        <r>
          <rPr>
            <sz val="8"/>
            <color indexed="81"/>
            <rFont val="Tahoma"/>
            <family val="2"/>
          </rPr>
          <t xml:space="preserve">
Data not available </t>
        </r>
      </text>
    </comment>
    <comment ref="L562" authorId="1">
      <text>
        <r>
          <rPr>
            <b/>
            <sz val="8"/>
            <color indexed="81"/>
            <rFont val="Tahoma"/>
            <family val="2"/>
          </rPr>
          <t>Evalueserve:</t>
        </r>
        <r>
          <rPr>
            <sz val="8"/>
            <color indexed="81"/>
            <rFont val="Tahoma"/>
            <family val="2"/>
          </rPr>
          <t xml:space="preserve">
Reported as:
Early termination of derivative instruments</t>
        </r>
      </text>
    </comment>
    <comment ref="M562" authorId="1">
      <text>
        <r>
          <rPr>
            <b/>
            <sz val="8"/>
            <color indexed="81"/>
            <rFont val="Tahoma"/>
            <family val="2"/>
          </rPr>
          <t>Evalueserve:</t>
        </r>
        <r>
          <rPr>
            <sz val="8"/>
            <color indexed="81"/>
            <rFont val="Tahoma"/>
            <family val="2"/>
          </rPr>
          <t xml:space="preserve">
Data not available </t>
        </r>
      </text>
    </comment>
    <comment ref="N562" authorId="1">
      <text>
        <r>
          <rPr>
            <b/>
            <sz val="8"/>
            <color indexed="81"/>
            <rFont val="Tahoma"/>
            <family val="2"/>
          </rPr>
          <t>Evalueserve:</t>
        </r>
        <r>
          <rPr>
            <sz val="8"/>
            <color indexed="81"/>
            <rFont val="Tahoma"/>
            <family val="2"/>
          </rPr>
          <t xml:space="preserve">
Data not available </t>
        </r>
      </text>
    </comment>
    <comment ref="G586" authorId="1">
      <text>
        <r>
          <rPr>
            <b/>
            <sz val="8"/>
            <color indexed="81"/>
            <rFont val="Tahoma"/>
            <family val="2"/>
          </rPr>
          <t xml:space="preserve">Evalueserve:
</t>
        </r>
        <r>
          <rPr>
            <sz val="8"/>
            <color indexed="81"/>
            <rFont val="Tahoma"/>
            <family val="2"/>
          </rPr>
          <t xml:space="preserve">Reported as:
Accumulated amortization of goodwill and intangibles 
</t>
        </r>
        <r>
          <rPr>
            <sz val="8"/>
            <color indexed="81"/>
            <rFont val="Tahoma"/>
            <family val="2"/>
          </rPr>
          <t xml:space="preserve">
Source:
Page 96, Form 10K405 1998</t>
        </r>
      </text>
    </comment>
    <comment ref="H586" authorId="1">
      <text>
        <r>
          <rPr>
            <b/>
            <sz val="8"/>
            <color indexed="81"/>
            <rFont val="Tahoma"/>
            <family val="2"/>
          </rPr>
          <t>Evalueserve:</t>
        </r>
        <r>
          <rPr>
            <sz val="8"/>
            <color indexed="81"/>
            <rFont val="Tahoma"/>
            <family val="2"/>
          </rPr>
          <t xml:space="preserve">
Reported as:
Accumulated amortization of goodwill and intangibles 
Source:
Page 65, Form 10K405 1999</t>
        </r>
      </text>
    </comment>
    <comment ref="I586" authorId="1">
      <text>
        <r>
          <rPr>
            <b/>
            <sz val="8"/>
            <color indexed="81"/>
            <rFont val="Tahoma"/>
            <family val="2"/>
          </rPr>
          <t>Evalueserve:</t>
        </r>
        <r>
          <rPr>
            <sz val="8"/>
            <color indexed="81"/>
            <rFont val="Tahoma"/>
            <family val="2"/>
          </rPr>
          <t xml:space="preserve">
Reported as:
Accumulated amortization of goodwill and intangibles 
Source:
Page 63, Form 10K405 2000</t>
        </r>
      </text>
    </comment>
    <comment ref="J586" authorId="1">
      <text>
        <r>
          <rPr>
            <b/>
            <sz val="8"/>
            <color indexed="81"/>
            <rFont val="Tahoma"/>
            <family val="2"/>
          </rPr>
          <t>Evalueserve:</t>
        </r>
        <r>
          <rPr>
            <sz val="8"/>
            <color indexed="81"/>
            <rFont val="Tahoma"/>
            <family val="2"/>
          </rPr>
          <t xml:space="preserve">
Reported as:
Accumulated amortization=$100mn
Source: Page 96, Form 10k,1998</t>
        </r>
      </text>
    </comment>
    <comment ref="K586" authorId="1">
      <text>
        <r>
          <rPr>
            <b/>
            <sz val="8"/>
            <color indexed="81"/>
            <rFont val="Tahoma"/>
            <family val="2"/>
          </rPr>
          <t>Evalueserve:</t>
        </r>
        <r>
          <rPr>
            <sz val="8"/>
            <color indexed="81"/>
            <rFont val="Tahoma"/>
            <family val="2"/>
          </rPr>
          <t xml:space="preserve">
Calculated as:
+ Accumulated amortization on goodwill and other intangible asset as per Form 10K 405 2001
- Accumulated amortization on other intangible asset as per Form 10K 2002
Source:
Page 89, Form 10K 2002
Page 76, Form 10K 405 2001
</t>
        </r>
      </text>
    </comment>
    <comment ref="L586" authorId="1">
      <text>
        <r>
          <rPr>
            <b/>
            <sz val="8"/>
            <color indexed="81"/>
            <rFont val="Tahoma"/>
            <family val="2"/>
          </rPr>
          <t>Evalueserve:</t>
        </r>
        <r>
          <rPr>
            <sz val="8"/>
            <color indexed="81"/>
            <rFont val="Tahoma"/>
            <family val="2"/>
          </rPr>
          <t xml:space="preserve">
Carried forward from the previous year
The company has adopted SFAS no. 142, with effect from Jan 1, 2002. It does not require the company to amortize goodwill.
Source:
Page 83, Form 10K 2003</t>
        </r>
      </text>
    </comment>
    <comment ref="M586" authorId="1">
      <text>
        <r>
          <rPr>
            <b/>
            <sz val="8"/>
            <color indexed="81"/>
            <rFont val="Tahoma"/>
            <family val="2"/>
          </rPr>
          <t>Evalueserve:</t>
        </r>
        <r>
          <rPr>
            <sz val="8"/>
            <color indexed="81"/>
            <rFont val="Tahoma"/>
            <family val="2"/>
          </rPr>
          <t xml:space="preserve">
Carried forward from the previous year
The company has adopted SFAS no. 142, with effect from Jan 1, 2002. It does not require the company to amortize goodwill.
Source:
Page 78, Form 10K 2004</t>
        </r>
      </text>
    </comment>
    <comment ref="N586" authorId="1">
      <text>
        <r>
          <rPr>
            <b/>
            <sz val="8"/>
            <color indexed="81"/>
            <rFont val="Tahoma"/>
            <family val="2"/>
          </rPr>
          <t>Evalueserve:</t>
        </r>
        <r>
          <rPr>
            <sz val="8"/>
            <color indexed="81"/>
            <rFont val="Tahoma"/>
            <family val="2"/>
          </rPr>
          <t xml:space="preserve">
Carried forward from the previous year
The company has adopted SFAS no. 142, with effect from Jan 1, 2002. It does not require the company to amortize goodwill.
Source:
Page 78, Form 10K 2004</t>
        </r>
      </text>
    </comment>
    <comment ref="G644" authorId="1">
      <text>
        <r>
          <rPr>
            <b/>
            <sz val="8"/>
            <color indexed="81"/>
            <rFont val="Tahoma"/>
            <family val="2"/>
          </rPr>
          <t>Evalueserve:</t>
        </r>
        <r>
          <rPr>
            <sz val="8"/>
            <color indexed="81"/>
            <rFont val="Tahoma"/>
            <family val="2"/>
          </rPr>
          <t xml:space="preserve">
Calculated as:
+ Allowance for doubtful accounts and other reserves
+ Employee benefits
+ Transaction costs
Source:
Page 108, Form 10K 405 1998</t>
        </r>
      </text>
    </comment>
    <comment ref="H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 Transaction costs
Source:
Page 75, Form 10K 405 1999</t>
        </r>
      </text>
    </comment>
    <comment ref="I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 Transaction costs
Source:
Page 71, Form 10K 405 2000</t>
        </r>
      </text>
    </comment>
    <comment ref="J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Source:
Page 79, Form 10K 405 2001</t>
        </r>
      </text>
    </comment>
    <comment ref="K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Source:
Page 92, Form 10K 2002</t>
        </r>
      </text>
    </comment>
    <comment ref="L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Source:
Page 93, Form 10K 2003</t>
        </r>
      </text>
    </comment>
    <comment ref="M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Source:
Page 94, Form 10K 2004</t>
        </r>
      </text>
    </comment>
    <comment ref="N644" authorId="1">
      <text>
        <r>
          <rPr>
            <b/>
            <sz val="8"/>
            <color indexed="81"/>
            <rFont val="Tahoma"/>
            <family val="2"/>
          </rPr>
          <t>Evalueserve:</t>
        </r>
        <r>
          <rPr>
            <sz val="8"/>
            <color indexed="81"/>
            <rFont val="Tahoma"/>
            <family val="2"/>
          </rPr>
          <t xml:space="preserve">
Calculated as:
+ Allowance for doubtful accounts and other reserves
+ Employee benefits
+ Net operating loss and tax credit carry forwards
Source:
Page 94, Form 10K 2004</t>
        </r>
      </text>
    </comment>
    <comment ref="G647" authorId="1">
      <text>
        <r>
          <rPr>
            <b/>
            <sz val="8"/>
            <color indexed="81"/>
            <rFont val="Tahoma"/>
            <family val="2"/>
          </rPr>
          <t>Evalueserve:</t>
        </r>
        <r>
          <rPr>
            <sz val="8"/>
            <color indexed="81"/>
            <rFont val="Tahoma"/>
            <family val="2"/>
          </rPr>
          <t xml:space="preserve">
Source:
Page 108, Form 10K 405 1998</t>
        </r>
      </text>
    </comment>
    <comment ref="H647" authorId="1">
      <text>
        <r>
          <rPr>
            <b/>
            <sz val="8"/>
            <color indexed="81"/>
            <rFont val="Tahoma"/>
            <family val="2"/>
          </rPr>
          <t>Evalueserve:</t>
        </r>
        <r>
          <rPr>
            <sz val="8"/>
            <color indexed="81"/>
            <rFont val="Tahoma"/>
            <family val="2"/>
          </rPr>
          <t xml:space="preserve">
Source:
Page 75, Form 10K 405 1999</t>
        </r>
      </text>
    </comment>
    <comment ref="I647" authorId="1">
      <text>
        <r>
          <rPr>
            <b/>
            <sz val="8"/>
            <color indexed="81"/>
            <rFont val="Tahoma"/>
            <family val="2"/>
          </rPr>
          <t>Evalueserve:</t>
        </r>
        <r>
          <rPr>
            <sz val="8"/>
            <color indexed="81"/>
            <rFont val="Tahoma"/>
            <family val="2"/>
          </rPr>
          <t xml:space="preserve">
Source:
Page 71, Form 10K 405 2000</t>
        </r>
      </text>
    </comment>
    <comment ref="J647" authorId="1">
      <text>
        <r>
          <rPr>
            <b/>
            <sz val="8"/>
            <color indexed="81"/>
            <rFont val="Tahoma"/>
            <family val="2"/>
          </rPr>
          <t>Evalueserve:</t>
        </r>
        <r>
          <rPr>
            <sz val="8"/>
            <color indexed="81"/>
            <rFont val="Tahoma"/>
            <family val="2"/>
          </rPr>
          <t xml:space="preserve">
Source:
Page 79, Form 10K 405 2001</t>
        </r>
      </text>
    </comment>
    <comment ref="K647" authorId="1">
      <text>
        <r>
          <rPr>
            <b/>
            <sz val="8"/>
            <color indexed="81"/>
            <rFont val="Tahoma"/>
            <family val="2"/>
          </rPr>
          <t>Evalueserve:</t>
        </r>
        <r>
          <rPr>
            <sz val="8"/>
            <color indexed="81"/>
            <rFont val="Tahoma"/>
            <family val="2"/>
          </rPr>
          <t xml:space="preserve">
Source:
Page 92, Form 10K 2002</t>
        </r>
      </text>
    </comment>
    <comment ref="L647" authorId="1">
      <text>
        <r>
          <rPr>
            <b/>
            <sz val="8"/>
            <color indexed="81"/>
            <rFont val="Tahoma"/>
            <family val="2"/>
          </rPr>
          <t>Evalueserve:</t>
        </r>
        <r>
          <rPr>
            <sz val="8"/>
            <color indexed="81"/>
            <rFont val="Tahoma"/>
            <family val="2"/>
          </rPr>
          <t xml:space="preserve">
Source:
Page 93, Form 10K 2003</t>
        </r>
      </text>
    </comment>
    <comment ref="M647" authorId="1">
      <text>
        <r>
          <rPr>
            <b/>
            <sz val="8"/>
            <color indexed="81"/>
            <rFont val="Tahoma"/>
            <family val="2"/>
          </rPr>
          <t>Evalueserve:</t>
        </r>
        <r>
          <rPr>
            <sz val="8"/>
            <color indexed="81"/>
            <rFont val="Tahoma"/>
            <family val="2"/>
          </rPr>
          <t xml:space="preserve">
Source:
Page 94, Form 10K 2004</t>
        </r>
      </text>
    </comment>
    <comment ref="N647" authorId="1">
      <text>
        <r>
          <rPr>
            <b/>
            <sz val="8"/>
            <color indexed="81"/>
            <rFont val="Tahoma"/>
            <family val="2"/>
          </rPr>
          <t>Evalueserve:</t>
        </r>
        <r>
          <rPr>
            <sz val="8"/>
            <color indexed="81"/>
            <rFont val="Tahoma"/>
            <family val="2"/>
          </rPr>
          <t xml:space="preserve">
Source:
Page 94, Form 10K 2004</t>
        </r>
      </text>
    </comment>
    <comment ref="G648" authorId="1">
      <text>
        <r>
          <rPr>
            <b/>
            <sz val="8"/>
            <color indexed="81"/>
            <rFont val="Tahoma"/>
            <family val="2"/>
          </rPr>
          <t>Evalueserve:</t>
        </r>
        <r>
          <rPr>
            <sz val="8"/>
            <color indexed="81"/>
            <rFont val="Tahoma"/>
            <family val="2"/>
          </rPr>
          <t xml:space="preserve">
Calculated as:
+ Plant, property and equipment (U.S. Federal)
+ Plant, property and equipment (Foreign and Other)
+ Other (U.S. Federal)
+ Other (Foreign and Other)
Source:
Page 108, Form 10K405 1998</t>
        </r>
      </text>
    </comment>
    <comment ref="H648" authorId="1">
      <text>
        <r>
          <rPr>
            <b/>
            <sz val="8"/>
            <color indexed="81"/>
            <rFont val="Tahoma"/>
            <family val="2"/>
          </rPr>
          <t>Evalueserve:</t>
        </r>
        <r>
          <rPr>
            <sz val="8"/>
            <color indexed="81"/>
            <rFont val="Tahoma"/>
            <family val="2"/>
          </rPr>
          <t xml:space="preserve">
Calculated as:
+ Plant, property and equipment
+ Deferred gain 
+ Other
Source:
Page 75, Form 10K405 1999</t>
        </r>
      </text>
    </comment>
    <comment ref="I648" authorId="1">
      <text>
        <r>
          <rPr>
            <b/>
            <sz val="8"/>
            <color indexed="81"/>
            <rFont val="Tahoma"/>
            <family val="2"/>
          </rPr>
          <t>Evalueserve:</t>
        </r>
        <r>
          <rPr>
            <sz val="8"/>
            <color indexed="81"/>
            <rFont val="Tahoma"/>
            <family val="2"/>
          </rPr>
          <t xml:space="preserve">
Calculated as:
+ Plant, property and equipment
+ Intangibles
+ Deferred gain 
+ Deferred income
+ Other
Source:
Page 71, Form 10K405 2000</t>
        </r>
      </text>
    </comment>
    <comment ref="J648" authorId="1">
      <text>
        <r>
          <rPr>
            <b/>
            <sz val="8"/>
            <color indexed="81"/>
            <rFont val="Tahoma"/>
            <family val="2"/>
          </rPr>
          <t>Evalueserve:</t>
        </r>
        <r>
          <rPr>
            <sz val="8"/>
            <color indexed="81"/>
            <rFont val="Tahoma"/>
            <family val="2"/>
          </rPr>
          <t xml:space="preserve">
Calculated as:
+ Plant, property and equipment
+ Intangibles
+ Deferred gain on ITT World directors disposition
+ Deferred income
+ Other
Source:
Page 79, Form 10K405 2001</t>
        </r>
      </text>
    </comment>
    <comment ref="K648" authorId="1">
      <text>
        <r>
          <rPr>
            <b/>
            <sz val="8"/>
            <color indexed="81"/>
            <rFont val="Tahoma"/>
            <family val="2"/>
          </rPr>
          <t>Evalueserve:</t>
        </r>
        <r>
          <rPr>
            <sz val="8"/>
            <color indexed="81"/>
            <rFont val="Tahoma"/>
            <family val="2"/>
          </rPr>
          <t xml:space="preserve">
Calculated as:
+ Plant, property and equipment
+ Intangibles
+ Deferred gain on ITT World directors disposition
+ Deferred income
+ Other
Source:
Page 92, Form 10K 2002</t>
        </r>
      </text>
    </comment>
    <comment ref="L648" authorId="1">
      <text>
        <r>
          <rPr>
            <b/>
            <sz val="8"/>
            <color indexed="81"/>
            <rFont val="Tahoma"/>
            <family val="2"/>
          </rPr>
          <t>Evalueserve:</t>
        </r>
        <r>
          <rPr>
            <sz val="8"/>
            <color indexed="81"/>
            <rFont val="Tahoma"/>
            <family val="2"/>
          </rPr>
          <t xml:space="preserve">
Calculated as:
+ Plant, property and equipment
+ Intangibles
+ Deferred gain on ITT World directors disposition
+ Deferred income
+ Other
Source:
Page 93, Form 10K 2003</t>
        </r>
      </text>
    </comment>
    <comment ref="M648" authorId="1">
      <text>
        <r>
          <rPr>
            <b/>
            <sz val="8"/>
            <color indexed="81"/>
            <rFont val="Tahoma"/>
            <family val="2"/>
          </rPr>
          <t>Evalueserve:</t>
        </r>
        <r>
          <rPr>
            <sz val="8"/>
            <color indexed="81"/>
            <rFont val="Tahoma"/>
            <family val="2"/>
          </rPr>
          <t xml:space="preserve">
Calculated as:
+ Plant, property and equipment
+ Intangibles
+ Deferred gain on ITT World directors disposition
+ Deferred income
+ Other
Source:
Page 94, Form 10K 2004</t>
        </r>
      </text>
    </comment>
    <comment ref="N648" authorId="1">
      <text>
        <r>
          <rPr>
            <b/>
            <sz val="8"/>
            <color indexed="81"/>
            <rFont val="Tahoma"/>
            <family val="2"/>
          </rPr>
          <t>Evalueserve:</t>
        </r>
        <r>
          <rPr>
            <sz val="8"/>
            <color indexed="81"/>
            <rFont val="Tahoma"/>
            <family val="2"/>
          </rPr>
          <t xml:space="preserve">
Calculated as:
+ Plant, property and equipment
+ Intangibles
+ Deferred gain on ITT World directors disposition
+ Deferred income
+ Other
Source:
Page 94, Form 10K 2004</t>
        </r>
      </text>
    </comment>
    <comment ref="G651" authorId="1">
      <text>
        <r>
          <rPr>
            <b/>
            <sz val="8"/>
            <color indexed="81"/>
            <rFont val="Tahoma"/>
            <family val="2"/>
          </rPr>
          <t>Evalueserve:</t>
        </r>
        <r>
          <rPr>
            <sz val="8"/>
            <color indexed="81"/>
            <rFont val="Tahoma"/>
            <family val="2"/>
          </rPr>
          <t xml:space="preserve">
Source:
Page 84, Form 10K405 1998</t>
        </r>
      </text>
    </comment>
    <comment ref="H651" authorId="1">
      <text>
        <r>
          <rPr>
            <b/>
            <sz val="8"/>
            <color indexed="81"/>
            <rFont val="Tahoma"/>
            <family val="2"/>
          </rPr>
          <t>Evalueserve:</t>
        </r>
        <r>
          <rPr>
            <sz val="8"/>
            <color indexed="81"/>
            <rFont val="Tahoma"/>
            <family val="2"/>
          </rPr>
          <t xml:space="preserve">
Source:
Page 58, Form 10K405 1999</t>
        </r>
      </text>
    </comment>
    <comment ref="I651" authorId="1">
      <text>
        <r>
          <rPr>
            <b/>
            <sz val="8"/>
            <color indexed="81"/>
            <rFont val="Tahoma"/>
            <family val="2"/>
          </rPr>
          <t>Evalueserve:</t>
        </r>
        <r>
          <rPr>
            <sz val="8"/>
            <color indexed="81"/>
            <rFont val="Tahoma"/>
            <family val="2"/>
          </rPr>
          <t xml:space="preserve">
Source:
Page 56, Form 10K405 2000</t>
        </r>
      </text>
    </comment>
    <comment ref="J651" authorId="1">
      <text>
        <r>
          <rPr>
            <b/>
            <sz val="8"/>
            <color indexed="81"/>
            <rFont val="Tahoma"/>
            <family val="2"/>
          </rPr>
          <t>Evalueserve:</t>
        </r>
        <r>
          <rPr>
            <sz val="8"/>
            <color indexed="81"/>
            <rFont val="Tahoma"/>
            <family val="2"/>
          </rPr>
          <t xml:space="preserve">
Source:
Page 62, Form 10K405 2001</t>
        </r>
      </text>
    </comment>
    <comment ref="K651" authorId="1">
      <text>
        <r>
          <rPr>
            <b/>
            <sz val="8"/>
            <color indexed="81"/>
            <rFont val="Tahoma"/>
            <family val="2"/>
          </rPr>
          <t>Evalueserve:</t>
        </r>
        <r>
          <rPr>
            <sz val="8"/>
            <color indexed="81"/>
            <rFont val="Tahoma"/>
            <family val="2"/>
          </rPr>
          <t xml:space="preserve">
Source:
Page 71, Form 10K 2002</t>
        </r>
      </text>
    </comment>
    <comment ref="L651" authorId="1">
      <text>
        <r>
          <rPr>
            <b/>
            <sz val="8"/>
            <color indexed="81"/>
            <rFont val="Tahoma"/>
            <family val="2"/>
          </rPr>
          <t>Evalueserve:</t>
        </r>
        <r>
          <rPr>
            <sz val="8"/>
            <color indexed="81"/>
            <rFont val="Tahoma"/>
            <family val="2"/>
          </rPr>
          <t xml:space="preserve">
Source:
Page 70, Form 10K 2003</t>
        </r>
      </text>
    </comment>
    <comment ref="M651" authorId="1">
      <text>
        <r>
          <rPr>
            <b/>
            <sz val="8"/>
            <color indexed="81"/>
            <rFont val="Tahoma"/>
            <family val="2"/>
          </rPr>
          <t>Evalueserve:</t>
        </r>
        <r>
          <rPr>
            <sz val="8"/>
            <color indexed="81"/>
            <rFont val="Tahoma"/>
            <family val="2"/>
          </rPr>
          <t xml:space="preserve">
Source:
Page 72, Form 10K 2004</t>
        </r>
      </text>
    </comment>
    <comment ref="N651" authorId="1">
      <text>
        <r>
          <rPr>
            <b/>
            <sz val="8"/>
            <color indexed="81"/>
            <rFont val="Tahoma"/>
            <family val="2"/>
          </rPr>
          <t>Evalueserve:</t>
        </r>
        <r>
          <rPr>
            <sz val="8"/>
            <color indexed="81"/>
            <rFont val="Tahoma"/>
            <family val="2"/>
          </rPr>
          <t xml:space="preserve">
Source:
Page 72, Form 10K 2004</t>
        </r>
      </text>
    </comment>
    <comment ref="G662" authorId="1">
      <text>
        <r>
          <rPr>
            <b/>
            <sz val="8"/>
            <color indexed="81"/>
            <rFont val="Tahoma"/>
            <family val="2"/>
          </rPr>
          <t>Evalueserve:</t>
        </r>
        <r>
          <rPr>
            <sz val="8"/>
            <color indexed="81"/>
            <rFont val="Tahoma"/>
            <family val="2"/>
          </rPr>
          <t xml:space="preserve">
The company reports the number as of March 1, 1998, after the acquisition of ITT and Westin.
Source:
Page 38, Form 10K 1997</t>
        </r>
      </text>
    </comment>
    <comment ref="H662" authorId="1">
      <text>
        <r>
          <rPr>
            <b/>
            <sz val="8"/>
            <color indexed="81"/>
            <rFont val="Tahoma"/>
            <family val="2"/>
          </rPr>
          <t>Evalueserve:</t>
        </r>
        <r>
          <rPr>
            <sz val="8"/>
            <color indexed="81"/>
            <rFont val="Tahoma"/>
            <family val="2"/>
          </rPr>
          <t xml:space="preserve">
Source:
Page 30, Form 10K405 1998</t>
        </r>
      </text>
    </comment>
    <comment ref="I662" authorId="1">
      <text>
        <r>
          <rPr>
            <b/>
            <sz val="8"/>
            <color indexed="81"/>
            <rFont val="Tahoma"/>
            <family val="2"/>
          </rPr>
          <t>Evalueserve:</t>
        </r>
        <r>
          <rPr>
            <sz val="8"/>
            <color indexed="81"/>
            <rFont val="Tahoma"/>
            <family val="2"/>
          </rPr>
          <t xml:space="preserve">
Source:
Page 19, Form 10K405 1999</t>
        </r>
      </text>
    </comment>
    <comment ref="J662" authorId="1">
      <text>
        <r>
          <rPr>
            <b/>
            <sz val="8"/>
            <color indexed="81"/>
            <rFont val="Tahoma"/>
            <family val="2"/>
          </rPr>
          <t>Evalueserve:</t>
        </r>
        <r>
          <rPr>
            <sz val="8"/>
            <color indexed="81"/>
            <rFont val="Tahoma"/>
            <family val="2"/>
          </rPr>
          <t xml:space="preserve">
Source:
Page 17, Form 10K405 2000</t>
        </r>
      </text>
    </comment>
    <comment ref="K662" authorId="1">
      <text>
        <r>
          <rPr>
            <b/>
            <sz val="8"/>
            <color indexed="81"/>
            <rFont val="Tahoma"/>
            <family val="2"/>
          </rPr>
          <t>Evalueserve:</t>
        </r>
        <r>
          <rPr>
            <sz val="8"/>
            <color indexed="81"/>
            <rFont val="Tahoma"/>
            <family val="2"/>
          </rPr>
          <t xml:space="preserve">
Source:
Page 19, Form 10K405 2001</t>
        </r>
      </text>
    </comment>
    <comment ref="L662" authorId="1">
      <text>
        <r>
          <rPr>
            <b/>
            <sz val="8"/>
            <color indexed="81"/>
            <rFont val="Tahoma"/>
            <family val="2"/>
          </rPr>
          <t>Evalueserve:</t>
        </r>
        <r>
          <rPr>
            <sz val="8"/>
            <color indexed="81"/>
            <rFont val="Tahoma"/>
            <family val="2"/>
          </rPr>
          <t xml:space="preserve">
Source:
Page 20, Form 10K 2002</t>
        </r>
      </text>
    </comment>
    <comment ref="M662" authorId="1">
      <text>
        <r>
          <rPr>
            <b/>
            <sz val="8"/>
            <color indexed="81"/>
            <rFont val="Tahoma"/>
            <family val="2"/>
          </rPr>
          <t>Evalueserve:</t>
        </r>
        <r>
          <rPr>
            <sz val="8"/>
            <color indexed="81"/>
            <rFont val="Tahoma"/>
            <family val="2"/>
          </rPr>
          <t xml:space="preserve">
Source:
Page 21, Form 10K 2003</t>
        </r>
      </text>
    </comment>
    <comment ref="N662" authorId="1">
      <text>
        <r>
          <rPr>
            <b/>
            <sz val="8"/>
            <color indexed="81"/>
            <rFont val="Tahoma"/>
            <family val="2"/>
          </rPr>
          <t>Evalueserve:</t>
        </r>
        <r>
          <rPr>
            <sz val="8"/>
            <color indexed="81"/>
            <rFont val="Tahoma"/>
            <family val="2"/>
          </rPr>
          <t xml:space="preserve">
Source:
Page 20, Form 10K 2004</t>
        </r>
      </text>
    </comment>
    <comment ref="G663" authorId="1">
      <text>
        <r>
          <rPr>
            <b/>
            <sz val="8"/>
            <color indexed="81"/>
            <rFont val="Tahoma"/>
            <family val="2"/>
          </rPr>
          <t>Evalueserve:</t>
        </r>
        <r>
          <rPr>
            <sz val="8"/>
            <color indexed="81"/>
            <rFont val="Tahoma"/>
            <family val="2"/>
          </rPr>
          <t xml:space="preserve">
Data not available.</t>
        </r>
      </text>
    </comment>
    <comment ref="H663" authorId="1">
      <text>
        <r>
          <rPr>
            <b/>
            <sz val="8"/>
            <color indexed="81"/>
            <rFont val="Tahoma"/>
            <family val="2"/>
          </rPr>
          <t>Evalueserve:</t>
        </r>
        <r>
          <rPr>
            <sz val="8"/>
            <color indexed="81"/>
            <rFont val="Tahoma"/>
            <family val="2"/>
          </rPr>
          <t xml:space="preserve">
Calculated as: 
(+Number of employees in 1998 + Number of employees 1997)/2 </t>
        </r>
      </text>
    </comment>
    <comment ref="I663" authorId="1">
      <text>
        <r>
          <rPr>
            <b/>
            <sz val="8"/>
            <color indexed="81"/>
            <rFont val="Tahoma"/>
            <family val="2"/>
          </rPr>
          <t>Evalueserve:</t>
        </r>
        <r>
          <rPr>
            <sz val="8"/>
            <color indexed="81"/>
            <rFont val="Tahoma"/>
            <family val="2"/>
          </rPr>
          <t xml:space="preserve">
Calculated as: 
(+Number of employees in 1999 + Number of employees 1998)/2 </t>
        </r>
      </text>
    </comment>
    <comment ref="J663" authorId="1">
      <text>
        <r>
          <rPr>
            <b/>
            <sz val="8"/>
            <color indexed="81"/>
            <rFont val="Tahoma"/>
            <family val="2"/>
          </rPr>
          <t>Evalueserve:</t>
        </r>
        <r>
          <rPr>
            <sz val="8"/>
            <color indexed="81"/>
            <rFont val="Tahoma"/>
            <family val="2"/>
          </rPr>
          <t xml:space="preserve">
Calculated as: 
(+Number of employees in 2000 + Number of employees 1999)/2 </t>
        </r>
      </text>
    </comment>
    <comment ref="K663" authorId="1">
      <text>
        <r>
          <rPr>
            <b/>
            <sz val="8"/>
            <color indexed="81"/>
            <rFont val="Tahoma"/>
            <family val="2"/>
          </rPr>
          <t>Evalueserve:</t>
        </r>
        <r>
          <rPr>
            <sz val="8"/>
            <color indexed="81"/>
            <rFont val="Tahoma"/>
            <family val="2"/>
          </rPr>
          <t xml:space="preserve">
Calculated as: 
(+Number of employees in 2001 + Number of employees 2000)/2 </t>
        </r>
      </text>
    </comment>
    <comment ref="L663" authorId="1">
      <text>
        <r>
          <rPr>
            <b/>
            <sz val="8"/>
            <color indexed="81"/>
            <rFont val="Tahoma"/>
            <family val="2"/>
          </rPr>
          <t>Evalueserve:</t>
        </r>
        <r>
          <rPr>
            <sz val="8"/>
            <color indexed="81"/>
            <rFont val="Tahoma"/>
            <family val="2"/>
          </rPr>
          <t xml:space="preserve">
Calculated as: 
(+Number of employees in 2002 + Number of employees 2001)/2 </t>
        </r>
      </text>
    </comment>
    <comment ref="M663" authorId="1">
      <text>
        <r>
          <rPr>
            <b/>
            <sz val="8"/>
            <color indexed="81"/>
            <rFont val="Tahoma"/>
            <family val="2"/>
          </rPr>
          <t>Evalueserve:</t>
        </r>
        <r>
          <rPr>
            <sz val="8"/>
            <color indexed="81"/>
            <rFont val="Tahoma"/>
            <family val="2"/>
          </rPr>
          <t xml:space="preserve">
Calculated as: 
(+Number of employees in 2003 + Number of employees 2002)/2 </t>
        </r>
      </text>
    </comment>
    <comment ref="N663" authorId="1">
      <text>
        <r>
          <rPr>
            <b/>
            <sz val="8"/>
            <color indexed="81"/>
            <rFont val="Tahoma"/>
            <family val="2"/>
          </rPr>
          <t>Evalueserve:</t>
        </r>
        <r>
          <rPr>
            <sz val="8"/>
            <color indexed="81"/>
            <rFont val="Tahoma"/>
            <family val="2"/>
          </rPr>
          <t xml:space="preserve">
Calculated as: 
(+Number of employees in 2004 + Number of employees 2003)/2 </t>
        </r>
      </text>
    </comment>
    <comment ref="G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H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I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J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K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L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M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N671" authorId="1">
      <text>
        <r>
          <rPr>
            <b/>
            <sz val="8"/>
            <color indexed="81"/>
            <rFont val="Tahoma"/>
            <family val="2"/>
          </rPr>
          <t>Evalueserve:</t>
        </r>
        <r>
          <rPr>
            <sz val="8"/>
            <color indexed="81"/>
            <rFont val="Tahoma"/>
            <family val="2"/>
          </rPr>
          <t xml:space="preserve">
Calculated as:
+ Service cost (Pension benefits)
+ Service cost (Foreign Pension benefits)
</t>
        </r>
      </text>
    </comment>
    <comment ref="G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H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I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J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K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L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M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N672" authorId="1">
      <text>
        <r>
          <rPr>
            <b/>
            <sz val="8"/>
            <color indexed="81"/>
            <rFont val="Tahoma"/>
            <family val="2"/>
          </rPr>
          <t>Evalueserve:</t>
        </r>
        <r>
          <rPr>
            <sz val="8"/>
            <color indexed="81"/>
            <rFont val="Tahoma"/>
            <family val="2"/>
          </rPr>
          <t xml:space="preserve">
Calculated as:
+ Interest cost (Pension benefits)
+ Interest cost (Foreign Pension benefits)
</t>
        </r>
      </text>
    </comment>
    <comment ref="G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H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I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J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K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L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M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N673" authorId="1">
      <text>
        <r>
          <rPr>
            <b/>
            <sz val="8"/>
            <color indexed="81"/>
            <rFont val="Tahoma"/>
            <family val="2"/>
          </rPr>
          <t>Evalueserve:</t>
        </r>
        <r>
          <rPr>
            <sz val="8"/>
            <color indexed="81"/>
            <rFont val="Tahoma"/>
            <family val="2"/>
          </rPr>
          <t xml:space="preserve">
Calculated as:
+ Expected return (Pension benefits)
+ Expected return (Foreign Pension benefits)
</t>
        </r>
      </text>
    </comment>
    <comment ref="I674" authorId="1">
      <text>
        <r>
          <rPr>
            <b/>
            <sz val="8"/>
            <color indexed="81"/>
            <rFont val="Tahoma"/>
            <family val="2"/>
          </rPr>
          <t>Evalueserve:</t>
        </r>
        <r>
          <rPr>
            <sz val="8"/>
            <color indexed="81"/>
            <rFont val="Tahoma"/>
            <family val="2"/>
          </rPr>
          <t xml:space="preserve">
Data not available.</t>
        </r>
      </text>
    </comment>
    <comment ref="J674" authorId="1">
      <text>
        <r>
          <rPr>
            <b/>
            <sz val="8"/>
            <color indexed="81"/>
            <rFont val="Tahoma"/>
            <family val="2"/>
          </rPr>
          <t>Evalueserve:</t>
        </r>
        <r>
          <rPr>
            <sz val="8"/>
            <color indexed="81"/>
            <rFont val="Tahoma"/>
            <family val="2"/>
          </rPr>
          <t xml:space="preserve">
Data not available.</t>
        </r>
      </text>
    </comment>
    <comment ref="K674" authorId="1">
      <text>
        <r>
          <rPr>
            <b/>
            <sz val="8"/>
            <color indexed="81"/>
            <rFont val="Tahoma"/>
            <family val="2"/>
          </rPr>
          <t>Evalueserve:</t>
        </r>
        <r>
          <rPr>
            <sz val="8"/>
            <color indexed="81"/>
            <rFont val="Tahoma"/>
            <family val="2"/>
          </rPr>
          <t xml:space="preserve">
Data not available.</t>
        </r>
      </text>
    </comment>
    <comment ref="L674" authorId="1">
      <text>
        <r>
          <rPr>
            <b/>
            <sz val="8"/>
            <color indexed="81"/>
            <rFont val="Tahoma"/>
            <family val="2"/>
          </rPr>
          <t>Evalueserve:</t>
        </r>
        <r>
          <rPr>
            <sz val="8"/>
            <color indexed="81"/>
            <rFont val="Tahoma"/>
            <family val="2"/>
          </rPr>
          <t xml:space="preserve">
Data not available.</t>
        </r>
      </text>
    </comment>
    <comment ref="M674" authorId="1">
      <text>
        <r>
          <rPr>
            <b/>
            <sz val="8"/>
            <color indexed="81"/>
            <rFont val="Tahoma"/>
            <family val="2"/>
          </rPr>
          <t>Evalueserve:</t>
        </r>
        <r>
          <rPr>
            <sz val="8"/>
            <color indexed="81"/>
            <rFont val="Tahoma"/>
            <family val="2"/>
          </rPr>
          <t xml:space="preserve">
Data not available.</t>
        </r>
      </text>
    </comment>
    <comment ref="N674" authorId="1">
      <text>
        <r>
          <rPr>
            <b/>
            <sz val="8"/>
            <color indexed="81"/>
            <rFont val="Tahoma"/>
            <family val="2"/>
          </rPr>
          <t>Evalueserve:</t>
        </r>
        <r>
          <rPr>
            <sz val="8"/>
            <color indexed="81"/>
            <rFont val="Tahoma"/>
            <family val="2"/>
          </rPr>
          <t xml:space="preserve">
Data not available.</t>
        </r>
      </text>
    </comment>
    <comment ref="H675" authorId="1">
      <text>
        <r>
          <rPr>
            <b/>
            <sz val="8"/>
            <color indexed="81"/>
            <rFont val="Tahoma"/>
            <family val="2"/>
          </rPr>
          <t>Evalueserve:</t>
        </r>
        <r>
          <rPr>
            <sz val="8"/>
            <color indexed="81"/>
            <rFont val="Tahoma"/>
            <family val="2"/>
          </rPr>
          <t xml:space="preserve">
Calculated as:
- Amortization of actuarial loss/gain (Pension benefits)
- Amortization of actuarial loss/gain (Foreign Pension benefits)
</t>
        </r>
      </text>
    </comment>
    <comment ref="J675" authorId="1">
      <text>
        <r>
          <rPr>
            <b/>
            <sz val="8"/>
            <color indexed="81"/>
            <rFont val="Tahoma"/>
            <family val="2"/>
          </rPr>
          <t>Evalueserve:</t>
        </r>
        <r>
          <rPr>
            <sz val="8"/>
            <color indexed="81"/>
            <rFont val="Tahoma"/>
            <family val="2"/>
          </rPr>
          <t xml:space="preserve">
Calculated as:
+ Amortization of actuarial loss/gain (Pension benefits)
+ Amortization of actuarial loss/gain (Foreign Pension benefits)
</t>
        </r>
      </text>
    </comment>
    <comment ref="K675" authorId="1">
      <text>
        <r>
          <rPr>
            <b/>
            <sz val="8"/>
            <color indexed="81"/>
            <rFont val="Tahoma"/>
            <family val="2"/>
          </rPr>
          <t>Evalueserve:</t>
        </r>
        <r>
          <rPr>
            <sz val="8"/>
            <color indexed="81"/>
            <rFont val="Tahoma"/>
            <family val="2"/>
          </rPr>
          <t xml:space="preserve">
Calculated as:
+ Amortization of actuarial loss/gain (Pension benefits)
+ Amortization of actuarial loss/gain (Foreign Pension benefits)
</t>
        </r>
      </text>
    </comment>
    <comment ref="M675" authorId="1">
      <text>
        <r>
          <rPr>
            <b/>
            <sz val="8"/>
            <color indexed="81"/>
            <rFont val="Tahoma"/>
            <family val="2"/>
          </rPr>
          <t>Evalueserve:</t>
        </r>
        <r>
          <rPr>
            <sz val="8"/>
            <color indexed="81"/>
            <rFont val="Tahoma"/>
            <family val="2"/>
          </rPr>
          <t xml:space="preserve">
Calculated as:
- Amortization of actuarial loss/gain (Pension benefits)
- Amortization of actuarial loss/gain (Foreign Pension benefits)
</t>
        </r>
      </text>
    </comment>
    <comment ref="N675" authorId="1">
      <text>
        <r>
          <rPr>
            <b/>
            <sz val="8"/>
            <color indexed="81"/>
            <rFont val="Tahoma"/>
            <family val="2"/>
          </rPr>
          <t>Evalueserve:</t>
        </r>
        <r>
          <rPr>
            <sz val="8"/>
            <color indexed="81"/>
            <rFont val="Tahoma"/>
            <family val="2"/>
          </rPr>
          <t xml:space="preserve">
Calculated as:
- Amortization of actuarial loss/gain (Pension benefits)
- Amortization of actuarial loss/gain (Foreign Pension benefits)
</t>
        </r>
      </text>
    </comment>
    <comment ref="G676" authorId="1">
      <text>
        <r>
          <rPr>
            <b/>
            <sz val="8"/>
            <color indexed="81"/>
            <rFont val="Tahoma"/>
            <family val="2"/>
          </rPr>
          <t>Evalueserve:</t>
        </r>
        <r>
          <rPr>
            <sz val="8"/>
            <color indexed="81"/>
            <rFont val="Tahoma"/>
            <family val="2"/>
          </rPr>
          <t xml:space="preserve">
Reported as:
Settlement credit (Foreign Pension benefits)
</t>
        </r>
      </text>
    </comment>
    <comment ref="H676" authorId="1">
      <text>
        <r>
          <rPr>
            <b/>
            <sz val="8"/>
            <color indexed="81"/>
            <rFont val="Tahoma"/>
            <family val="2"/>
          </rPr>
          <t>Evalueserve:</t>
        </r>
        <r>
          <rPr>
            <sz val="8"/>
            <color indexed="81"/>
            <rFont val="Tahoma"/>
            <family val="2"/>
          </rPr>
          <t xml:space="preserve">
Calculated as:
+ Curtailment charge  (Pension benefits)
- Curtailment charge  (Foreign Pension benefits)
+ Settlement credit (Foreign Pension benefits)
-Special termination benefit charge</t>
        </r>
      </text>
    </comment>
    <comment ref="J676" authorId="1">
      <text>
        <r>
          <rPr>
            <b/>
            <sz val="8"/>
            <color indexed="81"/>
            <rFont val="Tahoma"/>
            <family val="2"/>
          </rPr>
          <t>Evalueserve:</t>
        </r>
        <r>
          <rPr>
            <sz val="8"/>
            <color indexed="81"/>
            <rFont val="Tahoma"/>
            <family val="2"/>
          </rPr>
          <t xml:space="preserve">
Calculated as:
- Settlement credit (Pension benefits)
+ Settlement credit (Foreign Pension benefits)
</t>
        </r>
      </text>
    </comment>
    <comment ref="K676" authorId="1">
      <text>
        <r>
          <rPr>
            <b/>
            <sz val="8"/>
            <color indexed="81"/>
            <rFont val="Tahoma"/>
            <family val="2"/>
          </rPr>
          <t>Evalueserve:</t>
        </r>
        <r>
          <rPr>
            <sz val="8"/>
            <color indexed="81"/>
            <rFont val="Tahoma"/>
            <family val="2"/>
          </rPr>
          <t xml:space="preserve">
Calculated as:
- SFAS NO. 88 settlement gain (Pension benefits)
- SFAS NO. 88 settlement gain (Foreign Pension benefits)
</t>
        </r>
      </text>
    </comment>
    <comment ref="L676" authorId="1">
      <text>
        <r>
          <rPr>
            <b/>
            <sz val="8"/>
            <color indexed="81"/>
            <rFont val="Tahoma"/>
            <family val="2"/>
          </rPr>
          <t>Evalueserve:</t>
        </r>
        <r>
          <rPr>
            <sz val="8"/>
            <color indexed="81"/>
            <rFont val="Tahoma"/>
            <family val="2"/>
          </rPr>
          <t xml:space="preserve">
Reported as:
 SFAS NO. 88 settlement gain (Pension benefits)
</t>
        </r>
      </text>
    </comment>
    <comment ref="M676" authorId="1">
      <text>
        <r>
          <rPr>
            <b/>
            <sz val="8"/>
            <color indexed="81"/>
            <rFont val="Tahoma"/>
            <family val="2"/>
          </rPr>
          <t>Evalueserve:</t>
        </r>
        <r>
          <rPr>
            <sz val="8"/>
            <color indexed="81"/>
            <rFont val="Tahoma"/>
            <family val="2"/>
          </rPr>
          <t xml:space="preserve">
Calculated as:
- SFAS NO. 88 settlement gain (Pension benefits)
+ SFAS NO. 88 settlement gain (Foreign Pension benefits)
</t>
        </r>
      </text>
    </comment>
    <comment ref="N676" authorId="1">
      <text>
        <r>
          <rPr>
            <b/>
            <sz val="8"/>
            <color indexed="81"/>
            <rFont val="Tahoma"/>
            <family val="2"/>
          </rPr>
          <t>Evalueserve:</t>
        </r>
        <r>
          <rPr>
            <sz val="8"/>
            <color indexed="81"/>
            <rFont val="Tahoma"/>
            <family val="2"/>
          </rPr>
          <t xml:space="preserve">
Calculated as:
- SFAS NO. 88 settlement gain (Pension benefits)
+ SFAS NO. 88 settlement gain (Foreign Pension benefits)
</t>
        </r>
      </text>
    </comment>
    <comment ref="G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H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I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J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K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L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M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N679"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G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H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I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J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K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L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M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N680" authorId="1">
      <text>
        <r>
          <rPr>
            <b/>
            <sz val="8"/>
            <color indexed="81"/>
            <rFont val="Tahoma"/>
            <family val="2"/>
          </rPr>
          <t>Evalueserve:</t>
        </r>
        <r>
          <rPr>
            <sz val="8"/>
            <color indexed="81"/>
            <rFont val="Tahoma"/>
            <family val="2"/>
          </rPr>
          <t xml:space="preserve">
Calculated as:
+ Benefits paid (Pension benefits)
+ Benefits paid (Foreign Pension benefits)</t>
        </r>
      </text>
    </comment>
    <comment ref="G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H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I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J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K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L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M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N681" authorId="1">
      <text>
        <r>
          <rPr>
            <b/>
            <sz val="8"/>
            <color indexed="81"/>
            <rFont val="Tahoma"/>
            <family val="2"/>
          </rPr>
          <t>Evalueserve:</t>
        </r>
        <r>
          <rPr>
            <sz val="8"/>
            <color indexed="81"/>
            <rFont val="Tahoma"/>
            <family val="2"/>
          </rPr>
          <t xml:space="preserve">
Calculated as:
+ Actual return (Pension benefits)
+ Actual return (Foreign Pension benefits)</t>
        </r>
      </text>
    </comment>
    <comment ref="G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H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I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J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K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L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M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N682" authorId="1">
      <text>
        <r>
          <rPr>
            <b/>
            <sz val="8"/>
            <color indexed="81"/>
            <rFont val="Tahoma"/>
            <family val="2"/>
          </rPr>
          <t>Evalueserve:</t>
        </r>
        <r>
          <rPr>
            <sz val="8"/>
            <color indexed="81"/>
            <rFont val="Tahoma"/>
            <family val="2"/>
          </rPr>
          <t xml:space="preserve">
Calculated as:
+ Employer contribution (Pension benefits)
+ Employer contribution (Foreign Pension benefits)</t>
        </r>
      </text>
    </comment>
    <comment ref="G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H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I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J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K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L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M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N683" authorId="1">
      <text>
        <r>
          <rPr>
            <b/>
            <sz val="8"/>
            <color indexed="81"/>
            <rFont val="Tahoma"/>
            <family val="2"/>
          </rPr>
          <t>Evalueserve:</t>
        </r>
        <r>
          <rPr>
            <sz val="8"/>
            <color indexed="81"/>
            <rFont val="Tahoma"/>
            <family val="2"/>
          </rPr>
          <t xml:space="preserve">
Calculated as:
+ Benefits obligations (Pension benefits)
+ Benefits obligations (Foreign Pension benefits)</t>
        </r>
      </text>
    </comment>
    <comment ref="G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H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I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J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K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L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M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N684" authorId="1">
      <text>
        <r>
          <rPr>
            <b/>
            <sz val="8"/>
            <color indexed="81"/>
            <rFont val="Tahoma"/>
            <family val="2"/>
          </rPr>
          <t>Evalueserve:</t>
        </r>
        <r>
          <rPr>
            <sz val="8"/>
            <color indexed="81"/>
            <rFont val="Tahoma"/>
            <family val="2"/>
          </rPr>
          <t xml:space="preserve">
Calculated as:
+ Fair value (Pension benefits)
+ Fair value (Foreign Pension benefits)</t>
        </r>
      </text>
    </comment>
    <comment ref="G685" authorId="1">
      <text>
        <r>
          <rPr>
            <b/>
            <sz val="8"/>
            <color indexed="81"/>
            <rFont val="Tahoma"/>
            <family val="2"/>
          </rPr>
          <t>Evalueserve:</t>
        </r>
        <r>
          <rPr>
            <sz val="8"/>
            <color indexed="81"/>
            <rFont val="Tahoma"/>
            <family val="2"/>
          </rPr>
          <t xml:space="preserve">
Calculated as:
- Accrued benefit cost (Pension benefits)
- Accrued benefit cost (Foreign Pension benefits)
+  Prepaid benefit cost (Pension benefits)
+ Prepaid benefit cost (Foreign Pension benefits)</t>
        </r>
      </text>
    </comment>
    <comment ref="H685" authorId="1">
      <text>
        <r>
          <rPr>
            <b/>
            <sz val="8"/>
            <color indexed="81"/>
            <rFont val="Tahoma"/>
            <family val="2"/>
          </rPr>
          <t>Evalueserve:</t>
        </r>
        <r>
          <rPr>
            <sz val="8"/>
            <color indexed="81"/>
            <rFont val="Tahoma"/>
            <family val="2"/>
          </rPr>
          <t xml:space="preserve">
Calculated as:
- Accrued benefit cost (Pension benefits)
- Accrued benefit cost (Foreign Pension benefits)
+  Prepaid benefit cost (Pension benefits)
+ Prepaid benefit cost (Foreign Pension benefits)
- Additional minimum liability (Pension benefits)</t>
        </r>
      </text>
    </comment>
    <comment ref="I685" authorId="1">
      <text>
        <r>
          <rPr>
            <b/>
            <sz val="8"/>
            <color indexed="81"/>
            <rFont val="Tahoma"/>
            <family val="2"/>
          </rPr>
          <t>Evalueserve:</t>
        </r>
        <r>
          <rPr>
            <sz val="8"/>
            <color indexed="81"/>
            <rFont val="Tahoma"/>
            <family val="2"/>
          </rPr>
          <t xml:space="preserve">
Calculated as:
- Accrued benefit cost (Pension benefits)
- Accrued benefit cost (Foreign Pension benefits)
+  Prepaid benefit cost (Pension benefits)
+ Prepaid benefit cost (Foreign Pension benefits)</t>
        </r>
      </text>
    </comment>
    <comment ref="J685" authorId="1">
      <text>
        <r>
          <rPr>
            <b/>
            <sz val="8"/>
            <color indexed="81"/>
            <rFont val="Tahoma"/>
            <family val="2"/>
          </rPr>
          <t>Evalueserve:</t>
        </r>
        <r>
          <rPr>
            <sz val="8"/>
            <color indexed="81"/>
            <rFont val="Tahoma"/>
            <family val="2"/>
          </rPr>
          <t xml:space="preserve">
Calculated as:
- Accrued benefit cost (Pension benefits)
- Accrued benefit cost (Foreign Pension benefits)
+ Prepaid benefit cost (Foreign Pension benefits)</t>
        </r>
      </text>
    </comment>
    <comment ref="K685" authorId="1">
      <text>
        <r>
          <rPr>
            <b/>
            <sz val="8"/>
            <color indexed="81"/>
            <rFont val="Tahoma"/>
            <family val="2"/>
          </rPr>
          <t>Evalueserve:</t>
        </r>
        <r>
          <rPr>
            <sz val="8"/>
            <color indexed="81"/>
            <rFont val="Tahoma"/>
            <family val="2"/>
          </rPr>
          <t xml:space="preserve">
Calculated as:
- Accrued benefit cost (Pension benefits)
- Accrued benefit cost (Foreign Pension benefits)</t>
        </r>
      </text>
    </comment>
    <comment ref="L685" authorId="1">
      <text>
        <r>
          <rPr>
            <b/>
            <sz val="8"/>
            <color indexed="81"/>
            <rFont val="Tahoma"/>
            <family val="2"/>
          </rPr>
          <t>Evalueserve:</t>
        </r>
        <r>
          <rPr>
            <sz val="8"/>
            <color indexed="81"/>
            <rFont val="Tahoma"/>
            <family val="2"/>
          </rPr>
          <t xml:space="preserve">
Calculated as:
- Accrued benefit cost (Pension benefits)
- Accrued benefit cost (Foreign Pension benefits)</t>
        </r>
      </text>
    </comment>
    <comment ref="M685" authorId="1">
      <text>
        <r>
          <rPr>
            <b/>
            <sz val="8"/>
            <color indexed="81"/>
            <rFont val="Tahoma"/>
            <family val="2"/>
          </rPr>
          <t>Evalueserve:</t>
        </r>
        <r>
          <rPr>
            <sz val="8"/>
            <color indexed="81"/>
            <rFont val="Tahoma"/>
            <family val="2"/>
          </rPr>
          <t xml:space="preserve">
Calculated as:
- Accrued benefit cost (Pension benefits)
- Accrued benefit cost (Foreign Pension benefits)</t>
        </r>
      </text>
    </comment>
    <comment ref="N685" authorId="1">
      <text>
        <r>
          <rPr>
            <b/>
            <sz val="8"/>
            <color indexed="81"/>
            <rFont val="Tahoma"/>
            <family val="2"/>
          </rPr>
          <t>Evalueserve:</t>
        </r>
        <r>
          <rPr>
            <sz val="8"/>
            <color indexed="81"/>
            <rFont val="Tahoma"/>
            <family val="2"/>
          </rPr>
          <t xml:space="preserve">
Calculated as:
- Accrued benefit cost (Pension benefits)
- Accrued benefit cost (Foreign Pension benefits)</t>
        </r>
      </text>
    </comment>
    <comment ref="H687" authorId="1">
      <text>
        <r>
          <rPr>
            <b/>
            <sz val="8"/>
            <color indexed="81"/>
            <rFont val="Tahoma"/>
            <family val="2"/>
          </rPr>
          <t>Evalueserve:</t>
        </r>
        <r>
          <rPr>
            <sz val="8"/>
            <color indexed="81"/>
            <rFont val="Tahoma"/>
            <family val="2"/>
          </rPr>
          <t xml:space="preserve">
Calculated as:
+ Accumulated other comprehensive Income  (Pension benefits)
+ Accumulated other comprehensive Income (Foreign Pension benefits)</t>
        </r>
      </text>
    </comment>
    <comment ref="I687" authorId="1">
      <text>
        <r>
          <rPr>
            <b/>
            <sz val="8"/>
            <color indexed="81"/>
            <rFont val="Tahoma"/>
            <family val="2"/>
          </rPr>
          <t>Evalueserve:</t>
        </r>
        <r>
          <rPr>
            <sz val="8"/>
            <color indexed="81"/>
            <rFont val="Tahoma"/>
            <family val="2"/>
          </rPr>
          <t xml:space="preserve">
Data not available.</t>
        </r>
      </text>
    </comment>
    <comment ref="K687" authorId="1">
      <text>
        <r>
          <rPr>
            <b/>
            <sz val="8"/>
            <color indexed="81"/>
            <rFont val="Tahoma"/>
            <family val="2"/>
          </rPr>
          <t>Evalueserve:</t>
        </r>
        <r>
          <rPr>
            <sz val="8"/>
            <color indexed="81"/>
            <rFont val="Tahoma"/>
            <family val="2"/>
          </rPr>
          <t xml:space="preserve">
Calculated as:
+ Accumulated other comprehensive Income  (Pension benefits)
+ Accumulated other comprehensive Income (Foreign Pension benefits)</t>
        </r>
      </text>
    </comment>
    <comment ref="L687" authorId="1">
      <text>
        <r>
          <rPr>
            <b/>
            <sz val="8"/>
            <color indexed="81"/>
            <rFont val="Tahoma"/>
            <family val="2"/>
          </rPr>
          <t>Evalueserve:</t>
        </r>
        <r>
          <rPr>
            <sz val="8"/>
            <color indexed="81"/>
            <rFont val="Tahoma"/>
            <family val="2"/>
          </rPr>
          <t xml:space="preserve">
Calculated as:
+ Accumulated other comprehensive Income  (Pension benefits)
+ Accumulated other comprehensive Income (Foreign Pension benefits)</t>
        </r>
      </text>
    </comment>
    <comment ref="M687" authorId="1">
      <text>
        <r>
          <rPr>
            <b/>
            <sz val="8"/>
            <color indexed="81"/>
            <rFont val="Tahoma"/>
            <family val="2"/>
          </rPr>
          <t>Evalueserve:</t>
        </r>
        <r>
          <rPr>
            <sz val="8"/>
            <color indexed="81"/>
            <rFont val="Tahoma"/>
            <family val="2"/>
          </rPr>
          <t xml:space="preserve">
Calculated as:
+ Accumulated other comprehensive Income  (Pension benefits)
+ Accumulated other comprehensive Income (Foreign Pension benefits)</t>
        </r>
      </text>
    </comment>
    <comment ref="N687" authorId="1">
      <text>
        <r>
          <rPr>
            <b/>
            <sz val="8"/>
            <color indexed="81"/>
            <rFont val="Tahoma"/>
            <family val="2"/>
          </rPr>
          <t>Evalueserve:</t>
        </r>
        <r>
          <rPr>
            <sz val="8"/>
            <color indexed="81"/>
            <rFont val="Tahoma"/>
            <family val="2"/>
          </rPr>
          <t xml:space="preserve">
Calculated as:
+ Accumulated other comprehensive Income  (Pension benefits)
+ Accumulated other comprehensive Income (Foreign Pension benefits)</t>
        </r>
      </text>
    </comment>
    <comment ref="G688" authorId="1">
      <text>
        <r>
          <rPr>
            <b/>
            <sz val="8"/>
            <color indexed="81"/>
            <rFont val="Tahoma"/>
            <family val="2"/>
          </rPr>
          <t>Evalueserve:</t>
        </r>
        <r>
          <rPr>
            <sz val="8"/>
            <color indexed="81"/>
            <rFont val="Tahoma"/>
            <family val="2"/>
          </rPr>
          <t xml:space="preserve">
The company also reports Discount rate on Foreign pension benefits as 6.67%
Source:
Page 113, Form 10K405 1998</t>
        </r>
      </text>
    </comment>
    <comment ref="H688" authorId="1">
      <text>
        <r>
          <rPr>
            <b/>
            <sz val="8"/>
            <color indexed="81"/>
            <rFont val="Tahoma"/>
            <family val="2"/>
          </rPr>
          <t>Evalueserve:</t>
        </r>
        <r>
          <rPr>
            <sz val="8"/>
            <color indexed="81"/>
            <rFont val="Tahoma"/>
            <family val="2"/>
          </rPr>
          <t xml:space="preserve">
The company also reports Discount rate on Foreign pension benefits as 5.88%
Source:
Page 79, Form 10K405 1999</t>
        </r>
      </text>
    </comment>
    <comment ref="I688" authorId="1">
      <text>
        <r>
          <rPr>
            <b/>
            <sz val="8"/>
            <color indexed="81"/>
            <rFont val="Tahoma"/>
            <family val="2"/>
          </rPr>
          <t>Evalueserve:</t>
        </r>
        <r>
          <rPr>
            <sz val="8"/>
            <color indexed="81"/>
            <rFont val="Tahoma"/>
            <family val="2"/>
          </rPr>
          <t xml:space="preserve">
The company also reports Discount rate on Foreign pension benefits as 6.02%
Source:
Page 75, Form 10K405 2000</t>
        </r>
      </text>
    </comment>
    <comment ref="J688" authorId="1">
      <text>
        <r>
          <rPr>
            <b/>
            <sz val="8"/>
            <color indexed="81"/>
            <rFont val="Tahoma"/>
            <family val="2"/>
          </rPr>
          <t>Evalueserve:</t>
        </r>
        <r>
          <rPr>
            <sz val="8"/>
            <color indexed="81"/>
            <rFont val="Tahoma"/>
            <family val="2"/>
          </rPr>
          <t xml:space="preserve">
The company also reports Discount rate on Foreign pension benefits as 6.63%
Source:
Page 85, Form 10K405 2001</t>
        </r>
      </text>
    </comment>
    <comment ref="K688" authorId="1">
      <text>
        <r>
          <rPr>
            <b/>
            <sz val="8"/>
            <color indexed="81"/>
            <rFont val="Tahoma"/>
            <family val="2"/>
          </rPr>
          <t>Evalueserve:</t>
        </r>
        <r>
          <rPr>
            <sz val="8"/>
            <color indexed="81"/>
            <rFont val="Tahoma"/>
            <family val="2"/>
          </rPr>
          <t xml:space="preserve">
The company also reports Discount rate on Foreign pension benefits as 6.44%
Source:
Page 98, Form 10K 2002</t>
        </r>
      </text>
    </comment>
    <comment ref="L688" authorId="1">
      <text>
        <r>
          <rPr>
            <b/>
            <sz val="8"/>
            <color indexed="81"/>
            <rFont val="Tahoma"/>
            <family val="2"/>
          </rPr>
          <t>Evalueserve:</t>
        </r>
        <r>
          <rPr>
            <sz val="8"/>
            <color indexed="81"/>
            <rFont val="Tahoma"/>
            <family val="2"/>
          </rPr>
          <t xml:space="preserve">
The company also reports Discount rate on Foreign pension benefits as 6.09%
Source:
Page 99, Form 10K 2003</t>
        </r>
      </text>
    </comment>
    <comment ref="M688" authorId="1">
      <text>
        <r>
          <rPr>
            <b/>
            <sz val="8"/>
            <color indexed="81"/>
            <rFont val="Tahoma"/>
            <family val="2"/>
          </rPr>
          <t>Evalueserve:</t>
        </r>
        <r>
          <rPr>
            <sz val="8"/>
            <color indexed="81"/>
            <rFont val="Tahoma"/>
            <family val="2"/>
          </rPr>
          <t xml:space="preserve">
The company also reports Discount rate on Foreign pension benefits as 5.87%
Source:
Page 100, Form 10K 2004</t>
        </r>
      </text>
    </comment>
    <comment ref="N688" authorId="1">
      <text>
        <r>
          <rPr>
            <b/>
            <sz val="8"/>
            <color indexed="81"/>
            <rFont val="Tahoma"/>
            <family val="2"/>
          </rPr>
          <t>Evalueserve:</t>
        </r>
        <r>
          <rPr>
            <sz val="8"/>
            <color indexed="81"/>
            <rFont val="Tahoma"/>
            <family val="2"/>
          </rPr>
          <t xml:space="preserve">
The company also reports Discount rate on Foreign pension benefits as 5.49%
Source:
Page 100, Form 10K 2004</t>
        </r>
      </text>
    </comment>
    <comment ref="G689" authorId="1">
      <text>
        <r>
          <rPr>
            <b/>
            <sz val="8"/>
            <color indexed="81"/>
            <rFont val="Tahoma"/>
            <family val="2"/>
          </rPr>
          <t>Evalueserve:</t>
        </r>
        <r>
          <rPr>
            <sz val="8"/>
            <color indexed="81"/>
            <rFont val="Tahoma"/>
            <family val="2"/>
          </rPr>
          <t xml:space="preserve">
The company also reports Expected return on plan assets 7.82%
Source:
Page 113, Form 10K405 1998</t>
        </r>
      </text>
    </comment>
    <comment ref="H689" authorId="1">
      <text>
        <r>
          <rPr>
            <b/>
            <sz val="8"/>
            <color indexed="81"/>
            <rFont val="Tahoma"/>
            <family val="2"/>
          </rPr>
          <t>Evalueserve:</t>
        </r>
        <r>
          <rPr>
            <sz val="8"/>
            <color indexed="81"/>
            <rFont val="Tahoma"/>
            <family val="2"/>
          </rPr>
          <t xml:space="preserve">
The company also reports Expected return on plan assets 7.00%
Source:
Page 79, Form 10K405 1999</t>
        </r>
      </text>
    </comment>
    <comment ref="I689" authorId="1">
      <text>
        <r>
          <rPr>
            <b/>
            <sz val="8"/>
            <color indexed="81"/>
            <rFont val="Tahoma"/>
            <family val="2"/>
          </rPr>
          <t>Evalueserve:</t>
        </r>
        <r>
          <rPr>
            <sz val="8"/>
            <color indexed="81"/>
            <rFont val="Tahoma"/>
            <family val="2"/>
          </rPr>
          <t xml:space="preserve">
The company also reports Expected return on plan assets 7.00%
Source:
Page 75, Form 10K405 2000</t>
        </r>
      </text>
    </comment>
    <comment ref="J689" authorId="1">
      <text>
        <r>
          <rPr>
            <b/>
            <sz val="8"/>
            <color indexed="81"/>
            <rFont val="Tahoma"/>
            <family val="2"/>
          </rPr>
          <t>Evalueserve:</t>
        </r>
        <r>
          <rPr>
            <sz val="8"/>
            <color indexed="81"/>
            <rFont val="Tahoma"/>
            <family val="2"/>
          </rPr>
          <t xml:space="preserve">
The company also reports Expected return on plan assets 8.11%
Source:
Page 85, Form 10K405 2001</t>
        </r>
      </text>
    </comment>
    <comment ref="K689" authorId="1">
      <text>
        <r>
          <rPr>
            <b/>
            <sz val="8"/>
            <color indexed="81"/>
            <rFont val="Tahoma"/>
            <family val="2"/>
          </rPr>
          <t>Evalueserve:</t>
        </r>
        <r>
          <rPr>
            <sz val="8"/>
            <color indexed="81"/>
            <rFont val="Tahoma"/>
            <family val="2"/>
          </rPr>
          <t xml:space="preserve">
The company also reports Expected return on plan assets 8.11%
Source:
Page 98, Form 10K 2002</t>
        </r>
      </text>
    </comment>
    <comment ref="L689" authorId="1">
      <text>
        <r>
          <rPr>
            <b/>
            <sz val="8"/>
            <color indexed="81"/>
            <rFont val="Tahoma"/>
            <family val="2"/>
          </rPr>
          <t>Evalueserve:</t>
        </r>
        <r>
          <rPr>
            <sz val="8"/>
            <color indexed="81"/>
            <rFont val="Tahoma"/>
            <family val="2"/>
          </rPr>
          <t xml:space="preserve">
The company does not report Expected long term rate of return for benefit obligations. It reports it for pension costs which we have recorded below the template. Also this rate is similar to the one reported in Form 10K 2002 for FY 2002. Hence forn the consistency sake the same has been reported here</t>
        </r>
      </text>
    </comment>
    <comment ref="M689" authorId="1">
      <text>
        <r>
          <rPr>
            <b/>
            <sz val="8"/>
            <color indexed="81"/>
            <rFont val="Tahoma"/>
            <family val="2"/>
          </rPr>
          <t>Evalueserve:</t>
        </r>
        <r>
          <rPr>
            <sz val="8"/>
            <color indexed="81"/>
            <rFont val="Tahoma"/>
            <family val="2"/>
          </rPr>
          <t xml:space="preserve">
Approach of the previous year has been followed</t>
        </r>
      </text>
    </comment>
    <comment ref="N689" authorId="1">
      <text>
        <r>
          <rPr>
            <b/>
            <sz val="8"/>
            <color indexed="81"/>
            <rFont val="Tahoma"/>
            <family val="2"/>
          </rPr>
          <t>Evalueserve:</t>
        </r>
        <r>
          <rPr>
            <sz val="8"/>
            <color indexed="81"/>
            <rFont val="Tahoma"/>
            <family val="2"/>
          </rPr>
          <t xml:space="preserve">
Approach of the previous year has been followed</t>
        </r>
      </text>
    </comment>
    <comment ref="G690" authorId="1">
      <text>
        <r>
          <rPr>
            <b/>
            <sz val="8"/>
            <color indexed="81"/>
            <rFont val="Tahoma"/>
            <family val="2"/>
          </rPr>
          <t>Evalueserve:</t>
        </r>
        <r>
          <rPr>
            <sz val="8"/>
            <color indexed="81"/>
            <rFont val="Tahoma"/>
            <family val="2"/>
          </rPr>
          <t xml:space="preserve">
The company reports Rate of compensation increase on Foreign pension benefits as 4.12%
Source:
Page 113, Form 10K405 1998</t>
        </r>
      </text>
    </comment>
    <comment ref="H690" authorId="1">
      <text>
        <r>
          <rPr>
            <b/>
            <sz val="8"/>
            <color indexed="81"/>
            <rFont val="Tahoma"/>
            <family val="2"/>
          </rPr>
          <t>Evalueserve:</t>
        </r>
        <r>
          <rPr>
            <sz val="8"/>
            <color indexed="81"/>
            <rFont val="Tahoma"/>
            <family val="2"/>
          </rPr>
          <t xml:space="preserve">
The company reports Rate of compensation increase on Foreign pension benefits as 3.20%
Source:
Page 79, Form 10K405 1999</t>
        </r>
      </text>
    </comment>
    <comment ref="I690" authorId="1">
      <text>
        <r>
          <rPr>
            <b/>
            <sz val="8"/>
            <color indexed="81"/>
            <rFont val="Tahoma"/>
            <family val="2"/>
          </rPr>
          <t>Evalueserve:</t>
        </r>
        <r>
          <rPr>
            <sz val="8"/>
            <color indexed="81"/>
            <rFont val="Tahoma"/>
            <family val="2"/>
          </rPr>
          <t xml:space="preserve">
The company does not report rate of compensation increase for domestic pension benefits but reports it on Foreign pension benefits as 4.52%
Source:
Page 75, Form 10K405 2000</t>
        </r>
      </text>
    </comment>
    <comment ref="J690" authorId="1">
      <text>
        <r>
          <rPr>
            <b/>
            <sz val="8"/>
            <color indexed="81"/>
            <rFont val="Tahoma"/>
            <family val="2"/>
          </rPr>
          <t>Evalueserve:</t>
        </r>
        <r>
          <rPr>
            <sz val="8"/>
            <color indexed="81"/>
            <rFont val="Tahoma"/>
            <family val="2"/>
          </rPr>
          <t xml:space="preserve">
The company does not report rate of compensation increase for domestic pension benefits but reports it on Foreign pension benefits as 4.51%
Source:
Page 85, Form 10K405 2001</t>
        </r>
      </text>
    </comment>
    <comment ref="K690" authorId="1">
      <text>
        <r>
          <rPr>
            <b/>
            <sz val="8"/>
            <color indexed="81"/>
            <rFont val="Tahoma"/>
            <family val="2"/>
          </rPr>
          <t>Evalueserve:</t>
        </r>
        <r>
          <rPr>
            <sz val="8"/>
            <color indexed="81"/>
            <rFont val="Tahoma"/>
            <family val="2"/>
          </rPr>
          <t xml:space="preserve">
The company does not report rate of compensation increase for domestic pension benefits but reports it on Foreign pension benefits as 4.29%
Source:
Page 98, Form 10K 2002</t>
        </r>
      </text>
    </comment>
    <comment ref="L690" authorId="1">
      <text>
        <r>
          <rPr>
            <b/>
            <sz val="8"/>
            <color indexed="81"/>
            <rFont val="Tahoma"/>
            <family val="2"/>
          </rPr>
          <t>Evalueserve:</t>
        </r>
        <r>
          <rPr>
            <sz val="8"/>
            <color indexed="81"/>
            <rFont val="Tahoma"/>
            <family val="2"/>
          </rPr>
          <t xml:space="preserve">
The company does not report rate of compensation increase for domestic pension benefits but reports it on Foreign pension benefits as 3.96%
Source:
Page 99, Form 10K 2003</t>
        </r>
      </text>
    </comment>
    <comment ref="M690" authorId="1">
      <text>
        <r>
          <rPr>
            <b/>
            <sz val="8"/>
            <color indexed="81"/>
            <rFont val="Tahoma"/>
            <family val="2"/>
          </rPr>
          <t>Evalueserve:</t>
        </r>
        <r>
          <rPr>
            <sz val="8"/>
            <color indexed="81"/>
            <rFont val="Tahoma"/>
            <family val="2"/>
          </rPr>
          <t xml:space="preserve">
The company does not report rate of compensation increase for domestic pension benefits but reports it on Foreign pension benefits as 3.96%
Source:
Page 100, Form 10K 2004</t>
        </r>
      </text>
    </comment>
    <comment ref="N690" authorId="1">
      <text>
        <r>
          <rPr>
            <b/>
            <sz val="8"/>
            <color indexed="81"/>
            <rFont val="Tahoma"/>
            <family val="2"/>
          </rPr>
          <t>Evalueserve:</t>
        </r>
        <r>
          <rPr>
            <sz val="8"/>
            <color indexed="81"/>
            <rFont val="Tahoma"/>
            <family val="2"/>
          </rPr>
          <t xml:space="preserve">
The company does not report rate of compensation increase for domestic pension benefits but reports it on Foreign pension benefits as 3.74%
Source:
Page 100, Form 10K 2004</t>
        </r>
      </text>
    </comment>
    <comment ref="M725" authorId="1">
      <text>
        <r>
          <rPr>
            <b/>
            <sz val="8"/>
            <color indexed="81"/>
            <rFont val="Tahoma"/>
            <family val="2"/>
          </rPr>
          <t>Evalueserve:</t>
        </r>
        <r>
          <rPr>
            <sz val="8"/>
            <color indexed="81"/>
            <rFont val="Tahoma"/>
            <family val="2"/>
          </rPr>
          <t xml:space="preserve">
Data not available.</t>
        </r>
      </text>
    </comment>
    <comment ref="N725" authorId="1">
      <text>
        <r>
          <rPr>
            <b/>
            <sz val="8"/>
            <color indexed="81"/>
            <rFont val="Tahoma"/>
            <family val="2"/>
          </rPr>
          <t>Evalueserve:</t>
        </r>
        <r>
          <rPr>
            <sz val="8"/>
            <color indexed="81"/>
            <rFont val="Tahoma"/>
            <family val="2"/>
          </rPr>
          <t xml:space="preserve">
Data not available.</t>
        </r>
      </text>
    </comment>
    <comment ref="G726" authorId="1">
      <text>
        <r>
          <rPr>
            <b/>
            <sz val="8"/>
            <color indexed="81"/>
            <rFont val="Tahoma"/>
            <family val="2"/>
          </rPr>
          <t>Evalueserve:</t>
        </r>
        <r>
          <rPr>
            <sz val="8"/>
            <color indexed="81"/>
            <rFont val="Tahoma"/>
            <family val="2"/>
          </rPr>
          <t xml:space="preserve">
Calculated as:
- Curtailment credit
+ Settlement charge</t>
        </r>
      </text>
    </comment>
    <comment ref="H726" authorId="1">
      <text>
        <r>
          <rPr>
            <b/>
            <sz val="8"/>
            <color indexed="81"/>
            <rFont val="Tahoma"/>
            <family val="2"/>
          </rPr>
          <t>Evalueserve:</t>
        </r>
        <r>
          <rPr>
            <sz val="8"/>
            <color indexed="81"/>
            <rFont val="Tahoma"/>
            <family val="2"/>
          </rPr>
          <t xml:space="preserve">
Data not available </t>
        </r>
      </text>
    </comment>
    <comment ref="I726" authorId="1">
      <text>
        <r>
          <rPr>
            <b/>
            <sz val="8"/>
            <color indexed="81"/>
            <rFont val="Tahoma"/>
            <family val="2"/>
          </rPr>
          <t>Evalueserve:</t>
        </r>
        <r>
          <rPr>
            <sz val="8"/>
            <color indexed="81"/>
            <rFont val="Tahoma"/>
            <family val="2"/>
          </rPr>
          <t xml:space="preserve">
Data not available </t>
        </r>
      </text>
    </comment>
    <comment ref="J726" authorId="1">
      <text>
        <r>
          <rPr>
            <b/>
            <sz val="8"/>
            <color indexed="81"/>
            <rFont val="Tahoma"/>
            <family val="2"/>
          </rPr>
          <t>Evalueserve:</t>
        </r>
        <r>
          <rPr>
            <sz val="8"/>
            <color indexed="81"/>
            <rFont val="Tahoma"/>
            <family val="2"/>
          </rPr>
          <t xml:space="preserve">
Data not available </t>
        </r>
      </text>
    </comment>
    <comment ref="K726" authorId="1">
      <text>
        <r>
          <rPr>
            <b/>
            <sz val="8"/>
            <color indexed="81"/>
            <rFont val="Tahoma"/>
            <family val="2"/>
          </rPr>
          <t>Evalueserve:</t>
        </r>
        <r>
          <rPr>
            <sz val="8"/>
            <color indexed="81"/>
            <rFont val="Tahoma"/>
            <family val="2"/>
          </rPr>
          <t xml:space="preserve">
Data not available </t>
        </r>
      </text>
    </comment>
    <comment ref="L726" authorId="1">
      <text>
        <r>
          <rPr>
            <b/>
            <sz val="8"/>
            <color indexed="81"/>
            <rFont val="Tahoma"/>
            <family val="2"/>
          </rPr>
          <t>Evalueserve:</t>
        </r>
        <r>
          <rPr>
            <sz val="8"/>
            <color indexed="81"/>
            <rFont val="Tahoma"/>
            <family val="2"/>
          </rPr>
          <t xml:space="preserve">
Data not available </t>
        </r>
      </text>
    </comment>
    <comment ref="M726" authorId="1">
      <text>
        <r>
          <rPr>
            <b/>
            <sz val="8"/>
            <color indexed="81"/>
            <rFont val="Tahoma"/>
            <family val="2"/>
          </rPr>
          <t>Evalueserve:</t>
        </r>
        <r>
          <rPr>
            <sz val="8"/>
            <color indexed="81"/>
            <rFont val="Tahoma"/>
            <family val="2"/>
          </rPr>
          <t xml:space="preserve">
Data not available </t>
        </r>
      </text>
    </comment>
    <comment ref="N726" authorId="1">
      <text>
        <r>
          <rPr>
            <b/>
            <sz val="8"/>
            <color indexed="81"/>
            <rFont val="Tahoma"/>
            <family val="2"/>
          </rPr>
          <t>Evalueserve:</t>
        </r>
        <r>
          <rPr>
            <sz val="8"/>
            <color indexed="81"/>
            <rFont val="Tahoma"/>
            <family val="2"/>
          </rPr>
          <t xml:space="preserve">
Data not available </t>
        </r>
      </text>
    </comment>
    <comment ref="G732" authorId="2">
      <text>
        <r>
          <rPr>
            <b/>
            <sz val="8"/>
            <color indexed="81"/>
            <rFont val="Tahoma"/>
            <family val="2"/>
          </rPr>
          <t>urbank:</t>
        </r>
        <r>
          <rPr>
            <sz val="8"/>
            <color indexed="81"/>
            <rFont val="Tahoma"/>
            <family val="2"/>
          </rPr>
          <t xml:space="preserve">
KU hardcoded to 0 for data quality</t>
        </r>
      </text>
    </comment>
    <comment ref="L737" authorId="1">
      <text>
        <r>
          <rPr>
            <b/>
            <sz val="8"/>
            <color indexed="81"/>
            <rFont val="Tahoma"/>
            <family val="2"/>
          </rPr>
          <t>Evalueserve:</t>
        </r>
        <r>
          <rPr>
            <sz val="8"/>
            <color indexed="81"/>
            <rFont val="Tahoma"/>
            <family val="2"/>
          </rPr>
          <t xml:space="preserve">
The company does not report Expected long term rate of return for benefit obligations. It reports it for pension costs which we have recorded below the template. Also this rate is similar to the one reported in Form 10K 2002 for FY 2002. Hence forn the consistency sake the same has been reported here</t>
        </r>
      </text>
    </comment>
    <comment ref="M737" authorId="1">
      <text>
        <r>
          <rPr>
            <b/>
            <sz val="8"/>
            <color indexed="81"/>
            <rFont val="Tahoma"/>
            <family val="2"/>
          </rPr>
          <t>Evalueserve:</t>
        </r>
        <r>
          <rPr>
            <sz val="8"/>
            <color indexed="81"/>
            <rFont val="Tahoma"/>
            <family val="2"/>
          </rPr>
          <t xml:space="preserve">
Approach of the previous year has been followed</t>
        </r>
      </text>
    </comment>
    <comment ref="N737" authorId="1">
      <text>
        <r>
          <rPr>
            <b/>
            <sz val="8"/>
            <color indexed="81"/>
            <rFont val="Tahoma"/>
            <family val="2"/>
          </rPr>
          <t>Evalueserve:</t>
        </r>
        <r>
          <rPr>
            <sz val="8"/>
            <color indexed="81"/>
            <rFont val="Tahoma"/>
            <family val="2"/>
          </rPr>
          <t xml:space="preserve">
Approach of the previous year has been followed</t>
        </r>
      </text>
    </comment>
    <comment ref="G738" authorId="1">
      <text>
        <r>
          <rPr>
            <b/>
            <sz val="8"/>
            <color indexed="81"/>
            <rFont val="Tahoma"/>
            <family val="2"/>
          </rPr>
          <t>Evalueserve:</t>
        </r>
        <r>
          <rPr>
            <sz val="8"/>
            <color indexed="81"/>
            <rFont val="Tahoma"/>
            <family val="2"/>
          </rPr>
          <t xml:space="preserve">
Data not available.</t>
        </r>
      </text>
    </comment>
    <comment ref="H738" authorId="1">
      <text>
        <r>
          <rPr>
            <b/>
            <sz val="8"/>
            <color indexed="81"/>
            <rFont val="Tahoma"/>
            <family val="2"/>
          </rPr>
          <t>Evalueserve:</t>
        </r>
        <r>
          <rPr>
            <sz val="8"/>
            <color indexed="81"/>
            <rFont val="Tahoma"/>
            <family val="2"/>
          </rPr>
          <t xml:space="preserve">
The company reports 6.8% to 7.00% as annual rate of increase in the per capita cost of covered health care benefits was assumed for 1998.
Source:
Page 114, Form 10K405 1998</t>
        </r>
      </text>
    </comment>
    <comment ref="I738" authorId="1">
      <text>
        <r>
          <rPr>
            <b/>
            <sz val="8"/>
            <color indexed="81"/>
            <rFont val="Tahoma"/>
            <family val="2"/>
          </rPr>
          <t>Evalueserve:</t>
        </r>
        <r>
          <rPr>
            <sz val="8"/>
            <color indexed="81"/>
            <rFont val="Tahoma"/>
            <family val="2"/>
          </rPr>
          <t xml:space="preserve">
Source:
Page 79, Form 10K405 1999</t>
        </r>
      </text>
    </comment>
    <comment ref="J738" authorId="1">
      <text>
        <r>
          <rPr>
            <b/>
            <sz val="8"/>
            <color indexed="81"/>
            <rFont val="Tahoma"/>
            <family val="2"/>
          </rPr>
          <t>Evalueserve:</t>
        </r>
        <r>
          <rPr>
            <sz val="8"/>
            <color indexed="81"/>
            <rFont val="Tahoma"/>
            <family val="2"/>
          </rPr>
          <t xml:space="preserve">
Source:
Page 75, Form 10K405 2000</t>
        </r>
      </text>
    </comment>
    <comment ref="K738" authorId="1">
      <text>
        <r>
          <rPr>
            <b/>
            <sz val="8"/>
            <color indexed="81"/>
            <rFont val="Tahoma"/>
            <family val="2"/>
          </rPr>
          <t>Evalueserve:</t>
        </r>
        <r>
          <rPr>
            <sz val="8"/>
            <color indexed="81"/>
            <rFont val="Tahoma"/>
            <family val="2"/>
          </rPr>
          <t xml:space="preserve">
Source:
Page 85, Form 10K405 2001</t>
        </r>
      </text>
    </comment>
    <comment ref="L738" authorId="1">
      <text>
        <r>
          <rPr>
            <b/>
            <sz val="8"/>
            <color indexed="81"/>
            <rFont val="Tahoma"/>
            <family val="2"/>
          </rPr>
          <t>Evalueserve:</t>
        </r>
        <r>
          <rPr>
            <sz val="8"/>
            <color indexed="81"/>
            <rFont val="Tahoma"/>
            <family val="2"/>
          </rPr>
          <t xml:space="preserve">
Source:
Page 98, Form 10K 2002</t>
        </r>
      </text>
    </comment>
    <comment ref="M738" authorId="1">
      <text>
        <r>
          <rPr>
            <b/>
            <sz val="8"/>
            <color indexed="81"/>
            <rFont val="Tahoma"/>
            <family val="2"/>
          </rPr>
          <t>Evalueserve:</t>
        </r>
        <r>
          <rPr>
            <sz val="8"/>
            <color indexed="81"/>
            <rFont val="Tahoma"/>
            <family val="2"/>
          </rPr>
          <t xml:space="preserve">
Source:
Page 99, Form 10K 2003</t>
        </r>
      </text>
    </comment>
    <comment ref="N738" authorId="1">
      <text>
        <r>
          <rPr>
            <b/>
            <sz val="8"/>
            <color indexed="81"/>
            <rFont val="Tahoma"/>
            <family val="2"/>
          </rPr>
          <t>Evalueserve:</t>
        </r>
        <r>
          <rPr>
            <sz val="8"/>
            <color indexed="81"/>
            <rFont val="Tahoma"/>
            <family val="2"/>
          </rPr>
          <t xml:space="preserve">
Source:
Page 100, Form 10K 2004</t>
        </r>
      </text>
    </comment>
    <comment ref="G739" authorId="1">
      <text>
        <r>
          <rPr>
            <b/>
            <sz val="8"/>
            <color indexed="81"/>
            <rFont val="Tahoma"/>
            <family val="2"/>
          </rPr>
          <t>Evalueserve:</t>
        </r>
        <r>
          <rPr>
            <sz val="8"/>
            <color indexed="81"/>
            <rFont val="Tahoma"/>
            <family val="2"/>
          </rPr>
          <t xml:space="preserve">
Data not available.</t>
        </r>
      </text>
    </comment>
    <comment ref="H739" authorId="1">
      <text>
        <r>
          <rPr>
            <b/>
            <sz val="8"/>
            <color indexed="81"/>
            <rFont val="Tahoma"/>
            <family val="2"/>
          </rPr>
          <t>Evalueserve:</t>
        </r>
        <r>
          <rPr>
            <sz val="8"/>
            <color indexed="81"/>
            <rFont val="Tahoma"/>
            <family val="2"/>
          </rPr>
          <t xml:space="preserve">
Source:
Page 114, Form 10K405 1998</t>
        </r>
      </text>
    </comment>
    <comment ref="I739" authorId="1">
      <text>
        <r>
          <rPr>
            <b/>
            <sz val="8"/>
            <color indexed="81"/>
            <rFont val="Tahoma"/>
            <family val="2"/>
          </rPr>
          <t>Evalueserve:</t>
        </r>
        <r>
          <rPr>
            <sz val="8"/>
            <color indexed="81"/>
            <rFont val="Tahoma"/>
            <family val="2"/>
          </rPr>
          <t xml:space="preserve">
Source:
Page 79, Form 10K405 1999</t>
        </r>
      </text>
    </comment>
    <comment ref="J739" authorId="1">
      <text>
        <r>
          <rPr>
            <b/>
            <sz val="8"/>
            <color indexed="81"/>
            <rFont val="Tahoma"/>
            <family val="2"/>
          </rPr>
          <t>Evalueserve:</t>
        </r>
        <r>
          <rPr>
            <sz val="8"/>
            <color indexed="81"/>
            <rFont val="Tahoma"/>
            <family val="2"/>
          </rPr>
          <t xml:space="preserve">
Source:
Page 75, Form 10K405 2000</t>
        </r>
      </text>
    </comment>
    <comment ref="K739" authorId="1">
      <text>
        <r>
          <rPr>
            <b/>
            <sz val="8"/>
            <color indexed="81"/>
            <rFont val="Tahoma"/>
            <family val="2"/>
          </rPr>
          <t>Evalueserve:</t>
        </r>
        <r>
          <rPr>
            <sz val="8"/>
            <color indexed="81"/>
            <rFont val="Tahoma"/>
            <family val="2"/>
          </rPr>
          <t xml:space="preserve">
Source:
Page 85, Form 10K405 2001</t>
        </r>
      </text>
    </comment>
    <comment ref="L739" authorId="1">
      <text>
        <r>
          <rPr>
            <b/>
            <sz val="8"/>
            <color indexed="81"/>
            <rFont val="Tahoma"/>
            <family val="2"/>
          </rPr>
          <t>Evalueserve:</t>
        </r>
        <r>
          <rPr>
            <sz val="8"/>
            <color indexed="81"/>
            <rFont val="Tahoma"/>
            <family val="2"/>
          </rPr>
          <t xml:space="preserve">
Source:
Page 98, Form 10K 2002</t>
        </r>
      </text>
    </comment>
    <comment ref="M739" authorId="1">
      <text>
        <r>
          <rPr>
            <b/>
            <sz val="8"/>
            <color indexed="81"/>
            <rFont val="Tahoma"/>
            <family val="2"/>
          </rPr>
          <t>Evalueserve:</t>
        </r>
        <r>
          <rPr>
            <sz val="8"/>
            <color indexed="81"/>
            <rFont val="Tahoma"/>
            <family val="2"/>
          </rPr>
          <t xml:space="preserve">
Source:
Page 99, Form 10K 2003</t>
        </r>
      </text>
    </comment>
    <comment ref="N739" authorId="1">
      <text>
        <r>
          <rPr>
            <b/>
            <sz val="8"/>
            <color indexed="81"/>
            <rFont val="Tahoma"/>
            <family val="2"/>
          </rPr>
          <t>Evalueserve:</t>
        </r>
        <r>
          <rPr>
            <sz val="8"/>
            <color indexed="81"/>
            <rFont val="Tahoma"/>
            <family val="2"/>
          </rPr>
          <t xml:space="preserve">
Source:
Page 100, Form 10K 2004</t>
        </r>
      </text>
    </comment>
    <comment ref="G751" authorId="1">
      <text>
        <r>
          <rPr>
            <b/>
            <sz val="8"/>
            <color indexed="81"/>
            <rFont val="Tahoma"/>
            <family val="2"/>
          </rPr>
          <t>Evalueserve:</t>
        </r>
        <r>
          <rPr>
            <sz val="8"/>
            <color indexed="81"/>
            <rFont val="Tahoma"/>
            <family val="2"/>
          </rPr>
          <t xml:space="preserve">
Source:
Page 136, Form 10K 1997</t>
        </r>
      </text>
    </comment>
    <comment ref="H751" authorId="1">
      <text>
        <r>
          <rPr>
            <b/>
            <sz val="8"/>
            <color indexed="81"/>
            <rFont val="Tahoma"/>
            <family val="2"/>
          </rPr>
          <t>Evalueserve:</t>
        </r>
        <r>
          <rPr>
            <sz val="8"/>
            <color indexed="81"/>
            <rFont val="Tahoma"/>
            <family val="2"/>
          </rPr>
          <t xml:space="preserve">
Source:
Page 115, Form 10K405 1998</t>
        </r>
      </text>
    </comment>
    <comment ref="I751" authorId="1">
      <text>
        <r>
          <rPr>
            <b/>
            <sz val="8"/>
            <color indexed="81"/>
            <rFont val="Tahoma"/>
            <family val="2"/>
          </rPr>
          <t>Evalueserve:</t>
        </r>
        <r>
          <rPr>
            <sz val="8"/>
            <color indexed="81"/>
            <rFont val="Tahoma"/>
            <family val="2"/>
          </rPr>
          <t xml:space="preserve">
Source:
Page 80, Form 10K405 1999</t>
        </r>
      </text>
    </comment>
    <comment ref="J751" authorId="1">
      <text>
        <r>
          <rPr>
            <b/>
            <sz val="8"/>
            <color indexed="81"/>
            <rFont val="Tahoma"/>
            <family val="2"/>
          </rPr>
          <t>Evalueserve:</t>
        </r>
        <r>
          <rPr>
            <sz val="8"/>
            <color indexed="81"/>
            <rFont val="Tahoma"/>
            <family val="2"/>
          </rPr>
          <t xml:space="preserve">
Source:
Page 76, Form 10K405 2000</t>
        </r>
      </text>
    </comment>
    <comment ref="K751" authorId="1">
      <text>
        <r>
          <rPr>
            <b/>
            <sz val="8"/>
            <color indexed="81"/>
            <rFont val="Tahoma"/>
            <family val="2"/>
          </rPr>
          <t>Evalueserve:</t>
        </r>
        <r>
          <rPr>
            <sz val="8"/>
            <color indexed="81"/>
            <rFont val="Tahoma"/>
            <family val="2"/>
          </rPr>
          <t xml:space="preserve">
Reported as: 
Minimum Future rent with third party (2002)
Source:
Page 86, Form 10K405 2001</t>
        </r>
      </text>
    </comment>
    <comment ref="L751" authorId="1">
      <text>
        <r>
          <rPr>
            <b/>
            <sz val="8"/>
            <color indexed="81"/>
            <rFont val="Tahoma"/>
            <family val="2"/>
          </rPr>
          <t>Evalueserve:</t>
        </r>
        <r>
          <rPr>
            <sz val="8"/>
            <color indexed="81"/>
            <rFont val="Tahoma"/>
            <family val="2"/>
          </rPr>
          <t xml:space="preserve">
Reported as: 
Minimum Future rent with third party (2003)
Source:
Page 99, Form 10K 2002</t>
        </r>
      </text>
    </comment>
    <comment ref="M751" authorId="1">
      <text>
        <r>
          <rPr>
            <b/>
            <sz val="8"/>
            <color indexed="81"/>
            <rFont val="Tahoma"/>
            <family val="2"/>
          </rPr>
          <t>Evalueserve:</t>
        </r>
        <r>
          <rPr>
            <sz val="8"/>
            <color indexed="81"/>
            <rFont val="Tahoma"/>
            <family val="2"/>
          </rPr>
          <t xml:space="preserve">
Reported as:
Minimum Future rent with third party (2004)
Source:
Page 101, Form 10K 2003</t>
        </r>
      </text>
    </comment>
    <comment ref="N751" authorId="1">
      <text>
        <r>
          <rPr>
            <b/>
            <sz val="8"/>
            <color indexed="81"/>
            <rFont val="Tahoma"/>
            <family val="2"/>
          </rPr>
          <t>Evalueserve:</t>
        </r>
        <r>
          <rPr>
            <sz val="8"/>
            <color indexed="81"/>
            <rFont val="Tahoma"/>
            <family val="2"/>
          </rPr>
          <t xml:space="preserve">
Reported as: 
Minimum Future rent with third party (2005)
Source:
Page 102, Form 10K 2004</t>
        </r>
      </text>
    </comment>
    <comment ref="G752" authorId="1">
      <text>
        <r>
          <rPr>
            <b/>
            <sz val="8"/>
            <color indexed="81"/>
            <rFont val="Tahoma"/>
            <family val="2"/>
          </rPr>
          <t>Evalueserve:</t>
        </r>
        <r>
          <rPr>
            <sz val="8"/>
            <color indexed="81"/>
            <rFont val="Tahoma"/>
            <family val="2"/>
          </rPr>
          <t xml:space="preserve">
Source:
Page 136, Form 10K 1997</t>
        </r>
      </text>
    </comment>
    <comment ref="H752" authorId="1">
      <text>
        <r>
          <rPr>
            <b/>
            <sz val="8"/>
            <color indexed="81"/>
            <rFont val="Tahoma"/>
            <family val="2"/>
          </rPr>
          <t>Evalueserve:</t>
        </r>
        <r>
          <rPr>
            <sz val="8"/>
            <color indexed="81"/>
            <rFont val="Tahoma"/>
            <family val="2"/>
          </rPr>
          <t xml:space="preserve">
Source:
Page 115, Form 10K405 1998</t>
        </r>
      </text>
    </comment>
    <comment ref="I752" authorId="1">
      <text>
        <r>
          <rPr>
            <b/>
            <sz val="8"/>
            <color indexed="81"/>
            <rFont val="Tahoma"/>
            <family val="2"/>
          </rPr>
          <t>Evalueserve:</t>
        </r>
        <r>
          <rPr>
            <sz val="8"/>
            <color indexed="81"/>
            <rFont val="Tahoma"/>
            <family val="2"/>
          </rPr>
          <t xml:space="preserve">
Source:
Page 80, Form 10K405 1999</t>
        </r>
      </text>
    </comment>
    <comment ref="J752" authorId="1">
      <text>
        <r>
          <rPr>
            <b/>
            <sz val="8"/>
            <color indexed="81"/>
            <rFont val="Tahoma"/>
            <family val="2"/>
          </rPr>
          <t>Evalueserve:</t>
        </r>
        <r>
          <rPr>
            <sz val="8"/>
            <color indexed="81"/>
            <rFont val="Tahoma"/>
            <family val="2"/>
          </rPr>
          <t xml:space="preserve">
Source:
Page 76, Form 10K405 2000</t>
        </r>
      </text>
    </comment>
    <comment ref="K752" authorId="1">
      <text>
        <r>
          <rPr>
            <b/>
            <sz val="8"/>
            <color indexed="81"/>
            <rFont val="Tahoma"/>
            <family val="2"/>
          </rPr>
          <t>Evalueserve:</t>
        </r>
        <r>
          <rPr>
            <sz val="8"/>
            <color indexed="81"/>
            <rFont val="Tahoma"/>
            <family val="2"/>
          </rPr>
          <t xml:space="preserve">
Reported as: 
Minimum Future rent with third party (2002)
Source:
Page 86, Form 10K405 2001</t>
        </r>
      </text>
    </comment>
    <comment ref="L752" authorId="1">
      <text>
        <r>
          <rPr>
            <b/>
            <sz val="8"/>
            <color indexed="81"/>
            <rFont val="Tahoma"/>
            <family val="2"/>
          </rPr>
          <t>Evalueserve:</t>
        </r>
        <r>
          <rPr>
            <sz val="8"/>
            <color indexed="81"/>
            <rFont val="Tahoma"/>
            <family val="2"/>
          </rPr>
          <t xml:space="preserve">
Reported as: 
Minimum Future rent with third party (2003)
Source:
Page 99, Form 10K 2002</t>
        </r>
      </text>
    </comment>
    <comment ref="M752" authorId="1">
      <text>
        <r>
          <rPr>
            <b/>
            <sz val="8"/>
            <color indexed="81"/>
            <rFont val="Tahoma"/>
            <family val="2"/>
          </rPr>
          <t>Evalueserve:</t>
        </r>
        <r>
          <rPr>
            <sz val="8"/>
            <color indexed="81"/>
            <rFont val="Tahoma"/>
            <family val="2"/>
          </rPr>
          <t xml:space="preserve">
Reported as:
Minimum Future rent with third party (2004)
Source:
Page 101, Form 10K 2003</t>
        </r>
      </text>
    </comment>
    <comment ref="N752" authorId="1">
      <text>
        <r>
          <rPr>
            <b/>
            <sz val="8"/>
            <color indexed="81"/>
            <rFont val="Tahoma"/>
            <family val="2"/>
          </rPr>
          <t>Evalueserve:</t>
        </r>
        <r>
          <rPr>
            <sz val="8"/>
            <color indexed="81"/>
            <rFont val="Tahoma"/>
            <family val="2"/>
          </rPr>
          <t xml:space="preserve">
Reported as: 
Minimum Future rent with third party (2005)
Source:
Page 102, Form 10K 2004</t>
        </r>
      </text>
    </comment>
    <comment ref="G753" authorId="1">
      <text>
        <r>
          <rPr>
            <b/>
            <sz val="8"/>
            <color indexed="81"/>
            <rFont val="Tahoma"/>
            <family val="2"/>
          </rPr>
          <t>Evalueserve:</t>
        </r>
        <r>
          <rPr>
            <sz val="8"/>
            <color indexed="81"/>
            <rFont val="Tahoma"/>
            <family val="2"/>
          </rPr>
          <t xml:space="preserve">
Source:
Page 136, Form 10K 1997</t>
        </r>
      </text>
    </comment>
    <comment ref="H753" authorId="1">
      <text>
        <r>
          <rPr>
            <b/>
            <sz val="8"/>
            <color indexed="81"/>
            <rFont val="Tahoma"/>
            <family val="2"/>
          </rPr>
          <t>Evalueserve:</t>
        </r>
        <r>
          <rPr>
            <sz val="8"/>
            <color indexed="81"/>
            <rFont val="Tahoma"/>
            <family val="2"/>
          </rPr>
          <t xml:space="preserve">
Source:
Page 115, Form 10K405 1998</t>
        </r>
      </text>
    </comment>
    <comment ref="I753" authorId="1">
      <text>
        <r>
          <rPr>
            <b/>
            <sz val="8"/>
            <color indexed="81"/>
            <rFont val="Tahoma"/>
            <family val="2"/>
          </rPr>
          <t>Evalueserve:</t>
        </r>
        <r>
          <rPr>
            <sz val="8"/>
            <color indexed="81"/>
            <rFont val="Tahoma"/>
            <family val="2"/>
          </rPr>
          <t xml:space="preserve">
Source:
Page 80, Form 10K405 1999</t>
        </r>
      </text>
    </comment>
    <comment ref="J753" authorId="1">
      <text>
        <r>
          <rPr>
            <b/>
            <sz val="8"/>
            <color indexed="81"/>
            <rFont val="Tahoma"/>
            <family val="2"/>
          </rPr>
          <t>Evalueserve:</t>
        </r>
        <r>
          <rPr>
            <sz val="8"/>
            <color indexed="81"/>
            <rFont val="Tahoma"/>
            <family val="2"/>
          </rPr>
          <t xml:space="preserve">
Source:
Page 76, Form 10K405 2000</t>
        </r>
      </text>
    </comment>
    <comment ref="K753" authorId="1">
      <text>
        <r>
          <rPr>
            <b/>
            <sz val="8"/>
            <color indexed="81"/>
            <rFont val="Tahoma"/>
            <family val="2"/>
          </rPr>
          <t>Evalueserve:</t>
        </r>
        <r>
          <rPr>
            <sz val="8"/>
            <color indexed="81"/>
            <rFont val="Tahoma"/>
            <family val="2"/>
          </rPr>
          <t xml:space="preserve">
Reported as: 
Minimum Future rent with third party (2002)
Source:
Page 86, Form 10K405 2001</t>
        </r>
      </text>
    </comment>
    <comment ref="L753" authorId="1">
      <text>
        <r>
          <rPr>
            <b/>
            <sz val="8"/>
            <color indexed="81"/>
            <rFont val="Tahoma"/>
            <family val="2"/>
          </rPr>
          <t>Evalueserve:</t>
        </r>
        <r>
          <rPr>
            <sz val="8"/>
            <color indexed="81"/>
            <rFont val="Tahoma"/>
            <family val="2"/>
          </rPr>
          <t xml:space="preserve">
Reported as: 
Minimum Future rent with third party (2003)
Source:
Page 99, Form 10K 2002</t>
        </r>
      </text>
    </comment>
    <comment ref="M753" authorId="1">
      <text>
        <r>
          <rPr>
            <b/>
            <sz val="8"/>
            <color indexed="81"/>
            <rFont val="Tahoma"/>
            <family val="2"/>
          </rPr>
          <t>Evalueserve:</t>
        </r>
        <r>
          <rPr>
            <sz val="8"/>
            <color indexed="81"/>
            <rFont val="Tahoma"/>
            <family val="2"/>
          </rPr>
          <t xml:space="preserve">
Reported as:
Minimum Future rent with third party (2004)
Source:
Page 101, Form 10K 2003</t>
        </r>
      </text>
    </comment>
    <comment ref="N753" authorId="1">
      <text>
        <r>
          <rPr>
            <b/>
            <sz val="8"/>
            <color indexed="81"/>
            <rFont val="Tahoma"/>
            <family val="2"/>
          </rPr>
          <t>Evalueserve:</t>
        </r>
        <r>
          <rPr>
            <sz val="8"/>
            <color indexed="81"/>
            <rFont val="Tahoma"/>
            <family val="2"/>
          </rPr>
          <t xml:space="preserve">
Reported as: 
Minimum Future rent with third party (2005)
Source:
Page 102, Form 10K 2004</t>
        </r>
      </text>
    </comment>
    <comment ref="G754" authorId="1">
      <text>
        <r>
          <rPr>
            <b/>
            <sz val="8"/>
            <color indexed="81"/>
            <rFont val="Tahoma"/>
            <family val="2"/>
          </rPr>
          <t>Evalueserve:</t>
        </r>
        <r>
          <rPr>
            <sz val="8"/>
            <color indexed="81"/>
            <rFont val="Tahoma"/>
            <family val="2"/>
          </rPr>
          <t xml:space="preserve">
Source:
Page 136, Form 10K 1997</t>
        </r>
      </text>
    </comment>
    <comment ref="H754" authorId="1">
      <text>
        <r>
          <rPr>
            <b/>
            <sz val="8"/>
            <color indexed="81"/>
            <rFont val="Tahoma"/>
            <family val="2"/>
          </rPr>
          <t>Evalueserve:</t>
        </r>
        <r>
          <rPr>
            <sz val="8"/>
            <color indexed="81"/>
            <rFont val="Tahoma"/>
            <family val="2"/>
          </rPr>
          <t xml:space="preserve">
Source:
Page 115, Form 10K405 1998</t>
        </r>
      </text>
    </comment>
    <comment ref="I754" authorId="1">
      <text>
        <r>
          <rPr>
            <b/>
            <sz val="8"/>
            <color indexed="81"/>
            <rFont val="Tahoma"/>
            <family val="2"/>
          </rPr>
          <t>Evalueserve:</t>
        </r>
        <r>
          <rPr>
            <sz val="8"/>
            <color indexed="81"/>
            <rFont val="Tahoma"/>
            <family val="2"/>
          </rPr>
          <t xml:space="preserve">
Source:
Page 80, Form 10K405 1999</t>
        </r>
      </text>
    </comment>
    <comment ref="J754" authorId="1">
      <text>
        <r>
          <rPr>
            <b/>
            <sz val="8"/>
            <color indexed="81"/>
            <rFont val="Tahoma"/>
            <family val="2"/>
          </rPr>
          <t>Evalueserve:</t>
        </r>
        <r>
          <rPr>
            <sz val="8"/>
            <color indexed="81"/>
            <rFont val="Tahoma"/>
            <family val="2"/>
          </rPr>
          <t xml:space="preserve">
Source:
Page 76, Form 10K405 2000</t>
        </r>
      </text>
    </comment>
    <comment ref="K754" authorId="1">
      <text>
        <r>
          <rPr>
            <b/>
            <sz val="8"/>
            <color indexed="81"/>
            <rFont val="Tahoma"/>
            <family val="2"/>
          </rPr>
          <t>Evalueserve:</t>
        </r>
        <r>
          <rPr>
            <sz val="8"/>
            <color indexed="81"/>
            <rFont val="Tahoma"/>
            <family val="2"/>
          </rPr>
          <t xml:space="preserve">
Reported as: 
Minimum Future rent with third party (2002)
Source:
Page 86, Form 10K405 2001</t>
        </r>
      </text>
    </comment>
    <comment ref="L754" authorId="1">
      <text>
        <r>
          <rPr>
            <b/>
            <sz val="8"/>
            <color indexed="81"/>
            <rFont val="Tahoma"/>
            <family val="2"/>
          </rPr>
          <t>Evalueserve:</t>
        </r>
        <r>
          <rPr>
            <sz val="8"/>
            <color indexed="81"/>
            <rFont val="Tahoma"/>
            <family val="2"/>
          </rPr>
          <t xml:space="preserve">
Reported as: 
Minimum Future rent with third party (2003)
Source:
Page 99, Form 10K 2002</t>
        </r>
      </text>
    </comment>
    <comment ref="M754" authorId="1">
      <text>
        <r>
          <rPr>
            <b/>
            <sz val="8"/>
            <color indexed="81"/>
            <rFont val="Tahoma"/>
            <family val="2"/>
          </rPr>
          <t>Evalueserve:</t>
        </r>
        <r>
          <rPr>
            <sz val="8"/>
            <color indexed="81"/>
            <rFont val="Tahoma"/>
            <family val="2"/>
          </rPr>
          <t xml:space="preserve">
Reported as:
Minimum Future rent with third party (2004)
Source:
Page 101, Form 10K 2003</t>
        </r>
      </text>
    </comment>
    <comment ref="N754" authorId="1">
      <text>
        <r>
          <rPr>
            <b/>
            <sz val="8"/>
            <color indexed="81"/>
            <rFont val="Tahoma"/>
            <family val="2"/>
          </rPr>
          <t>Evalueserve:</t>
        </r>
        <r>
          <rPr>
            <sz val="8"/>
            <color indexed="81"/>
            <rFont val="Tahoma"/>
            <family val="2"/>
          </rPr>
          <t xml:space="preserve">
Reported as: 
Minimum Future rent with third party (2005)
Source:
Page 102, Form 10K 2004</t>
        </r>
      </text>
    </comment>
    <comment ref="G755" authorId="1">
      <text>
        <r>
          <rPr>
            <b/>
            <sz val="8"/>
            <color indexed="81"/>
            <rFont val="Tahoma"/>
            <family val="2"/>
          </rPr>
          <t>Evalueserve:</t>
        </r>
        <r>
          <rPr>
            <sz val="8"/>
            <color indexed="81"/>
            <rFont val="Tahoma"/>
            <family val="2"/>
          </rPr>
          <t xml:space="preserve">
Source:
Page 136, Form 10K 1997</t>
        </r>
      </text>
    </comment>
    <comment ref="H755" authorId="1">
      <text>
        <r>
          <rPr>
            <b/>
            <sz val="8"/>
            <color indexed="81"/>
            <rFont val="Tahoma"/>
            <family val="2"/>
          </rPr>
          <t>Evalueserve:</t>
        </r>
        <r>
          <rPr>
            <sz val="8"/>
            <color indexed="81"/>
            <rFont val="Tahoma"/>
            <family val="2"/>
          </rPr>
          <t xml:space="preserve">
Source:
Page 115, Form 10K405 1998</t>
        </r>
      </text>
    </comment>
    <comment ref="I755" authorId="1">
      <text>
        <r>
          <rPr>
            <b/>
            <sz val="8"/>
            <color indexed="81"/>
            <rFont val="Tahoma"/>
            <family val="2"/>
          </rPr>
          <t>Evalueserve:</t>
        </r>
        <r>
          <rPr>
            <sz val="8"/>
            <color indexed="81"/>
            <rFont val="Tahoma"/>
            <family val="2"/>
          </rPr>
          <t xml:space="preserve">
Source:
Page 80, Form 10K405 1999</t>
        </r>
      </text>
    </comment>
    <comment ref="J755" authorId="1">
      <text>
        <r>
          <rPr>
            <b/>
            <sz val="8"/>
            <color indexed="81"/>
            <rFont val="Tahoma"/>
            <family val="2"/>
          </rPr>
          <t>Evalueserve:</t>
        </r>
        <r>
          <rPr>
            <sz val="8"/>
            <color indexed="81"/>
            <rFont val="Tahoma"/>
            <family val="2"/>
          </rPr>
          <t xml:space="preserve">
Source:
Page 76, Form 10K405 2000</t>
        </r>
      </text>
    </comment>
    <comment ref="K755" authorId="1">
      <text>
        <r>
          <rPr>
            <b/>
            <sz val="8"/>
            <color indexed="81"/>
            <rFont val="Tahoma"/>
            <family val="2"/>
          </rPr>
          <t>Evalueserve:</t>
        </r>
        <r>
          <rPr>
            <sz val="8"/>
            <color indexed="81"/>
            <rFont val="Tahoma"/>
            <family val="2"/>
          </rPr>
          <t xml:space="preserve">
Reported as: 
Minimum Future rent with third party (2002)
Source:
Page 86, Form 10K405 2001</t>
        </r>
      </text>
    </comment>
    <comment ref="L755" authorId="1">
      <text>
        <r>
          <rPr>
            <b/>
            <sz val="8"/>
            <color indexed="81"/>
            <rFont val="Tahoma"/>
            <family val="2"/>
          </rPr>
          <t>Evalueserve:</t>
        </r>
        <r>
          <rPr>
            <sz val="8"/>
            <color indexed="81"/>
            <rFont val="Tahoma"/>
            <family val="2"/>
          </rPr>
          <t xml:space="preserve">
Reported as: 
Minimum Future rent with third party (2003)
Source:
Page 99, Form 10K 2002</t>
        </r>
      </text>
    </comment>
    <comment ref="M755" authorId="1">
      <text>
        <r>
          <rPr>
            <b/>
            <sz val="8"/>
            <color indexed="81"/>
            <rFont val="Tahoma"/>
            <family val="2"/>
          </rPr>
          <t>Evalueserve:</t>
        </r>
        <r>
          <rPr>
            <sz val="8"/>
            <color indexed="81"/>
            <rFont val="Tahoma"/>
            <family val="2"/>
          </rPr>
          <t xml:space="preserve">
Reported as:
Minimum Future rent with third party (2004)
Source:
Page 101, Form 10K 2003</t>
        </r>
      </text>
    </comment>
    <comment ref="N755" authorId="1">
      <text>
        <r>
          <rPr>
            <b/>
            <sz val="8"/>
            <color indexed="81"/>
            <rFont val="Tahoma"/>
            <family val="2"/>
          </rPr>
          <t>Evalueserve:</t>
        </r>
        <r>
          <rPr>
            <sz val="8"/>
            <color indexed="81"/>
            <rFont val="Tahoma"/>
            <family val="2"/>
          </rPr>
          <t xml:space="preserve">
Reported as: 
Minimum Future rent with third party (2005)
Source:
Page 102, Form 10K 2004</t>
        </r>
      </text>
    </comment>
    <comment ref="G756" authorId="1">
      <text>
        <r>
          <rPr>
            <b/>
            <sz val="8"/>
            <color indexed="81"/>
            <rFont val="Tahoma"/>
            <family val="2"/>
          </rPr>
          <t>Evalueserve:</t>
        </r>
        <r>
          <rPr>
            <sz val="8"/>
            <color indexed="81"/>
            <rFont val="Tahoma"/>
            <family val="2"/>
          </rPr>
          <t xml:space="preserve">
Source:
Page 136, Form 10K 1997</t>
        </r>
      </text>
    </comment>
    <comment ref="H756" authorId="1">
      <text>
        <r>
          <rPr>
            <b/>
            <sz val="8"/>
            <color indexed="81"/>
            <rFont val="Tahoma"/>
            <family val="2"/>
          </rPr>
          <t>Evalueserve:</t>
        </r>
        <r>
          <rPr>
            <sz val="8"/>
            <color indexed="81"/>
            <rFont val="Tahoma"/>
            <family val="2"/>
          </rPr>
          <t xml:space="preserve">
Source:
Page 115, Form 10K405 1998</t>
        </r>
      </text>
    </comment>
    <comment ref="I756" authorId="1">
      <text>
        <r>
          <rPr>
            <b/>
            <sz val="8"/>
            <color indexed="81"/>
            <rFont val="Tahoma"/>
            <family val="2"/>
          </rPr>
          <t>Evalueserve:</t>
        </r>
        <r>
          <rPr>
            <sz val="8"/>
            <color indexed="81"/>
            <rFont val="Tahoma"/>
            <family val="2"/>
          </rPr>
          <t xml:space="preserve">
Source:
Page 80, Form 10K405 1999</t>
        </r>
      </text>
    </comment>
    <comment ref="J756" authorId="1">
      <text>
        <r>
          <rPr>
            <b/>
            <sz val="8"/>
            <color indexed="81"/>
            <rFont val="Tahoma"/>
            <family val="2"/>
          </rPr>
          <t>Evalueserve:</t>
        </r>
        <r>
          <rPr>
            <sz val="8"/>
            <color indexed="81"/>
            <rFont val="Tahoma"/>
            <family val="2"/>
          </rPr>
          <t xml:space="preserve">
Source:
Page 76, Form 10K405 2000</t>
        </r>
      </text>
    </comment>
    <comment ref="K756" authorId="1">
      <text>
        <r>
          <rPr>
            <b/>
            <sz val="8"/>
            <color indexed="81"/>
            <rFont val="Tahoma"/>
            <family val="2"/>
          </rPr>
          <t>Evalueserve:</t>
        </r>
        <r>
          <rPr>
            <sz val="8"/>
            <color indexed="81"/>
            <rFont val="Tahoma"/>
            <family val="2"/>
          </rPr>
          <t xml:space="preserve">
Reported as:
Minimum Future rent with third party (Thereafter)
Source:
Page 86, Form 10K405 2001</t>
        </r>
      </text>
    </comment>
    <comment ref="L756" authorId="1">
      <text>
        <r>
          <rPr>
            <b/>
            <sz val="8"/>
            <color indexed="81"/>
            <rFont val="Tahoma"/>
            <family val="2"/>
          </rPr>
          <t>Evalueserve:</t>
        </r>
        <r>
          <rPr>
            <sz val="8"/>
            <color indexed="81"/>
            <rFont val="Tahoma"/>
            <family val="2"/>
          </rPr>
          <t xml:space="preserve">
Reported as:
Minimum Future rent with third party (Thereafter)
Source:
Page 99, Form 10K 2002</t>
        </r>
      </text>
    </comment>
    <comment ref="M756" authorId="1">
      <text>
        <r>
          <rPr>
            <b/>
            <sz val="8"/>
            <color indexed="81"/>
            <rFont val="Tahoma"/>
            <family val="2"/>
          </rPr>
          <t>Evalueserve:</t>
        </r>
        <r>
          <rPr>
            <sz val="8"/>
            <color indexed="81"/>
            <rFont val="Tahoma"/>
            <family val="2"/>
          </rPr>
          <t xml:space="preserve">
Reported as:
Minimum Future rent with third party (Thereafter)
Source:
Page 101, Form 10K 2003</t>
        </r>
      </text>
    </comment>
    <comment ref="N756" authorId="1">
      <text>
        <r>
          <rPr>
            <b/>
            <sz val="8"/>
            <color indexed="81"/>
            <rFont val="Tahoma"/>
            <family val="2"/>
          </rPr>
          <t>Evalueserve:</t>
        </r>
        <r>
          <rPr>
            <sz val="8"/>
            <color indexed="81"/>
            <rFont val="Tahoma"/>
            <family val="2"/>
          </rPr>
          <t xml:space="preserve">
Reported as:
Minimum Future rent with third party (Thereafter)
Source:
Page 102, Form 10K 2004</t>
        </r>
      </text>
    </comment>
    <comment ref="G757" authorId="1">
      <text>
        <r>
          <rPr>
            <b/>
            <sz val="8"/>
            <color indexed="81"/>
            <rFont val="Tahoma"/>
            <family val="2"/>
          </rPr>
          <t>Evalueserve:</t>
        </r>
        <r>
          <rPr>
            <sz val="8"/>
            <color indexed="81"/>
            <rFont val="Tahoma"/>
            <family val="2"/>
          </rPr>
          <t xml:space="preserve">
Reported as:
Minimum Future rent with third party
Source:
Page 115, Form 10K405 1998
</t>
        </r>
      </text>
    </comment>
    <comment ref="H757" authorId="1">
      <text>
        <r>
          <rPr>
            <b/>
            <sz val="8"/>
            <color indexed="81"/>
            <rFont val="Tahoma"/>
            <family val="2"/>
          </rPr>
          <t>Evalueserve:</t>
        </r>
        <r>
          <rPr>
            <sz val="8"/>
            <color indexed="81"/>
            <rFont val="Tahoma"/>
            <family val="2"/>
          </rPr>
          <t xml:space="preserve">
Reported as:
Minimum Future rent with third party
Source:
Page 80, Form 10K405 1999</t>
        </r>
      </text>
    </comment>
    <comment ref="I757" authorId="1">
      <text>
        <r>
          <rPr>
            <b/>
            <sz val="8"/>
            <color indexed="81"/>
            <rFont val="Tahoma"/>
            <family val="2"/>
          </rPr>
          <t>Evalueserve:</t>
        </r>
        <r>
          <rPr>
            <sz val="8"/>
            <color indexed="81"/>
            <rFont val="Tahoma"/>
            <family val="2"/>
          </rPr>
          <t xml:space="preserve">
Reported as: 
Minimum Future rent with third party
Source:
Page 76, Form 10K405 2000</t>
        </r>
      </text>
    </comment>
    <comment ref="J757" authorId="1">
      <text>
        <r>
          <rPr>
            <b/>
            <sz val="8"/>
            <color indexed="81"/>
            <rFont val="Tahoma"/>
            <family val="2"/>
          </rPr>
          <t>Evalueserve:</t>
        </r>
        <r>
          <rPr>
            <sz val="8"/>
            <color indexed="81"/>
            <rFont val="Tahoma"/>
            <family val="2"/>
          </rPr>
          <t xml:space="preserve">
Reported as:
Minimum Future rent with third party
Source:
Page 86, Form 10K405 2001</t>
        </r>
      </text>
    </comment>
    <comment ref="K757" authorId="1">
      <text>
        <r>
          <rPr>
            <b/>
            <sz val="8"/>
            <color indexed="81"/>
            <rFont val="Tahoma"/>
            <family val="2"/>
          </rPr>
          <t>Evalueserve:</t>
        </r>
        <r>
          <rPr>
            <sz val="8"/>
            <color indexed="81"/>
            <rFont val="Tahoma"/>
            <family val="2"/>
          </rPr>
          <t xml:space="preserve">
Reported as: 
Minimum Future rent with third party
Source:
Page 99, Form 10K 2002
</t>
        </r>
      </text>
    </comment>
    <comment ref="L757" authorId="1">
      <text>
        <r>
          <rPr>
            <b/>
            <sz val="8"/>
            <color indexed="81"/>
            <rFont val="Tahoma"/>
            <family val="2"/>
          </rPr>
          <t>Evalueserve:</t>
        </r>
        <r>
          <rPr>
            <sz val="8"/>
            <color indexed="81"/>
            <rFont val="Tahoma"/>
            <family val="2"/>
          </rPr>
          <t xml:space="preserve">
Reported as: 
Minimum Future rent with third party
Source:
Page 101, Form 10K 2003
</t>
        </r>
      </text>
    </comment>
    <comment ref="M757" authorId="1">
      <text>
        <r>
          <rPr>
            <b/>
            <sz val="8"/>
            <color indexed="81"/>
            <rFont val="Tahoma"/>
            <family val="2"/>
          </rPr>
          <t>Evalueserve:</t>
        </r>
        <r>
          <rPr>
            <sz val="8"/>
            <color indexed="81"/>
            <rFont val="Tahoma"/>
            <family val="2"/>
          </rPr>
          <t xml:space="preserve">
Reported as: 
Minimum Future rent with third party
Source:
Page 102, Form 10K 2004</t>
        </r>
      </text>
    </comment>
    <comment ref="N757" authorId="1">
      <text>
        <r>
          <rPr>
            <b/>
            <sz val="8"/>
            <color indexed="81"/>
            <rFont val="Tahoma"/>
            <family val="2"/>
          </rPr>
          <t>Evalueserve:</t>
        </r>
        <r>
          <rPr>
            <sz val="8"/>
            <color indexed="81"/>
            <rFont val="Tahoma"/>
            <family val="2"/>
          </rPr>
          <t xml:space="preserve">
Reported as:
Minimum Future rent with third party
Source:
Page 102, Form 10K 2004
</t>
        </r>
      </text>
    </comment>
    <comment ref="G761" authorId="1">
      <text>
        <r>
          <rPr>
            <b/>
            <sz val="8"/>
            <color indexed="81"/>
            <rFont val="Tahoma"/>
            <family val="2"/>
          </rPr>
          <t>Evalueserve:</t>
        </r>
        <r>
          <rPr>
            <sz val="8"/>
            <color indexed="81"/>
            <rFont val="Tahoma"/>
            <family val="2"/>
          </rPr>
          <t xml:space="preserve">
Reported as:
Depreciation and Amortization
Since no break up of this item is given between depreciation, amortization of goodwill and amortization of other intangible assets, we are reporting the entire amount here only. 
</t>
        </r>
      </text>
    </comment>
    <comment ref="H761" authorId="1">
      <text>
        <r>
          <rPr>
            <b/>
            <sz val="8"/>
            <color indexed="81"/>
            <rFont val="Tahoma"/>
            <family val="2"/>
          </rPr>
          <t>Evalueserve:</t>
        </r>
        <r>
          <rPr>
            <sz val="8"/>
            <color indexed="81"/>
            <rFont val="Tahoma"/>
            <family val="2"/>
          </rPr>
          <t xml:space="preserve">
Reported as:
Depreciation and Amortization
Since no break up of this item is given between depreciation, amortization of goodwill and amortization of other intangible assets, we are reporting the entire amount here only. 
</t>
        </r>
      </text>
    </comment>
    <comment ref="G762" authorId="1">
      <text>
        <r>
          <rPr>
            <b/>
            <sz val="8"/>
            <color indexed="81"/>
            <rFont val="Tahoma"/>
            <family val="2"/>
          </rPr>
          <t>Evalueserve:</t>
        </r>
        <r>
          <rPr>
            <sz val="8"/>
            <color indexed="81"/>
            <rFont val="Tahoma"/>
            <family val="2"/>
          </rPr>
          <t xml:space="preserve">
Data not available.</t>
        </r>
      </text>
    </comment>
    <comment ref="H762" authorId="1">
      <text>
        <r>
          <rPr>
            <b/>
            <sz val="8"/>
            <color indexed="81"/>
            <rFont val="Tahoma"/>
            <family val="2"/>
          </rPr>
          <t>Evalueserve:</t>
        </r>
        <r>
          <rPr>
            <sz val="8"/>
            <color indexed="81"/>
            <rFont val="Tahoma"/>
            <family val="2"/>
          </rPr>
          <t xml:space="preserve">
Data not available.</t>
        </r>
      </text>
    </comment>
    <comment ref="I762" authorId="1">
      <text>
        <r>
          <rPr>
            <b/>
            <sz val="8"/>
            <color indexed="81"/>
            <rFont val="Tahoma"/>
            <family val="2"/>
          </rPr>
          <t>Evalueserve:</t>
        </r>
        <r>
          <rPr>
            <sz val="8"/>
            <color indexed="81"/>
            <rFont val="Tahoma"/>
            <family val="2"/>
          </rPr>
          <t xml:space="preserve">
Data not available.</t>
        </r>
      </text>
    </comment>
    <comment ref="J762" authorId="1">
      <text>
        <r>
          <rPr>
            <b/>
            <sz val="8"/>
            <color indexed="81"/>
            <rFont val="Tahoma"/>
            <family val="2"/>
          </rPr>
          <t>Evalueserve:</t>
        </r>
        <r>
          <rPr>
            <sz val="8"/>
            <color indexed="81"/>
            <rFont val="Tahoma"/>
            <family val="2"/>
          </rPr>
          <t xml:space="preserve">
Data not available.</t>
        </r>
      </text>
    </comment>
    <comment ref="K762" authorId="1">
      <text>
        <r>
          <rPr>
            <b/>
            <sz val="8"/>
            <color indexed="81"/>
            <rFont val="Tahoma"/>
            <family val="2"/>
          </rPr>
          <t>Evalueserve:</t>
        </r>
        <r>
          <rPr>
            <sz val="8"/>
            <color indexed="81"/>
            <rFont val="Tahoma"/>
            <family val="2"/>
          </rPr>
          <t xml:space="preserve">
Data not available.</t>
        </r>
      </text>
    </comment>
    <comment ref="L762" authorId="1">
      <text>
        <r>
          <rPr>
            <b/>
            <sz val="8"/>
            <color indexed="81"/>
            <rFont val="Tahoma"/>
            <family val="2"/>
          </rPr>
          <t>Evalueserve:</t>
        </r>
        <r>
          <rPr>
            <sz val="8"/>
            <color indexed="81"/>
            <rFont val="Tahoma"/>
            <family val="2"/>
          </rPr>
          <t xml:space="preserve">
The company also reports Discount rate on Foreign pension benefits as 6.44%
Source:
Page 99, Form 10K 2003</t>
        </r>
      </text>
    </comment>
    <comment ref="M762" authorId="1">
      <text>
        <r>
          <rPr>
            <b/>
            <sz val="8"/>
            <color indexed="81"/>
            <rFont val="Tahoma"/>
            <family val="2"/>
          </rPr>
          <t>Evalueserve:</t>
        </r>
        <r>
          <rPr>
            <sz val="8"/>
            <color indexed="81"/>
            <rFont val="Tahoma"/>
            <family val="2"/>
          </rPr>
          <t xml:space="preserve">
The company also reports Discount rate on Foreign pension benefits as 6.09%
Source:
Page 100, Form 10K 2004</t>
        </r>
      </text>
    </comment>
    <comment ref="N762" authorId="1">
      <text>
        <r>
          <rPr>
            <b/>
            <sz val="8"/>
            <color indexed="81"/>
            <rFont val="Tahoma"/>
            <family val="2"/>
          </rPr>
          <t>Evalueserve:</t>
        </r>
        <r>
          <rPr>
            <sz val="8"/>
            <color indexed="81"/>
            <rFont val="Tahoma"/>
            <family val="2"/>
          </rPr>
          <t xml:space="preserve">
The company also reports Discount rate on Foreign pension benefits as 5.87%
Source:
Page 100, Form 10K 2004</t>
        </r>
      </text>
    </comment>
    <comment ref="G763" authorId="1">
      <text>
        <r>
          <rPr>
            <b/>
            <sz val="8"/>
            <color indexed="81"/>
            <rFont val="Tahoma"/>
            <family val="2"/>
          </rPr>
          <t>Evalueserve:</t>
        </r>
        <r>
          <rPr>
            <sz val="8"/>
            <color indexed="81"/>
            <rFont val="Tahoma"/>
            <family val="2"/>
          </rPr>
          <t xml:space="preserve">
Data not available.</t>
        </r>
      </text>
    </comment>
    <comment ref="H763" authorId="1">
      <text>
        <r>
          <rPr>
            <b/>
            <sz val="8"/>
            <color indexed="81"/>
            <rFont val="Tahoma"/>
            <family val="2"/>
          </rPr>
          <t>Evalueserve:</t>
        </r>
        <r>
          <rPr>
            <sz val="8"/>
            <color indexed="81"/>
            <rFont val="Tahoma"/>
            <family val="2"/>
          </rPr>
          <t xml:space="preserve">
Data not available.</t>
        </r>
      </text>
    </comment>
    <comment ref="I763" authorId="1">
      <text>
        <r>
          <rPr>
            <b/>
            <sz val="8"/>
            <color indexed="81"/>
            <rFont val="Tahoma"/>
            <family val="2"/>
          </rPr>
          <t>Evalueserve:</t>
        </r>
        <r>
          <rPr>
            <sz val="8"/>
            <color indexed="81"/>
            <rFont val="Tahoma"/>
            <family val="2"/>
          </rPr>
          <t xml:space="preserve">
Data not available.</t>
        </r>
      </text>
    </comment>
    <comment ref="J763" authorId="1">
      <text>
        <r>
          <rPr>
            <b/>
            <sz val="8"/>
            <color indexed="81"/>
            <rFont val="Tahoma"/>
            <family val="2"/>
          </rPr>
          <t>Evalueserve:</t>
        </r>
        <r>
          <rPr>
            <sz val="8"/>
            <color indexed="81"/>
            <rFont val="Tahoma"/>
            <family val="2"/>
          </rPr>
          <t xml:space="preserve">
Data not available.</t>
        </r>
      </text>
    </comment>
    <comment ref="K763" authorId="1">
      <text>
        <r>
          <rPr>
            <b/>
            <sz val="8"/>
            <color indexed="81"/>
            <rFont val="Tahoma"/>
            <family val="2"/>
          </rPr>
          <t>Evalueserve:</t>
        </r>
        <r>
          <rPr>
            <sz val="8"/>
            <color indexed="81"/>
            <rFont val="Tahoma"/>
            <family val="2"/>
          </rPr>
          <t xml:space="preserve">
Data not available.</t>
        </r>
      </text>
    </comment>
    <comment ref="L763" authorId="1">
      <text>
        <r>
          <rPr>
            <b/>
            <sz val="8"/>
            <color indexed="81"/>
            <rFont val="Tahoma"/>
            <family val="2"/>
          </rPr>
          <t>Evalueserve:</t>
        </r>
        <r>
          <rPr>
            <sz val="8"/>
            <color indexed="81"/>
            <rFont val="Tahoma"/>
            <family val="2"/>
          </rPr>
          <t xml:space="preserve">
The company also reports Expected return on plan assets 7.94%
Source:
Page 99, Form 10K 2003</t>
        </r>
      </text>
    </comment>
    <comment ref="M763" authorId="1">
      <text>
        <r>
          <rPr>
            <b/>
            <sz val="8"/>
            <color indexed="81"/>
            <rFont val="Tahoma"/>
            <family val="2"/>
          </rPr>
          <t>Evalueserve:</t>
        </r>
        <r>
          <rPr>
            <sz val="8"/>
            <color indexed="81"/>
            <rFont val="Tahoma"/>
            <family val="2"/>
          </rPr>
          <t xml:space="preserve">
The company also reports Expected return on plan assets 7.37%
Source:
Page 100, Form 10K 2004</t>
        </r>
      </text>
    </comment>
    <comment ref="N763" authorId="1">
      <text>
        <r>
          <rPr>
            <b/>
            <sz val="8"/>
            <color indexed="81"/>
            <rFont val="Tahoma"/>
            <family val="2"/>
          </rPr>
          <t>Evalueserve:</t>
        </r>
        <r>
          <rPr>
            <sz val="8"/>
            <color indexed="81"/>
            <rFont val="Tahoma"/>
            <family val="2"/>
          </rPr>
          <t xml:space="preserve">
The company also reports Expected return on plan assets 7.02%
Source:
Page 100, Form 10K 2004</t>
        </r>
      </text>
    </comment>
    <comment ref="G764" authorId="1">
      <text>
        <r>
          <rPr>
            <b/>
            <sz val="8"/>
            <color indexed="81"/>
            <rFont val="Tahoma"/>
            <family val="2"/>
          </rPr>
          <t>Evalueserve:</t>
        </r>
        <r>
          <rPr>
            <sz val="8"/>
            <color indexed="81"/>
            <rFont val="Tahoma"/>
            <family val="2"/>
          </rPr>
          <t xml:space="preserve">
Data not available.</t>
        </r>
      </text>
    </comment>
    <comment ref="H764" authorId="1">
      <text>
        <r>
          <rPr>
            <b/>
            <sz val="8"/>
            <color indexed="81"/>
            <rFont val="Tahoma"/>
            <family val="2"/>
          </rPr>
          <t>Evalueserve:</t>
        </r>
        <r>
          <rPr>
            <sz val="8"/>
            <color indexed="81"/>
            <rFont val="Tahoma"/>
            <family val="2"/>
          </rPr>
          <t xml:space="preserve">
Data not available.</t>
        </r>
      </text>
    </comment>
    <comment ref="I764" authorId="1">
      <text>
        <r>
          <rPr>
            <b/>
            <sz val="8"/>
            <color indexed="81"/>
            <rFont val="Tahoma"/>
            <family val="2"/>
          </rPr>
          <t>Evalueserve:</t>
        </r>
        <r>
          <rPr>
            <sz val="8"/>
            <color indexed="81"/>
            <rFont val="Tahoma"/>
            <family val="2"/>
          </rPr>
          <t xml:space="preserve">
Data not available.</t>
        </r>
      </text>
    </comment>
    <comment ref="J764" authorId="1">
      <text>
        <r>
          <rPr>
            <b/>
            <sz val="8"/>
            <color indexed="81"/>
            <rFont val="Tahoma"/>
            <family val="2"/>
          </rPr>
          <t>Evalueserve:</t>
        </r>
        <r>
          <rPr>
            <sz val="8"/>
            <color indexed="81"/>
            <rFont val="Tahoma"/>
            <family val="2"/>
          </rPr>
          <t xml:space="preserve">
Data not available.</t>
        </r>
      </text>
    </comment>
    <comment ref="K764" authorId="1">
      <text>
        <r>
          <rPr>
            <b/>
            <sz val="8"/>
            <color indexed="81"/>
            <rFont val="Tahoma"/>
            <family val="2"/>
          </rPr>
          <t>Evalueserve:</t>
        </r>
        <r>
          <rPr>
            <sz val="8"/>
            <color indexed="81"/>
            <rFont val="Tahoma"/>
            <family val="2"/>
          </rPr>
          <t xml:space="preserve">
Data not available.</t>
        </r>
      </text>
    </comment>
    <comment ref="L764" authorId="1">
      <text>
        <r>
          <rPr>
            <b/>
            <sz val="8"/>
            <color indexed="81"/>
            <rFont val="Tahoma"/>
            <family val="2"/>
          </rPr>
          <t>Evalueserve:</t>
        </r>
        <r>
          <rPr>
            <sz val="8"/>
            <color indexed="81"/>
            <rFont val="Tahoma"/>
            <family val="2"/>
          </rPr>
          <t xml:space="preserve">
The company reports Rate of compensation increase on Foreign pension benefits as 4.29%
Source:
Page 99, Form 10K 2003</t>
        </r>
      </text>
    </comment>
    <comment ref="M764" authorId="1">
      <text>
        <r>
          <rPr>
            <b/>
            <sz val="8"/>
            <color indexed="81"/>
            <rFont val="Tahoma"/>
            <family val="2"/>
          </rPr>
          <t>Evalueserve:</t>
        </r>
        <r>
          <rPr>
            <sz val="8"/>
            <color indexed="81"/>
            <rFont val="Tahoma"/>
            <family val="2"/>
          </rPr>
          <t xml:space="preserve">
The company reports Rate of compensation increase on Foreign pension benefits as 3.96%
Source:
Page 100, Form 10K 2004</t>
        </r>
      </text>
    </comment>
    <comment ref="N764" authorId="1">
      <text>
        <r>
          <rPr>
            <b/>
            <sz val="8"/>
            <color indexed="81"/>
            <rFont val="Tahoma"/>
            <family val="2"/>
          </rPr>
          <t>Evalueserve:</t>
        </r>
        <r>
          <rPr>
            <sz val="8"/>
            <color indexed="81"/>
            <rFont val="Tahoma"/>
            <family val="2"/>
          </rPr>
          <t xml:space="preserve">
The company reports Rate of compensation increase on Foreign pension benefits as 3.74%
Source:
Page 100, Form 10K 2004</t>
        </r>
      </text>
    </comment>
    <comment ref="G765" authorId="1">
      <text>
        <r>
          <rPr>
            <b/>
            <sz val="8"/>
            <color indexed="81"/>
            <rFont val="Tahoma"/>
            <family val="2"/>
          </rPr>
          <t>Evalueserve:</t>
        </r>
        <r>
          <rPr>
            <sz val="8"/>
            <color indexed="81"/>
            <rFont val="Tahoma"/>
            <family val="2"/>
          </rPr>
          <t xml:space="preserve">
Data not available.</t>
        </r>
      </text>
    </comment>
    <comment ref="H765" authorId="1">
      <text>
        <r>
          <rPr>
            <b/>
            <sz val="8"/>
            <color indexed="81"/>
            <rFont val="Tahoma"/>
            <family val="2"/>
          </rPr>
          <t>Evalueserve:</t>
        </r>
        <r>
          <rPr>
            <sz val="8"/>
            <color indexed="81"/>
            <rFont val="Tahoma"/>
            <family val="2"/>
          </rPr>
          <t xml:space="preserve">
Data not available.</t>
        </r>
      </text>
    </comment>
    <comment ref="I765" authorId="1">
      <text>
        <r>
          <rPr>
            <b/>
            <sz val="8"/>
            <color indexed="81"/>
            <rFont val="Tahoma"/>
            <family val="2"/>
          </rPr>
          <t>Evalueserve:</t>
        </r>
        <r>
          <rPr>
            <sz val="8"/>
            <color indexed="81"/>
            <rFont val="Tahoma"/>
            <family val="2"/>
          </rPr>
          <t xml:space="preserve">
Data not available.</t>
        </r>
      </text>
    </comment>
    <comment ref="J765" authorId="1">
      <text>
        <r>
          <rPr>
            <b/>
            <sz val="8"/>
            <color indexed="81"/>
            <rFont val="Tahoma"/>
            <family val="2"/>
          </rPr>
          <t>Evalueserve:</t>
        </r>
        <r>
          <rPr>
            <sz val="8"/>
            <color indexed="81"/>
            <rFont val="Tahoma"/>
            <family val="2"/>
          </rPr>
          <t xml:space="preserve">
Data not available.</t>
        </r>
      </text>
    </comment>
    <comment ref="K765" authorId="1">
      <text>
        <r>
          <rPr>
            <b/>
            <sz val="8"/>
            <color indexed="81"/>
            <rFont val="Tahoma"/>
            <family val="2"/>
          </rPr>
          <t>Evalueserve:</t>
        </r>
        <r>
          <rPr>
            <sz val="8"/>
            <color indexed="81"/>
            <rFont val="Tahoma"/>
            <family val="2"/>
          </rPr>
          <t xml:space="preserve">
Data not available.</t>
        </r>
      </text>
    </comment>
    <comment ref="G766" authorId="1">
      <text>
        <r>
          <rPr>
            <b/>
            <sz val="8"/>
            <color indexed="81"/>
            <rFont val="Tahoma"/>
            <family val="2"/>
          </rPr>
          <t>Evalueserve:</t>
        </r>
        <r>
          <rPr>
            <sz val="8"/>
            <color indexed="81"/>
            <rFont val="Tahoma"/>
            <family val="2"/>
          </rPr>
          <t xml:space="preserve">
Data not available.</t>
        </r>
      </text>
    </comment>
    <comment ref="H766" authorId="1">
      <text>
        <r>
          <rPr>
            <b/>
            <sz val="8"/>
            <color indexed="81"/>
            <rFont val="Tahoma"/>
            <family val="2"/>
          </rPr>
          <t>Evalueserve:</t>
        </r>
        <r>
          <rPr>
            <sz val="8"/>
            <color indexed="81"/>
            <rFont val="Tahoma"/>
            <family val="2"/>
          </rPr>
          <t xml:space="preserve">
Data not available.</t>
        </r>
      </text>
    </comment>
    <comment ref="I766" authorId="1">
      <text>
        <r>
          <rPr>
            <b/>
            <sz val="8"/>
            <color indexed="81"/>
            <rFont val="Tahoma"/>
            <family val="2"/>
          </rPr>
          <t>Evalueserve:</t>
        </r>
        <r>
          <rPr>
            <sz val="8"/>
            <color indexed="81"/>
            <rFont val="Tahoma"/>
            <family val="2"/>
          </rPr>
          <t xml:space="preserve">
Data not available.</t>
        </r>
      </text>
    </comment>
    <comment ref="J766" authorId="1">
      <text>
        <r>
          <rPr>
            <b/>
            <sz val="8"/>
            <color indexed="81"/>
            <rFont val="Tahoma"/>
            <family val="2"/>
          </rPr>
          <t>Evalueserve:</t>
        </r>
        <r>
          <rPr>
            <sz val="8"/>
            <color indexed="81"/>
            <rFont val="Tahoma"/>
            <family val="2"/>
          </rPr>
          <t xml:space="preserve">
Data not available.</t>
        </r>
      </text>
    </comment>
    <comment ref="K766" authorId="1">
      <text>
        <r>
          <rPr>
            <b/>
            <sz val="8"/>
            <color indexed="81"/>
            <rFont val="Tahoma"/>
            <family val="2"/>
          </rPr>
          <t>Evalueserve:</t>
        </r>
        <r>
          <rPr>
            <sz val="8"/>
            <color indexed="81"/>
            <rFont val="Tahoma"/>
            <family val="2"/>
          </rPr>
          <t xml:space="preserve">
Data not available.</t>
        </r>
      </text>
    </comment>
    <comment ref="G768" authorId="1">
      <text>
        <r>
          <rPr>
            <b/>
            <sz val="8"/>
            <color indexed="81"/>
            <rFont val="Tahoma"/>
            <family val="2"/>
          </rPr>
          <t>Evalueserve:</t>
        </r>
        <r>
          <rPr>
            <sz val="8"/>
            <color indexed="81"/>
            <rFont val="Tahoma"/>
            <family val="2"/>
          </rPr>
          <t xml:space="preserve">
Calculated as:
Tax benefit of $4 mn has been reported 
Source:
Page 109, Form 10K405 1998</t>
        </r>
      </text>
    </comment>
    <comment ref="H768"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I768"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J768"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K768"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L768"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 ref="M768" authorId="1">
      <text>
        <r>
          <rPr>
            <b/>
            <sz val="8"/>
            <color indexed="81"/>
            <rFont val="Tahoma"/>
            <family val="2"/>
          </rPr>
          <t>Evalueserve:</t>
        </r>
        <r>
          <rPr>
            <sz val="8"/>
            <color indexed="81"/>
            <rFont val="Tahoma"/>
            <family val="2"/>
          </rPr>
          <t xml:space="preserve">
Calculated as:
Tax benefit of $4 mn has been reported 
Source:
Page 109, Form 10K405 1998</t>
        </r>
      </text>
    </comment>
    <comment ref="N768" authorId="1">
      <text>
        <r>
          <rPr>
            <b/>
            <sz val="8"/>
            <color indexed="81"/>
            <rFont val="Tahoma"/>
            <family val="2"/>
          </rPr>
          <t>Evalueserve:</t>
        </r>
        <r>
          <rPr>
            <sz val="8"/>
            <color indexed="81"/>
            <rFont val="Tahoma"/>
            <family val="2"/>
          </rPr>
          <t xml:space="preserve">
Calculated as:
[(-Tax provision (benefit) at US statutory tax rate
+ U.S. state and local income taxes
- Foreign tax rate differentials) / (Income/loss from continuing operations before taxes and minority equity)]
Source:
Page 109, Form 10K405 1998</t>
        </r>
      </text>
    </comment>
  </commentList>
</comments>
</file>

<file path=xl/sharedStrings.xml><?xml version="1.0" encoding="utf-8"?>
<sst xmlns="http://schemas.openxmlformats.org/spreadsheetml/2006/main" count="7805" uniqueCount="3557">
  <si>
    <t>Allowance for doubtful accounts, noncurrent</t>
  </si>
  <si>
    <t>Margin ex. Cost Reimbursement</t>
  </si>
  <si>
    <t>Margin upside</t>
  </si>
  <si>
    <t>EBITDA Margins (ex. cost reimbursement)</t>
  </si>
  <si>
    <t>Interest Expense / Share</t>
  </si>
  <si>
    <t>Operating Free Cash Flow ex. Capex</t>
  </si>
  <si>
    <t>Operating FCF per Share</t>
  </si>
  <si>
    <t>Base case value</t>
  </si>
  <si>
    <t>Ownership - % growth, y/y</t>
  </si>
  <si>
    <t>Management / Franchise Fees - % growth, y/y</t>
  </si>
  <si>
    <t>Timeshare - % growth, y/y</t>
  </si>
  <si>
    <t>Corporate / Other - % growth, y/y</t>
  </si>
  <si>
    <t>Total Adjusted EBITDA - % growth, y/y</t>
  </si>
  <si>
    <t>Consolidated LT Debt Summary</t>
  </si>
  <si>
    <t>Dividends per Share</t>
  </si>
  <si>
    <t>Software Capitalization Costs / TS capex, net</t>
  </si>
  <si>
    <t>International</t>
  </si>
  <si>
    <t>Incentive</t>
  </si>
  <si>
    <t>Income (loss) from investments under the equity method, operating</t>
  </si>
  <si>
    <t>1Q12</t>
  </si>
  <si>
    <t>Africa &amp; Middle East</t>
  </si>
  <si>
    <t>Interest Expense</t>
  </si>
  <si>
    <t>PreTax Income</t>
  </si>
  <si>
    <t>Legal provision, one time, gross of tax</t>
  </si>
  <si>
    <t>Pensions (interest and returns classified by company as operating)</t>
  </si>
  <si>
    <t>Net periodic pension expense (pensions)</t>
  </si>
  <si>
    <t>Unbilled receivables, noncurrent</t>
  </si>
  <si>
    <t>Net decrease in prepaid expenses</t>
  </si>
  <si>
    <t>Net decrease in trade receivables</t>
  </si>
  <si>
    <t>Net decrease in unbilled receivables</t>
  </si>
  <si>
    <t>The Free Cash Flow calculations, which drive our valuation, are located just under the Income Statement and above the Cash Flow</t>
  </si>
  <si>
    <t>% of Managed revs.</t>
  </si>
  <si>
    <t>Repurchase of common stock</t>
  </si>
  <si>
    <t>Hilton Seattle Airport &amp; Conference Center</t>
  </si>
  <si>
    <t>Hilton Oakland Airport</t>
  </si>
  <si>
    <t>Hilton Paris Orly Airport</t>
  </si>
  <si>
    <t>Hilton Durban</t>
  </si>
  <si>
    <t>Hilton New Orleans Airport</t>
  </si>
  <si>
    <t>Hilton Short Hills</t>
  </si>
  <si>
    <t>Hilton Amsterdam Airport Schiphol</t>
  </si>
  <si>
    <t>Hilton Blackpool</t>
  </si>
  <si>
    <t>Cash Flow</t>
  </si>
  <si>
    <t>2016E</t>
  </si>
  <si>
    <t>2017E</t>
  </si>
  <si>
    <t>2018E</t>
  </si>
  <si>
    <t>ADR</t>
  </si>
  <si>
    <t>Deferred compensation</t>
  </si>
  <si>
    <t>Period-end diluted shares outstanding</t>
  </si>
  <si>
    <t>Period-end basic shares outstanding</t>
  </si>
  <si>
    <t>Investment in definite life intangibles</t>
  </si>
  <si>
    <t>Investment in definite life intangibles, sustaining</t>
  </si>
  <si>
    <t>Other assets, nonoperating, noncurrent</t>
  </si>
  <si>
    <t>Book value of convertible preferred equity included in dilutive securities</t>
  </si>
  <si>
    <t>Aggregate cash and cash equivalents for validation</t>
  </si>
  <si>
    <t>Real estate value per share</t>
  </si>
  <si>
    <t>Current diluted shares</t>
  </si>
  <si>
    <t>Value (mm)</t>
  </si>
  <si>
    <t>Dividend franking percentage</t>
  </si>
  <si>
    <t>HLT Snapshot</t>
  </si>
  <si>
    <t>Portfolio stats</t>
  </si>
  <si>
    <t>Investment Positives</t>
  </si>
  <si>
    <t>Investment Risks</t>
  </si>
  <si>
    <r>
      <t>Size:</t>
    </r>
    <r>
      <rPr>
        <sz val="10"/>
        <rFont val="Arial"/>
        <family val="2"/>
      </rPr>
      <t xml:space="preserve">
Hotels: ~4,100
Rooms: ~672k
</t>
    </r>
    <r>
      <rPr>
        <b/>
        <sz val="10"/>
        <rFont val="Arial"/>
        <family val="2"/>
      </rPr>
      <t>Group exposure:</t>
    </r>
    <r>
      <rPr>
        <sz val="10"/>
        <rFont val="Arial"/>
        <family val="2"/>
      </rPr>
      <t xml:space="preserve"> ~18%
</t>
    </r>
    <r>
      <rPr>
        <b/>
        <sz val="10"/>
        <rFont val="Arial"/>
        <family val="2"/>
      </rPr>
      <t>Revenue by segment:</t>
    </r>
    <r>
      <rPr>
        <sz val="10"/>
        <rFont val="Arial"/>
        <family val="2"/>
      </rPr>
      <t xml:space="preserve">
Owned / Leased 63%
Managed / Franch. 20% 
Timeshare 17%
</t>
    </r>
    <r>
      <rPr>
        <b/>
        <sz val="10"/>
        <rFont val="Arial"/>
        <family val="2"/>
      </rPr>
      <t>EBITDA by segment:</t>
    </r>
    <r>
      <rPr>
        <sz val="10"/>
        <rFont val="Arial"/>
        <family val="2"/>
      </rPr>
      <t xml:space="preserve">
Managed / Franch. 51%
Owned / Leased 37%
Timeshare 12%</t>
    </r>
  </si>
  <si>
    <t>Net debt / '13E EBITDA: 5.3x
Net debt / '14 EBITDA: 4.9x
Net debt / '15 EBITDA: 4.4x</t>
  </si>
  <si>
    <t>Secured mezzanine loans with an average rate of 4.10%, due 2015</t>
  </si>
  <si>
    <t>Secured mezzanine loans with a rate of 4.69%, due 2015</t>
  </si>
  <si>
    <t>Other unsecured notes with an average rate of 7.82%, due 2017 to 2031</t>
  </si>
  <si>
    <t>Contingently convertible notes with a rate of 3.38%, due 2023</t>
  </si>
  <si>
    <t>Less: current maturities of long-term debt</t>
  </si>
  <si>
    <t>Total long-term debt</t>
  </si>
  <si>
    <t xml:space="preserve">Total long-term debt, including current maturities
</t>
  </si>
  <si>
    <t>Big 8 RevPAR (YOY % Change)</t>
  </si>
  <si>
    <t>Total Ownership Adjusted EBITDA</t>
  </si>
  <si>
    <t>Ownership Adjusted EBITDA Margin</t>
  </si>
  <si>
    <t>Timeshare Adjusted EBITDA</t>
  </si>
  <si>
    <t>Timeshare Adjusted EBITDA Margin</t>
  </si>
  <si>
    <t>Hotels - Managed</t>
  </si>
  <si>
    <t>Hotels - Franchised</t>
  </si>
  <si>
    <t>Rooms - Managed</t>
  </si>
  <si>
    <t>Rooms - Franchised</t>
  </si>
  <si>
    <t>Deferred Income Taxes</t>
  </si>
  <si>
    <t>Restricted Cash</t>
  </si>
  <si>
    <t>Total Current Assets</t>
  </si>
  <si>
    <t>Other Assets</t>
  </si>
  <si>
    <t>Bear</t>
  </si>
  <si>
    <t>Percent ownership</t>
  </si>
  <si>
    <t>After tax earnings from excluded significant investments</t>
  </si>
  <si>
    <t>Tax withheld on dividends paid</t>
  </si>
  <si>
    <t>Deferred income tax expense, benefit for NOLs</t>
  </si>
  <si>
    <t>Net actuarial gain (loss) recognized (pensions)</t>
  </si>
  <si>
    <t>Other deferred income tax expense</t>
  </si>
  <si>
    <t>Net increase in beginning net deferred tax assets (financing) from change in consolidation of investments</t>
  </si>
  <si>
    <t>Implied depreciation on capitalized operating leases (lessee)</t>
  </si>
  <si>
    <t>Asset impairment, nongoodwill, one time, cash flow statement</t>
  </si>
  <si>
    <t>Cumulative unrecognized gain (loss) on other investments, gross of tax, nonoperating</t>
  </si>
  <si>
    <t>Current basic shares outstanding</t>
  </si>
  <si>
    <t>Average diluted shares outstanding</t>
  </si>
  <si>
    <t>Valuation allowance in deferred taxes</t>
  </si>
  <si>
    <t>Deferred tax liabilities, operating</t>
  </si>
  <si>
    <t>Cash From Financing Activity</t>
  </si>
  <si>
    <t>Effect of Exchange Rate on Cash</t>
  </si>
  <si>
    <t>Net increase in accrued expenses</t>
  </si>
  <si>
    <t>Net increase in billings in excess of cost</t>
  </si>
  <si>
    <t xml:space="preserve">Dividends received, cash flow statement </t>
  </si>
  <si>
    <t>Service cost (pensions)</t>
  </si>
  <si>
    <t>Average number of employees</t>
  </si>
  <si>
    <t>Current market value of long-term debt</t>
  </si>
  <si>
    <t>Hilton Glasgow</t>
  </si>
  <si>
    <t>Hilton Milan</t>
  </si>
  <si>
    <t>Hilton Ankara</t>
  </si>
  <si>
    <t>Hilton Adana</t>
  </si>
  <si>
    <t>Hilton Waldorf</t>
  </si>
  <si>
    <t>Hilton Cologne</t>
  </si>
  <si>
    <t>Hilton Slussen</t>
  </si>
  <si>
    <t>Hilton Nairobi(1)</t>
  </si>
  <si>
    <t>Hilton Madrid Airport</t>
  </si>
  <si>
    <t>Hilton Parmelia Perth</t>
  </si>
  <si>
    <t>Hilton London Canary Wharf</t>
  </si>
  <si>
    <t>Hilton Amsterdam</t>
  </si>
  <si>
    <t>Hilton Newcastle Gateshead</t>
  </si>
  <si>
    <t>Hilton Bonn</t>
  </si>
  <si>
    <t>Hilton London Tower Bridge</t>
  </si>
  <si>
    <t>Hilton London Stansted Airport</t>
  </si>
  <si>
    <t>Hilton Manchester Airport</t>
  </si>
  <si>
    <t>Hilton Vienna Plaza</t>
  </si>
  <si>
    <t>Hilton Basel</t>
  </si>
  <si>
    <t>Hilton Bracknell</t>
  </si>
  <si>
    <t>Hilton Antwerp</t>
  </si>
  <si>
    <t>Hilton Reading</t>
  </si>
  <si>
    <t>Hilton Leeds City</t>
  </si>
  <si>
    <t>Hilton Watford</t>
  </si>
  <si>
    <t>Hilton Mersin</t>
  </si>
  <si>
    <t>Hilton Warwick/Stratford-upon-Avon</t>
  </si>
  <si>
    <t>Hilton Leicester</t>
  </si>
  <si>
    <t>Hilton Innsbruck</t>
  </si>
  <si>
    <t>Hilton Nottingham</t>
  </si>
  <si>
    <t>Hilton Odawara Resort &amp; Spa</t>
  </si>
  <si>
    <t>Hilton St. Anne’s Manor, Bracknell</t>
  </si>
  <si>
    <t>Hilton Croydon</t>
  </si>
  <si>
    <t>Hilton London Green Park</t>
  </si>
  <si>
    <t>Hilton Cobham</t>
  </si>
  <si>
    <t>Hilton Paris La Defense</t>
  </si>
  <si>
    <t>Hilton East Midlands</t>
  </si>
  <si>
    <t>Hilton Maidstone</t>
  </si>
  <si>
    <t>Hilton Avisford Park, Arundel</t>
  </si>
  <si>
    <t>Hilton Northampton</t>
  </si>
  <si>
    <t>Other provisions, recurring, cash flow statement</t>
  </si>
  <si>
    <t>Hilton (HLT) Earnings Model</t>
  </si>
  <si>
    <t>Change in unrealized gains (losses) on AFS securities</t>
  </si>
  <si>
    <t>Tax on other provisions, one time</t>
  </si>
  <si>
    <t>Cumulative goodwill impairments reported</t>
  </si>
  <si>
    <t>Revenue, segment</t>
  </si>
  <si>
    <t>Hotel revenue</t>
  </si>
  <si>
    <t>Owned and leased hotel revenue</t>
  </si>
  <si>
    <t xml:space="preserve"> Option compensation expense </t>
  </si>
  <si>
    <t>Contribution to plan assets (pensions)</t>
  </si>
  <si>
    <t>Projected benefit obligation (pensions)</t>
  </si>
  <si>
    <t>Net disposals (acquisitions)</t>
  </si>
  <si>
    <t>FCF Yield</t>
  </si>
  <si>
    <t>FCF</t>
  </si>
  <si>
    <t>Ownership Adjusted Incremental EBITDA Margin</t>
  </si>
  <si>
    <t>Assumes ~5.5% avg annual RevPAR growth +
 nearly 6% avg annual unit growth on managed / franchised</t>
  </si>
  <si>
    <t>3-year CAGR (2013e-2016e)</t>
  </si>
  <si>
    <t>Driven by FCF generation / deleveraging and lower tax rate</t>
  </si>
  <si>
    <t>Segment</t>
  </si>
  <si>
    <t>Enterprise</t>
  </si>
  <si>
    <t>x</t>
  </si>
  <si>
    <t>Fees</t>
  </si>
  <si>
    <t>Subtotal</t>
  </si>
  <si>
    <t>Equals: Equity Value</t>
  </si>
  <si>
    <t>Fully Diluted Shares Outstanding</t>
  </si>
  <si>
    <t>Change in unearned compensation reserve</t>
  </si>
  <si>
    <t>Environmental provision, one time, cash flow statement</t>
  </si>
  <si>
    <t>Other liabilities, nonoperating, current</t>
  </si>
  <si>
    <t>Revenue</t>
  </si>
  <si>
    <t>Gain (loss) on redemption and extinguishment of debt, cash flow statement</t>
  </si>
  <si>
    <t>Market value of trust preferred securities</t>
  </si>
  <si>
    <t>Income (loss) from discontinued operations, net of tax</t>
  </si>
  <si>
    <t>Capital expenditures, related to lessor financing</t>
  </si>
  <si>
    <t>Implied capitalized operating lease assets (lessee)</t>
  </si>
  <si>
    <t>Long-term debt, greater than 1 year</t>
  </si>
  <si>
    <t>Senior debt</t>
  </si>
  <si>
    <t>Implied capitalized operating lease obligations (lessee)</t>
  </si>
  <si>
    <t>Interest on other interest-bearing liabilities</t>
  </si>
  <si>
    <t>Investment in indefinite life intangibles, growth</t>
  </si>
  <si>
    <t>Multiple Contraction</t>
  </si>
  <si>
    <t>Trade and other payables, noncurrent</t>
  </si>
  <si>
    <t>Trade payables, noncurrent</t>
  </si>
  <si>
    <t>Other payables, noncurrent</t>
  </si>
  <si>
    <t>D&amp;A</t>
  </si>
  <si>
    <t>Weighted average cost of capital (WACC)</t>
  </si>
  <si>
    <t>Hilton Hawaiian Village Beach Resort &amp; Spa</t>
  </si>
  <si>
    <t>Hilton San Francisco Union Square</t>
  </si>
  <si>
    <t>Caribe Hilton</t>
  </si>
  <si>
    <t>Hilton Chicago O’Hare Airport</t>
  </si>
  <si>
    <t>Hilton Orlando Lake Buena Vista</t>
  </si>
  <si>
    <t>Hilton Boston Logan Airport</t>
  </si>
  <si>
    <t>Proceeds from issuance and cash used to repay short term borrowings</t>
  </si>
  <si>
    <t>Total Revenue</t>
  </si>
  <si>
    <t>Operating Income</t>
  </si>
  <si>
    <t>Restructuring costs, one time, cash flow statement</t>
  </si>
  <si>
    <t>Goodwill impairment, cash flow statement</t>
  </si>
  <si>
    <t>Current market value of short-term borrowings</t>
  </si>
  <si>
    <t>Effect of foreign exchange rates on cash</t>
  </si>
  <si>
    <t>Decommissioning, restoration, and similar liabilities</t>
  </si>
  <si>
    <t xml:space="preserve">Exploration Write Off (Cash Flow Statement) </t>
  </si>
  <si>
    <t>Share of associate company's or joint venture's tax</t>
  </si>
  <si>
    <t>Unearned compensation reserve</t>
  </si>
  <si>
    <t>Americas (Excluding US)</t>
  </si>
  <si>
    <t>MEA</t>
  </si>
  <si>
    <t>Managed RevPAR</t>
  </si>
  <si>
    <t>Franchised RevPAR</t>
  </si>
  <si>
    <t>US RevPAR</t>
  </si>
  <si>
    <t>RevPAR (US)</t>
  </si>
  <si>
    <t>Price Target</t>
  </si>
  <si>
    <t>Bear Case</t>
  </si>
  <si>
    <t>Valuation</t>
  </si>
  <si>
    <t>Bull Case</t>
  </si>
  <si>
    <t>Finance lease receivables</t>
  </si>
  <si>
    <t>Other intangible assets</t>
  </si>
  <si>
    <t>Other finite life intangible assets</t>
  </si>
  <si>
    <t>Indefinite life intangible impairment</t>
  </si>
  <si>
    <t>Income (losses) from investments, nonoperating</t>
  </si>
  <si>
    <t>Accumulated other comprehensive income (pensions)</t>
  </si>
  <si>
    <t>Tax rate validation (must be between 0% and 100%)</t>
  </si>
  <si>
    <t>Tagged metrics</t>
  </si>
  <si>
    <t>Minority equity in net income</t>
  </si>
  <si>
    <t>Extraordinary / other</t>
  </si>
  <si>
    <t>3Q13A</t>
  </si>
  <si>
    <t>3Q13</t>
  </si>
  <si>
    <t>Net increase in trade and other payables</t>
  </si>
  <si>
    <t>Bonus paid to directors and corporate auditors (Japan)</t>
  </si>
  <si>
    <t>Managed and franchised hotels</t>
  </si>
  <si>
    <t>Managed and franchised rooms</t>
  </si>
  <si>
    <t>Number of casinos</t>
  </si>
  <si>
    <t>Finished goods</t>
  </si>
  <si>
    <t>Other inventories</t>
  </si>
  <si>
    <t>Securitized assets</t>
  </si>
  <si>
    <t>Other liabilities, nonoperating</t>
  </si>
  <si>
    <t>Foreign currency exchange gains (losses)</t>
  </si>
  <si>
    <t>Distributions to Noncontrolling Interests</t>
  </si>
  <si>
    <t>HOT.N,mscalc:targetPrice,,,,USD</t>
  </si>
  <si>
    <t>Add Back: Asset Dispositions</t>
  </si>
  <si>
    <t>Owned (US)</t>
  </si>
  <si>
    <t>Full / luxury %</t>
  </si>
  <si>
    <t>Total Debt</t>
  </si>
  <si>
    <t>Plus: Non-recourse Debt</t>
  </si>
  <si>
    <t>Total LT Debt, including JV / Non-recourse</t>
  </si>
  <si>
    <t>Trade receivables, gross, current</t>
  </si>
  <si>
    <t>Current market value of minority interests in shareholders equity</t>
  </si>
  <si>
    <t>Amortization of discount (premium) on debt</t>
  </si>
  <si>
    <t>Model Organization</t>
  </si>
  <si>
    <t>Drivers are located at the top</t>
  </si>
  <si>
    <t>Income Statement, Cash Flow, and Balance Sheet follow going down, with the model typically saved on the Income Statement</t>
  </si>
  <si>
    <t>1999 (A)_x000D_
1999-1-1_x000D_
1999-12-31</t>
  </si>
  <si>
    <t>2000 (A)_x000D_
2000-1-1_x000D_
2000-12-31</t>
  </si>
  <si>
    <t>2001 (A)_x000D_
2001-1-1_x000D_
2001-12-31</t>
  </si>
  <si>
    <t>432 Park Avenue #83A</t>
  </si>
  <si>
    <t>5 rooms, 3 beds</t>
  </si>
  <si>
    <t>432 Park Avenue #42C</t>
  </si>
  <si>
    <t>Base Average</t>
  </si>
  <si>
    <t>Bull Average</t>
  </si>
  <si>
    <t>Park Lane*</t>
  </si>
  <si>
    <t>157 West 57th Street #53B</t>
  </si>
  <si>
    <t>157 West 57th Street #58B</t>
  </si>
  <si>
    <t>157 West 57th Street #49C</t>
  </si>
  <si>
    <t>157 West 57th Street #43A</t>
  </si>
  <si>
    <t>157 West 57th Street #39A</t>
  </si>
  <si>
    <t>2 rooms, 1 bed</t>
  </si>
  <si>
    <t>1 bath, 1 half bath</t>
  </si>
  <si>
    <t>135 E 79th St</t>
  </si>
  <si>
    <t>New Build, City Views</t>
  </si>
  <si>
    <t>Renovation, Location</t>
  </si>
  <si>
    <t>Building</t>
  </si>
  <si>
    <t>Built in 1975, Location</t>
  </si>
  <si>
    <t>Size</t>
  </si>
  <si>
    <t xml:space="preserve">           </t>
  </si>
  <si>
    <t>Value / Share</t>
  </si>
  <si>
    <t>Est. Waldorf Astoria Monetization</t>
  </si>
  <si>
    <t>- Condo Development Costs</t>
  </si>
  <si>
    <t>Selling Price / Sq Ft</t>
  </si>
  <si>
    <t>Total Sales Proceeds ($mm)</t>
  </si>
  <si>
    <t>Cost to Convert ($mm)</t>
  </si>
  <si>
    <t>Current Total Units</t>
  </si>
  <si>
    <t>Waldorf Towers Estimated Sales Value</t>
  </si>
  <si>
    <t>Old HLT Waldorf Value (13 x EBITDA)</t>
  </si>
  <si>
    <t>Purchase Price</t>
  </si>
  <si>
    <t>Total Original Shares</t>
  </si>
  <si>
    <t>Remaining Shares</t>
  </si>
  <si>
    <t>Est. Purchase Price</t>
  </si>
  <si>
    <t>HLT Original 68% Purchase ($mm)</t>
  </si>
  <si>
    <t>Est. Remaining 32% Purchase ($mm)</t>
  </si>
  <si>
    <t>Land Lease Purchase in 1977</t>
  </si>
  <si>
    <t>Waldorf Astoria</t>
  </si>
  <si>
    <t>*Assume 5% annual maintenance capex / FFE is fully depreciated</t>
  </si>
  <si>
    <t>Est. Major Renovations (1980s)</t>
  </si>
  <si>
    <t>Est. Major Renovations (1990s)</t>
  </si>
  <si>
    <t>Est. Capital Gains</t>
  </si>
  <si>
    <t>Total Base Case HLT Value Pre-Costs</t>
  </si>
  <si>
    <t>Incremental Value</t>
  </si>
  <si>
    <t>Est. Major Renovations (Since BX bought)</t>
  </si>
  <si>
    <t xml:space="preserve">              </t>
  </si>
  <si>
    <t>HLT original Waldorf purchase</t>
  </si>
  <si>
    <t>a) Hotel Sale (@ 4% cap rate)</t>
  </si>
  <si>
    <t>b) Condo Sales (@ $7,218 / sq ft)</t>
  </si>
  <si>
    <t>- Taxes (@ 0% tax rate)</t>
  </si>
  <si>
    <t>Retail opportunity</t>
  </si>
  <si>
    <t>Avg Manhattan City Block (sq ft)</t>
  </si>
  <si>
    <t>% of 1 Floor of Waldorf Converted to Retail</t>
  </si>
  <si>
    <t>New Retail Sq Ft</t>
  </si>
  <si>
    <t>Rent / Sq Ft</t>
  </si>
  <si>
    <t>a) Hotel Sale (@ 3% cap rate)</t>
  </si>
  <si>
    <t>Bull Case (from buyers standpoint)</t>
  </si>
  <si>
    <t>- Main Tower Renovation Cost</t>
  </si>
  <si>
    <t>Total Base Case HLT Waldorf Value</t>
  </si>
  <si>
    <t>Bull Case Waldorf Astoria Value</t>
  </si>
  <si>
    <t>c) Retail Opp ($1k / sq ft @ 4% cap)</t>
  </si>
  <si>
    <t xml:space="preserve">            </t>
  </si>
  <si>
    <t>Total Bull Case Value for a Buyer</t>
  </si>
  <si>
    <t>Value / HLT Share</t>
  </si>
  <si>
    <t>% of Total Revenue</t>
  </si>
  <si>
    <t>Implied Price / Key ($mm)</t>
  </si>
  <si>
    <t>Whole Hotel</t>
  </si>
  <si>
    <t>Main Hotel</t>
  </si>
  <si>
    <t>Other 
Rev ($)</t>
  </si>
  <si>
    <t>Current Rent / Sq Ft (annualized)</t>
  </si>
  <si>
    <t>Waldorf Towers Rental Statistics</t>
  </si>
  <si>
    <t>Estimated Total Saleable Sq Ft</t>
  </si>
  <si>
    <t>Proceeds - Development Costs</t>
  </si>
  <si>
    <t>Original 68% Share Purchase ($mm)</t>
  </si>
  <si>
    <t>Remaining Share Purchase ($mm)</t>
  </si>
  <si>
    <t>Timeshare Upside</t>
  </si>
  <si>
    <t>Macklowe bought for $253.4m, as well as 150 E 72nd for $70m, per 10/4/12 NYTimes article</t>
  </si>
  <si>
    <t>All units listed for $2.43B, per 10/4/12 NYTimes article</t>
  </si>
  <si>
    <t>Not Started</t>
  </si>
  <si>
    <t>Lacks Services of a Hotel</t>
  </si>
  <si>
    <t>" "; Land Lease**</t>
  </si>
  <si>
    <t>Est. Sales Price (HLT Value - Mgmt Contract)</t>
  </si>
  <si>
    <t>Condo Investment</t>
  </si>
  <si>
    <t>Shares HLT Bought in 1949</t>
  </si>
  <si>
    <t>Total Purchase Price ($mm)</t>
  </si>
  <si>
    <t>Est. Cost Basis post-Condo Investment</t>
  </si>
  <si>
    <t>Tax Rate**</t>
  </si>
  <si>
    <t>**While we expect HLT will pay a full tax rate, we haircut the liability to account for the likely deferral of payments</t>
  </si>
  <si>
    <t>Deferral</t>
  </si>
  <si>
    <t>Year 1</t>
  </si>
  <si>
    <t>Year 2</t>
  </si>
  <si>
    <t>Year 3</t>
  </si>
  <si>
    <t>Year 4</t>
  </si>
  <si>
    <t>Year 5</t>
  </si>
  <si>
    <t>NPV</t>
  </si>
  <si>
    <t>EBITDA Margins (Post Mgmt Fee)</t>
  </si>
  <si>
    <t>Mgmt Fee</t>
  </si>
  <si>
    <t>Mgmt Fee (4% of Revenue)</t>
  </si>
  <si>
    <t>EBITDA  (Pre-Fee)</t>
  </si>
  <si>
    <t>Occ.</t>
  </si>
  <si>
    <t>Other Rev (% Room)</t>
  </si>
  <si>
    <t>EBITDA (Pre Mgmt Fee)</t>
  </si>
  <si>
    <t>Waldorf ex. Towers EBITDA (Pre-Mgmt Fee)</t>
  </si>
  <si>
    <t>Mgmt Fee (4% of Revs)</t>
  </si>
  <si>
    <t>EBITDA (Post Mgmt Fee)</t>
  </si>
  <si>
    <t>- Taxes (@ 30% tax rate)</t>
  </si>
  <si>
    <t>- HLT Mgmt Contract (@ 14.5x Multiple)</t>
  </si>
  <si>
    <t xml:space="preserve">Implied Cap Rate Assuming $350m of Incremental Capex </t>
  </si>
  <si>
    <t>Total Annual Income ($mm)</t>
  </si>
  <si>
    <t>Total Value ($mm)</t>
  </si>
  <si>
    <t>PT</t>
  </si>
  <si>
    <t>1Q14</t>
  </si>
  <si>
    <t>Weighted average discount rate (OPEB)</t>
  </si>
  <si>
    <t>InterCon</t>
  </si>
  <si>
    <t>Crowne Plaza</t>
  </si>
  <si>
    <t>HI</t>
  </si>
  <si>
    <t>HI Express</t>
  </si>
  <si>
    <t>Staybridge</t>
  </si>
  <si>
    <t>Candlewood</t>
  </si>
  <si>
    <t>Hotel Indigo</t>
  </si>
  <si>
    <t>Upper Up</t>
  </si>
  <si>
    <t>Upper Mid</t>
  </si>
  <si>
    <t>Yield</t>
  </si>
  <si>
    <t>Est. Real Estate Value (Mse)</t>
  </si>
  <si>
    <t>De-levering opportunity</t>
  </si>
  <si>
    <t>- Sold maint capex</t>
  </si>
  <si>
    <t>2014 EBITDA Sold</t>
  </si>
  <si>
    <t>- Sold 2015 EBITDA less taxes</t>
  </si>
  <si>
    <t>Mortgage loan with a rate of 2.32%, due 2018</t>
  </si>
  <si>
    <t>Other unsecured notes with a rate of 7.50%, due 2017</t>
  </si>
  <si>
    <t>Mortgage notes with an average rate of 6.13%, due 2013 to 2016</t>
  </si>
  <si>
    <t>Other operating expense (income)</t>
  </si>
  <si>
    <t>Implied EV</t>
  </si>
  <si>
    <t>SG&amp;A</t>
  </si>
  <si>
    <t>Senior secured revolver (LIBOR + 225bps) due 2018</t>
  </si>
  <si>
    <t>Senior unsecured notes (5.625%), due 2021</t>
  </si>
  <si>
    <t>The "Links" Sheet contains our valuation, using the NPV of the FCF, which pulls in from the main sheet</t>
  </si>
  <si>
    <t>Net increase in deferred tax liabilities (assets)</t>
  </si>
  <si>
    <t>Gross PP&amp;E</t>
  </si>
  <si>
    <t>Other</t>
  </si>
  <si>
    <t>Net Income</t>
  </si>
  <si>
    <t>Share of market value of associates accounted for under the equity method (operating)</t>
  </si>
  <si>
    <t>Legal provision, one time, cash flow statement</t>
  </si>
  <si>
    <t>Trade and other payables, current</t>
  </si>
  <si>
    <t>Trade payables, current</t>
  </si>
  <si>
    <t>Other payables, current</t>
  </si>
  <si>
    <t>Income (loss) from investments under the equity method, nonoperating</t>
  </si>
  <si>
    <t>Base Management Fees</t>
  </si>
  <si>
    <t>Incentive Management Fees</t>
  </si>
  <si>
    <t>Other assets, nonoperating</t>
  </si>
  <si>
    <t>Other assets, nonoperating, current</t>
  </si>
  <si>
    <t>Capital Expenditures</t>
  </si>
  <si>
    <t>Chain Scale (as of 9/30)</t>
  </si>
  <si>
    <t>Examples</t>
  </si>
  <si>
    <t xml:space="preserve">Upscale </t>
  </si>
  <si>
    <t xml:space="preserve">Upper Midscale </t>
  </si>
  <si>
    <t>Super 8, Motel 6</t>
  </si>
  <si>
    <t>Best Western, Ramada</t>
  </si>
  <si>
    <r>
      <t xml:space="preserve">Four Seasons, </t>
    </r>
    <r>
      <rPr>
        <b/>
        <sz val="10"/>
        <rFont val="Arial"/>
        <family val="2"/>
      </rPr>
      <t>Waldorf Astoria</t>
    </r>
  </si>
  <si>
    <r>
      <t xml:space="preserve">Comford Inn, </t>
    </r>
    <r>
      <rPr>
        <b/>
        <sz val="10"/>
        <rFont val="Arial"/>
        <family val="2"/>
      </rPr>
      <t>Hampton Inn</t>
    </r>
  </si>
  <si>
    <r>
      <t xml:space="preserve">Crowne Plaza, </t>
    </r>
    <r>
      <rPr>
        <b/>
        <sz val="10"/>
        <rFont val="Arial"/>
        <family val="2"/>
      </rPr>
      <t>Garden Inn</t>
    </r>
  </si>
  <si>
    <t>Other Americas</t>
  </si>
  <si>
    <t>Redemptions, retirements and repurchases of preferred stock</t>
  </si>
  <si>
    <t>Proceeds from issuance/(funds used to repurchase) common stock</t>
  </si>
  <si>
    <t>Current period unrecognized gain (loss) on other investments, gross of tax, nonoperating, one time</t>
  </si>
  <si>
    <t>Total System Summary</t>
  </si>
  <si>
    <t>Current Share Price</t>
  </si>
  <si>
    <t>% upside</t>
  </si>
  <si>
    <t>Americas (excluding US)</t>
  </si>
  <si>
    <t>Occupancy (US)</t>
  </si>
  <si>
    <t>ADR (US)</t>
  </si>
  <si>
    <t>Managed Room Revs (US)</t>
  </si>
  <si>
    <t>Total Managed Revs.</t>
  </si>
  <si>
    <t>Franchised Room Revs (US)</t>
  </si>
  <si>
    <t>Total System Room Revs (US)</t>
  </si>
  <si>
    <t>Franchised (Int'l)</t>
  </si>
  <si>
    <t>US Managed RevPAR</t>
  </si>
  <si>
    <t>US Franchised RevPAR</t>
  </si>
  <si>
    <t>Hotels</t>
  </si>
  <si>
    <t>Net Additions (Q/Q)</t>
  </si>
  <si>
    <t>RevPar</t>
  </si>
  <si>
    <t>Managed % growth, y/y</t>
  </si>
  <si>
    <t>Franchised % growth, y/y</t>
  </si>
  <si>
    <t>Rooms Summary:</t>
  </si>
  <si>
    <t>Share of associate company's or joint venture's operating profit, post-goodwill, pretax, and preinterest</t>
  </si>
  <si>
    <t>Accumulated amortization of goodwill</t>
  </si>
  <si>
    <t>ROE</t>
  </si>
  <si>
    <t>Other liabilities, operating, noncurrent</t>
  </si>
  <si>
    <t>Pipeline</t>
  </si>
  <si>
    <t>Change in OCI</t>
  </si>
  <si>
    <t>% change, q/q</t>
  </si>
  <si>
    <t>Total Managed (US)</t>
  </si>
  <si>
    <t>Total Managed (Int'l)</t>
  </si>
  <si>
    <t>Franchised (US)</t>
  </si>
  <si>
    <t>Total Franchised (US)</t>
  </si>
  <si>
    <t>Total Franchised (Int'l)</t>
  </si>
  <si>
    <t>Total Franchised</t>
  </si>
  <si>
    <t>Total Managed</t>
  </si>
  <si>
    <t>Income (loss) from discontinued operations, pretax</t>
  </si>
  <si>
    <t>Income tax payable, operating</t>
  </si>
  <si>
    <t>The "HOT" Sheet contains all Driver, Income Statement, Cash Flow Statement, and Balance Sheet historical data and forecasts</t>
  </si>
  <si>
    <t>Finance lease receivables, current</t>
  </si>
  <si>
    <t>Finance lease receivables, noncurrent</t>
  </si>
  <si>
    <t>China</t>
  </si>
  <si>
    <t>HOT Owned RevPAR (constant currency)</t>
  </si>
  <si>
    <t xml:space="preserve">  New Shares/Option Exercises</t>
  </si>
  <si>
    <t>Foreign tax rate differentials</t>
  </si>
  <si>
    <t>Changes in tax laws and regulation</t>
  </si>
  <si>
    <t>Earning before tax</t>
  </si>
  <si>
    <t>Model data for companies: HOT.N</t>
  </si>
  <si>
    <t>Selling, general, and administrative expenses</t>
  </si>
  <si>
    <t>174-188</t>
  </si>
  <si>
    <t>Investments under the equity method, operating</t>
  </si>
  <si>
    <t>Share of associate company's or joint venture's amortization of goodwill</t>
  </si>
  <si>
    <t>Share Repurchases</t>
  </si>
  <si>
    <t>Share price (1/8/14)</t>
  </si>
  <si>
    <t>Implied real estate value based on 12.5x 2015E EBITDA</t>
  </si>
  <si>
    <t xml:space="preserve">  Incremental value create form selling assets</t>
  </si>
  <si>
    <t>Canada</t>
  </si>
  <si>
    <t>Total real estate value based on price per key analysis</t>
  </si>
  <si>
    <t xml:space="preserve">  Incremental value created from asset sales</t>
  </si>
  <si>
    <t>HLT Timeshare</t>
  </si>
  <si>
    <t>TS Development Capex</t>
  </si>
  <si>
    <t>Reported Operating Income</t>
  </si>
  <si>
    <t>Estimated Cash Flow</t>
  </si>
  <si>
    <t>Shares Out.</t>
  </si>
  <si>
    <t xml:space="preserve">Owned &amp; Leased </t>
  </si>
  <si>
    <t xml:space="preserve">   '@YE</t>
  </si>
  <si>
    <t>Less: Estimated Taxes</t>
  </si>
  <si>
    <t>VAC</t>
  </si>
  <si>
    <t>WYN</t>
  </si>
  <si>
    <t>Units</t>
  </si>
  <si>
    <t>Properties</t>
  </si>
  <si>
    <t>2012 Adj. EBITDA</t>
  </si>
  <si>
    <t>2012 Revenue</t>
  </si>
  <si>
    <t>EBITDA margin</t>
  </si>
  <si>
    <t>Florida
Nevada 
Hawaii
New York</t>
  </si>
  <si>
    <t>Hyatt Residence Club</t>
  </si>
  <si>
    <t>Florida
Colorado
California
Hawaii</t>
  </si>
  <si>
    <t>Key Markets</t>
  </si>
  <si>
    <t>Sheraton
Westin
St. Regis</t>
  </si>
  <si>
    <t>Key Brands</t>
  </si>
  <si>
    <t>Florida
Colorado
Hawaii
California</t>
  </si>
  <si>
    <t>Estimated ROIC</t>
  </si>
  <si>
    <t>Marriott Vacation Club
Ritz-Carlton Destination Club
Grand Residences by Marriott</t>
  </si>
  <si>
    <t>Note: VAC adjusted EBITDA and margin are impacted by standalone company costs.</t>
  </si>
  <si>
    <t>Club Wyndham
Worldmark by Wyndham
Wyndham Vacation Resorts APAC
Shell Vacations Club</t>
  </si>
  <si>
    <t>California &amp; Western US
Hawaii
Florida (Orlando)
Other Americas (Mexico / Canada)
South Pacific</t>
  </si>
  <si>
    <t>Florida
Hawaii
South Carolina
California</t>
  </si>
  <si>
    <r>
      <t xml:space="preserve">Marriott, Sheraton, Hyatt, </t>
    </r>
    <r>
      <rPr>
        <b/>
        <sz val="10"/>
        <rFont val="Arial"/>
        <family val="2"/>
      </rPr>
      <t>Hilton</t>
    </r>
  </si>
  <si>
    <t>Please Enter
POSITIVE
Nos. Only</t>
  </si>
  <si>
    <t>X-Axis Labels</t>
  </si>
  <si>
    <t>Cases</t>
  </si>
  <si>
    <t>Positive
Increments</t>
  </si>
  <si>
    <t>Invisible</t>
  </si>
  <si>
    <t>Labels</t>
  </si>
  <si>
    <t>Bear
Case</t>
  </si>
  <si>
    <t>Multiple Compression</t>
  </si>
  <si>
    <t>Base
Case</t>
  </si>
  <si>
    <t>Bull
Case</t>
  </si>
  <si>
    <t>50% of Owned Segment Value in Our Price Target</t>
  </si>
  <si>
    <t>Timeshare Capital Light Sales (%)</t>
  </si>
  <si>
    <t>Mgmt/Franchise Fees (% of EBITDA)</t>
  </si>
  <si>
    <t>Hilton Tokyo</t>
  </si>
  <si>
    <t>Total owned &amp; leased real estate value</t>
  </si>
  <si>
    <t xml:space="preserve">    Diluted shares</t>
  </si>
  <si>
    <t>Owned &amp; leased value in our price target</t>
  </si>
  <si>
    <t>Owned &amp; leased value per share currently in our PT</t>
  </si>
  <si>
    <t>Upside</t>
  </si>
  <si>
    <t>Total EV</t>
  </si>
  <si>
    <t>avg NYC upper up sold ~$505k/key (2012-13) but brand strength and midtown location (good corp travel base) shld boost value; 6/13 Holiday Inn 6th avg sold $537k/key</t>
  </si>
  <si>
    <t>7/13 Ritz SF sold for $479k/key; 5/13 Hyatt Fisherman's Wharf sold for $330k/key but expect rising values esp for lux / uu</t>
  </si>
  <si>
    <t>one of HLT's highest EBITDA producing owned assets; avg upper upscale for 2013 is $279k per our transactions file; Hilton NO St Charles sold 5/13 for $238k/key</t>
  </si>
  <si>
    <t>Renaissance Chicago sold 12/13 for $251k/key, approx in line w Chicago UU sales</t>
  </si>
  <si>
    <t>CY Waikiki Beach 6/13 $318k/key; Hyatt Place Waikiki 6/13 $325k/key; Hyatt Regency 8/13 $366k/key; per HVS '14 outlook remains +</t>
  </si>
  <si>
    <t>valuing DRH's Oak Brook Marriott at $250k</t>
  </si>
  <si>
    <t>hotel located close to but not in central London 3/13 InterCon London Park Lane sold for $1m/key</t>
  </si>
  <si>
    <t xml:space="preserve"> 3/13 InterCon London Park Lane sold for $1m/key</t>
  </si>
  <si>
    <t>business district;  3/13 InterCon London Park Lane sold for $1m/key</t>
  </si>
  <si>
    <t>FCF yield</t>
  </si>
  <si>
    <t>Amortization of other intangibles, cash flow statement</t>
  </si>
  <si>
    <t>adjusted G&amp;A</t>
  </si>
  <si>
    <t>Timeshare multiple</t>
  </si>
  <si>
    <t>480-500</t>
  </si>
  <si>
    <t>79-91</t>
  </si>
  <si>
    <t>4.5-6.5%</t>
  </si>
  <si>
    <t>2013</t>
  </si>
  <si>
    <t>10-12%</t>
  </si>
  <si>
    <t>$0.08-0.10</t>
  </si>
  <si>
    <t>Nonrecurring OPEB items</t>
  </si>
  <si>
    <t>Unrealized foreign currency exchange gains (losses) in net financing obligations</t>
  </si>
  <si>
    <t>Cash Used in Investing Activities</t>
  </si>
  <si>
    <t>Cash From Financing Activities</t>
  </si>
  <si>
    <t>Rating: EW
Stock price: $22.25
Price target: $25, upside 12%
Dividend yield: NA
Current '14 EV / EBITDA: 
13.7x
PT Implied '14 EV / EBITDA: 
14.9x
Current '15 EV / EBITDA:
12.4x
PT Implied '15 EV / EBITDA: 
13.5x
Systemwide RevPAR growth
2014e: 6.2%
2015e: 5.8%
EBITDA margin
2014e: 23.7%
2015e: 24.1%</t>
  </si>
  <si>
    <r>
      <t>Chain scale exposure:</t>
    </r>
    <r>
      <rPr>
        <sz val="10"/>
        <rFont val="Arial"/>
        <family val="2"/>
      </rPr>
      <t xml:space="preserve"> 
Luxury 3%
Upper Upscale 37%
Upscale 31%
Upper Midscale 29%
</t>
    </r>
    <r>
      <rPr>
        <b/>
        <sz val="10"/>
        <rFont val="Arial"/>
        <family val="2"/>
      </rPr>
      <t xml:space="preserve">Geographic exposure:
</t>
    </r>
    <r>
      <rPr>
        <sz val="10"/>
        <rFont val="Arial"/>
        <family val="2"/>
      </rPr>
      <t>(by rooms)
US 78%
Europe 9%
APAC 6%
Other Americas 5%
MEA 3%</t>
    </r>
  </si>
  <si>
    <t>N/A</t>
  </si>
  <si>
    <t>Est. TS Development Capex*</t>
  </si>
  <si>
    <t>MSe vs. Cons</t>
  </si>
  <si>
    <t>MSe</t>
  </si>
  <si>
    <t>Cons</t>
  </si>
  <si>
    <t>Cash Inflow</t>
  </si>
  <si>
    <t>YE14 Net Debt</t>
  </si>
  <si>
    <t>YE14 Net Leverage</t>
  </si>
  <si>
    <t>2014E Owned EBITDA</t>
  </si>
  <si>
    <t>2014E Total EBITDA</t>
  </si>
  <si>
    <t>Pro forma Leverage</t>
  </si>
  <si>
    <t>Pro forma EBITDA</t>
  </si>
  <si>
    <t>Pro forma Net Debt</t>
  </si>
  <si>
    <t>Avg Interest Expense</t>
  </si>
  <si>
    <t>2015E Op FCF</t>
  </si>
  <si>
    <t>+ Interest Saved</t>
  </si>
  <si>
    <t>Pro forma 2015 Op FCF</t>
  </si>
  <si>
    <t>Total Owned</t>
  </si>
  <si>
    <t>RevPAR Summary</t>
  </si>
  <si>
    <t>% of Franchised revs</t>
  </si>
  <si>
    <t>Revs Weights (Int'l)</t>
  </si>
  <si>
    <t>Total System Room Revs (Int'l)</t>
  </si>
  <si>
    <t>All other tabs contain exhibits, charts, and worksheets - some of which may be out of date</t>
  </si>
  <si>
    <t>Net increase in securitized assets, cash flow statement</t>
  </si>
  <si>
    <t>Minority Interest</t>
  </si>
  <si>
    <t>Royalty, licensee income</t>
  </si>
  <si>
    <t>Interest expense</t>
  </si>
  <si>
    <t>Interest income</t>
  </si>
  <si>
    <t>Investment in ESOP trusts</t>
  </si>
  <si>
    <t>Proceeds from divestitures of (funds used to purchase) interest in equity method investments, operating</t>
  </si>
  <si>
    <t>Impact of assumed conversion of preferred stock</t>
  </si>
  <si>
    <t>Net increase in customer advances and deposits</t>
  </si>
  <si>
    <t>Balance sheet validation</t>
  </si>
  <si>
    <t>Net decrease in inventories</t>
  </si>
  <si>
    <t>Net decrease in other assets, operating</t>
  </si>
  <si>
    <t>SG&amp;A Expense</t>
  </si>
  <si>
    <t xml:space="preserve">               </t>
  </si>
  <si>
    <t>Rooms (EOP)</t>
  </si>
  <si>
    <t># of Rooms</t>
  </si>
  <si>
    <t>Benefits paid to retirees, in assets (pensions)</t>
  </si>
  <si>
    <t>Net increase in other payables and accrued expenses</t>
  </si>
  <si>
    <t>Base</t>
  </si>
  <si>
    <t>LIBOR</t>
  </si>
  <si>
    <t>Total Rate</t>
  </si>
  <si>
    <t>Mortgages and Other</t>
  </si>
  <si>
    <t>United States</t>
  </si>
  <si>
    <t>Gains (losses) from sale of PPE and intangibles, recurring</t>
  </si>
  <si>
    <t>Change</t>
  </si>
  <si>
    <t>HLT US RevPAR</t>
  </si>
  <si>
    <t>STR Implied RevPAR</t>
  </si>
  <si>
    <t>_______</t>
  </si>
  <si>
    <t>Chain scale distribution</t>
  </si>
  <si>
    <t>STR RevPAR</t>
  </si>
  <si>
    <t>DoubleTree Hotel Sonoma Wine Country</t>
  </si>
  <si>
    <t>DoubleTree Hotel Durango</t>
  </si>
  <si>
    <t>Scandic Hotel Sergel Plaza</t>
  </si>
  <si>
    <t>The Trafalgar London</t>
  </si>
  <si>
    <t>Gains (losses) from sale of PPE and intangibles, one time, gross of tax</t>
  </si>
  <si>
    <t>Notes receivable, current</t>
  </si>
  <si>
    <t>Deferred income tax expense</t>
  </si>
  <si>
    <t>Unrecorded goodwill from poolings</t>
  </si>
  <si>
    <t>Nonimpairment write-offs</t>
  </si>
  <si>
    <t>SG&amp;A and Other</t>
  </si>
  <si>
    <t>Other M&amp;F Revs</t>
  </si>
  <si>
    <t>Days of Sales in Accounts Receivable</t>
  </si>
  <si>
    <t>Timeshare EBITDA guidance</t>
  </si>
  <si>
    <t>Hotel PP&amp;E, % of owned sales</t>
  </si>
  <si>
    <t>Total CapEx Y/Y Change</t>
  </si>
  <si>
    <t>Total PP&amp;E CapEx, % of operating revenue</t>
  </si>
  <si>
    <t>Total PP&amp;E CapEx Y/Y Change</t>
  </si>
  <si>
    <t>Management / Franchise Fees</t>
  </si>
  <si>
    <t>Total Adjusted EBITDA</t>
  </si>
  <si>
    <t>Less: Corporate / Other</t>
  </si>
  <si>
    <t>Less: Net Debt</t>
  </si>
  <si>
    <t>Less: Preferred Equity</t>
  </si>
  <si>
    <t>YE'14</t>
  </si>
  <si>
    <t>assuming share count</t>
  </si>
  <si>
    <t>Fully Distributed Equity Value</t>
  </si>
  <si>
    <t>Valuation range</t>
  </si>
  <si>
    <t>EV / EBITDA Multiple</t>
  </si>
  <si>
    <t>Fully Distributed Aggregate Value</t>
  </si>
  <si>
    <t>Rooms per Hotel</t>
  </si>
  <si>
    <t>Net Increase in Cash &amp; Equivalents</t>
  </si>
  <si>
    <t>Pointe Hilton Squaw Peak Resort</t>
  </si>
  <si>
    <t>Hilton Miami Airport</t>
  </si>
  <si>
    <t>Hilton Atlanta Airport</t>
  </si>
  <si>
    <t>Hilton São Paulo Morumbi</t>
  </si>
  <si>
    <t>Hilton McLean Tysons Corner</t>
  </si>
  <si>
    <t>Current market value of trust preferred securities</t>
  </si>
  <si>
    <t>Net OPEB assets (liabilities) recognized in the balance sheet</t>
  </si>
  <si>
    <t>Hilton Milton Keynes</t>
  </si>
  <si>
    <t>Hilton Templepatrick Hotel &amp; Country Club</t>
  </si>
  <si>
    <t>Hilton Sheffield</t>
  </si>
  <si>
    <t>Hilton Portsmouth(1)</t>
  </si>
  <si>
    <t>Embassy Suites Washington D.C.</t>
  </si>
  <si>
    <t>Embassy Suites Austin—Downtown/Town Lake</t>
  </si>
  <si>
    <t>Embassy Suites Phoenix—Airport at 24th Street</t>
  </si>
  <si>
    <t>DoubleTree Hotel Crystal City—National Airport</t>
  </si>
  <si>
    <t>DoubleTree Hotel San Jose</t>
  </si>
  <si>
    <t>DoubleTree Hotel Ontario Airport</t>
  </si>
  <si>
    <t>DoubleTree Spokane-City Center</t>
  </si>
  <si>
    <t>Fess Parker’s DoubleTree Resort Santa Barbara</t>
  </si>
  <si>
    <t>Hilton Garden Inn LAX/El Segundo</t>
  </si>
  <si>
    <t>Hilton Garden Inn Chicago/Oak Brook</t>
  </si>
  <si>
    <t>Hampton Inn &amp; Suites Memphis—Shady Grove</t>
  </si>
  <si>
    <t>Owned:</t>
  </si>
  <si>
    <t>Leased:</t>
  </si>
  <si>
    <t>Waldorf Astoria Rome Cavalieri</t>
  </si>
  <si>
    <t xml:space="preserve">   </t>
  </si>
  <si>
    <t>Hilton Ramses</t>
  </si>
  <si>
    <t>Hilton London Kensington</t>
  </si>
  <si>
    <t>Rome</t>
  </si>
  <si>
    <t>Italy</t>
  </si>
  <si>
    <t>Hilton Vienna</t>
  </si>
  <si>
    <t>Hilton Tel Aviv</t>
  </si>
  <si>
    <t>Hilton Istanbul</t>
  </si>
  <si>
    <t>Hilton Salt Lake City</t>
  </si>
  <si>
    <t>Hilton Munich Park</t>
  </si>
  <si>
    <t>Hilton Munich City</t>
  </si>
  <si>
    <t>London Hilton on Park Lane</t>
  </si>
  <si>
    <t>Hilton Diagonal Mar Barcelona</t>
  </si>
  <si>
    <t>Hilton Mainz</t>
  </si>
  <si>
    <t>Hilton Trinidad &amp; Conference Centre</t>
  </si>
  <si>
    <t>Hilton London Heathrow Airport</t>
  </si>
  <si>
    <t>Hilton Izmir</t>
  </si>
  <si>
    <t>Hilton London Docklands Riverside</t>
  </si>
  <si>
    <t>Hilton Addis Ababa</t>
  </si>
  <si>
    <t>Hilton Vienna Danube</t>
  </si>
  <si>
    <t>Hilton Frankfurt</t>
  </si>
  <si>
    <t>Hilton Brighton Metropole</t>
  </si>
  <si>
    <t>Hilton Sandton</t>
  </si>
  <si>
    <t>Hilton Brisbane</t>
  </si>
  <si>
    <t>Total Current Liabilities</t>
  </si>
  <si>
    <t>2010</t>
  </si>
  <si>
    <t>Cumulative indefinite life intangible amortization and impairments reported</t>
  </si>
  <si>
    <t>Statutory Tax Rate</t>
  </si>
  <si>
    <t>Amortization of taxable other intangibles, cash flow statement</t>
  </si>
  <si>
    <t>Additional Paid-In Capital</t>
  </si>
  <si>
    <t>Net issuance (repurchase) of common stock</t>
  </si>
  <si>
    <t>Issuance of common stock</t>
  </si>
  <si>
    <t>Share issuance related to employee stock purchase and option plans</t>
  </si>
  <si>
    <t>Other share issuance</t>
  </si>
  <si>
    <t>Amortization of deferred compensation expense</t>
  </si>
  <si>
    <t>Taxes</t>
  </si>
  <si>
    <t>Other revenue, segment</t>
  </si>
  <si>
    <t>Customer advances or deposits, current</t>
  </si>
  <si>
    <t>Customer advances or deposits, noncurrent</t>
  </si>
  <si>
    <t>Revenues</t>
  </si>
  <si>
    <t>HLT EBITDA Valuation</t>
  </si>
  <si>
    <t>Special dividends paid</t>
  </si>
  <si>
    <t>Plus: Non-recurring items</t>
  </si>
  <si>
    <t>Total non-recurring items</t>
  </si>
  <si>
    <t>Net cash used (from) one-time items</t>
  </si>
  <si>
    <t>Trade receivables, gross, noncurrent</t>
  </si>
  <si>
    <t>Net increase in beginning net deferred tax assets (operating) from change in consolidation of investments</t>
  </si>
  <si>
    <t>Big 8 Hotels</t>
  </si>
  <si>
    <t>Other Hotels</t>
  </si>
  <si>
    <t>Other Rooms</t>
  </si>
  <si>
    <t>Waldorf Astoria NYC</t>
  </si>
  <si>
    <t>Hilton Hawaiian Village</t>
  </si>
  <si>
    <t>Hilton New York</t>
  </si>
  <si>
    <t>Hilton San Francisco</t>
  </si>
  <si>
    <t>Hilton Waikoloa Village</t>
  </si>
  <si>
    <t>Hilton Chicago</t>
  </si>
  <si>
    <t>Hilton Chicago O'Hare</t>
  </si>
  <si>
    <t>Hilton New Orleans Riverside</t>
  </si>
  <si>
    <t>Other RevPAR</t>
  </si>
  <si>
    <t>Room Revenues</t>
  </si>
  <si>
    <t>The valuation is located on row 34, "NPV Value per Share"</t>
  </si>
  <si>
    <t>Prepaid expenses, current</t>
  </si>
  <si>
    <t>Equity Value</t>
  </si>
  <si>
    <t>Other cash flow</t>
  </si>
  <si>
    <t>Net decrease in notes receivable</t>
  </si>
  <si>
    <t>Capital expenditures</t>
  </si>
  <si>
    <t>Operating Revenue</t>
  </si>
  <si>
    <t>Unrealized foreign currency exchange gains (losses) in net operating assets</t>
  </si>
  <si>
    <t>Foreign currency exchange gains (losses), financing</t>
  </si>
  <si>
    <t>Net decrease in beginning net operating assets from discontinued operations</t>
  </si>
  <si>
    <t>Blue is hardcode, black and green are formulas, red could be either, pink is a link to another sheet or file</t>
  </si>
  <si>
    <t>Working Capital &amp; Other</t>
  </si>
  <si>
    <t>Reimbursed operating costs</t>
  </si>
  <si>
    <t>Income statement</t>
  </si>
  <si>
    <t>Revenue, net</t>
  </si>
  <si>
    <t>Revenue, net of discounts and allowances</t>
  </si>
  <si>
    <t>Additional Line Items</t>
  </si>
  <si>
    <t>Federal tax rate</t>
  </si>
  <si>
    <t>Plus: Depreciation &amp; amortization</t>
  </si>
  <si>
    <t>Trade receivables, current</t>
  </si>
  <si>
    <t>Market value of preferred equity</t>
  </si>
  <si>
    <t>Rental expense</t>
  </si>
  <si>
    <t>Marketing costs</t>
  </si>
  <si>
    <t>Depreciation, in income statement</t>
  </si>
  <si>
    <t>Amortization of goodwill, in income statement</t>
  </si>
  <si>
    <t>Market value of long-term debt</t>
  </si>
  <si>
    <t>Cumulative effect of change in accounting principle, net of tax</t>
  </si>
  <si>
    <t>Operating metrics</t>
  </si>
  <si>
    <t>Capital expenditures financed through operating leases (growth)</t>
  </si>
  <si>
    <t>Bull</t>
  </si>
  <si>
    <t>Managed &amp; Franchised</t>
  </si>
  <si>
    <t>Timeshare</t>
  </si>
  <si>
    <t>Actual return on plan assets (pensions)</t>
  </si>
  <si>
    <t>HOT US RevPAR</t>
  </si>
  <si>
    <t>Upper upscale</t>
  </si>
  <si>
    <t>HLT US owned</t>
  </si>
  <si>
    <t>MAR US RevPAR</t>
  </si>
  <si>
    <t>HOT portfolio</t>
  </si>
  <si>
    <t>MAR portfolio</t>
  </si>
  <si>
    <t>HLT - Last 3 Qs</t>
  </si>
  <si>
    <t>HOT - Last 3 Qs</t>
  </si>
  <si>
    <t>MAR - Last 3 Qs</t>
  </si>
  <si>
    <t>Securitized receivables</t>
  </si>
  <si>
    <t>Commitments and contingencies</t>
  </si>
  <si>
    <t>(US$ millions, except per-share data)</t>
  </si>
  <si>
    <t>Intersegment fees eliminations</t>
  </si>
  <si>
    <t>Ownership revenues, net</t>
  </si>
  <si>
    <t>Revenues, net</t>
  </si>
  <si>
    <t>Total M&amp;F Fees, gross</t>
  </si>
  <si>
    <t>Total M&amp;F Fees, net</t>
  </si>
  <si>
    <t>Days in the year</t>
  </si>
  <si>
    <t>Depreciation and amortization included in equity in earnings (losses) from unconsolidated affiliates</t>
  </si>
  <si>
    <t>Interest expense included in equity in earnings (losses) from unconsolidated affiliates</t>
  </si>
  <si>
    <t>Net income (loss) attributable to noncontrolling interest</t>
  </si>
  <si>
    <t>Loss (gain) on foreign currency transactions</t>
  </si>
  <si>
    <t>Gain on debt restructuring</t>
  </si>
  <si>
    <t>FF&amp;E replacement reserve</t>
  </si>
  <si>
    <t>Share-based compensation expense</t>
  </si>
  <si>
    <t>Impairment loss included in equity in earnings (losses) from unconsolidated affiliates</t>
  </si>
  <si>
    <t>Other gain, net</t>
  </si>
  <si>
    <t>Senior mortgage loans with a rate of 2.49%, due 2015</t>
  </si>
  <si>
    <t>Pension and other postretirement assets</t>
  </si>
  <si>
    <t>Expected rate of healthcare cost increase, short term</t>
  </si>
  <si>
    <t xml:space="preserve">  Share Repurchases</t>
  </si>
  <si>
    <t>Net decrease in finance lease receivables</t>
  </si>
  <si>
    <t>Year 2 minimum rental payment</t>
  </si>
  <si>
    <t>Billings in excess of cost</t>
  </si>
  <si>
    <t>Detailed RevPAR Data</t>
  </si>
  <si>
    <t>$ RevPAR</t>
  </si>
  <si>
    <t>Systemwide RevPAR</t>
  </si>
  <si>
    <t>Sandton</t>
  </si>
  <si>
    <t>Brisbane</t>
  </si>
  <si>
    <t>Glasgow</t>
  </si>
  <si>
    <t>Milan</t>
  </si>
  <si>
    <t>Ankara</t>
  </si>
  <si>
    <t>Adana</t>
  </si>
  <si>
    <t>Cologne</t>
  </si>
  <si>
    <t>Stockholm</t>
  </si>
  <si>
    <t>Sweden</t>
  </si>
  <si>
    <t>Nairobi</t>
  </si>
  <si>
    <t>Kenya</t>
  </si>
  <si>
    <t>Madrid</t>
  </si>
  <si>
    <t>Parmelia Perth</t>
  </si>
  <si>
    <t>Amsterdam</t>
  </si>
  <si>
    <t>Newcastle Upon Tyne</t>
  </si>
  <si>
    <t>Bonn</t>
  </si>
  <si>
    <t>Stansted</t>
  </si>
  <si>
    <t>Manchester</t>
  </si>
  <si>
    <t>Basel</t>
  </si>
  <si>
    <t xml:space="preserve">Switzerland </t>
  </si>
  <si>
    <t>Bracknell</t>
  </si>
  <si>
    <t>Antwerp</t>
  </si>
  <si>
    <t xml:space="preserve">Belgium </t>
  </si>
  <si>
    <t>Reading</t>
  </si>
  <si>
    <t>Leeds</t>
  </si>
  <si>
    <t>Watford</t>
  </si>
  <si>
    <t>Mersin</t>
  </si>
  <si>
    <t>Warwick</t>
  </si>
  <si>
    <t>Leicester</t>
  </si>
  <si>
    <t>Innsbruck</t>
  </si>
  <si>
    <t>Nottingham</t>
  </si>
  <si>
    <t>Odawara City</t>
  </si>
  <si>
    <t>Wokingham</t>
  </si>
  <si>
    <t>Croydon</t>
  </si>
  <si>
    <t>Cobham</t>
  </si>
  <si>
    <t xml:space="preserve">France </t>
  </si>
  <si>
    <t>Derby</t>
  </si>
  <si>
    <t>Maidstone</t>
  </si>
  <si>
    <t>Arundel</t>
  </si>
  <si>
    <t>Northampton</t>
  </si>
  <si>
    <t>York</t>
  </si>
  <si>
    <t>Bradford</t>
  </si>
  <si>
    <t>Tewkesbury</t>
  </si>
  <si>
    <t>San Diego</t>
  </si>
  <si>
    <t>Rohnert Park</t>
  </si>
  <si>
    <t>Durango</t>
  </si>
  <si>
    <t>CO</t>
  </si>
  <si>
    <t xml:space="preserve">Sweden </t>
  </si>
  <si>
    <t>hotel contains restaurant / bar and fitness facility; central Stockholm</t>
  </si>
  <si>
    <t>Total / Average</t>
  </si>
  <si>
    <t>The Big 8</t>
  </si>
  <si>
    <t>Expenses</t>
  </si>
  <si>
    <t>Cost of services sold</t>
  </si>
  <si>
    <t>Cash Flow Statement</t>
  </si>
  <si>
    <t>Diluted Shares Outstanding BOP</t>
  </si>
  <si>
    <t>Diluted Shares Outstanding EOP</t>
  </si>
  <si>
    <t>Cost of sales, with depreciation</t>
  </si>
  <si>
    <t>Cost of sales, without depreciation</t>
  </si>
  <si>
    <t>Legal provision, recurring, cash flow statement</t>
  </si>
  <si>
    <t>Cash &amp; Equivalents - Ending</t>
  </si>
  <si>
    <t>Leases</t>
  </si>
  <si>
    <t>Net decrease in beginning net deferred tax assets (operating) from discontinued operations</t>
  </si>
  <si>
    <t>Operating revenue</t>
  </si>
  <si>
    <t>Capex compare</t>
  </si>
  <si>
    <t>Maint. Capex</t>
  </si>
  <si>
    <t>Total Capex</t>
  </si>
  <si>
    <t>Owned &amp; Leased Capex</t>
  </si>
  <si>
    <t>Proceeds from exercise of stock options</t>
  </si>
  <si>
    <t>Funds used to repurchase common stock</t>
  </si>
  <si>
    <t>RevPAR (International)</t>
  </si>
  <si>
    <t>Occupancy (International)</t>
  </si>
  <si>
    <t>ADR (International)</t>
  </si>
  <si>
    <t>Managed Revenue Calc.</t>
  </si>
  <si>
    <t>Rev Weights (Int'l)</t>
  </si>
  <si>
    <t>Managed Room Revs (Int'l)</t>
  </si>
  <si>
    <t>Total Int'l Managed Rooms</t>
  </si>
  <si>
    <t>Current period unrecognized gain (loss) on other investments, gross of tax, operating, one time</t>
  </si>
  <si>
    <t>Proceeds from sale of PPE and intangible assets</t>
  </si>
  <si>
    <t>Current ADR ratio</t>
  </si>
  <si>
    <t>Analyst's average FX rate</t>
  </si>
  <si>
    <t>Net pension and OPEB expense, cash flow statement</t>
  </si>
  <si>
    <t>Net income (reported) less preferred dividends</t>
  </si>
  <si>
    <t>Tax on income (loss) from discontinued operations</t>
  </si>
  <si>
    <t>Current</t>
  </si>
  <si>
    <t>Leverage Metrics</t>
  </si>
  <si>
    <t>Cumulative amortization</t>
  </si>
  <si>
    <t>Analyst estimated goodwill impairments</t>
  </si>
  <si>
    <t>Net actuarial gain (loss) recognized (OPEB)</t>
  </si>
  <si>
    <t>Asset impairment, nongoodwill, one time</t>
  </si>
  <si>
    <t>RevPAR - comparable</t>
  </si>
  <si>
    <t>MAR</t>
  </si>
  <si>
    <t>Employee cash bonus (Taiwan)</t>
  </si>
  <si>
    <t>Employee stock bonus (Taiwan)</t>
  </si>
  <si>
    <t>Percentage of EBITDA attributable to entities with excluded minority interest</t>
  </si>
  <si>
    <t>Dividends from investments under the equity method, nonoperating, cash flow statement</t>
  </si>
  <si>
    <t>Investments in subsidiaries</t>
  </si>
  <si>
    <t>Investments in associates</t>
  </si>
  <si>
    <t>Timeshare Segment</t>
  </si>
  <si>
    <t>Managed &amp; Franchised Segment</t>
  </si>
  <si>
    <t>Share buybacks (MMs) Included in EPS</t>
  </si>
  <si>
    <t>Other Items:</t>
  </si>
  <si>
    <t>Assumed Tax Rate</t>
  </si>
  <si>
    <t>Fee Summary</t>
  </si>
  <si>
    <t>Average Diluted Shares</t>
  </si>
  <si>
    <t>Share Price</t>
  </si>
  <si>
    <t>Interest on other interest-bearing liabilities reported as operating costs</t>
  </si>
  <si>
    <t>Pensions and other postretirement benefit plans</t>
  </si>
  <si>
    <t>Income (loss) from investments under the equity method, operating, cash flow statement</t>
  </si>
  <si>
    <t>Expected long term rate of return on plan assets (OPEB)</t>
  </si>
  <si>
    <t>Other change in accumulated other comprehensive income (loss)</t>
  </si>
  <si>
    <t>Change in revaluation reserves</t>
  </si>
  <si>
    <t>Beta</t>
  </si>
  <si>
    <t>2014E</t>
  </si>
  <si>
    <t>2015E</t>
  </si>
  <si>
    <t>Cash From Operating Activity</t>
  </si>
  <si>
    <t>Prior service cost (pensions)</t>
  </si>
  <si>
    <t>Premium (goodwill) on acquisitions, growth</t>
  </si>
  <si>
    <t>Free Cash Flow Summary</t>
  </si>
  <si>
    <t>Net FCF per Share</t>
  </si>
  <si>
    <t>Incentive Fees</t>
  </si>
  <si>
    <t>Net increase in beginning net operating assets from change in consolidation of investments</t>
  </si>
  <si>
    <t>Gains (losses) from sale of PPE and intangibles, recurring, cash flow statement</t>
  </si>
  <si>
    <t xml:space="preserve">Minority interest, cash flow statement </t>
  </si>
  <si>
    <t>EPS</t>
  </si>
  <si>
    <t>Net decrease in other receivables</t>
  </si>
  <si>
    <t>Net increase in provisions and reserves</t>
  </si>
  <si>
    <t>Liabilities of discontinued operations</t>
  </si>
  <si>
    <t>Other net expense (OPEB)</t>
  </si>
  <si>
    <t>Net increase in other liabilities, nonoperating</t>
  </si>
  <si>
    <t>Interest on other interest-bearing liabilities reported as finance costs</t>
  </si>
  <si>
    <t>Waldorf Astoria Rental Listings</t>
  </si>
  <si>
    <t>Date Listed</t>
  </si>
  <si>
    <t>Sq Ft</t>
  </si>
  <si>
    <t>Beds</t>
  </si>
  <si>
    <t>Baths</t>
  </si>
  <si>
    <t>Rent / Month</t>
  </si>
  <si>
    <t xml:space="preserve">#42R/R2 </t>
  </si>
  <si>
    <t>2 beds</t>
  </si>
  <si>
    <t>2.5 baths</t>
  </si>
  <si>
    <t xml:space="preserve">#36H </t>
  </si>
  <si>
    <t>2 baths</t>
  </si>
  <si>
    <t xml:space="preserve">#39Y </t>
  </si>
  <si>
    <t>1 bed</t>
  </si>
  <si>
    <t>1 bath</t>
  </si>
  <si>
    <t xml:space="preserve">#31T </t>
  </si>
  <si>
    <t xml:space="preserve">#37T </t>
  </si>
  <si>
    <t xml:space="preserve">#37R/R2 </t>
  </si>
  <si>
    <t xml:space="preserve">#39F </t>
  </si>
  <si>
    <t xml:space="preserve">#36A </t>
  </si>
  <si>
    <t>1.5 baths</t>
  </si>
  <si>
    <t xml:space="preserve">#31F/F2 </t>
  </si>
  <si>
    <t xml:space="preserve">#37HH2 </t>
  </si>
  <si>
    <t xml:space="preserve">#28F/F2 </t>
  </si>
  <si>
    <t xml:space="preserve">#33A </t>
  </si>
  <si>
    <t>5 beds</t>
  </si>
  <si>
    <t>5.5 baths</t>
  </si>
  <si>
    <t xml:space="preserve">#40A </t>
  </si>
  <si>
    <t xml:space="preserve">#30H </t>
  </si>
  <si>
    <t>3.5 baths</t>
  </si>
  <si>
    <t xml:space="preserve">#33H </t>
  </si>
  <si>
    <t>3 beds</t>
  </si>
  <si>
    <t>3 baths</t>
  </si>
  <si>
    <t xml:space="preserve">#32H </t>
  </si>
  <si>
    <t xml:space="preserve">#31H </t>
  </si>
  <si>
    <t xml:space="preserve">#3308 </t>
  </si>
  <si>
    <t xml:space="preserve">#37H/H2 </t>
  </si>
  <si>
    <t xml:space="preserve">#38M/M2 </t>
  </si>
  <si>
    <t xml:space="preserve">#37Y </t>
  </si>
  <si>
    <t xml:space="preserve">#37RR2 </t>
  </si>
  <si>
    <t xml:space="preserve">#42H </t>
  </si>
  <si>
    <t xml:space="preserve">#30F/F2 </t>
  </si>
  <si>
    <t xml:space="preserve">#37J </t>
  </si>
  <si>
    <t xml:space="preserve">#32T </t>
  </si>
  <si>
    <t xml:space="preserve">#37H </t>
  </si>
  <si>
    <t xml:space="preserve">#3310 </t>
  </si>
  <si>
    <t xml:space="preserve">#331B </t>
  </si>
  <si>
    <t xml:space="preserve">#38MM2 </t>
  </si>
  <si>
    <t>4 beds</t>
  </si>
  <si>
    <t>4 baths</t>
  </si>
  <si>
    <t xml:space="preserve">#28H </t>
  </si>
  <si>
    <t xml:space="preserve">#41H </t>
  </si>
  <si>
    <t xml:space="preserve">#38M2 </t>
  </si>
  <si>
    <t xml:space="preserve">#28FF2 </t>
  </si>
  <si>
    <t xml:space="preserve">#39H </t>
  </si>
  <si>
    <t xml:space="preserve">#41A </t>
  </si>
  <si>
    <t xml:space="preserve">#40H </t>
  </si>
  <si>
    <t xml:space="preserve">#30A </t>
  </si>
  <si>
    <t>6 beds</t>
  </si>
  <si>
    <t>6.5 baths</t>
  </si>
  <si>
    <t xml:space="preserve">#2812 </t>
  </si>
  <si>
    <t>Average</t>
  </si>
  <si>
    <t>Rent / Sq Ft / Month</t>
  </si>
  <si>
    <t>Rent / Year</t>
  </si>
  <si>
    <t>Rent / Sq Ft / Year</t>
  </si>
  <si>
    <t>Annual Room Revenue</t>
  </si>
  <si>
    <t xml:space="preserve">Other Revenue </t>
  </si>
  <si>
    <t>Towers vs. Regular Hotel</t>
  </si>
  <si>
    <t>Waldorf Towers</t>
  </si>
  <si>
    <t>Per website, 26 presidential suites, 4 historic suites, and residential towers</t>
  </si>
  <si>
    <t>Average Sq Ft</t>
  </si>
  <si>
    <t>Other Suites</t>
  </si>
  <si>
    <t>Total Saleable Sq Ft</t>
  </si>
  <si>
    <t>Sq Feet (per above broker reports)</t>
  </si>
  <si>
    <t># of Presidential or Historic Suites</t>
  </si>
  <si>
    <t>Annual Potential Rent Income ($mm)</t>
  </si>
  <si>
    <t>Valued at 13x Multiple</t>
  </si>
  <si>
    <t>6% Cap Rate</t>
  </si>
  <si>
    <t>Median</t>
  </si>
  <si>
    <t>Waldorf Property-level Details</t>
  </si>
  <si>
    <t>Cap Rate Value</t>
  </si>
  <si>
    <t>Maint. Capex (5% of Revenue)</t>
  </si>
  <si>
    <t>Source: StreetEasy</t>
  </si>
  <si>
    <t>737 Park Avenue #20A</t>
  </si>
  <si>
    <t>7 rooms, 3 beds</t>
  </si>
  <si>
    <t>4 baths, 1 half bath</t>
  </si>
  <si>
    <t>737 Park Avenue #10C</t>
  </si>
  <si>
    <t>8 rooms, 5 beds</t>
  </si>
  <si>
    <t>6 baths, 5 half baths</t>
  </si>
  <si>
    <t>IN CONTRACT</t>
  </si>
  <si>
    <t>737 Park Avenue #6C</t>
  </si>
  <si>
    <t>9 rooms, 5 beds</t>
  </si>
  <si>
    <t>737 Park Avenue #14E</t>
  </si>
  <si>
    <t>7 rooms, 5 beds</t>
  </si>
  <si>
    <t>7 baths, 5 half baths</t>
  </si>
  <si>
    <t>737 Park Avenue #17E</t>
  </si>
  <si>
    <t>7 rooms, 4 beds</t>
  </si>
  <si>
    <t>5 baths</t>
  </si>
  <si>
    <t>737 Park Avenue #8A</t>
  </si>
  <si>
    <t>6 rooms, 3 beds</t>
  </si>
  <si>
    <t>737 Park Avenue #18A</t>
  </si>
  <si>
    <t>4 rooms, 2 beds</t>
  </si>
  <si>
    <t>737 Park Avenue #5A</t>
  </si>
  <si>
    <t>737 Park Avenue #6A</t>
  </si>
  <si>
    <t>737 Park Avenue #3C</t>
  </si>
  <si>
    <t>3 baths, 1 half bath</t>
  </si>
  <si>
    <t>737 Park Avenue #4C</t>
  </si>
  <si>
    <t>737 Park Avenue #5E</t>
  </si>
  <si>
    <t>737 Park Avenue #3E</t>
  </si>
  <si>
    <t>5 rooms, 2 beds</t>
  </si>
  <si>
    <t>737 Park Avenue #2B</t>
  </si>
  <si>
    <t>737 Park Avenue #6F</t>
  </si>
  <si>
    <t>4.5 rooms, 2 beds</t>
  </si>
  <si>
    <t>2 baths, 1 half bath</t>
  </si>
  <si>
    <t>737 Park Avenue #2E</t>
  </si>
  <si>
    <t>3 rooms, 1 bed</t>
  </si>
  <si>
    <t>Apartment</t>
  </si>
  <si>
    <t>Price</t>
  </si>
  <si>
    <t>Price / Sq Ft</t>
  </si>
  <si>
    <t>Rentals</t>
  </si>
  <si>
    <t>737 Park Avenue</t>
  </si>
  <si>
    <t>21 East 61st Street #PH</t>
  </si>
  <si>
    <t>12.5 rooms, 6 beds</t>
  </si>
  <si>
    <t>6 baths, 1 half bath</t>
  </si>
  <si>
    <t>21 East 61st Street #TH</t>
  </si>
  <si>
    <t>14 rooms, 6 beds</t>
  </si>
  <si>
    <t>7 baths, 1 half bath</t>
  </si>
  <si>
    <t>21 East 61st Street #14B</t>
  </si>
  <si>
    <t>9 rooms, 4 beds</t>
  </si>
  <si>
    <t>5 baths, 1 half bath</t>
  </si>
  <si>
    <t>21 East 61st Street #16B</t>
  </si>
  <si>
    <t>10 rooms, 3 beds</t>
  </si>
  <si>
    <t>21 East 61st Street #14A</t>
  </si>
  <si>
    <t>21 East 61st Street #15A</t>
  </si>
  <si>
    <t>12 rooms, 4 beds</t>
  </si>
  <si>
    <t>21 East 61st Street #6E</t>
  </si>
  <si>
    <t>10.5 rooms, 5 beds</t>
  </si>
  <si>
    <t>21 East 61st Street #5B</t>
  </si>
  <si>
    <t>8.5 rooms, 4 beds</t>
  </si>
  <si>
    <t>21 East 61st Street #12E</t>
  </si>
  <si>
    <t>8 rooms, 3 beds</t>
  </si>
  <si>
    <t>21 East 61st Street #3E</t>
  </si>
  <si>
    <t>10 rooms, 4 beds</t>
  </si>
  <si>
    <t>21 East 61st Street #11E</t>
  </si>
  <si>
    <t>21 East 61st Street #11A</t>
  </si>
  <si>
    <t>6.5 rooms, 3 beds</t>
  </si>
  <si>
    <t>21 East 61st Street #12A</t>
  </si>
  <si>
    <t>21 East 61st Street #12F</t>
  </si>
  <si>
    <t>21 East 61st Street #10F</t>
  </si>
  <si>
    <t>8.5 rooms, 3 beds</t>
  </si>
  <si>
    <t>21 East 61st Street #12B</t>
  </si>
  <si>
    <t>3.5 rooms, 3 beds</t>
  </si>
  <si>
    <t>21 East 61st Street #10B</t>
  </si>
  <si>
    <t>21 East 61st Street #11F</t>
  </si>
  <si>
    <t>21 East 61st Street #8F</t>
  </si>
  <si>
    <t>21 East 61st Street #7F</t>
  </si>
  <si>
    <t>21 East 61st Street #8A</t>
  </si>
  <si>
    <t>21 East 61st Street #11B</t>
  </si>
  <si>
    <t>21 East 61st Street #7B</t>
  </si>
  <si>
    <t>21 East 61st Street #9F</t>
  </si>
  <si>
    <t>21 East 61st Street #10E</t>
  </si>
  <si>
    <t>21 East 61st Street #3A</t>
  </si>
  <si>
    <t>21 East 61st Street #3F</t>
  </si>
  <si>
    <t>21 East 61st Street #12C</t>
  </si>
  <si>
    <t>21 East 61st Street #12D</t>
  </si>
  <si>
    <t>21 East 61st Street #11C</t>
  </si>
  <si>
    <t>21 East 61st Street #10D</t>
  </si>
  <si>
    <t>21 East 61st Street #8D</t>
  </si>
  <si>
    <t>5.5 rooms, 2 beds</t>
  </si>
  <si>
    <t>21 East 61st Street #11D</t>
  </si>
  <si>
    <t>21 East 61st Street #9C</t>
  </si>
  <si>
    <t>21 East 61st Street #10C</t>
  </si>
  <si>
    <t>21 East 61st Street #8C</t>
  </si>
  <si>
    <t>21 East 61st Street #9D</t>
  </si>
  <si>
    <t>21 East 61st Street #7D</t>
  </si>
  <si>
    <t>21 East 61st Street #5D</t>
  </si>
  <si>
    <t>21 East 61st Street #7C</t>
  </si>
  <si>
    <t>21 East 61st Street #6C</t>
  </si>
  <si>
    <t>21 East 61st Street #4D</t>
  </si>
  <si>
    <t>21 East 61st Street #5C</t>
  </si>
  <si>
    <t>21 East 61st Street #6D</t>
  </si>
  <si>
    <t>21 East 61st Street #4C</t>
  </si>
  <si>
    <t>21 East 61st Street #6F</t>
  </si>
  <si>
    <t>21 East 61st Street #5F</t>
  </si>
  <si>
    <t>21 East 61st Street #4F</t>
  </si>
  <si>
    <t>21 East 61st Street #6A</t>
  </si>
  <si>
    <t>21 East 61st Street #5A</t>
  </si>
  <si>
    <t>Monthly Rent</t>
  </si>
  <si>
    <t>641 Fifth Avenue #42D/E</t>
  </si>
  <si>
    <t>641 Fifth Avenue #48GH</t>
  </si>
  <si>
    <t>641 Fifth Avenue #28G</t>
  </si>
  <si>
    <t>641 Fifth Avenue #48B</t>
  </si>
  <si>
    <t>3.5 rooms, 1 bed</t>
  </si>
  <si>
    <t>641 Fifth Avenue #27B</t>
  </si>
  <si>
    <t>641 Fifth Avenue #28B</t>
  </si>
  <si>
    <t>641 Fifth Avenue #22N</t>
  </si>
  <si>
    <t>Average (Value-weighted)</t>
  </si>
  <si>
    <t>Development Costs / Sq Ft</t>
  </si>
  <si>
    <t>Cap Rate for Just Hotel</t>
  </si>
  <si>
    <t>Waldorf ex. Towers Revenue</t>
  </si>
  <si>
    <t>FF&amp;E Reserve (5% of Revs)</t>
  </si>
  <si>
    <t>Remaining NOI</t>
  </si>
  <si>
    <t>Hotel Sale Price</t>
  </si>
  <si>
    <t>157 W 57th</t>
  </si>
  <si>
    <t>432 Park Ave</t>
  </si>
  <si>
    <t>737 Park Ave</t>
  </si>
  <si>
    <t>Carlton House</t>
  </si>
  <si>
    <t>Olympic Tower</t>
  </si>
  <si>
    <t>Pro's</t>
  </si>
  <si>
    <t>Con's</t>
  </si>
  <si>
    <t>New Build, Park Views</t>
  </si>
  <si>
    <t>New Build, Location</t>
  </si>
  <si>
    <t>c) Mgmt Contract (@ 14.5x Multiple)</t>
  </si>
  <si>
    <t>135 East 79th Street #PH17E</t>
  </si>
  <si>
    <t>8 rooms, 4 beds</t>
  </si>
  <si>
    <t>135 East 79th Street #MW</t>
  </si>
  <si>
    <t>9 rooms, 6 beds</t>
  </si>
  <si>
    <t>6 baths</t>
  </si>
  <si>
    <t>135 East 79th Street #PH19E</t>
  </si>
  <si>
    <t>7 rooms, 2 beds</t>
  </si>
  <si>
    <t>135 East 79th Street #MAISE</t>
  </si>
  <si>
    <t>Active Listings</t>
  </si>
  <si>
    <t>Sold Units</t>
  </si>
  <si>
    <t>432 Park Avenue #PH92</t>
  </si>
  <si>
    <t>10 rooms, 6 beds</t>
  </si>
  <si>
    <t>432 Park Avenue #PH86</t>
  </si>
  <si>
    <t>432 Park Avenue #80B</t>
  </si>
  <si>
    <t>5 baths, 5 half baths</t>
  </si>
  <si>
    <t>432 Park Avenue #64B</t>
  </si>
  <si>
    <t>Investment in intangible assets reflected in cost of acquisitions</t>
  </si>
  <si>
    <t>Tax benefit from exercise of employee stock options</t>
  </si>
  <si>
    <t>Proceeds (Payments) on Long-term Debt</t>
  </si>
  <si>
    <t>Weighted average discount rate (pensions)</t>
  </si>
  <si>
    <t>Year 3 minimum rental payment</t>
  </si>
  <si>
    <t>Projected benefit obligation (OPEB)</t>
  </si>
  <si>
    <t>Impact of assumed conversion of convertible bonds</t>
  </si>
  <si>
    <t>Book value of convertible debt included in dilutive securities</t>
  </si>
  <si>
    <t>Total % growth, y/y</t>
  </si>
  <si>
    <t>RevPAR (Systemwide)</t>
  </si>
  <si>
    <t>Total hotel rooms</t>
  </si>
  <si>
    <t>City</t>
  </si>
  <si>
    <t>State / Country</t>
  </si>
  <si>
    <t>1998 (A)_x000D_
1998-1-1_x000D_
1998-12-31</t>
  </si>
  <si>
    <t>Implied</t>
  </si>
  <si>
    <t>Target</t>
  </si>
  <si>
    <t>Multiple</t>
  </si>
  <si>
    <t>Other pension settlement and curtailment gains (losses), one time</t>
  </si>
  <si>
    <t>Asset impairment, nongoodwill, one time, gross of tax</t>
  </si>
  <si>
    <t>Tax on asset impairment, nongoodwill, one time</t>
  </si>
  <si>
    <t>Check</t>
  </si>
  <si>
    <t>Deferred revenue, current</t>
  </si>
  <si>
    <t>Adjustment to net income for dilutive items</t>
  </si>
  <si>
    <t>Total Shares</t>
  </si>
  <si>
    <t>Secondary Shares</t>
  </si>
  <si>
    <t>% of Total</t>
  </si>
  <si>
    <t>Rooms - Managed &amp; Franchised</t>
  </si>
  <si>
    <t>Incremental Margins</t>
  </si>
  <si>
    <t>% Total Growth</t>
  </si>
  <si>
    <t>% Growth - Owned segment</t>
  </si>
  <si>
    <t>Timeshare EBITDA</t>
  </si>
  <si>
    <t>(US$ million, except per-share data)</t>
  </si>
  <si>
    <t>RevPAR growth</t>
  </si>
  <si>
    <t>Room growth</t>
  </si>
  <si>
    <t>System rev growth</t>
  </si>
  <si>
    <t>MS Calc</t>
  </si>
  <si>
    <t>Int'l Managed RevPAR</t>
  </si>
  <si>
    <t>Decommissioning liabilities</t>
  </si>
  <si>
    <t>Asset retirement obligation</t>
  </si>
  <si>
    <t>Environmental provision, one time, gross of tax</t>
  </si>
  <si>
    <t>Tax on environmental provision, one time</t>
  </si>
  <si>
    <t>Other provisions, recurring</t>
  </si>
  <si>
    <t>Other provisions, one time</t>
  </si>
  <si>
    <t>Current share of market value of associates accounted for under the equity method, operating</t>
  </si>
  <si>
    <t>Cash</t>
  </si>
  <si>
    <t>Interest incurred</t>
  </si>
  <si>
    <t>Interest capitalized</t>
  </si>
  <si>
    <t>Other long-term debt</t>
  </si>
  <si>
    <t>Provisions and reserves</t>
  </si>
  <si>
    <t>Rooms Weights</t>
  </si>
  <si>
    <t>Margin</t>
  </si>
  <si>
    <t>Deferred tax assets, other</t>
  </si>
  <si>
    <t>Other receivables</t>
  </si>
  <si>
    <t>Risk free rate</t>
  </si>
  <si>
    <t>Adjustments to reconcile Adjusted EBITDA</t>
  </si>
  <si>
    <t>2,190-2,205</t>
  </si>
  <si>
    <t>company to send per request</t>
  </si>
  <si>
    <t>Benefits paid to retirees, in obligation (OPEB)</t>
  </si>
  <si>
    <t>Depreciation, cash flow statement</t>
  </si>
  <si>
    <t>Change in foreign currency translation</t>
  </si>
  <si>
    <t>Tax on legal provision, one time</t>
  </si>
  <si>
    <t>Environmental provision, recurring</t>
  </si>
  <si>
    <t>Total Capital Expenditures for PP&amp;E</t>
  </si>
  <si>
    <t>Software Capitalization</t>
  </si>
  <si>
    <t>Expenditures for Timeshare Inventory Net of Cost of Sales</t>
  </si>
  <si>
    <t xml:space="preserve">Total Capital Expenditures  </t>
  </si>
  <si>
    <t>Hotel PP&amp;E, % of PPE</t>
  </si>
  <si>
    <t>Plus: Change in working cap, ex. inventory</t>
  </si>
  <si>
    <t>Days of Inventories in Hand</t>
  </si>
  <si>
    <t>Total Interest Income</t>
  </si>
  <si>
    <t>HOT.N,mscalc:targetPrice</t>
  </si>
  <si>
    <t>Common stock</t>
  </si>
  <si>
    <t>Additional paid in capital</t>
  </si>
  <si>
    <t>Retained earnings</t>
  </si>
  <si>
    <t>Net cash flow from discontinued operations</t>
  </si>
  <si>
    <t>Hilton Worldwide (HLT) Earnings Model</t>
  </si>
  <si>
    <t>Net pension prepaid asset (accrued liability)</t>
  </si>
  <si>
    <t xml:space="preserve">Unrealized gains (losses) on securities and other investments </t>
  </si>
  <si>
    <t>B12GHV2</t>
  </si>
  <si>
    <t>% growth, seq.</t>
  </si>
  <si>
    <t>Total Hotels</t>
  </si>
  <si>
    <t>EBITDA</t>
  </si>
  <si>
    <t>Legal provision, recurring</t>
  </si>
  <si>
    <t>Impairment losses</t>
  </si>
  <si>
    <t>Income tax benefit (expense)</t>
  </si>
  <si>
    <t>Impairment</t>
  </si>
  <si>
    <t>Ownership</t>
  </si>
  <si>
    <t>Ownership RevPAR</t>
  </si>
  <si>
    <t>Other secured debt notes &amp; obligations</t>
  </si>
  <si>
    <t xml:space="preserve">  </t>
  </si>
  <si>
    <t>Long term debt</t>
  </si>
  <si>
    <t>Non-recourse debt</t>
  </si>
  <si>
    <t>Intervals Sold</t>
  </si>
  <si>
    <t>VPG</t>
  </si>
  <si>
    <t>Tours</t>
  </si>
  <si>
    <t>Hotel PP&amp;E</t>
  </si>
  <si>
    <t>Timeshare PP&amp;E</t>
  </si>
  <si>
    <t>Management and franchised fees and other</t>
  </si>
  <si>
    <t>Owned &amp; leased hotels</t>
  </si>
  <si>
    <t>Ownership revenues, gross</t>
  </si>
  <si>
    <t>System-wide RevPAR</t>
  </si>
  <si>
    <t>Managed Hotels</t>
  </si>
  <si>
    <t>Net Additions, seq.</t>
  </si>
  <si>
    <t>Managed Rooms, EOP</t>
  </si>
  <si>
    <t>Managed Rooms, avg.</t>
  </si>
  <si>
    <t>RevPAR Growth</t>
  </si>
  <si>
    <t>Int'l</t>
  </si>
  <si>
    <t>Base Weights</t>
  </si>
  <si>
    <t>Managed Revenues (Calc)</t>
  </si>
  <si>
    <t>% growth, y/y (Int'l)</t>
  </si>
  <si>
    <t>% growth, y/y (Total)</t>
  </si>
  <si>
    <t>% growth, y/y (US)</t>
  </si>
  <si>
    <t>Franchised Hotels</t>
  </si>
  <si>
    <t>Franchised Rooms, EOP</t>
  </si>
  <si>
    <t>Franchised Rooms, avg.</t>
  </si>
  <si>
    <t>Tax benefit from exercise of employee stock options, cash flow statement</t>
  </si>
  <si>
    <t>ND</t>
  </si>
  <si>
    <t>Current period unrecognized gain (loss) on other investments, gross of tax, operating</t>
  </si>
  <si>
    <t>Current period unrecognized gain (loss) on other investments, gross of tax, operating, recurring</t>
  </si>
  <si>
    <t>Inventory obsolescence reserve</t>
  </si>
  <si>
    <t>Europe Rooms</t>
  </si>
  <si>
    <t>Environmental provision, recurring, cash flow statement</t>
  </si>
  <si>
    <t>Latin America</t>
  </si>
  <si>
    <t>Luxury</t>
  </si>
  <si>
    <t>Upscale</t>
  </si>
  <si>
    <t>Filing range</t>
  </si>
  <si>
    <t xml:space="preserve">Cumulative effect of change in accounting principle, cash flow statement </t>
  </si>
  <si>
    <t>Impact</t>
  </si>
  <si>
    <t>EV</t>
  </si>
  <si>
    <t>System Growth</t>
  </si>
  <si>
    <t>BULL CASE</t>
  </si>
  <si>
    <t>Assumed Multiple</t>
  </si>
  <si>
    <t>% change, y/y (weight %)</t>
  </si>
  <si>
    <t>Capital expenditures, sustaining</t>
  </si>
  <si>
    <t>Capital expenditures, growth</t>
  </si>
  <si>
    <t>Sensitivity Analysis</t>
  </si>
  <si>
    <t>Managed</t>
  </si>
  <si>
    <t>Franchised</t>
  </si>
  <si>
    <t>Metric</t>
  </si>
  <si>
    <t>2Q12</t>
  </si>
  <si>
    <t>3Q12</t>
  </si>
  <si>
    <t>4Q12</t>
  </si>
  <si>
    <t>Share of market value of associates accounted for under the equity method (nonoperating)</t>
  </si>
  <si>
    <t>Investment in intangible assets</t>
  </si>
  <si>
    <t>Amortization of other intangibles, in income statement</t>
  </si>
  <si>
    <t>Investment in indefinite life intangibles, sustaining</t>
  </si>
  <si>
    <r>
      <t xml:space="preserve">Asset Utilization </t>
    </r>
    <r>
      <rPr>
        <b/>
        <sz val="10"/>
        <color indexed="10"/>
        <rFont val="Arial"/>
        <family val="2"/>
      </rPr>
      <t>(DO NOT DELETE)</t>
    </r>
  </si>
  <si>
    <r>
      <t xml:space="preserve">Model Ware Lines </t>
    </r>
    <r>
      <rPr>
        <b/>
        <u/>
        <sz val="10"/>
        <color indexed="10"/>
        <rFont val="Arial"/>
        <family val="2"/>
      </rPr>
      <t>(DO NOT DELETE)</t>
    </r>
  </si>
  <si>
    <t>Cash Flows From Operations</t>
  </si>
  <si>
    <t>Operating Profit</t>
  </si>
  <si>
    <t>Production supplies</t>
  </si>
  <si>
    <t>Other indefinite life intangible assets</t>
  </si>
  <si>
    <t>Market value of short-term borrowings</t>
  </si>
  <si>
    <t>Change in accumulated other comprehensive income (loss) or other reserves</t>
  </si>
  <si>
    <t>Change in investment in own shares (asset)</t>
  </si>
  <si>
    <t>Cash flow validation</t>
  </si>
  <si>
    <t>Other receivables, current</t>
  </si>
  <si>
    <t>Other interest bearing provisions</t>
  </si>
  <si>
    <t>Rental payment on capitalized operating leases (lessee)</t>
  </si>
  <si>
    <t>Net decrease in deferred tax asset from exercise of ESOs in the period</t>
  </si>
  <si>
    <t>Reported cumulative payments beyond year 5</t>
  </si>
  <si>
    <t>Share of associate company's or joint venture's operating profit, pre-goodwill, pretax, and preinterest</t>
  </si>
  <si>
    <t>Excise or other sales tax</t>
  </si>
  <si>
    <t>Expected rate of healthcare cost increase, long term</t>
  </si>
  <si>
    <t>Hilton London Hyde Park</t>
  </si>
  <si>
    <t>Hilton York</t>
  </si>
  <si>
    <t>Hilton Mainz City</t>
  </si>
  <si>
    <t>Hilton Bradford(2)</t>
  </si>
  <si>
    <t>Hilton ParkSA Istanbul</t>
  </si>
  <si>
    <t>Hilton Puckrup Hall, Tewkesbury</t>
  </si>
  <si>
    <t>Hilton Glasgow Grosvenor</t>
  </si>
  <si>
    <t>DoubleTree Hotel Seattle Airport</t>
  </si>
  <si>
    <t>Worldwide RevPAR</t>
  </si>
  <si>
    <t>Net effect of revaluation reserves on book value</t>
  </si>
  <si>
    <t>Assets of discontinued operations</t>
  </si>
  <si>
    <t>Assumed average lease life of operating leases</t>
  </si>
  <si>
    <t>Inventories</t>
  </si>
  <si>
    <t>Merchandise</t>
  </si>
  <si>
    <t>Capital expenditures reflected in cost of acquisitions, growth</t>
  </si>
  <si>
    <t>Other assets (liabilities) acquired included in ending balance sheet totals</t>
  </si>
  <si>
    <t>Average Diluted Shares Outstanding</t>
  </si>
  <si>
    <t>Total number of employees</t>
  </si>
  <si>
    <t>Investments</t>
  </si>
  <si>
    <t>Net FCF</t>
  </si>
  <si>
    <t>Shares Outstanding</t>
  </si>
  <si>
    <t>Income tax receivable, operating</t>
  </si>
  <si>
    <t>Cash flow hedges</t>
  </si>
  <si>
    <t>Other accumulated OCI and reserves</t>
  </si>
  <si>
    <t>Revaluation reserves</t>
  </si>
  <si>
    <t>Employee cash bonus, cash flow statement (Taiwan)</t>
  </si>
  <si>
    <t>2003 (A)_x000D_
2003-1-1_x000D_
2003-12-31</t>
  </si>
  <si>
    <t>Notes receivable</t>
  </si>
  <si>
    <t>Minority interests in net income</t>
  </si>
  <si>
    <t>Provision for doubtful accounts, one time, cash flow statement</t>
  </si>
  <si>
    <t>Other interest bearing liabilities</t>
  </si>
  <si>
    <t>Asset retirement obligations</t>
  </si>
  <si>
    <t>2019E</t>
  </si>
  <si>
    <t>Quarter</t>
  </si>
  <si>
    <t>Net decrease in income tax payable due to tax benefit from exercise of ESOs</t>
  </si>
  <si>
    <t>Income tax (benefit) expense</t>
  </si>
  <si>
    <t>Pretax operating profit, excluding associates, cash flow statement</t>
  </si>
  <si>
    <t>Market value of investments accounted for using the equity method excluded from majority EV</t>
  </si>
  <si>
    <t>Plus: Non-cash interest expense</t>
  </si>
  <si>
    <t>Liabilities and equity</t>
  </si>
  <si>
    <t>Changes in shareholders' equity validation</t>
  </si>
  <si>
    <t>Changes in shareholders' equity</t>
  </si>
  <si>
    <t>Cash dividends paid</t>
  </si>
  <si>
    <t>Worldwide</t>
  </si>
  <si>
    <t>Year 1 minimum rental payment</t>
  </si>
  <si>
    <t>Other assets, operating</t>
  </si>
  <si>
    <t>Income (loss) from extraordinary items, net of tax</t>
  </si>
  <si>
    <t>Income (loss) from extraordinary items, pretax</t>
  </si>
  <si>
    <t>Tax on income (loss) from extraordinary items</t>
  </si>
  <si>
    <t>Default Currency: USD Million, The Company reports in Millions</t>
  </si>
  <si>
    <t>Template v1.1</t>
  </si>
  <si>
    <t>Net decrease in other assets, nonoperating</t>
  </si>
  <si>
    <t>Recurring EPS</t>
  </si>
  <si>
    <t>Franchise Fees</t>
  </si>
  <si>
    <t>Total Europe Rooms</t>
  </si>
  <si>
    <t>Incremental value</t>
  </si>
  <si>
    <t xml:space="preserve">             </t>
  </si>
  <si>
    <t>Total operating revenue</t>
  </si>
  <si>
    <t>Corporate</t>
  </si>
  <si>
    <t>Other revenues from managed &amp; franchised properties</t>
  </si>
  <si>
    <t>($mm)</t>
  </si>
  <si>
    <t>% Growth</t>
  </si>
  <si>
    <t>Fully Distributed Value</t>
  </si>
  <si>
    <t>Prospectus range</t>
  </si>
  <si>
    <t>Primary Shares Issued</t>
  </si>
  <si>
    <t>Assumed value if owned, use 25% discount for leases</t>
  </si>
  <si>
    <t>Owned Segment</t>
  </si>
  <si>
    <t>Room Revenue</t>
  </si>
  <si>
    <t>Other Revenue / FX Adjustment</t>
  </si>
  <si>
    <t>CC RevPAR Growth</t>
  </si>
  <si>
    <t>"Big 8" RevPAR Growth</t>
  </si>
  <si>
    <t>M&amp;F Fees</t>
  </si>
  <si>
    <t>Legal provision, one time</t>
  </si>
  <si>
    <t>Income (loss) from equity investments, net of dividends received, operating</t>
  </si>
  <si>
    <t>Dividend tax credit (%)</t>
  </si>
  <si>
    <t>Indefinite life intangible impairment, cash flow statement</t>
  </si>
  <si>
    <t>Depreciation on operating leases, lessor, cash flow statement</t>
  </si>
  <si>
    <t>Deferred tax liabilities, financing</t>
  </si>
  <si>
    <t>Hilton RevPAR Driver Tab</t>
  </si>
  <si>
    <t>Non-U.S. Americas</t>
  </si>
  <si>
    <t>Hilton Hotels Rooms Summary</t>
  </si>
  <si>
    <t>Hilton Garden Inn</t>
  </si>
  <si>
    <t>Hampton Inn</t>
  </si>
  <si>
    <t>Hilton Grand Vacations</t>
  </si>
  <si>
    <t>US Hotels</t>
  </si>
  <si>
    <t>Total US</t>
  </si>
  <si>
    <t>Total US Hotels</t>
  </si>
  <si>
    <t>Americas (excluding U.S.) Hotels</t>
  </si>
  <si>
    <t>Total Americas (excluding US)</t>
  </si>
  <si>
    <t>Total Americas (excluding US) Hotels</t>
  </si>
  <si>
    <t>MEA Hotels</t>
  </si>
  <si>
    <t>Total MEA</t>
  </si>
  <si>
    <t>Total MEA Hotels</t>
  </si>
  <si>
    <t>Asia Pacific Hotels</t>
  </si>
  <si>
    <t>Total Asia Pacific Hotels</t>
  </si>
  <si>
    <t xml:space="preserve">Total Asia Pacific  </t>
  </si>
  <si>
    <t>Others</t>
  </si>
  <si>
    <t xml:space="preserve">Home2 Suites by Hilton </t>
  </si>
  <si>
    <t>US Rooms</t>
  </si>
  <si>
    <t>Total US Rooms</t>
  </si>
  <si>
    <t>Americas (excluding U.S.) Rooms</t>
  </si>
  <si>
    <t>Total Americas (excluding US) Rooms</t>
  </si>
  <si>
    <t>MEA Rooms</t>
  </si>
  <si>
    <t>Total MEA Rooms</t>
  </si>
  <si>
    <t>Asia Pacific Rooms</t>
  </si>
  <si>
    <t>Total Asia Pacific Rooms</t>
  </si>
  <si>
    <t>Trade and other payables</t>
  </si>
  <si>
    <t>EBITDA Reconciliation</t>
  </si>
  <si>
    <t>Contribution to pension and other post retirement plan assets</t>
  </si>
  <si>
    <t>Guidance</t>
  </si>
  <si>
    <t>Capital expenditures reflected in cost of acquisitions</t>
  </si>
  <si>
    <t>International RevPAR</t>
  </si>
  <si>
    <t>% change, y/y</t>
  </si>
  <si>
    <t>Adjusted EBITDA Summary</t>
  </si>
  <si>
    <t>Interest expense on capitalized operating leases (lessee)</t>
  </si>
  <si>
    <t>Premium (goodwill) on acquisitions, sustaining</t>
  </si>
  <si>
    <t>Other changes in share capital</t>
  </si>
  <si>
    <t>Franchised Room Revs (Int'l)</t>
  </si>
  <si>
    <t>Total Int'l Franchised Rooms</t>
  </si>
  <si>
    <t>Franchised Revenue Calc.</t>
  </si>
  <si>
    <t>% of Managed hotel revs.</t>
  </si>
  <si>
    <t>Gains (losses) from divestitures of equity method investments, operating, one time, cash flow</t>
  </si>
  <si>
    <t>Marketing and distribution costs</t>
  </si>
  <si>
    <t>Advertising costs</t>
  </si>
  <si>
    <t>General and administrative expenses</t>
  </si>
  <si>
    <t>Stock compensation</t>
  </si>
  <si>
    <t>Current year minimum rental payment</t>
  </si>
  <si>
    <t>Income tax payable</t>
  </si>
  <si>
    <t>Issuances of preferred stock</t>
  </si>
  <si>
    <t>,mscalc:closePriceCurrencyCalc</t>
  </si>
  <si>
    <t>,mscalc:sedolCodeCalc</t>
  </si>
  <si>
    <t>,mscalc:targetPrice,,,,USD</t>
  </si>
  <si>
    <t>Income (Loss) from Investments Accounted for Under the Equity Method (Non Operating) (Cash Flow Statement)</t>
  </si>
  <si>
    <t>1997 (A)_x000D_
1997-1-1_x000D_
1997-12-31</t>
  </si>
  <si>
    <t>2002 (A)_x000D_
2002-1-1_x000D_
2002-12-31</t>
  </si>
  <si>
    <t>MAR.N,mscalc:sedolCodeCalc</t>
  </si>
  <si>
    <t>2210614</t>
  </si>
  <si>
    <t>Restructuring costs, one time</t>
  </si>
  <si>
    <t>Managed / Franchised</t>
  </si>
  <si>
    <t>Vacation ownership</t>
  </si>
  <si>
    <t>Value per share</t>
  </si>
  <si>
    <t>Warranty provision</t>
  </si>
  <si>
    <t>Company-reported revenue</t>
  </si>
  <si>
    <t>Preferred equity</t>
  </si>
  <si>
    <t>Common equity</t>
  </si>
  <si>
    <t>Total share capital</t>
  </si>
  <si>
    <t>Net increase in deferred revenue</t>
  </si>
  <si>
    <t>Dividends from investments under the equity method, operating, cash flow statement</t>
  </si>
  <si>
    <t>Change in cash due to adoption of IFRS</t>
  </si>
  <si>
    <t>Change In Cash Flow Due To Restatements</t>
  </si>
  <si>
    <t>Changes in shareholders equity</t>
  </si>
  <si>
    <t>Common dividends</t>
  </si>
  <si>
    <t>Common dividends attributable to current-period earnings</t>
  </si>
  <si>
    <t>Unbilled receivables</t>
  </si>
  <si>
    <t>Unbilled receivables, current</t>
  </si>
  <si>
    <t>Other liabilities, nonoperating, noncurrent</t>
  </si>
  <si>
    <t>Amortization of prior service cost (OPEB)</t>
  </si>
  <si>
    <t>Impact of stock options compensation</t>
  </si>
  <si>
    <t>Notes:</t>
  </si>
  <si>
    <t>Share of associate company's or joint venture's interest expense</t>
  </si>
  <si>
    <t>Property</t>
  </si>
  <si>
    <t>Land</t>
  </si>
  <si>
    <t>Change in minimum pension liability</t>
  </si>
  <si>
    <t>Change in cash flow hedges</t>
  </si>
  <si>
    <t>Other receivables, noncurrent</t>
  </si>
  <si>
    <t>Prepaid expenses</t>
  </si>
  <si>
    <t>Investment in own shares, asset</t>
  </si>
  <si>
    <t>Other postemployment benefits</t>
  </si>
  <si>
    <t>Net periodic expense (OPEB)</t>
  </si>
  <si>
    <t>Service cost (OPEB)</t>
  </si>
  <si>
    <t>Interest cost (OPEB)</t>
  </si>
  <si>
    <t>Expected return on plan assets (OPEB)</t>
  </si>
  <si>
    <t>Owned / Leased</t>
  </si>
  <si>
    <t>Do not add/delete rows</t>
  </si>
  <si>
    <t>2011A</t>
  </si>
  <si>
    <t>2012A</t>
  </si>
  <si>
    <t xml:space="preserve">    Y/y % chg</t>
  </si>
  <si>
    <t xml:space="preserve">    3-year CAGR</t>
  </si>
  <si>
    <t>Diluted shares outstanding</t>
  </si>
  <si>
    <t>DPS</t>
  </si>
  <si>
    <t>Debt</t>
  </si>
  <si>
    <t>Net debt</t>
  </si>
  <si>
    <t>Net interest expense</t>
  </si>
  <si>
    <t>Net interest coverage</t>
  </si>
  <si>
    <t>Operating CF</t>
  </si>
  <si>
    <t>FCF (excl div / buybacks)</t>
  </si>
  <si>
    <t>Net CF (after div / buybacks)</t>
  </si>
  <si>
    <t xml:space="preserve">Hilton Worldwide (HLT) Comp Sheet Output </t>
  </si>
  <si>
    <t>4Q13</t>
  </si>
  <si>
    <t>Environmental liabilities, interest bearing</t>
  </si>
  <si>
    <t>Income Statement</t>
  </si>
  <si>
    <t>Property, plant, and equipment, gross</t>
  </si>
  <si>
    <t>Plant and equipment</t>
  </si>
  <si>
    <t>Common Dividends</t>
  </si>
  <si>
    <t>Income (loss) from investments under the equity method, operating, pretax</t>
  </si>
  <si>
    <t>Deferred tax liabilities</t>
  </si>
  <si>
    <t>Deferred tax liabilities, current</t>
  </si>
  <si>
    <t>▪Owned margin expansion should boost EBITDA growth while owned assets also provide monetization opportunities given rising asset values
▪Talented management team and sponsor have a track record of executing successful turnaround stories and have driven outsized system, RevPAR, and margin growth since the company went private in 2007
▪Solid pipeline growth should drive ~6%/year growth in room inventory vs. ~4% for peers
▪Strong FCF (~$1B / year) coupled with EBITDA growth can drive de-leverage and higher EPS growth
▪Geographic distribution: Heavy exposure to the US should support RevPAR outperformance NT, while a solid int'l pipeline should allow HLT to capitalize on rebounding trends overseas in the out-years</t>
  </si>
  <si>
    <t>▪Relatively high leverage (~5x net debt / EBITDA) vs. c-corp peers (~2x avg and 1x for fellow owner / operator HOT) could create a potential risk including limiting growth opportunities, particularly as the cycle turns
▪Significant BX ownership of 76% and low float (~11.5% vs. HOT 100%, MAR 76%) could create an overhang on the stock
▪Turnaround story is largely played out, which could limit fundamental upside
▪Meaningful exposure to the underperforming lower-tier chain scales could weigh on top line growth
▪Timeshare business has historically received a valuation discount given its cyclicality, capital needs, and lack of transparency</t>
  </si>
  <si>
    <t>Value per room</t>
  </si>
  <si>
    <t>Percent change</t>
  </si>
  <si>
    <t>Value Trend for a Typical US Hotel</t>
  </si>
  <si>
    <t>Source: HVS / STR Hotel Valuation Index, HVS NYU presentation 2013</t>
  </si>
  <si>
    <t>80</t>
  </si>
  <si>
    <t>Upper Upscale asset values</t>
  </si>
  <si>
    <t>CAGR '12-'15</t>
  </si>
  <si>
    <t>CAGR '13-'15</t>
  </si>
  <si>
    <t>2007-2015 growth</t>
  </si>
  <si>
    <t>HLT owned / leased UU rooms</t>
  </si>
  <si>
    <t>Lux</t>
  </si>
  <si>
    <t>UU</t>
  </si>
  <si>
    <t>Up</t>
  </si>
  <si>
    <t>Econ</t>
  </si>
  <si>
    <t>13-'15</t>
  </si>
  <si>
    <t xml:space="preserve">    Y/Y chg</t>
  </si>
  <si>
    <t>New Orleans</t>
  </si>
  <si>
    <t>Oahu</t>
  </si>
  <si>
    <t>Total US avg</t>
  </si>
  <si>
    <t>CAGR '12-'16</t>
  </si>
  <si>
    <t>CAGR '13-'16</t>
  </si>
  <si>
    <t>Appreciation (2012-2016E)</t>
  </si>
  <si>
    <t>Appreciation (2013E-2016E)</t>
  </si>
  <si>
    <t>2013 vs. 
'06-07 peak</t>
  </si>
  <si>
    <t>Asset sales</t>
  </si>
  <si>
    <t>Sales</t>
  </si>
  <si>
    <t>Cap Rate</t>
  </si>
  <si>
    <t>NOI</t>
  </si>
  <si>
    <t>Owned Hotel Margin</t>
  </si>
  <si>
    <t>Implied Revenue</t>
  </si>
  <si>
    <t>Mgmt Contract</t>
  </si>
  <si>
    <t>% of NOI</t>
  </si>
  <si>
    <t>NOI Sacrifice</t>
  </si>
  <si>
    <t>Adj. EBITDA</t>
  </si>
  <si>
    <t>Gross debt / EBITDA</t>
  </si>
  <si>
    <t>Implied debt at target leverage</t>
  </si>
  <si>
    <t>Plus: Estimated asset sales</t>
  </si>
  <si>
    <t>Incremental cash</t>
  </si>
  <si>
    <t>Current market cap</t>
  </si>
  <si>
    <t>Potential buyback</t>
  </si>
  <si>
    <t>Alternatively:</t>
  </si>
  <si>
    <t>Potential special dividend / share</t>
  </si>
  <si>
    <t>Total value - Big 8</t>
  </si>
  <si>
    <t>Total owned / leased real estate value</t>
  </si>
  <si>
    <t>Plus: Value from other properties</t>
  </si>
  <si>
    <t>_________________________________</t>
  </si>
  <si>
    <t>4Q13 net debt</t>
  </si>
  <si>
    <t>Target net debt / EBITDA</t>
  </si>
  <si>
    <t>Debt pay down</t>
  </si>
  <si>
    <t>Post asset sales adj. EBITDA</t>
  </si>
  <si>
    <t>Incremental cash per share</t>
  </si>
  <si>
    <t>Cash flow per share</t>
  </si>
  <si>
    <t xml:space="preserve">   CF yield</t>
  </si>
  <si>
    <t>CF incl incremental cash</t>
  </si>
  <si>
    <t xml:space="preserve">  Implied CF yield post dispositions</t>
  </si>
  <si>
    <t>Adj EBITDA</t>
  </si>
  <si>
    <t xml:space="preserve">   Y/Y growth</t>
  </si>
  <si>
    <t>Capex</t>
  </si>
  <si>
    <t>ROIC</t>
  </si>
  <si>
    <t>CHH</t>
  </si>
  <si>
    <t>Y/Y chg</t>
  </si>
  <si>
    <t>Average chg</t>
  </si>
  <si>
    <t>Hotel rev</t>
  </si>
  <si>
    <t>Hotel EBITDA</t>
  </si>
  <si>
    <t>G&amp;A</t>
  </si>
  <si>
    <t>EBITDA ex G&amp;A</t>
  </si>
  <si>
    <t>Hotel mgn</t>
  </si>
  <si>
    <t>Hotel EBITDA margins (ex timeshare)</t>
  </si>
  <si>
    <t>Implied per share real estate value based on 12.5x 2015E EBITDA</t>
  </si>
  <si>
    <t>Implied per share value of other properties based on 12.5x 2015E EBITDA</t>
  </si>
  <si>
    <t>Timeshare / Other</t>
  </si>
  <si>
    <t>HLT.N</t>
  </si>
  <si>
    <t>Hilton Worldwide Holdings Inc</t>
  </si>
  <si>
    <t>HLT.N,mscalc:targetPrice,,,,USD</t>
  </si>
  <si>
    <t>HLT.N,mscalc:sedolCodeCalc</t>
  </si>
  <si>
    <t>HLT.N,mscalc:closePriceCurrencyCalc</t>
  </si>
  <si>
    <t>$AF$2</t>
  </si>
  <si>
    <t>Enterprise Value</t>
  </si>
  <si>
    <t>Vacation Ownership</t>
  </si>
  <si>
    <t>Owned</t>
  </si>
  <si>
    <t>Net decrease in beginning net debt from discontinued operations</t>
  </si>
  <si>
    <t>Investments, nonoperating</t>
  </si>
  <si>
    <t>Short-term investments</t>
  </si>
  <si>
    <t>Interest rate used to capitalize operating leases</t>
  </si>
  <si>
    <t>Cumulative indefinite life intangible impairments reported</t>
  </si>
  <si>
    <t>Adjustment for cash taxes paid</t>
  </si>
  <si>
    <t>Year 5 minimum rental payment</t>
  </si>
  <si>
    <t>Notes receivable, noncurrent</t>
  </si>
  <si>
    <t>Other nonoperating income (expense)</t>
  </si>
  <si>
    <t>Net monetary gains (losses) from inflationary accounting</t>
  </si>
  <si>
    <t>Accumulated depreciation</t>
  </si>
  <si>
    <t>Gross goodwill</t>
  </si>
  <si>
    <t>Off balance sheet</t>
  </si>
  <si>
    <t>Pension settlement and curtailment gains (losses), one time</t>
  </si>
  <si>
    <t>Daiko Henjo: special settlement gain (loss) (Japan)</t>
  </si>
  <si>
    <t>Other provisions, one time, cash flow statement</t>
  </si>
  <si>
    <t>Investment in intangible assets reflected in cost of acquisitions, growth</t>
  </si>
  <si>
    <t>Foreign currency exchange gains (losses), operating</t>
  </si>
  <si>
    <t>Accrued taxes, other than income tax</t>
  </si>
  <si>
    <t>Owned and leased rooms</t>
  </si>
  <si>
    <t>Interest Expense Summary</t>
  </si>
  <si>
    <t>Market value of convertible preferred equity included in dilutive securities</t>
  </si>
  <si>
    <t>Capital expenditures reflected in cost of acquisitions, sustaining</t>
  </si>
  <si>
    <t>Other revenues from managed and franchised properties</t>
  </si>
  <si>
    <t>Base management fees</t>
  </si>
  <si>
    <t>Incentive management fees</t>
  </si>
  <si>
    <t>Franchise fees</t>
  </si>
  <si>
    <t>Other managed/franchised fees</t>
  </si>
  <si>
    <t>Other revenue</t>
  </si>
  <si>
    <t>Environmental provision, one time</t>
  </si>
  <si>
    <t xml:space="preserve">Restricted stock compensation expense </t>
  </si>
  <si>
    <t xml:space="preserve">   Difference</t>
  </si>
  <si>
    <t>H</t>
  </si>
  <si>
    <t>Management / Franchise Unit Growth</t>
  </si>
  <si>
    <t>Pipeline as % of existing supply</t>
  </si>
  <si>
    <t>2013e</t>
  </si>
  <si>
    <t>2014e</t>
  </si>
  <si>
    <t>2015e</t>
  </si>
  <si>
    <t>Gain (loss) on redemption and extinguishment of debt</t>
  </si>
  <si>
    <t>5-6%</t>
  </si>
  <si>
    <t>Plan assets at fair value (pensions)</t>
  </si>
  <si>
    <t>Provision for doubtful accounts, recurring, cash flow statement</t>
  </si>
  <si>
    <t>Total Managed and Franchised</t>
  </si>
  <si>
    <t>Amortization of taxable other intangibles, in income statement</t>
  </si>
  <si>
    <t>Investments in joint ventures</t>
  </si>
  <si>
    <t>Prepaid Expenses</t>
  </si>
  <si>
    <t>Net increase in deferred compensation</t>
  </si>
  <si>
    <t>Bonus to directors and supervisors (Taiwan)</t>
  </si>
  <si>
    <t>Asia</t>
  </si>
  <si>
    <t>Managed (Int'l)</t>
  </si>
  <si>
    <t>Dividends payable</t>
  </si>
  <si>
    <t>Short-term borrowings, up to 1 year</t>
  </si>
  <si>
    <t>Deferred revenue</t>
  </si>
  <si>
    <t>Net increase in income tax payable (receivable)</t>
  </si>
  <si>
    <t>Total Franchised Hilton Revs.</t>
  </si>
  <si>
    <t>M&amp;F RevPAR Summary</t>
  </si>
  <si>
    <t>MAR.N,mscalc:closePriceCurrencyCalc</t>
  </si>
  <si>
    <t>LVS.N,mscalc:closePriceCurrencyCalc</t>
  </si>
  <si>
    <t>LVS.N,mscalc:targetPrice,,,,USD</t>
  </si>
  <si>
    <t>Restructuring provision</t>
  </si>
  <si>
    <t>% of Total Rooms</t>
  </si>
  <si>
    <t>% of M&amp;F Rooms</t>
  </si>
  <si>
    <t>Net Debt</t>
  </si>
  <si>
    <t>LTM EBITDA</t>
  </si>
  <si>
    <t>2016e</t>
  </si>
  <si>
    <t>3-year CAGR (2012-2015e)</t>
  </si>
  <si>
    <t>Comments</t>
  </si>
  <si>
    <t>Assumes 140bps margin expansion</t>
  </si>
  <si>
    <t>DoubleTree Hotel San Diego-Mission Valley</t>
  </si>
  <si>
    <t>Premium (goodwill) on acquisitions</t>
  </si>
  <si>
    <t>Tax expense (income)</t>
  </si>
  <si>
    <t>Current income tax expense</t>
  </si>
  <si>
    <t>Unguaranteed residual value in sales-financed leases</t>
  </si>
  <si>
    <t>Other liabilities, operating, current</t>
  </si>
  <si>
    <t>Work in progress</t>
  </si>
  <si>
    <t>Cost of materials</t>
  </si>
  <si>
    <t>Restructuring costs, recurring, cash flow statement</t>
  </si>
  <si>
    <t>EPS adjusted for consensus</t>
  </si>
  <si>
    <t>Adjustments</t>
  </si>
  <si>
    <t>Interest capitalized, cash flow statement</t>
  </si>
  <si>
    <t>Unrecorded goodwill from poolings, write-offs, and cumulative amortization</t>
  </si>
  <si>
    <t xml:space="preserve">Other cash flow, nonoperating </t>
  </si>
  <si>
    <t>Capital lease obligations</t>
  </si>
  <si>
    <t>Capital expenditures financed through operating leases (sustaining)</t>
  </si>
  <si>
    <t>Assets</t>
  </si>
  <si>
    <t>Income (loss) from investments under the equity method, nonoperating, pretax</t>
  </si>
  <si>
    <t>Vs. HOT</t>
  </si>
  <si>
    <t>Vs. MAR</t>
  </si>
  <si>
    <t>Bonus to directors and supervisors, cash flow statement (Taiwan)</t>
  </si>
  <si>
    <t>Gains (losses) from sale of PPE and intangibles, one time, cash flow statement</t>
  </si>
  <si>
    <t>Acquisition of Noncontrolling Interests</t>
  </si>
  <si>
    <t>Days of Expense in Accounts Payable, Accrued Expenses, and Other</t>
  </si>
  <si>
    <t>Corporate &amp; Other PP&amp;E</t>
  </si>
  <si>
    <t>Status</t>
  </si>
  <si>
    <t>Expected long-term rate of return on plan assets (pensions)</t>
  </si>
  <si>
    <t>Income tax receivable, financing</t>
  </si>
  <si>
    <t>Income tax receivable, other</t>
  </si>
  <si>
    <t>Total</t>
  </si>
  <si>
    <t>Asia Pacific</t>
  </si>
  <si>
    <t>Employee expenses</t>
  </si>
  <si>
    <t>Market value of minority interests in shareholders' equity</t>
  </si>
  <si>
    <t xml:space="preserve">Other cash flow, financing </t>
  </si>
  <si>
    <t>Year</t>
  </si>
  <si>
    <t>Upper Upscale</t>
  </si>
  <si>
    <t>HOT</t>
  </si>
  <si>
    <t>Net PP&amp;E</t>
  </si>
  <si>
    <t>Accumulated Depreciation</t>
  </si>
  <si>
    <t>Changes in cash and cash equivalents</t>
  </si>
  <si>
    <t>Acquired in-process R &amp; D, acquisitions</t>
  </si>
  <si>
    <t>Principal debt acquired</t>
  </si>
  <si>
    <t>Equity issued on acquisition</t>
  </si>
  <si>
    <t>Gains (losses) from sale of PPE and intangibles, one time</t>
  </si>
  <si>
    <t>Potential upside</t>
  </si>
  <si>
    <t>MAR.N,mscalc:targetPrice,,,,USD</t>
  </si>
  <si>
    <t>LVS.N,mscalc:sedolCodeCalc</t>
  </si>
  <si>
    <t>Deferred tax liabilities, other</t>
  </si>
  <si>
    <t>Income tax receivable</t>
  </si>
  <si>
    <t>Income (loss) from investments under the equity method, nonoperating, cash flow statement</t>
  </si>
  <si>
    <t>Current market value of excluded minority interests in shareholders' equity</t>
  </si>
  <si>
    <t>Deferred tax assets, operating</t>
  </si>
  <si>
    <t>Deferred tax assets, financing</t>
  </si>
  <si>
    <t>Goodwill impairment</t>
  </si>
  <si>
    <t>Analyst's period-end FX rate</t>
  </si>
  <si>
    <t>EBITDA, for Consensus</t>
  </si>
  <si>
    <t>Income tax payable, financing</t>
  </si>
  <si>
    <t>$</t>
  </si>
  <si>
    <t>Capital Expenditures &amp; Investing Activities</t>
  </si>
  <si>
    <t>Other Disclosed Data:</t>
  </si>
  <si>
    <t>Proceeds from sale of (funds used to purchase) securities and other investments</t>
  </si>
  <si>
    <t>Franchise</t>
  </si>
  <si>
    <t>Cash &amp; Equivalents - Beginning</t>
  </si>
  <si>
    <t>Total Liabilities and Equity</t>
  </si>
  <si>
    <t>Total Assets</t>
  </si>
  <si>
    <t>Green is typically a plug or a link referencing another cell in the same time period, usually historically</t>
  </si>
  <si>
    <t>Nonrecurring pension items</t>
  </si>
  <si>
    <t>Other net pension expense</t>
  </si>
  <si>
    <t>Construction in progress</t>
  </si>
  <si>
    <t>Capital expenditures financed through operating leases</t>
  </si>
  <si>
    <t>Cumulative unrecognized gain (loss) on other investments, gross of tax, operating</t>
  </si>
  <si>
    <t>Systemwide RevPAR (constant currency)</t>
  </si>
  <si>
    <t>Net Debt (Including JVs)</t>
  </si>
  <si>
    <t>Comp. System-wide RevPAR</t>
  </si>
  <si>
    <t>Carribean &amp; Latin America</t>
  </si>
  <si>
    <t>WW System-wide RevPAR (calc)</t>
  </si>
  <si>
    <t>International weighted avg RevPAR</t>
  </si>
  <si>
    <t>Hilton</t>
  </si>
  <si>
    <t>Hilton Owned RevPAR (constant currency)</t>
  </si>
  <si>
    <t>Benefits paid to retirees, in assets (OPEB)</t>
  </si>
  <si>
    <t>Quarter-end</t>
  </si>
  <si>
    <t>Cumulative indefinite life intangible amortization</t>
  </si>
  <si>
    <t>Total rooms (incl Timeshare)</t>
  </si>
  <si>
    <t>% breakout</t>
  </si>
  <si>
    <t xml:space="preserve">Waldorf Astoria </t>
  </si>
  <si>
    <t xml:space="preserve">Home2 Suites </t>
  </si>
  <si>
    <t xml:space="preserve">Conrad </t>
  </si>
  <si>
    <t xml:space="preserve">Homewood </t>
  </si>
  <si>
    <t xml:space="preserve">Embassy Suites </t>
  </si>
  <si>
    <t xml:space="preserve">DoubleTree </t>
  </si>
  <si>
    <t xml:space="preserve">Hilton Hotels </t>
  </si>
  <si>
    <t>Rooms by Company</t>
  </si>
  <si>
    <t>HLT</t>
  </si>
  <si>
    <t>______</t>
  </si>
  <si>
    <t>IHG</t>
  </si>
  <si>
    <t>2013e Revenue / EBITDA split</t>
  </si>
  <si>
    <t>2011</t>
  </si>
  <si>
    <t>Amortization of intangibles assumed to have indefinite life, cash flow statement</t>
  </si>
  <si>
    <t>Starwoods Hotels &amp; Resorts (HOT.N)</t>
  </si>
  <si>
    <t>Equity Value per Share</t>
  </si>
  <si>
    <t>Realized foreign currency exchange gains (losses) in net financing obligations</t>
  </si>
  <si>
    <t>Common Stock</t>
  </si>
  <si>
    <t>Retained Earnings</t>
  </si>
  <si>
    <t>Current market value of investments accounted for using the equity method excluded from majority EV</t>
  </si>
  <si>
    <t>Unallocated SG&amp;A</t>
  </si>
  <si>
    <t>HOT.N,mscalc:sedolCodeCalc</t>
  </si>
  <si>
    <t>HOT.N,mscalc:closePriceCurrencyCalc</t>
  </si>
  <si>
    <t>Managed (US)</t>
  </si>
  <si>
    <t>Total Rooms Summary</t>
  </si>
  <si>
    <t>Full Service</t>
  </si>
  <si>
    <t>Total Owned (US)</t>
  </si>
  <si>
    <t>Total Owned (Int'l)</t>
  </si>
  <si>
    <t>LTM Adjusted EBITDA</t>
  </si>
  <si>
    <t>Net Debt / EBITDA</t>
  </si>
  <si>
    <t>Managed Operations</t>
  </si>
  <si>
    <t>Franchised Operations</t>
  </si>
  <si>
    <t>Y/Y Change</t>
  </si>
  <si>
    <t>Amortization of goodwill, cash flow statement</t>
  </si>
  <si>
    <t>Net decrease in investments, nonoperating</t>
  </si>
  <si>
    <t>4Q14E</t>
  </si>
  <si>
    <t>3Q14E</t>
  </si>
  <si>
    <t>2Q14E</t>
  </si>
  <si>
    <t>Expected return on plan assets (pensions)</t>
  </si>
  <si>
    <t>Intangible asset (pensions)</t>
  </si>
  <si>
    <t>Equity share of book value of excluded significant investments</t>
  </si>
  <si>
    <t>Owned and leased hotels</t>
  </si>
  <si>
    <t>Rooms, avg.</t>
  </si>
  <si>
    <t>Europe Hotels</t>
  </si>
  <si>
    <t>Total Europe</t>
  </si>
  <si>
    <t>Total Europe Hotels</t>
  </si>
  <si>
    <t>Less: Amortization of Deferred Financing Costs</t>
  </si>
  <si>
    <t>Inventory and Financing receivables issuance (payments), net</t>
  </si>
  <si>
    <t>Less: Capital Expenditure</t>
  </si>
  <si>
    <t>% Growth - Managed &amp; Franchised segment</t>
  </si>
  <si>
    <t>% Growth - Timeshare segment</t>
  </si>
  <si>
    <t>% Growth - Corporate expense</t>
  </si>
  <si>
    <t>Adjusted EBITDA</t>
  </si>
  <si>
    <t>Average basic shares outstanding</t>
  </si>
  <si>
    <t>ADR ratio</t>
  </si>
  <si>
    <t>Base Case</t>
  </si>
  <si>
    <t>Currency</t>
  </si>
  <si>
    <t>Current Stock Price</t>
  </si>
  <si>
    <t>Unit</t>
  </si>
  <si>
    <t>5.5-6.5</t>
  </si>
  <si>
    <t>2013A</t>
  </si>
  <si>
    <t>Deferred tax liabilities, noncurrent</t>
  </si>
  <si>
    <t>1Q13</t>
  </si>
  <si>
    <t>Changes in Working Capital</t>
  </si>
  <si>
    <t>Acquisitions</t>
  </si>
  <si>
    <t>Long-term Debt</t>
  </si>
  <si>
    <t>Credit &amp; Capitalization Summary</t>
  </si>
  <si>
    <t>Total Interest Expense</t>
  </si>
  <si>
    <t>Senior Notes</t>
  </si>
  <si>
    <t>Other provisions</t>
  </si>
  <si>
    <t>Customer advances or deposits</t>
  </si>
  <si>
    <t>2020E</t>
  </si>
  <si>
    <t>Change in allowance for doubtful accounts, recurring</t>
  </si>
  <si>
    <t>2013E</t>
  </si>
  <si>
    <t>Indicator to send Adjusted EBITDA</t>
  </si>
  <si>
    <t>Adjusted EBITDA delta</t>
  </si>
  <si>
    <t>Benefits paid to retirees, in obligation (pensions)</t>
  </si>
  <si>
    <t>Proceeds from issuance of common stock</t>
  </si>
  <si>
    <t>Warrants and rights outstanding, equity</t>
  </si>
  <si>
    <t>Other equity items</t>
  </si>
  <si>
    <t>Cash flow</t>
  </si>
  <si>
    <t>Net income, reported, cash flow statement</t>
  </si>
  <si>
    <t>Shares</t>
  </si>
  <si>
    <t>Value</t>
  </si>
  <si>
    <t>Net Operating Losses</t>
  </si>
  <si>
    <t>Beginning Balance</t>
  </si>
  <si>
    <t xml:space="preserve">  Additions</t>
  </si>
  <si>
    <t xml:space="preserve">  Uses</t>
  </si>
  <si>
    <t>Ending Balance</t>
  </si>
  <si>
    <t>Description</t>
  </si>
  <si>
    <t>EBITDA of entities consolidated using the equity method included in majority EBITDA</t>
  </si>
  <si>
    <t>4-6%</t>
  </si>
  <si>
    <t>Net increase in beginning net debt from change in consolidation of investments</t>
  </si>
  <si>
    <t>Number of preferred shares outstanding</t>
  </si>
  <si>
    <t>Owned and leased RevPAR</t>
  </si>
  <si>
    <t>EV/EBITDA</t>
  </si>
  <si>
    <t>Unrealized foreign currency exchange gain (loss), cash flow statement</t>
  </si>
  <si>
    <t>Plan assets at fair value (OPEB)</t>
  </si>
  <si>
    <t>Total Shareholders' Equity</t>
  </si>
  <si>
    <t>Shareholders' Equity</t>
  </si>
  <si>
    <t>Cash and Equivalents</t>
  </si>
  <si>
    <t>Restricted Cash and Cash Equivalents</t>
  </si>
  <si>
    <t>Accounts Receivable, net</t>
  </si>
  <si>
    <t>Deferred Income Tax Assets</t>
  </si>
  <si>
    <t>Current Portion of Financing Receivables, net</t>
  </si>
  <si>
    <t>Financing Receivables, net</t>
  </si>
  <si>
    <t>Hilton Rotterdam</t>
  </si>
  <si>
    <t>Hilton Suites Chicago/Oak Brook</t>
  </si>
  <si>
    <t>Hilton Belfast</t>
  </si>
  <si>
    <t>Hilton London Islington</t>
  </si>
  <si>
    <t>Hilton Edinburgh Grosvenor</t>
  </si>
  <si>
    <t>Hilton Coylumbridge</t>
  </si>
  <si>
    <t>Hilton Bath City</t>
  </si>
  <si>
    <t>Hilton Nuremberg</t>
  </si>
  <si>
    <t>Payments Received on Other Financing Receivables</t>
  </si>
  <si>
    <t>Issuance of Other Financing Receivables</t>
  </si>
  <si>
    <t>Additional Investments in Affiliates</t>
  </si>
  <si>
    <t>Proceeds from Asset Dispositions</t>
  </si>
  <si>
    <t>Contract Acquisition Costs</t>
  </si>
  <si>
    <t>Cash Paid in Debt Restructuring</t>
  </si>
  <si>
    <t>Debt Restructuring Costs</t>
  </si>
  <si>
    <t>Equity Contribution from Parent</t>
  </si>
  <si>
    <t>Contribution from Noncontrolling Interests</t>
  </si>
  <si>
    <t>Long-term investments, nonoperating</t>
  </si>
  <si>
    <t>Change, y/y</t>
  </si>
  <si>
    <t>Focused Service</t>
  </si>
  <si>
    <t>Net room growth</t>
  </si>
  <si>
    <t>International %</t>
  </si>
  <si>
    <t>Chain scale breakdown</t>
  </si>
  <si>
    <t>Upper Midscale</t>
  </si>
  <si>
    <t>________</t>
  </si>
  <si>
    <t>________________________________</t>
  </si>
  <si>
    <t>Total Managed (incl Vacation Ownership)</t>
  </si>
  <si>
    <t>Hilton NAV (as of Nov 2013)</t>
  </si>
  <si>
    <t xml:space="preserve">Current share price </t>
  </si>
  <si>
    <t>US owned room distribution</t>
  </si>
  <si>
    <t>International owned room distribution</t>
  </si>
  <si>
    <t>Owned RevPAR guidance</t>
  </si>
  <si>
    <t>4.5%-6.5%</t>
  </si>
  <si>
    <t>Room revenues</t>
  </si>
  <si>
    <t>% of room revenues</t>
  </si>
  <si>
    <t>Owned margins</t>
  </si>
  <si>
    <t>Owned EBITDA Guidance</t>
  </si>
  <si>
    <t>Multiple Expansion</t>
  </si>
  <si>
    <t>Price Targets</t>
  </si>
  <si>
    <t>Net financial obligations of entities consolidated using the equity method included in majority EV</t>
  </si>
  <si>
    <t>d) Retail Opp ($600 / sq ft @ 4.5% cap)</t>
  </si>
  <si>
    <t>b) Condo Sales (@ $4,211 / sq ft)</t>
  </si>
  <si>
    <t>Renovation; Hotel; Location</t>
  </si>
  <si>
    <t>Reno; Some Park Views; Hotel</t>
  </si>
  <si>
    <t>Location</t>
  </si>
  <si>
    <t>2Q14A</t>
  </si>
  <si>
    <t>Hilton Worldwide</t>
  </si>
  <si>
    <t>Total Revenues</t>
  </si>
  <si>
    <t xml:space="preserve">Other </t>
  </si>
  <si>
    <t>Diluted Recurring EPS</t>
  </si>
  <si>
    <t>D&amp;A included in equity from unconsolidated affiliates</t>
  </si>
  <si>
    <t>Interest Expense incl. in equity from unconsol affiliates</t>
  </si>
  <si>
    <t>HLT Actuals</t>
  </si>
  <si>
    <t>2Q14</t>
  </si>
  <si>
    <t>Other expenses from managed and franchised properties</t>
  </si>
  <si>
    <t>Income tax (expense) benefit</t>
  </si>
  <si>
    <t>Income tax expense</t>
  </si>
  <si>
    <t>Net income (loss) attributable to noncontrolling interests</t>
  </si>
  <si>
    <t>5.5-7.0</t>
  </si>
  <si>
    <t>610-630</t>
  </si>
  <si>
    <t>$0.15-0.17</t>
  </si>
  <si>
    <t>Total Shares outstanding 2Q14</t>
  </si>
  <si>
    <t xml:space="preserve">Blackstone </t>
  </si>
  <si>
    <t>% ownership</t>
  </si>
  <si>
    <t xml:space="preserve">Free Float </t>
  </si>
  <si>
    <t xml:space="preserve">Share Price Current </t>
  </si>
  <si>
    <t xml:space="preserve">Market Cap </t>
  </si>
  <si>
    <t>2017e</t>
  </si>
  <si>
    <t>2018e</t>
  </si>
  <si>
    <t>2019e</t>
  </si>
  <si>
    <t>2020e</t>
  </si>
  <si>
    <t>2Q15E</t>
  </si>
  <si>
    <t>Allowance for doubtful accounts, current</t>
  </si>
  <si>
    <t>Trade receivables, noncurrent</t>
  </si>
  <si>
    <t>2004 (A)_x000D_
2004-1-1_x000D_
2004-12-31</t>
  </si>
  <si>
    <t>Validation formulas</t>
  </si>
  <si>
    <t>Current market value of preferred equity</t>
  </si>
  <si>
    <t>Actual</t>
  </si>
  <si>
    <t>CAPEX</t>
  </si>
  <si>
    <t>Midscale</t>
  </si>
  <si>
    <t>Economy</t>
  </si>
  <si>
    <t>Net increase in dividends payable</t>
  </si>
  <si>
    <t>HOT - geographic mix by rooms %</t>
  </si>
  <si>
    <t>MAR - geographic mix by fees %</t>
  </si>
  <si>
    <t>EBITDA Margins</t>
  </si>
  <si>
    <t>Owned EBITDA Margins</t>
  </si>
  <si>
    <t>IMF</t>
  </si>
  <si>
    <t>Big 8</t>
  </si>
  <si>
    <t>New York</t>
  </si>
  <si>
    <t>NY</t>
  </si>
  <si>
    <t>Honolulu</t>
  </si>
  <si>
    <t>San Francisco</t>
  </si>
  <si>
    <t>CA</t>
  </si>
  <si>
    <t xml:space="preserve">New Orleans </t>
  </si>
  <si>
    <t>LA</t>
  </si>
  <si>
    <t>avg upper upscale for 2013 is $279k per our transactions file</t>
  </si>
  <si>
    <t>Chicago</t>
  </si>
  <si>
    <t>IL</t>
  </si>
  <si>
    <t>Waikoloa</t>
  </si>
  <si>
    <t>San Juan</t>
  </si>
  <si>
    <t>Puerto Rico</t>
  </si>
  <si>
    <t>Orlando</t>
  </si>
  <si>
    <t>FL</t>
  </si>
  <si>
    <t>Boston</t>
  </si>
  <si>
    <t>MA</t>
  </si>
  <si>
    <t>Australia</t>
  </si>
  <si>
    <t>Phoenix</t>
  </si>
  <si>
    <t>AZ</t>
  </si>
  <si>
    <t>Miami</t>
  </si>
  <si>
    <t>Atlanta</t>
  </si>
  <si>
    <t>GA</t>
  </si>
  <si>
    <t>Sao Paulo</t>
  </si>
  <si>
    <t>Brazil</t>
  </si>
  <si>
    <t>McLean</t>
  </si>
  <si>
    <t>VA</t>
  </si>
  <si>
    <t>Seattle</t>
  </si>
  <si>
    <t>WA</t>
  </si>
  <si>
    <t>Oakland</t>
  </si>
  <si>
    <t>Paris</t>
  </si>
  <si>
    <t>France</t>
  </si>
  <si>
    <t>Durban</t>
  </si>
  <si>
    <t>South Africa</t>
  </si>
  <si>
    <t>Kenner</t>
  </si>
  <si>
    <t>Short Hills</t>
  </si>
  <si>
    <t>NJ</t>
  </si>
  <si>
    <t>Schiphol</t>
  </si>
  <si>
    <t>Netherlands</t>
  </si>
  <si>
    <t>Blackpool</t>
  </si>
  <si>
    <t>UK</t>
  </si>
  <si>
    <t>Rotterdam</t>
  </si>
  <si>
    <t>Oakbrook Terrace</t>
  </si>
  <si>
    <t>Belfast</t>
  </si>
  <si>
    <t>London</t>
  </si>
  <si>
    <t>Edinburgh</t>
  </si>
  <si>
    <t>Coylumbridge</t>
  </si>
  <si>
    <t xml:space="preserve">Bath </t>
  </si>
  <si>
    <t>Nuremberg</t>
  </si>
  <si>
    <t>Germany</t>
  </si>
  <si>
    <t>Milton Keynes</t>
  </si>
  <si>
    <t>Templepatrick</t>
  </si>
  <si>
    <t>Sheffield</t>
  </si>
  <si>
    <t>Portsmouth</t>
  </si>
  <si>
    <t>Washington</t>
  </si>
  <si>
    <t>DC</t>
  </si>
  <si>
    <t>Austin</t>
  </si>
  <si>
    <t>TX</t>
  </si>
  <si>
    <t>Arlington</t>
  </si>
  <si>
    <t>San Jose</t>
  </si>
  <si>
    <t>Ontario</t>
  </si>
  <si>
    <t>Spokane</t>
  </si>
  <si>
    <t>Santa Barbara</t>
  </si>
  <si>
    <t>El Segundo</t>
  </si>
  <si>
    <t>Memphis</t>
  </si>
  <si>
    <t>TN</t>
  </si>
  <si>
    <t>(Shinjuku-ku) Tokyo</t>
  </si>
  <si>
    <t xml:space="preserve">Japan </t>
  </si>
  <si>
    <t>Cairo</t>
  </si>
  <si>
    <t xml:space="preserve">Egypt </t>
  </si>
  <si>
    <t xml:space="preserve">United Kingdom </t>
  </si>
  <si>
    <t>Vienna</t>
  </si>
  <si>
    <t xml:space="preserve">Austria </t>
  </si>
  <si>
    <t>Tel Aviv</t>
  </si>
  <si>
    <t xml:space="preserve">Israel </t>
  </si>
  <si>
    <t>Hilton Osaka</t>
  </si>
  <si>
    <t>Osaka</t>
  </si>
  <si>
    <t>Istanbul</t>
  </si>
  <si>
    <t xml:space="preserve">Turkey </t>
  </si>
  <si>
    <t>Salt Lake City</t>
  </si>
  <si>
    <t>UT</t>
  </si>
  <si>
    <t>Munich</t>
  </si>
  <si>
    <t xml:space="preserve">Germany </t>
  </si>
  <si>
    <t>Barcelona</t>
  </si>
  <si>
    <t xml:space="preserve">Spain </t>
  </si>
  <si>
    <t>Mainz</t>
  </si>
  <si>
    <t>Port of Spain</t>
  </si>
  <si>
    <t xml:space="preserve">Trinidad </t>
  </si>
  <si>
    <t>Izmir</t>
  </si>
  <si>
    <t>Addis Ababa</t>
  </si>
  <si>
    <t xml:space="preserve">Ethiopia </t>
  </si>
  <si>
    <t>Frankfurt</t>
  </si>
  <si>
    <t>Brighton</t>
  </si>
  <si>
    <t>Market value of investments, nonoperating</t>
  </si>
  <si>
    <t>Market value of short- and long-term debt</t>
  </si>
  <si>
    <t>Less: Net Debt (incl JV debt)</t>
  </si>
  <si>
    <t>Unconsolidated JV interests</t>
  </si>
  <si>
    <t>Book value of excluded minority interests in shareholders' equity</t>
  </si>
  <si>
    <t>Interest received, cash flow statement</t>
  </si>
  <si>
    <t>Actual return on plan assets (OPEB)</t>
  </si>
  <si>
    <t>Amortization of nontaxable other intangibles, in income statement</t>
  </si>
  <si>
    <t>Geographic Mix (# of rooms)</t>
  </si>
  <si>
    <t>Middle East / Africa</t>
  </si>
  <si>
    <t>Pipeline of rooms</t>
  </si>
  <si>
    <t>Rooms under construction</t>
  </si>
  <si>
    <t>Since Hilton went private in 2007:</t>
  </si>
  <si>
    <t xml:space="preserve">At take private: </t>
  </si>
  <si>
    <t xml:space="preserve"># Increase: </t>
  </si>
  <si>
    <t xml:space="preserve">% Increase: </t>
  </si>
  <si>
    <t># of open hotel rooms</t>
  </si>
  <si>
    <t>International Pipeline</t>
  </si>
  <si>
    <t>Luxury Hotels (Open + Pipeline)</t>
  </si>
  <si>
    <t>Extended Stay (Open + Pipeline)</t>
  </si>
  <si>
    <t>Int'l rooms under construction</t>
  </si>
  <si>
    <t>Global RevPAR Index</t>
  </si>
  <si>
    <t>Customer Satisfaction</t>
  </si>
  <si>
    <t>Effective Franchise Fee Rate</t>
  </si>
  <si>
    <t>HHonors Members</t>
  </si>
  <si>
    <t>Occupancy from HHonors Members</t>
  </si>
  <si>
    <t># of open hotel rooms in US</t>
  </si>
  <si>
    <t>LTM Adjusted EBITDA Margin</t>
  </si>
  <si>
    <t xml:space="preserve">Now: </t>
  </si>
  <si>
    <t>&gt;50%</t>
  </si>
  <si>
    <t>% of nights booked</t>
  </si>
  <si>
    <t>Employees</t>
  </si>
  <si>
    <t>Marriott / Ritz Carlton Rewards customers</t>
  </si>
  <si>
    <t>SPG Loyalty Customers</t>
  </si>
  <si>
    <t>Cash Taxes (20% of EBITDA)</t>
  </si>
  <si>
    <t>Implied Taxes</t>
  </si>
  <si>
    <t>Income tax payable, other</t>
  </si>
  <si>
    <t>Accrued expenses</t>
  </si>
  <si>
    <t>% of Revenue</t>
  </si>
  <si>
    <t>Total Rooms</t>
  </si>
  <si>
    <t>Sale (Purchase) of Equity</t>
  </si>
  <si>
    <t>5-5.5%</t>
  </si>
  <si>
    <t>Managed and franchised hotel revenue</t>
  </si>
  <si>
    <t>NPV of Operating Leases</t>
  </si>
  <si>
    <t>Plus: Share of JV Debt</t>
  </si>
  <si>
    <t>Rate of increase in future compensation levels</t>
  </si>
  <si>
    <t>Pensions (interest and returns classified by company as financing)</t>
  </si>
  <si>
    <t>Rooms</t>
  </si>
  <si>
    <t>Occupancy</t>
  </si>
  <si>
    <t>Floating Rate Mortgages &amp; Other</t>
  </si>
  <si>
    <t>Other associate company or joint venture net income</t>
  </si>
  <si>
    <t>Proceeds from issuance and cash used to repay long term debt</t>
  </si>
  <si>
    <t>Tax on gains (losses) from sale of PPE and intangibles, one time</t>
  </si>
  <si>
    <t>Days in the Quarter</t>
  </si>
  <si>
    <t>Total Expenses</t>
  </si>
  <si>
    <t>Net increase in minority interests in shareholders' equity</t>
  </si>
  <si>
    <t>Net issuance of preferred stock</t>
  </si>
  <si>
    <t>RevPAR</t>
  </si>
  <si>
    <t>52</t>
  </si>
  <si>
    <t>Segment Operating Profit</t>
  </si>
  <si>
    <t>Costs and Expenses</t>
  </si>
  <si>
    <t>SG&amp;A Costs</t>
  </si>
  <si>
    <t>Company Adjusted EBITDA</t>
  </si>
  <si>
    <t>Net financial obligations of entities with excluded minority interest</t>
  </si>
  <si>
    <t xml:space="preserve">   IPO Discount</t>
  </si>
  <si>
    <t>Fully Distributed Period-end Aggregate Value</t>
  </si>
  <si>
    <t>IPO Value</t>
  </si>
  <si>
    <t>IPO Equity Value</t>
  </si>
  <si>
    <t>IPO Aggregate Value*</t>
  </si>
  <si>
    <t>IPO Value / Share</t>
  </si>
  <si>
    <t>IPO Aggregate Value</t>
  </si>
  <si>
    <t>Fully Distributed Value / Share</t>
  </si>
  <si>
    <t>Revenue, gross</t>
  </si>
  <si>
    <t>Sales discounts</t>
  </si>
  <si>
    <t>B02T2J7</t>
  </si>
  <si>
    <t>56</t>
  </si>
  <si>
    <t>32</t>
  </si>
  <si>
    <t>Proceeds from divestitures of (funds used to purchase) interest in equity method investments, nonoperating</t>
  </si>
  <si>
    <t>Preferred dividends paid</t>
  </si>
  <si>
    <t>Preferred dividends attributable to current period earnings</t>
  </si>
  <si>
    <t>M&amp;F</t>
  </si>
  <si>
    <t>Amortization of nontaxable other intangibles, cash flow statement</t>
  </si>
  <si>
    <t>Net increase in other liabilities, operating</t>
  </si>
  <si>
    <t>Other provisions, one time, gross of tax</t>
  </si>
  <si>
    <t>Net Issuances</t>
  </si>
  <si>
    <t>State &amp; local tax rate</t>
  </si>
  <si>
    <t>Equity risk premium</t>
  </si>
  <si>
    <t>Other accrued expenses</t>
  </si>
  <si>
    <t>System-wide RevPAR (CC)</t>
  </si>
  <si>
    <t>IMF Guidance</t>
  </si>
  <si>
    <t>Base Mgmt Fee Guidance</t>
  </si>
  <si>
    <t>Total management fee % growth, y/y</t>
  </si>
  <si>
    <t>Net income</t>
  </si>
  <si>
    <t>Tax rate</t>
  </si>
  <si>
    <t>Franchised Revenues (Calc)</t>
  </si>
  <si>
    <t>Current market value of investments, nonoperating</t>
  </si>
  <si>
    <t>Current market value of short- and long-term debt</t>
  </si>
  <si>
    <t>Pretax Income</t>
  </si>
  <si>
    <t>Unrecorded goodwill from pooling, etc.</t>
  </si>
  <si>
    <t>Restructuring costs, recurring</t>
  </si>
  <si>
    <t>Net decrease in beginning net deferred tax assets (financing) from discontinued operations</t>
  </si>
  <si>
    <t>Amortization of goodwill, operating, in income statement</t>
  </si>
  <si>
    <t>Interest cost (pensions)</t>
  </si>
  <si>
    <t>Current Year:</t>
  </si>
  <si>
    <t>Year Ago:</t>
  </si>
  <si>
    <t>Timeshare revenue</t>
  </si>
  <si>
    <t>Other assets, operating, current</t>
  </si>
  <si>
    <t>Other assets, operating, noncurrent</t>
  </si>
  <si>
    <t>Gains (losses) from sale of securities and other investments</t>
  </si>
  <si>
    <t>Total positions</t>
  </si>
  <si>
    <t>Estimated net option expense if reported</t>
  </si>
  <si>
    <t>Pensions (companies reporting under SSAP 24)</t>
  </si>
  <si>
    <t>Goodwill</t>
  </si>
  <si>
    <t>Middle East &amp; Africa</t>
  </si>
  <si>
    <t>%</t>
  </si>
  <si>
    <t>=</t>
  </si>
  <si>
    <t>Realized foreign currency exchange gains (losses) in net operating assets</t>
  </si>
  <si>
    <t>Majority share of entities consolidated using the equity method included in majority EV (%)</t>
  </si>
  <si>
    <t>Gain (loss) on foreign currency transactions</t>
  </si>
  <si>
    <t>Equity in earnings (losses) from unconsolidated affiliates</t>
  </si>
  <si>
    <t>Other gain (loss), net</t>
  </si>
  <si>
    <t>Total Operating Revenue</t>
  </si>
  <si>
    <t>Gains (losses) from divestitures of equity method investments, nonoperating, one time, cash flow</t>
  </si>
  <si>
    <t>Quarterly Comparisons</t>
  </si>
  <si>
    <t>(US $ millions, except per share data)</t>
  </si>
  <si>
    <t>Variance</t>
  </si>
  <si>
    <t>Recurring Net Income</t>
  </si>
  <si>
    <t>Management Fees</t>
  </si>
  <si>
    <t>Color Coding</t>
  </si>
  <si>
    <t>Property, plant, and equipment, net</t>
  </si>
  <si>
    <t>Subordinated debt</t>
  </si>
  <si>
    <t>Net benefits paid to retirees (pensions)</t>
  </si>
  <si>
    <t>Minority interests in shareholders' equity</t>
  </si>
  <si>
    <t>Change in allowance for doubtful accounts, one time</t>
  </si>
  <si>
    <t>Assumed Multiples</t>
  </si>
  <si>
    <t>Minority share in entities with excluded minority interest (%)</t>
  </si>
  <si>
    <t>Depreciation and amortization</t>
  </si>
  <si>
    <t>Restructuring costs, one time, gross of tax</t>
  </si>
  <si>
    <t>Payroll and benefits-related liabilities</t>
  </si>
  <si>
    <t>Taxes paid, cash flow statement</t>
  </si>
  <si>
    <t xml:space="preserve">Interest paid, cash flow statement </t>
  </si>
  <si>
    <t>Current share of market value of associates accounted for under the equity method, nonoperating</t>
  </si>
  <si>
    <t>US</t>
  </si>
  <si>
    <t>USD</t>
  </si>
  <si>
    <t>NA</t>
  </si>
  <si>
    <t>MS Estimates</t>
  </si>
  <si>
    <t>North America</t>
  </si>
  <si>
    <t>Cash From Investing Activities</t>
  </si>
  <si>
    <t>Equity share of market value of excluded significant investments</t>
  </si>
  <si>
    <t>Contribution to plan assets (OPEB)</t>
  </si>
  <si>
    <t>Tax on restructuring costs, one time</t>
  </si>
  <si>
    <t>Amortization of intangibles assumed to have indefinite life, in income statement</t>
  </si>
  <si>
    <t>Market value of excluded minority interests in shareholders' equity</t>
  </si>
  <si>
    <t>Formulas in a row transition from green to black or black to green when the formula is different between historical and forecast periods</t>
  </si>
  <si>
    <t>Stock-based compensation charge, pretax</t>
  </si>
  <si>
    <t>Amortization of prior service cost (pensions)</t>
  </si>
  <si>
    <t>Investments in Affiliates</t>
  </si>
  <si>
    <t>Brands</t>
  </si>
  <si>
    <t>Management and Franchise Contracts, net</t>
  </si>
  <si>
    <t>Other Intangible Assets, net</t>
  </si>
  <si>
    <t>Accounts Payable, Accrued Expenses, and Other</t>
  </si>
  <si>
    <t>Current Maturities of Long-term Debt</t>
  </si>
  <si>
    <t>Current Maturities of Non-recourse Debt and Capital Lease Obligations of Consolidated Variable Interest Entities</t>
  </si>
  <si>
    <t>Income Taxes Payable</t>
  </si>
  <si>
    <t>Non-recourse Debt and Capital Lease Obligations of Consolidated Variable Interest Entities</t>
  </si>
  <si>
    <t>Deferred Income Tax Liabilities</t>
  </si>
  <si>
    <t>Liability for Guest Loyalty Program</t>
  </si>
  <si>
    <t>Accumulated Other Comprehensive Loss</t>
  </si>
  <si>
    <t>Revolving Non-recourse Timeshare Notes Credit Facility</t>
  </si>
  <si>
    <t>Impairment Losses</t>
  </si>
  <si>
    <t>Equity in Losses from Unconsolidated Affiliates</t>
  </si>
  <si>
    <t>Loss (gain) on Foreign Currency Transactions</t>
  </si>
  <si>
    <t>Gain on Debt Restructuring</t>
  </si>
  <si>
    <t>Other Gain, net</t>
  </si>
  <si>
    <t>Share-based Compensation</t>
  </si>
  <si>
    <t>Amortization of Deferred Financing Costs and Other</t>
  </si>
  <si>
    <t>Distributions from Unconsolidated Affiliates</t>
  </si>
  <si>
    <t>Other Current Assets</t>
  </si>
  <si>
    <t>Change in Restricted Cash and Cash Equivalents</t>
  </si>
  <si>
    <t>Change in Timeshare Notes Receivable</t>
  </si>
  <si>
    <t>Change in Liability for Guest Loyalty Program</t>
  </si>
  <si>
    <t>Change in Other Liabilities</t>
  </si>
  <si>
    <t>Cash taxes paid</t>
  </si>
  <si>
    <t>Fair value of NOL</t>
  </si>
  <si>
    <t>2Q13A</t>
  </si>
  <si>
    <t>2Q13</t>
  </si>
  <si>
    <t>Treasury stock and investment in own shares</t>
  </si>
  <si>
    <t>Borrowings/ (Repayment) of Debt</t>
  </si>
  <si>
    <t>Investment in intangible assets reflected in cost of acquisitions, sustaining</t>
  </si>
  <si>
    <t>Europe</t>
  </si>
  <si>
    <t>Balance Sheet</t>
  </si>
  <si>
    <t>Operating Free Cash Flow</t>
  </si>
  <si>
    <t>Blue is typically used for known values, red when unknown (either formula or hardcode)</t>
  </si>
  <si>
    <t>Red can also be a known value, but with a calculation in the cell or some kind of adjustement</t>
  </si>
  <si>
    <t>Investment in indefinite life intangibles</t>
  </si>
  <si>
    <t>Statutory tax rate</t>
  </si>
  <si>
    <t>Dividends per share</t>
  </si>
  <si>
    <t>Balance sheet</t>
  </si>
  <si>
    <t>Cash and cash equivalents</t>
  </si>
  <si>
    <t>Restricted cash required for operations</t>
  </si>
  <si>
    <t>Trade receivables</t>
  </si>
  <si>
    <t>Accumulated other comprehensive income (loss) and reserves</t>
  </si>
  <si>
    <t>Cumulative translation adjustment</t>
  </si>
  <si>
    <t>Deferred revenue, noncurrent</t>
  </si>
  <si>
    <t>Pension and other postretirement obligations</t>
  </si>
  <si>
    <t>Net benefits paid to retirees (OPEB)</t>
  </si>
  <si>
    <t xml:space="preserve"> </t>
  </si>
  <si>
    <t>Liabilities</t>
  </si>
  <si>
    <t>Investments under the equity method, nonoperating</t>
  </si>
  <si>
    <t>Deferred tax assets</t>
  </si>
  <si>
    <t>Deferred tax assets, current</t>
  </si>
  <si>
    <t>Deferred tax assets, noncurrent</t>
  </si>
  <si>
    <t>System-wide (CC)</t>
  </si>
  <si>
    <t>The Mark</t>
  </si>
  <si>
    <t>The Plaza</t>
  </si>
  <si>
    <t>NEW COMPS</t>
  </si>
  <si>
    <t>Apartment (The Mark)</t>
  </si>
  <si>
    <t>25 East 77th Street #PH</t>
  </si>
  <si>
    <t>12 rooms, 6 beds</t>
  </si>
  <si>
    <t>8 baths</t>
  </si>
  <si>
    <t>25 East 77th Street #1401</t>
  </si>
  <si>
    <t>10 rooms, 5 beds</t>
  </si>
  <si>
    <t>25 East 77th Street #1402</t>
  </si>
  <si>
    <t>25 East 77th Street #1503</t>
  </si>
  <si>
    <t>25 East 77th Street #1104</t>
  </si>
  <si>
    <t>25 East 77th Street #904</t>
  </si>
  <si>
    <t>1 Central Park South 1707-1807</t>
  </si>
  <si>
    <t>1 Central Park South #1707</t>
  </si>
  <si>
    <t>1 Central Park South #607</t>
  </si>
  <si>
    <t>1 Central Park South #1811</t>
  </si>
  <si>
    <t>1 Central Park South #1711</t>
  </si>
  <si>
    <t>1 Central Park South #810</t>
  </si>
  <si>
    <t>1 Central Park South #1806</t>
  </si>
  <si>
    <t>1 Central Park South #1608</t>
  </si>
  <si>
    <t>768 Fifth Avenue #1427</t>
  </si>
  <si>
    <t>768 Fifth Avenue #1438</t>
  </si>
  <si>
    <t>2 rooms, studio</t>
  </si>
  <si>
    <t>768 Fifth Avenue #1238</t>
  </si>
  <si>
    <t>768 Fifth Avenue #1136</t>
  </si>
  <si>
    <t>$0.18-0.20</t>
  </si>
  <si>
    <t>635-655</t>
  </si>
  <si>
    <t>5.5-7%</t>
  </si>
  <si>
    <t>315-330</t>
  </si>
  <si>
    <t>Waldorf Astoria Hotels &amp; Resorts (Luxury)</t>
  </si>
  <si>
    <t>Conrad Hotels &amp; Resorts (Luxury)</t>
  </si>
  <si>
    <t>DoubleTree by Hilton (Upscale)</t>
  </si>
  <si>
    <t>Hilton Garden Inn (Upscale)</t>
  </si>
  <si>
    <t>Homewood Suites by Hilton (Upscale)</t>
  </si>
  <si>
    <t>Hampton Inn (Upper Mid)</t>
  </si>
  <si>
    <t>Home2 Suites by Hilton (Upper Mid)</t>
  </si>
  <si>
    <t>Embassy Suites Hotels (Upper Up)</t>
  </si>
  <si>
    <t>Hilton Hotels &amp; Resorts (Upper Up)</t>
  </si>
  <si>
    <t>5.5-6.5%</t>
  </si>
  <si>
    <t>Unrealized gains and losses on securities and other financial instruments</t>
  </si>
  <si>
    <t>Minimum pension liability</t>
  </si>
  <si>
    <t>Bonus to directors and corporate auditors (Japan)</t>
  </si>
  <si>
    <t>Book value of investments accounted for using the equity method excluded from majority EV</t>
  </si>
  <si>
    <t>Environmental liability</t>
  </si>
  <si>
    <t>Current diluted shares outstanding</t>
  </si>
  <si>
    <t>Variable Interest Rate Assumptions</t>
  </si>
  <si>
    <t>Shares Outstanding Summary</t>
  </si>
  <si>
    <t>Reported Net Income</t>
  </si>
  <si>
    <t>Reported EPS</t>
  </si>
  <si>
    <t>Basic Shares Outstanding</t>
  </si>
  <si>
    <t>Price/Key</t>
  </si>
  <si>
    <t>Raw materials</t>
  </si>
  <si>
    <t>Prepaid expenses, noncurrent</t>
  </si>
  <si>
    <t>NM</t>
  </si>
  <si>
    <t>Amortization of goodwill, nonoperating, in income statement</t>
  </si>
  <si>
    <t>Legal proceedings provision</t>
  </si>
  <si>
    <t>Onerous contracts provision</t>
  </si>
  <si>
    <t>Year 4 minimum rental payment</t>
  </si>
  <si>
    <t>Net interest cost, FRS 17</t>
  </si>
  <si>
    <t>Interest and dividend income</t>
  </si>
  <si>
    <t>Dividend income</t>
  </si>
  <si>
    <t>Current period unrecognized gain (loss) on other investments, gross of tax, nonoperating</t>
  </si>
  <si>
    <t>Current period unrecognized gain (loss) on other investments, gross of tax, nonoperating, recurring</t>
  </si>
  <si>
    <t>Depreciation &amp; Amortization</t>
  </si>
  <si>
    <t>MAKE SURE ESTIMATES FROM PUBLISHED MODEL ARE USED</t>
  </si>
  <si>
    <t>Investment in definite life intangibles, growth</t>
  </si>
  <si>
    <t>% growth, y/y</t>
  </si>
  <si>
    <t>Base % growth, y/y</t>
  </si>
  <si>
    <t>Incentive % growth, y/y</t>
  </si>
  <si>
    <t>Franchise % growth, y/y</t>
  </si>
  <si>
    <t>Core Subtotal % growth, y/y</t>
  </si>
  <si>
    <t>Total % growth, y/y (Ties to Guidance)</t>
  </si>
  <si>
    <t>Other liabilities, operating</t>
  </si>
  <si>
    <t>Market value of convertible debt included in dilutive securities</t>
  </si>
  <si>
    <t>Margins</t>
  </si>
  <si>
    <t>BEAR CASE</t>
  </si>
  <si>
    <t>Effective Tax Rate</t>
  </si>
  <si>
    <t>Capital Spending</t>
  </si>
  <si>
    <t>3Q14A</t>
  </si>
  <si>
    <t>3Q14</t>
  </si>
  <si>
    <t xml:space="preserve">Curio - A Collection by Hilton </t>
  </si>
  <si>
    <t>2,470-2,490</t>
  </si>
  <si>
    <t>5-7%</t>
  </si>
  <si>
    <t>Under Construction</t>
  </si>
  <si>
    <t>6-7%</t>
  </si>
  <si>
    <t>13-15%</t>
  </si>
  <si>
    <t>$0.69-0.71</t>
  </si>
  <si>
    <t>Guidance CapEx</t>
  </si>
  <si>
    <t>630-650</t>
  </si>
  <si>
    <t>12-14%</t>
  </si>
  <si>
    <t>$0.16-0.18</t>
  </si>
  <si>
    <t>675-689</t>
  </si>
  <si>
    <t>146-159</t>
  </si>
  <si>
    <t>160-174</t>
  </si>
  <si>
    <t>56%+</t>
  </si>
  <si>
    <t>Expenses (includes FX Impact)</t>
  </si>
  <si>
    <t>Other owned revenues</t>
  </si>
  <si>
    <t>4Q14</t>
  </si>
  <si>
    <t>103-120</t>
  </si>
  <si>
    <t>$0.10-0.12</t>
  </si>
  <si>
    <t>555-575</t>
  </si>
  <si>
    <t>11-13%</t>
  </si>
  <si>
    <t>335-350</t>
  </si>
  <si>
    <t>Asset Sales (Not Included b/c Don't Expect to Sell Near-term)</t>
  </si>
  <si>
    <t>Timeshare Downside</t>
  </si>
  <si>
    <t xml:space="preserve">Hilton Orlando Bonnet Creek in Orlando, FL </t>
  </si>
  <si>
    <t>Waldorf Astoria Orlando in Orlando, FL</t>
  </si>
  <si>
    <t>The Reach, A Waldorf Astoria Resort in Key West, FL</t>
  </si>
  <si>
    <t>Casa Marina, A Waldorf Astoria Resort in Key West, FL</t>
  </si>
  <si>
    <t>Parc 55 in San Francisco, CA</t>
  </si>
  <si>
    <t>Current Value of Owned Segment</t>
  </si>
  <si>
    <t>2016e EBITDA</t>
  </si>
  <si>
    <t xml:space="preserve">Hilton bought 5 hotels for $1.76B from the proceeds of the sale of Waldorf Astoria NY  (average of $590k/key) </t>
  </si>
  <si>
    <t>2014A</t>
  </si>
  <si>
    <t xml:space="preserve">Margins </t>
  </si>
  <si>
    <t>Valuation Summary</t>
  </si>
  <si>
    <t>Current EBITDA Valuation</t>
  </si>
  <si>
    <t xml:space="preserve">Share Price </t>
  </si>
  <si>
    <t xml:space="preserve">Diluted Shares Outstanding 2014 YE </t>
  </si>
  <si>
    <t xml:space="preserve">Total </t>
  </si>
  <si>
    <t xml:space="preserve">Other (Owned, Timeshare) </t>
  </si>
  <si>
    <t>Add: Net Debt 2014 YE (including JVs)</t>
  </si>
  <si>
    <t>1Q15</t>
  </si>
  <si>
    <t>Impairment losses (Other)</t>
  </si>
  <si>
    <t>CMBS loan with an average rate of 4.06% due 2018</t>
  </si>
  <si>
    <t>Capital lease obligations with an average rate of 6.08%, due 2015 to 2097</t>
  </si>
  <si>
    <t>Mortgage loans with a rate of 4.13%, due 2016 to 2019</t>
  </si>
  <si>
    <t>740-760</t>
  </si>
  <si>
    <t>$0.21-0.23</t>
  </si>
  <si>
    <t>212-224</t>
  </si>
  <si>
    <t>771-807</t>
  </si>
  <si>
    <t xml:space="preserve">Hilton bought the hotel for $112m from the proceeds of the sale of Waldorf Astoria NY  ($500k/key) </t>
  </si>
  <si>
    <t>Sydney</t>
  </si>
  <si>
    <t>Cypress</t>
  </si>
  <si>
    <t xml:space="preserve">Old vs. New  Model </t>
  </si>
  <si>
    <t>Ownership Revenuers</t>
  </si>
  <si>
    <t>Ownership Expenses</t>
  </si>
  <si>
    <t>2Q15</t>
  </si>
  <si>
    <t>3Q15</t>
  </si>
  <si>
    <t>4Q15</t>
  </si>
  <si>
    <t>Deals</t>
  </si>
  <si>
    <t>Mult</t>
  </si>
  <si>
    <t>Old Model</t>
  </si>
  <si>
    <t>2H15</t>
  </si>
  <si>
    <t>Difference</t>
  </si>
  <si>
    <t>$7m from sale of hotels and $3m from higher FX from earlier</t>
  </si>
  <si>
    <t>Additional FX Impact</t>
  </si>
  <si>
    <t xml:space="preserve">Old Model </t>
  </si>
  <si>
    <t>WIP Model</t>
  </si>
  <si>
    <t xml:space="preserve">WIP Model </t>
  </si>
  <si>
    <t>Total Impact</t>
  </si>
  <si>
    <t>FX Impact for Owned and M&amp;F Each</t>
  </si>
  <si>
    <t>2Q15A</t>
  </si>
  <si>
    <t>Proceeds from Settlement of Derivative Instruments / Other</t>
  </si>
  <si>
    <t>Dividends Paid</t>
  </si>
  <si>
    <t>% growth (y-o-y)</t>
  </si>
  <si>
    <t>730-750</t>
  </si>
  <si>
    <t>2014 Revenue Growth</t>
  </si>
  <si>
    <t>Growth</t>
  </si>
  <si>
    <t>Owned &amp; Leased Rooms</t>
  </si>
  <si>
    <t>Owned Revenue</t>
  </si>
  <si>
    <t>M+F Rooms</t>
  </si>
  <si>
    <t>M&amp;F RevPAR</t>
  </si>
  <si>
    <t>Americas</t>
  </si>
  <si>
    <t>M&amp;F Revenue</t>
  </si>
  <si>
    <t>Total M&amp;F</t>
  </si>
  <si>
    <t>Total Revenue (excl. Timeshare)</t>
  </si>
  <si>
    <t>Owned &amp; Leased RevPAR</t>
  </si>
  <si>
    <t>M&amp;F Revenue Weighted</t>
  </si>
  <si>
    <t>Owned Revenue Weighted</t>
  </si>
  <si>
    <t>Total Revenue Weighted</t>
  </si>
  <si>
    <t>% of Revenue Growth</t>
  </si>
  <si>
    <t>706-736</t>
  </si>
  <si>
    <t>5-6.5%</t>
  </si>
  <si>
    <t>2,840-2,870</t>
  </si>
  <si>
    <t>$0.81-0.83</t>
  </si>
  <si>
    <t>$375-400</t>
  </si>
  <si>
    <t>40-45k</t>
  </si>
  <si>
    <t>45-50k</t>
  </si>
  <si>
    <t xml:space="preserve">New </t>
  </si>
  <si>
    <t>Old</t>
  </si>
  <si>
    <t>New Model vs. Old Model</t>
  </si>
  <si>
    <t>Owned/Managed</t>
  </si>
  <si>
    <t>Hilton Historical Data - Prior Cycle</t>
  </si>
  <si>
    <t>EBITDA ($mm)</t>
  </si>
  <si>
    <t>2-4%</t>
  </si>
  <si>
    <t>3-5%</t>
  </si>
  <si>
    <t>7-9%</t>
  </si>
  <si>
    <t>370-390</t>
  </si>
  <si>
    <t>$400-450</t>
  </si>
  <si>
    <t>Cost of Equity</t>
  </si>
  <si>
    <t>Key West</t>
  </si>
  <si>
    <t>Cypress Hotel</t>
  </si>
  <si>
    <t>Cupertino</t>
  </si>
  <si>
    <t>SHO</t>
  </si>
  <si>
    <t>DRH</t>
  </si>
  <si>
    <t>HST</t>
  </si>
  <si>
    <t>XHR</t>
  </si>
  <si>
    <t>LHO</t>
  </si>
  <si>
    <t>YE2015</t>
  </si>
  <si>
    <t>Highest Brand Concentration</t>
  </si>
  <si>
    <t>Mix</t>
  </si>
  <si>
    <t>Lodging REIT</t>
  </si>
  <si>
    <t>RevPAR Down 6%</t>
  </si>
  <si>
    <t>4.8% Annual RevPAR</t>
  </si>
  <si>
    <t>LQ</t>
  </si>
  <si>
    <t>STAY</t>
  </si>
  <si>
    <t>2017 EV/
EBITDA</t>
  </si>
  <si>
    <t>PEG</t>
  </si>
  <si>
    <t>Timeshare
Avg.</t>
  </si>
  <si>
    <t>MSe
HLT
REIT</t>
  </si>
  <si>
    <t>Lodging
Reit
Avg.</t>
  </si>
  <si>
    <t>MSe
HLT
Timeshare</t>
  </si>
  <si>
    <t>MSe HLT
PF Fee
Business</t>
  </si>
  <si>
    <t>Owned FCF Yield</t>
  </si>
  <si>
    <t>Owned EBITDA</t>
  </si>
  <si>
    <t>Leverage</t>
  </si>
  <si>
    <t>Total net debt</t>
  </si>
  <si>
    <t>Interest expense @ 5%</t>
  </si>
  <si>
    <t>Less: D&amp;A</t>
  </si>
  <si>
    <t>Owned EBIT</t>
  </si>
  <si>
    <t>Less: Interest expense</t>
  </si>
  <si>
    <t>Owned pre-tax income</t>
  </si>
  <si>
    <t>Less: Income taxes</t>
  </si>
  <si>
    <t>Owned net income</t>
  </si>
  <si>
    <t>Plus: D&amp;A</t>
  </si>
  <si>
    <t>Less: Capex</t>
  </si>
  <si>
    <t>Owned FCF</t>
  </si>
  <si>
    <t>Enterprise value</t>
  </si>
  <si>
    <t>Less: Net debt</t>
  </si>
  <si>
    <t>Owned FCF yield</t>
  </si>
  <si>
    <t>Total Revenue Estimate</t>
  </si>
  <si>
    <t>Geographic Exposure</t>
  </si>
  <si>
    <t>$0.25-0.27</t>
  </si>
  <si>
    <t>790-810</t>
  </si>
  <si>
    <t>Research</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</si>
  <si>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</si>
  <si>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</si>
  <si>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</si>
  <si>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</si>
  <si>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</si>
  <si>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</si>
  <si>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</si>
  <si>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</si>
  <si>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</si>
  <si>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</si>
  <si>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</si>
  <si>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</si>
  <si>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</si>
  <si>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</si>
  <si>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</si>
  <si>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</si>
  <si>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</si>
  <si>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</si>
  <si>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</si>
  <si>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</si>
  <si>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</si>
  <si>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</si>
  <si>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</si>
  <si>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</si>
  <si>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</si>
  <si>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</si>
  <si>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</si>
  <si>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</si>
  <si>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</si>
  <si>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</si>
  <si>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</si>
  <si>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</si>
  <si>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</si>
  <si>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</si>
  <si>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</si>
  <si>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</si>
  <si>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</si>
  <si>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</si>
  <si>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</si>
  <si>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</si>
  <si>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</si>
  <si>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</si>
  <si>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</si>
  <si>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</si>
  <si>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</si>
  <si>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</si>
  <si>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</si>
  <si>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Quarterly Update</t>
  </si>
  <si>
    <t>NorthAmerica</t>
  </si>
  <si>
    <t>savinmar</t>
  </si>
  <si>
    <t>MSA12371, MSA55HHP</t>
  </si>
  <si>
    <t>[BRO MSA]</t>
  </si>
  <si>
    <t>[PRODUCT MODEL]</t>
  </si>
  <si>
    <t>[EMAIL_ALERT YES]</t>
  </si>
  <si>
    <t>[DISCIPLINE Company]</t>
  </si>
  <si>
    <t>[SUPPRESSED NO]</t>
  </si>
  <si>
    <t>[PSYM HLT.N(S&amp;P) (None)]</t>
  </si>
  <si>
    <t>[COU 1]</t>
  </si>
  <si>
    <t>[ANA MSA55HHP]</t>
  </si>
  <si>
    <t>[HL HLT.N Model]</t>
  </si>
  <si>
    <t>[IND GAMCAS HOTMOT]</t>
  </si>
  <si>
    <t>[PANA MSA12371]</t>
  </si>
  <si>
    <t>Distribution Sensitivity</t>
  </si>
  <si>
    <t>MSe 2017 EBITDA</t>
  </si>
  <si>
    <t>2% Higher 2017 Fees, 1x higher multiple</t>
  </si>
  <si>
    <t>2% Lower 2017 Fees, 1x lower multiple</t>
  </si>
  <si>
    <t>3% Lower ADR, 2x lower multiple</t>
  </si>
  <si>
    <t>1Q16</t>
  </si>
  <si>
    <t>Less: unamortized deferred financing costs and discount</t>
  </si>
  <si>
    <t>3.75-4.00x</t>
  </si>
  <si>
    <t>Count</t>
  </si>
  <si>
    <t>1-3%</t>
  </si>
  <si>
    <t>760-780</t>
  </si>
  <si>
    <t>$0.24-0.26</t>
  </si>
  <si>
    <t>Hilton San Diego Bayfront</t>
  </si>
  <si>
    <t>Estimated EV of REIT</t>
  </si>
  <si>
    <t>Hotel located close to but not in central London 3/13 InterCon London Park Lane sold for $1m/key</t>
  </si>
  <si>
    <t>~$150m Operating Income</t>
  </si>
  <si>
    <t>~$60m operating income; one of HLT's highest EBITDA producing owned assets; avg upper upscale for 2013 is $279k per our transactions file; Hilton NO St Charles sold 5/13 for $238k/key</t>
  </si>
  <si>
    <t>~$55m operating income; avg SF Upper Upscale hotel sale $280k</t>
  </si>
  <si>
    <t>~$40m Operating Income</t>
  </si>
  <si>
    <t>~$25m Operating Income</t>
  </si>
  <si>
    <t>~$20m Operating Income</t>
  </si>
  <si>
    <t>~$15m Operating Income</t>
  </si>
  <si>
    <t>~$15m Operating Income; Avg DC upper upscale $400k</t>
  </si>
  <si>
    <t>~$8m operating income</t>
  </si>
  <si>
    <t>~$10m operating income</t>
  </si>
  <si>
    <t>~$7m operating income</t>
  </si>
  <si>
    <t>~$3m operating income</t>
  </si>
  <si>
    <t>~$4m operating income</t>
  </si>
  <si>
    <t>Valuing DRH's Oak Brook Marriott at $250k; ~$2.5m Operating Income</t>
  </si>
  <si>
    <t>~$2m Operating Income</t>
  </si>
  <si>
    <t>~$1.5m Operating Income</t>
  </si>
  <si>
    <t xml:space="preserve">San Diego </t>
  </si>
  <si>
    <t>Actual Price from April 2011</t>
  </si>
  <si>
    <t xml:space="preserve">Hilton La Jolla </t>
  </si>
  <si>
    <t xml:space="preserve">Torrey Pines </t>
  </si>
  <si>
    <t xml:space="preserve">5 star hotel with same amount of rooms as 4 star Marriott La Jola (sold for  $1,190k / key July 2016). Discount for different location (8 minutes apart) &amp; potential overpayment </t>
  </si>
  <si>
    <t>Embassy Suites San Rafael - Marin County</t>
  </si>
  <si>
    <t>San Rafael</t>
  </si>
  <si>
    <t>Outside San Francisco with lower ADR: discount from Doubletree SF at $186k / key in March 2014</t>
  </si>
  <si>
    <t>Hilton Orlando - Orange County Convention  Center</t>
  </si>
  <si>
    <t>Capital Hilton</t>
  </si>
  <si>
    <t>5 minutes from Embassy Suites DC, same chainscale, slightly higher ADR for capital</t>
  </si>
  <si>
    <t>Embassy Suites Atlanta - Perimeter Center</t>
  </si>
  <si>
    <t>Kansas</t>
  </si>
  <si>
    <t>Embassy Suites Kansas City - Plaza</t>
  </si>
  <si>
    <t>Embassy Suites Kansas City - Overland Park</t>
  </si>
  <si>
    <t>MT</t>
  </si>
  <si>
    <t>DoubleTree Hotel Missoula/Edgewater</t>
  </si>
  <si>
    <t>Missoula</t>
  </si>
  <si>
    <t>Premium from AmericInn Suites (Midscale) $37k / key August 2012. Midpoint of DoubleTrees in small markets</t>
  </si>
  <si>
    <t>Double Tree Las Vegas Airport</t>
  </si>
  <si>
    <t>Nevada</t>
  </si>
  <si>
    <t>Las Vegas</t>
  </si>
  <si>
    <t>Same spot check ADR as Las Vegas Renaissance $228k / key August 2015</t>
  </si>
  <si>
    <t>Embassy Suites Parsippany</t>
  </si>
  <si>
    <t>Pasippany</t>
  </si>
  <si>
    <t>~Same location &amp; rooms as Marriott Country Club Kansas City $192k / key November 2014, but lower spot check ADR by ~$75</t>
  </si>
  <si>
    <t>Comparable to Sheraton Suites Atlanta  $76k / Key June 2013, ~ # of rooms, but higher spot check ADR</t>
  </si>
  <si>
    <t>Slightly higher spot check ADR &amp; same locations as Plaza suites</t>
  </si>
  <si>
    <t xml:space="preserve">Similar location &amp; spot check ADR as Short Hills </t>
  </si>
  <si>
    <t xml:space="preserve">Embassy Suites Secaucus - Meadowlands </t>
  </si>
  <si>
    <t>Secaucus</t>
  </si>
  <si>
    <t>Close to Parsippany Suites but lower spot check ADR</t>
  </si>
  <si>
    <t>Embassy Suites Alexandria - Old Town</t>
  </si>
  <si>
    <t>Old Town</t>
  </si>
  <si>
    <t>Price sold on June 2014</t>
  </si>
  <si>
    <t>Hilton Berlin</t>
  </si>
  <si>
    <t xml:space="preserve">Berlin </t>
  </si>
  <si>
    <t xml:space="preserve">Same spot check ADR as Grand Hotel Esplanade Berlin, and very close geographically. $288k / key October 2014 </t>
  </si>
  <si>
    <t>Dublin</t>
  </si>
  <si>
    <t>Conrad Dublin</t>
  </si>
  <si>
    <t xml:space="preserve">Ireland </t>
  </si>
  <si>
    <t xml:space="preserve">Very close to Westin Dublin with similar spot check ADR, </t>
  </si>
  <si>
    <t>Ownership?</t>
  </si>
  <si>
    <t>DoubleTree Orlando at Sea World  $49k / key May 2015, but much higher ADR</t>
  </si>
  <si>
    <t>~$35m Operating Income; CY Waikiki Beach 6/13 $318k/key; Hyatt Place Waikiki 6/13 $325k/key; Hyatt Regency 8/13 $366k/key; per HVS '14 outlook remains; but shifting 600 rooms to HGV</t>
  </si>
  <si>
    <t>- Net Debt</t>
  </si>
  <si>
    <t>Avg NYC upper up sold ~$500/key; ~$120m operating income but fewer rooms today</t>
  </si>
  <si>
    <t>Park Hotels &amp; Resorts</t>
  </si>
  <si>
    <t>Less: Pro Forma Net Debt</t>
  </si>
  <si>
    <t>Juniper Cupertino</t>
  </si>
  <si>
    <t>KS</t>
  </si>
  <si>
    <t>MO</t>
  </si>
  <si>
    <t>Park Hotels</t>
  </si>
  <si>
    <t>2014</t>
  </si>
  <si>
    <t>2015</t>
  </si>
  <si>
    <t>6/30/15</t>
  </si>
  <si>
    <t>.</t>
  </si>
  <si>
    <t>Total Operating Revenues</t>
  </si>
  <si>
    <t>Operating Expenses</t>
  </si>
  <si>
    <t xml:space="preserve">Rooms </t>
  </si>
  <si>
    <t>Other departmental and support</t>
  </si>
  <si>
    <t>Food and beverage</t>
  </si>
  <si>
    <t>Other property-level</t>
  </si>
  <si>
    <t>Management fees</t>
  </si>
  <si>
    <t>Corporate and other</t>
  </si>
  <si>
    <t>Gain on sale of assets, net</t>
  </si>
  <si>
    <t>Equity in earnings from investments in affiliates</t>
  </si>
  <si>
    <t>Gain on foreign currency transactions</t>
  </si>
  <si>
    <t>Gain on extinguishment of debt</t>
  </si>
  <si>
    <t>Income before income taxes</t>
  </si>
  <si>
    <t>Noncontrolling interests</t>
  </si>
  <si>
    <t>Attributable to noncontrolling interests</t>
  </si>
  <si>
    <t>Adj. attributable to Parent</t>
  </si>
  <si>
    <t>Comprehensive Income</t>
  </si>
  <si>
    <t>Comprehensive Income Attr to Parent</t>
  </si>
  <si>
    <t>Impairment loss</t>
  </si>
  <si>
    <t>Tax (%)</t>
  </si>
  <si>
    <t>Other comprehensive loss, net of tax benefit</t>
  </si>
  <si>
    <t>% yoy growth</t>
  </si>
  <si>
    <t>Loss on foreign currency transactions</t>
  </si>
  <si>
    <t>Other loss, net</t>
  </si>
  <si>
    <t>Amortization of deferred financing costs</t>
  </si>
  <si>
    <t>Distribution from unconsolidated affiliates</t>
  </si>
  <si>
    <t>Deferred income taxes</t>
  </si>
  <si>
    <t>Cash from Operating Activities</t>
  </si>
  <si>
    <t>Capex for PP&amp;E</t>
  </si>
  <si>
    <t>Acquisitions, net of cash acquired</t>
  </si>
  <si>
    <t>Change in restricted cash</t>
  </si>
  <si>
    <t>Distributions from unconsolidated affiliates</t>
  </si>
  <si>
    <t>Proceeds from asset dispositions</t>
  </si>
  <si>
    <t>Cash from Investing Activities</t>
  </si>
  <si>
    <t>Borrowings</t>
  </si>
  <si>
    <t>Repayment of debt</t>
  </si>
  <si>
    <t xml:space="preserve">Change in restricted cash </t>
  </si>
  <si>
    <t>Net transfers from parent</t>
  </si>
  <si>
    <t>Distributions to noncontrolling interests</t>
  </si>
  <si>
    <t>Cash from Financing Activities</t>
  </si>
  <si>
    <t xml:space="preserve">Effect of exchange rate changes on cash </t>
  </si>
  <si>
    <t>Net increase in cash and cash equivalents</t>
  </si>
  <si>
    <t>BOP cash and cash equivalents</t>
  </si>
  <si>
    <t>EOP cash and cash equivalents</t>
  </si>
  <si>
    <t>Accounts receivable, net</t>
  </si>
  <si>
    <t>Other assets</t>
  </si>
  <si>
    <t>Due to hotel manager</t>
  </si>
  <si>
    <t>Other liabilities</t>
  </si>
  <si>
    <t xml:space="preserve">Working capital changes and other: </t>
  </si>
  <si>
    <t>Investments in affiliates</t>
  </si>
  <si>
    <t>Payments received from notes receivable</t>
  </si>
  <si>
    <t>Repayment of allocated Parent debt</t>
  </si>
  <si>
    <t>Debt issuance costs</t>
  </si>
  <si>
    <t>Proceeds from sales-leaseback transaction</t>
  </si>
  <si>
    <t>Capital contributions from Hilton affiliate</t>
  </si>
  <si>
    <t>LTM</t>
  </si>
  <si>
    <t>Restricted cash</t>
  </si>
  <si>
    <t>Operational and Other Financial Data</t>
  </si>
  <si>
    <t>Number of hotels</t>
  </si>
  <si>
    <t>Number of rooms</t>
  </si>
  <si>
    <t>Hotel data:</t>
  </si>
  <si>
    <t>Total hotel revenue</t>
  </si>
  <si>
    <t>Hotel adj EBITDA</t>
  </si>
  <si>
    <t>NAREIT FFO attributable to Parent</t>
  </si>
  <si>
    <t>Adj FFO attributable to Parent</t>
  </si>
  <si>
    <t>EBITDA &amp; Valuation</t>
  </si>
  <si>
    <t>EBITDA (incl stock comp)</t>
  </si>
  <si>
    <t>Less: Stock comp</t>
  </si>
  <si>
    <t>EBITDA (ex-stock comp)</t>
  </si>
  <si>
    <t>Sales of VOIs, net</t>
  </si>
  <si>
    <t>Sales, marketing, brand and other fees</t>
  </si>
  <si>
    <t>Financing</t>
  </si>
  <si>
    <t>Club and resort management</t>
  </si>
  <si>
    <t>Rental and ancillary services</t>
  </si>
  <si>
    <t>Cost reimbursements</t>
  </si>
  <si>
    <t>Cost of VOI sales</t>
  </si>
  <si>
    <t>Sales and marketing</t>
  </si>
  <si>
    <t>General and administrative</t>
  </si>
  <si>
    <t>License fee expense</t>
  </si>
  <si>
    <t>Total expenses</t>
  </si>
  <si>
    <t>Allocated Parent interest expense</t>
  </si>
  <si>
    <t xml:space="preserve">Cash </t>
  </si>
  <si>
    <t>Accounts receivable, net of ADA</t>
  </si>
  <si>
    <t>Timeshare financing receivables, net</t>
  </si>
  <si>
    <t>Inventory</t>
  </si>
  <si>
    <t>Property and equipment, net</t>
  </si>
  <si>
    <t>Intangible assets, net</t>
  </si>
  <si>
    <t>Liabilities and Equity</t>
  </si>
  <si>
    <t>Advance deposits</t>
  </si>
  <si>
    <t>Allocated Parent debt</t>
  </si>
  <si>
    <t>Deferred revenues</t>
  </si>
  <si>
    <t>Deferred income tax liabilities</t>
  </si>
  <si>
    <t>Total Liabilities</t>
  </si>
  <si>
    <t>Equity:</t>
  </si>
  <si>
    <t>Common stock, $0.01 par value</t>
  </si>
  <si>
    <t>Additional paid-in capital</t>
  </si>
  <si>
    <t>Parent equity</t>
  </si>
  <si>
    <t>Provision for loan losses</t>
  </si>
  <si>
    <t>Timeshare financing receivables</t>
  </si>
  <si>
    <t>Purchase of assets for future conv to inventory</t>
  </si>
  <si>
    <t>Accounts payable, accrued exp, and other</t>
  </si>
  <si>
    <t>Capital expenditures for property and equipment</t>
  </si>
  <si>
    <t>Capitalized software costs</t>
  </si>
  <si>
    <t>Repayment of non-recourse debt</t>
  </si>
  <si>
    <t>Allocated Parent debt activity</t>
  </si>
  <si>
    <t>Net transfers from (to) Parent</t>
  </si>
  <si>
    <t>Net decrease in cash and cash equivalents</t>
  </si>
  <si>
    <t>Supplemental Disclosures</t>
  </si>
  <si>
    <t xml:space="preserve">Non-cash financing acitivities: </t>
  </si>
  <si>
    <t>Transfer of inventory from Parent</t>
  </si>
  <si>
    <t>Transfer of PP&amp;E from Parent</t>
  </si>
  <si>
    <t>EBITDA (excl stock comp)</t>
  </si>
  <si>
    <t>Real estate sales and financing</t>
  </si>
  <si>
    <t>Resort operations and club management</t>
  </si>
  <si>
    <t>Segment adjusted EBITDA</t>
  </si>
  <si>
    <t>Less: G&amp;A</t>
  </si>
  <si>
    <t>Less: License fee expense</t>
  </si>
  <si>
    <t>Other adjustement items</t>
  </si>
  <si>
    <t>Total Equity  (Parent Deficit)</t>
  </si>
  <si>
    <t>Total Liabilites and Equity (Parent Deficit)</t>
  </si>
  <si>
    <t>Issuance of non-recourse debt</t>
  </si>
  <si>
    <t>Distribution to Parent</t>
  </si>
  <si>
    <t>Cash paid during the year:</t>
  </si>
  <si>
    <t>Interest, net of amounts capitalized</t>
  </si>
  <si>
    <t>Gain on debt extinguishment</t>
  </si>
  <si>
    <t>Non-recourse debt interest expense</t>
  </si>
  <si>
    <t>Accounts payable, accrued expenses and other</t>
  </si>
  <si>
    <t>Adjusted EBITDA (incl stock comp)</t>
  </si>
  <si>
    <t>Leverage Target</t>
  </si>
  <si>
    <t xml:space="preserve">US </t>
  </si>
  <si>
    <t>Hilton Brand</t>
  </si>
  <si>
    <t xml:space="preserve">Hilton Orlando - Orange County </t>
  </si>
  <si>
    <t>Hilton Orlando Bonnet Creek</t>
  </si>
  <si>
    <t>Hilton Hawaiian Village Beach Resort</t>
  </si>
  <si>
    <t>Hilton Chicago O'Hare Airport</t>
  </si>
  <si>
    <t>Hilton La Jolla Torrey Pines</t>
  </si>
  <si>
    <t>Parc 55 Hotel San Francisco</t>
  </si>
  <si>
    <t>Hilton New York Midtown</t>
  </si>
  <si>
    <t>Hilton Sao Paulo Morumbi</t>
  </si>
  <si>
    <t>Hilton Milton Keyes</t>
  </si>
  <si>
    <t xml:space="preserve">Hilton Hotels &amp; Resorts </t>
  </si>
  <si>
    <t>Conrad</t>
  </si>
  <si>
    <t>Diff</t>
  </si>
  <si>
    <t>Double Tree by Hilton</t>
  </si>
  <si>
    <t>Embassy Suites by Hilton</t>
  </si>
  <si>
    <t xml:space="preserve">Hampton by Hilton </t>
  </si>
  <si>
    <t>Curio - A Collection by Hilton</t>
  </si>
  <si>
    <t>DoubleTree by Hilton</t>
  </si>
  <si>
    <t>DoubleTree hotel San Jose</t>
  </si>
  <si>
    <t>DoubleTree Hotel San Diego - Mission Val</t>
  </si>
  <si>
    <t>DoubleTree Las Vegas Airport</t>
  </si>
  <si>
    <t>DoubleTree Hotel Crystal City</t>
  </si>
  <si>
    <t>DoubleTree Spokane - City Center</t>
  </si>
  <si>
    <t>Embassy Suites Phoenix - Airport at 24th</t>
  </si>
  <si>
    <t xml:space="preserve">Embassy Suites San Rafael - Marin </t>
  </si>
  <si>
    <t>Embassy Suites Washington, D.C.</t>
  </si>
  <si>
    <t>Embassy Suites Atlanta - Perimeter Ctr</t>
  </si>
  <si>
    <t>Embassy Suites Kansas City - Overland Pk</t>
  </si>
  <si>
    <t>Embassy Suites Secaucus - Meadowlands</t>
  </si>
  <si>
    <t>Embassy Suites Austin - Downtown</t>
  </si>
  <si>
    <t>Hampton by Hilton</t>
  </si>
  <si>
    <t xml:space="preserve">Hampton Inn &amp; Suites Memphis </t>
  </si>
  <si>
    <t>Hilton Garden Inn Chicago/ Oak Brook</t>
  </si>
  <si>
    <t>Waldorf Astoria Hotels &amp; Resorts</t>
  </si>
  <si>
    <t>Waldorf Astoria Bonnet Creek Orlando</t>
  </si>
  <si>
    <t>Waldorf Astoria Casa Marina Resort Key West</t>
  </si>
  <si>
    <t>Waldorf Astoria Reach Resort Key West</t>
  </si>
  <si>
    <t>HLT Remaining Owned RevPAR</t>
  </si>
  <si>
    <t>1H16</t>
  </si>
  <si>
    <t>HLT Owned RevPAR</t>
  </si>
  <si>
    <t>Park Hotels RevPAR</t>
  </si>
  <si>
    <t>Implied OpCo Owned RevPAR</t>
  </si>
  <si>
    <t>OpCo Discount to Consolidated</t>
  </si>
  <si>
    <t>Net income attributable to Parent</t>
  </si>
  <si>
    <t>Depreciation and amortization expense</t>
  </si>
  <si>
    <t>Gains on sales of assets, net</t>
  </si>
  <si>
    <t>Gain on sale of investments in affiliates</t>
  </si>
  <si>
    <t>Equity investment adjustments:</t>
  </si>
  <si>
    <t>Pro rata FFO of equity investments</t>
  </si>
  <si>
    <t>NAREIT attributable to Parent</t>
  </si>
  <si>
    <t>Aqcuisition costs</t>
  </si>
  <si>
    <t>Litigation costs</t>
  </si>
  <si>
    <t>Accounts payable and accrued expenses</t>
  </si>
  <si>
    <t>Hotel adj EBITDA margin</t>
  </si>
  <si>
    <t>50-55k</t>
  </si>
  <si>
    <t>2Q16</t>
  </si>
  <si>
    <t>0-1%</t>
  </si>
  <si>
    <t>1.5-2.0%</t>
  </si>
  <si>
    <t>$1.0B 4.25% senior notes due 2024</t>
  </si>
  <si>
    <t>CMBS loan due 2023</t>
  </si>
  <si>
    <t>CMBS loan due 2026</t>
  </si>
  <si>
    <t>Pro Forma for spin-offs beginning in 1Q17</t>
  </si>
  <si>
    <t>2,960-2,990</t>
  </si>
  <si>
    <t>$0.86-0.89</t>
  </si>
  <si>
    <t>736-766</t>
  </si>
  <si>
    <t>$750-780</t>
  </si>
  <si>
    <t>$370-390</t>
  </si>
  <si>
    <t>Assets held for sale</t>
  </si>
  <si>
    <t>Intangibles, net</t>
  </si>
  <si>
    <t>Accounts receivable</t>
  </si>
  <si>
    <t>Due to Hilton affiliates</t>
  </si>
  <si>
    <t>Net Parent investment</t>
  </si>
  <si>
    <t>Accumulated other comprehensive loss</t>
  </si>
  <si>
    <t>Total Equity</t>
  </si>
  <si>
    <t>Total Liabilities &amp; Equity</t>
  </si>
  <si>
    <t>2015PF</t>
  </si>
  <si>
    <t>Consolidated Revenue (pre-spin)</t>
  </si>
  <si>
    <t>Consolidated EPS (pre-spin)</t>
  </si>
  <si>
    <t>Consolidated Adjusted EBITDA (pre-spin)</t>
  </si>
  <si>
    <t>Consolidated Ownership Adjusted EBITDA (pre-spin)</t>
  </si>
  <si>
    <t>Implied Park Hotels Dividend</t>
  </si>
  <si>
    <t>Implied Yield at PT</t>
  </si>
  <si>
    <t>($ in millions)</t>
  </si>
  <si>
    <t>EBITDA &amp; Leverage</t>
  </si>
  <si>
    <t>NAREIT AFFO</t>
  </si>
  <si>
    <t>Current HLT Share Price</t>
  </si>
  <si>
    <t>Current HLT Equity Value</t>
  </si>
  <si>
    <t>2017e HLT OpCO EBITDA</t>
  </si>
  <si>
    <t>HLT OpCO Enterprise Value</t>
  </si>
  <si>
    <t>HLT OpCO Equity Value</t>
  </si>
  <si>
    <t>Less: HLT OpCO</t>
  </si>
  <si>
    <t>Less: HGV</t>
  </si>
  <si>
    <t>2017e HGV EBITDA</t>
  </si>
  <si>
    <t>HGV Enterprise Value</t>
  </si>
  <si>
    <t>HGV Equity Value</t>
  </si>
  <si>
    <t>Implied Park Hotels &amp; Resorts Equity Value</t>
  </si>
  <si>
    <t>Park Hotels &amp; Resorts Implied Dividend Yield</t>
  </si>
  <si>
    <t>MSe 2017 Dividend</t>
  </si>
  <si>
    <t>($ in millions, except share price)</t>
  </si>
  <si>
    <t>Cash dividends</t>
  </si>
  <si>
    <t>Cash Available for Distribution</t>
  </si>
  <si>
    <t>Check: % of Net Income</t>
  </si>
  <si>
    <t>OpCo Multiple</t>
  </si>
  <si>
    <t>2017e Dividend Yield on Current Stock Price</t>
  </si>
  <si>
    <t>Assumed AFFO Payout Ratio</t>
  </si>
  <si>
    <t>Less: 2017PF Net Debt</t>
  </si>
  <si>
    <t>Consolidated Ownership Revenue (pre-spin)</t>
  </si>
  <si>
    <t xml:space="preserve">Marriott </t>
  </si>
  <si>
    <t>Marriott</t>
  </si>
  <si>
    <t>OpCo</t>
  </si>
  <si>
    <t>BofA</t>
  </si>
  <si>
    <t>Park</t>
  </si>
  <si>
    <t>HGV</t>
  </si>
  <si>
    <t>JPM</t>
  </si>
  <si>
    <t>DB</t>
  </si>
  <si>
    <t>Macquarie</t>
  </si>
  <si>
    <t>JMP</t>
  </si>
  <si>
    <t>Valuation Multiple
EV/EBITDA</t>
  </si>
  <si>
    <t>Cons Avg</t>
  </si>
  <si>
    <t xml:space="preserve">                   </t>
  </si>
  <si>
    <t>Diff (%)</t>
  </si>
  <si>
    <t xml:space="preserve">RevPAR </t>
  </si>
  <si>
    <t>M+F</t>
  </si>
  <si>
    <t>Total Hilton</t>
  </si>
  <si>
    <t>MSe vs. Cons (%)</t>
  </si>
  <si>
    <t>HLT Guidance</t>
  </si>
  <si>
    <t>2017E Cons</t>
  </si>
  <si>
    <t>2017 MSe</t>
  </si>
  <si>
    <t>2018E Cons</t>
  </si>
  <si>
    <t>2018 MSe</t>
  </si>
  <si>
    <t>PropCo</t>
  </si>
  <si>
    <t>Park Hotels (Pro Forma)</t>
  </si>
  <si>
    <t>Lodging REIT EBITDA Margins</t>
  </si>
  <si>
    <t>Non-operating items from affiliates</t>
  </si>
  <si>
    <t>Other adjustments</t>
  </si>
  <si>
    <t>Other gain (loss)</t>
  </si>
  <si>
    <t>Gain on sale of assets</t>
  </si>
  <si>
    <t>9/30/16</t>
  </si>
  <si>
    <t>9/30/15</t>
  </si>
  <si>
    <t>Contrubution from parent</t>
  </si>
  <si>
    <t>Share-based compensation</t>
  </si>
  <si>
    <t>Gain on FX transactions</t>
  </si>
  <si>
    <t>Other loss</t>
  </si>
  <si>
    <t>2016E PF</t>
  </si>
  <si>
    <t>Senior secured term loan facility with a rate of 3.10%, due 2023</t>
  </si>
  <si>
    <t>Senior secured term loan facility with a rate of 3.50%, due 2020</t>
  </si>
  <si>
    <t>1745-1775</t>
  </si>
  <si>
    <t>HLT OpCo</t>
  </si>
  <si>
    <t>HLT 2016E Guide</t>
  </si>
  <si>
    <t>Owned, Leased &amp; Other</t>
  </si>
  <si>
    <t>Incentive Mgmt Fees</t>
  </si>
  <si>
    <t>Base Mgmt Fees</t>
  </si>
  <si>
    <t>2017E HLT EBITDA Mix</t>
  </si>
  <si>
    <t>Other U.S.</t>
  </si>
  <si>
    <t>Washington D.C.</t>
  </si>
  <si>
    <t>Southern CA</t>
  </si>
  <si>
    <t>Hawaii</t>
  </si>
  <si>
    <t>Northern CA</t>
  </si>
  <si>
    <t>Florida</t>
  </si>
  <si>
    <t>% Rooms by Market</t>
  </si>
  <si>
    <t>Resort</t>
  </si>
  <si>
    <t>Urban</t>
  </si>
  <si>
    <t>% Rooms by Chain Scale for HLT OpCo</t>
  </si>
  <si>
    <t>% Rooms by Property Type for Park REIT</t>
  </si>
  <si>
    <t>Suburban</t>
  </si>
  <si>
    <t>Airport</t>
  </si>
  <si>
    <t>Diluted Shares Oustanding</t>
  </si>
  <si>
    <t>Basic Shares Outstanding EOP</t>
  </si>
  <si>
    <t>Average Basic Shares Outstanding</t>
  </si>
  <si>
    <t>Net Income / Diluted Share</t>
  </si>
  <si>
    <t>Comprehensive Income / Diluted Share</t>
  </si>
  <si>
    <t>Share Repurchase</t>
  </si>
  <si>
    <t>Park EPS</t>
  </si>
  <si>
    <t>HGV EPS</t>
  </si>
  <si>
    <t xml:space="preserve">Global System Rooms </t>
  </si>
  <si>
    <t>Hyatt</t>
  </si>
  <si>
    <t>Wyndham</t>
  </si>
  <si>
    <t>Accor</t>
  </si>
  <si>
    <t>Choice</t>
  </si>
  <si>
    <t>2016</t>
  </si>
  <si>
    <t>Globay System (# of rooms in thousands)</t>
  </si>
  <si>
    <t>3 Year Outlook (12/8/16 Investor Day)</t>
  </si>
  <si>
    <t>160k</t>
  </si>
  <si>
    <t>2017-2019 Total</t>
  </si>
  <si>
    <t>12/8/16 Investor Day Guidance</t>
  </si>
  <si>
    <t>$2.6-2.8B</t>
  </si>
  <si>
    <t>Total '17-19:</t>
  </si>
  <si>
    <t>12/8/16 Investor Day Guidance:</t>
  </si>
  <si>
    <t>$3.0-4.5B</t>
  </si>
  <si>
    <t>$3,677-3,853</t>
  </si>
  <si>
    <t>$1,498-1,661</t>
  </si>
  <si>
    <t>$2,045-2,210</t>
  </si>
  <si>
    <t>$2.31-2.87</t>
  </si>
  <si>
    <t>$1,817-1,880</t>
  </si>
  <si>
    <t>$1,575</t>
  </si>
  <si>
    <t>$444-466</t>
  </si>
  <si>
    <t>$203-216</t>
  </si>
  <si>
    <t>$160-176</t>
  </si>
  <si>
    <t>$170-186</t>
  </si>
  <si>
    <t>$383-409</t>
  </si>
  <si>
    <t>$390-415</t>
  </si>
  <si>
    <t xml:space="preserve">                </t>
  </si>
  <si>
    <t>Total Implied Net Debt</t>
  </si>
  <si>
    <t>2016 Gross Leverage Target</t>
  </si>
  <si>
    <t>2016 Net Leverage Target</t>
  </si>
  <si>
    <t>Total Cash</t>
  </si>
  <si>
    <t>Total Net Debt</t>
  </si>
  <si>
    <t>Investor Day</t>
  </si>
  <si>
    <t>*</t>
  </si>
  <si>
    <t>*$450m of non-recourse Timeshare Facility at HGV, and $250-300m of securitized debt at HGV</t>
  </si>
  <si>
    <t>Debt issuance / (repayment)</t>
  </si>
  <si>
    <t>Other revenues</t>
  </si>
  <si>
    <t>Other Revenue</t>
  </si>
  <si>
    <t>Pro Forma M&amp;F Fees</t>
  </si>
  <si>
    <t>Adj</t>
  </si>
  <si>
    <t>Base mgmt fees</t>
  </si>
  <si>
    <t>IMFs</t>
  </si>
  <si>
    <t>Total Mgmt fees</t>
  </si>
  <si>
    <t>Total M&amp;F fees</t>
  </si>
  <si>
    <t>Other M&amp;F revenue</t>
  </si>
  <si>
    <t>Gross M&amp;F fees</t>
  </si>
  <si>
    <t>Intersegment eliminations</t>
  </si>
  <si>
    <t>Net M&amp;F fees</t>
  </si>
  <si>
    <t>2016PF</t>
  </si>
  <si>
    <t>y/y growth</t>
  </si>
  <si>
    <t>Unconsolidated JV Debt</t>
  </si>
  <si>
    <t>Uncondolidated JV Debt</t>
  </si>
  <si>
    <t>Total Implied Net Debt (including JV / non-recourse)</t>
  </si>
  <si>
    <t>Difference (including JV / non-recourse)</t>
  </si>
  <si>
    <t>Incremental non-recourse debt at HGV</t>
  </si>
  <si>
    <t>Impact of 4Q debt transactions</t>
  </si>
  <si>
    <t>12/8/16 Investor Day</t>
  </si>
  <si>
    <t>Implied Multiples</t>
  </si>
  <si>
    <t>Share price</t>
  </si>
  <si>
    <t>2018E EBITDA</t>
  </si>
  <si>
    <t>EV / EBITDA</t>
  </si>
  <si>
    <t>PK</t>
  </si>
  <si>
    <t>Total Equity Value</t>
  </si>
  <si>
    <t>Prior Share Count</t>
  </si>
  <si>
    <t>Pre-Public EV/EBITDA</t>
  </si>
  <si>
    <t>2Q2013</t>
  </si>
  <si>
    <t>3Q2013</t>
  </si>
  <si>
    <t>4Q2013</t>
  </si>
  <si>
    <t>Equity</t>
  </si>
  <si>
    <t>(in $m)</t>
  </si>
  <si>
    <t>EV / EBITDA incl. Securitizations</t>
  </si>
  <si>
    <t xml:space="preserve">Owned &amp; leased </t>
  </si>
  <si>
    <t>Management &amp; Franchise fees</t>
  </si>
  <si>
    <t>G&amp;A (incl. stock-based comp)</t>
  </si>
  <si>
    <t>Stock price at spin (1/3/17)</t>
  </si>
  <si>
    <t>Performance post-spin</t>
  </si>
  <si>
    <t>BYVMW06</t>
  </si>
  <si>
    <t>Pro Forma Fee Summary</t>
  </si>
  <si>
    <t>$0.24-0.29</t>
  </si>
  <si>
    <t>380-400</t>
  </si>
  <si>
    <t>$150-200</t>
  </si>
  <si>
    <t>3Q16</t>
  </si>
  <si>
    <t>Pro Forma Managed Revenues (Calc)</t>
  </si>
  <si>
    <t>Pro Forma Base Management Fees</t>
  </si>
  <si>
    <t>Pro Forma Managed Room Rev (US)</t>
  </si>
  <si>
    <t>Pro Forma Managed Room Revs (Int'l)</t>
  </si>
  <si>
    <t>Pro Forma Incentive Management Fees</t>
  </si>
  <si>
    <t>Pro Forma Franchise Fees</t>
  </si>
  <si>
    <t>Canopy by Hilton</t>
  </si>
  <si>
    <t>Fess Parker's DoubleTree Resort Santa Barbara</t>
  </si>
  <si>
    <t>Other Debt</t>
  </si>
  <si>
    <t>4Q16</t>
  </si>
  <si>
    <t>Other Expense</t>
  </si>
  <si>
    <t xml:space="preserve">2016 RevPAR Growth </t>
  </si>
  <si>
    <t>$600m 4.875% senior notes due 2027</t>
  </si>
  <si>
    <t>$900m 4.625% senior notes due 2025</t>
  </si>
  <si>
    <t>2018 EV/
EBITDA</t>
  </si>
  <si>
    <t>16-18e
EBITDA
CAGR</t>
  </si>
  <si>
    <t>490-510</t>
  </si>
  <si>
    <t>$0.47-0.51</t>
  </si>
  <si>
    <t>Treasury Stock</t>
  </si>
  <si>
    <t>Senior secured term loan facility with rate of 2.98%, due 2023</t>
  </si>
  <si>
    <t>Capital lease obligations with avg rate of 6.34%, due 2021 to 2030</t>
  </si>
  <si>
    <t>System-wide as of 1Q17</t>
  </si>
  <si>
    <t>1Q17</t>
  </si>
  <si>
    <t>Implied total annual credit card contributions ($m)</t>
  </si>
  <si>
    <t>Co-brand credit card points sold ($m)</t>
  </si>
  <si>
    <t>Pro-rated annual points sold ($m)</t>
  </si>
  <si>
    <t>2014 # of loyalty members (m)</t>
  </si>
  <si>
    <t>2017 # of loyalty members (m)</t>
  </si>
  <si>
    <t>Implied annual branding fees ($m)</t>
  </si>
  <si>
    <t>Implied total co-brand credit card spend ($B)</t>
  </si>
  <si>
    <t>2017 Implied # of co-brand credit cardholders (m)</t>
  </si>
  <si>
    <t>2014 Implied # of co-brand credit cardholders (m)</t>
  </si>
  <si>
    <t>2014 Implied spend/co-brand cardholder ($)</t>
  </si>
  <si>
    <t>2017 Implied spend/co-brand cardholder ($)</t>
  </si>
  <si>
    <t>HLT parent branding fees ($m)</t>
  </si>
  <si>
    <t>HLT total card spend ($B)</t>
  </si>
  <si>
    <t>Contributions/total card spend (%)</t>
  </si>
  <si>
    <t>Branding Fees/total contributions (%)</t>
  </si>
  <si>
    <t>Total contributions ($m)</t>
  </si>
  <si>
    <t>Incremental Contributions Resulting from Higher Contribution Rate</t>
  </si>
  <si>
    <t>Incremental</t>
  </si>
  <si>
    <t>Contribution</t>
  </si>
  <si>
    <t>Branding Fee</t>
  </si>
  <si>
    <t>Citbank-Visa</t>
  </si>
  <si>
    <t>American Express</t>
  </si>
  <si>
    <t>Hilton Co-brand Credit Card Estimates (AXP &amp; C-V)</t>
  </si>
  <si>
    <t>MAR co-brand cardholders/loyalty members (%)</t>
  </si>
  <si>
    <t>Implied HLT co-brand cardholders (m)</t>
  </si>
  <si>
    <t>Implied HLT total contribution ($m)</t>
  </si>
  <si>
    <t>Implied HLT branding fees ($m)</t>
  </si>
  <si>
    <t>Based off of $25k spend/card of avg MAR cardholder</t>
  </si>
  <si>
    <t>MAR total co-brand contribution/card spend (%)</t>
  </si>
  <si>
    <t>MAR branding fees/total contributions (%)</t>
  </si>
  <si>
    <t>2017 HLT loyalty members (m)</t>
  </si>
  <si>
    <t>Implied HLT total co-brand card spend ($B)</t>
  </si>
  <si>
    <t>Assumed HLT total co-brand contribution/card spend (%)</t>
  </si>
  <si>
    <t>Incremental branding fees ($m)</t>
  </si>
  <si>
    <t>Incremental IMFs ($m)</t>
  </si>
  <si>
    <t>Diluted shares</t>
  </si>
  <si>
    <t>Base case value per share</t>
  </si>
  <si>
    <t>Bull case value per share</t>
  </si>
  <si>
    <t>HLT Potential Upside from Credit Card Renegotiations</t>
  </si>
  <si>
    <t>Assumed % of spend at HLT hotels</t>
  </si>
  <si>
    <t>Implied spend at HLT hotels ($B)</t>
  </si>
  <si>
    <t>Assumed current transaction fee (%)</t>
  </si>
  <si>
    <t>Implied current transaction fees ($m)</t>
  </si>
  <si>
    <t>Transaction Fee 
Scenarios</t>
  </si>
  <si>
    <t xml:space="preserve">MAR co-brand card spend/cardholder </t>
  </si>
  <si>
    <t>Total Fees</t>
  </si>
  <si>
    <t>Multiple for fees</t>
  </si>
  <si>
    <t>Incremental 
IMFs</t>
  </si>
  <si>
    <t>Savings to 
hotel owners</t>
  </si>
  <si>
    <t>Key Assumptions for Branding Fees</t>
  </si>
  <si>
    <t>Key Assumptions for IMFs</t>
  </si>
  <si>
    <t>Current Co-Brand Card Spend</t>
  </si>
  <si>
    <t>Total System Spend</t>
  </si>
  <si>
    <t>Current Contributions to System</t>
  </si>
  <si>
    <t>Estimated Single CC Mix</t>
  </si>
  <si>
    <t>Contribution % of Spend</t>
  </si>
  <si>
    <t>Current Single CC Spend</t>
  </si>
  <si>
    <t>Est. Transaction Fee %</t>
  </si>
  <si>
    <t>Branding Fees % Contribution</t>
  </si>
  <si>
    <t>Est. Transaction Fees</t>
  </si>
  <si>
    <t>Incentive Mgmt Fee Rate</t>
  </si>
  <si>
    <t>HLT Branding Fees</t>
  </si>
  <si>
    <t>Bull Case (Contribution rate 3.5%; Txn Fee 1.0%)</t>
  </si>
  <si>
    <t>Base Case (Contribution rate 2.75%; Txn Fee 1.5%)</t>
  </si>
  <si>
    <t>Owned Mix</t>
  </si>
  <si>
    <t>Managed Rooms</t>
  </si>
  <si>
    <t>Franchise Rooms</t>
  </si>
  <si>
    <t>Managed Mix</t>
  </si>
  <si>
    <t>Base case value from fees</t>
  </si>
  <si>
    <t>Bull case value from fees</t>
  </si>
  <si>
    <t>Owned hotel expense savings ($m)</t>
  </si>
  <si>
    <t>Owned multiple</t>
  </si>
  <si>
    <t>Base case value from owned hotels</t>
  </si>
  <si>
    <t>Total incremental value</t>
  </si>
  <si>
    <t>Bull case value from owned hotels</t>
  </si>
  <si>
    <t>Current co-brand card contribution ($m)</t>
  </si>
  <si>
    <t xml:space="preserve">Total Contribution </t>
  </si>
  <si>
    <t>Current co-brand card branding fees ($m)</t>
  </si>
  <si>
    <t>Branding Fees</t>
  </si>
  <si>
    <t>DAL % of
Billings</t>
  </si>
  <si>
    <t>DAL Co-brand
Spend ($B)</t>
  </si>
  <si>
    <t>DAL-AXP Co-brand Contribution ($B)</t>
  </si>
  <si>
    <t>Co-brand 
Contribution (%)</t>
  </si>
  <si>
    <t>Incremental contribution ($m)</t>
  </si>
  <si>
    <t>Co-brand card: HLT Bull Case at 3.5%</t>
  </si>
  <si>
    <t>Co-brand card: HLT Base Case at 2.75%</t>
  </si>
  <si>
    <t>DO NOT DELETE</t>
  </si>
  <si>
    <t>Txn Fee</t>
  </si>
  <si>
    <t>Base Case Drivers</t>
  </si>
  <si>
    <t>Bull Case Drivers</t>
  </si>
  <si>
    <t>Contribution (%)</t>
  </si>
  <si>
    <t>EBITDA Margin</t>
  </si>
  <si>
    <t>2016 Loyalty contribution</t>
  </si>
  <si>
    <t>Spend / trip</t>
  </si>
  <si>
    <t>2016 Total system spend ($m)</t>
  </si>
  <si>
    <t>2016 Loyalty members (m, avg)</t>
  </si>
  <si>
    <t>Total system spend by loyalists</t>
  </si>
  <si>
    <t>Total incremental system revenue</t>
  </si>
  <si>
    <t>Revenue benefit from loyalty member growth</t>
  </si>
  <si>
    <t>Incremental loyalty members / year</t>
  </si>
  <si>
    <t>Annual
Loyalty Member Growth (mm)</t>
  </si>
  <si>
    <t>Less: increased distribution costs</t>
  </si>
  <si>
    <t>Total net incremental revenue</t>
  </si>
  <si>
    <t>Industry Loyalty Spend</t>
  </si>
  <si>
    <t>Chainscale Breakdown</t>
  </si>
  <si>
    <t>Loyalty</t>
  </si>
  <si>
    <t>Total US rooms (avg)</t>
  </si>
  <si>
    <t>Rev ($mm)</t>
  </si>
  <si>
    <t>Loyalty contribution</t>
  </si>
  <si>
    <t>US room revenue ($mm)</t>
  </si>
  <si>
    <t>Loyalty member premium</t>
  </si>
  <si>
    <t>Loyalty member room nights</t>
  </si>
  <si>
    <t>Implied RevPAR from loyalty members</t>
  </si>
  <si>
    <t>Increased loyalty penetration</t>
  </si>
  <si>
    <t>Incremental loyalty room nights</t>
  </si>
  <si>
    <t>Loyalty RevPAR</t>
  </si>
  <si>
    <t>Revenue from loyalty members ($mm)</t>
  </si>
  <si>
    <t>Incremental revenue ($mm)</t>
  </si>
  <si>
    <t>Avg trips per member</t>
  </si>
  <si>
    <t>% Change</t>
  </si>
  <si>
    <t>Annual Trips per New Loyalty Member</t>
  </si>
  <si>
    <t>New loyalty member trips</t>
  </si>
  <si>
    <t>Incremental loyalty member trip</t>
  </si>
  <si>
    <t>HLT Loyalty Sensitivity</t>
  </si>
  <si>
    <t>2Q17</t>
  </si>
  <si>
    <t>Tru by Hilton</t>
  </si>
  <si>
    <t>Tapestry Collection by Hilton</t>
  </si>
  <si>
    <t>8-10%</t>
  </si>
  <si>
    <t>0-2%</t>
  </si>
  <si>
    <t>% Booked</t>
  </si>
  <si>
    <t>Group Pace - Current Year</t>
  </si>
  <si>
    <t>Quite strong</t>
  </si>
  <si>
    <t>Group RevPAR</t>
  </si>
  <si>
    <t>2-3%</t>
  </si>
  <si>
    <t>Leisure RevPAR</t>
  </si>
  <si>
    <t>Business Transient RevPAR</t>
  </si>
  <si>
    <t>Up Slightly</t>
  </si>
  <si>
    <t>LSD</t>
  </si>
  <si>
    <t>Group Position - Next Year</t>
  </si>
  <si>
    <t>MSD</t>
  </si>
  <si>
    <t>&gt;8%</t>
  </si>
  <si>
    <t>Mid-HSD</t>
  </si>
  <si>
    <t>HSD</t>
  </si>
  <si>
    <t>Meaningfully ahead of this year</t>
  </si>
  <si>
    <t>Remains Positive</t>
  </si>
  <si>
    <t>1Q18E</t>
  </si>
  <si>
    <t>2Q18E</t>
  </si>
  <si>
    <t>3Q18E</t>
  </si>
  <si>
    <t>4Q18E</t>
  </si>
  <si>
    <t>YE17</t>
  </si>
  <si>
    <t>YE18</t>
  </si>
  <si>
    <t>453-473</t>
  </si>
  <si>
    <t>1,920-1,940</t>
  </si>
  <si>
    <t>$0.41-0.45</t>
  </si>
  <si>
    <t>$1.87-1.91</t>
  </si>
  <si>
    <t>Stock price before announcement (2/24/16)</t>
  </si>
  <si>
    <t>Performance post announcement</t>
  </si>
  <si>
    <t>81</t>
  </si>
  <si>
    <t>3Q17</t>
  </si>
  <si>
    <t>AXP Total Billings ($B)</t>
  </si>
  <si>
    <t>Combined</t>
  </si>
  <si>
    <t>4Q17A</t>
  </si>
  <si>
    <t>2017A</t>
  </si>
  <si>
    <t>Deferral of application, initiation and other fees</t>
  </si>
  <si>
    <t>Constrained revenue</t>
  </si>
  <si>
    <t>Company Adjusted EBITDA post ASU 2014-09</t>
  </si>
  <si>
    <t>Less: Amortization of contract acquisition costs</t>
  </si>
  <si>
    <t>Base Management Fees, reflecting ASU 2014-09</t>
  </si>
  <si>
    <t>Incentive Management Fees, reflecting ASU 2014-09</t>
  </si>
  <si>
    <t>Amortization of contract acquisition costs</t>
  </si>
  <si>
    <t>Franchise Fees, reflecting ASU 2014-09</t>
  </si>
  <si>
    <t>Pro Forma for Spin</t>
  </si>
  <si>
    <t>Pro Forma for ASU 2014-09</t>
  </si>
  <si>
    <t>$2.49-2.60</t>
  </si>
  <si>
    <t>$0.43-0.47</t>
  </si>
  <si>
    <t>410-430</t>
  </si>
  <si>
    <t>2,030-2,080</t>
  </si>
  <si>
    <t>$175-200</t>
  </si>
  <si>
    <t xml:space="preserve">$83.18 </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</si>
  <si>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</si>
  <si>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</si>
  <si>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</si>
  <si>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</si>
  <si>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</si>
  <si>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</si>
  <si>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Thomas Allen, Mark Savino</t>
  </si>
  <si>
    <t>Date: 14 Feb 2018</t>
  </si>
  <si>
    <t>Ticker: HLT.N</t>
  </si>
  <si>
    <t>Stock Rating: Equal-Weight</t>
  </si>
  <si>
    <t>Industry: Gaming &amp; Lodging</t>
  </si>
  <si>
    <t>Industry View: In-Line</t>
  </si>
  <si>
    <t>Price as of 14 Feb 2018: 85.95</t>
  </si>
  <si>
    <t>Target Price: 84</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</si>
  <si>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</si>
  <si>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</si>
  <si>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</si>
  <si>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</si>
  <si>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Hilton Worldwide Holdings Inc.</t>
  </si>
  <si>
    <t>STOCK RATINGS</t>
  </si>
  <si>
    <t>Global Stock Ratings Distribution</t>
  </si>
  <si>
    <t>(as of January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</si>
  <si>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</si>
  <si>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</si>
  <si>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</si>
  <si>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</si>
  <si>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</si>
  <si>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</si>
  <si>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</si>
  <si>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</si>
  <si>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</si>
  <si>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</si>
  <si>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</si>
  <si>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</si>
  <si>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</si>
  <si>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</si>
  <si>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</si>
  <si>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</si>
  <si>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</si>
  <si>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</si>
  <si>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</si>
  <si>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</si>
  <si>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</si>
  <si>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</si>
  <si>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</si>
  <si>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</si>
  <si>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</si>
  <si>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</si>
  <si>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</si>
  <si>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</si>
  <si>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</si>
  <si>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</si>
  <si>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</si>
  <si>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</si>
  <si>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</si>
  <si>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</si>
  <si>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</si>
  <si>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</si>
  <si>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</si>
  <si>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</si>
  <si>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</si>
  <si>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</si>
  <si>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</si>
  <si>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</si>
  <si>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</si>
  <si>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</si>
  <si>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</si>
  <si>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</si>
  <si>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</si>
  <si>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</si>
  <si>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</si>
  <si>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</si>
  <si>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</si>
  <si>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</si>
  <si>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</si>
  <si>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</si>
  <si>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</si>
  <si>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</si>
  <si>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</si>
  <si>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</si>
  <si>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</si>
  <si>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</si>
  <si>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</si>
  <si>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</si>
  <si>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</si>
  <si>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</si>
  <si>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</si>
  <si>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</si>
  <si>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</si>
  <si>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</si>
  <si>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</si>
  <si>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</si>
  <si>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</si>
  <si>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</si>
  <si>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</si>
  <si>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</si>
  <si>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</si>
  <si>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</si>
  <si>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</si>
  <si>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</si>
  <si>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</si>
  <si>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</si>
  <si>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</si>
  <si>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</si>
  <si>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</si>
  <si>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</si>
  <si>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</si>
  <si>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</si>
  <si>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</si>
  <si>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</si>
  <si>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</si>
  <si>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</si>
  <si>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</si>
  <si>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</si>
  <si>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</si>
  <si>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</si>
  <si>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</si>
  <si>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</si>
  <si>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</si>
  <si>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</si>
  <si>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</si>
  <si>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</si>
  <si>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</si>
  <si>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</si>
  <si>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</si>
  <si>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</si>
  <si>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</si>
  <si>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</si>
  <si>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</si>
  <si>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</si>
  <si>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</si>
  <si>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</si>
  <si>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</si>
  <si>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</si>
  <si>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</si>
  <si>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</si>
  <si>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</si>
  <si>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</si>
  <si>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</si>
  <si>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</si>
  <si>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</si>
  <si>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</si>
  <si>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</si>
  <si>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</si>
  <si>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</si>
  <si>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</si>
  <si>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</si>
  <si>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</si>
  <si>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</si>
  <si>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</si>
  <si>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</si>
  <si>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</si>
  <si>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</si>
  <si>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</si>
  <si>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</si>
  <si>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</si>
  <si>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</si>
  <si>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</si>
  <si>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</si>
  <si>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</si>
  <si>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</si>
  <si>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</si>
  <si>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</si>
  <si>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</si>
  <si>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</si>
  <si>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</si>
  <si>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</si>
  <si>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</si>
  <si>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</si>
  <si>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</si>
  <si>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</si>
  <si>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</si>
  <si>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</si>
  <si>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</si>
  <si>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</si>
  <si>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</si>
  <si>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</si>
  <si>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</si>
  <si>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</si>
  <si>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</si>
  <si>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</si>
  <si>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</si>
  <si>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</si>
  <si>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</si>
  <si>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</si>
  <si>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</si>
  <si>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</si>
  <si>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</si>
  <si>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</si>
  <si>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</si>
  <si>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</si>
  <si>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</si>
  <si>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</si>
  <si>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</si>
  <si>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</si>
  <si>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</si>
  <si>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</si>
  <si>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</si>
  <si>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</si>
  <si>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</si>
  <si>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</si>
  <si>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</si>
  <si>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</si>
  <si>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</si>
  <si>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</si>
  <si>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</si>
  <si>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</si>
  <si>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</si>
  <si>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</si>
  <si>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</si>
  <si>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</si>
  <si>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</si>
  <si>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</si>
  <si>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</si>
  <si>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</si>
  <si>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</si>
  <si>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</si>
  <si>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</si>
  <si>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</si>
  <si>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</si>
  <si>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</si>
  <si>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</si>
  <si>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</si>
  <si>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</si>
  <si>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</si>
  <si>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</si>
  <si>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</si>
  <si>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</si>
  <si>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</si>
  <si>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</si>
  <si>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</si>
  <si>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</si>
  <si>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</si>
  <si>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</si>
  <si>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</si>
  <si>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</si>
  <si>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</si>
  <si>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</si>
  <si>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</si>
  <si>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</si>
  <si>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</si>
  <si>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</si>
  <si>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</si>
  <si>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</si>
  <si>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</si>
  <si>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</si>
  <si>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</si>
  <si>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</si>
  <si>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</si>
  <si>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</si>
  <si>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</si>
  <si>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</si>
  <si>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</si>
  <si>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</si>
  <si>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</si>
  <si>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</si>
  <si>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</si>
  <si>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</si>
  <si>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</si>
  <si>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</si>
  <si>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Hilton Worldwide Holdings Inc.</t>
  </si>
  <si>
    <t>Within the last 12 months, Morgan Stanley has provided or is providing investment banking services to,</t>
  </si>
  <si>
    <t>or has an investment banking client relationship with, the following company: Hilton Worldwide Holdings</t>
  </si>
  <si>
    <t>Inc.</t>
  </si>
  <si>
    <t>Within the last 12 months, Morgan Stanley has received compensation for products and services other than</t>
  </si>
  <si>
    <t>investment banking services from Hilton Worldwide Holdings Inc.</t>
  </si>
  <si>
    <t>In the next 3 months, Morgan Stanley expects to receive or intends to seek compensation for investment</t>
  </si>
  <si>
    <t>banking services from Hilton Worldwide Holdings Inc.</t>
  </si>
  <si>
    <t>Within the last 12 months, Morgan Stanley has received compensation for investment banking services from</t>
  </si>
  <si>
    <t>Hilton Worldwide Holdings Inc.</t>
  </si>
  <si>
    <t>Within the last 12 months, Morgan Stanley managed or co-managed a public offering (or 144A offering) of</t>
  </si>
  <si>
    <t>securities of Hilton Worldwide Holdings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</si>
  <si>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</si>
  <si>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</si>
  <si>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</si>
  <si>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</si>
  <si>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</si>
  <si>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Thomas Allen.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</si>
  <si>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</si>
  <si>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</si>
  <si>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</si>
  <si>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</si>
  <si>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</si>
  <si>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</si>
  <si>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</si>
  <si>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</si>
  <si>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</si>
  <si>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</si>
  <si>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</si>
  <si>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</si>
  <si>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</si>
  <si>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</si>
  <si>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</si>
  <si>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</si>
  <si>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</si>
  <si>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</si>
  <si>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</si>
  <si>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</si>
  <si>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Equal-Weight / In-Line</t>
  </si>
  <si>
    <t>43300A203</t>
  </si>
  <si>
    <t>L:\GAMING\Lodging\Models\Old\Hilton WIP_021418.xlsm</t>
  </si>
  <si>
    <t>[DOCDAT 2018-02-14]</t>
  </si>
  <si>
    <t>[DOCTIME 16:04]</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</si>
  <si>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</si>
  <si>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</si>
  <si>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</si>
  <si>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</si>
  <si>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</si>
  <si>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</si>
  <si>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</si>
  <si>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</si>
  <si>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</si>
  <si>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__FDSCACHE__</t>
  </si>
  <si>
    <t>ImportantDisclosures</t>
  </si>
  <si>
    <t>SheetVisibilityStatus</t>
  </si>
  <si>
    <t>CircularReferenceAlert</t>
  </si>
  <si>
    <t>EBITDA Val</t>
  </si>
  <si>
    <t>QTR Rooms</t>
  </si>
  <si>
    <t>PT Impact</t>
  </si>
  <si>
    <t>Owned Assets Spun Out</t>
  </si>
  <si>
    <t>Timeshare Assets Spun Out</t>
  </si>
  <si>
    <t>Exhibits 3</t>
  </si>
  <si>
    <t>Owned Hotels Spinoff</t>
  </si>
  <si>
    <t>Exhibits2</t>
  </si>
  <si>
    <t>Price per key</t>
  </si>
  <si>
    <t>Price per key - REIT</t>
  </si>
  <si>
    <t>Waldorf</t>
  </si>
  <si>
    <t>MW-Cache</t>
  </si>
  <si>
    <t>RevPAR_Comp</t>
  </si>
  <si>
    <t>Exhibits</t>
  </si>
  <si>
    <t>Chart1</t>
  </si>
  <si>
    <t>Bear_to_Bull_Data</t>
  </si>
  <si>
    <t>CompSheetOutput</t>
  </si>
  <si>
    <t>OLD Valuation</t>
  </si>
  <si>
    <t>IndexInformation</t>
  </si>
  <si>
    <t>ModPubIndex</t>
  </si>
  <si>
    <t>Model Instructions</t>
  </si>
  <si>
    <t>Model_Template</t>
  </si>
  <si>
    <t>mStartup</t>
  </si>
</sst>
</file>

<file path=xl/styles.xml><?xml version="1.0" encoding="utf-8"?>
<styleSheet xmlns="http://schemas.openxmlformats.org/spreadsheetml/2006/main" xmlns:mc="http://schemas.openxmlformats.org/markup-compatibility/2006" xmlns:x14ac="http://schemas.microsoft.com/office/spreadsheetml/2009/9/ac" mc:Ignorable="x14ac">
  <numFmts count="58">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_);\(0\)"/>
    <numFmt numFmtId="169" formatCode="0.0%"/>
    <numFmt numFmtId="170" formatCode="#,##0.0_);\(#,##0.0\)"/>
    <numFmt numFmtId="171" formatCode="#,##0.000_);\(#,##0.000\)"/>
    <numFmt numFmtId="172" formatCode="&quot;$&quot;#,##0.0_);\(&quot;$&quot;#,##0.0\)"/>
    <numFmt numFmtId="173" formatCode="&quot;$&quot;#,##0"/>
    <numFmt numFmtId="174" formatCode="#,##0.0"/>
    <numFmt numFmtId="175" formatCode="0.0\x"/>
    <numFmt numFmtId="176" formatCode="_(* #,##0_);_(* \(#,##0\);_(* &quot;-&quot;??_);_(@_)"/>
    <numFmt numFmtId="177" formatCode="m/d/yy;@"/>
    <numFmt numFmtId="178" formatCode="0.0"/>
    <numFmt numFmtId="179" formatCode="#,##0.000000"/>
    <numFmt numFmtId="180" formatCode="#,##0.0000000"/>
    <numFmt numFmtId="181" formatCode="#,##0.000000000"/>
    <numFmt numFmtId="182" formatCode="0.00_);\(0.00\)"/>
    <numFmt numFmtId="183" formatCode="[$-409]mmm\-yy;@"/>
    <numFmt numFmtId="184" formatCode="_(* #,##0.0_);_(* \(#,##0.0\);_(* &quot;-&quot;_);_(@_)"/>
    <numFmt numFmtId="185" formatCode="_(* #,##0.00_);_(* \(#,##0.00\);_(* &quot;-&quot;_);_(@_)"/>
    <numFmt numFmtId="186" formatCode="_(* #,##0_);_(* \(#,##0\);_(* &quot;-&quot;?_);_(@_)"/>
    <numFmt numFmtId="187" formatCode="_(* #,##0.000_);_(* \(#,##0.000\);_(* &quot;-&quot;_);_(@_)"/>
    <numFmt numFmtId="188" formatCode="0.0&quot;x&quot;"/>
    <numFmt numFmtId="189" formatCode="&quot;$&quot;#,##0.0000_);\(&quot;$&quot;#,##0.0000\)"/>
    <numFmt numFmtId="190" formatCode="0.000%"/>
    <numFmt numFmtId="191" formatCode="#,##0.0000_);\(#,##0.0000\)"/>
    <numFmt numFmtId="192" formatCode="_(* #,##0.0000_);_(* \(#,##0.0000\);_(* &quot;-&quot;_);_(@_)"/>
    <numFmt numFmtId="193" formatCode="_(* #,##0_);_(* \(#,##0\);_(* &quot;-&quot;???_);_(@_)"/>
    <numFmt numFmtId="194" formatCode="0_)"/>
    <numFmt numFmtId="195" formatCode="&quot;$&quot;#,##0.00"/>
    <numFmt numFmtId="196" formatCode="#,##0.00000_);\(#,##0.00000\)"/>
    <numFmt numFmtId="197" formatCode="#,##0.0000000_);\(#,##0.0000000\)"/>
    <numFmt numFmtId="198" formatCode="[$€-2]\ #,##0_);\([$€-2]\ #,##0\)"/>
    <numFmt numFmtId="199" formatCode="_(* #,##0.000_);_(* \(#,##0.000\);_(* &quot;-&quot;??_);_(@_)"/>
    <numFmt numFmtId="200" formatCode="\£\ #,##0_);[Red]\(\£\ #,##0\)"/>
    <numFmt numFmtId="201" formatCode="\¥\ #,##0_);[Red]\(\¥\ #,##0\)"/>
    <numFmt numFmtId="202" formatCode="\•\ \ @"/>
    <numFmt numFmtId="203" formatCode="\ \ _•\–\ \ \ \ @"/>
    <numFmt numFmtId="204" formatCode="0.00_)"/>
    <numFmt numFmtId="205" formatCode="_(* #,##0.00000000_);_(* \(#,##0.00000000\);_(* &quot;-&quot;?_);_(@_)"/>
    <numFmt numFmtId="206" formatCode="0&quot;x&quot;"/>
    <numFmt numFmtId="207" formatCode="#,##0.000"/>
    <numFmt numFmtId="208" formatCode="0.0&quot;x&quot;_)"/>
    <numFmt numFmtId="209" formatCode="0&quot;E&quot;"/>
    <numFmt numFmtId="213" formatCode="0.00&quot;x&quot;_)"/>
    <numFmt numFmtId="214" formatCode="&quot;$&quot;#,##0.0"/>
    <numFmt numFmtId="215" formatCode="00.0\x"/>
    <numFmt numFmtId="216" formatCode="#,##0.0;\-#,##0.0"/>
    <numFmt numFmtId="222" formatCode="mm/dd/yy\ hh:mm"/>
  </numFmts>
  <fonts count="198">
    <font>
      <sz val="12"/>
      <name val="Times New Roman"/>
    </font>
    <font>
      <sz val="10"/>
      <name val="Arial"/>
      <family val="2"/>
    </font>
    <font>
      <sz val="12"/>
      <name val="Times New Roman"/>
      <family val="1"/>
    </font>
    <font>
      <sz val="8"/>
      <name val="Arial"/>
      <family val="2"/>
    </font>
    <font>
      <sz val="8"/>
      <color indexed="81"/>
      <name val="Tahoma"/>
      <family val="2"/>
    </font>
    <font>
      <sz val="10"/>
      <name val="Arial"/>
      <family val="2"/>
    </font>
    <font>
      <u/>
      <sz val="9"/>
      <color indexed="12"/>
      <name val="Times New Roman"/>
      <family val="1"/>
    </font>
    <font>
      <sz val="10"/>
      <color indexed="10"/>
      <name val="Arial"/>
      <family val="2"/>
    </font>
    <font>
      <sz val="10"/>
      <color indexed="12"/>
      <name val="Arial"/>
      <family val="2"/>
    </font>
    <font>
      <b/>
      <sz val="10"/>
      <name val="Arial"/>
      <family val="2"/>
    </font>
    <font>
      <b/>
      <sz val="8"/>
      <color indexed="81"/>
      <name val="Tahoma"/>
      <family val="2"/>
    </font>
    <font>
      <b/>
      <sz val="12"/>
      <name val="Times New Roman"/>
      <family val="1"/>
    </font>
    <font>
      <sz val="8"/>
      <name val="Times New Roman"/>
      <family val="1"/>
    </font>
    <font>
      <b/>
      <sz val="8"/>
      <name val="Arial"/>
      <family val="2"/>
    </font>
    <font>
      <sz val="8"/>
      <name val="Arial"/>
      <family val="2"/>
    </font>
    <font>
      <u/>
      <sz val="10"/>
      <name val="Arial"/>
      <family val="2"/>
    </font>
    <font>
      <i/>
      <u/>
      <sz val="10"/>
      <name val="Arial"/>
      <family val="2"/>
    </font>
    <font>
      <b/>
      <sz val="8"/>
      <color indexed="10"/>
      <name val="Arial"/>
      <family val="2"/>
    </font>
    <font>
      <i/>
      <sz val="8"/>
      <name val="Arial"/>
      <family val="2"/>
    </font>
    <font>
      <b/>
      <i/>
      <sz val="8"/>
      <color indexed="10"/>
      <name val="Arial"/>
      <family val="2"/>
    </font>
    <font>
      <b/>
      <i/>
      <sz val="8"/>
      <name val="Arial"/>
      <family val="2"/>
    </font>
    <font>
      <sz val="8"/>
      <color indexed="10"/>
      <name val="Arial"/>
      <family val="2"/>
    </font>
    <font>
      <b/>
      <sz val="8"/>
      <color indexed="12"/>
      <name val="Arial"/>
      <family val="2"/>
    </font>
    <font>
      <b/>
      <sz val="8"/>
      <color indexed="14"/>
      <name val="Arial"/>
      <family val="2"/>
    </font>
    <font>
      <sz val="8"/>
      <color indexed="44"/>
      <name val="Arial"/>
      <family val="2"/>
    </font>
    <font>
      <i/>
      <sz val="10"/>
      <name val="Arial"/>
      <family val="2"/>
    </font>
    <font>
      <sz val="10"/>
      <color indexed="17"/>
      <name val="Arial"/>
      <family val="2"/>
    </font>
    <font>
      <b/>
      <sz val="10"/>
      <color indexed="17"/>
      <name val="Arial"/>
      <family val="2"/>
    </font>
    <font>
      <b/>
      <sz val="10"/>
      <color indexed="12"/>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2"/>
      <name val="Arial"/>
      <family val="2"/>
    </font>
    <font>
      <b/>
      <u/>
      <sz val="8"/>
      <color indexed="12"/>
      <name val="Arial"/>
      <family val="2"/>
    </font>
    <font>
      <sz val="10"/>
      <color indexed="8"/>
      <name val="Arial"/>
      <family val="2"/>
    </font>
    <font>
      <b/>
      <sz val="10"/>
      <color indexed="8"/>
      <name val="Arial"/>
      <family val="2"/>
    </font>
    <font>
      <b/>
      <u/>
      <sz val="10"/>
      <name val="Arial"/>
      <family val="2"/>
    </font>
    <font>
      <u/>
      <sz val="10"/>
      <color indexed="12"/>
      <name val="Arial"/>
      <family val="2"/>
    </font>
    <font>
      <u/>
      <sz val="10"/>
      <color indexed="10"/>
      <name val="Arial"/>
      <family val="2"/>
    </font>
    <font>
      <b/>
      <sz val="10"/>
      <color indexed="10"/>
      <name val="Arial"/>
      <family val="2"/>
    </font>
    <font>
      <u/>
      <sz val="10"/>
      <color indexed="8"/>
      <name val="Arial"/>
      <family val="2"/>
    </font>
    <font>
      <i/>
      <sz val="10"/>
      <color indexed="12"/>
      <name val="Arial"/>
      <family val="2"/>
    </font>
    <font>
      <i/>
      <sz val="10"/>
      <color indexed="8"/>
      <name val="Arial"/>
      <family val="2"/>
    </font>
    <font>
      <i/>
      <sz val="10"/>
      <color indexed="10"/>
      <name val="Arial"/>
      <family val="2"/>
    </font>
    <font>
      <b/>
      <u/>
      <sz val="10"/>
      <color indexed="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16"/>
      <name val="Arial"/>
      <family val="2"/>
    </font>
    <font>
      <u/>
      <sz val="10"/>
      <color indexed="16"/>
      <name val="Arial"/>
      <family val="2"/>
    </font>
    <font>
      <sz val="10"/>
      <color indexed="8"/>
      <name val="MS Sans Serif"/>
      <family val="2"/>
    </font>
    <font>
      <sz val="10"/>
      <name val="Tahoma"/>
      <family val="2"/>
    </font>
    <font>
      <sz val="10"/>
      <color indexed="2"/>
      <name val="Tahoma"/>
      <family val="2"/>
    </font>
    <font>
      <b/>
      <sz val="10"/>
      <color indexed="0"/>
      <name val="Tahoma"/>
      <family val="2"/>
    </font>
    <font>
      <b/>
      <i/>
      <sz val="10"/>
      <color indexed="4"/>
      <name val="Tahoma"/>
      <family val="2"/>
    </font>
    <font>
      <sz val="10"/>
      <color indexed="4"/>
      <name val="Tahoma"/>
      <family val="2"/>
    </font>
    <font>
      <i/>
      <sz val="10"/>
      <color indexed="16"/>
      <name val="Arial"/>
      <family val="2"/>
    </font>
    <font>
      <u val="singleAccounting"/>
      <sz val="10"/>
      <color indexed="12"/>
      <name val="Arial"/>
      <family val="2"/>
    </font>
    <font>
      <i/>
      <sz val="10"/>
      <color indexed="17"/>
      <name val="Arial"/>
      <family val="2"/>
    </font>
    <font>
      <b/>
      <sz val="10"/>
      <color indexed="16"/>
      <name val="Arial"/>
      <family val="2"/>
    </font>
    <font>
      <u val="singleAccounting"/>
      <sz val="10"/>
      <name val="Arial"/>
      <family val="2"/>
    </font>
    <font>
      <sz val="10"/>
      <color indexed="9"/>
      <name val="Arial"/>
      <family val="2"/>
    </font>
    <font>
      <b/>
      <sz val="10"/>
      <color indexed="9"/>
      <name val="Arial"/>
      <family val="2"/>
    </font>
    <font>
      <sz val="10"/>
      <color indexed="18"/>
      <name val="Arial"/>
      <family val="2"/>
    </font>
    <font>
      <b/>
      <sz val="10"/>
      <color indexed="18"/>
      <name val="Arial"/>
      <family val="2"/>
    </font>
    <font>
      <sz val="9"/>
      <color indexed="81"/>
      <name val="Tahoma"/>
      <family val="2"/>
    </font>
    <font>
      <b/>
      <sz val="9"/>
      <color indexed="81"/>
      <name val="Tahoma"/>
      <family val="2"/>
    </font>
    <font>
      <b/>
      <i/>
      <sz val="10"/>
      <name val="Arial"/>
      <family val="2"/>
    </font>
    <font>
      <sz val="10"/>
      <color indexed="10"/>
      <name val="Arial"/>
      <family val="2"/>
    </font>
    <font>
      <sz val="10"/>
      <color indexed="24"/>
      <name val="Arial"/>
      <family val="2"/>
    </font>
    <font>
      <sz val="8"/>
      <name val="Times New Roman"/>
      <family val="1"/>
    </font>
    <font>
      <sz val="10"/>
      <name val="Arial"/>
      <family val="2"/>
    </font>
    <font>
      <sz val="10"/>
      <name val="MS Sans Serif"/>
      <family val="2"/>
    </font>
    <font>
      <b/>
      <sz val="10"/>
      <color indexed="8"/>
      <name val="Times New Roman"/>
      <family val="1"/>
    </font>
    <font>
      <sz val="10"/>
      <color indexed="8"/>
      <name val="Times New Roman"/>
      <family val="1"/>
    </font>
    <font>
      <b/>
      <u/>
      <sz val="8"/>
      <color indexed="10"/>
      <name val="Arial"/>
      <family val="2"/>
    </font>
    <font>
      <b/>
      <sz val="8"/>
      <color indexed="17"/>
      <name val="Arial"/>
      <family val="2"/>
    </font>
    <font>
      <sz val="10"/>
      <color indexed="10"/>
      <name val="Arial"/>
      <family val="2"/>
    </font>
    <font>
      <sz val="10"/>
      <color indexed="24"/>
      <name val="Arial"/>
      <family val="2"/>
    </font>
    <font>
      <sz val="8"/>
      <name val="Times New Roman"/>
      <family val="1"/>
    </font>
    <font>
      <sz val="10"/>
      <name val="Arial"/>
      <family val="2"/>
    </font>
    <font>
      <sz val="10"/>
      <color indexed="24"/>
      <name val="Arial"/>
      <family val="2"/>
    </font>
    <font>
      <sz val="10"/>
      <name val="Times New Roman"/>
      <family val="1"/>
    </font>
    <font>
      <sz val="8"/>
      <color indexed="12"/>
      <name val="Tms Rmn"/>
      <family val="1"/>
    </font>
    <font>
      <sz val="8"/>
      <name val="Helvetica-Narrow"/>
      <family val="2"/>
    </font>
    <font>
      <sz val="10"/>
      <color indexed="18"/>
      <name val="Times New Roman"/>
      <family val="1"/>
    </font>
    <font>
      <sz val="11"/>
      <color indexed="12"/>
      <name val="Book Antiqua"/>
      <family val="1"/>
    </font>
    <font>
      <sz val="8"/>
      <name val="Helv"/>
    </font>
    <font>
      <b/>
      <i/>
      <sz val="16"/>
      <name val="Helv"/>
    </font>
    <font>
      <sz val="7"/>
      <name val="Helvetica"/>
      <family val="2"/>
    </font>
    <font>
      <b/>
      <sz val="8"/>
      <color indexed="18"/>
      <name val="Times New Roman"/>
      <family val="1"/>
    </font>
    <font>
      <b/>
      <sz val="10"/>
      <name val="MS Sans Serif"/>
      <family val="2"/>
    </font>
    <font>
      <sz val="10"/>
      <name val="Arial"/>
      <family val="2"/>
    </font>
    <font>
      <sz val="10"/>
      <color indexed="8"/>
      <name val="Arial"/>
      <family val="2"/>
    </font>
    <font>
      <sz val="10"/>
      <color indexed="63"/>
      <name val="Arial"/>
      <family val="2"/>
    </font>
    <font>
      <u/>
      <sz val="10"/>
      <color indexed="12"/>
      <name val="Arial"/>
      <family val="2"/>
    </font>
    <font>
      <sz val="10"/>
      <color indexed="30"/>
      <name val="Arial"/>
      <family val="2"/>
    </font>
    <font>
      <sz val="10"/>
      <color indexed="60"/>
      <name val="Arial"/>
      <family val="2"/>
    </font>
    <font>
      <sz val="8"/>
      <name val="Times New Roman"/>
      <family val="1"/>
    </font>
    <font>
      <sz val="10"/>
      <name val="Arial"/>
      <family val="2"/>
    </font>
    <font>
      <sz val="10"/>
      <name val="MS Sans Serif"/>
      <family val="2"/>
    </font>
    <font>
      <b/>
      <sz val="10"/>
      <color indexed="8"/>
      <name val="Times New Roman"/>
      <family val="1"/>
    </font>
    <font>
      <sz val="10"/>
      <color indexed="8"/>
      <name val="Times New Roman"/>
      <family val="1"/>
    </font>
    <font>
      <sz val="10"/>
      <color indexed="30"/>
      <name val="Arial"/>
      <family val="2"/>
    </font>
    <font>
      <sz val="10"/>
      <color indexed="63"/>
      <name val="Arial"/>
      <family val="2"/>
    </font>
    <font>
      <sz val="11"/>
      <color indexed="63"/>
      <name val="Arial"/>
      <family val="2"/>
    </font>
    <font>
      <b/>
      <sz val="10"/>
      <color indexed="10"/>
      <name val="Arial"/>
      <family val="2"/>
    </font>
    <font>
      <sz val="10"/>
      <color indexed="62"/>
      <name val="Arial"/>
      <family val="2"/>
    </font>
    <font>
      <sz val="10"/>
      <color indexed="30"/>
      <name val="Arial"/>
      <family val="2"/>
    </font>
    <font>
      <u/>
      <sz val="10"/>
      <color indexed="30"/>
      <name val="Arial"/>
      <family val="2"/>
    </font>
    <font>
      <sz val="8"/>
      <name val="Times New Roman"/>
      <family val="1"/>
    </font>
    <font>
      <sz val="10"/>
      <name val="Arial"/>
      <family val="2"/>
    </font>
    <font>
      <sz val="10"/>
      <name val="Segoe UI"/>
      <family val="2"/>
    </font>
    <font>
      <sz val="10"/>
      <name val="Arial"/>
      <family val="2"/>
    </font>
    <font>
      <b/>
      <sz val="10"/>
      <color indexed="62"/>
      <name val="Arial"/>
      <family val="2"/>
    </font>
    <font>
      <sz val="10"/>
      <color indexed="10"/>
      <name val="Arial"/>
      <family val="2"/>
    </font>
    <font>
      <sz val="10"/>
      <color indexed="17"/>
      <name val="Arial"/>
      <family val="2"/>
    </font>
    <font>
      <b/>
      <sz val="10"/>
      <color indexed="17"/>
      <name val="Arial"/>
      <family val="2"/>
    </font>
    <font>
      <i/>
      <sz val="10"/>
      <color indexed="17"/>
      <name val="Arial"/>
      <family val="2"/>
    </font>
    <font>
      <b/>
      <sz val="10"/>
      <color indexed="30"/>
      <name val="Arial"/>
      <family val="2"/>
    </font>
    <font>
      <sz val="10"/>
      <color indexed="49"/>
      <name val="Arial"/>
      <family val="2"/>
    </font>
    <font>
      <sz val="10"/>
      <color indexed="60"/>
      <name val="Arial"/>
      <family val="2"/>
    </font>
    <font>
      <sz val="10"/>
      <color indexed="30"/>
      <name val="Arial"/>
      <family val="2"/>
    </font>
    <font>
      <sz val="10"/>
      <color indexed="12"/>
      <name val="Arial"/>
      <family val="2"/>
    </font>
    <font>
      <sz val="10"/>
      <color indexed="17"/>
      <name val="Arial"/>
      <family val="2"/>
    </font>
    <font>
      <sz val="10"/>
      <color indexed="16"/>
      <name val="Arial"/>
      <family val="2"/>
    </font>
    <font>
      <b/>
      <sz val="10"/>
      <color indexed="12"/>
      <name val="Arial"/>
      <family val="2"/>
    </font>
    <font>
      <u/>
      <sz val="10"/>
      <color indexed="12"/>
      <name val="Arial"/>
      <family val="2"/>
    </font>
    <font>
      <u val="singleAccounting"/>
      <sz val="10"/>
      <color indexed="12"/>
      <name val="Arial"/>
      <family val="2"/>
    </font>
    <font>
      <b/>
      <sz val="10"/>
      <color indexed="17"/>
      <name val="Arial"/>
      <family val="2"/>
    </font>
    <font>
      <b/>
      <sz val="10"/>
      <color indexed="16"/>
      <name val="Arial"/>
      <family val="2"/>
    </font>
    <font>
      <i/>
      <sz val="10"/>
      <color indexed="12"/>
      <name val="Arial"/>
      <family val="2"/>
    </font>
    <font>
      <i/>
      <sz val="10"/>
      <color indexed="16"/>
      <name val="Arial"/>
      <family val="2"/>
    </font>
    <font>
      <u/>
      <sz val="10"/>
      <color indexed="17"/>
      <name val="Arial"/>
      <family val="2"/>
    </font>
    <font>
      <i/>
      <sz val="10"/>
      <color indexed="10"/>
      <name val="Arial"/>
      <family val="2"/>
    </font>
    <font>
      <sz val="10"/>
      <color indexed="20"/>
      <name val="Arial"/>
      <family val="2"/>
    </font>
    <font>
      <sz val="10"/>
      <color indexed="12"/>
      <name val="Arial"/>
      <family val="2"/>
    </font>
    <font>
      <b/>
      <sz val="10"/>
      <color indexed="9"/>
      <name val="Arial"/>
      <family val="2"/>
    </font>
    <font>
      <sz val="10"/>
      <color indexed="9"/>
      <name val="Arial"/>
      <family val="2"/>
    </font>
    <font>
      <sz val="10"/>
      <color indexed="8"/>
      <name val="Arial"/>
      <family val="2"/>
    </font>
    <font>
      <b/>
      <sz val="10"/>
      <color indexed="8"/>
      <name val="Arial"/>
      <family val="2"/>
    </font>
    <font>
      <i/>
      <sz val="10"/>
      <color indexed="17"/>
      <name val="Arial"/>
      <family val="2"/>
    </font>
    <font>
      <b/>
      <sz val="10"/>
      <color indexed="10"/>
      <name val="Arial"/>
      <family val="2"/>
    </font>
    <font>
      <sz val="10"/>
      <color indexed="12"/>
      <name val="Arial"/>
      <family val="2"/>
    </font>
    <font>
      <b/>
      <sz val="10"/>
      <color indexed="12"/>
      <name val="Arial"/>
      <family val="2"/>
    </font>
    <font>
      <u/>
      <sz val="10"/>
      <color indexed="12"/>
      <name val="Arial"/>
      <family val="2"/>
    </font>
    <font>
      <sz val="10"/>
      <name val="Arial"/>
      <family val="2"/>
    </font>
    <font>
      <b/>
      <sz val="10"/>
      <color indexed="12"/>
      <name val="Arial"/>
      <family val="2"/>
    </font>
    <font>
      <sz val="10"/>
      <color indexed="12"/>
      <name val="Arial"/>
      <family val="2"/>
    </font>
    <font>
      <b/>
      <sz val="10"/>
      <color indexed="10"/>
      <name val="Arial"/>
      <family val="2"/>
    </font>
    <font>
      <sz val="10"/>
      <color indexed="10"/>
      <name val="Arial"/>
      <family val="2"/>
    </font>
    <font>
      <u val="singleAccounting"/>
      <sz val="10"/>
      <color indexed="10"/>
      <name val="Arial"/>
      <family val="2"/>
    </font>
    <font>
      <i/>
      <sz val="10"/>
      <color indexed="10"/>
      <name val="Arial"/>
      <family val="2"/>
    </font>
    <font>
      <i/>
      <sz val="10"/>
      <color rgb="FF008000"/>
      <name val="Arial"/>
      <family val="2"/>
    </font>
    <font>
      <sz val="10"/>
      <color rgb="FF008000"/>
      <name val="Arial"/>
      <family val="2"/>
    </font>
    <font>
      <sz val="10"/>
      <color rgb="FF0000FF"/>
      <name val="Arial"/>
      <family val="2"/>
    </font>
    <font>
      <i/>
      <sz val="10"/>
      <color rgb="FF0000FF"/>
      <name val="Arial"/>
      <family val="2"/>
    </font>
    <font>
      <b/>
      <sz val="10"/>
      <color rgb="FF0000FF"/>
      <name val="Arial"/>
      <family val="2"/>
    </font>
    <font>
      <sz val="10"/>
      <color rgb="FFC00000"/>
      <name val="Arial"/>
      <family val="2"/>
    </font>
    <font>
      <b/>
      <sz val="10"/>
      <color rgb="FFC00000"/>
      <name val="Arial"/>
      <family val="2"/>
    </font>
    <font>
      <sz val="10"/>
      <color rgb="FF800000"/>
      <name val="Arial"/>
      <family val="2"/>
    </font>
    <font>
      <u val="singleAccounting"/>
      <sz val="10"/>
      <color rgb="FF0000FF"/>
      <name val="Arial"/>
      <family val="2"/>
    </font>
    <font>
      <u/>
      <sz val="10"/>
      <color rgb="FF0000FF"/>
      <name val="Arial"/>
      <family val="2"/>
    </font>
    <font>
      <sz val="10"/>
      <color rgb="FFFF0000"/>
      <name val="Arial"/>
      <family val="2"/>
    </font>
    <font>
      <b/>
      <sz val="10"/>
      <color rgb="FFFF0000"/>
      <name val="Arial"/>
      <family val="2"/>
    </font>
    <font>
      <sz val="10"/>
      <color rgb="FFFFFFFF"/>
      <name val="Arial"/>
      <family val="2"/>
    </font>
    <font>
      <u/>
      <sz val="10"/>
      <color rgb="FFFF0000"/>
      <name val="Arial"/>
      <family val="2"/>
    </font>
    <font>
      <i/>
      <sz val="10"/>
      <color rgb="FFFF0000"/>
      <name val="Arial"/>
      <family val="2"/>
    </font>
    <font>
      <b/>
      <sz val="10"/>
      <color rgb="FF800000"/>
      <name val="Arial"/>
      <family val="2"/>
    </font>
    <font>
      <b/>
      <i/>
      <sz val="10"/>
      <color rgb="FFFF0000"/>
      <name val="Arial"/>
      <family val="2"/>
    </font>
    <font>
      <sz val="10"/>
      <name val="Arial"/>
      <family val="2"/>
    </font>
    <font>
      <u/>
      <sz val="10"/>
      <color rgb="FF008000"/>
      <name val="Arial"/>
      <family val="2"/>
    </font>
    <font>
      <b/>
      <sz val="10"/>
      <color rgb="FF008000"/>
      <name val="Arial"/>
      <family val="2"/>
    </font>
    <font>
      <u/>
      <sz val="10"/>
      <color rgb="FF800000"/>
      <name val="Arial"/>
      <family val="2"/>
    </font>
    <font>
      <sz val="10"/>
      <name val="Courier"/>
      <family val="3"/>
    </font>
    <font>
      <sz val="11"/>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Times New Roman"/>
      <family val="1"/>
    </font>
  </fonts>
  <fills count="41">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lightGray"/>
    </fill>
    <fill>
      <patternFill patternType="solid">
        <fgColor indexed="48"/>
      </patternFill>
    </fill>
    <fill>
      <patternFill patternType="solid">
        <fgColor indexed="42"/>
      </patternFill>
    </fill>
    <fill>
      <patternFill patternType="solid">
        <fgColor indexed="22"/>
        <bgColor indexed="64"/>
      </patternFill>
    </fill>
    <fill>
      <patternFill patternType="solid">
        <fgColor indexed="9"/>
        <bgColor indexed="64"/>
      </patternFill>
    </fill>
    <fill>
      <patternFill patternType="mediumGray">
        <fgColor indexed="22"/>
      </patternFill>
    </fill>
    <fill>
      <patternFill patternType="solid">
        <fgColor indexed="43"/>
        <bgColor indexed="64"/>
      </patternFill>
    </fill>
    <fill>
      <patternFill patternType="solid">
        <fgColor indexed="58"/>
        <bgColor indexed="64"/>
      </patternFill>
    </fill>
    <fill>
      <patternFill patternType="solid">
        <fgColor indexed="44"/>
        <bgColor indexed="64"/>
      </patternFill>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indexed="14"/>
        <bgColor indexed="64"/>
      </patternFill>
    </fill>
    <fill>
      <patternFill patternType="solid">
        <fgColor indexed="51"/>
        <bgColor indexed="64"/>
      </patternFill>
    </fill>
    <fill>
      <patternFill patternType="solid">
        <fgColor indexed="41"/>
        <bgColor indexed="64"/>
      </patternFill>
    </fill>
    <fill>
      <patternFill patternType="solid">
        <fgColor indexed="56"/>
        <bgColor indexed="64"/>
      </patternFill>
    </fill>
    <fill>
      <patternFill patternType="solid">
        <fgColor indexed="60"/>
        <bgColor indexed="64"/>
      </patternFill>
    </fill>
    <fill>
      <patternFill patternType="solid">
        <fgColor indexed="45"/>
        <bgColor indexed="64"/>
      </patternFill>
    </fill>
    <fill>
      <patternFill patternType="solid">
        <fgColor indexed="26"/>
        <bgColor indexed="64"/>
      </patternFill>
    </fill>
    <fill>
      <patternFill patternType="solid">
        <fgColor indexed="6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9" tint="0.59999389629810485"/>
        <bgColor indexed="64"/>
      </patternFill>
    </fill>
    <fill>
      <patternFill patternType="solid">
        <fgColor indexed="65"/>
        <bgColor indexed="64"/>
      </patternFill>
    </fill>
  </fills>
  <borders count="86">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indexed="64"/>
      </top>
      <bottom/>
      <diagonal/>
    </border>
    <border>
      <left/>
      <right/>
      <top/>
      <bottom style="medium">
        <color indexed="64"/>
      </bottom>
      <diagonal/>
    </border>
    <border>
      <left/>
      <right/>
      <top/>
      <bottom style="thin">
        <color indexed="8"/>
      </bottom>
      <diagonal/>
    </border>
    <border>
      <left/>
      <right/>
      <top style="thin">
        <color indexed="49"/>
      </top>
      <bottom style="double">
        <color indexed="49"/>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dotted">
        <color indexed="64"/>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diagonal/>
    </border>
    <border>
      <left/>
      <right style="dotted">
        <color indexed="64"/>
      </right>
      <top/>
      <bottom/>
      <diagonal/>
    </border>
    <border>
      <left/>
      <right style="dotted">
        <color indexed="64"/>
      </right>
      <top style="thin">
        <color indexed="64"/>
      </top>
      <bottom/>
      <diagonal/>
    </border>
    <border>
      <left style="dotted">
        <color indexed="64"/>
      </left>
      <right style="dotted">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dotted">
        <color indexed="64"/>
      </left>
      <right style="dotted">
        <color indexed="64"/>
      </right>
      <top/>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thin">
        <color indexed="13"/>
      </top>
      <bottom style="thin">
        <color indexed="13"/>
      </bottom>
      <diagonal/>
    </border>
    <border>
      <left/>
      <right/>
      <top style="thin">
        <color indexed="13"/>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64">
    <xf numFmtId="37" fontId="0" fillId="0" borderId="0" applyNumberFormat="0" applyFont="0" applyFill="0" applyBorder="0" applyAlignment="0" applyProtection="0"/>
    <xf numFmtId="0" fontId="1" fillId="0" borderId="0"/>
    <xf numFmtId="0" fontId="66" fillId="0" borderId="0" applyNumberFormat="0" applyFont="0" applyFill="0" applyBorder="0" applyAlignment="0" applyProtection="0"/>
    <xf numFmtId="0" fontId="1" fillId="0" borderId="0"/>
    <xf numFmtId="0" fontId="1" fillId="0" borderId="0"/>
    <xf numFmtId="0" fontId="1" fillId="0" borderId="0"/>
    <xf numFmtId="0" fontId="87" fillId="0" borderId="0"/>
    <xf numFmtId="0" fontId="1" fillId="0" borderId="0"/>
    <xf numFmtId="0" fontId="115" fillId="0" borderId="0"/>
    <xf numFmtId="200" fontId="2" fillId="0" borderId="0" applyFont="0" applyFill="0" applyBorder="0" applyAlignment="0" applyProtection="0"/>
    <xf numFmtId="201" fontId="2" fillId="0" borderId="0" applyFont="0" applyFill="0" applyBorder="0" applyAlignment="0" applyProtection="0"/>
    <xf numFmtId="0" fontId="1" fillId="0" borderId="0"/>
    <xf numFmtId="0" fontId="98" fillId="0" borderId="0"/>
    <xf numFmtId="0" fontId="29" fillId="0" borderId="0"/>
    <xf numFmtId="0" fontId="88" fillId="0" borderId="0"/>
    <xf numFmtId="0" fontId="29" fillId="0" borderId="0"/>
    <xf numFmtId="0" fontId="116" fillId="0" borderId="0"/>
    <xf numFmtId="0" fontId="29" fillId="0" borderId="0"/>
    <xf numFmtId="0" fontId="29" fillId="0" borderId="0"/>
    <xf numFmtId="0" fontId="88" fillId="0" borderId="0"/>
    <xf numFmtId="0" fontId="29" fillId="0" borderId="0"/>
    <xf numFmtId="0" fontId="116" fillId="0" borderId="0"/>
    <xf numFmtId="0" fontId="29" fillId="0" borderId="0"/>
    <xf numFmtId="0" fontId="47" fillId="2" borderId="0" applyNumberFormat="0" applyBorder="0" applyAlignment="0" applyProtection="0"/>
    <xf numFmtId="0" fontId="47" fillId="3" borderId="0" applyNumberFormat="0" applyBorder="0" applyAlignment="0" applyProtection="0"/>
    <xf numFmtId="0" fontId="47" fillId="4" borderId="0" applyNumberFormat="0" applyBorder="0" applyAlignment="0" applyProtection="0"/>
    <xf numFmtId="0" fontId="47" fillId="2" borderId="0" applyNumberFormat="0" applyBorder="0" applyAlignment="0" applyProtection="0"/>
    <xf numFmtId="0" fontId="47" fillId="5" borderId="0" applyNumberFormat="0" applyBorder="0" applyAlignment="0" applyProtection="0"/>
    <xf numFmtId="0" fontId="47" fillId="4" borderId="0" applyNumberFormat="0" applyBorder="0" applyAlignment="0" applyProtection="0"/>
    <xf numFmtId="0" fontId="47" fillId="6" borderId="0" applyNumberFormat="0" applyBorder="0" applyAlignment="0" applyProtection="0"/>
    <xf numFmtId="0" fontId="47" fillId="3" borderId="0" applyNumberFormat="0" applyBorder="0" applyAlignment="0" applyProtection="0"/>
    <xf numFmtId="0" fontId="47" fillId="4" borderId="0" applyNumberFormat="0" applyBorder="0" applyAlignment="0" applyProtection="0"/>
    <xf numFmtId="0" fontId="47" fillId="6" borderId="0" applyNumberFormat="0" applyBorder="0" applyAlignment="0" applyProtection="0"/>
    <xf numFmtId="0" fontId="47" fillId="7" borderId="0" applyNumberFormat="0" applyBorder="0" applyAlignment="0" applyProtection="0"/>
    <xf numFmtId="0" fontId="47" fillId="4" borderId="0" applyNumberFormat="0" applyBorder="0" applyAlignment="0" applyProtection="0"/>
    <xf numFmtId="0" fontId="48" fillId="8" borderId="0" applyNumberFormat="0" applyBorder="0" applyAlignment="0" applyProtection="0"/>
    <xf numFmtId="0" fontId="48" fillId="3" borderId="0" applyNumberFormat="0" applyBorder="0" applyAlignment="0" applyProtection="0"/>
    <xf numFmtId="0" fontId="48" fillId="9" borderId="0" applyNumberFormat="0" applyBorder="0" applyAlignment="0" applyProtection="0"/>
    <xf numFmtId="0" fontId="48" fillId="6" borderId="0" applyNumberFormat="0" applyBorder="0" applyAlignment="0" applyProtection="0"/>
    <xf numFmtId="0" fontId="48" fillId="8" borderId="0" applyNumberFormat="0" applyBorder="0" applyAlignment="0" applyProtection="0"/>
    <xf numFmtId="0" fontId="48" fillId="4" borderId="0" applyNumberFormat="0" applyBorder="0" applyAlignment="0" applyProtection="0"/>
    <xf numFmtId="0" fontId="48" fillId="8" borderId="0" applyNumberFormat="0" applyBorder="0" applyAlignment="0" applyProtection="0"/>
    <xf numFmtId="0" fontId="48" fillId="3" borderId="0" applyNumberFormat="0" applyBorder="0" applyAlignment="0" applyProtection="0"/>
    <xf numFmtId="0" fontId="48" fillId="9" borderId="0" applyNumberFormat="0" applyBorder="0" applyAlignment="0" applyProtection="0"/>
    <xf numFmtId="0" fontId="48" fillId="10" borderId="0" applyNumberFormat="0" applyBorder="0" applyAlignment="0" applyProtection="0"/>
    <xf numFmtId="0" fontId="48" fillId="8" borderId="0" applyNumberFormat="0" applyBorder="0" applyAlignment="0" applyProtection="0"/>
    <xf numFmtId="0" fontId="48" fillId="3" borderId="0" applyNumberFormat="0" applyBorder="0" applyAlignment="0" applyProtection="0"/>
    <xf numFmtId="0" fontId="49" fillId="11" borderId="0" applyNumberFormat="0" applyBorder="0" applyAlignment="0" applyProtection="0"/>
    <xf numFmtId="0" fontId="99" fillId="0" borderId="0" applyNumberFormat="0" applyFill="0" applyBorder="0" applyAlignment="0" applyProtection="0"/>
    <xf numFmtId="0" fontId="11" fillId="0" borderId="1" applyNumberFormat="0" applyFill="0" applyAlignment="0" applyProtection="0"/>
    <xf numFmtId="3" fontId="100" fillId="0" borderId="0"/>
    <xf numFmtId="202" fontId="2" fillId="0" borderId="0" applyFont="0" applyFill="0" applyBorder="0" applyAlignment="0" applyProtection="0"/>
    <xf numFmtId="0" fontId="30" fillId="0" borderId="0"/>
    <xf numFmtId="0" fontId="89" fillId="0" borderId="0"/>
    <xf numFmtId="0" fontId="30" fillId="0" borderId="0"/>
    <xf numFmtId="0" fontId="117" fillId="0" borderId="0"/>
    <xf numFmtId="0" fontId="30" fillId="0" borderId="0"/>
    <xf numFmtId="0" fontId="50" fillId="12" borderId="2" applyNumberFormat="0" applyAlignment="0" applyProtection="0"/>
    <xf numFmtId="1" fontId="101" fillId="0" borderId="0"/>
    <xf numFmtId="0" fontId="51" fillId="13" borderId="3" applyNumberFormat="0" applyAlignment="0" applyProtection="0"/>
    <xf numFmtId="37" fontId="1" fillId="0" borderId="0" applyFont="0" applyFill="0" applyBorder="0" applyAlignment="0" applyProtection="0"/>
    <xf numFmtId="5" fontId="1" fillId="0" borderId="0" applyFont="0" applyFill="0" applyBorder="0" applyAlignment="0" applyProtection="0"/>
    <xf numFmtId="8" fontId="102" fillId="0" borderId="4">
      <protection locked="0"/>
    </xf>
    <xf numFmtId="44" fontId="1" fillId="0" borderId="0" applyFont="0" applyFill="0" applyBorder="0" applyAlignment="0" applyProtection="0"/>
    <xf numFmtId="44" fontId="96" fillId="0" borderId="0" applyFont="0" applyFill="0" applyBorder="0" applyAlignment="0" applyProtection="0"/>
    <xf numFmtId="44" fontId="108" fillId="0" borderId="0" applyFont="0" applyFill="0" applyBorder="0" applyAlignment="0" applyProtection="0"/>
    <xf numFmtId="44" fontId="127" fillId="0" borderId="0" applyFont="0" applyFill="0" applyBorder="0" applyAlignment="0" applyProtection="0"/>
    <xf numFmtId="44" fontId="16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203" fontId="2" fillId="0" borderId="0" applyFont="0" applyFill="0" applyBorder="0" applyAlignment="0" applyProtection="0"/>
    <xf numFmtId="14" fontId="103" fillId="14" borderId="0" applyFill="0" applyBorder="0" applyProtection="0">
      <alignment horizontal="right"/>
    </xf>
    <xf numFmtId="165" fontId="1" fillId="0" borderId="0" applyFont="0" applyFill="0" applyBorder="0" applyAlignment="0" applyProtection="0"/>
    <xf numFmtId="167" fontId="1" fillId="0" borderId="0" applyFont="0" applyFill="0" applyBorder="0" applyAlignment="0" applyProtection="0"/>
    <xf numFmtId="0" fontId="52" fillId="0" borderId="0" applyNumberFormat="0" applyFill="0" applyBorder="0" applyAlignment="0" applyProtection="0"/>
    <xf numFmtId="0" fontId="68" fillId="0" borderId="0"/>
    <xf numFmtId="0" fontId="69" fillId="15" borderId="0"/>
    <xf numFmtId="0" fontId="53" fillId="16" borderId="0" applyNumberFormat="0" applyBorder="0" applyAlignment="0" applyProtection="0"/>
    <xf numFmtId="38" fontId="3" fillId="17" borderId="0" applyNumberFormat="0" applyBorder="0" applyAlignment="0" applyProtection="0"/>
    <xf numFmtId="0" fontId="34" fillId="0" borderId="5" applyNumberFormat="0" applyAlignment="0" applyProtection="0">
      <alignment horizontal="left"/>
    </xf>
    <xf numFmtId="0" fontId="34" fillId="0" borderId="6">
      <alignment horizontal="left"/>
    </xf>
    <xf numFmtId="0" fontId="54" fillId="0" borderId="7" applyNumberFormat="0" applyFill="0" applyAlignment="0" applyProtection="0"/>
    <xf numFmtId="0" fontId="55" fillId="0" borderId="8" applyNumberFormat="0" applyFill="0" applyAlignment="0" applyProtection="0"/>
    <xf numFmtId="0" fontId="56" fillId="0" borderId="9" applyNumberFormat="0" applyFill="0" applyAlignment="0" applyProtection="0"/>
    <xf numFmtId="0" fontId="56" fillId="0" borderId="0" applyNumberFormat="0" applyFill="0" applyBorder="0" applyAlignment="0" applyProtection="0"/>
    <xf numFmtId="3" fontId="100" fillId="0" borderId="0" applyNumberFormat="0" applyFill="0" applyBorder="0" applyAlignment="0" applyProtection="0"/>
    <xf numFmtId="0" fontId="67" fillId="0" borderId="0">
      <alignment wrapText="1"/>
    </xf>
    <xf numFmtId="0" fontId="6" fillId="0" borderId="0" applyNumberFormat="0" applyFill="0" applyBorder="0" applyAlignment="0" applyProtection="0">
      <alignment vertical="top"/>
      <protection locked="0"/>
    </xf>
    <xf numFmtId="0" fontId="57" fillId="4" borderId="2" applyNumberFormat="0" applyAlignment="0" applyProtection="0"/>
    <xf numFmtId="10" fontId="3" fillId="18" borderId="10" applyNumberFormat="0" applyBorder="0" applyAlignment="0" applyProtection="0"/>
    <xf numFmtId="0" fontId="58" fillId="0" borderId="11" applyNumberFormat="0" applyFill="0" applyAlignment="0" applyProtection="0"/>
    <xf numFmtId="0" fontId="69" fillId="0" borderId="0"/>
    <xf numFmtId="0" fontId="70" fillId="0" borderId="0"/>
    <xf numFmtId="0" fontId="71" fillId="0" borderId="0"/>
    <xf numFmtId="0" fontId="59" fillId="4" borderId="0" applyNumberFormat="0" applyBorder="0" applyAlignment="0" applyProtection="0"/>
    <xf numFmtId="204" fontId="104" fillId="0" borderId="0"/>
    <xf numFmtId="0" fontId="128" fillId="0" borderId="0"/>
    <xf numFmtId="0" fontId="129" fillId="0" borderId="0"/>
    <xf numFmtId="0" fontId="162" fillId="0" borderId="0"/>
    <xf numFmtId="38" fontId="1" fillId="0" borderId="0" applyFont="0" applyFill="0" applyBorder="0" applyAlignment="0" applyProtection="0"/>
    <xf numFmtId="0" fontId="47" fillId="0" borderId="0"/>
    <xf numFmtId="0" fontId="1" fillId="0" borderId="0"/>
    <xf numFmtId="37" fontId="2" fillId="0" borderId="0" applyAlignment="0"/>
    <xf numFmtId="0" fontId="96" fillId="0" borderId="0"/>
    <xf numFmtId="0" fontId="1" fillId="0" borderId="0"/>
    <xf numFmtId="0" fontId="108" fillId="0" borderId="0"/>
    <xf numFmtId="37" fontId="3" fillId="0" borderId="0" applyAlignment="0"/>
    <xf numFmtId="0" fontId="127" fillId="0" borderId="0"/>
    <xf numFmtId="0" fontId="1" fillId="0" borderId="0"/>
    <xf numFmtId="37" fontId="2" fillId="0" borderId="0" applyAlignment="0"/>
    <xf numFmtId="37" fontId="14" fillId="0" borderId="0" applyAlignment="0"/>
    <xf numFmtId="37" fontId="14" fillId="0" borderId="0" applyAlignment="0"/>
    <xf numFmtId="0" fontId="1" fillId="0" borderId="0"/>
    <xf numFmtId="0" fontId="3" fillId="0" borderId="0"/>
    <xf numFmtId="0" fontId="1" fillId="0" borderId="0"/>
    <xf numFmtId="37" fontId="2" fillId="0" borderId="0" applyAlignment="0"/>
    <xf numFmtId="0" fontId="1" fillId="4" borderId="12" applyNumberFormat="0" applyFont="0" applyAlignment="0" applyProtection="0"/>
    <xf numFmtId="1" fontId="105" fillId="0" borderId="0" applyFill="0" applyBorder="0" applyProtection="0"/>
    <xf numFmtId="43" fontId="98" fillId="0" borderId="0" applyFont="0" applyFill="0" applyBorder="0" applyAlignment="0" applyProtection="0"/>
    <xf numFmtId="41" fontId="98" fillId="0" borderId="0" applyFont="0" applyFill="0" applyBorder="0" applyAlignment="0" applyProtection="0"/>
    <xf numFmtId="0" fontId="60" fillId="12" borderId="13" applyNumberFormat="0" applyAlignment="0" applyProtection="0"/>
    <xf numFmtId="0" fontId="31" fillId="0" borderId="0">
      <alignment vertical="center"/>
    </xf>
    <xf numFmtId="0" fontId="71" fillId="0" borderId="0"/>
    <xf numFmtId="169" fontId="1" fillId="0" borderId="0" applyFont="0" applyFill="0" applyBorder="0" applyAlignment="0" applyProtection="0"/>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169" fontId="1" fillId="0" borderId="0" applyFont="0" applyFill="0" applyBorder="0" applyAlignment="0" applyProtection="0"/>
    <xf numFmtId="8" fontId="106" fillId="0" borderId="14">
      <alignment horizontal="right"/>
    </xf>
    <xf numFmtId="0" fontId="29" fillId="0" borderId="0" applyNumberFormat="0" applyFont="0" applyFill="0" applyBorder="0" applyAlignment="0" applyProtection="0">
      <alignment horizontal="left"/>
    </xf>
    <xf numFmtId="15" fontId="29" fillId="0" borderId="0" applyFont="0" applyFill="0" applyBorder="0" applyAlignment="0" applyProtection="0"/>
    <xf numFmtId="4" fontId="29" fillId="0" borderId="0" applyFont="0" applyFill="0" applyBorder="0" applyAlignment="0" applyProtection="0"/>
    <xf numFmtId="0" fontId="107" fillId="0" borderId="15">
      <alignment horizontal="center"/>
    </xf>
    <xf numFmtId="3" fontId="29" fillId="0" borderId="0" applyFont="0" applyFill="0" applyBorder="0" applyAlignment="0" applyProtection="0"/>
    <xf numFmtId="0" fontId="29" fillId="19" borderId="0" applyNumberFormat="0" applyFont="0" applyBorder="0" applyAlignment="0" applyProtection="0"/>
    <xf numFmtId="0" fontId="5" fillId="20" borderId="0" applyNumberFormat="0" applyFont="0" applyBorder="0" applyAlignment="0" applyProtection="0"/>
    <xf numFmtId="0" fontId="1" fillId="20" borderId="0" applyNumberFormat="0" applyFont="0" applyBorder="0" applyAlignment="0" applyProtection="0"/>
    <xf numFmtId="0" fontId="32" fillId="0" borderId="0"/>
    <xf numFmtId="0" fontId="90" fillId="0" borderId="0"/>
    <xf numFmtId="0" fontId="32" fillId="0" borderId="0"/>
    <xf numFmtId="0" fontId="118" fillId="0" borderId="0"/>
    <xf numFmtId="0" fontId="32" fillId="0" borderId="0"/>
    <xf numFmtId="0" fontId="32" fillId="0" borderId="16">
      <alignment horizontal="centerContinuous"/>
    </xf>
    <xf numFmtId="0" fontId="90" fillId="0" borderId="16">
      <alignment horizontal="centerContinuous"/>
    </xf>
    <xf numFmtId="0" fontId="32" fillId="0" borderId="16">
      <alignment horizontal="centerContinuous"/>
    </xf>
    <xf numFmtId="0" fontId="118" fillId="0" borderId="16">
      <alignment horizontal="centerContinuous"/>
    </xf>
    <xf numFmtId="0" fontId="32" fillId="0" borderId="16">
      <alignment horizontal="centerContinuous"/>
    </xf>
    <xf numFmtId="0" fontId="33" fillId="0" borderId="16"/>
    <xf numFmtId="0" fontId="1" fillId="21" borderId="0"/>
    <xf numFmtId="0" fontId="1" fillId="0" borderId="0">
      <alignment vertical="top"/>
    </xf>
    <xf numFmtId="0" fontId="1" fillId="0" borderId="0">
      <alignment vertical="top"/>
    </xf>
    <xf numFmtId="0" fontId="3" fillId="22" borderId="10" applyNumberFormat="0" applyProtection="0">
      <alignment horizontal="center" wrapText="1"/>
    </xf>
    <xf numFmtId="0" fontId="61" fillId="0" borderId="0" applyNumberFormat="0" applyFill="0" applyBorder="0" applyAlignment="0" applyProtection="0"/>
    <xf numFmtId="0" fontId="62" fillId="0" borderId="17" applyNumberFormat="0" applyFill="0" applyAlignment="0" applyProtection="0"/>
    <xf numFmtId="37" fontId="2" fillId="0" borderId="0" applyNumberFormat="0" applyFont="0" applyFill="0" applyBorder="0" applyAlignment="0" applyProtection="0"/>
    <xf numFmtId="164" fontId="1" fillId="0" borderId="0" applyFont="0" applyFill="0" applyBorder="0" applyAlignment="0" applyProtection="0"/>
    <xf numFmtId="166" fontId="1" fillId="0" borderId="0" applyFont="0" applyFill="0" applyBorder="0" applyAlignment="0" applyProtection="0"/>
    <xf numFmtId="0" fontId="63" fillId="0" borderId="0" applyNumberFormat="0" applyFill="0" applyBorder="0" applyAlignment="0" applyProtection="0"/>
    <xf numFmtId="0" fontId="186" fillId="0" borderId="0"/>
    <xf numFmtId="44" fontId="186" fillId="0" borderId="0" applyFont="0" applyFill="0" applyBorder="0" applyAlignment="0" applyProtection="0"/>
    <xf numFmtId="0" fontId="190" fillId="0" borderId="0"/>
  </cellStyleXfs>
  <cellXfs count="4176">
    <xf numFmtId="37" fontId="0" fillId="0" borderId="0" xfId="0"/>
    <xf numFmtId="0" fontId="9" fillId="0" borderId="0" xfId="60" applyNumberFormat="1" applyFont="1" applyFill="1" applyBorder="1" applyAlignment="1" applyProtection="1">
      <alignment horizontal="left"/>
    </xf>
    <xf numFmtId="37" fontId="9" fillId="0" borderId="0" xfId="0" applyFont="1"/>
    <xf numFmtId="37" fontId="5" fillId="0" borderId="0" xfId="0" applyFont="1"/>
    <xf numFmtId="37" fontId="11" fillId="0" borderId="0" xfId="0" applyFont="1"/>
    <xf numFmtId="37" fontId="15" fillId="0" borderId="0" xfId="0" applyFont="1"/>
    <xf numFmtId="37" fontId="5" fillId="0" borderId="1" xfId="0" applyFont="1" applyBorder="1"/>
    <xf numFmtId="169" fontId="5" fillId="0" borderId="0" xfId="123" applyFont="1"/>
    <xf numFmtId="169" fontId="8" fillId="0" borderId="0" xfId="123" applyFont="1"/>
    <xf numFmtId="37" fontId="8" fillId="0" borderId="0" xfId="0" applyFont="1"/>
    <xf numFmtId="37" fontId="5" fillId="0" borderId="0" xfId="0" applyFont="1" applyBorder="1" applyAlignment="1">
      <alignment horizontal="right"/>
    </xf>
    <xf numFmtId="5" fontId="5" fillId="0" borderId="0" xfId="0" applyNumberFormat="1" applyFont="1"/>
    <xf numFmtId="0" fontId="5" fillId="0" borderId="0" xfId="0" applyNumberFormat="1" applyFont="1"/>
    <xf numFmtId="37" fontId="5" fillId="0" borderId="18" xfId="0" applyFont="1" applyBorder="1"/>
    <xf numFmtId="39" fontId="5" fillId="0" borderId="0" xfId="0" applyNumberFormat="1" applyFont="1"/>
    <xf numFmtId="37" fontId="5" fillId="0" borderId="0" xfId="0" applyFont="1" applyBorder="1"/>
    <xf numFmtId="9" fontId="8" fillId="0" borderId="0" xfId="123" applyNumberFormat="1" applyFont="1"/>
    <xf numFmtId="37" fontId="9" fillId="0" borderId="0" xfId="0" applyFont="1" applyAlignment="1">
      <alignment horizontal="centerContinuous"/>
    </xf>
    <xf numFmtId="37" fontId="5" fillId="0" borderId="0" xfId="0" applyFont="1" applyAlignment="1">
      <alignment horizontal="centerContinuous"/>
    </xf>
    <xf numFmtId="37" fontId="5" fillId="0" borderId="0" xfId="0" applyNumberFormat="1" applyFont="1"/>
    <xf numFmtId="0" fontId="13" fillId="0" borderId="0" xfId="112" applyFont="1" applyAlignment="1">
      <alignment vertical="top"/>
    </xf>
    <xf numFmtId="179" fontId="13" fillId="0" borderId="0" xfId="112" applyNumberFormat="1" applyFont="1" applyFill="1" applyAlignment="1">
      <alignment vertical="top"/>
    </xf>
    <xf numFmtId="169" fontId="17" fillId="0" borderId="0" xfId="112" applyNumberFormat="1" applyFont="1" applyAlignment="1">
      <alignment horizontal="left" vertical="top"/>
    </xf>
    <xf numFmtId="174" fontId="13" fillId="0" borderId="0" xfId="112" applyNumberFormat="1" applyFont="1" applyAlignment="1">
      <alignment vertical="top"/>
    </xf>
    <xf numFmtId="0" fontId="18" fillId="17" borderId="0" xfId="112" applyFont="1" applyFill="1" applyAlignment="1">
      <alignment vertical="top"/>
    </xf>
    <xf numFmtId="174" fontId="18" fillId="17" borderId="0" xfId="112" applyNumberFormat="1" applyFont="1" applyFill="1" applyAlignment="1">
      <alignment vertical="top"/>
    </xf>
    <xf numFmtId="174" fontId="19" fillId="17" borderId="0" xfId="112" applyNumberFormat="1" applyFont="1" applyFill="1" applyAlignment="1">
      <alignment horizontal="left" vertical="top"/>
    </xf>
    <xf numFmtId="180" fontId="13" fillId="17" borderId="0" xfId="112" applyNumberFormat="1" applyFont="1" applyFill="1" applyAlignment="1">
      <alignment vertical="top"/>
    </xf>
    <xf numFmtId="0" fontId="18" fillId="0" borderId="0" xfId="112" applyFont="1" applyAlignment="1">
      <alignment vertical="top"/>
    </xf>
    <xf numFmtId="181" fontId="18" fillId="0" borderId="0" xfId="112" applyNumberFormat="1" applyFont="1" applyFill="1" applyAlignment="1">
      <alignment vertical="top"/>
    </xf>
    <xf numFmtId="174" fontId="19" fillId="0" borderId="0" xfId="112" applyNumberFormat="1" applyFont="1" applyAlignment="1">
      <alignment horizontal="left" vertical="top"/>
    </xf>
    <xf numFmtId="174" fontId="20" fillId="0" borderId="0" xfId="112" applyNumberFormat="1" applyFont="1" applyFill="1" applyAlignment="1">
      <alignment vertical="top"/>
    </xf>
    <xf numFmtId="174" fontId="18" fillId="0" borderId="0" xfId="112" applyNumberFormat="1" applyFont="1" applyAlignment="1">
      <alignment vertical="top"/>
    </xf>
    <xf numFmtId="0" fontId="13" fillId="0" borderId="0" xfId="112" applyFont="1" applyAlignment="1">
      <alignment horizontal="left" vertical="top"/>
    </xf>
    <xf numFmtId="0" fontId="13" fillId="0" borderId="0" xfId="112" applyFont="1" applyAlignment="1">
      <alignment horizontal="center" vertical="top"/>
    </xf>
    <xf numFmtId="174" fontId="13" fillId="0" borderId="0" xfId="112" applyNumberFormat="1" applyFont="1" applyAlignment="1">
      <alignment horizontal="center" vertical="top"/>
    </xf>
    <xf numFmtId="174" fontId="17" fillId="0" borderId="0" xfId="112" applyNumberFormat="1" applyFont="1" applyAlignment="1">
      <alignment horizontal="left" vertical="top"/>
    </xf>
    <xf numFmtId="0" fontId="3" fillId="0" borderId="0" xfId="112" applyFont="1" applyAlignment="1">
      <alignment vertical="top"/>
    </xf>
    <xf numFmtId="174" fontId="3" fillId="0" borderId="0" xfId="112" applyNumberFormat="1" applyFont="1" applyAlignment="1">
      <alignment vertical="top" wrapText="1"/>
    </xf>
    <xf numFmtId="174" fontId="3" fillId="0" borderId="0" xfId="112" applyNumberFormat="1" applyFont="1" applyAlignment="1">
      <alignment vertical="top"/>
    </xf>
    <xf numFmtId="0" fontId="3" fillId="23" borderId="0" xfId="112" applyFont="1" applyFill="1" applyAlignment="1">
      <alignment vertical="top"/>
    </xf>
    <xf numFmtId="174" fontId="3" fillId="23" borderId="0" xfId="112" applyNumberFormat="1" applyFont="1" applyFill="1" applyAlignment="1">
      <alignment vertical="top"/>
    </xf>
    <xf numFmtId="174" fontId="3" fillId="23" borderId="0" xfId="112" applyNumberFormat="1" applyFont="1" applyFill="1" applyAlignment="1">
      <alignment horizontal="right" vertical="top"/>
    </xf>
    <xf numFmtId="174" fontId="17" fillId="23" borderId="0" xfId="112" applyNumberFormat="1" applyFont="1" applyFill="1" applyAlignment="1">
      <alignment horizontal="left" vertical="top"/>
    </xf>
    <xf numFmtId="0" fontId="3" fillId="24" borderId="0" xfId="112" applyFont="1" applyFill="1" applyAlignment="1">
      <alignment vertical="top"/>
    </xf>
    <xf numFmtId="174" fontId="3" fillId="24" borderId="0" xfId="112" applyNumberFormat="1" applyFont="1" applyFill="1" applyAlignment="1">
      <alignment vertical="top"/>
    </xf>
    <xf numFmtId="174" fontId="3" fillId="24" borderId="0" xfId="112" applyNumberFormat="1" applyFont="1" applyFill="1" applyAlignment="1">
      <alignment horizontal="right" vertical="top"/>
    </xf>
    <xf numFmtId="174" fontId="17" fillId="24" borderId="0" xfId="112" applyNumberFormat="1" applyFont="1" applyFill="1" applyAlignment="1">
      <alignment horizontal="left" vertical="top"/>
    </xf>
    <xf numFmtId="174" fontId="3" fillId="0" borderId="0" xfId="112" applyNumberFormat="1" applyFont="1" applyAlignment="1">
      <alignment horizontal="right" vertical="top"/>
    </xf>
    <xf numFmtId="0" fontId="21" fillId="0" borderId="0" xfId="112" applyFont="1" applyAlignment="1">
      <alignment vertical="top"/>
    </xf>
    <xf numFmtId="169" fontId="3" fillId="24" borderId="0" xfId="112" applyNumberFormat="1" applyFont="1" applyFill="1" applyAlignment="1">
      <alignment vertical="top"/>
    </xf>
    <xf numFmtId="169" fontId="3" fillId="24" borderId="0" xfId="112" applyNumberFormat="1" applyFont="1" applyFill="1" applyAlignment="1">
      <alignment horizontal="right" vertical="top"/>
    </xf>
    <xf numFmtId="0" fontId="3" fillId="25" borderId="0" xfId="112" applyFont="1" applyFill="1" applyAlignment="1">
      <alignment vertical="top"/>
    </xf>
    <xf numFmtId="174" fontId="3" fillId="25" borderId="0" xfId="112" applyNumberFormat="1" applyFont="1" applyFill="1" applyAlignment="1">
      <alignment vertical="top"/>
    </xf>
    <xf numFmtId="174" fontId="17" fillId="25" borderId="0" xfId="112" applyNumberFormat="1" applyFont="1" applyFill="1" applyAlignment="1">
      <alignment horizontal="left" vertical="top"/>
    </xf>
    <xf numFmtId="174" fontId="3" fillId="25" borderId="0" xfId="112" applyNumberFormat="1" applyFont="1" applyFill="1" applyAlignment="1">
      <alignment horizontal="right" vertical="top"/>
    </xf>
    <xf numFmtId="174" fontId="21" fillId="22" borderId="0" xfId="112" applyNumberFormat="1" applyFont="1" applyFill="1" applyAlignment="1">
      <alignment vertical="top"/>
    </xf>
    <xf numFmtId="174" fontId="21" fillId="22" borderId="0" xfId="112" applyNumberFormat="1" applyFont="1" applyFill="1" applyAlignment="1">
      <alignment horizontal="right" vertical="top"/>
    </xf>
    <xf numFmtId="174" fontId="22" fillId="0" borderId="0" xfId="112" applyNumberFormat="1" applyFont="1" applyAlignment="1">
      <alignment horizontal="left" vertical="top"/>
    </xf>
    <xf numFmtId="174" fontId="3" fillId="22" borderId="0" xfId="112" applyNumberFormat="1" applyFont="1" applyFill="1" applyAlignment="1">
      <alignment vertical="top"/>
    </xf>
    <xf numFmtId="174" fontId="3" fillId="22" borderId="0" xfId="112" applyNumberFormat="1" applyFont="1" applyFill="1" applyAlignment="1">
      <alignment horizontal="right" vertical="top"/>
    </xf>
    <xf numFmtId="174" fontId="3" fillId="0" borderId="0" xfId="112" applyNumberFormat="1" applyFont="1" applyFill="1" applyAlignment="1">
      <alignment vertical="top"/>
    </xf>
    <xf numFmtId="0" fontId="3" fillId="0" borderId="0" xfId="112" applyFont="1" applyFill="1" applyAlignment="1">
      <alignment vertical="top"/>
    </xf>
    <xf numFmtId="174" fontId="21" fillId="0" borderId="0" xfId="112" applyNumberFormat="1" applyFont="1" applyAlignment="1">
      <alignment vertical="top"/>
    </xf>
    <xf numFmtId="174" fontId="21" fillId="0" borderId="0" xfId="112" applyNumberFormat="1" applyFont="1" applyFill="1" applyAlignment="1">
      <alignment vertical="top"/>
    </xf>
    <xf numFmtId="174" fontId="21" fillId="0" borderId="0" xfId="112" applyNumberFormat="1" applyFont="1" applyAlignment="1">
      <alignment horizontal="right" vertical="top"/>
    </xf>
    <xf numFmtId="174" fontId="3" fillId="0" borderId="0" xfId="112" applyNumberFormat="1" applyFont="1" applyFill="1" applyAlignment="1">
      <alignment horizontal="right" vertical="top"/>
    </xf>
    <xf numFmtId="2" fontId="3" fillId="0" borderId="0" xfId="112" applyNumberFormat="1" applyFont="1" applyAlignment="1">
      <alignment vertical="top"/>
    </xf>
    <xf numFmtId="2" fontId="17" fillId="0" borderId="0" xfId="112" applyNumberFormat="1" applyFont="1" applyAlignment="1">
      <alignment horizontal="left" vertical="top"/>
    </xf>
    <xf numFmtId="2" fontId="3" fillId="0" borderId="0" xfId="112" applyNumberFormat="1" applyFont="1" applyAlignment="1">
      <alignment horizontal="right" vertical="top"/>
    </xf>
    <xf numFmtId="174" fontId="22" fillId="25" borderId="0" xfId="112" applyNumberFormat="1" applyFont="1" applyFill="1" applyAlignment="1">
      <alignment horizontal="left" vertical="top"/>
    </xf>
    <xf numFmtId="169" fontId="3" fillId="0" borderId="0" xfId="112" applyNumberFormat="1" applyFont="1" applyAlignment="1">
      <alignment vertical="top"/>
    </xf>
    <xf numFmtId="169" fontId="3" fillId="0" borderId="0" xfId="112" applyNumberFormat="1" applyFont="1" applyAlignment="1">
      <alignment horizontal="right" vertical="top"/>
    </xf>
    <xf numFmtId="169" fontId="3" fillId="25" borderId="0" xfId="112" applyNumberFormat="1" applyFont="1" applyFill="1" applyAlignment="1">
      <alignment vertical="top"/>
    </xf>
    <xf numFmtId="10" fontId="3" fillId="25" borderId="0" xfId="112" applyNumberFormat="1" applyFont="1" applyFill="1" applyAlignment="1">
      <alignment vertical="top"/>
    </xf>
    <xf numFmtId="10" fontId="3" fillId="25" borderId="0" xfId="128" applyNumberFormat="1" applyFont="1" applyFill="1" applyAlignment="1">
      <alignment vertical="top"/>
    </xf>
    <xf numFmtId="10" fontId="3" fillId="25" borderId="0" xfId="128" applyNumberFormat="1" applyFont="1" applyFill="1" applyAlignment="1">
      <alignment horizontal="right" vertical="top"/>
    </xf>
    <xf numFmtId="169" fontId="17" fillId="25" borderId="0" xfId="112" applyNumberFormat="1" applyFont="1" applyFill="1" applyAlignment="1">
      <alignment horizontal="left" vertical="top"/>
    </xf>
    <xf numFmtId="169" fontId="3" fillId="25" borderId="0" xfId="112" applyNumberFormat="1" applyFont="1" applyFill="1" applyAlignment="1">
      <alignment horizontal="right" vertical="top"/>
    </xf>
    <xf numFmtId="174" fontId="17" fillId="0" borderId="0" xfId="112" applyNumberFormat="1" applyFont="1" applyFill="1" applyAlignment="1">
      <alignment horizontal="left" vertical="top"/>
    </xf>
    <xf numFmtId="174" fontId="21" fillId="25" borderId="0" xfId="112" applyNumberFormat="1" applyFont="1" applyFill="1" applyAlignment="1">
      <alignment vertical="top"/>
    </xf>
    <xf numFmtId="174" fontId="21" fillId="0" borderId="0" xfId="112" applyNumberFormat="1" applyFont="1" applyFill="1" applyAlignment="1">
      <alignment horizontal="right" vertical="top"/>
    </xf>
    <xf numFmtId="0" fontId="1" fillId="0" borderId="0" xfId="112"/>
    <xf numFmtId="174" fontId="3" fillId="18" borderId="0" xfId="112" applyNumberFormat="1" applyFont="1" applyFill="1" applyAlignment="1">
      <alignment vertical="top"/>
    </xf>
    <xf numFmtId="174" fontId="3" fillId="18" borderId="0" xfId="112" applyNumberFormat="1" applyFont="1" applyFill="1" applyAlignment="1">
      <alignment horizontal="right" vertical="top"/>
    </xf>
    <xf numFmtId="174" fontId="14" fillId="22" borderId="0" xfId="112" applyNumberFormat="1" applyFont="1" applyFill="1" applyAlignment="1">
      <alignment vertical="top"/>
    </xf>
    <xf numFmtId="174" fontId="23" fillId="0" borderId="0" xfId="112" applyNumberFormat="1" applyFont="1" applyAlignment="1">
      <alignment horizontal="right" vertical="top"/>
    </xf>
    <xf numFmtId="174" fontId="23" fillId="0" borderId="0" xfId="112" applyNumberFormat="1" applyFont="1" applyAlignment="1">
      <alignment horizontal="left" vertical="top"/>
    </xf>
    <xf numFmtId="178" fontId="3" fillId="0" borderId="0" xfId="112" applyNumberFormat="1" applyFont="1" applyAlignment="1">
      <alignment vertical="top"/>
    </xf>
    <xf numFmtId="178" fontId="17" fillId="0" borderId="0" xfId="112" applyNumberFormat="1" applyFont="1" applyAlignment="1">
      <alignment horizontal="left" vertical="top"/>
    </xf>
    <xf numFmtId="178" fontId="3" fillId="0" borderId="0" xfId="112" applyNumberFormat="1" applyFont="1" applyAlignment="1">
      <alignment horizontal="right" vertical="top"/>
    </xf>
    <xf numFmtId="178" fontId="22" fillId="0" borderId="0" xfId="112" applyNumberFormat="1" applyFont="1" applyAlignment="1">
      <alignment horizontal="left" vertical="top"/>
    </xf>
    <xf numFmtId="174" fontId="22" fillId="24" borderId="0" xfId="112" applyNumberFormat="1" applyFont="1" applyFill="1" applyAlignment="1">
      <alignment horizontal="left" vertical="top"/>
    </xf>
    <xf numFmtId="174" fontId="24" fillId="22" borderId="0" xfId="112" applyNumberFormat="1" applyFont="1" applyFill="1" applyAlignment="1">
      <alignment vertical="top"/>
    </xf>
    <xf numFmtId="169" fontId="3" fillId="22" borderId="0" xfId="128" applyNumberFormat="1" applyFont="1" applyFill="1" applyAlignment="1">
      <alignment vertical="top"/>
    </xf>
    <xf numFmtId="0" fontId="17" fillId="0" borderId="0" xfId="112" applyFont="1" applyAlignment="1">
      <alignment horizontal="left" vertical="top"/>
    </xf>
    <xf numFmtId="174" fontId="14" fillId="0" borderId="0" xfId="112" applyNumberFormat="1" applyFont="1" applyFill="1" applyAlignment="1">
      <alignment horizontal="right" vertical="top"/>
    </xf>
    <xf numFmtId="169" fontId="3" fillId="0" borderId="0" xfId="128" applyNumberFormat="1" applyFont="1" applyFill="1" applyAlignment="1">
      <alignment vertical="top"/>
    </xf>
    <xf numFmtId="169" fontId="3" fillId="0" borderId="0" xfId="128" applyNumberFormat="1" applyFont="1" applyFill="1" applyAlignment="1">
      <alignment horizontal="right" vertical="top"/>
    </xf>
    <xf numFmtId="169" fontId="17" fillId="0" borderId="0" xfId="112" applyNumberFormat="1" applyFont="1" applyFill="1" applyAlignment="1">
      <alignment horizontal="left" vertical="top"/>
    </xf>
    <xf numFmtId="169" fontId="3" fillId="0" borderId="0" xfId="112" applyNumberFormat="1" applyFont="1" applyFill="1" applyAlignment="1">
      <alignment horizontal="right" vertical="top"/>
    </xf>
    <xf numFmtId="0" fontId="17" fillId="0" borderId="0" xfId="112" applyFont="1" applyFill="1" applyAlignment="1">
      <alignment horizontal="left" vertical="top"/>
    </xf>
    <xf numFmtId="169" fontId="13" fillId="0" borderId="0" xfId="128" applyNumberFormat="1" applyFont="1" applyFill="1" applyAlignment="1">
      <alignment horizontal="right" vertical="top"/>
    </xf>
    <xf numFmtId="0" fontId="13" fillId="0" borderId="0" xfId="112" applyFont="1" applyFill="1" applyAlignment="1">
      <alignment vertical="top"/>
    </xf>
    <xf numFmtId="1" fontId="22" fillId="0" borderId="0" xfId="112" applyNumberFormat="1" applyFont="1" applyAlignment="1">
      <alignment horizontal="left" vertical="top"/>
    </xf>
    <xf numFmtId="0" fontId="22" fillId="0" borderId="0" xfId="112" applyFont="1" applyAlignment="1">
      <alignment horizontal="left" vertical="top"/>
    </xf>
    <xf numFmtId="169" fontId="3" fillId="0" borderId="0" xfId="128" applyNumberFormat="1" applyFont="1" applyAlignment="1">
      <alignment vertical="top"/>
    </xf>
    <xf numFmtId="37" fontId="0" fillId="0" borderId="0" xfId="0" quotePrefix="1" applyAlignment="1">
      <alignment horizontal="left"/>
    </xf>
    <xf numFmtId="174" fontId="14" fillId="0" borderId="0" xfId="112" applyNumberFormat="1" applyFont="1" applyAlignment="1">
      <alignment vertical="top"/>
    </xf>
    <xf numFmtId="174" fontId="14" fillId="23" borderId="0" xfId="112" applyNumberFormat="1" applyFont="1" applyFill="1" applyAlignment="1">
      <alignment horizontal="right" vertical="top"/>
    </xf>
    <xf numFmtId="174" fontId="14" fillId="24" borderId="0" xfId="112" applyNumberFormat="1" applyFont="1" applyFill="1" applyAlignment="1">
      <alignment horizontal="right" vertical="top"/>
    </xf>
    <xf numFmtId="174" fontId="14" fillId="0" borderId="0" xfId="112" applyNumberFormat="1" applyFont="1" applyAlignment="1">
      <alignment horizontal="right" vertical="top"/>
    </xf>
    <xf numFmtId="174" fontId="14" fillId="25" borderId="0" xfId="112" applyNumberFormat="1" applyFont="1" applyFill="1" applyAlignment="1">
      <alignment horizontal="right" vertical="top"/>
    </xf>
    <xf numFmtId="2" fontId="14" fillId="0" borderId="0" xfId="112" applyNumberFormat="1" applyFont="1" applyAlignment="1">
      <alignment horizontal="right" vertical="top"/>
    </xf>
    <xf numFmtId="169" fontId="14" fillId="0" borderId="0" xfId="112" applyNumberFormat="1" applyFont="1" applyAlignment="1">
      <alignment horizontal="right" vertical="top"/>
    </xf>
    <xf numFmtId="169" fontId="14" fillId="25" borderId="0" xfId="112" applyNumberFormat="1" applyFont="1" applyFill="1" applyAlignment="1">
      <alignment horizontal="right" vertical="top"/>
    </xf>
    <xf numFmtId="178" fontId="14" fillId="0" borderId="0" xfId="112" applyNumberFormat="1" applyFont="1" applyAlignment="1">
      <alignment horizontal="right" vertical="top"/>
    </xf>
    <xf numFmtId="0" fontId="14" fillId="0" borderId="0" xfId="112" applyFont="1" applyAlignment="1">
      <alignment vertical="top"/>
    </xf>
    <xf numFmtId="174" fontId="3" fillId="26" borderId="0" xfId="112" applyNumberFormat="1" applyFont="1" applyFill="1" applyAlignment="1">
      <alignment vertical="top"/>
    </xf>
    <xf numFmtId="7" fontId="8" fillId="0" borderId="0" xfId="0" applyNumberFormat="1" applyFont="1"/>
    <xf numFmtId="37" fontId="5" fillId="0" borderId="0" xfId="0" applyFont="1" applyAlignment="1">
      <alignment horizontal="left"/>
    </xf>
    <xf numFmtId="9" fontId="5" fillId="0" borderId="0" xfId="123" applyNumberFormat="1" applyFont="1"/>
    <xf numFmtId="37" fontId="25" fillId="0" borderId="0" xfId="0" applyFont="1"/>
    <xf numFmtId="37" fontId="5" fillId="0" borderId="0" xfId="0" applyFont="1" applyAlignment="1">
      <alignment horizontal="right"/>
    </xf>
    <xf numFmtId="170" fontId="5" fillId="0" borderId="0" xfId="0" applyNumberFormat="1" applyFont="1"/>
    <xf numFmtId="7" fontId="5" fillId="0" borderId="0" xfId="61" applyNumberFormat="1" applyFont="1"/>
    <xf numFmtId="49" fontId="0" fillId="0" borderId="0" xfId="0" applyNumberFormat="1"/>
    <xf numFmtId="171" fontId="5" fillId="0" borderId="0" xfId="0" applyNumberFormat="1" applyFont="1"/>
    <xf numFmtId="169" fontId="5" fillId="0" borderId="0" xfId="123" applyFont="1" applyBorder="1"/>
    <xf numFmtId="37" fontId="5" fillId="17" borderId="0" xfId="0" applyFont="1" applyFill="1"/>
    <xf numFmtId="37" fontId="5" fillId="0" borderId="0" xfId="0" applyFont="1" applyFill="1"/>
    <xf numFmtId="169" fontId="36" fillId="0" borderId="19" xfId="123" quotePrefix="1" applyFont="1" applyFill="1" applyBorder="1" applyAlignment="1" applyProtection="1"/>
    <xf numFmtId="9" fontId="5" fillId="0" borderId="0" xfId="123" quotePrefix="1" applyNumberFormat="1" applyFont="1" applyFill="1" applyBorder="1" applyAlignment="1" applyProtection="1"/>
    <xf numFmtId="169" fontId="5" fillId="0" borderId="0" xfId="123" quotePrefix="1" applyFont="1" applyFill="1" applyBorder="1" applyAlignment="1" applyProtection="1"/>
    <xf numFmtId="169" fontId="7" fillId="0" borderId="0" xfId="123" quotePrefix="1" applyFont="1" applyFill="1" applyBorder="1" applyAlignment="1" applyProtection="1"/>
    <xf numFmtId="37" fontId="5" fillId="0" borderId="0" xfId="0" applyFont="1" applyFill="1" applyBorder="1"/>
    <xf numFmtId="37" fontId="9" fillId="0" borderId="0" xfId="0" applyFont="1" applyFill="1" applyProtection="1"/>
    <xf numFmtId="5" fontId="5" fillId="0" borderId="19" xfId="61" applyNumberFormat="1" applyFont="1" applyFill="1" applyBorder="1"/>
    <xf numFmtId="37" fontId="5" fillId="0" borderId="19" xfId="0" applyFont="1" applyFill="1" applyBorder="1"/>
    <xf numFmtId="37" fontId="5" fillId="0" borderId="0" xfId="60" applyFont="1" applyFill="1" applyBorder="1"/>
    <xf numFmtId="37" fontId="9" fillId="0" borderId="0" xfId="0" applyFont="1" applyFill="1" applyBorder="1"/>
    <xf numFmtId="37" fontId="9" fillId="0" borderId="0" xfId="0" applyFont="1" applyFill="1"/>
    <xf numFmtId="9" fontId="44" fillId="0" borderId="0" xfId="123" quotePrefix="1" applyNumberFormat="1" applyFont="1" applyFill="1" applyBorder="1" applyAlignment="1" applyProtection="1"/>
    <xf numFmtId="9" fontId="44" fillId="0" borderId="19" xfId="123" quotePrefix="1" applyNumberFormat="1" applyFont="1" applyFill="1" applyBorder="1" applyAlignment="1" applyProtection="1"/>
    <xf numFmtId="41" fontId="5" fillId="0" borderId="19" xfId="61" applyNumberFormat="1" applyFont="1" applyFill="1" applyBorder="1" applyProtection="1"/>
    <xf numFmtId="41" fontId="5" fillId="0" borderId="0" xfId="61" applyNumberFormat="1" applyFont="1" applyFill="1" applyBorder="1" applyProtection="1"/>
    <xf numFmtId="41" fontId="8" fillId="0" borderId="0" xfId="60" applyNumberFormat="1" applyFont="1" applyFill="1" applyBorder="1" applyProtection="1"/>
    <xf numFmtId="41" fontId="5" fillId="0" borderId="19" xfId="60" applyNumberFormat="1" applyFont="1" applyFill="1" applyBorder="1" applyProtection="1"/>
    <xf numFmtId="41" fontId="5" fillId="0" borderId="0" xfId="60" applyNumberFormat="1" applyFont="1" applyFill="1" applyBorder="1" applyProtection="1"/>
    <xf numFmtId="41" fontId="8" fillId="0" borderId="19" xfId="60" applyNumberFormat="1" applyFont="1" applyFill="1" applyBorder="1" applyProtection="1"/>
    <xf numFmtId="41" fontId="8" fillId="0" borderId="0" xfId="61" applyNumberFormat="1" applyFont="1" applyFill="1" applyBorder="1" applyProtection="1"/>
    <xf numFmtId="41" fontId="5" fillId="0" borderId="0" xfId="0" applyNumberFormat="1" applyFont="1" applyFill="1" applyBorder="1" applyAlignment="1" applyProtection="1">
      <alignment horizontal="right"/>
    </xf>
    <xf numFmtId="41" fontId="8" fillId="0" borderId="19" xfId="60" applyNumberFormat="1" applyFont="1" applyFill="1" applyBorder="1"/>
    <xf numFmtId="41" fontId="5" fillId="0" borderId="19" xfId="60" applyNumberFormat="1" applyFont="1" applyFill="1" applyBorder="1"/>
    <xf numFmtId="41" fontId="5" fillId="0" borderId="19" xfId="0" applyNumberFormat="1" applyFont="1" applyFill="1" applyBorder="1" applyProtection="1"/>
    <xf numFmtId="41" fontId="5" fillId="0" borderId="0" xfId="0" applyNumberFormat="1" applyFont="1" applyFill="1" applyBorder="1" applyProtection="1"/>
    <xf numFmtId="41" fontId="8" fillId="0" borderId="0" xfId="0" applyNumberFormat="1" applyFont="1" applyFill="1" applyBorder="1" applyProtection="1"/>
    <xf numFmtId="41" fontId="39" fillId="0" borderId="0" xfId="0" applyNumberFormat="1" applyFont="1" applyFill="1" applyBorder="1" applyProtection="1"/>
    <xf numFmtId="41" fontId="15" fillId="0" borderId="0" xfId="60" applyNumberFormat="1" applyFont="1" applyFill="1" applyBorder="1" applyProtection="1"/>
    <xf numFmtId="41" fontId="5" fillId="0" borderId="0" xfId="123" applyNumberFormat="1" applyFont="1" applyFill="1" applyBorder="1" applyProtection="1"/>
    <xf numFmtId="41" fontId="8" fillId="0" borderId="0" xfId="60" quotePrefix="1" applyNumberFormat="1" applyFont="1" applyFill="1" applyBorder="1" applyAlignment="1" applyProtection="1">
      <alignment horizontal="right"/>
    </xf>
    <xf numFmtId="41" fontId="7" fillId="0" borderId="0" xfId="60" quotePrefix="1" applyNumberFormat="1" applyFont="1" applyFill="1" applyBorder="1" applyAlignment="1" applyProtection="1">
      <alignment horizontal="right"/>
    </xf>
    <xf numFmtId="41" fontId="5" fillId="0" borderId="0" xfId="60" quotePrefix="1" applyNumberFormat="1" applyFont="1" applyFill="1" applyBorder="1" applyAlignment="1" applyProtection="1">
      <alignment horizontal="right"/>
    </xf>
    <xf numFmtId="41" fontId="8" fillId="0" borderId="0" xfId="60" applyNumberFormat="1" applyFont="1" applyFill="1" applyBorder="1" applyProtection="1">
      <protection locked="0"/>
    </xf>
    <xf numFmtId="41" fontId="5" fillId="0" borderId="19" xfId="60" quotePrefix="1" applyNumberFormat="1" applyFont="1" applyFill="1" applyBorder="1" applyAlignment="1" applyProtection="1">
      <alignment horizontal="right"/>
    </xf>
    <xf numFmtId="41" fontId="15" fillId="0" borderId="0" xfId="60" quotePrefix="1" applyNumberFormat="1" applyFont="1" applyFill="1" applyBorder="1" applyAlignment="1" applyProtection="1">
      <alignment horizontal="right"/>
    </xf>
    <xf numFmtId="41" fontId="15" fillId="0" borderId="19" xfId="60" quotePrefix="1" applyNumberFormat="1" applyFont="1" applyFill="1" applyBorder="1" applyAlignment="1" applyProtection="1">
      <alignment horizontal="right"/>
    </xf>
    <xf numFmtId="41" fontId="9" fillId="0" borderId="19" xfId="0" quotePrefix="1" applyNumberFormat="1" applyFont="1" applyFill="1" applyBorder="1" applyAlignment="1" applyProtection="1">
      <alignment horizontal="right"/>
    </xf>
    <xf numFmtId="41" fontId="9" fillId="0" borderId="0" xfId="61" quotePrefix="1" applyNumberFormat="1" applyFont="1" applyFill="1" applyBorder="1" applyAlignment="1" applyProtection="1">
      <alignment horizontal="right"/>
    </xf>
    <xf numFmtId="41" fontId="9" fillId="0" borderId="19" xfId="61" quotePrefix="1" applyNumberFormat="1" applyFont="1" applyFill="1" applyBorder="1" applyAlignment="1" applyProtection="1">
      <alignment horizontal="right"/>
    </xf>
    <xf numFmtId="41" fontId="5" fillId="0" borderId="0" xfId="123" quotePrefix="1" applyNumberFormat="1" applyFont="1" applyFill="1" applyBorder="1" applyAlignment="1" applyProtection="1">
      <alignment horizontal="right"/>
    </xf>
    <xf numFmtId="41" fontId="5" fillId="0" borderId="19" xfId="123" quotePrefix="1" applyNumberFormat="1" applyFont="1" applyFill="1" applyBorder="1" applyAlignment="1" applyProtection="1">
      <alignment horizontal="right"/>
    </xf>
    <xf numFmtId="41" fontId="5" fillId="0" borderId="19" xfId="61" applyNumberFormat="1" applyFont="1" applyFill="1" applyBorder="1"/>
    <xf numFmtId="41" fontId="9" fillId="0" borderId="0" xfId="0" applyNumberFormat="1" applyFont="1" applyFill="1" applyBorder="1" applyAlignment="1" applyProtection="1">
      <alignment horizontal="right"/>
    </xf>
    <xf numFmtId="41" fontId="15" fillId="0" borderId="19" xfId="0" applyNumberFormat="1" applyFont="1" applyFill="1" applyBorder="1" applyProtection="1"/>
    <xf numFmtId="41" fontId="5" fillId="0" borderId="19" xfId="0" applyNumberFormat="1" applyFont="1" applyFill="1" applyBorder="1"/>
    <xf numFmtId="41" fontId="5" fillId="0" borderId="0" xfId="61" applyNumberFormat="1" applyFont="1" applyFill="1" applyBorder="1"/>
    <xf numFmtId="41" fontId="8" fillId="0" borderId="0" xfId="0" applyNumberFormat="1" applyFont="1" applyFill="1" applyBorder="1"/>
    <xf numFmtId="41" fontId="7" fillId="0" borderId="0" xfId="0" applyNumberFormat="1" applyFont="1" applyFill="1" applyBorder="1"/>
    <xf numFmtId="41" fontId="5" fillId="0" borderId="0" xfId="0" applyNumberFormat="1" applyFont="1" applyFill="1" applyBorder="1"/>
    <xf numFmtId="41" fontId="8" fillId="0" borderId="0" xfId="60" applyNumberFormat="1" applyFont="1" applyFill="1" applyBorder="1"/>
    <xf numFmtId="41" fontId="7" fillId="0" borderId="0" xfId="60" applyNumberFormat="1" applyFont="1" applyFill="1" applyBorder="1"/>
    <xf numFmtId="41" fontId="40" fillId="0" borderId="0" xfId="60" applyNumberFormat="1" applyFont="1" applyFill="1" applyBorder="1"/>
    <xf numFmtId="41" fontId="8" fillId="0" borderId="0" xfId="61" quotePrefix="1" applyNumberFormat="1" applyFont="1" applyFill="1" applyBorder="1" applyAlignment="1" applyProtection="1"/>
    <xf numFmtId="41" fontId="5" fillId="0" borderId="19" xfId="61" quotePrefix="1" applyNumberFormat="1" applyFont="1" applyFill="1" applyBorder="1" applyAlignment="1" applyProtection="1">
      <alignment horizontal="right"/>
    </xf>
    <xf numFmtId="41" fontId="8" fillId="0" borderId="0" xfId="60" quotePrefix="1" applyNumberFormat="1" applyFont="1" applyFill="1" applyBorder="1" applyAlignment="1" applyProtection="1"/>
    <xf numFmtId="41" fontId="8" fillId="0" borderId="0" xfId="123" applyNumberFormat="1" applyFont="1" applyFill="1" applyBorder="1" applyProtection="1"/>
    <xf numFmtId="41" fontId="5" fillId="0" borderId="19" xfId="123" applyNumberFormat="1" applyFont="1" applyFill="1" applyBorder="1" applyProtection="1"/>
    <xf numFmtId="41" fontId="5" fillId="0" borderId="0" xfId="60" quotePrefix="1" applyNumberFormat="1" applyFont="1" applyFill="1" applyBorder="1" applyAlignment="1" applyProtection="1"/>
    <xf numFmtId="41" fontId="5" fillId="0" borderId="19" xfId="61" applyNumberFormat="1" applyFont="1" applyFill="1" applyBorder="1" applyAlignment="1" applyProtection="1">
      <alignment horizontal="right"/>
    </xf>
    <xf numFmtId="41" fontId="5" fillId="0" borderId="0" xfId="61" quotePrefix="1" applyNumberFormat="1" applyFont="1" applyFill="1" applyBorder="1" applyAlignment="1" applyProtection="1">
      <alignment horizontal="right"/>
    </xf>
    <xf numFmtId="41" fontId="5" fillId="0" borderId="0" xfId="123" quotePrefix="1" applyNumberFormat="1" applyFont="1" applyFill="1" applyBorder="1" applyAlignment="1" applyProtection="1"/>
    <xf numFmtId="41" fontId="8" fillId="0" borderId="0" xfId="123" quotePrefix="1" applyNumberFormat="1" applyFont="1" applyFill="1" applyBorder="1" applyAlignment="1" applyProtection="1"/>
    <xf numFmtId="41" fontId="7" fillId="0" borderId="0" xfId="123" quotePrefix="1" applyNumberFormat="1" applyFont="1" applyFill="1" applyBorder="1" applyAlignment="1" applyProtection="1"/>
    <xf numFmtId="41" fontId="36" fillId="0" borderId="0" xfId="123" quotePrefix="1" applyNumberFormat="1" applyFont="1" applyFill="1" applyBorder="1" applyAlignment="1" applyProtection="1"/>
    <xf numFmtId="41" fontId="36" fillId="0" borderId="0" xfId="60" quotePrefix="1" applyNumberFormat="1" applyFont="1" applyFill="1" applyBorder="1" applyAlignment="1" applyProtection="1"/>
    <xf numFmtId="41" fontId="42" fillId="0" borderId="0" xfId="60" quotePrefix="1" applyNumberFormat="1" applyFont="1" applyFill="1" applyBorder="1" applyAlignment="1" applyProtection="1"/>
    <xf numFmtId="41" fontId="37" fillId="0" borderId="0" xfId="61" quotePrefix="1" applyNumberFormat="1" applyFont="1" applyFill="1" applyBorder="1" applyAlignment="1" applyProtection="1"/>
    <xf numFmtId="41" fontId="39" fillId="0" borderId="0" xfId="60" quotePrefix="1" applyNumberFormat="1" applyFont="1" applyFill="1" applyBorder="1" applyAlignment="1" applyProtection="1"/>
    <xf numFmtId="41" fontId="5" fillId="0" borderId="0" xfId="61" quotePrefix="1" applyNumberFormat="1" applyFont="1" applyFill="1" applyBorder="1" applyAlignment="1" applyProtection="1"/>
    <xf numFmtId="41" fontId="7" fillId="0" borderId="19" xfId="123" quotePrefix="1" applyNumberFormat="1" applyFont="1" applyFill="1" applyBorder="1" applyAlignment="1" applyProtection="1"/>
    <xf numFmtId="37" fontId="38" fillId="0" borderId="0" xfId="0" applyFont="1"/>
    <xf numFmtId="37" fontId="9" fillId="24" borderId="20" xfId="0" applyFont="1" applyFill="1" applyBorder="1"/>
    <xf numFmtId="37" fontId="9" fillId="0" borderId="0" xfId="0" applyFont="1" applyFill="1" applyBorder="1" applyAlignment="1">
      <alignment horizontal="right"/>
    </xf>
    <xf numFmtId="37" fontId="9" fillId="0" borderId="1" xfId="0" applyFont="1" applyFill="1" applyBorder="1"/>
    <xf numFmtId="169" fontId="25" fillId="0" borderId="0" xfId="123" applyFont="1" applyFill="1" applyBorder="1"/>
    <xf numFmtId="9" fontId="9" fillId="0" borderId="0" xfId="123" applyNumberFormat="1" applyFont="1"/>
    <xf numFmtId="37" fontId="5" fillId="0" borderId="21" xfId="0" applyFont="1" applyBorder="1"/>
    <xf numFmtId="37" fontId="5" fillId="0" borderId="19" xfId="0" applyFont="1" applyBorder="1"/>
    <xf numFmtId="37" fontId="9" fillId="0" borderId="0" xfId="0" applyFont="1" applyAlignment="1">
      <alignment horizontal="right"/>
    </xf>
    <xf numFmtId="175" fontId="8" fillId="0" borderId="0" xfId="0" applyNumberFormat="1" applyFont="1"/>
    <xf numFmtId="175" fontId="5" fillId="0" borderId="0" xfId="0" applyNumberFormat="1" applyFont="1"/>
    <xf numFmtId="5" fontId="9" fillId="24" borderId="22" xfId="0" applyNumberFormat="1" applyFont="1" applyFill="1" applyBorder="1"/>
    <xf numFmtId="5" fontId="9" fillId="24" borderId="6" xfId="0" applyNumberFormat="1" applyFont="1" applyFill="1" applyBorder="1"/>
    <xf numFmtId="168" fontId="5" fillId="0" borderId="0" xfId="0" applyNumberFormat="1" applyFont="1"/>
    <xf numFmtId="5" fontId="5" fillId="0" borderId="19" xfId="61" applyNumberFormat="1" applyFont="1" applyBorder="1"/>
    <xf numFmtId="37" fontId="5" fillId="0" borderId="23" xfId="0" applyFont="1" applyBorder="1"/>
    <xf numFmtId="41" fontId="5" fillId="0" borderId="19" xfId="61" applyNumberFormat="1" applyFont="1" applyBorder="1"/>
    <xf numFmtId="37" fontId="9" fillId="17" borderId="20" xfId="0" applyFont="1" applyFill="1" applyBorder="1"/>
    <xf numFmtId="41" fontId="9" fillId="0" borderId="0" xfId="61" applyNumberFormat="1" applyFont="1" applyFill="1" applyBorder="1" applyProtection="1"/>
    <xf numFmtId="37" fontId="7" fillId="0" borderId="0" xfId="0" applyFont="1" applyFill="1"/>
    <xf numFmtId="37" fontId="5" fillId="0" borderId="23" xfId="0" applyFont="1" applyFill="1" applyBorder="1"/>
    <xf numFmtId="37" fontId="9" fillId="0" borderId="18" xfId="0" applyFont="1" applyFill="1" applyBorder="1" applyProtection="1"/>
    <xf numFmtId="37" fontId="5" fillId="0" borderId="6" xfId="0" applyFont="1" applyBorder="1"/>
    <xf numFmtId="168" fontId="9" fillId="0" borderId="0" xfId="0" applyNumberFormat="1" applyFont="1" applyBorder="1" applyAlignment="1">
      <alignment horizontal="left"/>
    </xf>
    <xf numFmtId="37" fontId="9" fillId="0" borderId="0" xfId="0" applyFont="1" applyBorder="1" applyAlignment="1">
      <alignment horizontal="left"/>
    </xf>
    <xf numFmtId="169" fontId="5" fillId="0" borderId="19" xfId="123" applyFont="1" applyBorder="1"/>
    <xf numFmtId="37" fontId="9" fillId="0" borderId="0" xfId="0" applyFont="1" applyBorder="1" applyAlignment="1">
      <alignment horizontal="right"/>
    </xf>
    <xf numFmtId="37" fontId="9" fillId="0" borderId="0" xfId="0" applyFont="1" applyBorder="1"/>
    <xf numFmtId="7" fontId="8" fillId="0" borderId="0" xfId="61" applyNumberFormat="1" applyFont="1" applyFill="1" applyBorder="1"/>
    <xf numFmtId="37" fontId="9" fillId="0" borderId="1" xfId="0" applyFont="1" applyBorder="1"/>
    <xf numFmtId="37" fontId="9" fillId="17" borderId="0" xfId="0" applyFont="1" applyFill="1"/>
    <xf numFmtId="7" fontId="9" fillId="0" borderId="0" xfId="61" applyNumberFormat="1" applyFont="1"/>
    <xf numFmtId="37" fontId="9" fillId="0" borderId="24" xfId="0" applyFont="1" applyBorder="1"/>
    <xf numFmtId="37" fontId="5" fillId="0" borderId="5" xfId="0" applyFont="1" applyBorder="1"/>
    <xf numFmtId="37" fontId="9" fillId="0" borderId="5" xfId="0" applyFont="1" applyBorder="1"/>
    <xf numFmtId="175" fontId="8" fillId="0" borderId="0" xfId="0" applyNumberFormat="1" applyFont="1" applyFill="1" applyBorder="1"/>
    <xf numFmtId="7" fontId="9" fillId="0" borderId="25" xfId="61" applyNumberFormat="1" applyFont="1" applyBorder="1"/>
    <xf numFmtId="169" fontId="25" fillId="0" borderId="0" xfId="123" quotePrefix="1" applyFont="1" applyFill="1" applyBorder="1" applyAlignment="1" applyProtection="1"/>
    <xf numFmtId="9" fontId="25" fillId="0" borderId="0" xfId="123" quotePrefix="1" applyNumberFormat="1" applyFont="1" applyFill="1" applyBorder="1" applyAlignment="1" applyProtection="1"/>
    <xf numFmtId="9" fontId="25" fillId="0" borderId="19" xfId="123" quotePrefix="1" applyNumberFormat="1" applyFont="1" applyFill="1" applyBorder="1" applyAlignment="1" applyProtection="1"/>
    <xf numFmtId="169" fontId="44" fillId="0" borderId="0" xfId="123" quotePrefix="1" applyFont="1" applyFill="1" applyBorder="1" applyAlignment="1" applyProtection="1"/>
    <xf numFmtId="169" fontId="44" fillId="0" borderId="19" xfId="123" quotePrefix="1" applyFont="1" applyFill="1" applyBorder="1" applyAlignment="1" applyProtection="1"/>
    <xf numFmtId="37" fontId="45" fillId="0" borderId="0" xfId="0" applyFont="1"/>
    <xf numFmtId="37" fontId="8" fillId="0" borderId="0" xfId="0" applyFont="1" applyBorder="1"/>
    <xf numFmtId="9" fontId="5" fillId="0" borderId="19" xfId="123" applyNumberFormat="1" applyFont="1" applyBorder="1"/>
    <xf numFmtId="9" fontId="9" fillId="0" borderId="0" xfId="123" applyNumberFormat="1" applyFont="1" applyFill="1" applyBorder="1"/>
    <xf numFmtId="9" fontId="5" fillId="0" borderId="0" xfId="123" applyNumberFormat="1" applyFont="1" applyBorder="1"/>
    <xf numFmtId="41" fontId="5" fillId="0" borderId="19" xfId="0" applyNumberFormat="1" applyFont="1" applyFill="1" applyBorder="1" applyAlignment="1" applyProtection="1">
      <alignment horizontal="right"/>
    </xf>
    <xf numFmtId="37" fontId="9" fillId="0" borderId="1" xfId="0" applyFont="1" applyBorder="1" applyAlignment="1">
      <alignment horizontal="center"/>
    </xf>
    <xf numFmtId="41" fontId="9" fillId="0" borderId="19" xfId="61" applyNumberFormat="1" applyFont="1" applyFill="1" applyBorder="1" applyProtection="1"/>
    <xf numFmtId="0" fontId="5" fillId="0"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indent="1"/>
    </xf>
    <xf numFmtId="41" fontId="9" fillId="0" borderId="19" xfId="60" applyNumberFormat="1" applyFont="1" applyFill="1" applyBorder="1"/>
    <xf numFmtId="41" fontId="9" fillId="0" borderId="0" xfId="60" applyNumberFormat="1" applyFont="1" applyFill="1" applyBorder="1"/>
    <xf numFmtId="41" fontId="15" fillId="0" borderId="0" xfId="0" applyNumberFormat="1" applyFont="1" applyFill="1" applyBorder="1" applyProtection="1"/>
    <xf numFmtId="169" fontId="5" fillId="0" borderId="0" xfId="0" applyNumberFormat="1" applyFont="1"/>
    <xf numFmtId="0" fontId="9" fillId="0" borderId="0" xfId="0" applyNumberFormat="1" applyFont="1" applyFill="1" applyBorder="1" applyAlignment="1" applyProtection="1">
      <alignment horizontal="left"/>
    </xf>
    <xf numFmtId="0" fontId="5" fillId="0" borderId="0" xfId="60" applyNumberFormat="1" applyFont="1" applyFill="1" applyBorder="1" applyAlignment="1" applyProtection="1">
      <alignment horizontal="left"/>
    </xf>
    <xf numFmtId="0" fontId="36" fillId="0" borderId="0" xfId="0" applyNumberFormat="1" applyFont="1" applyFill="1" applyBorder="1" applyAlignment="1" applyProtection="1">
      <alignment horizontal="left"/>
    </xf>
    <xf numFmtId="0" fontId="9" fillId="0" borderId="0" xfId="61" applyNumberFormat="1" applyFont="1" applyFill="1" applyBorder="1" applyAlignment="1" applyProtection="1">
      <alignment horizontal="left"/>
    </xf>
    <xf numFmtId="41" fontId="9" fillId="0" borderId="0" xfId="123" quotePrefix="1" applyNumberFormat="1" applyFont="1" applyFill="1" applyBorder="1" applyAlignment="1" applyProtection="1"/>
    <xf numFmtId="41" fontId="37" fillId="0" borderId="0" xfId="60" quotePrefix="1" applyNumberFormat="1" applyFont="1" applyFill="1" applyBorder="1" applyAlignment="1" applyProtection="1"/>
    <xf numFmtId="41" fontId="37" fillId="0" borderId="19" xfId="60" quotePrefix="1" applyNumberFormat="1" applyFont="1" applyFill="1" applyBorder="1" applyAlignment="1" applyProtection="1"/>
    <xf numFmtId="41" fontId="7" fillId="0" borderId="0" xfId="0" applyNumberFormat="1" applyFont="1" applyFill="1" applyBorder="1" applyProtection="1"/>
    <xf numFmtId="41" fontId="40" fillId="0" borderId="0" xfId="0" applyNumberFormat="1" applyFont="1" applyFill="1" applyBorder="1" applyProtection="1"/>
    <xf numFmtId="41" fontId="9" fillId="0" borderId="0" xfId="0" applyNumberFormat="1" applyFont="1" applyFill="1" applyBorder="1"/>
    <xf numFmtId="41" fontId="5" fillId="0" borderId="0" xfId="60" applyNumberFormat="1" applyFont="1" applyFill="1" applyBorder="1"/>
    <xf numFmtId="41" fontId="7" fillId="0" borderId="0" xfId="60" applyNumberFormat="1" applyFont="1" applyFill="1" applyBorder="1" applyProtection="1">
      <protection locked="0"/>
    </xf>
    <xf numFmtId="41" fontId="40" fillId="0" borderId="0" xfId="60" applyNumberFormat="1" applyFont="1" applyFill="1" applyBorder="1" applyProtection="1">
      <protection locked="0"/>
    </xf>
    <xf numFmtId="41" fontId="5" fillId="0" borderId="0" xfId="60" applyNumberFormat="1" applyFont="1" applyFill="1" applyBorder="1" applyProtection="1">
      <protection locked="0"/>
    </xf>
    <xf numFmtId="41" fontId="39" fillId="0" borderId="0" xfId="60" applyNumberFormat="1" applyFont="1" applyFill="1" applyBorder="1" applyProtection="1">
      <protection locked="0"/>
    </xf>
    <xf numFmtId="41" fontId="15" fillId="0" borderId="0" xfId="61" applyNumberFormat="1" applyFont="1" applyFill="1" applyBorder="1"/>
    <xf numFmtId="0" fontId="9" fillId="0" borderId="0" xfId="0" applyNumberFormat="1" applyFont="1" applyFill="1" applyBorder="1" applyProtection="1"/>
    <xf numFmtId="0" fontId="9" fillId="24" borderId="20" xfId="0" applyNumberFormat="1" applyFont="1" applyFill="1" applyBorder="1" applyAlignment="1" applyProtection="1">
      <alignment horizontal="left"/>
    </xf>
    <xf numFmtId="0" fontId="9" fillId="0" borderId="0" xfId="0" applyNumberFormat="1" applyFont="1" applyFill="1" applyBorder="1"/>
    <xf numFmtId="0" fontId="9" fillId="24" borderId="20" xfId="60" applyNumberFormat="1" applyFont="1" applyFill="1" applyBorder="1" applyAlignment="1" applyProtection="1">
      <alignment horizontal="left"/>
    </xf>
    <xf numFmtId="169" fontId="43" fillId="0" borderId="0" xfId="123" quotePrefix="1" applyFont="1" applyFill="1" applyBorder="1" applyAlignment="1" applyProtection="1"/>
    <xf numFmtId="0" fontId="5" fillId="0" borderId="0" xfId="61" applyNumberFormat="1" applyFont="1" applyFill="1" applyBorder="1" applyAlignment="1" applyProtection="1">
      <alignment horizontal="left"/>
    </xf>
    <xf numFmtId="0" fontId="5" fillId="0" borderId="0" xfId="60" applyNumberFormat="1" applyFont="1" applyFill="1" applyBorder="1" applyAlignment="1" applyProtection="1">
      <alignment horizontal="left" indent="1"/>
    </xf>
    <xf numFmtId="0" fontId="38" fillId="0" borderId="0" xfId="60" applyNumberFormat="1" applyFont="1" applyFill="1" applyBorder="1" applyAlignment="1" applyProtection="1">
      <alignment horizontal="left"/>
    </xf>
    <xf numFmtId="9" fontId="43" fillId="0" borderId="0" xfId="123" quotePrefix="1" applyNumberFormat="1" applyFont="1" applyFill="1" applyBorder="1" applyAlignment="1" applyProtection="1"/>
    <xf numFmtId="41" fontId="5" fillId="0" borderId="19" xfId="60" quotePrefix="1" applyNumberFormat="1" applyFont="1" applyFill="1" applyBorder="1" applyAlignment="1" applyProtection="1"/>
    <xf numFmtId="41" fontId="15" fillId="0" borderId="19" xfId="60" quotePrefix="1" applyNumberFormat="1" applyFont="1" applyFill="1" applyBorder="1" applyAlignment="1" applyProtection="1"/>
    <xf numFmtId="41" fontId="15" fillId="0" borderId="0" xfId="60" quotePrefix="1" applyNumberFormat="1" applyFont="1" applyFill="1" applyBorder="1" applyAlignment="1" applyProtection="1"/>
    <xf numFmtId="41" fontId="9" fillId="0" borderId="0" xfId="60" quotePrefix="1" applyNumberFormat="1" applyFont="1" applyFill="1" applyBorder="1" applyAlignment="1" applyProtection="1"/>
    <xf numFmtId="41" fontId="5" fillId="0" borderId="0" xfId="61" applyNumberFormat="1" applyFont="1" applyFill="1" applyBorder="1" applyAlignment="1" applyProtection="1">
      <alignment horizontal="right"/>
    </xf>
    <xf numFmtId="0" fontId="5" fillId="0" borderId="0" xfId="0" applyNumberFormat="1" applyFont="1" applyFill="1" applyBorder="1"/>
    <xf numFmtId="0" fontId="15" fillId="0" borderId="0" xfId="0" applyNumberFormat="1" applyFont="1" applyFill="1" applyBorder="1"/>
    <xf numFmtId="0" fontId="5" fillId="0" borderId="0" xfId="0" applyNumberFormat="1" applyFont="1" applyFill="1" applyBorder="1" applyProtection="1"/>
    <xf numFmtId="41" fontId="9" fillId="0" borderId="0" xfId="60" quotePrefix="1" applyNumberFormat="1" applyFont="1" applyFill="1" applyBorder="1" applyAlignment="1" applyProtection="1">
      <alignment horizontal="right"/>
    </xf>
    <xf numFmtId="0" fontId="9" fillId="17" borderId="20" xfId="0" applyNumberFormat="1" applyFont="1" applyFill="1" applyBorder="1" applyAlignment="1" applyProtection="1">
      <alignment horizontal="left"/>
    </xf>
    <xf numFmtId="0" fontId="9" fillId="17" borderId="20" xfId="0" applyNumberFormat="1" applyFont="1" applyFill="1" applyBorder="1" applyProtection="1"/>
    <xf numFmtId="0" fontId="9" fillId="24" borderId="20" xfId="61" applyNumberFormat="1" applyFont="1" applyFill="1" applyBorder="1" applyAlignment="1" applyProtection="1"/>
    <xf numFmtId="41" fontId="9" fillId="0" borderId="19" xfId="0" applyNumberFormat="1" applyFont="1" applyFill="1" applyBorder="1" applyAlignment="1" applyProtection="1">
      <alignment horizontal="right"/>
    </xf>
    <xf numFmtId="37" fontId="38" fillId="0" borderId="0" xfId="0" applyFont="1" applyFill="1"/>
    <xf numFmtId="37" fontId="9" fillId="0" borderId="0" xfId="0" quotePrefix="1" applyFont="1" applyFill="1" applyAlignment="1">
      <alignment horizontal="left"/>
    </xf>
    <xf numFmtId="0" fontId="5" fillId="0" borderId="0" xfId="0" applyNumberFormat="1" applyFont="1" applyFill="1" applyBorder="1" applyAlignment="1">
      <alignment horizontal="left"/>
    </xf>
    <xf numFmtId="0" fontId="5" fillId="0" borderId="0" xfId="0" applyNumberFormat="1" applyFont="1" applyFill="1" applyBorder="1" applyAlignment="1">
      <alignment horizontal="left" indent="1"/>
    </xf>
    <xf numFmtId="0" fontId="9" fillId="0" borderId="0" xfId="0" applyNumberFormat="1" applyFont="1" applyFill="1" applyBorder="1" applyAlignment="1">
      <alignment horizontal="left"/>
    </xf>
    <xf numFmtId="0" fontId="37" fillId="0" borderId="0" xfId="0" applyNumberFormat="1" applyFont="1" applyFill="1" applyBorder="1" applyAlignment="1" applyProtection="1">
      <alignment horizontal="left"/>
    </xf>
    <xf numFmtId="7" fontId="8" fillId="0" borderId="0" xfId="61" applyNumberFormat="1" applyFont="1" applyFill="1" applyBorder="1" applyAlignment="1" applyProtection="1">
      <alignment horizontal="right"/>
    </xf>
    <xf numFmtId="41" fontId="9" fillId="0" borderId="0" xfId="0" quotePrefix="1" applyNumberFormat="1" applyFont="1" applyFill="1" applyBorder="1" applyAlignment="1" applyProtection="1">
      <alignment horizontal="right"/>
    </xf>
    <xf numFmtId="7" fontId="5" fillId="0" borderId="0" xfId="61" applyNumberFormat="1" applyFont="1" applyFill="1" applyBorder="1" applyAlignment="1" applyProtection="1">
      <alignment horizontal="right"/>
    </xf>
    <xf numFmtId="0" fontId="5" fillId="0" borderId="0" xfId="61" applyNumberFormat="1" applyFont="1" applyFill="1" applyBorder="1" applyAlignment="1" applyProtection="1">
      <alignment horizontal="left" indent="1"/>
    </xf>
    <xf numFmtId="41" fontId="5" fillId="0" borderId="0" xfId="0" applyNumberFormat="1" applyFont="1" applyBorder="1"/>
    <xf numFmtId="0" fontId="25" fillId="0" borderId="0" xfId="0" applyNumberFormat="1" applyFont="1" applyFill="1" applyBorder="1" applyAlignment="1" applyProtection="1">
      <alignment horizontal="left"/>
    </xf>
    <xf numFmtId="0" fontId="15" fillId="0" borderId="0" xfId="60" applyNumberFormat="1" applyFont="1" applyFill="1" applyBorder="1" applyAlignment="1" applyProtection="1">
      <alignment horizontal="left"/>
    </xf>
    <xf numFmtId="0" fontId="5" fillId="0" borderId="0" xfId="60" quotePrefix="1" applyNumberFormat="1" applyFont="1" applyFill="1" applyBorder="1" applyAlignment="1" applyProtection="1">
      <alignment horizontal="left"/>
    </xf>
    <xf numFmtId="0" fontId="25" fillId="0" borderId="0" xfId="0" applyNumberFormat="1" applyFont="1" applyFill="1" applyBorder="1"/>
    <xf numFmtId="0" fontId="25" fillId="0" borderId="0" xfId="0" applyNumberFormat="1" applyFont="1" applyFill="1" applyBorder="1" applyAlignment="1">
      <alignment horizontal="left" indent="1"/>
    </xf>
    <xf numFmtId="0" fontId="25" fillId="0" borderId="0" xfId="60" applyNumberFormat="1" applyFont="1" applyFill="1" applyBorder="1" applyAlignment="1" applyProtection="1">
      <alignment horizontal="left"/>
    </xf>
    <xf numFmtId="41" fontId="9" fillId="0" borderId="0" xfId="61" applyNumberFormat="1" applyFont="1" applyFill="1" applyBorder="1" applyAlignment="1" applyProtection="1">
      <alignment horizontal="right"/>
    </xf>
    <xf numFmtId="0" fontId="25" fillId="27" borderId="0" xfId="0" applyNumberFormat="1" applyFont="1" applyFill="1" applyBorder="1" applyProtection="1"/>
    <xf numFmtId="0" fontId="5" fillId="0" borderId="0" xfId="0" applyNumberFormat="1" applyFont="1" applyBorder="1"/>
    <xf numFmtId="41" fontId="9" fillId="0" borderId="0" xfId="0" applyNumberFormat="1" applyFont="1" applyFill="1" applyBorder="1" applyProtection="1"/>
    <xf numFmtId="41" fontId="9" fillId="0" borderId="0" xfId="61" applyNumberFormat="1" applyFont="1" applyFill="1" applyBorder="1"/>
    <xf numFmtId="41" fontId="9" fillId="0" borderId="0" xfId="0" applyNumberFormat="1" applyFont="1" applyBorder="1"/>
    <xf numFmtId="41" fontId="8" fillId="0" borderId="0" xfId="60" applyNumberFormat="1" applyFont="1" applyFill="1" applyBorder="1" applyAlignment="1" applyProtection="1">
      <alignment horizontal="right"/>
    </xf>
    <xf numFmtId="41" fontId="36" fillId="0" borderId="0" xfId="0" applyNumberFormat="1" applyFont="1" applyFill="1" applyBorder="1" applyAlignment="1" applyProtection="1">
      <alignment horizontal="right"/>
    </xf>
    <xf numFmtId="41" fontId="41" fillId="0" borderId="0" xfId="61" applyNumberFormat="1" applyFont="1" applyFill="1" applyBorder="1" applyAlignment="1" applyProtection="1">
      <alignment horizontal="right"/>
    </xf>
    <xf numFmtId="41" fontId="8" fillId="0" borderId="0" xfId="123" quotePrefix="1" applyNumberFormat="1" applyFont="1" applyFill="1" applyBorder="1" applyAlignment="1" applyProtection="1">
      <alignment horizontal="right"/>
    </xf>
    <xf numFmtId="41" fontId="7" fillId="0" borderId="0" xfId="123" quotePrefix="1" applyNumberFormat="1" applyFont="1" applyFill="1" applyBorder="1" applyAlignment="1" applyProtection="1">
      <alignment horizontal="right"/>
    </xf>
    <xf numFmtId="41" fontId="26" fillId="0" borderId="0" xfId="60" applyNumberFormat="1" applyFont="1" applyFill="1" applyBorder="1"/>
    <xf numFmtId="41" fontId="39" fillId="0" borderId="0" xfId="123" quotePrefix="1" applyNumberFormat="1" applyFont="1" applyFill="1" applyBorder="1" applyAlignment="1" applyProtection="1">
      <alignment horizontal="right"/>
    </xf>
    <xf numFmtId="41" fontId="15" fillId="0" borderId="0" xfId="123" quotePrefix="1" applyNumberFormat="1" applyFont="1" applyFill="1" applyBorder="1" applyAlignment="1" applyProtection="1">
      <alignment horizontal="right"/>
    </xf>
    <xf numFmtId="41" fontId="40" fillId="0" borderId="0" xfId="123" quotePrefix="1" applyNumberFormat="1" applyFont="1" applyFill="1" applyBorder="1" applyAlignment="1" applyProtection="1">
      <alignment horizontal="right"/>
    </xf>
    <xf numFmtId="41" fontId="25" fillId="0" borderId="0" xfId="123" quotePrefix="1" applyNumberFormat="1" applyFont="1" applyFill="1" applyBorder="1" applyAlignment="1" applyProtection="1">
      <alignment horizontal="right"/>
    </xf>
    <xf numFmtId="41" fontId="26" fillId="0" borderId="0" xfId="123" quotePrefix="1" applyNumberFormat="1" applyFont="1" applyFill="1" applyBorder="1" applyAlignment="1" applyProtection="1"/>
    <xf numFmtId="41" fontId="9" fillId="0" borderId="0" xfId="61" quotePrefix="1" applyNumberFormat="1" applyFont="1" applyFill="1" applyBorder="1" applyAlignment="1" applyProtection="1"/>
    <xf numFmtId="41" fontId="25" fillId="0" borderId="0" xfId="123" quotePrefix="1" applyNumberFormat="1" applyFont="1" applyFill="1" applyBorder="1" applyAlignment="1" applyProtection="1"/>
    <xf numFmtId="41" fontId="44" fillId="0" borderId="0" xfId="123" quotePrefix="1" applyNumberFormat="1" applyFont="1" applyFill="1" applyBorder="1" applyAlignment="1" applyProtection="1"/>
    <xf numFmtId="41" fontId="45" fillId="0" borderId="0" xfId="123" quotePrefix="1" applyNumberFormat="1" applyFont="1" applyFill="1" applyBorder="1" applyAlignment="1" applyProtection="1"/>
    <xf numFmtId="41" fontId="43" fillId="0" borderId="0" xfId="60" quotePrefix="1" applyNumberFormat="1" applyFont="1" applyFill="1" applyBorder="1" applyAlignment="1" applyProtection="1"/>
    <xf numFmtId="41" fontId="25" fillId="0" borderId="0" xfId="60" quotePrefix="1" applyNumberFormat="1" applyFont="1" applyFill="1" applyBorder="1" applyAlignment="1" applyProtection="1"/>
    <xf numFmtId="41" fontId="5" fillId="0" borderId="0" xfId="0" applyNumberFormat="1" applyFont="1" applyFill="1" applyBorder="1" applyProtection="1">
      <protection locked="0"/>
    </xf>
    <xf numFmtId="41" fontId="7" fillId="0" borderId="0" xfId="61" applyNumberFormat="1" applyFont="1" applyFill="1" applyBorder="1" applyProtection="1">
      <protection locked="0"/>
    </xf>
    <xf numFmtId="41" fontId="25" fillId="0" borderId="0" xfId="0" applyNumberFormat="1" applyFont="1" applyFill="1" applyBorder="1" applyProtection="1"/>
    <xf numFmtId="41" fontId="25" fillId="27" borderId="0" xfId="0" applyNumberFormat="1" applyFont="1" applyFill="1" applyBorder="1" applyProtection="1"/>
    <xf numFmtId="41" fontId="9" fillId="17" borderId="6" xfId="0" quotePrefix="1" applyNumberFormat="1" applyFont="1" applyFill="1" applyBorder="1" applyAlignment="1" applyProtection="1">
      <alignment horizontal="right"/>
    </xf>
    <xf numFmtId="183" fontId="5" fillId="0" borderId="0" xfId="60" quotePrefix="1" applyNumberFormat="1" applyFont="1" applyFill="1" applyBorder="1" applyAlignment="1" applyProtection="1"/>
    <xf numFmtId="0" fontId="9" fillId="17" borderId="20" xfId="60" applyNumberFormat="1" applyFont="1" applyFill="1" applyBorder="1" applyAlignment="1" applyProtection="1">
      <alignment horizontal="left"/>
    </xf>
    <xf numFmtId="41" fontId="9" fillId="24" borderId="6" xfId="61" applyNumberFormat="1" applyFont="1" applyFill="1" applyBorder="1" applyProtection="1"/>
    <xf numFmtId="41" fontId="36" fillId="0" borderId="19" xfId="60" quotePrefix="1" applyNumberFormat="1" applyFont="1" applyFill="1" applyBorder="1" applyAlignment="1" applyProtection="1"/>
    <xf numFmtId="41" fontId="9" fillId="17" borderId="10" xfId="0" quotePrefix="1" applyNumberFormat="1" applyFont="1" applyFill="1" applyBorder="1" applyAlignment="1" applyProtection="1">
      <alignment horizontal="right"/>
    </xf>
    <xf numFmtId="41" fontId="9" fillId="0" borderId="19" xfId="61" applyNumberFormat="1" applyFont="1" applyFill="1" applyBorder="1"/>
    <xf numFmtId="41" fontId="9" fillId="0" borderId="19" xfId="0" applyNumberFormat="1" applyFont="1" applyFill="1" applyBorder="1" applyProtection="1"/>
    <xf numFmtId="41" fontId="5" fillId="0" borderId="19" xfId="61" quotePrefix="1" applyNumberFormat="1" applyFont="1" applyFill="1" applyBorder="1" applyAlignment="1" applyProtection="1"/>
    <xf numFmtId="41" fontId="8" fillId="0" borderId="19" xfId="123" applyNumberFormat="1" applyFont="1" applyFill="1" applyBorder="1" applyProtection="1"/>
    <xf numFmtId="41" fontId="36" fillId="0" borderId="19" xfId="0" applyNumberFormat="1" applyFont="1" applyFill="1" applyBorder="1" applyAlignment="1" applyProtection="1">
      <alignment horizontal="right"/>
    </xf>
    <xf numFmtId="41" fontId="9" fillId="0" borderId="19" xfId="60" quotePrefix="1" applyNumberFormat="1" applyFont="1" applyFill="1" applyBorder="1" applyAlignment="1" applyProtection="1">
      <alignment horizontal="right"/>
    </xf>
    <xf numFmtId="41" fontId="26" fillId="0" borderId="19" xfId="123" quotePrefix="1" applyNumberFormat="1" applyFont="1" applyFill="1" applyBorder="1" applyAlignment="1" applyProtection="1"/>
    <xf numFmtId="41" fontId="25" fillId="0" borderId="19" xfId="123" quotePrefix="1" applyNumberFormat="1" applyFont="1" applyFill="1" applyBorder="1" applyAlignment="1" applyProtection="1"/>
    <xf numFmtId="41" fontId="44" fillId="0" borderId="19" xfId="123" quotePrefix="1" applyNumberFormat="1" applyFont="1" applyFill="1" applyBorder="1" applyAlignment="1" applyProtection="1"/>
    <xf numFmtId="41" fontId="8" fillId="0" borderId="19" xfId="60" quotePrefix="1" applyNumberFormat="1" applyFont="1" applyFill="1" applyBorder="1" applyAlignment="1" applyProtection="1"/>
    <xf numFmtId="41" fontId="5" fillId="0" borderId="19" xfId="123" quotePrefix="1" applyNumberFormat="1" applyFont="1" applyFill="1" applyBorder="1" applyAlignment="1" applyProtection="1"/>
    <xf numFmtId="41" fontId="8" fillId="0" borderId="19" xfId="123" quotePrefix="1" applyNumberFormat="1" applyFont="1" applyFill="1" applyBorder="1" applyAlignment="1" applyProtection="1"/>
    <xf numFmtId="41" fontId="42" fillId="0" borderId="19" xfId="60" quotePrefix="1" applyNumberFormat="1" applyFont="1" applyFill="1" applyBorder="1" applyAlignment="1" applyProtection="1"/>
    <xf numFmtId="41" fontId="9" fillId="0" borderId="19" xfId="123" quotePrefix="1" applyNumberFormat="1" applyFont="1" applyFill="1" applyBorder="1" applyAlignment="1" applyProtection="1"/>
    <xf numFmtId="41" fontId="43" fillId="0" borderId="19" xfId="60" quotePrefix="1" applyNumberFormat="1" applyFont="1" applyFill="1" applyBorder="1" applyAlignment="1" applyProtection="1"/>
    <xf numFmtId="41" fontId="39" fillId="0" borderId="19" xfId="60" quotePrefix="1" applyNumberFormat="1" applyFont="1" applyFill="1" applyBorder="1" applyAlignment="1" applyProtection="1"/>
    <xf numFmtId="41" fontId="5" fillId="0" borderId="19" xfId="0" applyNumberFormat="1" applyFont="1" applyBorder="1"/>
    <xf numFmtId="169" fontId="25" fillId="0" borderId="19" xfId="123" quotePrefix="1" applyFont="1" applyFill="1" applyBorder="1" applyAlignment="1" applyProtection="1"/>
    <xf numFmtId="169" fontId="43" fillId="0" borderId="19" xfId="123" quotePrefix="1" applyFont="1" applyFill="1" applyBorder="1" applyAlignment="1" applyProtection="1"/>
    <xf numFmtId="169" fontId="7" fillId="0" borderId="19" xfId="123" quotePrefix="1" applyFont="1" applyFill="1" applyBorder="1" applyAlignment="1" applyProtection="1"/>
    <xf numFmtId="9" fontId="5" fillId="0" borderId="0" xfId="123" applyNumberFormat="1" applyFont="1" applyFill="1" applyBorder="1"/>
    <xf numFmtId="9" fontId="43" fillId="0" borderId="19" xfId="123" quotePrefix="1" applyNumberFormat="1" applyFont="1" applyFill="1" applyBorder="1" applyAlignment="1" applyProtection="1"/>
    <xf numFmtId="37" fontId="9" fillId="0" borderId="0" xfId="109" applyFont="1"/>
    <xf numFmtId="37" fontId="5" fillId="0" borderId="0" xfId="109" applyFont="1" applyAlignment="1">
      <alignment horizontal="right"/>
    </xf>
    <xf numFmtId="37" fontId="5" fillId="0" borderId="0" xfId="109" applyFont="1"/>
    <xf numFmtId="37" fontId="9" fillId="0" borderId="0" xfId="109" applyFont="1" applyAlignment="1">
      <alignment horizontal="right"/>
    </xf>
    <xf numFmtId="37" fontId="9" fillId="0" borderId="1" xfId="109" applyFont="1" applyBorder="1"/>
    <xf numFmtId="37" fontId="9" fillId="0" borderId="1" xfId="109" applyFont="1" applyBorder="1" applyAlignment="1">
      <alignment horizontal="right"/>
    </xf>
    <xf numFmtId="37" fontId="5" fillId="0" borderId="1" xfId="109" applyFont="1" applyBorder="1"/>
    <xf numFmtId="37" fontId="5" fillId="0" borderId="1" xfId="109" applyFont="1" applyBorder="1" applyAlignment="1">
      <alignment horizontal="right"/>
    </xf>
    <xf numFmtId="37" fontId="5" fillId="0" borderId="0" xfId="109" applyFont="1" applyBorder="1"/>
    <xf numFmtId="37" fontId="5" fillId="0" borderId="0" xfId="109" applyFont="1" applyBorder="1" applyAlignment="1">
      <alignment horizontal="right"/>
    </xf>
    <xf numFmtId="37" fontId="9" fillId="0" borderId="0" xfId="109" applyFont="1" applyBorder="1"/>
    <xf numFmtId="37" fontId="9" fillId="0" borderId="0" xfId="109" applyFont="1" applyBorder="1" applyAlignment="1">
      <alignment horizontal="right"/>
    </xf>
    <xf numFmtId="37" fontId="5" fillId="0" borderId="1" xfId="109" applyFont="1" applyFill="1" applyBorder="1"/>
    <xf numFmtId="37" fontId="5" fillId="0" borderId="0" xfId="109" applyFont="1" applyFill="1"/>
    <xf numFmtId="37" fontId="9" fillId="0" borderId="0" xfId="109" applyFont="1" applyFill="1"/>
    <xf numFmtId="37" fontId="38" fillId="0" borderId="0" xfId="109" applyFont="1"/>
    <xf numFmtId="7" fontId="36" fillId="0" borderId="0" xfId="61" applyNumberFormat="1" applyFont="1" applyFill="1" applyBorder="1" applyAlignment="1" applyProtection="1">
      <alignment horizontal="right"/>
    </xf>
    <xf numFmtId="0" fontId="5" fillId="0" borderId="18" xfId="0" applyNumberFormat="1" applyFont="1" applyFill="1" applyBorder="1" applyAlignment="1" applyProtection="1">
      <alignment horizontal="left"/>
    </xf>
    <xf numFmtId="0" fontId="9" fillId="0" borderId="18" xfId="0" applyNumberFormat="1" applyFont="1" applyFill="1" applyBorder="1" applyProtection="1"/>
    <xf numFmtId="0" fontId="5" fillId="0" borderId="18" xfId="0" applyNumberFormat="1" applyFont="1" applyFill="1" applyBorder="1" applyProtection="1"/>
    <xf numFmtId="0" fontId="15" fillId="0" borderId="0" xfId="0" applyNumberFormat="1" applyFont="1" applyFill="1" applyBorder="1" applyAlignment="1">
      <alignment horizontal="left"/>
    </xf>
    <xf numFmtId="169" fontId="5" fillId="0" borderId="0" xfId="123" applyFont="1" applyFill="1" applyBorder="1" applyAlignment="1" applyProtection="1">
      <alignment horizontal="left"/>
    </xf>
    <xf numFmtId="169" fontId="5" fillId="0" borderId="0" xfId="123" applyFont="1" applyFill="1" applyBorder="1" applyAlignment="1" applyProtection="1">
      <alignment horizontal="right"/>
    </xf>
    <xf numFmtId="169" fontId="5" fillId="0" borderId="0" xfId="123" applyFont="1" applyFill="1" applyBorder="1" applyProtection="1"/>
    <xf numFmtId="169" fontId="8" fillId="0" borderId="19" xfId="123" applyFont="1" applyFill="1" applyBorder="1" applyProtection="1"/>
    <xf numFmtId="169" fontId="43" fillId="0" borderId="0" xfId="123" quotePrefix="1" applyNumberFormat="1" applyFont="1" applyFill="1" applyBorder="1" applyAlignment="1" applyProtection="1"/>
    <xf numFmtId="41" fontId="5" fillId="0" borderId="18" xfId="61" applyNumberFormat="1" applyFont="1" applyFill="1" applyBorder="1"/>
    <xf numFmtId="37" fontId="5" fillId="0" borderId="18" xfId="0" applyFont="1" applyFill="1" applyBorder="1"/>
    <xf numFmtId="37" fontId="5" fillId="0" borderId="26" xfId="0" applyFont="1" applyFill="1" applyBorder="1"/>
    <xf numFmtId="0" fontId="7" fillId="0" borderId="0" xfId="0" applyNumberFormat="1" applyFont="1" applyFill="1" applyBorder="1" applyAlignment="1" applyProtection="1">
      <alignment horizontal="left"/>
    </xf>
    <xf numFmtId="37" fontId="9" fillId="0" borderId="19" xfId="0" applyFont="1" applyFill="1" applyBorder="1" applyAlignment="1">
      <alignment horizontal="right"/>
    </xf>
    <xf numFmtId="186" fontId="5" fillId="0" borderId="19" xfId="0" applyNumberFormat="1" applyFont="1" applyFill="1" applyBorder="1"/>
    <xf numFmtId="186" fontId="9" fillId="0" borderId="0" xfId="0" applyNumberFormat="1" applyFont="1" applyFill="1"/>
    <xf numFmtId="186" fontId="9" fillId="0" borderId="19" xfId="0" applyNumberFormat="1" applyFont="1" applyFill="1" applyBorder="1"/>
    <xf numFmtId="186" fontId="5" fillId="0" borderId="0" xfId="0" applyNumberFormat="1" applyFont="1" applyFill="1"/>
    <xf numFmtId="37" fontId="15" fillId="0" borderId="0" xfId="0" applyFont="1" applyFill="1"/>
    <xf numFmtId="186" fontId="15" fillId="0" borderId="19" xfId="0" applyNumberFormat="1" applyFont="1" applyFill="1" applyBorder="1"/>
    <xf numFmtId="37" fontId="5" fillId="0" borderId="19" xfId="60" applyFont="1" applyFill="1" applyBorder="1" applyProtection="1"/>
    <xf numFmtId="186" fontId="9" fillId="0" borderId="0" xfId="0" applyNumberFormat="1" applyFont="1" applyFill="1" applyBorder="1"/>
    <xf numFmtId="186" fontId="5" fillId="0" borderId="0" xfId="0" applyNumberFormat="1" applyFont="1" applyFill="1" applyBorder="1"/>
    <xf numFmtId="7" fontId="5" fillId="0" borderId="19" xfId="61" applyNumberFormat="1" applyFont="1" applyFill="1" applyBorder="1" applyAlignment="1" applyProtection="1">
      <alignment horizontal="right"/>
    </xf>
    <xf numFmtId="41" fontId="8" fillId="0" borderId="23" xfId="60" applyNumberFormat="1" applyFont="1" applyFill="1" applyBorder="1" applyAlignment="1" applyProtection="1">
      <alignment horizontal="right"/>
    </xf>
    <xf numFmtId="41" fontId="5" fillId="0" borderId="23" xfId="60" applyNumberFormat="1" applyFont="1" applyFill="1" applyBorder="1" applyAlignment="1" applyProtection="1">
      <alignment horizontal="right"/>
    </xf>
    <xf numFmtId="1" fontId="36" fillId="0" borderId="0" xfId="60" quotePrefix="1" applyNumberFormat="1" applyFont="1" applyFill="1" applyBorder="1" applyAlignment="1" applyProtection="1"/>
    <xf numFmtId="1" fontId="36" fillId="0" borderId="19" xfId="60" quotePrefix="1" applyNumberFormat="1" applyFont="1" applyFill="1" applyBorder="1" applyAlignment="1" applyProtection="1"/>
    <xf numFmtId="41" fontId="9" fillId="17" borderId="6" xfId="60" applyNumberFormat="1" applyFont="1" applyFill="1" applyBorder="1" applyAlignment="1" applyProtection="1">
      <alignment horizontal="right"/>
    </xf>
    <xf numFmtId="41" fontId="9" fillId="17" borderId="10" xfId="60" applyNumberFormat="1" applyFont="1" applyFill="1" applyBorder="1" applyAlignment="1" applyProtection="1">
      <alignment horizontal="right"/>
    </xf>
    <xf numFmtId="37" fontId="5" fillId="0" borderId="0" xfId="60" quotePrefix="1" applyFont="1" applyFill="1" applyBorder="1" applyAlignment="1" applyProtection="1"/>
    <xf numFmtId="7" fontId="9" fillId="0" borderId="0" xfId="61" quotePrefix="1" applyNumberFormat="1" applyFont="1" applyFill="1" applyBorder="1" applyAlignment="1" applyProtection="1">
      <alignment horizontal="right"/>
    </xf>
    <xf numFmtId="7" fontId="9" fillId="0" borderId="19" xfId="61" quotePrefix="1" applyNumberFormat="1" applyFont="1" applyFill="1" applyBorder="1" applyAlignment="1" applyProtection="1">
      <alignment horizontal="right"/>
    </xf>
    <xf numFmtId="169" fontId="5" fillId="0" borderId="0" xfId="123" applyFont="1" applyFill="1" applyBorder="1"/>
    <xf numFmtId="175" fontId="5" fillId="0" borderId="23" xfId="0" applyNumberFormat="1" applyFont="1" applyFill="1" applyBorder="1" applyProtection="1"/>
    <xf numFmtId="169" fontId="25" fillId="0" borderId="0" xfId="123" quotePrefix="1" applyNumberFormat="1" applyFont="1" applyFill="1" applyBorder="1" applyAlignment="1" applyProtection="1"/>
    <xf numFmtId="41" fontId="5" fillId="0" borderId="27" xfId="123" quotePrefix="1" applyNumberFormat="1" applyFont="1" applyFill="1" applyBorder="1" applyAlignment="1" applyProtection="1"/>
    <xf numFmtId="169" fontId="44" fillId="0" borderId="0" xfId="123" quotePrefix="1" applyNumberFormat="1" applyFont="1" applyFill="1" applyBorder="1" applyAlignment="1" applyProtection="1"/>
    <xf numFmtId="169" fontId="44" fillId="0" borderId="19" xfId="123" quotePrefix="1" applyNumberFormat="1" applyFont="1" applyFill="1" applyBorder="1" applyAlignment="1" applyProtection="1"/>
    <xf numFmtId="41" fontId="9" fillId="0" borderId="27" xfId="0" applyNumberFormat="1" applyFont="1" applyFill="1" applyBorder="1" applyAlignment="1" applyProtection="1">
      <alignment horizontal="right"/>
    </xf>
    <xf numFmtId="169" fontId="9" fillId="0" borderId="0" xfId="123" applyFont="1" applyFill="1" applyBorder="1" applyProtection="1"/>
    <xf numFmtId="169" fontId="8" fillId="0" borderId="0" xfId="123" applyFont="1" applyFill="1" applyBorder="1" applyProtection="1"/>
    <xf numFmtId="0" fontId="28" fillId="0" borderId="0" xfId="0" applyNumberFormat="1" applyFont="1" applyFill="1" applyBorder="1" applyAlignment="1" applyProtection="1">
      <alignment horizontal="left"/>
    </xf>
    <xf numFmtId="0" fontId="38" fillId="0" borderId="0" xfId="0" applyNumberFormat="1" applyFont="1" applyFill="1" applyBorder="1"/>
    <xf numFmtId="41" fontId="25" fillId="0" borderId="19" xfId="60" quotePrefix="1" applyNumberFormat="1" applyFont="1" applyFill="1" applyBorder="1" applyAlignment="1" applyProtection="1"/>
    <xf numFmtId="169" fontId="25" fillId="0" borderId="0" xfId="123" quotePrefix="1" applyFont="1" applyFill="1" applyBorder="1" applyAlignment="1" applyProtection="1">
      <alignment horizontal="right"/>
    </xf>
    <xf numFmtId="0" fontId="9" fillId="0" borderId="0" xfId="0" applyNumberFormat="1" applyFont="1" applyFill="1" applyBorder="1" applyAlignment="1" applyProtection="1">
      <alignment horizontal="right"/>
    </xf>
    <xf numFmtId="0" fontId="9" fillId="0" borderId="0" xfId="0" quotePrefix="1" applyNumberFormat="1" applyFont="1" applyFill="1" applyBorder="1" applyAlignment="1" applyProtection="1">
      <alignment horizontal="right"/>
    </xf>
    <xf numFmtId="0" fontId="5" fillId="0" borderId="0" xfId="0" applyNumberFormat="1" applyFont="1" applyFill="1" applyBorder="1" applyAlignment="1" applyProtection="1">
      <alignment horizontal="right"/>
    </xf>
    <xf numFmtId="0" fontId="5" fillId="0" borderId="0" xfId="123" quotePrefix="1" applyNumberFormat="1" applyFont="1" applyFill="1" applyBorder="1" applyAlignment="1" applyProtection="1"/>
    <xf numFmtId="169" fontId="25" fillId="0" borderId="0" xfId="123" applyFont="1"/>
    <xf numFmtId="37" fontId="25" fillId="0" borderId="0" xfId="0" applyFont="1" applyFill="1"/>
    <xf numFmtId="9" fontId="8" fillId="0" borderId="1" xfId="123" applyNumberFormat="1" applyFont="1" applyBorder="1"/>
    <xf numFmtId="169" fontId="25" fillId="0" borderId="1" xfId="123" applyFont="1" applyBorder="1"/>
    <xf numFmtId="37" fontId="25" fillId="0" borderId="1" xfId="0" applyFont="1" applyBorder="1"/>
    <xf numFmtId="37" fontId="5" fillId="0" borderId="1" xfId="0" applyFont="1" applyFill="1" applyBorder="1"/>
    <xf numFmtId="9" fontId="9" fillId="0" borderId="1" xfId="123" applyNumberFormat="1" applyFont="1" applyFill="1" applyBorder="1"/>
    <xf numFmtId="169" fontId="5" fillId="0" borderId="1" xfId="123" applyFont="1" applyBorder="1"/>
    <xf numFmtId="0" fontId="9" fillId="0" borderId="19" xfId="0" applyNumberFormat="1" applyFont="1" applyFill="1" applyBorder="1" applyAlignment="1">
      <alignment horizontal="right"/>
    </xf>
    <xf numFmtId="9" fontId="8" fillId="0" borderId="23" xfId="123" applyNumberFormat="1" applyFont="1" applyBorder="1"/>
    <xf numFmtId="169" fontId="25" fillId="0" borderId="19" xfId="123" applyFont="1" applyBorder="1"/>
    <xf numFmtId="169" fontId="25" fillId="0" borderId="23" xfId="123" applyFont="1" applyBorder="1"/>
    <xf numFmtId="9" fontId="9" fillId="0" borderId="19" xfId="123" applyNumberFormat="1" applyFont="1" applyFill="1" applyBorder="1"/>
    <xf numFmtId="9" fontId="9" fillId="0" borderId="23" xfId="123" applyNumberFormat="1" applyFont="1" applyFill="1" applyBorder="1"/>
    <xf numFmtId="37" fontId="5" fillId="0" borderId="1" xfId="60" applyFont="1" applyFill="1" applyBorder="1"/>
    <xf numFmtId="37" fontId="5" fillId="0" borderId="21" xfId="60" applyFont="1" applyFill="1" applyBorder="1"/>
    <xf numFmtId="37" fontId="5" fillId="0" borderId="19" xfId="60" applyFont="1" applyFill="1" applyBorder="1"/>
    <xf numFmtId="37" fontId="5" fillId="0" borderId="23" xfId="60" applyFont="1" applyFill="1" applyBorder="1"/>
    <xf numFmtId="37" fontId="5" fillId="0" borderId="27" xfId="0" applyFont="1" applyFill="1" applyBorder="1"/>
    <xf numFmtId="9" fontId="5" fillId="0" borderId="19" xfId="123" applyNumberFormat="1" applyFont="1" applyFill="1" applyBorder="1"/>
    <xf numFmtId="37" fontId="25" fillId="0" borderId="19" xfId="0" applyFont="1" applyBorder="1"/>
    <xf numFmtId="169" fontId="5" fillId="0" borderId="19" xfId="123" applyFont="1" applyFill="1" applyBorder="1"/>
    <xf numFmtId="169" fontId="5" fillId="0" borderId="23" xfId="123" applyFont="1" applyFill="1" applyBorder="1"/>
    <xf numFmtId="169" fontId="8" fillId="0" borderId="19" xfId="123" applyFont="1" applyFill="1" applyBorder="1"/>
    <xf numFmtId="37" fontId="5" fillId="0" borderId="21" xfId="0" applyFont="1" applyFill="1" applyBorder="1"/>
    <xf numFmtId="37" fontId="5" fillId="0" borderId="28" xfId="0" applyFont="1" applyFill="1" applyBorder="1"/>
    <xf numFmtId="41" fontId="26" fillId="0" borderId="21" xfId="123" quotePrefix="1" applyNumberFormat="1" applyFont="1" applyFill="1" applyBorder="1" applyAlignment="1" applyProtection="1"/>
    <xf numFmtId="0" fontId="9" fillId="17" borderId="20" xfId="0" applyNumberFormat="1" applyFont="1" applyFill="1" applyBorder="1"/>
    <xf numFmtId="1" fontId="5" fillId="0" borderId="0" xfId="0" applyNumberFormat="1" applyFont="1"/>
    <xf numFmtId="169" fontId="43" fillId="0" borderId="0" xfId="123" applyFont="1" applyFill="1"/>
    <xf numFmtId="169" fontId="25" fillId="0" borderId="19" xfId="123" applyFont="1" applyFill="1" applyBorder="1" applyAlignment="1" applyProtection="1">
      <alignment horizontal="right"/>
    </xf>
    <xf numFmtId="169" fontId="25" fillId="0" borderId="19" xfId="61" quotePrefix="1" applyNumberFormat="1" applyFont="1" applyFill="1" applyBorder="1" applyAlignment="1" applyProtection="1">
      <alignment horizontal="right"/>
    </xf>
    <xf numFmtId="175" fontId="8" fillId="0" borderId="0" xfId="109" applyNumberFormat="1" applyFont="1" applyFill="1" applyBorder="1" applyAlignment="1">
      <alignment horizontal="right"/>
    </xf>
    <xf numFmtId="175" fontId="9" fillId="0" borderId="0" xfId="109" applyNumberFormat="1" applyFont="1" applyFill="1" applyBorder="1" applyAlignment="1">
      <alignment horizontal="right"/>
    </xf>
    <xf numFmtId="175" fontId="5" fillId="0" borderId="1" xfId="109" applyNumberFormat="1" applyFont="1" applyFill="1" applyBorder="1" applyAlignment="1">
      <alignment horizontal="right"/>
    </xf>
    <xf numFmtId="169" fontId="9" fillId="24" borderId="6" xfId="123" applyFont="1" applyFill="1" applyBorder="1"/>
    <xf numFmtId="37" fontId="5" fillId="24" borderId="6" xfId="0" applyFont="1" applyFill="1" applyBorder="1"/>
    <xf numFmtId="169" fontId="25" fillId="0" borderId="0" xfId="123" applyFont="1" applyBorder="1"/>
    <xf numFmtId="37" fontId="9" fillId="24" borderId="6" xfId="0" applyFont="1" applyFill="1" applyBorder="1"/>
    <xf numFmtId="169" fontId="9" fillId="0" borderId="0" xfId="123" applyFont="1" applyFill="1" applyBorder="1"/>
    <xf numFmtId="37" fontId="5" fillId="0" borderId="27" xfId="0" applyFont="1" applyBorder="1"/>
    <xf numFmtId="186" fontId="9" fillId="24" borderId="6" xfId="0" applyNumberFormat="1" applyFont="1" applyFill="1" applyBorder="1"/>
    <xf numFmtId="186" fontId="9" fillId="24" borderId="10" xfId="0" applyNumberFormat="1" applyFont="1" applyFill="1" applyBorder="1"/>
    <xf numFmtId="37" fontId="25" fillId="0" borderId="26" xfId="0" applyFont="1" applyFill="1" applyBorder="1" applyAlignment="1">
      <alignment horizontal="left" indent="1"/>
    </xf>
    <xf numFmtId="37" fontId="25" fillId="0" borderId="29" xfId="0" applyFont="1" applyFill="1" applyBorder="1" applyAlignment="1">
      <alignment horizontal="left" indent="1"/>
    </xf>
    <xf numFmtId="37" fontId="25" fillId="0" borderId="28" xfId="111" applyFont="1" applyBorder="1"/>
    <xf numFmtId="37" fontId="25" fillId="0" borderId="21" xfId="111" applyFont="1" applyBorder="1"/>
    <xf numFmtId="169" fontId="25" fillId="0" borderId="1" xfId="123" applyNumberFormat="1" applyFont="1" applyBorder="1"/>
    <xf numFmtId="37" fontId="9" fillId="0" borderId="18" xfId="0" applyFont="1" applyFill="1" applyBorder="1"/>
    <xf numFmtId="186" fontId="9" fillId="0" borderId="1" xfId="0" applyNumberFormat="1" applyFont="1" applyFill="1" applyBorder="1"/>
    <xf numFmtId="37" fontId="38" fillId="0" borderId="18" xfId="0" applyFont="1" applyFill="1" applyBorder="1"/>
    <xf numFmtId="37" fontId="9" fillId="24" borderId="20" xfId="0" quotePrefix="1" applyFont="1" applyFill="1" applyBorder="1" applyAlignment="1">
      <alignment horizontal="left"/>
    </xf>
    <xf numFmtId="5" fontId="5" fillId="0" borderId="0" xfId="60" quotePrefix="1" applyNumberFormat="1" applyFont="1" applyFill="1" applyBorder="1" applyAlignment="1" applyProtection="1">
      <alignment horizontal="right"/>
    </xf>
    <xf numFmtId="5" fontId="5" fillId="0" borderId="19" xfId="60" quotePrefix="1" applyNumberFormat="1" applyFont="1" applyFill="1" applyBorder="1" applyAlignment="1" applyProtection="1">
      <alignment horizontal="right"/>
    </xf>
    <xf numFmtId="0" fontId="38" fillId="0" borderId="18" xfId="60" applyNumberFormat="1" applyFont="1" applyFill="1" applyBorder="1" applyAlignment="1" applyProtection="1">
      <alignment horizontal="left"/>
    </xf>
    <xf numFmtId="0" fontId="5" fillId="0" borderId="18" xfId="60" applyNumberFormat="1" applyFont="1" applyFill="1" applyBorder="1" applyAlignment="1" applyProtection="1">
      <alignment horizontal="left"/>
    </xf>
    <xf numFmtId="0" fontId="25" fillId="0" borderId="18" xfId="60" applyNumberFormat="1" applyFont="1" applyFill="1" applyBorder="1" applyAlignment="1" applyProtection="1">
      <alignment horizontal="left" indent="1"/>
    </xf>
    <xf numFmtId="0" fontId="25" fillId="0" borderId="26" xfId="60" applyNumberFormat="1" applyFont="1" applyFill="1" applyBorder="1" applyAlignment="1" applyProtection="1">
      <alignment horizontal="left" indent="1"/>
    </xf>
    <xf numFmtId="0" fontId="15" fillId="0" borderId="18" xfId="0" applyNumberFormat="1" applyFont="1" applyFill="1" applyBorder="1" applyAlignment="1" applyProtection="1">
      <alignment horizontal="left"/>
    </xf>
    <xf numFmtId="0" fontId="9" fillId="0" borderId="18" xfId="0" applyNumberFormat="1" applyFont="1" applyFill="1" applyBorder="1" applyAlignment="1" applyProtection="1">
      <alignment horizontal="left"/>
    </xf>
    <xf numFmtId="0" fontId="5" fillId="0" borderId="18" xfId="61" applyNumberFormat="1" applyFont="1" applyFill="1" applyBorder="1" applyAlignment="1" applyProtection="1">
      <alignment horizontal="left"/>
    </xf>
    <xf numFmtId="7" fontId="37" fillId="0" borderId="18" xfId="61" applyNumberFormat="1" applyFont="1" applyFill="1" applyBorder="1" applyAlignment="1" applyProtection="1"/>
    <xf numFmtId="0" fontId="5" fillId="0" borderId="26" xfId="60" applyNumberFormat="1" applyFont="1" applyFill="1" applyBorder="1" applyAlignment="1" applyProtection="1">
      <alignment horizontal="left"/>
    </xf>
    <xf numFmtId="0" fontId="9" fillId="0" borderId="18" xfId="60" applyNumberFormat="1" applyFont="1" applyFill="1" applyBorder="1" applyAlignment="1" applyProtection="1">
      <alignment horizontal="left"/>
    </xf>
    <xf numFmtId="5" fontId="9" fillId="24" borderId="6" xfId="61" quotePrefix="1" applyNumberFormat="1" applyFont="1" applyFill="1" applyBorder="1" applyAlignment="1" applyProtection="1"/>
    <xf numFmtId="37" fontId="25" fillId="0" borderId="0" xfId="0" applyFont="1" applyBorder="1"/>
    <xf numFmtId="0" fontId="5" fillId="0" borderId="18" xfId="60" applyNumberFormat="1" applyFont="1" applyFill="1" applyBorder="1" applyAlignment="1" applyProtection="1">
      <alignment horizontal="left" indent="1"/>
    </xf>
    <xf numFmtId="9" fontId="25" fillId="0" borderId="1" xfId="123" quotePrefix="1" applyNumberFormat="1" applyFont="1" applyFill="1" applyBorder="1" applyAlignment="1" applyProtection="1"/>
    <xf numFmtId="37" fontId="9" fillId="0" borderId="19" xfId="0" applyFont="1" applyBorder="1"/>
    <xf numFmtId="169" fontId="8" fillId="0" borderId="0" xfId="123" applyFont="1" applyBorder="1"/>
    <xf numFmtId="169" fontId="9" fillId="24" borderId="10" xfId="123" applyFont="1" applyFill="1" applyBorder="1"/>
    <xf numFmtId="37" fontId="9" fillId="0" borderId="18" xfId="0" applyFont="1" applyBorder="1"/>
    <xf numFmtId="37" fontId="5" fillId="0" borderId="0" xfId="0" applyNumberFormat="1" applyFont="1" applyBorder="1"/>
    <xf numFmtId="169" fontId="9" fillId="24" borderId="20" xfId="123" applyFont="1" applyFill="1" applyBorder="1"/>
    <xf numFmtId="186" fontId="8" fillId="0" borderId="19" xfId="0" applyNumberFormat="1" applyFont="1" applyFill="1" applyBorder="1"/>
    <xf numFmtId="37" fontId="25" fillId="0" borderId="18" xfId="0" applyFont="1" applyBorder="1" applyAlignment="1">
      <alignment horizontal="left" indent="1"/>
    </xf>
    <xf numFmtId="37" fontId="25" fillId="0" borderId="26" xfId="0" applyFont="1" applyBorder="1" applyAlignment="1">
      <alignment horizontal="left" indent="1"/>
    </xf>
    <xf numFmtId="177" fontId="5" fillId="0" borderId="0" xfId="0" applyNumberFormat="1" applyFont="1" applyFill="1" applyBorder="1" applyAlignment="1">
      <alignment horizontal="right"/>
    </xf>
    <xf numFmtId="37" fontId="5" fillId="0" borderId="0" xfId="0" applyFont="1" applyFill="1" applyBorder="1" applyAlignment="1">
      <alignment horizontal="right"/>
    </xf>
    <xf numFmtId="5" fontId="5" fillId="0" borderId="19" xfId="0" applyNumberFormat="1" applyFont="1" applyBorder="1"/>
    <xf numFmtId="5" fontId="5" fillId="0" borderId="0" xfId="0" applyNumberFormat="1" applyFont="1" applyBorder="1"/>
    <xf numFmtId="5" fontId="9" fillId="24" borderId="10" xfId="0" applyNumberFormat="1" applyFont="1" applyFill="1" applyBorder="1"/>
    <xf numFmtId="41" fontId="39" fillId="0" borderId="0" xfId="60" applyNumberFormat="1" applyFont="1" applyFill="1" applyBorder="1" applyAlignment="1" applyProtection="1">
      <alignment horizontal="right"/>
    </xf>
    <xf numFmtId="169" fontId="25" fillId="0" borderId="0" xfId="123" applyFont="1" applyFill="1" applyBorder="1" applyProtection="1"/>
    <xf numFmtId="169" fontId="25" fillId="0" borderId="19" xfId="123" applyFont="1" applyFill="1" applyBorder="1"/>
    <xf numFmtId="5" fontId="9" fillId="0" borderId="0" xfId="61" applyNumberFormat="1" applyFont="1" applyFill="1" applyBorder="1" applyAlignment="1" applyProtection="1">
      <alignment horizontal="right"/>
    </xf>
    <xf numFmtId="5" fontId="9" fillId="0" borderId="19" xfId="61" applyNumberFormat="1" applyFont="1" applyFill="1" applyBorder="1" applyAlignment="1" applyProtection="1">
      <alignment horizontal="right"/>
    </xf>
    <xf numFmtId="0" fontId="28" fillId="0" borderId="18" xfId="60" applyNumberFormat="1" applyFont="1" applyFill="1" applyBorder="1" applyAlignment="1" applyProtection="1">
      <alignment horizontal="left"/>
    </xf>
    <xf numFmtId="0" fontId="5" fillId="0" borderId="18" xfId="61" applyNumberFormat="1" applyFont="1" applyFill="1" applyBorder="1" applyAlignment="1" applyProtection="1">
      <alignment horizontal="left" indent="1"/>
    </xf>
    <xf numFmtId="0" fontId="5" fillId="0" borderId="18" xfId="61" quotePrefix="1" applyNumberFormat="1" applyFont="1" applyFill="1" applyBorder="1" applyAlignment="1" applyProtection="1">
      <alignment horizontal="left" indent="1"/>
    </xf>
    <xf numFmtId="0" fontId="9" fillId="0" borderId="18" xfId="61" applyNumberFormat="1" applyFont="1" applyFill="1" applyBorder="1" applyAlignment="1" applyProtection="1">
      <alignment horizontal="left"/>
    </xf>
    <xf numFmtId="0" fontId="5" fillId="0" borderId="18" xfId="60" quotePrefix="1" applyNumberFormat="1" applyFont="1" applyFill="1" applyBorder="1" applyAlignment="1" applyProtection="1">
      <alignment horizontal="left" indent="1"/>
    </xf>
    <xf numFmtId="0" fontId="9" fillId="0" borderId="26" xfId="61" applyNumberFormat="1" applyFont="1" applyFill="1" applyBorder="1" applyAlignment="1" applyProtection="1">
      <alignment horizontal="left"/>
    </xf>
    <xf numFmtId="41" fontId="39" fillId="0" borderId="0" xfId="61" applyNumberFormat="1" applyFont="1" applyFill="1" applyBorder="1"/>
    <xf numFmtId="41" fontId="15" fillId="0" borderId="19" xfId="61" applyNumberFormat="1" applyFont="1" applyFill="1" applyBorder="1"/>
    <xf numFmtId="0" fontId="5" fillId="0" borderId="18" xfId="61" applyNumberFormat="1" applyFont="1" applyFill="1" applyBorder="1" applyAlignment="1" applyProtection="1">
      <alignment horizontal="left" indent="2"/>
    </xf>
    <xf numFmtId="0" fontId="15" fillId="0" borderId="18" xfId="60" applyNumberFormat="1" applyFont="1" applyFill="1" applyBorder="1" applyAlignment="1" applyProtection="1">
      <alignment horizontal="left" indent="2"/>
    </xf>
    <xf numFmtId="0" fontId="5" fillId="0" borderId="18" xfId="0" applyNumberFormat="1" applyFont="1" applyFill="1" applyBorder="1" applyAlignment="1" applyProtection="1">
      <alignment horizontal="left" indent="1"/>
    </xf>
    <xf numFmtId="183" fontId="9" fillId="17" borderId="20" xfId="0" applyNumberFormat="1" applyFont="1" applyFill="1" applyBorder="1"/>
    <xf numFmtId="183" fontId="9" fillId="17" borderId="6" xfId="0" applyNumberFormat="1" applyFont="1" applyFill="1" applyBorder="1" applyAlignment="1">
      <alignment horizontal="right"/>
    </xf>
    <xf numFmtId="183" fontId="9" fillId="17" borderId="10" xfId="0" applyNumberFormat="1" applyFont="1" applyFill="1" applyBorder="1" applyAlignment="1">
      <alignment horizontal="right"/>
    </xf>
    <xf numFmtId="183" fontId="9" fillId="17" borderId="29" xfId="0" applyNumberFormat="1" applyFont="1" applyFill="1" applyBorder="1"/>
    <xf numFmtId="183" fontId="9" fillId="17" borderId="28" xfId="0" applyNumberFormat="1" applyFont="1" applyFill="1" applyBorder="1" applyAlignment="1">
      <alignment horizontal="right"/>
    </xf>
    <xf numFmtId="183" fontId="9" fillId="17" borderId="21" xfId="0" applyNumberFormat="1" applyFont="1" applyFill="1" applyBorder="1" applyAlignment="1">
      <alignment horizontal="right"/>
    </xf>
    <xf numFmtId="37" fontId="9" fillId="17" borderId="29" xfId="0" applyFont="1" applyFill="1" applyBorder="1"/>
    <xf numFmtId="37" fontId="9" fillId="17" borderId="28" xfId="0" applyFont="1" applyFill="1" applyBorder="1" applyAlignment="1">
      <alignment horizontal="right"/>
    </xf>
    <xf numFmtId="37" fontId="9" fillId="17" borderId="21" xfId="0" applyFont="1" applyFill="1" applyBorder="1" applyAlignment="1">
      <alignment horizontal="right"/>
    </xf>
    <xf numFmtId="0" fontId="15" fillId="0" borderId="18" xfId="61" applyNumberFormat="1" applyFont="1" applyFill="1" applyBorder="1" applyAlignment="1" applyProtection="1">
      <alignment horizontal="left"/>
    </xf>
    <xf numFmtId="0" fontId="25" fillId="0" borderId="26" xfId="123" applyNumberFormat="1" applyFont="1" applyFill="1" applyBorder="1" applyAlignment="1" applyProtection="1">
      <alignment horizontal="left" indent="1"/>
    </xf>
    <xf numFmtId="0" fontId="25" fillId="0" borderId="18" xfId="60" applyNumberFormat="1" applyFont="1" applyFill="1" applyBorder="1" applyAlignment="1" applyProtection="1">
      <alignment horizontal="left"/>
    </xf>
    <xf numFmtId="0" fontId="15" fillId="0" borderId="18" xfId="60" applyNumberFormat="1" applyFont="1" applyFill="1" applyBorder="1" applyAlignment="1" applyProtection="1">
      <alignment horizontal="left"/>
    </xf>
    <xf numFmtId="0" fontId="25" fillId="0" borderId="18" xfId="123" applyNumberFormat="1" applyFont="1" applyFill="1" applyBorder="1" applyAlignment="1" applyProtection="1">
      <alignment horizontal="left" indent="1"/>
    </xf>
    <xf numFmtId="5" fontId="5" fillId="0" borderId="19" xfId="61" quotePrefix="1" applyNumberFormat="1" applyFont="1" applyFill="1" applyBorder="1" applyAlignment="1" applyProtection="1">
      <alignment horizontal="right"/>
    </xf>
    <xf numFmtId="5" fontId="5" fillId="0" borderId="0" xfId="0" applyNumberFormat="1" applyFont="1" applyFill="1" applyBorder="1" applyAlignment="1" applyProtection="1">
      <alignment horizontal="right"/>
    </xf>
    <xf numFmtId="5" fontId="5" fillId="0" borderId="0" xfId="0" applyNumberFormat="1" applyFont="1" applyFill="1" applyBorder="1" applyProtection="1"/>
    <xf numFmtId="5" fontId="9" fillId="24" borderId="6" xfId="0" applyNumberFormat="1" applyFont="1" applyFill="1" applyBorder="1" applyProtection="1"/>
    <xf numFmtId="5" fontId="5" fillId="0" borderId="19" xfId="0" applyNumberFormat="1" applyFont="1" applyFill="1" applyBorder="1" applyAlignment="1" applyProtection="1">
      <alignment horizontal="right"/>
    </xf>
    <xf numFmtId="41" fontId="8" fillId="0" borderId="19" xfId="60" quotePrefix="1" applyNumberFormat="1" applyFont="1" applyFill="1" applyBorder="1" applyAlignment="1" applyProtection="1">
      <alignment horizontal="right"/>
    </xf>
    <xf numFmtId="37" fontId="5" fillId="0" borderId="0" xfId="60" applyFont="1" applyFill="1" applyBorder="1" applyProtection="1"/>
    <xf numFmtId="37" fontId="5" fillId="24" borderId="10" xfId="0" applyFont="1" applyFill="1" applyBorder="1"/>
    <xf numFmtId="37" fontId="9" fillId="24" borderId="6" xfId="60" applyFont="1" applyFill="1" applyBorder="1"/>
    <xf numFmtId="37" fontId="9" fillId="24" borderId="10" xfId="60" applyFont="1" applyFill="1" applyBorder="1"/>
    <xf numFmtId="169" fontId="8" fillId="0" borderId="19" xfId="123" applyNumberFormat="1" applyFont="1" applyBorder="1"/>
    <xf numFmtId="37" fontId="5" fillId="0" borderId="18" xfId="0" applyFont="1" applyBorder="1" applyAlignment="1">
      <alignment horizontal="left" indent="1"/>
    </xf>
    <xf numFmtId="169" fontId="8" fillId="0" borderId="0" xfId="123" applyFont="1" applyFill="1" applyBorder="1"/>
    <xf numFmtId="37" fontId="25" fillId="0" borderId="18" xfId="0" applyFont="1" applyBorder="1" applyAlignment="1">
      <alignment horizontal="left"/>
    </xf>
    <xf numFmtId="5" fontId="8" fillId="0" borderId="0" xfId="61" applyFont="1" applyBorder="1"/>
    <xf numFmtId="37" fontId="8" fillId="0" borderId="0" xfId="60" applyFont="1" applyBorder="1"/>
    <xf numFmtId="9" fontId="8" fillId="0" borderId="0" xfId="123" applyNumberFormat="1" applyFont="1" applyBorder="1"/>
    <xf numFmtId="169" fontId="8" fillId="0" borderId="19" xfId="123" applyFont="1" applyBorder="1"/>
    <xf numFmtId="169" fontId="8" fillId="24" borderId="10" xfId="123" applyFont="1" applyFill="1" applyBorder="1"/>
    <xf numFmtId="37" fontId="9" fillId="0" borderId="1" xfId="60" applyFont="1" applyFill="1" applyBorder="1" applyAlignment="1">
      <alignment horizontal="right"/>
    </xf>
    <xf numFmtId="37" fontId="9" fillId="0" borderId="30" xfId="60" applyFont="1" applyFill="1" applyBorder="1" applyAlignment="1">
      <alignment horizontal="right"/>
    </xf>
    <xf numFmtId="169" fontId="5" fillId="0" borderId="19" xfId="123" applyNumberFormat="1" applyFont="1" applyBorder="1"/>
    <xf numFmtId="37" fontId="9" fillId="24" borderId="20" xfId="0" applyFont="1" applyFill="1" applyBorder="1" applyAlignment="1">
      <alignment horizontal="left"/>
    </xf>
    <xf numFmtId="173" fontId="9" fillId="24" borderId="6" xfId="123" applyNumberFormat="1" applyFont="1" applyFill="1" applyBorder="1"/>
    <xf numFmtId="169" fontId="25" fillId="0" borderId="10" xfId="123" applyFont="1" applyBorder="1"/>
    <xf numFmtId="5" fontId="5" fillId="0" borderId="27" xfId="0" applyNumberFormat="1" applyFont="1" applyBorder="1"/>
    <xf numFmtId="37" fontId="9" fillId="0" borderId="27" xfId="0" applyFont="1" applyFill="1" applyBorder="1" applyAlignment="1">
      <alignment horizontal="right"/>
    </xf>
    <xf numFmtId="176" fontId="5" fillId="0" borderId="0" xfId="0" applyNumberFormat="1" applyFont="1" applyBorder="1"/>
    <xf numFmtId="41" fontId="5" fillId="0" borderId="27" xfId="0" applyNumberFormat="1" applyFont="1" applyBorder="1"/>
    <xf numFmtId="41" fontId="15" fillId="0" borderId="0" xfId="0" applyNumberFormat="1" applyFont="1" applyBorder="1"/>
    <xf numFmtId="41" fontId="15" fillId="0" borderId="27" xfId="0" applyNumberFormat="1" applyFont="1" applyBorder="1"/>
    <xf numFmtId="5" fontId="9" fillId="0" borderId="0" xfId="61" applyFont="1" applyBorder="1"/>
    <xf numFmtId="37" fontId="25" fillId="0" borderId="18" xfId="0" applyFont="1" applyFill="1" applyBorder="1" applyAlignment="1">
      <alignment horizontal="left" indent="1"/>
    </xf>
    <xf numFmtId="169" fontId="25" fillId="0" borderId="27" xfId="123" applyFont="1" applyBorder="1"/>
    <xf numFmtId="5" fontId="9" fillId="0" borderId="0" xfId="0" applyNumberFormat="1" applyFont="1" applyBorder="1"/>
    <xf numFmtId="5" fontId="9" fillId="0" borderId="27" xfId="0" applyNumberFormat="1" applyFont="1" applyBorder="1"/>
    <xf numFmtId="9" fontId="5" fillId="0" borderId="27" xfId="123" applyNumberFormat="1" applyFont="1" applyBorder="1"/>
    <xf numFmtId="9" fontId="15" fillId="0" borderId="0" xfId="123" applyNumberFormat="1" applyFont="1" applyBorder="1"/>
    <xf numFmtId="9" fontId="15" fillId="0" borderId="27" xfId="123" applyNumberFormat="1" applyFont="1" applyBorder="1"/>
    <xf numFmtId="9" fontId="9" fillId="0" borderId="0" xfId="123" applyNumberFormat="1" applyFont="1" applyBorder="1"/>
    <xf numFmtId="9" fontId="9" fillId="0" borderId="27" xfId="123" applyNumberFormat="1" applyFont="1" applyBorder="1"/>
    <xf numFmtId="37" fontId="15" fillId="0" borderId="27" xfId="0" applyFont="1" applyBorder="1"/>
    <xf numFmtId="37" fontId="9" fillId="0" borderId="27" xfId="0" applyFont="1" applyBorder="1"/>
    <xf numFmtId="169" fontId="25" fillId="0" borderId="30" xfId="123" applyFont="1" applyBorder="1"/>
    <xf numFmtId="176" fontId="5" fillId="0" borderId="19" xfId="0" applyNumberFormat="1" applyFont="1" applyBorder="1"/>
    <xf numFmtId="5" fontId="9" fillId="0" borderId="19" xfId="0" applyNumberFormat="1" applyFont="1" applyBorder="1"/>
    <xf numFmtId="41" fontId="15" fillId="0" borderId="19" xfId="0" applyNumberFormat="1" applyFont="1" applyBorder="1"/>
    <xf numFmtId="173" fontId="9" fillId="24" borderId="10" xfId="123" applyNumberFormat="1" applyFont="1" applyFill="1" applyBorder="1"/>
    <xf numFmtId="9" fontId="15" fillId="0" borderId="19" xfId="123" applyNumberFormat="1" applyFont="1" applyBorder="1"/>
    <xf numFmtId="9" fontId="9" fillId="0" borderId="19" xfId="123" applyNumberFormat="1" applyFont="1" applyBorder="1"/>
    <xf numFmtId="37" fontId="15" fillId="0" borderId="19" xfId="0" applyFont="1" applyBorder="1"/>
    <xf numFmtId="5" fontId="9" fillId="0" borderId="19" xfId="61" applyFont="1" applyBorder="1"/>
    <xf numFmtId="5" fontId="5" fillId="0" borderId="0" xfId="61" applyFont="1" applyBorder="1"/>
    <xf numFmtId="9" fontId="9" fillId="0" borderId="1" xfId="123" applyNumberFormat="1" applyFont="1" applyBorder="1"/>
    <xf numFmtId="9" fontId="9" fillId="0" borderId="23" xfId="123" applyNumberFormat="1" applyFont="1" applyBorder="1"/>
    <xf numFmtId="1" fontId="9" fillId="0" borderId="18" xfId="60" applyNumberFormat="1" applyFont="1" applyFill="1" applyBorder="1" applyAlignment="1" applyProtection="1">
      <alignment horizontal="left"/>
    </xf>
    <xf numFmtId="0" fontId="25" fillId="0" borderId="18" xfId="0" applyNumberFormat="1" applyFont="1" applyFill="1" applyBorder="1" applyAlignment="1" applyProtection="1">
      <alignment horizontal="left" indent="1"/>
    </xf>
    <xf numFmtId="0" fontId="36" fillId="0" borderId="18" xfId="0" applyNumberFormat="1" applyFont="1" applyFill="1" applyBorder="1" applyAlignment="1" applyProtection="1">
      <alignment horizontal="left"/>
    </xf>
    <xf numFmtId="0" fontId="37" fillId="0" borderId="18" xfId="0" applyNumberFormat="1" applyFont="1" applyFill="1" applyBorder="1" applyAlignment="1" applyProtection="1">
      <alignment horizontal="left"/>
    </xf>
    <xf numFmtId="0" fontId="36" fillId="0" borderId="18" xfId="61" applyNumberFormat="1" applyFont="1" applyFill="1" applyBorder="1" applyAlignment="1" applyProtection="1">
      <alignment horizontal="left"/>
    </xf>
    <xf numFmtId="169" fontId="5" fillId="0" borderId="18" xfId="0" applyNumberFormat="1" applyFont="1" applyFill="1" applyBorder="1" applyAlignment="1" applyProtection="1">
      <alignment horizontal="left"/>
    </xf>
    <xf numFmtId="0" fontId="5" fillId="0" borderId="26" xfId="0" applyNumberFormat="1" applyFont="1" applyFill="1" applyBorder="1" applyAlignment="1" applyProtection="1">
      <alignment horizontal="left"/>
    </xf>
    <xf numFmtId="41" fontId="8" fillId="0" borderId="1" xfId="60" applyNumberFormat="1" applyFont="1" applyFill="1" applyBorder="1" applyAlignment="1" applyProtection="1">
      <alignment horizontal="right"/>
    </xf>
    <xf numFmtId="5" fontId="9" fillId="0" borderId="0" xfId="123" quotePrefix="1" applyNumberFormat="1" applyFont="1" applyFill="1" applyBorder="1" applyAlignment="1" applyProtection="1"/>
    <xf numFmtId="5" fontId="9" fillId="0" borderId="19" xfId="123" quotePrefix="1" applyNumberFormat="1" applyFont="1" applyFill="1" applyBorder="1" applyAlignment="1" applyProtection="1"/>
    <xf numFmtId="169" fontId="5" fillId="0" borderId="0" xfId="123" applyNumberFormat="1" applyFont="1" applyFill="1" applyBorder="1"/>
    <xf numFmtId="169" fontId="5" fillId="0" borderId="1" xfId="123" applyFont="1" applyFill="1" applyBorder="1"/>
    <xf numFmtId="37" fontId="9" fillId="24" borderId="10" xfId="0" applyFont="1" applyFill="1" applyBorder="1"/>
    <xf numFmtId="169" fontId="5" fillId="0" borderId="19" xfId="123" applyNumberFormat="1" applyFont="1" applyFill="1" applyBorder="1"/>
    <xf numFmtId="186" fontId="15" fillId="0" borderId="0" xfId="0" applyNumberFormat="1" applyFont="1" applyFill="1"/>
    <xf numFmtId="0" fontId="9" fillId="0" borderId="18" xfId="0" applyNumberFormat="1" applyFont="1" applyFill="1" applyBorder="1" applyAlignment="1" applyProtection="1"/>
    <xf numFmtId="0" fontId="15" fillId="0" borderId="18" xfId="60" applyNumberFormat="1" applyFont="1" applyFill="1" applyBorder="1" applyAlignment="1" applyProtection="1">
      <alignment horizontal="left" indent="1"/>
    </xf>
    <xf numFmtId="5" fontId="36" fillId="0" borderId="19" xfId="61" quotePrefix="1" applyFont="1" applyFill="1" applyBorder="1" applyAlignment="1" applyProtection="1"/>
    <xf numFmtId="5" fontId="36" fillId="0" borderId="0" xfId="61" quotePrefix="1" applyFont="1" applyFill="1" applyBorder="1" applyAlignment="1" applyProtection="1"/>
    <xf numFmtId="5" fontId="9" fillId="0" borderId="19" xfId="61" quotePrefix="1" applyFont="1" applyFill="1" applyBorder="1" applyAlignment="1" applyProtection="1"/>
    <xf numFmtId="5" fontId="9" fillId="0" borderId="0" xfId="61" quotePrefix="1" applyFont="1" applyFill="1" applyBorder="1" applyAlignment="1" applyProtection="1"/>
    <xf numFmtId="5" fontId="9" fillId="24" borderId="6" xfId="61" applyFont="1" applyFill="1" applyBorder="1" applyAlignment="1" applyProtection="1">
      <alignment horizontal="right"/>
    </xf>
    <xf numFmtId="5" fontId="5" fillId="0" borderId="19" xfId="61" quotePrefix="1" applyFont="1" applyFill="1" applyBorder="1" applyAlignment="1" applyProtection="1">
      <alignment horizontal="right"/>
    </xf>
    <xf numFmtId="5" fontId="5" fillId="0" borderId="0" xfId="61" quotePrefix="1" applyFont="1" applyFill="1" applyBorder="1" applyAlignment="1" applyProtection="1">
      <alignment horizontal="right"/>
    </xf>
    <xf numFmtId="5" fontId="37" fillId="0" borderId="19" xfId="61" quotePrefix="1" applyFont="1" applyFill="1" applyBorder="1" applyAlignment="1" applyProtection="1"/>
    <xf numFmtId="5" fontId="37" fillId="0" borderId="0" xfId="61" quotePrefix="1" applyFont="1" applyFill="1" applyBorder="1" applyAlignment="1" applyProtection="1"/>
    <xf numFmtId="169" fontId="43" fillId="0" borderId="0" xfId="123" applyFont="1" applyFill="1" applyBorder="1" applyAlignment="1" applyProtection="1">
      <alignment horizontal="right"/>
    </xf>
    <xf numFmtId="5" fontId="5" fillId="0" borderId="0" xfId="61" quotePrefix="1" applyFont="1" applyFill="1" applyBorder="1" applyAlignment="1" applyProtection="1"/>
    <xf numFmtId="5" fontId="5" fillId="0" borderId="27" xfId="61" quotePrefix="1" applyFont="1" applyFill="1" applyBorder="1" applyAlignment="1" applyProtection="1"/>
    <xf numFmtId="5" fontId="9" fillId="0" borderId="27" xfId="61" quotePrefix="1" applyFont="1" applyFill="1" applyBorder="1" applyAlignment="1" applyProtection="1"/>
    <xf numFmtId="5" fontId="9" fillId="24" borderId="22" xfId="61" applyFont="1" applyFill="1" applyBorder="1" applyAlignment="1" applyProtection="1">
      <alignment horizontal="right"/>
    </xf>
    <xf numFmtId="5" fontId="5" fillId="0" borderId="19" xfId="61" applyFont="1" applyFill="1" applyBorder="1" applyProtection="1"/>
    <xf numFmtId="5" fontId="5" fillId="0" borderId="0" xfId="61" applyFont="1" applyFill="1" applyBorder="1" applyProtection="1"/>
    <xf numFmtId="5" fontId="9" fillId="0" borderId="19" xfId="61" applyFont="1" applyFill="1" applyBorder="1" applyProtection="1"/>
    <xf numFmtId="5" fontId="9" fillId="0" borderId="0" xfId="61" applyFont="1" applyFill="1" applyBorder="1" applyProtection="1"/>
    <xf numFmtId="5" fontId="9" fillId="0" borderId="1" xfId="61" applyFont="1" applyFill="1" applyBorder="1" applyProtection="1"/>
    <xf numFmtId="175" fontId="5" fillId="0" borderId="1" xfId="0" applyNumberFormat="1" applyFont="1" applyFill="1" applyBorder="1" applyProtection="1"/>
    <xf numFmtId="41" fontId="39" fillId="0" borderId="19" xfId="61" applyNumberFormat="1" applyFont="1" applyFill="1" applyBorder="1"/>
    <xf numFmtId="41" fontId="8" fillId="0" borderId="19" xfId="61" applyNumberFormat="1" applyFont="1" applyFill="1" applyBorder="1"/>
    <xf numFmtId="9" fontId="25" fillId="0" borderId="23" xfId="123" quotePrefix="1" applyNumberFormat="1" applyFont="1" applyFill="1" applyBorder="1" applyAlignment="1" applyProtection="1">
      <alignment horizontal="right"/>
    </xf>
    <xf numFmtId="9" fontId="25" fillId="0" borderId="1" xfId="123" quotePrefix="1" applyNumberFormat="1" applyFont="1" applyFill="1" applyBorder="1" applyAlignment="1" applyProtection="1">
      <alignment horizontal="right"/>
    </xf>
    <xf numFmtId="169" fontId="8" fillId="0" borderId="0" xfId="123" applyFont="1" applyFill="1" applyBorder="1" applyAlignment="1" applyProtection="1">
      <alignment horizontal="right"/>
    </xf>
    <xf numFmtId="0" fontId="5" fillId="0" borderId="18" xfId="60" applyNumberFormat="1" applyFont="1" applyFill="1" applyBorder="1" applyAlignment="1" applyProtection="1">
      <alignment horizontal="left" indent="2"/>
    </xf>
    <xf numFmtId="37" fontId="5" fillId="0" borderId="19" xfId="0" applyNumberFormat="1" applyFont="1" applyBorder="1"/>
    <xf numFmtId="37" fontId="5" fillId="0" borderId="28" xfId="0" applyFont="1" applyBorder="1"/>
    <xf numFmtId="169" fontId="5" fillId="0" borderId="18" xfId="123" applyFont="1" applyBorder="1"/>
    <xf numFmtId="169" fontId="5" fillId="0" borderId="26" xfId="123" applyFont="1" applyBorder="1"/>
    <xf numFmtId="169" fontId="9" fillId="0" borderId="18" xfId="123" applyFont="1" applyFill="1" applyBorder="1"/>
    <xf numFmtId="37" fontId="8" fillId="0" borderId="19" xfId="60" applyFont="1" applyBorder="1"/>
    <xf numFmtId="37" fontId="5" fillId="0" borderId="0" xfId="60" applyFont="1" applyBorder="1"/>
    <xf numFmtId="39" fontId="8" fillId="0" borderId="19" xfId="60" applyNumberFormat="1" applyFont="1" applyBorder="1"/>
    <xf numFmtId="9" fontId="15" fillId="0" borderId="0" xfId="123" applyNumberFormat="1" applyFont="1" applyFill="1" applyBorder="1"/>
    <xf numFmtId="9" fontId="15" fillId="0" borderId="19" xfId="123" applyNumberFormat="1" applyFont="1" applyFill="1" applyBorder="1"/>
    <xf numFmtId="169" fontId="7" fillId="0" borderId="18" xfId="123" quotePrefix="1" applyFont="1" applyFill="1" applyBorder="1" applyAlignment="1" applyProtection="1"/>
    <xf numFmtId="169" fontId="5" fillId="0" borderId="27" xfId="123" applyFont="1" applyFill="1" applyBorder="1"/>
    <xf numFmtId="169" fontId="8" fillId="0" borderId="1" xfId="123" applyNumberFormat="1" applyFont="1" applyBorder="1"/>
    <xf numFmtId="169" fontId="25" fillId="0" borderId="27" xfId="123" applyFont="1" applyFill="1" applyBorder="1"/>
    <xf numFmtId="169" fontId="25" fillId="0" borderId="10" xfId="123" applyFont="1" applyFill="1" applyBorder="1"/>
    <xf numFmtId="5" fontId="5" fillId="0" borderId="0" xfId="123" applyNumberFormat="1" applyFont="1" applyBorder="1"/>
    <xf numFmtId="5" fontId="9" fillId="0" borderId="0" xfId="123" applyNumberFormat="1" applyFont="1" applyBorder="1"/>
    <xf numFmtId="5" fontId="5" fillId="0" borderId="19" xfId="123" applyNumberFormat="1" applyFont="1" applyBorder="1"/>
    <xf numFmtId="37" fontId="5" fillId="0" borderId="19" xfId="60" applyFont="1" applyBorder="1"/>
    <xf numFmtId="5" fontId="9" fillId="0" borderId="19" xfId="123" applyNumberFormat="1" applyFont="1" applyBorder="1"/>
    <xf numFmtId="169" fontId="8" fillId="0" borderId="23" xfId="123" applyFont="1" applyFill="1" applyBorder="1"/>
    <xf numFmtId="169" fontId="25" fillId="0" borderId="1" xfId="123" quotePrefix="1" applyNumberFormat="1" applyFont="1" applyFill="1" applyBorder="1" applyAlignment="1" applyProtection="1"/>
    <xf numFmtId="0" fontId="25" fillId="0" borderId="29" xfId="0" applyNumberFormat="1" applyFont="1" applyBorder="1" applyAlignment="1">
      <alignment horizontal="left" indent="1"/>
    </xf>
    <xf numFmtId="169" fontId="25" fillId="0" borderId="21" xfId="123" applyFont="1" applyBorder="1"/>
    <xf numFmtId="169" fontId="25" fillId="0" borderId="28" xfId="123" applyFont="1" applyBorder="1"/>
    <xf numFmtId="37" fontId="41" fillId="0" borderId="0" xfId="0" applyFont="1" applyFill="1"/>
    <xf numFmtId="169" fontId="5" fillId="0" borderId="23" xfId="123" applyNumberFormat="1" applyFont="1" applyFill="1" applyBorder="1"/>
    <xf numFmtId="169" fontId="5" fillId="0" borderId="23" xfId="123" applyFont="1" applyBorder="1"/>
    <xf numFmtId="169" fontId="25" fillId="0" borderId="18" xfId="123" quotePrefix="1" applyFont="1" applyFill="1" applyBorder="1" applyAlignment="1" applyProtection="1"/>
    <xf numFmtId="37" fontId="9" fillId="0" borderId="0" xfId="109" applyFont="1" applyFill="1" applyBorder="1"/>
    <xf numFmtId="7" fontId="9" fillId="0" borderId="0" xfId="109" applyNumberFormat="1" applyFont="1" applyFill="1" applyBorder="1"/>
    <xf numFmtId="37" fontId="5" fillId="0" borderId="0" xfId="0" applyFont="1" applyAlignment="1">
      <alignment horizontal="center"/>
    </xf>
    <xf numFmtId="37" fontId="9" fillId="0" borderId="0" xfId="0" applyFont="1" applyAlignment="1">
      <alignment horizontal="center"/>
    </xf>
    <xf numFmtId="37" fontId="7" fillId="0" borderId="0" xfId="60" quotePrefix="1" applyFont="1" applyFill="1" applyBorder="1" applyAlignment="1" applyProtection="1"/>
    <xf numFmtId="37" fontId="7" fillId="0" borderId="19" xfId="60" quotePrefix="1" applyFont="1" applyFill="1" applyBorder="1" applyAlignment="1" applyProtection="1"/>
    <xf numFmtId="169" fontId="5" fillId="0" borderId="1" xfId="123" applyNumberFormat="1" applyFont="1" applyFill="1" applyBorder="1"/>
    <xf numFmtId="169" fontId="25" fillId="0" borderId="19" xfId="123" quotePrefix="1" applyNumberFormat="1" applyFont="1" applyFill="1" applyBorder="1" applyAlignment="1" applyProtection="1"/>
    <xf numFmtId="169" fontId="43" fillId="0" borderId="19" xfId="123" quotePrefix="1" applyNumberFormat="1" applyFont="1" applyFill="1" applyBorder="1" applyAlignment="1" applyProtection="1"/>
    <xf numFmtId="10" fontId="5" fillId="0" borderId="0" xfId="123" applyNumberFormat="1" applyFont="1"/>
    <xf numFmtId="41" fontId="8" fillId="0" borderId="18" xfId="61" applyNumberFormat="1" applyFont="1" applyFill="1" applyBorder="1"/>
    <xf numFmtId="37" fontId="9" fillId="24" borderId="22" xfId="60" applyFont="1" applyFill="1" applyBorder="1"/>
    <xf numFmtId="169" fontId="43" fillId="0" borderId="19" xfId="123" applyFont="1" applyBorder="1"/>
    <xf numFmtId="169" fontId="43" fillId="0" borderId="0" xfId="123" applyFont="1" applyBorder="1"/>
    <xf numFmtId="169" fontId="43" fillId="0" borderId="0" xfId="123" applyFont="1" applyFill="1" applyBorder="1"/>
    <xf numFmtId="37" fontId="9" fillId="24" borderId="22" xfId="0" applyFont="1" applyFill="1" applyBorder="1"/>
    <xf numFmtId="7" fontId="9" fillId="24" borderId="1" xfId="61" quotePrefix="1" applyNumberFormat="1" applyFont="1" applyFill="1" applyBorder="1" applyAlignment="1" applyProtection="1">
      <alignment horizontal="right"/>
    </xf>
    <xf numFmtId="169" fontId="5" fillId="0" borderId="27" xfId="123" applyNumberFormat="1" applyFont="1" applyFill="1" applyBorder="1"/>
    <xf numFmtId="169" fontId="8" fillId="0" borderId="27" xfId="123" applyFont="1" applyFill="1" applyBorder="1"/>
    <xf numFmtId="37" fontId="5" fillId="0" borderId="27" xfId="60" applyFont="1" applyFill="1" applyBorder="1"/>
    <xf numFmtId="169" fontId="5" fillId="0" borderId="30" xfId="123" applyFont="1" applyFill="1" applyBorder="1"/>
    <xf numFmtId="9" fontId="5" fillId="0" borderId="19" xfId="0" applyNumberFormat="1" applyFont="1" applyBorder="1"/>
    <xf numFmtId="7" fontId="9" fillId="24" borderId="28" xfId="61" quotePrefix="1" applyNumberFormat="1" applyFont="1" applyFill="1" applyBorder="1" applyAlignment="1" applyProtection="1">
      <alignment horizontal="right"/>
    </xf>
    <xf numFmtId="5" fontId="5" fillId="0" borderId="0" xfId="109" applyNumberFormat="1" applyFont="1"/>
    <xf numFmtId="41" fontId="5" fillId="0" borderId="27" xfId="60" applyNumberFormat="1" applyFont="1" applyFill="1" applyBorder="1" applyProtection="1">
      <protection locked="0"/>
    </xf>
    <xf numFmtId="169" fontId="5" fillId="0" borderId="0" xfId="123" applyFont="1" applyFill="1"/>
    <xf numFmtId="0" fontId="9" fillId="24" borderId="20" xfId="0" applyNumberFormat="1" applyFont="1" applyFill="1" applyBorder="1" applyProtection="1"/>
    <xf numFmtId="186" fontId="15" fillId="0" borderId="27" xfId="0" applyNumberFormat="1" applyFont="1" applyFill="1" applyBorder="1"/>
    <xf numFmtId="169" fontId="5" fillId="0" borderId="0" xfId="0" applyNumberFormat="1" applyFont="1" applyBorder="1"/>
    <xf numFmtId="169" fontId="5" fillId="0" borderId="19" xfId="0" applyNumberFormat="1" applyFont="1" applyBorder="1"/>
    <xf numFmtId="169" fontId="8" fillId="0" borderId="0" xfId="123" applyNumberFormat="1" applyFont="1" applyBorder="1"/>
    <xf numFmtId="37" fontId="7" fillId="0" borderId="26" xfId="60" quotePrefix="1" applyFont="1" applyFill="1" applyBorder="1" applyAlignment="1" applyProtection="1"/>
    <xf numFmtId="5" fontId="9" fillId="0" borderId="0" xfId="61" applyNumberFormat="1" applyFont="1" applyFill="1" applyBorder="1"/>
    <xf numFmtId="9" fontId="25" fillId="0" borderId="27" xfId="123" quotePrefix="1" applyNumberFormat="1" applyFont="1" applyFill="1" applyBorder="1" applyAlignment="1" applyProtection="1"/>
    <xf numFmtId="169" fontId="5" fillId="0" borderId="19" xfId="123" applyFont="1" applyFill="1" applyBorder="1" applyProtection="1"/>
    <xf numFmtId="37" fontId="5" fillId="0" borderId="18" xfId="0" applyNumberFormat="1" applyFont="1" applyFill="1" applyBorder="1" applyAlignment="1" applyProtection="1">
      <alignment horizontal="left"/>
    </xf>
    <xf numFmtId="37" fontId="5" fillId="0" borderId="0" xfId="60" quotePrefix="1" applyNumberFormat="1" applyFont="1" applyFill="1" applyBorder="1" applyAlignment="1" applyProtection="1"/>
    <xf numFmtId="37" fontId="5" fillId="0" borderId="0" xfId="0" applyNumberFormat="1" applyFont="1" applyFill="1" applyBorder="1"/>
    <xf numFmtId="177" fontId="5" fillId="0" borderId="0" xfId="60" quotePrefix="1" applyNumberFormat="1" applyFont="1" applyFill="1" applyBorder="1" applyAlignment="1" applyProtection="1"/>
    <xf numFmtId="177" fontId="5" fillId="0" borderId="0" xfId="0" applyNumberFormat="1" applyFont="1" applyFill="1" applyBorder="1"/>
    <xf numFmtId="177" fontId="5" fillId="0" borderId="0" xfId="0" applyNumberFormat="1" applyFont="1" applyFill="1" applyBorder="1" applyProtection="1"/>
    <xf numFmtId="177" fontId="8" fillId="0" borderId="0" xfId="60" quotePrefix="1" applyNumberFormat="1" applyFont="1" applyFill="1" applyBorder="1" applyAlignment="1" applyProtection="1"/>
    <xf numFmtId="177" fontId="8" fillId="0" borderId="0" xfId="60" applyNumberFormat="1" applyFont="1" applyFill="1" applyBorder="1" applyAlignment="1" applyProtection="1"/>
    <xf numFmtId="37" fontId="5" fillId="0" borderId="0" xfId="60" applyNumberFormat="1" applyFont="1" applyFill="1" applyBorder="1" applyAlignment="1" applyProtection="1">
      <alignment horizontal="left"/>
    </xf>
    <xf numFmtId="41" fontId="9" fillId="0" borderId="19" xfId="61" applyNumberFormat="1" applyFont="1" applyFill="1" applyBorder="1" applyAlignment="1" applyProtection="1">
      <alignment horizontal="right"/>
    </xf>
    <xf numFmtId="41" fontId="8" fillId="0" borderId="19" xfId="123" quotePrefix="1" applyNumberFormat="1" applyFont="1" applyFill="1" applyBorder="1" applyAlignment="1" applyProtection="1">
      <alignment horizontal="right"/>
    </xf>
    <xf numFmtId="41" fontId="15" fillId="0" borderId="19" xfId="123" quotePrefix="1" applyNumberFormat="1" applyFont="1" applyFill="1" applyBorder="1" applyAlignment="1" applyProtection="1">
      <alignment horizontal="right"/>
    </xf>
    <xf numFmtId="41" fontId="5" fillId="0" borderId="27" xfId="60" applyNumberFormat="1" applyFont="1" applyFill="1" applyBorder="1" applyProtection="1"/>
    <xf numFmtId="1" fontId="9" fillId="0" borderId="26" xfId="60" applyNumberFormat="1" applyFont="1" applyFill="1" applyBorder="1" applyAlignment="1">
      <alignment horizontal="left"/>
    </xf>
    <xf numFmtId="41" fontId="44" fillId="0" borderId="0" xfId="61" quotePrefix="1" applyNumberFormat="1" applyFont="1" applyFill="1" applyBorder="1" applyAlignment="1" applyProtection="1"/>
    <xf numFmtId="169" fontId="25" fillId="0" borderId="0" xfId="123" applyFont="1" applyFill="1" applyBorder="1" applyAlignment="1" applyProtection="1">
      <alignment horizontal="right"/>
    </xf>
    <xf numFmtId="7" fontId="5" fillId="0" borderId="19" xfId="0" applyNumberFormat="1" applyFont="1" applyBorder="1"/>
    <xf numFmtId="7" fontId="5" fillId="0" borderId="0" xfId="61" applyNumberFormat="1" applyFont="1" applyBorder="1"/>
    <xf numFmtId="7" fontId="5" fillId="0" borderId="0" xfId="0" applyNumberFormat="1" applyFont="1"/>
    <xf numFmtId="39" fontId="8" fillId="0" borderId="0" xfId="60" applyNumberFormat="1" applyFont="1" applyBorder="1"/>
    <xf numFmtId="39" fontId="5" fillId="0" borderId="19" xfId="0" applyNumberFormat="1" applyFont="1" applyBorder="1"/>
    <xf numFmtId="37" fontId="5" fillId="0" borderId="0" xfId="0" applyFont="1" applyBorder="1" applyAlignment="1"/>
    <xf numFmtId="169" fontId="27" fillId="24" borderId="6" xfId="123" applyNumberFormat="1" applyFont="1" applyFill="1" applyBorder="1"/>
    <xf numFmtId="169" fontId="26" fillId="0" borderId="0" xfId="123" applyFont="1" applyBorder="1"/>
    <xf numFmtId="41" fontId="65" fillId="0" borderId="19" xfId="60" quotePrefix="1" applyNumberFormat="1" applyFont="1" applyFill="1" applyBorder="1" applyAlignment="1" applyProtection="1"/>
    <xf numFmtId="7" fontId="8" fillId="0" borderId="0" xfId="60" applyNumberFormat="1" applyFont="1" applyFill="1" applyBorder="1" applyProtection="1"/>
    <xf numFmtId="7" fontId="5" fillId="0" borderId="19" xfId="60" applyNumberFormat="1" applyFont="1" applyFill="1" applyBorder="1" applyProtection="1"/>
    <xf numFmtId="7" fontId="5" fillId="0" borderId="0" xfId="60" applyNumberFormat="1" applyFont="1" applyFill="1" applyBorder="1" applyProtection="1"/>
    <xf numFmtId="7" fontId="5" fillId="0" borderId="0" xfId="60" applyNumberFormat="1" applyFont="1" applyFill="1" applyBorder="1" applyAlignment="1" applyProtection="1">
      <alignment horizontal="left"/>
    </xf>
    <xf numFmtId="7" fontId="26" fillId="0" borderId="0" xfId="60" applyNumberFormat="1" applyFont="1" applyFill="1" applyBorder="1" applyProtection="1"/>
    <xf numFmtId="7" fontId="26" fillId="0" borderId="19" xfId="60" applyNumberFormat="1" applyFont="1" applyFill="1" applyBorder="1" applyProtection="1"/>
    <xf numFmtId="7" fontId="8" fillId="0" borderId="19" xfId="61" applyNumberFormat="1" applyFont="1" applyFill="1" applyBorder="1" applyAlignment="1" applyProtection="1">
      <alignment horizontal="right"/>
    </xf>
    <xf numFmtId="41" fontId="39" fillId="0" borderId="19" xfId="123" quotePrefix="1" applyNumberFormat="1" applyFont="1" applyFill="1" applyBorder="1" applyAlignment="1" applyProtection="1">
      <alignment horizontal="right"/>
    </xf>
    <xf numFmtId="0" fontId="16" fillId="0" borderId="18" xfId="60" applyNumberFormat="1" applyFont="1" applyFill="1" applyBorder="1" applyAlignment="1" applyProtection="1">
      <alignment horizontal="left"/>
    </xf>
    <xf numFmtId="169" fontId="25" fillId="0" borderId="18" xfId="60" applyNumberFormat="1" applyFont="1" applyFill="1" applyBorder="1" applyAlignment="1" applyProtection="1">
      <alignment horizontal="left" indent="1"/>
    </xf>
    <xf numFmtId="169" fontId="43" fillId="0" borderId="19" xfId="123" quotePrefix="1" applyNumberFormat="1" applyFont="1" applyFill="1" applyBorder="1" applyAlignment="1" applyProtection="1">
      <alignment horizontal="right"/>
    </xf>
    <xf numFmtId="37" fontId="5" fillId="0" borderId="18" xfId="0" applyFont="1" applyFill="1" applyBorder="1" applyAlignment="1">
      <alignment horizontal="left" indent="1"/>
    </xf>
    <xf numFmtId="169" fontId="5" fillId="0" borderId="21" xfId="123" applyFont="1" applyFill="1" applyBorder="1"/>
    <xf numFmtId="169" fontId="8" fillId="0" borderId="19" xfId="123" applyFont="1" applyFill="1" applyBorder="1" applyAlignment="1">
      <alignment horizontal="right"/>
    </xf>
    <xf numFmtId="37" fontId="25" fillId="0" borderId="18" xfId="0" applyFont="1" applyFill="1" applyBorder="1" applyAlignment="1">
      <alignment horizontal="left"/>
    </xf>
    <xf numFmtId="39" fontId="8" fillId="0" borderId="19" xfId="60" applyNumberFormat="1" applyFont="1" applyFill="1" applyBorder="1"/>
    <xf numFmtId="37" fontId="8" fillId="0" borderId="0" xfId="60" applyFont="1" applyFill="1" applyBorder="1"/>
    <xf numFmtId="37" fontId="8" fillId="0" borderId="19" xfId="60" applyFont="1" applyFill="1" applyBorder="1"/>
    <xf numFmtId="7" fontId="5" fillId="0" borderId="18" xfId="0" applyNumberFormat="1" applyFont="1" applyFill="1" applyBorder="1" applyAlignment="1">
      <alignment horizontal="left" indent="1"/>
    </xf>
    <xf numFmtId="7" fontId="8" fillId="0" borderId="19" xfId="0" applyNumberFormat="1" applyFont="1" applyFill="1" applyBorder="1"/>
    <xf numFmtId="39" fontId="5" fillId="0" borderId="18" xfId="0" applyNumberFormat="1" applyFont="1" applyFill="1" applyBorder="1" applyAlignment="1">
      <alignment horizontal="left" indent="1"/>
    </xf>
    <xf numFmtId="39" fontId="8" fillId="0" borderId="0" xfId="60" applyNumberFormat="1" applyFont="1" applyFill="1" applyBorder="1"/>
    <xf numFmtId="39" fontId="8" fillId="0" borderId="19" xfId="0" applyNumberFormat="1" applyFont="1" applyFill="1" applyBorder="1"/>
    <xf numFmtId="169" fontId="5" fillId="0" borderId="18" xfId="0" applyNumberFormat="1" applyFont="1" applyFill="1" applyBorder="1" applyAlignment="1">
      <alignment horizontal="left" indent="1"/>
    </xf>
    <xf numFmtId="169" fontId="8" fillId="0" borderId="0" xfId="123" applyNumberFormat="1" applyFont="1" applyFill="1" applyBorder="1"/>
    <xf numFmtId="169" fontId="8" fillId="0" borderId="19" xfId="123" applyNumberFormat="1" applyFont="1" applyFill="1" applyBorder="1"/>
    <xf numFmtId="41" fontId="7" fillId="0" borderId="0" xfId="60" applyNumberFormat="1" applyFont="1" applyFill="1" applyBorder="1" applyAlignment="1" applyProtection="1">
      <alignment horizontal="right"/>
    </xf>
    <xf numFmtId="7" fontId="8" fillId="0" borderId="19" xfId="0" applyNumberFormat="1" applyFont="1" applyBorder="1"/>
    <xf numFmtId="39" fontId="8" fillId="0" borderId="19" xfId="0" applyNumberFormat="1" applyFont="1" applyBorder="1"/>
    <xf numFmtId="5" fontId="8" fillId="0" borderId="0" xfId="61" applyFont="1" applyFill="1" applyBorder="1"/>
    <xf numFmtId="9" fontId="8" fillId="0" borderId="0" xfId="123" applyNumberFormat="1" applyFont="1" applyFill="1" applyBorder="1"/>
    <xf numFmtId="0" fontId="9" fillId="0" borderId="18" xfId="0" applyNumberFormat="1" applyFont="1" applyFill="1" applyBorder="1" applyAlignment="1">
      <alignment horizontal="left"/>
    </xf>
    <xf numFmtId="0" fontId="25" fillId="0" borderId="18" xfId="0" applyNumberFormat="1" applyFont="1" applyFill="1" applyBorder="1" applyAlignment="1">
      <alignment horizontal="left" indent="1"/>
    </xf>
    <xf numFmtId="0" fontId="9" fillId="17" borderId="10" xfId="0" quotePrefix="1" applyNumberFormat="1" applyFont="1" applyFill="1" applyBorder="1" applyAlignment="1" applyProtection="1">
      <alignment horizontal="right"/>
    </xf>
    <xf numFmtId="0" fontId="9" fillId="17" borderId="6" xfId="0" quotePrefix="1" applyNumberFormat="1" applyFont="1" applyFill="1" applyBorder="1" applyAlignment="1" applyProtection="1">
      <alignment horizontal="right"/>
    </xf>
    <xf numFmtId="0" fontId="28" fillId="17" borderId="6" xfId="0" quotePrefix="1" applyNumberFormat="1" applyFont="1" applyFill="1" applyBorder="1" applyAlignment="1" applyProtection="1">
      <alignment horizontal="right"/>
    </xf>
    <xf numFmtId="0" fontId="9" fillId="17" borderId="10" xfId="0" applyNumberFormat="1" applyFont="1" applyFill="1" applyBorder="1" applyAlignment="1" applyProtection="1">
      <alignment horizontal="right"/>
    </xf>
    <xf numFmtId="0" fontId="9" fillId="17" borderId="22" xfId="0" applyNumberFormat="1" applyFont="1" applyFill="1" applyBorder="1" applyAlignment="1" applyProtection="1">
      <alignment horizontal="right"/>
    </xf>
    <xf numFmtId="0" fontId="9" fillId="17" borderId="6" xfId="0" applyNumberFormat="1" applyFont="1" applyFill="1" applyBorder="1" applyAlignment="1" applyProtection="1">
      <alignment horizontal="right"/>
    </xf>
    <xf numFmtId="0" fontId="38" fillId="17" borderId="6" xfId="0" applyNumberFormat="1" applyFont="1" applyFill="1" applyBorder="1" applyAlignment="1" applyProtection="1">
      <alignment horizontal="left"/>
    </xf>
    <xf numFmtId="0" fontId="9" fillId="17" borderId="6" xfId="0" applyNumberFormat="1" applyFont="1" applyFill="1" applyBorder="1" applyAlignment="1">
      <alignment horizontal="right"/>
    </xf>
    <xf numFmtId="0" fontId="9" fillId="17" borderId="10" xfId="0" applyNumberFormat="1" applyFont="1" applyFill="1" applyBorder="1" applyAlignment="1">
      <alignment horizontal="right"/>
    </xf>
    <xf numFmtId="0" fontId="5" fillId="0" borderId="0" xfId="0" applyNumberFormat="1" applyFont="1" applyFill="1"/>
    <xf numFmtId="0" fontId="9" fillId="17" borderId="22" xfId="0" applyNumberFormat="1" applyFont="1" applyFill="1" applyBorder="1" applyAlignment="1">
      <alignment horizontal="right"/>
    </xf>
    <xf numFmtId="5" fontId="9" fillId="0" borderId="0" xfId="60" quotePrefix="1" applyNumberFormat="1" applyFont="1" applyFill="1" applyBorder="1" applyAlignment="1" applyProtection="1">
      <alignment horizontal="right"/>
    </xf>
    <xf numFmtId="5" fontId="9" fillId="0" borderId="0" xfId="0" applyNumberFormat="1" applyFont="1" applyFill="1" applyBorder="1" applyAlignment="1" applyProtection="1">
      <alignment horizontal="right"/>
    </xf>
    <xf numFmtId="5" fontId="9" fillId="0" borderId="0" xfId="0" applyNumberFormat="1" applyFont="1" applyFill="1" applyBorder="1" applyProtection="1"/>
    <xf numFmtId="5" fontId="9" fillId="24" borderId="6" xfId="61" applyNumberFormat="1" applyFont="1" applyFill="1" applyBorder="1"/>
    <xf numFmtId="187" fontId="9" fillId="0" borderId="0" xfId="61" applyNumberFormat="1" applyFont="1" applyFill="1" applyBorder="1"/>
    <xf numFmtId="7" fontId="9" fillId="24" borderId="31" xfId="61" quotePrefix="1" applyNumberFormat="1" applyFont="1" applyFill="1" applyBorder="1" applyAlignment="1" applyProtection="1">
      <alignment horizontal="right"/>
    </xf>
    <xf numFmtId="5" fontId="9" fillId="0" borderId="0" xfId="61" applyNumberFormat="1" applyFont="1" applyFill="1" applyBorder="1" applyProtection="1"/>
    <xf numFmtId="185" fontId="5" fillId="0" borderId="0" xfId="0" applyNumberFormat="1" applyFont="1" applyBorder="1"/>
    <xf numFmtId="37" fontId="5" fillId="24" borderId="22" xfId="0" applyFont="1" applyFill="1" applyBorder="1"/>
    <xf numFmtId="169" fontId="5" fillId="0" borderId="27" xfId="123" applyFont="1" applyBorder="1"/>
    <xf numFmtId="41" fontId="9" fillId="0" borderId="27" xfId="123" quotePrefix="1" applyNumberFormat="1" applyFont="1" applyFill="1" applyBorder="1" applyAlignment="1" applyProtection="1"/>
    <xf numFmtId="41" fontId="15" fillId="0" borderId="27" xfId="60" quotePrefix="1" applyNumberFormat="1" applyFont="1" applyFill="1" applyBorder="1" applyAlignment="1" applyProtection="1"/>
    <xf numFmtId="169" fontId="25" fillId="0" borderId="27" xfId="123" quotePrefix="1" applyFont="1" applyFill="1" applyBorder="1" applyAlignment="1" applyProtection="1"/>
    <xf numFmtId="169" fontId="5" fillId="0" borderId="10" xfId="123" applyFont="1" applyFill="1" applyBorder="1"/>
    <xf numFmtId="187" fontId="9" fillId="0" borderId="19" xfId="0" quotePrefix="1" applyNumberFormat="1" applyFont="1" applyFill="1" applyBorder="1" applyAlignment="1" applyProtection="1">
      <alignment horizontal="right"/>
    </xf>
    <xf numFmtId="5" fontId="8" fillId="0" borderId="0" xfId="60" quotePrefix="1" applyNumberFormat="1" applyFont="1" applyFill="1" applyBorder="1" applyAlignment="1" applyProtection="1"/>
    <xf numFmtId="187" fontId="5" fillId="0" borderId="0" xfId="0" applyNumberFormat="1" applyFont="1" applyBorder="1"/>
    <xf numFmtId="37" fontId="5" fillId="0" borderId="1" xfId="109" applyFont="1" applyFill="1" applyBorder="1" applyAlignment="1">
      <alignment horizontal="right"/>
    </xf>
    <xf numFmtId="37" fontId="5" fillId="0" borderId="0" xfId="109" applyFont="1" applyFill="1" applyBorder="1"/>
    <xf numFmtId="37" fontId="9" fillId="0" borderId="0" xfId="109" applyFont="1" applyFill="1" applyAlignment="1">
      <alignment horizontal="right"/>
    </xf>
    <xf numFmtId="37" fontId="9" fillId="0" borderId="0" xfId="109" applyFont="1" applyFill="1" applyBorder="1" applyAlignment="1">
      <alignment horizontal="right"/>
    </xf>
    <xf numFmtId="169" fontId="25" fillId="0" borderId="0" xfId="123" applyFont="1" applyFill="1"/>
    <xf numFmtId="185" fontId="5" fillId="0" borderId="0" xfId="61" applyNumberFormat="1" applyFont="1" applyFill="1" applyBorder="1" applyProtection="1"/>
    <xf numFmtId="37" fontId="5" fillId="0" borderId="18" xfId="0" applyNumberFormat="1" applyFont="1" applyBorder="1"/>
    <xf numFmtId="185" fontId="5" fillId="0" borderId="0" xfId="123" applyNumberFormat="1" applyFont="1" applyFill="1" applyBorder="1" applyProtection="1"/>
    <xf numFmtId="185" fontId="9" fillId="0" borderId="0" xfId="0" applyNumberFormat="1" applyFont="1" applyFill="1" applyBorder="1" applyAlignment="1" applyProtection="1">
      <alignment horizontal="right"/>
    </xf>
    <xf numFmtId="185" fontId="9" fillId="0" borderId="0" xfId="0" applyNumberFormat="1" applyFont="1" applyFill="1" applyBorder="1" applyProtection="1"/>
    <xf numFmtId="37" fontId="5" fillId="0" borderId="0" xfId="0" applyNumberFormat="1" applyFont="1" applyBorder="1" applyAlignment="1">
      <alignment horizontal="right"/>
    </xf>
    <xf numFmtId="37" fontId="9" fillId="0" borderId="1" xfId="0" applyFont="1" applyBorder="1" applyAlignment="1">
      <alignment horizontal="right"/>
    </xf>
    <xf numFmtId="7" fontId="5" fillId="0" borderId="6" xfId="0" applyNumberFormat="1" applyFont="1" applyBorder="1"/>
    <xf numFmtId="37" fontId="8" fillId="0" borderId="1" xfId="0" applyFont="1" applyBorder="1"/>
    <xf numFmtId="169" fontId="36" fillId="0" borderId="0" xfId="123" applyFont="1" applyFill="1" applyBorder="1" applyAlignment="1" applyProtection="1">
      <alignment horizontal="right"/>
    </xf>
    <xf numFmtId="1" fontId="5" fillId="0" borderId="0" xfId="123" quotePrefix="1" applyNumberFormat="1" applyFont="1" applyFill="1" applyBorder="1" applyAlignment="1" applyProtection="1">
      <alignment horizontal="right"/>
    </xf>
    <xf numFmtId="37" fontId="9" fillId="0" borderId="1" xfId="0" applyFont="1" applyBorder="1" applyAlignment="1">
      <alignment horizontal="left"/>
    </xf>
    <xf numFmtId="5" fontId="8" fillId="0" borderId="0" xfId="0" applyNumberFormat="1" applyFont="1"/>
    <xf numFmtId="169" fontId="25" fillId="0" borderId="18" xfId="123" applyFont="1" applyFill="1" applyBorder="1"/>
    <xf numFmtId="41" fontId="64" fillId="0" borderId="19" xfId="123" quotePrefix="1" applyNumberFormat="1" applyFont="1" applyFill="1" applyBorder="1" applyAlignment="1" applyProtection="1">
      <alignment horizontal="right"/>
    </xf>
    <xf numFmtId="169" fontId="5" fillId="0" borderId="18" xfId="123" applyFont="1" applyFill="1" applyBorder="1" applyAlignment="1" applyProtection="1">
      <alignment horizontal="left"/>
    </xf>
    <xf numFmtId="169" fontId="25" fillId="0" borderId="26" xfId="60" applyNumberFormat="1" applyFont="1" applyFill="1" applyBorder="1" applyAlignment="1" applyProtection="1">
      <alignment horizontal="left" indent="1"/>
    </xf>
    <xf numFmtId="5" fontId="5" fillId="0" borderId="28" xfId="0" applyNumberFormat="1" applyFont="1" applyBorder="1"/>
    <xf numFmtId="175" fontId="5" fillId="0" borderId="30" xfId="0" applyNumberFormat="1" applyFont="1" applyFill="1" applyBorder="1" applyProtection="1"/>
    <xf numFmtId="37" fontId="5" fillId="0" borderId="19" xfId="0" applyFont="1" applyBorder="1" applyAlignment="1">
      <alignment horizontal="right"/>
    </xf>
    <xf numFmtId="5" fontId="5" fillId="0" borderId="18" xfId="0" applyNumberFormat="1" applyFont="1" applyBorder="1"/>
    <xf numFmtId="186" fontId="5" fillId="0" borderId="27" xfId="0" applyNumberFormat="1" applyFont="1" applyFill="1" applyBorder="1"/>
    <xf numFmtId="186" fontId="9" fillId="0" borderId="27" xfId="0" applyNumberFormat="1" applyFont="1" applyFill="1" applyBorder="1"/>
    <xf numFmtId="186" fontId="9" fillId="24" borderId="22" xfId="0" applyNumberFormat="1" applyFont="1" applyFill="1" applyBorder="1"/>
    <xf numFmtId="5" fontId="9" fillId="0" borderId="27" xfId="123" applyNumberFormat="1" applyFont="1" applyBorder="1"/>
    <xf numFmtId="5" fontId="5" fillId="0" borderId="0" xfId="61" applyNumberFormat="1" applyFont="1" applyFill="1" applyBorder="1" applyProtection="1"/>
    <xf numFmtId="5" fontId="9" fillId="0" borderId="19" xfId="61" applyNumberFormat="1" applyFont="1" applyFill="1" applyBorder="1" applyProtection="1"/>
    <xf numFmtId="5" fontId="9" fillId="0" borderId="1" xfId="61" applyNumberFormat="1" applyFont="1" applyFill="1" applyBorder="1" applyProtection="1"/>
    <xf numFmtId="5" fontId="5" fillId="0" borderId="0" xfId="61" quotePrefix="1" applyNumberFormat="1" applyFont="1" applyFill="1" applyBorder="1" applyAlignment="1" applyProtection="1">
      <alignment horizontal="right"/>
    </xf>
    <xf numFmtId="41" fontId="5" fillId="0" borderId="1" xfId="60" applyNumberFormat="1" applyFont="1" applyFill="1" applyBorder="1" applyAlignment="1" applyProtection="1">
      <alignment horizontal="right"/>
    </xf>
    <xf numFmtId="41" fontId="15" fillId="0" borderId="0" xfId="60" applyNumberFormat="1" applyFont="1" applyFill="1" applyBorder="1" applyProtection="1">
      <protection locked="0"/>
    </xf>
    <xf numFmtId="1" fontId="5" fillId="0" borderId="0" xfId="60" quotePrefix="1" applyNumberFormat="1" applyFont="1" applyFill="1" applyBorder="1" applyAlignment="1" applyProtection="1"/>
    <xf numFmtId="0" fontId="9" fillId="24" borderId="29" xfId="0" applyNumberFormat="1" applyFont="1" applyFill="1" applyBorder="1" applyAlignment="1" applyProtection="1">
      <alignment horizontal="left"/>
    </xf>
    <xf numFmtId="0" fontId="9" fillId="24" borderId="26" xfId="0" applyNumberFormat="1" applyFont="1" applyFill="1" applyBorder="1" applyAlignment="1" applyProtection="1">
      <alignment horizontal="left"/>
    </xf>
    <xf numFmtId="0" fontId="25" fillId="0" borderId="26" xfId="0" applyNumberFormat="1" applyFont="1" applyFill="1" applyBorder="1" applyAlignment="1" applyProtection="1">
      <alignment horizontal="left"/>
    </xf>
    <xf numFmtId="7" fontId="9" fillId="0" borderId="18" xfId="61" applyNumberFormat="1" applyFont="1" applyFill="1" applyBorder="1" applyAlignment="1" applyProtection="1"/>
    <xf numFmtId="41" fontId="5" fillId="0" borderId="1" xfId="60" quotePrefix="1" applyNumberFormat="1" applyFont="1" applyFill="1" applyBorder="1" applyAlignment="1" applyProtection="1"/>
    <xf numFmtId="41" fontId="5" fillId="0" borderId="0" xfId="61" applyNumberFormat="1" applyFont="1" applyFill="1" applyBorder="1" applyProtection="1">
      <protection locked="0"/>
    </xf>
    <xf numFmtId="5" fontId="5" fillId="0" borderId="27" xfId="61" quotePrefix="1" applyNumberFormat="1" applyFont="1" applyFill="1" applyBorder="1" applyAlignment="1" applyProtection="1">
      <alignment horizontal="right"/>
    </xf>
    <xf numFmtId="41" fontId="5" fillId="0" borderId="27" xfId="60" quotePrefix="1" applyNumberFormat="1" applyFont="1" applyFill="1" applyBorder="1" applyAlignment="1" applyProtection="1">
      <alignment horizontal="right"/>
    </xf>
    <xf numFmtId="41" fontId="15" fillId="0" borderId="27" xfId="60" quotePrefix="1" applyNumberFormat="1" applyFont="1" applyFill="1" applyBorder="1" applyAlignment="1" applyProtection="1">
      <alignment horizontal="right"/>
    </xf>
    <xf numFmtId="41" fontId="9" fillId="0" borderId="27" xfId="60" quotePrefix="1" applyNumberFormat="1" applyFont="1" applyFill="1" applyBorder="1" applyAlignment="1" applyProtection="1">
      <alignment horizontal="right"/>
    </xf>
    <xf numFmtId="5" fontId="9" fillId="24" borderId="22" xfId="0" applyNumberFormat="1" applyFont="1" applyFill="1" applyBorder="1" applyProtection="1"/>
    <xf numFmtId="5" fontId="9" fillId="24" borderId="22" xfId="61" applyNumberFormat="1" applyFont="1" applyFill="1" applyBorder="1"/>
    <xf numFmtId="41" fontId="5" fillId="0" borderId="27" xfId="123" quotePrefix="1" applyNumberFormat="1" applyFont="1" applyFill="1" applyBorder="1" applyAlignment="1" applyProtection="1">
      <alignment horizontal="right"/>
    </xf>
    <xf numFmtId="41" fontId="5" fillId="0" borderId="27" xfId="61" applyNumberFormat="1" applyFont="1" applyFill="1" applyBorder="1"/>
    <xf numFmtId="41" fontId="15" fillId="0" borderId="27" xfId="60" applyNumberFormat="1" applyFont="1" applyFill="1" applyBorder="1" applyProtection="1"/>
    <xf numFmtId="41" fontId="9" fillId="0" borderId="27" xfId="0" applyNumberFormat="1" applyFont="1" applyFill="1" applyBorder="1" applyProtection="1"/>
    <xf numFmtId="41" fontId="5" fillId="0" borderId="27" xfId="61" quotePrefix="1" applyNumberFormat="1" applyFont="1" applyFill="1" applyBorder="1" applyAlignment="1" applyProtection="1"/>
    <xf numFmtId="41" fontId="5" fillId="0" borderId="27" xfId="123" applyNumberFormat="1" applyFont="1" applyFill="1" applyBorder="1" applyProtection="1"/>
    <xf numFmtId="41" fontId="5" fillId="0" borderId="27" xfId="60" quotePrefix="1" applyNumberFormat="1" applyFont="1" applyFill="1" applyBorder="1" applyAlignment="1" applyProtection="1"/>
    <xf numFmtId="41" fontId="5" fillId="0" borderId="27" xfId="0" applyNumberFormat="1" applyFont="1" applyFill="1" applyBorder="1"/>
    <xf numFmtId="41" fontId="5" fillId="0" borderId="27" xfId="60" applyNumberFormat="1" applyFont="1" applyFill="1" applyBorder="1"/>
    <xf numFmtId="41" fontId="9" fillId="0" borderId="27" xfId="61" applyNumberFormat="1" applyFont="1" applyFill="1" applyBorder="1"/>
    <xf numFmtId="41" fontId="15" fillId="0" borderId="27" xfId="61" applyNumberFormat="1" applyFont="1" applyFill="1" applyBorder="1"/>
    <xf numFmtId="41" fontId="5" fillId="0" borderId="27" xfId="61" applyNumberFormat="1" applyFont="1" applyFill="1" applyBorder="1" applyAlignment="1" applyProtection="1">
      <alignment horizontal="right"/>
    </xf>
    <xf numFmtId="7" fontId="9" fillId="24" borderId="30" xfId="61" quotePrefix="1" applyNumberFormat="1" applyFont="1" applyFill="1" applyBorder="1" applyAlignment="1" applyProtection="1">
      <alignment horizontal="right"/>
    </xf>
    <xf numFmtId="41" fontId="9" fillId="0" borderId="27" xfId="61" applyNumberFormat="1" applyFont="1" applyFill="1" applyBorder="1" applyAlignment="1" applyProtection="1">
      <alignment horizontal="right"/>
    </xf>
    <xf numFmtId="41" fontId="15" fillId="0" borderId="27" xfId="123" quotePrefix="1" applyNumberFormat="1" applyFont="1" applyFill="1" applyBorder="1" applyAlignment="1" applyProtection="1">
      <alignment horizontal="right"/>
    </xf>
    <xf numFmtId="41" fontId="5" fillId="0" borderId="27" xfId="0" applyNumberFormat="1" applyFont="1" applyFill="1" applyBorder="1" applyAlignment="1" applyProtection="1">
      <alignment horizontal="right"/>
    </xf>
    <xf numFmtId="7" fontId="5" fillId="0" borderId="18" xfId="60" applyNumberFormat="1" applyFont="1" applyFill="1" applyBorder="1" applyAlignment="1" applyProtection="1">
      <alignment horizontal="left"/>
    </xf>
    <xf numFmtId="7" fontId="5" fillId="0" borderId="27" xfId="60" applyNumberFormat="1" applyFont="1" applyFill="1" applyBorder="1" applyProtection="1"/>
    <xf numFmtId="0" fontId="5" fillId="0" borderId="18" xfId="0" applyNumberFormat="1" applyFont="1" applyFill="1" applyBorder="1"/>
    <xf numFmtId="7" fontId="5" fillId="0" borderId="27" xfId="61" applyNumberFormat="1" applyFont="1" applyFill="1" applyBorder="1" applyAlignment="1" applyProtection="1">
      <alignment horizontal="right"/>
    </xf>
    <xf numFmtId="169" fontId="25" fillId="0" borderId="27" xfId="123" applyFont="1" applyFill="1" applyBorder="1" applyAlignment="1" applyProtection="1">
      <alignment horizontal="right"/>
    </xf>
    <xf numFmtId="41" fontId="5" fillId="0" borderId="30" xfId="60" applyNumberFormat="1" applyFont="1" applyFill="1" applyBorder="1" applyAlignment="1" applyProtection="1">
      <alignment horizontal="right"/>
    </xf>
    <xf numFmtId="0" fontId="9" fillId="17" borderId="22" xfId="0" quotePrefix="1" applyNumberFormat="1" applyFont="1" applyFill="1" applyBorder="1" applyAlignment="1" applyProtection="1">
      <alignment horizontal="right"/>
    </xf>
    <xf numFmtId="5" fontId="5" fillId="0" borderId="27" xfId="0" applyNumberFormat="1" applyFont="1" applyFill="1" applyBorder="1" applyAlignment="1" applyProtection="1">
      <alignment horizontal="right"/>
    </xf>
    <xf numFmtId="41" fontId="5" fillId="0" borderId="27" xfId="0" applyNumberFormat="1" applyFont="1" applyFill="1" applyBorder="1" applyProtection="1"/>
    <xf numFmtId="169" fontId="25" fillId="0" borderId="31" xfId="123" applyFont="1" applyBorder="1"/>
    <xf numFmtId="5" fontId="5" fillId="0" borderId="27" xfId="61" quotePrefix="1" applyFont="1" applyFill="1" applyBorder="1" applyAlignment="1" applyProtection="1">
      <alignment horizontal="right"/>
    </xf>
    <xf numFmtId="41" fontId="9" fillId="0" borderId="27" xfId="61" quotePrefix="1" applyNumberFormat="1" applyFont="1" applyFill="1" applyBorder="1" applyAlignment="1" applyProtection="1">
      <alignment horizontal="right"/>
    </xf>
    <xf numFmtId="41" fontId="5" fillId="0" borderId="27" xfId="61" quotePrefix="1" applyNumberFormat="1" applyFont="1" applyFill="1" applyBorder="1" applyAlignment="1" applyProtection="1">
      <alignment horizontal="right"/>
    </xf>
    <xf numFmtId="7" fontId="9" fillId="0" borderId="27" xfId="61" quotePrefix="1" applyNumberFormat="1" applyFont="1" applyFill="1" applyBorder="1" applyAlignment="1" applyProtection="1">
      <alignment horizontal="right"/>
    </xf>
    <xf numFmtId="9" fontId="25" fillId="0" borderId="30" xfId="123" quotePrefix="1" applyNumberFormat="1" applyFont="1" applyFill="1" applyBorder="1" applyAlignment="1" applyProtection="1">
      <alignment horizontal="right"/>
    </xf>
    <xf numFmtId="41" fontId="25" fillId="0" borderId="27" xfId="60" quotePrefix="1" applyNumberFormat="1" applyFont="1" applyFill="1" applyBorder="1" applyAlignment="1" applyProtection="1"/>
    <xf numFmtId="5" fontId="5" fillId="0" borderId="27" xfId="60" quotePrefix="1" applyNumberFormat="1" applyFont="1" applyFill="1" applyBorder="1" applyAlignment="1" applyProtection="1">
      <alignment horizontal="right"/>
    </xf>
    <xf numFmtId="169" fontId="25" fillId="0" borderId="27" xfId="123" quotePrefix="1" applyNumberFormat="1" applyFont="1" applyFill="1" applyBorder="1" applyAlignment="1" applyProtection="1"/>
    <xf numFmtId="41" fontId="9" fillId="0" borderId="27" xfId="0" quotePrefix="1" applyNumberFormat="1" applyFont="1" applyFill="1" applyBorder="1" applyAlignment="1" applyProtection="1">
      <alignment horizontal="right"/>
    </xf>
    <xf numFmtId="0" fontId="5" fillId="0" borderId="18" xfId="0" applyNumberFormat="1" applyFont="1" applyFill="1" applyBorder="1" applyAlignment="1">
      <alignment horizontal="left"/>
    </xf>
    <xf numFmtId="0" fontId="15" fillId="0" borderId="18" xfId="0" applyNumberFormat="1" applyFont="1" applyFill="1" applyBorder="1"/>
    <xf numFmtId="0" fontId="15" fillId="0" borderId="18" xfId="0" applyNumberFormat="1" applyFont="1" applyFill="1" applyBorder="1" applyAlignment="1">
      <alignment horizontal="left"/>
    </xf>
    <xf numFmtId="41" fontId="9" fillId="0" borderId="27" xfId="60" quotePrefix="1" applyNumberFormat="1" applyFont="1" applyFill="1" applyBorder="1" applyAlignment="1" applyProtection="1"/>
    <xf numFmtId="41" fontId="25" fillId="0" borderId="27" xfId="123" quotePrefix="1" applyNumberFormat="1" applyFont="1" applyFill="1" applyBorder="1" applyAlignment="1" applyProtection="1"/>
    <xf numFmtId="5" fontId="9" fillId="24" borderId="22" xfId="61" quotePrefix="1" applyNumberFormat="1" applyFont="1" applyFill="1" applyBorder="1" applyAlignment="1" applyProtection="1"/>
    <xf numFmtId="169" fontId="25" fillId="0" borderId="30" xfId="123" quotePrefix="1" applyNumberFormat="1" applyFont="1" applyFill="1" applyBorder="1" applyAlignment="1" applyProtection="1"/>
    <xf numFmtId="5" fontId="9" fillId="0" borderId="27" xfId="61" applyNumberFormat="1" applyFont="1" applyFill="1" applyBorder="1" applyAlignment="1" applyProtection="1">
      <alignment horizontal="right"/>
    </xf>
    <xf numFmtId="9" fontId="25" fillId="0" borderId="30" xfId="123" quotePrefix="1" applyNumberFormat="1" applyFont="1" applyFill="1" applyBorder="1" applyAlignment="1" applyProtection="1"/>
    <xf numFmtId="5" fontId="5" fillId="0" borderId="27" xfId="61" applyFont="1" applyFill="1" applyBorder="1" applyProtection="1"/>
    <xf numFmtId="41" fontId="15" fillId="0" borderId="27" xfId="60" applyNumberFormat="1" applyFont="1" applyFill="1" applyBorder="1" applyProtection="1">
      <protection locked="0"/>
    </xf>
    <xf numFmtId="41" fontId="9" fillId="0" borderId="27" xfId="61" applyNumberFormat="1" applyFont="1" applyFill="1" applyBorder="1" applyProtection="1"/>
    <xf numFmtId="5" fontId="9" fillId="0" borderId="27" xfId="61" applyFont="1" applyFill="1" applyBorder="1" applyProtection="1"/>
    <xf numFmtId="5" fontId="9" fillId="0" borderId="30" xfId="61" applyFont="1" applyFill="1" applyBorder="1" applyProtection="1"/>
    <xf numFmtId="41" fontId="5" fillId="0" borderId="27" xfId="61" applyNumberFormat="1" applyFont="1" applyFill="1" applyBorder="1" applyProtection="1"/>
    <xf numFmtId="41" fontId="15" fillId="0" borderId="27" xfId="0" applyNumberFormat="1" applyFont="1" applyFill="1" applyBorder="1" applyProtection="1"/>
    <xf numFmtId="169" fontId="5" fillId="0" borderId="27" xfId="123" applyFont="1" applyFill="1" applyBorder="1" applyProtection="1"/>
    <xf numFmtId="37" fontId="5" fillId="0" borderId="27" xfId="60" applyFont="1" applyFill="1" applyBorder="1" applyProtection="1"/>
    <xf numFmtId="41" fontId="9" fillId="17" borderId="22" xfId="60" applyNumberFormat="1" applyFont="1" applyFill="1" applyBorder="1" applyAlignment="1" applyProtection="1">
      <alignment horizontal="right"/>
    </xf>
    <xf numFmtId="41" fontId="9" fillId="0" borderId="27" xfId="60" applyNumberFormat="1" applyFont="1" applyFill="1" applyBorder="1"/>
    <xf numFmtId="41" fontId="9" fillId="24" borderId="22" xfId="61" applyNumberFormat="1" applyFont="1" applyFill="1" applyBorder="1" applyProtection="1"/>
    <xf numFmtId="1" fontId="5" fillId="0" borderId="27" xfId="60" quotePrefix="1" applyNumberFormat="1" applyFont="1" applyFill="1" applyBorder="1" applyAlignment="1" applyProtection="1"/>
    <xf numFmtId="39" fontId="5" fillId="0" borderId="0" xfId="60" applyNumberFormat="1" applyFont="1"/>
    <xf numFmtId="1" fontId="5" fillId="0" borderId="0" xfId="0" applyNumberFormat="1" applyFont="1" applyFill="1"/>
    <xf numFmtId="39" fontId="5" fillId="0" borderId="0" xfId="60" applyNumberFormat="1" applyFont="1" applyFill="1"/>
    <xf numFmtId="169" fontId="27" fillId="24" borderId="10" xfId="123" applyNumberFormat="1" applyFont="1" applyFill="1" applyBorder="1"/>
    <xf numFmtId="37" fontId="41" fillId="0" borderId="0" xfId="115" applyFont="1"/>
    <xf numFmtId="37" fontId="9" fillId="0" borderId="0" xfId="60" applyFont="1" applyFill="1" applyBorder="1"/>
    <xf numFmtId="5" fontId="27" fillId="0" borderId="0" xfId="61" applyNumberFormat="1" applyFont="1" applyFill="1" applyBorder="1" applyAlignment="1" applyProtection="1">
      <alignment horizontal="right"/>
    </xf>
    <xf numFmtId="5" fontId="9" fillId="24" borderId="20" xfId="0" applyNumberFormat="1" applyFont="1" applyFill="1" applyBorder="1" applyAlignment="1" applyProtection="1">
      <alignment horizontal="left"/>
    </xf>
    <xf numFmtId="5" fontId="5" fillId="0" borderId="0" xfId="60" applyNumberFormat="1" applyFont="1"/>
    <xf numFmtId="5" fontId="5" fillId="0" borderId="0" xfId="60" applyNumberFormat="1" applyFont="1" applyFill="1"/>
    <xf numFmtId="0" fontId="28" fillId="17" borderId="10" xfId="0" quotePrefix="1" applyNumberFormat="1" applyFont="1" applyFill="1" applyBorder="1" applyAlignment="1" applyProtection="1">
      <alignment horizontal="right"/>
    </xf>
    <xf numFmtId="41" fontId="15" fillId="0" borderId="19" xfId="60" applyNumberFormat="1" applyFont="1" applyFill="1" applyBorder="1" applyAlignment="1" applyProtection="1">
      <alignment horizontal="right"/>
    </xf>
    <xf numFmtId="186" fontId="8" fillId="0" borderId="0" xfId="0" applyNumberFormat="1" applyFont="1" applyFill="1" applyBorder="1"/>
    <xf numFmtId="169" fontId="43" fillId="0" borderId="0" xfId="123" applyNumberFormat="1" applyFont="1" applyFill="1" applyBorder="1" applyAlignment="1" applyProtection="1"/>
    <xf numFmtId="0" fontId="5" fillId="0" borderId="18" xfId="0" applyNumberFormat="1" applyFont="1" applyFill="1" applyBorder="1" applyAlignment="1" applyProtection="1"/>
    <xf numFmtId="5" fontId="27" fillId="0" borderId="19" xfId="61" applyNumberFormat="1" applyFont="1" applyFill="1" applyBorder="1" applyAlignment="1" applyProtection="1">
      <alignment horizontal="right"/>
    </xf>
    <xf numFmtId="169" fontId="25" fillId="0" borderId="1" xfId="123" quotePrefix="1" applyFont="1" applyFill="1" applyBorder="1" applyAlignment="1" applyProtection="1"/>
    <xf numFmtId="41" fontId="8" fillId="0" borderId="19" xfId="123" applyNumberFormat="1" applyFont="1" applyFill="1" applyBorder="1" applyAlignment="1" applyProtection="1">
      <alignment horizontal="right"/>
    </xf>
    <xf numFmtId="41" fontId="36" fillId="0" borderId="18" xfId="60" quotePrefix="1" applyNumberFormat="1" applyFont="1" applyFill="1" applyBorder="1" applyAlignment="1" applyProtection="1"/>
    <xf numFmtId="169" fontId="36" fillId="0" borderId="18" xfId="123" quotePrefix="1" applyFont="1" applyFill="1" applyBorder="1" applyAlignment="1" applyProtection="1"/>
    <xf numFmtId="9" fontId="44" fillId="0" borderId="18" xfId="123" quotePrefix="1" applyNumberFormat="1" applyFont="1" applyFill="1" applyBorder="1" applyAlignment="1" applyProtection="1"/>
    <xf numFmtId="41" fontId="8" fillId="0" borderId="19" xfId="61" quotePrefix="1" applyNumberFormat="1" applyFont="1" applyFill="1" applyBorder="1" applyAlignment="1" applyProtection="1"/>
    <xf numFmtId="37" fontId="36" fillId="0" borderId="19" xfId="61" quotePrefix="1" applyNumberFormat="1" applyFont="1" applyFill="1" applyBorder="1" applyAlignment="1" applyProtection="1"/>
    <xf numFmtId="5" fontId="8" fillId="0" borderId="19" xfId="60" quotePrefix="1" applyNumberFormat="1" applyFont="1" applyFill="1" applyBorder="1" applyAlignment="1" applyProtection="1">
      <alignment horizontal="right"/>
    </xf>
    <xf numFmtId="41" fontId="5" fillId="0" borderId="31" xfId="123" quotePrefix="1" applyNumberFormat="1" applyFont="1" applyFill="1" applyBorder="1" applyAlignment="1" applyProtection="1"/>
    <xf numFmtId="41" fontId="9" fillId="17" borderId="22" xfId="0" quotePrefix="1" applyNumberFormat="1" applyFont="1" applyFill="1" applyBorder="1" applyAlignment="1" applyProtection="1">
      <alignment horizontal="right"/>
    </xf>
    <xf numFmtId="37" fontId="5" fillId="0" borderId="27" xfId="61" quotePrefix="1" applyNumberFormat="1" applyFont="1" applyFill="1" applyBorder="1" applyAlignment="1" applyProtection="1"/>
    <xf numFmtId="169" fontId="25" fillId="0" borderId="30" xfId="123" quotePrefix="1" applyFont="1" applyFill="1" applyBorder="1" applyAlignment="1" applyProtection="1"/>
    <xf numFmtId="41" fontId="5" fillId="0" borderId="28" xfId="123" quotePrefix="1" applyNumberFormat="1" applyFont="1" applyFill="1" applyBorder="1" applyAlignment="1" applyProtection="1"/>
    <xf numFmtId="37" fontId="5" fillId="0" borderId="0" xfId="61" quotePrefix="1" applyNumberFormat="1" applyFont="1" applyFill="1" applyBorder="1" applyAlignment="1" applyProtection="1"/>
    <xf numFmtId="37" fontId="5" fillId="0" borderId="0" xfId="60" applyNumberFormat="1" applyFont="1"/>
    <xf numFmtId="37" fontId="5" fillId="0" borderId="0" xfId="60" applyNumberFormat="1" applyFont="1" applyFill="1"/>
    <xf numFmtId="37" fontId="8" fillId="0" borderId="19" xfId="60" applyNumberFormat="1" applyFont="1" applyFill="1" applyBorder="1" applyProtection="1"/>
    <xf numFmtId="37" fontId="5" fillId="0" borderId="19" xfId="60" applyNumberFormat="1" applyFont="1" applyFill="1" applyBorder="1" applyProtection="1"/>
    <xf numFmtId="37" fontId="5" fillId="0" borderId="0" xfId="60" applyNumberFormat="1" applyFont="1" applyFill="1" applyBorder="1" applyProtection="1"/>
    <xf numFmtId="37" fontId="5" fillId="0" borderId="27" xfId="60" applyNumberFormat="1" applyFont="1" applyFill="1" applyBorder="1" applyProtection="1"/>
    <xf numFmtId="5" fontId="9" fillId="0" borderId="19" xfId="60" quotePrefix="1" applyNumberFormat="1" applyFont="1" applyFill="1" applyBorder="1" applyAlignment="1" applyProtection="1">
      <alignment horizontal="right"/>
    </xf>
    <xf numFmtId="5" fontId="9" fillId="0" borderId="27" xfId="60" quotePrefix="1" applyNumberFormat="1" applyFont="1" applyFill="1" applyBorder="1" applyAlignment="1" applyProtection="1">
      <alignment horizontal="right"/>
    </xf>
    <xf numFmtId="39" fontId="9" fillId="0" borderId="0" xfId="60" applyNumberFormat="1" applyFont="1"/>
    <xf numFmtId="39" fontId="9" fillId="0" borderId="0" xfId="60" applyNumberFormat="1" applyFont="1" applyFill="1"/>
    <xf numFmtId="0" fontId="9" fillId="0" borderId="18" xfId="61" applyNumberFormat="1" applyFont="1" applyFill="1" applyBorder="1" applyAlignment="1" applyProtection="1">
      <alignment horizontal="left" wrapText="1"/>
    </xf>
    <xf numFmtId="190" fontId="8" fillId="0" borderId="19" xfId="123" applyNumberFormat="1" applyFont="1" applyFill="1" applyBorder="1" applyAlignment="1" applyProtection="1">
      <alignment horizontal="right"/>
    </xf>
    <xf numFmtId="190" fontId="5" fillId="0" borderId="0" xfId="123" applyNumberFormat="1" applyFont="1" applyFill="1" applyBorder="1" applyProtection="1"/>
    <xf numFmtId="190" fontId="8" fillId="0" borderId="0" xfId="123" applyNumberFormat="1" applyFont="1" applyFill="1" applyBorder="1" applyProtection="1"/>
    <xf numFmtId="190" fontId="5" fillId="27" borderId="0" xfId="123" applyNumberFormat="1" applyFont="1" applyFill="1" applyBorder="1" applyProtection="1"/>
    <xf numFmtId="41" fontId="39" fillId="0" borderId="19" xfId="0" applyNumberFormat="1" applyFont="1" applyFill="1" applyBorder="1" applyProtection="1"/>
    <xf numFmtId="187" fontId="5" fillId="0" borderId="0" xfId="123" quotePrefix="1" applyNumberFormat="1" applyFont="1" applyFill="1" applyBorder="1" applyAlignment="1" applyProtection="1"/>
    <xf numFmtId="187" fontId="5" fillId="0" borderId="19" xfId="123" quotePrefix="1" applyNumberFormat="1" applyFont="1" applyFill="1" applyBorder="1" applyAlignment="1" applyProtection="1"/>
    <xf numFmtId="39" fontId="5" fillId="0" borderId="0" xfId="60" applyNumberFormat="1" applyFont="1" applyBorder="1"/>
    <xf numFmtId="39" fontId="5" fillId="0" borderId="0" xfId="60" applyNumberFormat="1" applyFont="1" applyFill="1" applyBorder="1"/>
    <xf numFmtId="5" fontId="43" fillId="0" borderId="0" xfId="61" applyFont="1" applyFill="1" applyBorder="1" applyAlignment="1" applyProtection="1">
      <alignment horizontal="right"/>
    </xf>
    <xf numFmtId="169" fontId="25" fillId="0" borderId="0" xfId="123" applyNumberFormat="1" applyFont="1" applyFill="1" applyBorder="1" applyAlignment="1" applyProtection="1">
      <alignment horizontal="right"/>
    </xf>
    <xf numFmtId="41" fontId="15" fillId="0" borderId="0" xfId="60" applyNumberFormat="1" applyFont="1" applyFill="1" applyBorder="1" applyAlignment="1" applyProtection="1">
      <alignment horizontal="right"/>
    </xf>
    <xf numFmtId="5" fontId="9" fillId="24" borderId="20" xfId="61" applyNumberFormat="1" applyFont="1" applyFill="1" applyBorder="1" applyAlignment="1" applyProtection="1">
      <alignment horizontal="left"/>
    </xf>
    <xf numFmtId="5" fontId="5" fillId="0" borderId="26" xfId="0" applyNumberFormat="1" applyFont="1" applyBorder="1"/>
    <xf numFmtId="5" fontId="5" fillId="0" borderId="1" xfId="0" applyNumberFormat="1" applyFont="1" applyBorder="1"/>
    <xf numFmtId="5" fontId="5" fillId="0" borderId="30" xfId="0" applyNumberFormat="1" applyFont="1" applyBorder="1"/>
    <xf numFmtId="41" fontId="8" fillId="0" borderId="19" xfId="60" applyNumberFormat="1" applyFont="1" applyFill="1" applyBorder="1" applyAlignment="1" applyProtection="1">
      <alignment horizontal="right"/>
    </xf>
    <xf numFmtId="41" fontId="8" fillId="0" borderId="19" xfId="0" applyNumberFormat="1" applyFont="1" applyFill="1" applyBorder="1" applyAlignment="1" applyProtection="1">
      <alignment horizontal="right"/>
    </xf>
    <xf numFmtId="0" fontId="15" fillId="0" borderId="18" xfId="61" applyNumberFormat="1" applyFont="1" applyFill="1" applyBorder="1" applyAlignment="1" applyProtection="1">
      <alignment horizontal="left" indent="1"/>
    </xf>
    <xf numFmtId="41" fontId="15" fillId="0" borderId="0" xfId="0" quotePrefix="1" applyNumberFormat="1" applyFont="1" applyFill="1" applyBorder="1" applyAlignment="1" applyProtection="1">
      <alignment horizontal="center"/>
    </xf>
    <xf numFmtId="41" fontId="8" fillId="0" borderId="19" xfId="0" applyNumberFormat="1" applyFont="1" applyFill="1" applyBorder="1" applyProtection="1">
      <protection locked="0"/>
    </xf>
    <xf numFmtId="41" fontId="8" fillId="0" borderId="0" xfId="0" applyNumberFormat="1" applyFont="1" applyFill="1" applyBorder="1" applyProtection="1">
      <protection locked="0"/>
    </xf>
    <xf numFmtId="41" fontId="5" fillId="0" borderId="27" xfId="0" applyNumberFormat="1" applyFont="1" applyFill="1" applyBorder="1" applyProtection="1">
      <protection locked="0"/>
    </xf>
    <xf numFmtId="37" fontId="5" fillId="0" borderId="0" xfId="60" applyNumberFormat="1" applyFont="1" applyFill="1" applyBorder="1"/>
    <xf numFmtId="39" fontId="36" fillId="0" borderId="0" xfId="60" applyNumberFormat="1" applyFont="1" applyFill="1" applyBorder="1" applyAlignment="1" applyProtection="1">
      <alignment horizontal="right"/>
    </xf>
    <xf numFmtId="41" fontId="5" fillId="0" borderId="23" xfId="0" applyNumberFormat="1" applyFont="1" applyFill="1" applyBorder="1" applyProtection="1">
      <protection locked="0"/>
    </xf>
    <xf numFmtId="0" fontId="9" fillId="0" borderId="26" xfId="0" applyNumberFormat="1" applyFont="1" applyFill="1" applyBorder="1" applyAlignment="1" applyProtection="1">
      <alignment horizontal="left"/>
    </xf>
    <xf numFmtId="41" fontId="5" fillId="0" borderId="1" xfId="0" applyNumberFormat="1" applyFont="1" applyFill="1" applyBorder="1" applyProtection="1">
      <protection locked="0"/>
    </xf>
    <xf numFmtId="41" fontId="5" fillId="0" borderId="30" xfId="0" applyNumberFormat="1" applyFont="1" applyFill="1" applyBorder="1" applyProtection="1">
      <protection locked="0"/>
    </xf>
    <xf numFmtId="41" fontId="8" fillId="0" borderId="0" xfId="0" applyNumberFormat="1" applyFont="1" applyFill="1" applyBorder="1" applyAlignment="1">
      <alignment horizontal="right"/>
    </xf>
    <xf numFmtId="41" fontId="28" fillId="0" borderId="23" xfId="60" applyNumberFormat="1" applyFont="1" applyFill="1" applyBorder="1"/>
    <xf numFmtId="41" fontId="28" fillId="0" borderId="1" xfId="60" applyNumberFormat="1" applyFont="1" applyFill="1" applyBorder="1"/>
    <xf numFmtId="41" fontId="9" fillId="0" borderId="23" xfId="60" applyNumberFormat="1" applyFont="1" applyFill="1" applyBorder="1"/>
    <xf numFmtId="41" fontId="9" fillId="0" borderId="1" xfId="60" applyNumberFormat="1" applyFont="1" applyFill="1" applyBorder="1"/>
    <xf numFmtId="41" fontId="5" fillId="0" borderId="0" xfId="61" applyNumberFormat="1" applyFont="1" applyFill="1" applyBorder="1" applyAlignment="1" applyProtection="1">
      <alignment horizontal="right"/>
      <protection locked="0"/>
    </xf>
    <xf numFmtId="41" fontId="8" fillId="0" borderId="0" xfId="61" applyNumberFormat="1" applyFont="1" applyFill="1" applyBorder="1" applyAlignment="1" applyProtection="1">
      <alignment horizontal="right"/>
      <protection locked="0"/>
    </xf>
    <xf numFmtId="41" fontId="8" fillId="0" borderId="0" xfId="0" applyNumberFormat="1" applyFont="1" applyFill="1" applyBorder="1" applyAlignment="1" applyProtection="1">
      <alignment horizontal="right"/>
    </xf>
    <xf numFmtId="0" fontId="9" fillId="0" borderId="1" xfId="0" applyNumberFormat="1" applyFont="1" applyFill="1" applyBorder="1" applyAlignment="1" applyProtection="1">
      <alignment horizontal="left"/>
    </xf>
    <xf numFmtId="41" fontId="7" fillId="0" borderId="19" xfId="61" applyNumberFormat="1" applyFont="1" applyFill="1" applyBorder="1" applyProtection="1">
      <protection locked="0"/>
    </xf>
    <xf numFmtId="41" fontId="36" fillId="0" borderId="1" xfId="60" quotePrefix="1" applyNumberFormat="1" applyFont="1" applyFill="1" applyBorder="1" applyAlignment="1" applyProtection="1"/>
    <xf numFmtId="41" fontId="36" fillId="0" borderId="23" xfId="60" quotePrefix="1" applyNumberFormat="1" applyFont="1" applyFill="1" applyBorder="1" applyAlignment="1" applyProtection="1"/>
    <xf numFmtId="169" fontId="44" fillId="0" borderId="23" xfId="123" quotePrefix="1" applyNumberFormat="1" applyFont="1" applyFill="1" applyBorder="1" applyAlignment="1" applyProtection="1"/>
    <xf numFmtId="169" fontId="44" fillId="0" borderId="1" xfId="123" quotePrefix="1" applyNumberFormat="1" applyFont="1" applyFill="1" applyBorder="1" applyAlignment="1" applyProtection="1"/>
    <xf numFmtId="41" fontId="9" fillId="0" borderId="18" xfId="0" applyNumberFormat="1" applyFont="1" applyFill="1" applyBorder="1" applyAlignment="1" applyProtection="1">
      <alignment horizontal="right"/>
    </xf>
    <xf numFmtId="169" fontId="25" fillId="0" borderId="19" xfId="123" applyNumberFormat="1" applyFont="1" applyFill="1" applyBorder="1" applyAlignment="1" applyProtection="1">
      <alignment horizontal="right"/>
    </xf>
    <xf numFmtId="9" fontId="44" fillId="0" borderId="1" xfId="123" quotePrefix="1" applyNumberFormat="1" applyFont="1" applyFill="1" applyBorder="1" applyAlignment="1" applyProtection="1"/>
    <xf numFmtId="169" fontId="25" fillId="0" borderId="18" xfId="60" applyNumberFormat="1" applyFont="1" applyFill="1" applyBorder="1" applyAlignment="1" applyProtection="1">
      <alignment horizontal="left"/>
    </xf>
    <xf numFmtId="0" fontId="5" fillId="0" borderId="18" xfId="0" applyNumberFormat="1" applyFont="1" applyBorder="1"/>
    <xf numFmtId="39" fontId="5" fillId="0" borderId="18" xfId="60" applyNumberFormat="1" applyFont="1" applyFill="1" applyBorder="1"/>
    <xf numFmtId="0" fontId="5" fillId="0" borderId="26" xfId="0" applyNumberFormat="1" applyFont="1" applyFill="1" applyBorder="1"/>
    <xf numFmtId="37" fontId="5" fillId="0" borderId="27" xfId="60" applyNumberFormat="1" applyFont="1" applyFill="1" applyBorder="1"/>
    <xf numFmtId="41" fontId="5" fillId="0" borderId="30" xfId="60" applyNumberFormat="1" applyFont="1" applyFill="1" applyBorder="1" applyProtection="1"/>
    <xf numFmtId="37" fontId="5" fillId="0" borderId="1" xfId="60" quotePrefix="1" applyFont="1" applyFill="1" applyBorder="1" applyAlignment="1" applyProtection="1"/>
    <xf numFmtId="37" fontId="5" fillId="0" borderId="30" xfId="60" quotePrefix="1" applyFont="1" applyFill="1" applyBorder="1" applyAlignment="1" applyProtection="1"/>
    <xf numFmtId="0" fontId="9" fillId="17" borderId="30" xfId="0" quotePrefix="1" applyNumberFormat="1" applyFont="1" applyFill="1" applyBorder="1" applyAlignment="1" applyProtection="1">
      <alignment horizontal="right"/>
    </xf>
    <xf numFmtId="41" fontId="9" fillId="0" borderId="31" xfId="0" quotePrefix="1" applyNumberFormat="1" applyFont="1" applyFill="1" applyBorder="1" applyAlignment="1" applyProtection="1">
      <alignment horizontal="right"/>
    </xf>
    <xf numFmtId="41" fontId="5" fillId="0" borderId="27" xfId="61" applyNumberFormat="1" applyFont="1" applyFill="1" applyBorder="1" applyProtection="1">
      <protection locked="0"/>
    </xf>
    <xf numFmtId="0" fontId="25" fillId="0" borderId="29" xfId="60" applyNumberFormat="1" applyFont="1" applyFill="1" applyBorder="1" applyAlignment="1" applyProtection="1">
      <alignment horizontal="left"/>
    </xf>
    <xf numFmtId="0" fontId="9" fillId="0" borderId="29" xfId="60" applyNumberFormat="1" applyFont="1" applyFill="1" applyBorder="1" applyAlignment="1" applyProtection="1">
      <alignment horizontal="left"/>
    </xf>
    <xf numFmtId="0" fontId="9" fillId="0" borderId="26" xfId="60" applyNumberFormat="1" applyFont="1" applyFill="1" applyBorder="1" applyAlignment="1" applyProtection="1">
      <alignment horizontal="left"/>
    </xf>
    <xf numFmtId="41" fontId="9" fillId="0" borderId="30" xfId="60" applyNumberFormat="1" applyFont="1" applyFill="1" applyBorder="1"/>
    <xf numFmtId="41" fontId="5" fillId="0" borderId="0" xfId="0" applyNumberFormat="1" applyFont="1" applyFill="1" applyBorder="1" applyAlignment="1">
      <alignment horizontal="right"/>
    </xf>
    <xf numFmtId="183" fontId="5" fillId="0" borderId="30" xfId="60" quotePrefix="1" applyNumberFormat="1" applyFont="1" applyFill="1" applyBorder="1" applyAlignment="1" applyProtection="1"/>
    <xf numFmtId="0" fontId="5" fillId="0" borderId="1" xfId="61" applyNumberFormat="1" applyFont="1" applyFill="1" applyBorder="1" applyAlignment="1" applyProtection="1">
      <alignment horizontal="left"/>
    </xf>
    <xf numFmtId="41" fontId="25" fillId="0" borderId="0" xfId="60" quotePrefix="1" applyNumberFormat="1" applyFont="1" applyFill="1" applyBorder="1" applyAlignment="1" applyProtection="1">
      <alignment horizontal="right"/>
    </xf>
    <xf numFmtId="41" fontId="25" fillId="0" borderId="27" xfId="60" quotePrefix="1" applyNumberFormat="1" applyFont="1" applyFill="1" applyBorder="1" applyAlignment="1" applyProtection="1">
      <alignment horizontal="right"/>
    </xf>
    <xf numFmtId="41" fontId="25" fillId="0" borderId="27" xfId="123" quotePrefix="1" applyNumberFormat="1" applyFont="1" applyFill="1" applyBorder="1" applyAlignment="1" applyProtection="1">
      <alignment horizontal="right"/>
    </xf>
    <xf numFmtId="169" fontId="25" fillId="0" borderId="0" xfId="123" quotePrefix="1" applyNumberFormat="1" applyFont="1" applyFill="1" applyBorder="1" applyAlignment="1" applyProtection="1">
      <alignment horizontal="right"/>
    </xf>
    <xf numFmtId="169" fontId="25" fillId="0" borderId="27" xfId="123" quotePrefix="1" applyNumberFormat="1" applyFont="1" applyFill="1" applyBorder="1" applyAlignment="1" applyProtection="1">
      <alignment horizontal="right"/>
    </xf>
    <xf numFmtId="169" fontId="25" fillId="0" borderId="27" xfId="123" quotePrefix="1" applyFont="1" applyFill="1" applyBorder="1" applyAlignment="1" applyProtection="1">
      <alignment horizontal="right"/>
    </xf>
    <xf numFmtId="39" fontId="5" fillId="0" borderId="1" xfId="60" applyNumberFormat="1" applyFont="1" applyFill="1" applyBorder="1"/>
    <xf numFmtId="37" fontId="5" fillId="0" borderId="1" xfId="60" applyNumberFormat="1" applyFont="1" applyFill="1" applyBorder="1"/>
    <xf numFmtId="39" fontId="5" fillId="0" borderId="26" xfId="60" applyNumberFormat="1" applyFont="1" applyFill="1" applyBorder="1"/>
    <xf numFmtId="37" fontId="5" fillId="0" borderId="30" xfId="60" applyNumberFormat="1" applyFont="1" applyFill="1" applyBorder="1"/>
    <xf numFmtId="0" fontId="9" fillId="17" borderId="10" xfId="60" applyNumberFormat="1" applyFont="1" applyFill="1" applyBorder="1" applyAlignment="1" applyProtection="1">
      <alignment horizontal="left"/>
    </xf>
    <xf numFmtId="0" fontId="9" fillId="0" borderId="19" xfId="60" applyNumberFormat="1" applyFont="1" applyFill="1" applyBorder="1" applyAlignment="1" applyProtection="1">
      <alignment horizontal="left"/>
    </xf>
    <xf numFmtId="0" fontId="5" fillId="0" borderId="19" xfId="60" applyNumberFormat="1" applyFont="1" applyFill="1" applyBorder="1" applyAlignment="1" applyProtection="1">
      <alignment horizontal="left"/>
    </xf>
    <xf numFmtId="0" fontId="15" fillId="0" borderId="19" xfId="60" applyNumberFormat="1" applyFont="1" applyFill="1" applyBorder="1" applyAlignment="1" applyProtection="1">
      <alignment horizontal="left"/>
    </xf>
    <xf numFmtId="0" fontId="7" fillId="0" borderId="19" xfId="60" applyNumberFormat="1" applyFont="1" applyFill="1" applyBorder="1" applyAlignment="1" applyProtection="1">
      <alignment horizontal="left"/>
    </xf>
    <xf numFmtId="169" fontId="5" fillId="0" borderId="19" xfId="123" applyFont="1" applyFill="1" applyBorder="1" applyAlignment="1" applyProtection="1">
      <alignment horizontal="left"/>
    </xf>
    <xf numFmtId="0" fontId="5" fillId="0" borderId="30" xfId="60" applyNumberFormat="1" applyFont="1" applyFill="1" applyBorder="1" applyAlignment="1" applyProtection="1">
      <alignment horizontal="left"/>
    </xf>
    <xf numFmtId="37" fontId="9" fillId="0" borderId="28" xfId="0" applyFont="1" applyBorder="1"/>
    <xf numFmtId="169" fontId="5" fillId="0" borderId="28" xfId="123" applyFont="1" applyBorder="1"/>
    <xf numFmtId="169" fontId="25" fillId="0" borderId="28" xfId="123" applyFont="1" applyFill="1" applyBorder="1"/>
    <xf numFmtId="37" fontId="15" fillId="0" borderId="19" xfId="60" applyFont="1" applyBorder="1"/>
    <xf numFmtId="5" fontId="8" fillId="0" borderId="19" xfId="0" applyNumberFormat="1" applyFont="1" applyBorder="1"/>
    <xf numFmtId="41" fontId="8" fillId="0" borderId="19" xfId="0" applyNumberFormat="1" applyFont="1" applyBorder="1"/>
    <xf numFmtId="9" fontId="8" fillId="0" borderId="19" xfId="123" applyNumberFormat="1" applyFont="1" applyBorder="1"/>
    <xf numFmtId="186" fontId="39" fillId="0" borderId="19" xfId="0" applyNumberFormat="1" applyFont="1" applyFill="1" applyBorder="1"/>
    <xf numFmtId="186" fontId="8" fillId="0" borderId="18" xfId="0" applyNumberFormat="1" applyFont="1" applyFill="1" applyBorder="1"/>
    <xf numFmtId="186" fontId="39" fillId="0" borderId="18" xfId="0" applyNumberFormat="1" applyFont="1" applyFill="1" applyBorder="1"/>
    <xf numFmtId="186" fontId="9" fillId="0" borderId="18" xfId="0" applyNumberFormat="1" applyFont="1" applyFill="1" applyBorder="1"/>
    <xf numFmtId="186" fontId="5" fillId="0" borderId="18" xfId="0" applyNumberFormat="1" applyFont="1" applyFill="1" applyBorder="1"/>
    <xf numFmtId="186" fontId="9" fillId="24" borderId="20" xfId="0" applyNumberFormat="1" applyFont="1" applyFill="1" applyBorder="1"/>
    <xf numFmtId="37" fontId="25" fillId="0" borderId="29" xfId="111" applyFont="1" applyBorder="1"/>
    <xf numFmtId="169" fontId="25" fillId="0" borderId="26" xfId="123" applyFont="1" applyBorder="1"/>
    <xf numFmtId="0" fontId="9" fillId="17" borderId="20" xfId="0" applyNumberFormat="1" applyFont="1" applyFill="1" applyBorder="1" applyAlignment="1">
      <alignment horizontal="right"/>
    </xf>
    <xf numFmtId="37" fontId="9" fillId="0" borderId="18" xfId="0" applyFont="1" applyFill="1" applyBorder="1" applyAlignment="1">
      <alignment horizontal="right"/>
    </xf>
    <xf numFmtId="186" fontId="39" fillId="0" borderId="0" xfId="0" applyNumberFormat="1" applyFont="1" applyFill="1" applyBorder="1"/>
    <xf numFmtId="37" fontId="25" fillId="0" borderId="31" xfId="111" applyFont="1" applyBorder="1"/>
    <xf numFmtId="186" fontId="8" fillId="0" borderId="27" xfId="0" applyNumberFormat="1" applyFont="1" applyFill="1" applyBorder="1"/>
    <xf numFmtId="186" fontId="39" fillId="0" borderId="27" xfId="0" applyNumberFormat="1" applyFont="1" applyFill="1" applyBorder="1"/>
    <xf numFmtId="169" fontId="5" fillId="0" borderId="19" xfId="123" applyFont="1" applyFill="1" applyBorder="1" applyAlignment="1">
      <alignment horizontal="right"/>
    </xf>
    <xf numFmtId="169" fontId="5" fillId="0" borderId="0" xfId="123" applyNumberFormat="1" applyFont="1" applyFill="1" applyBorder="1" applyAlignment="1">
      <alignment horizontal="right"/>
    </xf>
    <xf numFmtId="169" fontId="5" fillId="0" borderId="27" xfId="123" applyFont="1" applyFill="1" applyBorder="1" applyAlignment="1">
      <alignment horizontal="right"/>
    </xf>
    <xf numFmtId="169" fontId="26" fillId="0" borderId="19" xfId="123" applyFont="1" applyBorder="1"/>
    <xf numFmtId="41" fontId="5" fillId="0" borderId="18" xfId="0" applyNumberFormat="1" applyFont="1" applyBorder="1"/>
    <xf numFmtId="9" fontId="5" fillId="0" borderId="18" xfId="123" applyNumberFormat="1" applyFont="1" applyBorder="1"/>
    <xf numFmtId="37" fontId="9" fillId="17" borderId="6" xfId="0" applyNumberFormat="1" applyFont="1" applyFill="1" applyBorder="1" applyAlignment="1">
      <alignment horizontal="right"/>
    </xf>
    <xf numFmtId="37" fontId="9" fillId="17" borderId="10" xfId="0" applyNumberFormat="1" applyFont="1" applyFill="1" applyBorder="1" applyAlignment="1">
      <alignment horizontal="right"/>
    </xf>
    <xf numFmtId="41" fontId="9" fillId="24" borderId="10" xfId="0" applyNumberFormat="1" applyFont="1" applyFill="1" applyBorder="1"/>
    <xf numFmtId="37" fontId="15" fillId="0" borderId="0" xfId="0" applyFont="1" applyBorder="1"/>
    <xf numFmtId="169" fontId="43" fillId="0" borderId="27" xfId="123" applyFont="1" applyBorder="1"/>
    <xf numFmtId="5" fontId="9" fillId="0" borderId="18" xfId="0" applyNumberFormat="1" applyFont="1" applyBorder="1"/>
    <xf numFmtId="9" fontId="9" fillId="0" borderId="18" xfId="123" applyNumberFormat="1" applyFont="1" applyBorder="1"/>
    <xf numFmtId="176" fontId="5" fillId="0" borderId="18" xfId="0" applyNumberFormat="1" applyFont="1" applyBorder="1"/>
    <xf numFmtId="5" fontId="5" fillId="0" borderId="18" xfId="123" applyNumberFormat="1" applyFont="1" applyBorder="1"/>
    <xf numFmtId="37" fontId="5" fillId="0" borderId="18" xfId="60" applyFont="1" applyBorder="1"/>
    <xf numFmtId="5" fontId="9" fillId="0" borderId="18" xfId="123" applyNumberFormat="1" applyFont="1" applyBorder="1"/>
    <xf numFmtId="169" fontId="25" fillId="0" borderId="18" xfId="123" applyFont="1" applyBorder="1"/>
    <xf numFmtId="9" fontId="9" fillId="0" borderId="26" xfId="123" applyNumberFormat="1" applyFont="1" applyBorder="1"/>
    <xf numFmtId="37" fontId="15" fillId="0" borderId="0" xfId="60" applyFont="1" applyBorder="1"/>
    <xf numFmtId="41" fontId="8" fillId="0" borderId="23" xfId="123" applyNumberFormat="1" applyFont="1" applyFill="1" applyBorder="1" applyAlignment="1" applyProtection="1">
      <alignment horizontal="right"/>
    </xf>
    <xf numFmtId="37" fontId="15" fillId="0" borderId="27" xfId="60" applyFont="1" applyBorder="1"/>
    <xf numFmtId="9" fontId="15" fillId="0" borderId="0" xfId="123" applyNumberFormat="1" applyFont="1"/>
    <xf numFmtId="41" fontId="25" fillId="0" borderId="0" xfId="60" applyNumberFormat="1" applyFont="1" applyFill="1" applyBorder="1" applyProtection="1"/>
    <xf numFmtId="169" fontId="8" fillId="0" borderId="21" xfId="123" applyFont="1" applyFill="1" applyBorder="1"/>
    <xf numFmtId="41" fontId="15" fillId="0" borderId="19" xfId="123" quotePrefix="1" applyNumberFormat="1" applyFont="1" applyFill="1" applyBorder="1" applyAlignment="1" applyProtection="1"/>
    <xf numFmtId="41" fontId="15" fillId="0" borderId="0" xfId="123" quotePrefix="1" applyNumberFormat="1" applyFont="1" applyFill="1" applyBorder="1" applyAlignment="1" applyProtection="1"/>
    <xf numFmtId="41" fontId="15" fillId="0" borderId="27" xfId="123" quotePrefix="1" applyNumberFormat="1" applyFont="1" applyFill="1" applyBorder="1" applyAlignment="1" applyProtection="1"/>
    <xf numFmtId="39" fontId="15" fillId="0" borderId="0" xfId="60" applyNumberFormat="1" applyFont="1"/>
    <xf numFmtId="39" fontId="15" fillId="0" borderId="0" xfId="60" applyNumberFormat="1" applyFont="1" applyFill="1"/>
    <xf numFmtId="41" fontId="9" fillId="0" borderId="19" xfId="60" quotePrefix="1" applyNumberFormat="1" applyFont="1" applyFill="1" applyBorder="1" applyAlignment="1" applyProtection="1"/>
    <xf numFmtId="37" fontId="5" fillId="0" borderId="0" xfId="123" quotePrefix="1" applyNumberFormat="1" applyFont="1" applyFill="1" applyBorder="1" applyAlignment="1" applyProtection="1"/>
    <xf numFmtId="37" fontId="5" fillId="0" borderId="19" xfId="123" quotePrefix="1" applyNumberFormat="1" applyFont="1" applyFill="1" applyBorder="1" applyAlignment="1" applyProtection="1"/>
    <xf numFmtId="37" fontId="15" fillId="0" borderId="0" xfId="123" quotePrefix="1" applyNumberFormat="1" applyFont="1" applyFill="1" applyBorder="1" applyAlignment="1" applyProtection="1"/>
    <xf numFmtId="37" fontId="15" fillId="0" borderId="19" xfId="123" quotePrefix="1" applyNumberFormat="1" applyFont="1" applyFill="1" applyBorder="1" applyAlignment="1" applyProtection="1"/>
    <xf numFmtId="0" fontId="9" fillId="0" borderId="20" xfId="0" applyNumberFormat="1" applyFont="1" applyFill="1" applyBorder="1" applyAlignment="1">
      <alignment horizontal="left"/>
    </xf>
    <xf numFmtId="169" fontId="9" fillId="0" borderId="6" xfId="123" quotePrefix="1" applyFont="1" applyFill="1" applyBorder="1" applyAlignment="1" applyProtection="1"/>
    <xf numFmtId="169" fontId="9" fillId="0" borderId="10" xfId="123" quotePrefix="1" applyFont="1" applyFill="1" applyBorder="1" applyAlignment="1" applyProtection="1"/>
    <xf numFmtId="169" fontId="5" fillId="0" borderId="19" xfId="123" quotePrefix="1" applyFont="1" applyFill="1" applyBorder="1" applyAlignment="1" applyProtection="1"/>
    <xf numFmtId="169" fontId="5" fillId="0" borderId="18" xfId="123" quotePrefix="1" applyFont="1" applyFill="1" applyBorder="1" applyAlignment="1" applyProtection="1"/>
    <xf numFmtId="169" fontId="9" fillId="0" borderId="20" xfId="123" quotePrefix="1" applyFont="1" applyFill="1" applyBorder="1" applyAlignment="1" applyProtection="1"/>
    <xf numFmtId="169" fontId="5" fillId="0" borderId="27" xfId="123" quotePrefix="1" applyFont="1" applyFill="1" applyBorder="1" applyAlignment="1" applyProtection="1"/>
    <xf numFmtId="169" fontId="9" fillId="0" borderId="22" xfId="123" quotePrefix="1" applyFont="1" applyFill="1" applyBorder="1" applyAlignment="1" applyProtection="1"/>
    <xf numFmtId="0" fontId="36" fillId="0" borderId="18" xfId="60" applyNumberFormat="1" applyFont="1" applyFill="1" applyBorder="1" applyAlignment="1" applyProtection="1">
      <alignment horizontal="left"/>
    </xf>
    <xf numFmtId="39" fontId="25" fillId="0" borderId="0" xfId="60" applyNumberFormat="1" applyFont="1"/>
    <xf numFmtId="39" fontId="25" fillId="0" borderId="0" xfId="60" applyNumberFormat="1" applyFont="1" applyFill="1"/>
    <xf numFmtId="5" fontId="5" fillId="0" borderId="0" xfId="123" quotePrefix="1" applyNumberFormat="1" applyFont="1" applyFill="1" applyBorder="1" applyAlignment="1" applyProtection="1"/>
    <xf numFmtId="5" fontId="5" fillId="0" borderId="19" xfId="123" quotePrefix="1" applyNumberFormat="1" applyFont="1" applyFill="1" applyBorder="1" applyAlignment="1" applyProtection="1"/>
    <xf numFmtId="169" fontId="5" fillId="0" borderId="0" xfId="0" applyNumberFormat="1" applyFont="1" applyFill="1"/>
    <xf numFmtId="37" fontId="5" fillId="0" borderId="19" xfId="60" applyNumberFormat="1" applyFont="1" applyFill="1" applyBorder="1"/>
    <xf numFmtId="37" fontId="5" fillId="0" borderId="23" xfId="60" applyNumberFormat="1" applyFont="1" applyFill="1" applyBorder="1"/>
    <xf numFmtId="169" fontId="25" fillId="0" borderId="21" xfId="123" quotePrefix="1" applyNumberFormat="1" applyFont="1" applyFill="1" applyBorder="1" applyAlignment="1" applyProtection="1"/>
    <xf numFmtId="0" fontId="5" fillId="0" borderId="26" xfId="60" quotePrefix="1" applyNumberFormat="1" applyFont="1" applyFill="1" applyBorder="1" applyAlignment="1" applyProtection="1">
      <alignment horizontal="left"/>
    </xf>
    <xf numFmtId="41" fontId="5" fillId="0" borderId="30" xfId="123" quotePrefix="1" applyNumberFormat="1" applyFont="1" applyFill="1" applyBorder="1" applyAlignment="1" applyProtection="1"/>
    <xf numFmtId="169" fontId="5" fillId="0" borderId="18" xfId="123" applyFont="1" applyFill="1" applyBorder="1" applyAlignment="1">
      <alignment horizontal="left" indent="1"/>
    </xf>
    <xf numFmtId="169" fontId="9" fillId="0" borderId="20" xfId="123" applyFont="1" applyFill="1" applyBorder="1" applyAlignment="1">
      <alignment horizontal="left" indent="1"/>
    </xf>
    <xf numFmtId="169" fontId="25" fillId="0" borderId="18" xfId="123" applyFont="1" applyFill="1" applyBorder="1" applyAlignment="1" applyProtection="1">
      <alignment horizontal="left"/>
    </xf>
    <xf numFmtId="169" fontId="8" fillId="0" borderId="21" xfId="123" applyFont="1" applyFill="1" applyBorder="1" applyProtection="1"/>
    <xf numFmtId="0" fontId="9" fillId="0" borderId="18" xfId="0" applyNumberFormat="1" applyFont="1" applyFill="1" applyBorder="1"/>
    <xf numFmtId="37" fontId="25" fillId="0" borderId="6" xfId="0" applyFont="1" applyFill="1" applyBorder="1" applyAlignment="1">
      <alignment horizontal="left" indent="1"/>
    </xf>
    <xf numFmtId="169" fontId="25" fillId="0" borderId="6" xfId="123" applyFont="1" applyFill="1" applyBorder="1"/>
    <xf numFmtId="37" fontId="25" fillId="0" borderId="22" xfId="60" applyFont="1" applyFill="1" applyBorder="1"/>
    <xf numFmtId="169" fontId="25" fillId="0" borderId="22" xfId="123" applyFont="1" applyFill="1" applyBorder="1"/>
    <xf numFmtId="37" fontId="5" fillId="0" borderId="27" xfId="0" applyFont="1" applyBorder="1" applyAlignment="1">
      <alignment horizontal="right"/>
    </xf>
    <xf numFmtId="169" fontId="5" fillId="28" borderId="0" xfId="123" applyNumberFormat="1" applyFont="1" applyFill="1" applyBorder="1"/>
    <xf numFmtId="186" fontId="8" fillId="28" borderId="18" xfId="0" applyNumberFormat="1" applyFont="1" applyFill="1" applyBorder="1"/>
    <xf numFmtId="9" fontId="25" fillId="0" borderId="0" xfId="123" applyNumberFormat="1" applyFont="1" applyBorder="1"/>
    <xf numFmtId="171" fontId="5" fillId="0" borderId="0" xfId="0" applyNumberFormat="1" applyFont="1" applyBorder="1"/>
    <xf numFmtId="9" fontId="25" fillId="0" borderId="30" xfId="123" applyNumberFormat="1" applyFont="1" applyBorder="1"/>
    <xf numFmtId="9" fontId="25" fillId="0" borderId="23" xfId="123" applyNumberFormat="1" applyFont="1" applyBorder="1"/>
    <xf numFmtId="169" fontId="72" fillId="0" borderId="0" xfId="123" quotePrefix="1" applyNumberFormat="1" applyFont="1" applyFill="1" applyBorder="1" applyAlignment="1" applyProtection="1"/>
    <xf numFmtId="169" fontId="72" fillId="0" borderId="19" xfId="123" quotePrefix="1" applyNumberFormat="1" applyFont="1" applyFill="1" applyBorder="1" applyAlignment="1" applyProtection="1"/>
    <xf numFmtId="41" fontId="45" fillId="0" borderId="19" xfId="123" applyNumberFormat="1" applyFont="1" applyFill="1" applyBorder="1" applyAlignment="1" applyProtection="1"/>
    <xf numFmtId="169" fontId="45" fillId="0" borderId="27" xfId="123" applyNumberFormat="1" applyFont="1" applyFill="1" applyBorder="1" applyAlignment="1" applyProtection="1"/>
    <xf numFmtId="169" fontId="45" fillId="0" borderId="19" xfId="123" quotePrefix="1" applyNumberFormat="1" applyFont="1" applyFill="1" applyBorder="1" applyAlignment="1" applyProtection="1"/>
    <xf numFmtId="169" fontId="45" fillId="0" borderId="0" xfId="123" quotePrefix="1" applyNumberFormat="1" applyFont="1" applyFill="1" applyBorder="1" applyAlignment="1" applyProtection="1"/>
    <xf numFmtId="169" fontId="45" fillId="0" borderId="27" xfId="123" quotePrefix="1" applyNumberFormat="1" applyFont="1" applyFill="1" applyBorder="1" applyAlignment="1" applyProtection="1"/>
    <xf numFmtId="169" fontId="44" fillId="0" borderId="27" xfId="123" quotePrefix="1" applyFont="1" applyFill="1" applyBorder="1" applyAlignment="1" applyProtection="1"/>
    <xf numFmtId="41" fontId="44" fillId="0" borderId="18" xfId="123" quotePrefix="1" applyNumberFormat="1" applyFont="1" applyFill="1" applyBorder="1" applyAlignment="1" applyProtection="1"/>
    <xf numFmtId="169" fontId="5" fillId="0" borderId="0" xfId="61" applyNumberFormat="1" applyFont="1" applyBorder="1"/>
    <xf numFmtId="37" fontId="8" fillId="28" borderId="27" xfId="60" applyFont="1" applyFill="1" applyBorder="1"/>
    <xf numFmtId="169" fontId="8" fillId="28" borderId="27" xfId="123" applyNumberFormat="1" applyFont="1" applyFill="1" applyBorder="1"/>
    <xf numFmtId="169" fontId="5" fillId="0" borderId="31" xfId="61" applyNumberFormat="1" applyFont="1" applyBorder="1"/>
    <xf numFmtId="5" fontId="5" fillId="0" borderId="19" xfId="61" applyFont="1" applyBorder="1"/>
    <xf numFmtId="169" fontId="45" fillId="0" borderId="0" xfId="123" applyNumberFormat="1" applyFont="1" applyFill="1" applyBorder="1" applyAlignment="1" applyProtection="1"/>
    <xf numFmtId="5" fontId="5" fillId="28" borderId="0" xfId="61" applyFont="1" applyFill="1" applyBorder="1"/>
    <xf numFmtId="37" fontId="5" fillId="28" borderId="0" xfId="60" applyFont="1" applyFill="1" applyBorder="1"/>
    <xf numFmtId="5" fontId="5" fillId="0" borderId="0" xfId="61" applyFont="1" applyFill="1" applyBorder="1"/>
    <xf numFmtId="169" fontId="8" fillId="0" borderId="27" xfId="123" applyFont="1" applyBorder="1"/>
    <xf numFmtId="169" fontId="8" fillId="0" borderId="19" xfId="123" quotePrefix="1" applyNumberFormat="1" applyFont="1" applyFill="1" applyBorder="1" applyAlignment="1" applyProtection="1">
      <alignment horizontal="right"/>
    </xf>
    <xf numFmtId="169" fontId="36" fillId="0" borderId="0" xfId="123" quotePrefix="1" applyNumberFormat="1" applyFont="1" applyFill="1" applyBorder="1" applyAlignment="1" applyProtection="1"/>
    <xf numFmtId="169" fontId="5" fillId="0" borderId="18" xfId="60" applyNumberFormat="1" applyFont="1" applyFill="1" applyBorder="1" applyAlignment="1" applyProtection="1">
      <alignment horizontal="left" indent="1"/>
    </xf>
    <xf numFmtId="169" fontId="5" fillId="0" borderId="0" xfId="0" applyNumberFormat="1" applyFont="1" applyFill="1" applyBorder="1"/>
    <xf numFmtId="37" fontId="5" fillId="0" borderId="19" xfId="60" quotePrefix="1" applyFont="1" applyFill="1" applyBorder="1" applyAlignment="1" applyProtection="1"/>
    <xf numFmtId="169" fontId="43" fillId="0" borderId="27" xfId="123" quotePrefix="1" applyFont="1" applyFill="1" applyBorder="1" applyAlignment="1" applyProtection="1"/>
    <xf numFmtId="37" fontId="45" fillId="0" borderId="19" xfId="60" quotePrefix="1" applyFont="1" applyFill="1" applyBorder="1" applyAlignment="1" applyProtection="1"/>
    <xf numFmtId="37" fontId="45" fillId="0" borderId="0" xfId="60" quotePrefix="1" applyFont="1" applyFill="1" applyBorder="1" applyAlignment="1" applyProtection="1"/>
    <xf numFmtId="37" fontId="7" fillId="0" borderId="0" xfId="60" applyFont="1" applyFill="1" applyBorder="1"/>
    <xf numFmtId="37" fontId="7" fillId="0" borderId="0" xfId="60" applyFont="1"/>
    <xf numFmtId="37" fontId="7" fillId="0" borderId="0" xfId="60" applyFont="1" applyFill="1"/>
    <xf numFmtId="169" fontId="45" fillId="0" borderId="19" xfId="123" quotePrefix="1" applyNumberFormat="1" applyFont="1" applyFill="1" applyBorder="1" applyAlignment="1" applyProtection="1">
      <alignment horizontal="right"/>
    </xf>
    <xf numFmtId="37" fontId="25" fillId="0" borderId="18" xfId="60" applyFont="1" applyFill="1" applyBorder="1" applyAlignment="1" applyProtection="1">
      <alignment horizontal="left" indent="1"/>
    </xf>
    <xf numFmtId="5" fontId="27" fillId="0" borderId="0" xfId="60" quotePrefix="1" applyNumberFormat="1" applyFont="1" applyFill="1" applyBorder="1" applyAlignment="1" applyProtection="1">
      <alignment horizontal="right"/>
    </xf>
    <xf numFmtId="5" fontId="26" fillId="0" borderId="0" xfId="60" quotePrefix="1" applyNumberFormat="1" applyFont="1" applyFill="1" applyBorder="1" applyAlignment="1" applyProtection="1">
      <alignment horizontal="right"/>
    </xf>
    <xf numFmtId="37" fontId="5" fillId="0" borderId="18" xfId="60" applyNumberFormat="1" applyFont="1" applyFill="1" applyBorder="1" applyAlignment="1" applyProtection="1">
      <alignment horizontal="left" indent="1"/>
    </xf>
    <xf numFmtId="37" fontId="36" fillId="0" borderId="19" xfId="123" quotePrefix="1" applyNumberFormat="1" applyFont="1" applyFill="1" applyBorder="1" applyAlignment="1" applyProtection="1"/>
    <xf numFmtId="37" fontId="36" fillId="0" borderId="0" xfId="123" quotePrefix="1" applyNumberFormat="1" applyFont="1" applyFill="1" applyBorder="1" applyAlignment="1" applyProtection="1"/>
    <xf numFmtId="37" fontId="5" fillId="0" borderId="27" xfId="123" quotePrefix="1" applyNumberFormat="1" applyFont="1" applyFill="1" applyBorder="1" applyAlignment="1" applyProtection="1"/>
    <xf numFmtId="37" fontId="36" fillId="0" borderId="18" xfId="123" quotePrefix="1" applyNumberFormat="1" applyFont="1" applyFill="1" applyBorder="1" applyAlignment="1" applyProtection="1"/>
    <xf numFmtId="37" fontId="36" fillId="0" borderId="27" xfId="123" quotePrefix="1" applyNumberFormat="1" applyFont="1" applyFill="1" applyBorder="1" applyAlignment="1" applyProtection="1"/>
    <xf numFmtId="191" fontId="5" fillId="0" borderId="0" xfId="60" quotePrefix="1" applyNumberFormat="1" applyFont="1" applyFill="1" applyBorder="1" applyAlignment="1" applyProtection="1"/>
    <xf numFmtId="0" fontId="25" fillId="0" borderId="0" xfId="123" applyNumberFormat="1" applyFont="1" applyFill="1" applyBorder="1" applyAlignment="1" applyProtection="1">
      <alignment horizontal="left" indent="1"/>
    </xf>
    <xf numFmtId="0" fontId="25" fillId="0" borderId="26" xfId="0" applyNumberFormat="1" applyFont="1" applyFill="1" applyBorder="1" applyAlignment="1" applyProtection="1">
      <alignment horizontal="left" indent="1"/>
    </xf>
    <xf numFmtId="9" fontId="25" fillId="0" borderId="23" xfId="123" quotePrefix="1" applyNumberFormat="1" applyFont="1" applyFill="1" applyBorder="1" applyAlignment="1" applyProtection="1"/>
    <xf numFmtId="5" fontId="27" fillId="0" borderId="18" xfId="61" applyNumberFormat="1" applyFont="1" applyFill="1" applyBorder="1" applyAlignment="1" applyProtection="1">
      <alignment horizontal="right"/>
    </xf>
    <xf numFmtId="9" fontId="25" fillId="0" borderId="18" xfId="123" quotePrefix="1" applyNumberFormat="1" applyFont="1" applyFill="1" applyBorder="1" applyAlignment="1" applyProtection="1"/>
    <xf numFmtId="41" fontId="9" fillId="0" borderId="21" xfId="0" quotePrefix="1" applyNumberFormat="1" applyFont="1" applyFill="1" applyBorder="1" applyAlignment="1" applyProtection="1">
      <alignment horizontal="right"/>
    </xf>
    <xf numFmtId="41" fontId="27" fillId="0" borderId="18" xfId="61" applyNumberFormat="1" applyFont="1" applyFill="1" applyBorder="1" applyAlignment="1" applyProtection="1">
      <alignment horizontal="right"/>
    </xf>
    <xf numFmtId="41" fontId="27" fillId="0" borderId="19" xfId="61" applyNumberFormat="1" applyFont="1" applyFill="1" applyBorder="1" applyAlignment="1" applyProtection="1">
      <alignment horizontal="right"/>
    </xf>
    <xf numFmtId="41" fontId="39" fillId="0" borderId="19" xfId="60" quotePrefix="1" applyNumberFormat="1" applyFont="1" applyFill="1" applyBorder="1" applyAlignment="1" applyProtection="1">
      <alignment horizontal="right"/>
    </xf>
    <xf numFmtId="41" fontId="5" fillId="0" borderId="19" xfId="60" applyNumberFormat="1" applyFont="1" applyFill="1" applyBorder="1" applyAlignment="1" applyProtection="1">
      <alignment horizontal="right"/>
    </xf>
    <xf numFmtId="41" fontId="15" fillId="0" borderId="19" xfId="123" applyNumberFormat="1" applyFont="1" applyFill="1" applyBorder="1" applyProtection="1"/>
    <xf numFmtId="41" fontId="39" fillId="0" borderId="19" xfId="123" applyNumberFormat="1" applyFont="1" applyFill="1" applyBorder="1" applyProtection="1"/>
    <xf numFmtId="41" fontId="15" fillId="0" borderId="0" xfId="123" applyNumberFormat="1" applyFont="1" applyFill="1" applyBorder="1" applyProtection="1"/>
    <xf numFmtId="41" fontId="15" fillId="0" borderId="27" xfId="123" applyNumberFormat="1" applyFont="1" applyFill="1" applyBorder="1" applyProtection="1"/>
    <xf numFmtId="41" fontId="15" fillId="0" borderId="19" xfId="61" quotePrefix="1" applyNumberFormat="1" applyFont="1" applyFill="1" applyBorder="1" applyAlignment="1" applyProtection="1"/>
    <xf numFmtId="0" fontId="25" fillId="0" borderId="0" xfId="0" applyNumberFormat="1" applyFont="1" applyFill="1" applyBorder="1" applyAlignment="1" applyProtection="1">
      <alignment horizontal="left" indent="1"/>
    </xf>
    <xf numFmtId="9" fontId="25" fillId="0" borderId="0" xfId="123" quotePrefix="1" applyNumberFormat="1" applyFont="1" applyFill="1" applyBorder="1" applyAlignment="1" applyProtection="1">
      <alignment horizontal="right"/>
    </xf>
    <xf numFmtId="9" fontId="25" fillId="0" borderId="19" xfId="123" quotePrefix="1" applyNumberFormat="1" applyFont="1" applyFill="1" applyBorder="1" applyAlignment="1" applyProtection="1">
      <alignment horizontal="right"/>
    </xf>
    <xf numFmtId="9" fontId="25" fillId="0" borderId="27" xfId="123" quotePrefix="1" applyNumberFormat="1" applyFont="1" applyFill="1" applyBorder="1" applyAlignment="1" applyProtection="1">
      <alignment horizontal="right"/>
    </xf>
    <xf numFmtId="9" fontId="25" fillId="0" borderId="26" xfId="123" quotePrefix="1" applyNumberFormat="1" applyFont="1" applyFill="1" applyBorder="1" applyAlignment="1" applyProtection="1"/>
    <xf numFmtId="9" fontId="44" fillId="0" borderId="1" xfId="123" quotePrefix="1" applyNumberFormat="1" applyFont="1" applyFill="1" applyBorder="1" applyAlignment="1" applyProtection="1">
      <alignment horizontal="right"/>
    </xf>
    <xf numFmtId="169" fontId="25" fillId="0" borderId="31" xfId="123" applyFont="1" applyFill="1" applyBorder="1" applyAlignment="1" applyProtection="1">
      <alignment horizontal="right"/>
    </xf>
    <xf numFmtId="37" fontId="45" fillId="0" borderId="23" xfId="60" quotePrefix="1" applyFont="1" applyFill="1" applyBorder="1" applyAlignment="1" applyProtection="1"/>
    <xf numFmtId="37" fontId="45" fillId="0" borderId="1" xfId="60" quotePrefix="1" applyFont="1" applyFill="1" applyBorder="1" applyAlignment="1" applyProtection="1"/>
    <xf numFmtId="37" fontId="25" fillId="0" borderId="23" xfId="60" quotePrefix="1" applyFont="1" applyFill="1" applyBorder="1" applyAlignment="1" applyProtection="1"/>
    <xf numFmtId="37" fontId="5" fillId="0" borderId="0" xfId="60" quotePrefix="1" applyFont="1" applyFill="1" applyBorder="1" applyAlignment="1" applyProtection="1">
      <alignment horizontal="right"/>
    </xf>
    <xf numFmtId="37" fontId="5" fillId="0" borderId="27" xfId="60" quotePrefix="1" applyFont="1" applyFill="1" applyBorder="1" applyAlignment="1" applyProtection="1">
      <alignment horizontal="right"/>
    </xf>
    <xf numFmtId="37" fontId="25" fillId="0" borderId="0" xfId="60" quotePrefix="1" applyFont="1" applyFill="1" applyBorder="1" applyAlignment="1" applyProtection="1">
      <alignment horizontal="right"/>
    </xf>
    <xf numFmtId="37" fontId="25" fillId="0" borderId="27" xfId="60" quotePrefix="1" applyFont="1" applyFill="1" applyBorder="1" applyAlignment="1" applyProtection="1">
      <alignment horizontal="right"/>
    </xf>
    <xf numFmtId="5" fontId="45" fillId="0" borderId="19" xfId="61" quotePrefix="1" applyFont="1" applyFill="1" applyBorder="1" applyAlignment="1" applyProtection="1"/>
    <xf numFmtId="5" fontId="45" fillId="0" borderId="0" xfId="61" quotePrefix="1" applyFont="1" applyFill="1" applyBorder="1" applyAlignment="1" applyProtection="1"/>
    <xf numFmtId="169" fontId="45" fillId="0" borderId="0" xfId="123" quotePrefix="1" applyFont="1" applyFill="1" applyBorder="1" applyAlignment="1" applyProtection="1"/>
    <xf numFmtId="0" fontId="45" fillId="0" borderId="18" xfId="60" applyNumberFormat="1" applyFont="1" applyFill="1" applyBorder="1" applyAlignment="1" applyProtection="1">
      <alignment horizontal="left"/>
    </xf>
    <xf numFmtId="5" fontId="45" fillId="0" borderId="27" xfId="61" quotePrefix="1" applyFont="1" applyFill="1" applyBorder="1" applyAlignment="1" applyProtection="1"/>
    <xf numFmtId="39" fontId="45" fillId="0" borderId="0" xfId="60" applyNumberFormat="1" applyFont="1"/>
    <xf numFmtId="39" fontId="45" fillId="0" borderId="0" xfId="60" applyNumberFormat="1" applyFont="1" applyFill="1"/>
    <xf numFmtId="37" fontId="25" fillId="0" borderId="19" xfId="60" quotePrefix="1" applyFont="1" applyFill="1" applyBorder="1" applyAlignment="1" applyProtection="1"/>
    <xf numFmtId="41" fontId="43" fillId="0" borderId="27" xfId="60" quotePrefix="1" applyNumberFormat="1" applyFont="1" applyFill="1" applyBorder="1" applyAlignment="1" applyProtection="1"/>
    <xf numFmtId="169" fontId="25" fillId="0" borderId="18" xfId="123" applyNumberFormat="1" applyFont="1" applyFill="1" applyBorder="1" applyAlignment="1" applyProtection="1">
      <alignment horizontal="right"/>
    </xf>
    <xf numFmtId="169" fontId="25" fillId="0" borderId="27" xfId="123" applyNumberFormat="1" applyFont="1" applyFill="1" applyBorder="1" applyAlignment="1" applyProtection="1">
      <alignment horizontal="right"/>
    </xf>
    <xf numFmtId="37" fontId="25" fillId="0" borderId="0" xfId="60" applyNumberFormat="1" applyFont="1" applyFill="1" applyBorder="1" applyAlignment="1" applyProtection="1">
      <alignment horizontal="left"/>
    </xf>
    <xf numFmtId="37" fontId="25" fillId="0" borderId="19" xfId="123" applyNumberFormat="1" applyFont="1" applyFill="1" applyBorder="1" applyAlignment="1" applyProtection="1">
      <alignment horizontal="right"/>
    </xf>
    <xf numFmtId="37" fontId="25" fillId="0" borderId="0" xfId="0" applyNumberFormat="1" applyFont="1" applyBorder="1"/>
    <xf numFmtId="37" fontId="45" fillId="0" borderId="0" xfId="61" applyNumberFormat="1" applyFont="1" applyFill="1" applyBorder="1" applyAlignment="1" applyProtection="1">
      <alignment horizontal="right"/>
    </xf>
    <xf numFmtId="37" fontId="45" fillId="0" borderId="19" xfId="123" applyNumberFormat="1" applyFont="1" applyFill="1" applyBorder="1" applyAlignment="1" applyProtection="1">
      <alignment horizontal="right"/>
    </xf>
    <xf numFmtId="37" fontId="45" fillId="0" borderId="0" xfId="123" applyNumberFormat="1" applyFont="1" applyFill="1" applyBorder="1" applyAlignment="1" applyProtection="1">
      <alignment horizontal="right"/>
    </xf>
    <xf numFmtId="37" fontId="45" fillId="0" borderId="0" xfId="61" quotePrefix="1" applyNumberFormat="1" applyFont="1" applyFill="1" applyBorder="1" applyAlignment="1" applyProtection="1"/>
    <xf numFmtId="37" fontId="45" fillId="0" borderId="18" xfId="60" applyNumberFormat="1" applyFont="1" applyFill="1" applyBorder="1" applyAlignment="1" applyProtection="1">
      <alignment horizontal="left"/>
    </xf>
    <xf numFmtId="37" fontId="45" fillId="0" borderId="27" xfId="123" applyNumberFormat="1" applyFont="1" applyFill="1" applyBorder="1" applyAlignment="1" applyProtection="1">
      <alignment horizontal="right"/>
    </xf>
    <xf numFmtId="37" fontId="45" fillId="0" borderId="0" xfId="0" applyNumberFormat="1" applyFont="1" applyBorder="1"/>
    <xf numFmtId="37" fontId="7" fillId="0" borderId="0" xfId="60" applyNumberFormat="1" applyFont="1"/>
    <xf numFmtId="37" fontId="7" fillId="0" borderId="0" xfId="60" applyNumberFormat="1" applyFont="1" applyFill="1"/>
    <xf numFmtId="169" fontId="43" fillId="0" borderId="1" xfId="123" quotePrefix="1" applyNumberFormat="1" applyFont="1" applyFill="1" applyBorder="1" applyAlignment="1" applyProtection="1"/>
    <xf numFmtId="169" fontId="43" fillId="0" borderId="30" xfId="123" quotePrefix="1" applyNumberFormat="1" applyFont="1" applyFill="1" applyBorder="1" applyAlignment="1" applyProtection="1"/>
    <xf numFmtId="41" fontId="26" fillId="0" borderId="0" xfId="61" applyNumberFormat="1" applyFont="1" applyFill="1" applyBorder="1"/>
    <xf numFmtId="41" fontId="26" fillId="0" borderId="19" xfId="61" applyNumberFormat="1" applyFont="1" applyFill="1" applyBorder="1"/>
    <xf numFmtId="41" fontId="26" fillId="0" borderId="27" xfId="61" applyNumberFormat="1" applyFont="1" applyFill="1" applyBorder="1"/>
    <xf numFmtId="37" fontId="5" fillId="0" borderId="20" xfId="0" applyNumberFormat="1" applyFont="1" applyFill="1" applyBorder="1" applyAlignment="1" applyProtection="1">
      <alignment horizontal="left"/>
    </xf>
    <xf numFmtId="37" fontId="5" fillId="0" borderId="10" xfId="61" applyNumberFormat="1" applyFont="1" applyFill="1" applyBorder="1" applyAlignment="1" applyProtection="1">
      <alignment horizontal="right"/>
    </xf>
    <xf numFmtId="37" fontId="5" fillId="0" borderId="20" xfId="61" applyNumberFormat="1" applyFont="1" applyFill="1" applyBorder="1" applyAlignment="1" applyProtection="1">
      <alignment horizontal="right"/>
    </xf>
    <xf numFmtId="37" fontId="5" fillId="0" borderId="6" xfId="61" applyNumberFormat="1" applyFont="1" applyFill="1" applyBorder="1" applyAlignment="1" applyProtection="1">
      <alignment horizontal="right"/>
    </xf>
    <xf numFmtId="37" fontId="5" fillId="0" borderId="22" xfId="61" applyNumberFormat="1" applyFont="1" applyFill="1" applyBorder="1" applyAlignment="1" applyProtection="1">
      <alignment horizontal="right"/>
    </xf>
    <xf numFmtId="37" fontId="5" fillId="0" borderId="0" xfId="0" applyNumberFormat="1" applyFont="1" applyFill="1" applyBorder="1" applyAlignment="1" applyProtection="1">
      <alignment horizontal="right"/>
    </xf>
    <xf numFmtId="37" fontId="5" fillId="0" borderId="0" xfId="0" applyNumberFormat="1" applyFont="1" applyFill="1"/>
    <xf numFmtId="37" fontId="8" fillId="0" borderId="10" xfId="61" applyNumberFormat="1" applyFont="1" applyFill="1" applyBorder="1" applyAlignment="1" applyProtection="1">
      <alignment horizontal="right"/>
    </xf>
    <xf numFmtId="169" fontId="5" fillId="0" borderId="19" xfId="123" applyFont="1" applyFill="1" applyBorder="1" applyProtection="1">
      <protection locked="0"/>
    </xf>
    <xf numFmtId="169" fontId="5" fillId="0" borderId="18" xfId="123" applyFont="1" applyFill="1" applyBorder="1" applyProtection="1">
      <protection locked="0"/>
    </xf>
    <xf numFmtId="169" fontId="5" fillId="0" borderId="27" xfId="123" applyFont="1" applyFill="1" applyBorder="1" applyProtection="1">
      <protection locked="0"/>
    </xf>
    <xf numFmtId="169" fontId="5" fillId="0" borderId="0" xfId="123" applyFont="1" applyFill="1" applyBorder="1" applyProtection="1">
      <protection locked="0"/>
    </xf>
    <xf numFmtId="37" fontId="25" fillId="0" borderId="18" xfId="61" applyNumberFormat="1" applyFont="1" applyFill="1" applyBorder="1" applyAlignment="1" applyProtection="1">
      <alignment horizontal="left"/>
    </xf>
    <xf numFmtId="37" fontId="25" fillId="0" borderId="19" xfId="61" applyNumberFormat="1" applyFont="1" applyFill="1" applyBorder="1"/>
    <xf numFmtId="37" fontId="25" fillId="0" borderId="0" xfId="60" applyNumberFormat="1" applyFont="1" applyFill="1"/>
    <xf numFmtId="37" fontId="45" fillId="0" borderId="18" xfId="61" applyNumberFormat="1" applyFont="1" applyFill="1" applyBorder="1" applyAlignment="1" applyProtection="1">
      <alignment horizontal="left"/>
    </xf>
    <xf numFmtId="37" fontId="45" fillId="0" borderId="19" xfId="61" applyNumberFormat="1" applyFont="1" applyFill="1" applyBorder="1"/>
    <xf numFmtId="37" fontId="45" fillId="0" borderId="0" xfId="61" applyNumberFormat="1" applyFont="1" applyFill="1" applyBorder="1"/>
    <xf numFmtId="37" fontId="45" fillId="0" borderId="27" xfId="61" applyNumberFormat="1" applyFont="1" applyFill="1" applyBorder="1"/>
    <xf numFmtId="37" fontId="45" fillId="0" borderId="0" xfId="0" applyNumberFormat="1" applyFont="1" applyFill="1"/>
    <xf numFmtId="37" fontId="45" fillId="0" borderId="0" xfId="60" applyNumberFormat="1" applyFont="1" applyFill="1"/>
    <xf numFmtId="37" fontId="44" fillId="0" borderId="0" xfId="0" applyNumberFormat="1" applyFont="1" applyFill="1" applyBorder="1" applyAlignment="1" applyProtection="1">
      <alignment horizontal="right"/>
    </xf>
    <xf numFmtId="37" fontId="25" fillId="0" borderId="18" xfId="0" applyNumberFormat="1" applyFont="1" applyBorder="1"/>
    <xf numFmtId="37" fontId="25" fillId="0" borderId="27" xfId="0" applyNumberFormat="1" applyFont="1" applyBorder="1"/>
    <xf numFmtId="37" fontId="25" fillId="0" borderId="0" xfId="0" applyNumberFormat="1" applyFont="1"/>
    <xf numFmtId="37" fontId="25" fillId="0" borderId="0" xfId="60" applyNumberFormat="1" applyFont="1"/>
    <xf numFmtId="37" fontId="36" fillId="0" borderId="0" xfId="0" applyNumberFormat="1" applyFont="1" applyFill="1" applyBorder="1" applyAlignment="1" applyProtection="1">
      <alignment horizontal="right"/>
    </xf>
    <xf numFmtId="37" fontId="5" fillId="0" borderId="27" xfId="0" applyNumberFormat="1" applyFont="1" applyBorder="1"/>
    <xf numFmtId="37" fontId="5" fillId="0" borderId="27" xfId="0" applyNumberFormat="1" applyFont="1" applyBorder="1" applyAlignment="1">
      <alignment horizontal="right"/>
    </xf>
    <xf numFmtId="37" fontId="5" fillId="0" borderId="19" xfId="0" applyNumberFormat="1" applyFont="1" applyBorder="1" applyAlignment="1">
      <alignment horizontal="right"/>
    </xf>
    <xf numFmtId="41" fontId="64" fillId="0" borderId="19" xfId="0" applyNumberFormat="1" applyFont="1" applyFill="1" applyBorder="1" applyAlignment="1" applyProtection="1">
      <alignment horizontal="right"/>
    </xf>
    <xf numFmtId="0" fontId="7" fillId="0" borderId="0" xfId="108" applyFont="1"/>
    <xf numFmtId="193" fontId="7" fillId="0" borderId="0" xfId="108" applyNumberFormat="1" applyFont="1" applyBorder="1" applyAlignment="1">
      <alignment horizontal="center"/>
    </xf>
    <xf numFmtId="193" fontId="41" fillId="0" borderId="0" xfId="108" applyNumberFormat="1" applyFont="1" applyBorder="1" applyAlignment="1">
      <alignment horizontal="center"/>
    </xf>
    <xf numFmtId="0" fontId="7" fillId="0" borderId="0" xfId="108" applyFont="1" applyBorder="1"/>
    <xf numFmtId="0" fontId="7" fillId="0" borderId="18" xfId="108" applyFont="1" applyBorder="1"/>
    <xf numFmtId="184" fontId="7" fillId="0" borderId="0" xfId="108" applyNumberFormat="1" applyFont="1" applyBorder="1"/>
    <xf numFmtId="41" fontId="7" fillId="0" borderId="27" xfId="108" applyNumberFormat="1" applyFont="1" applyBorder="1"/>
    <xf numFmtId="0" fontId="7" fillId="0" borderId="1" xfId="108" applyFont="1" applyBorder="1"/>
    <xf numFmtId="193" fontId="7" fillId="0" borderId="1" xfId="108" applyNumberFormat="1" applyFont="1" applyBorder="1" applyAlignment="1">
      <alignment horizontal="center"/>
    </xf>
    <xf numFmtId="184" fontId="7" fillId="0" borderId="1" xfId="108" applyNumberFormat="1" applyFont="1" applyBorder="1"/>
    <xf numFmtId="193" fontId="41" fillId="0" borderId="1" xfId="108" applyNumberFormat="1" applyFont="1" applyBorder="1" applyAlignment="1">
      <alignment horizontal="center"/>
    </xf>
    <xf numFmtId="184" fontId="41" fillId="0" borderId="0" xfId="108" applyNumberFormat="1" applyFont="1" applyBorder="1"/>
    <xf numFmtId="41" fontId="41" fillId="0" borderId="27" xfId="108" applyNumberFormat="1" applyFont="1" applyBorder="1"/>
    <xf numFmtId="0" fontId="7" fillId="0" borderId="1" xfId="108" applyFont="1" applyBorder="1" applyAlignment="1">
      <alignment horizontal="center"/>
    </xf>
    <xf numFmtId="0" fontId="7" fillId="17" borderId="6" xfId="108" applyFont="1" applyFill="1" applyBorder="1"/>
    <xf numFmtId="0" fontId="7" fillId="17" borderId="6" xfId="108" applyFont="1" applyFill="1" applyBorder="1" applyAlignment="1">
      <alignment horizontal="center"/>
    </xf>
    <xf numFmtId="184" fontId="7" fillId="17" borderId="6" xfId="108" applyNumberFormat="1" applyFont="1" applyFill="1" applyBorder="1"/>
    <xf numFmtId="193" fontId="41" fillId="17" borderId="6" xfId="108" applyNumberFormat="1" applyFont="1" applyFill="1" applyBorder="1" applyAlignment="1">
      <alignment horizontal="center"/>
    </xf>
    <xf numFmtId="0" fontId="7" fillId="0" borderId="0" xfId="108" applyFont="1" applyAlignment="1">
      <alignment horizontal="center"/>
    </xf>
    <xf numFmtId="184" fontId="7" fillId="0" borderId="0" xfId="108" applyNumberFormat="1" applyFont="1"/>
    <xf numFmtId="193" fontId="41" fillId="0" borderId="0" xfId="108" applyNumberFormat="1" applyFont="1" applyAlignment="1">
      <alignment horizontal="center"/>
    </xf>
    <xf numFmtId="185" fontId="7" fillId="0" borderId="0" xfId="108" applyNumberFormat="1" applyFont="1"/>
    <xf numFmtId="178" fontId="7" fillId="0" borderId="0" xfId="108" applyNumberFormat="1" applyFont="1"/>
    <xf numFmtId="188" fontId="7" fillId="0" borderId="0" xfId="108" applyNumberFormat="1" applyFont="1"/>
    <xf numFmtId="5" fontId="7" fillId="0" borderId="0" xfId="108" applyNumberFormat="1" applyFont="1" applyFill="1" applyBorder="1" applyAlignment="1">
      <alignment horizontal="center"/>
    </xf>
    <xf numFmtId="5" fontId="7" fillId="0" borderId="27" xfId="108" applyNumberFormat="1" applyFont="1" applyFill="1" applyBorder="1" applyAlignment="1">
      <alignment horizontal="center"/>
    </xf>
    <xf numFmtId="0" fontId="43" fillId="0" borderId="19" xfId="123" applyNumberFormat="1" applyFont="1" applyFill="1" applyBorder="1" applyAlignment="1" applyProtection="1">
      <alignment horizontal="right"/>
    </xf>
    <xf numFmtId="175" fontId="8" fillId="0" borderId="0" xfId="108" applyNumberFormat="1" applyFont="1" applyBorder="1" applyAlignment="1">
      <alignment horizontal="center"/>
    </xf>
    <xf numFmtId="0" fontId="5" fillId="0" borderId="29" xfId="108" applyFont="1" applyBorder="1"/>
    <xf numFmtId="168" fontId="9" fillId="0" borderId="28" xfId="108" applyNumberFormat="1" applyFont="1" applyBorder="1" applyAlignment="1">
      <alignment horizontal="right"/>
    </xf>
    <xf numFmtId="0" fontId="5" fillId="0" borderId="28" xfId="108" applyFont="1" applyBorder="1"/>
    <xf numFmtId="0" fontId="5" fillId="0" borderId="26" xfId="108" applyFont="1" applyBorder="1"/>
    <xf numFmtId="0" fontId="9" fillId="0" borderId="1" xfId="108" applyFont="1" applyBorder="1" applyAlignment="1">
      <alignment horizontal="right"/>
    </xf>
    <xf numFmtId="0" fontId="9" fillId="0" borderId="18" xfId="108" applyFont="1" applyBorder="1"/>
    <xf numFmtId="172" fontId="9" fillId="0" borderId="0" xfId="108" applyNumberFormat="1" applyFont="1" applyBorder="1"/>
    <xf numFmtId="193" fontId="5" fillId="0" borderId="0" xfId="108" applyNumberFormat="1" applyFont="1" applyBorder="1" applyAlignment="1">
      <alignment horizontal="center"/>
    </xf>
    <xf numFmtId="0" fontId="9" fillId="0" borderId="28" xfId="108" applyFont="1" applyBorder="1" applyAlignment="1">
      <alignment horizontal="center"/>
    </xf>
    <xf numFmtId="0" fontId="9" fillId="0" borderId="31" xfId="108" applyFont="1" applyBorder="1" applyAlignment="1">
      <alignment horizontal="right"/>
    </xf>
    <xf numFmtId="0" fontId="9" fillId="0" borderId="1" xfId="108" applyFont="1" applyBorder="1" applyAlignment="1">
      <alignment horizontal="center"/>
    </xf>
    <xf numFmtId="0" fontId="9" fillId="0" borderId="30" xfId="108" applyFont="1" applyBorder="1" applyAlignment="1">
      <alignment horizontal="right"/>
    </xf>
    <xf numFmtId="193" fontId="9" fillId="0" borderId="0" xfId="108" applyNumberFormat="1" applyFont="1" applyBorder="1" applyAlignment="1">
      <alignment horizontal="center"/>
    </xf>
    <xf numFmtId="5" fontId="9" fillId="0" borderId="27" xfId="108" applyNumberFormat="1" applyFont="1" applyBorder="1"/>
    <xf numFmtId="0" fontId="5" fillId="0" borderId="18" xfId="108" applyFont="1" applyBorder="1"/>
    <xf numFmtId="0" fontId="9" fillId="17" borderId="20" xfId="108" applyFont="1" applyFill="1" applyBorder="1"/>
    <xf numFmtId="0" fontId="9" fillId="0" borderId="0" xfId="108" applyFont="1"/>
    <xf numFmtId="5" fontId="9" fillId="17" borderId="22" xfId="68" applyNumberFormat="1" applyFont="1" applyFill="1" applyBorder="1"/>
    <xf numFmtId="41" fontId="5" fillId="0" borderId="27" xfId="108" applyNumberFormat="1" applyFont="1" applyBorder="1"/>
    <xf numFmtId="41" fontId="8" fillId="0" borderId="30" xfId="108" applyNumberFormat="1" applyFont="1" applyFill="1" applyBorder="1"/>
    <xf numFmtId="0" fontId="5" fillId="0" borderId="0" xfId="108" applyFont="1"/>
    <xf numFmtId="0" fontId="5" fillId="0" borderId="0" xfId="108" applyFont="1" applyAlignment="1">
      <alignment horizontal="right"/>
    </xf>
    <xf numFmtId="5" fontId="5" fillId="0" borderId="18" xfId="114" applyNumberFormat="1" applyFont="1" applyBorder="1"/>
    <xf numFmtId="0" fontId="5" fillId="0" borderId="18" xfId="114" applyFont="1" applyBorder="1"/>
    <xf numFmtId="5" fontId="5" fillId="0" borderId="0" xfId="108" applyNumberFormat="1" applyFont="1"/>
    <xf numFmtId="5" fontId="5" fillId="0" borderId="0" xfId="114" applyNumberFormat="1" applyFont="1"/>
    <xf numFmtId="9" fontId="5" fillId="0" borderId="0" xfId="129" applyFont="1" applyAlignment="1">
      <alignment horizontal="left"/>
    </xf>
    <xf numFmtId="178" fontId="5" fillId="0" borderId="0" xfId="108" applyNumberFormat="1" applyFont="1"/>
    <xf numFmtId="5" fontId="5" fillId="0" borderId="10" xfId="108" applyNumberFormat="1" applyFont="1" applyBorder="1"/>
    <xf numFmtId="5" fontId="5" fillId="0" borderId="10" xfId="114" applyNumberFormat="1" applyFont="1" applyBorder="1"/>
    <xf numFmtId="9" fontId="8" fillId="0" borderId="0" xfId="126" applyFont="1"/>
    <xf numFmtId="9" fontId="5" fillId="0" borderId="0" xfId="126" applyFont="1"/>
    <xf numFmtId="188" fontId="8" fillId="0" borderId="6" xfId="114" applyNumberFormat="1" applyFont="1" applyBorder="1" applyAlignment="1">
      <alignment horizontal="center"/>
    </xf>
    <xf numFmtId="188" fontId="8" fillId="0" borderId="22" xfId="114" applyNumberFormat="1" applyFont="1" applyBorder="1" applyAlignment="1">
      <alignment horizontal="center"/>
    </xf>
    <xf numFmtId="5" fontId="5" fillId="0" borderId="0" xfId="108" applyNumberFormat="1" applyFont="1" applyFill="1" applyBorder="1" applyAlignment="1">
      <alignment horizontal="center"/>
    </xf>
    <xf numFmtId="5" fontId="5" fillId="0" borderId="27" xfId="108" applyNumberFormat="1" applyFont="1" applyFill="1" applyBorder="1" applyAlignment="1">
      <alignment horizontal="center"/>
    </xf>
    <xf numFmtId="7" fontId="5" fillId="0" borderId="0" xfId="108" applyNumberFormat="1" applyFont="1" applyFill="1" applyBorder="1" applyAlignment="1">
      <alignment horizontal="center"/>
    </xf>
    <xf numFmtId="7" fontId="5" fillId="0" borderId="27" xfId="108" applyNumberFormat="1" applyFont="1" applyFill="1" applyBorder="1" applyAlignment="1">
      <alignment horizontal="center"/>
    </xf>
    <xf numFmtId="0" fontId="5" fillId="0" borderId="20" xfId="114" applyFont="1" applyBorder="1"/>
    <xf numFmtId="0" fontId="5" fillId="0" borderId="6" xfId="114" applyFont="1" applyBorder="1" applyAlignment="1">
      <alignment horizontal="centerContinuous"/>
    </xf>
    <xf numFmtId="0" fontId="5" fillId="0" borderId="22" xfId="114" applyFont="1" applyBorder="1" applyAlignment="1">
      <alignment horizontal="centerContinuous"/>
    </xf>
    <xf numFmtId="1" fontId="9" fillId="0" borderId="20" xfId="114" applyNumberFormat="1" applyFont="1" applyBorder="1" applyAlignment="1">
      <alignment horizontal="left"/>
    </xf>
    <xf numFmtId="0" fontId="5" fillId="0" borderId="0" xfId="108" applyFont="1" applyBorder="1"/>
    <xf numFmtId="0" fontId="5" fillId="0" borderId="18" xfId="0" applyNumberFormat="1" applyFont="1" applyFill="1" applyBorder="1" applyAlignment="1"/>
    <xf numFmtId="169" fontId="26" fillId="0" borderId="19" xfId="123" applyNumberFormat="1" applyFont="1" applyFill="1" applyBorder="1"/>
    <xf numFmtId="169" fontId="26" fillId="0" borderId="0" xfId="123" applyNumberFormat="1" applyFont="1" applyFill="1" applyBorder="1"/>
    <xf numFmtId="37" fontId="36" fillId="0" borderId="10" xfId="0" applyNumberFormat="1" applyFont="1" applyFill="1" applyBorder="1"/>
    <xf numFmtId="169" fontId="5" fillId="0" borderId="6" xfId="123" applyFont="1" applyFill="1" applyBorder="1"/>
    <xf numFmtId="169" fontId="5" fillId="0" borderId="6" xfId="123" applyNumberFormat="1" applyFont="1" applyFill="1" applyBorder="1"/>
    <xf numFmtId="169" fontId="5" fillId="0" borderId="22" xfId="123" applyNumberFormat="1" applyFont="1" applyFill="1" applyBorder="1"/>
    <xf numFmtId="169" fontId="5" fillId="0" borderId="10" xfId="123" applyNumberFormat="1" applyFont="1" applyFill="1" applyBorder="1"/>
    <xf numFmtId="0" fontId="9" fillId="17" borderId="20" xfId="0" applyNumberFormat="1" applyFont="1" applyFill="1" applyBorder="1" applyAlignment="1"/>
    <xf numFmtId="194" fontId="9" fillId="17" borderId="10" xfId="0" applyNumberFormat="1" applyFont="1" applyFill="1" applyBorder="1" applyAlignment="1">
      <alignment horizontal="right"/>
    </xf>
    <xf numFmtId="194" fontId="9" fillId="17" borderId="20" xfId="0" applyNumberFormat="1" applyFont="1" applyFill="1" applyBorder="1" applyAlignment="1">
      <alignment horizontal="right"/>
    </xf>
    <xf numFmtId="194" fontId="9" fillId="17" borderId="6" xfId="0" applyNumberFormat="1" applyFont="1" applyFill="1" applyBorder="1" applyAlignment="1">
      <alignment horizontal="right"/>
    </xf>
    <xf numFmtId="194" fontId="9" fillId="17" borderId="22" xfId="0" applyNumberFormat="1" applyFont="1" applyFill="1" applyBorder="1" applyAlignment="1">
      <alignment horizontal="right"/>
    </xf>
    <xf numFmtId="169" fontId="9" fillId="17" borderId="10" xfId="123" applyFont="1" applyFill="1" applyBorder="1"/>
    <xf numFmtId="169" fontId="9" fillId="17" borderId="20" xfId="123" applyFont="1" applyFill="1" applyBorder="1"/>
    <xf numFmtId="169" fontId="27" fillId="17" borderId="10" xfId="123" applyNumberFormat="1" applyFont="1" applyFill="1" applyBorder="1"/>
    <xf numFmtId="169" fontId="27" fillId="17" borderId="6" xfId="123" applyNumberFormat="1" applyFont="1" applyFill="1" applyBorder="1"/>
    <xf numFmtId="0" fontId="9" fillId="17" borderId="20" xfId="0" applyNumberFormat="1" applyFont="1" applyFill="1" applyBorder="1" applyAlignment="1">
      <alignment horizontal="left"/>
    </xf>
    <xf numFmtId="169" fontId="9" fillId="17" borderId="6" xfId="123" applyNumberFormat="1" applyFont="1" applyFill="1" applyBorder="1"/>
    <xf numFmtId="169" fontId="9" fillId="17" borderId="10" xfId="123" applyNumberFormat="1" applyFont="1" applyFill="1" applyBorder="1"/>
    <xf numFmtId="37" fontId="9" fillId="0" borderId="19" xfId="60" applyFont="1" applyFill="1" applyBorder="1"/>
    <xf numFmtId="169" fontId="36" fillId="0" borderId="10" xfId="123" applyFont="1" applyFill="1" applyBorder="1"/>
    <xf numFmtId="37" fontId="9" fillId="0" borderId="18" xfId="60" applyFont="1" applyFill="1" applyBorder="1"/>
    <xf numFmtId="9" fontId="9" fillId="0" borderId="18" xfId="123" applyNumberFormat="1" applyFont="1" applyFill="1" applyBorder="1"/>
    <xf numFmtId="37" fontId="9" fillId="0" borderId="27" xfId="60" applyFont="1" applyFill="1" applyBorder="1"/>
    <xf numFmtId="9" fontId="9" fillId="0" borderId="27" xfId="123" applyNumberFormat="1" applyFont="1" applyFill="1" applyBorder="1"/>
    <xf numFmtId="169" fontId="5" fillId="0" borderId="21" xfId="123" applyFont="1" applyBorder="1"/>
    <xf numFmtId="169" fontId="5" fillId="17" borderId="6" xfId="123" applyFont="1" applyFill="1" applyBorder="1"/>
    <xf numFmtId="169" fontId="5" fillId="17" borderId="10" xfId="123" applyFont="1" applyFill="1" applyBorder="1"/>
    <xf numFmtId="0" fontId="5" fillId="0" borderId="20" xfId="0" applyNumberFormat="1" applyFont="1" applyFill="1" applyBorder="1"/>
    <xf numFmtId="169" fontId="5" fillId="0" borderId="23" xfId="123" applyFont="1" applyFill="1" applyBorder="1" applyAlignment="1">
      <alignment horizontal="right"/>
    </xf>
    <xf numFmtId="41" fontId="27" fillId="0" borderId="0" xfId="60" applyNumberFormat="1" applyFont="1" applyFill="1" applyBorder="1"/>
    <xf numFmtId="37" fontId="26" fillId="0" borderId="0" xfId="60" quotePrefix="1" applyFont="1" applyFill="1" applyBorder="1" applyAlignment="1" applyProtection="1"/>
    <xf numFmtId="169" fontId="26" fillId="0" borderId="0" xfId="123" quotePrefix="1" applyFont="1" applyFill="1" applyBorder="1" applyAlignment="1" applyProtection="1"/>
    <xf numFmtId="169" fontId="26" fillId="0" borderId="19" xfId="123" quotePrefix="1" applyFont="1" applyFill="1" applyBorder="1" applyAlignment="1" applyProtection="1"/>
    <xf numFmtId="41" fontId="45" fillId="0" borderId="19" xfId="123" quotePrefix="1" applyNumberFormat="1" applyFont="1" applyFill="1" applyBorder="1" applyAlignment="1" applyProtection="1"/>
    <xf numFmtId="41" fontId="45" fillId="0" borderId="27" xfId="123" quotePrefix="1" applyNumberFormat="1" applyFont="1" applyFill="1" applyBorder="1" applyAlignment="1" applyProtection="1"/>
    <xf numFmtId="5" fontId="5" fillId="28" borderId="27" xfId="61" applyFont="1" applyFill="1" applyBorder="1"/>
    <xf numFmtId="5" fontId="5" fillId="0" borderId="27" xfId="61" applyFont="1" applyFill="1" applyBorder="1"/>
    <xf numFmtId="37" fontId="45" fillId="0" borderId="19" xfId="0" applyFont="1" applyBorder="1" applyAlignment="1">
      <alignment horizontal="right"/>
    </xf>
    <xf numFmtId="37" fontId="25" fillId="0" borderId="18" xfId="0" applyFont="1" applyBorder="1"/>
    <xf numFmtId="0" fontId="38" fillId="0" borderId="0" xfId="0" applyNumberFormat="1" applyFont="1" applyFill="1" applyBorder="1" applyAlignment="1">
      <alignment horizontal="left"/>
    </xf>
    <xf numFmtId="187" fontId="8" fillId="0" borderId="0" xfId="123" quotePrefix="1" applyNumberFormat="1" applyFont="1" applyFill="1" applyBorder="1" applyAlignment="1" applyProtection="1"/>
    <xf numFmtId="41" fontId="36" fillId="0" borderId="27" xfId="123" quotePrefix="1" applyNumberFormat="1" applyFont="1" applyFill="1" applyBorder="1" applyAlignment="1" applyProtection="1"/>
    <xf numFmtId="187" fontId="8" fillId="0" borderId="19" xfId="123" quotePrefix="1" applyNumberFormat="1" applyFont="1" applyFill="1" applyBorder="1" applyAlignment="1" applyProtection="1"/>
    <xf numFmtId="5" fontId="37" fillId="0" borderId="19" xfId="60" quotePrefix="1" applyNumberFormat="1" applyFont="1" applyFill="1" applyBorder="1" applyAlignment="1" applyProtection="1"/>
    <xf numFmtId="5" fontId="5" fillId="0" borderId="18" xfId="60" applyNumberFormat="1" applyFont="1" applyFill="1" applyBorder="1" applyAlignment="1" applyProtection="1">
      <alignment horizontal="left"/>
    </xf>
    <xf numFmtId="5" fontId="8" fillId="0" borderId="19" xfId="123" quotePrefix="1" applyNumberFormat="1" applyFont="1" applyFill="1" applyBorder="1" applyAlignment="1" applyProtection="1">
      <alignment horizontal="right"/>
    </xf>
    <xf numFmtId="5" fontId="5" fillId="0" borderId="19" xfId="60" quotePrefix="1" applyNumberFormat="1" applyFont="1" applyFill="1" applyBorder="1" applyAlignment="1" applyProtection="1"/>
    <xf numFmtId="5" fontId="5" fillId="0" borderId="0" xfId="60" quotePrefix="1" applyNumberFormat="1" applyFont="1" applyFill="1" applyBorder="1" applyAlignment="1" applyProtection="1"/>
    <xf numFmtId="5" fontId="5" fillId="0" borderId="27" xfId="60" quotePrefix="1" applyNumberFormat="1" applyFont="1" applyFill="1" applyBorder="1" applyAlignment="1" applyProtection="1"/>
    <xf numFmtId="5" fontId="36" fillId="0" borderId="0" xfId="123" quotePrefix="1" applyNumberFormat="1" applyFont="1" applyFill="1" applyBorder="1" applyAlignment="1" applyProtection="1"/>
    <xf numFmtId="5" fontId="5" fillId="0" borderId="18" xfId="60" applyNumberFormat="1" applyFont="1" applyFill="1" applyBorder="1" applyAlignment="1" applyProtection="1">
      <alignment horizontal="left" indent="1"/>
    </xf>
    <xf numFmtId="5" fontId="9" fillId="17" borderId="6" xfId="61" quotePrefix="1" applyNumberFormat="1" applyFont="1" applyFill="1" applyBorder="1" applyAlignment="1" applyProtection="1"/>
    <xf numFmtId="5" fontId="28" fillId="17" borderId="10" xfId="61" quotePrefix="1" applyFont="1" applyFill="1" applyBorder="1" applyAlignment="1" applyProtection="1"/>
    <xf numFmtId="5" fontId="28" fillId="17" borderId="6" xfId="61" quotePrefix="1" applyFont="1" applyFill="1" applyBorder="1" applyAlignment="1" applyProtection="1"/>
    <xf numFmtId="5" fontId="9" fillId="17" borderId="20" xfId="61" quotePrefix="1" applyFont="1" applyFill="1" applyBorder="1" applyAlignment="1" applyProtection="1"/>
    <xf numFmtId="5" fontId="28" fillId="17" borderId="20" xfId="61" quotePrefix="1" applyNumberFormat="1" applyFont="1" applyFill="1" applyBorder="1" applyAlignment="1" applyProtection="1"/>
    <xf numFmtId="5" fontId="28" fillId="17" borderId="6" xfId="61" quotePrefix="1" applyNumberFormat="1" applyFont="1" applyFill="1" applyBorder="1" applyAlignment="1" applyProtection="1"/>
    <xf numFmtId="5" fontId="9" fillId="17" borderId="10" xfId="61" quotePrefix="1" applyNumberFormat="1" applyFont="1" applyFill="1" applyBorder="1" applyAlignment="1" applyProtection="1"/>
    <xf numFmtId="169" fontId="43" fillId="0" borderId="23" xfId="123" quotePrefix="1" applyNumberFormat="1" applyFont="1" applyFill="1" applyBorder="1" applyAlignment="1" applyProtection="1"/>
    <xf numFmtId="37" fontId="5" fillId="0" borderId="27" xfId="0" applyNumberFormat="1" applyFont="1" applyFill="1" applyBorder="1"/>
    <xf numFmtId="5" fontId="5" fillId="0" borderId="0" xfId="61" applyNumberFormat="1" applyFont="1" applyFill="1" applyBorder="1"/>
    <xf numFmtId="37" fontId="5" fillId="0" borderId="0" xfId="0" applyFont="1" applyFill="1" applyBorder="1" applyAlignment="1"/>
    <xf numFmtId="41" fontId="45" fillId="0" borderId="0" xfId="123" applyNumberFormat="1" applyFont="1" applyFill="1" applyBorder="1" applyAlignment="1" applyProtection="1"/>
    <xf numFmtId="10" fontId="43" fillId="0" borderId="19" xfId="123" quotePrefix="1" applyNumberFormat="1" applyFont="1" applyFill="1" applyBorder="1" applyAlignment="1" applyProtection="1"/>
    <xf numFmtId="10" fontId="5" fillId="0" borderId="19" xfId="123" quotePrefix="1" applyNumberFormat="1" applyFont="1" applyFill="1" applyBorder="1" applyAlignment="1" applyProtection="1"/>
    <xf numFmtId="39" fontId="9" fillId="0" borderId="0" xfId="60" applyNumberFormat="1" applyFont="1" applyFill="1" applyBorder="1"/>
    <xf numFmtId="39" fontId="15" fillId="0" borderId="0" xfId="60" applyNumberFormat="1" applyFont="1" applyBorder="1"/>
    <xf numFmtId="41" fontId="8" fillId="0" borderId="27" xfId="123" quotePrefix="1" applyNumberFormat="1" applyFont="1" applyFill="1" applyBorder="1" applyAlignment="1" applyProtection="1">
      <alignment horizontal="right"/>
    </xf>
    <xf numFmtId="190" fontId="8" fillId="0" borderId="0" xfId="123" applyNumberFormat="1" applyFont="1" applyFill="1" applyBorder="1" applyAlignment="1" applyProtection="1">
      <alignment horizontal="right"/>
    </xf>
    <xf numFmtId="41" fontId="8" fillId="0" borderId="0" xfId="123" applyNumberFormat="1" applyFont="1" applyFill="1" applyBorder="1" applyAlignment="1" applyProtection="1">
      <alignment horizontal="right"/>
    </xf>
    <xf numFmtId="39" fontId="9" fillId="0" borderId="0" xfId="60" applyNumberFormat="1" applyFont="1" applyBorder="1"/>
    <xf numFmtId="41" fontId="28" fillId="0" borderId="0" xfId="123" quotePrefix="1" applyNumberFormat="1" applyFont="1" applyFill="1" applyBorder="1" applyAlignment="1" applyProtection="1"/>
    <xf numFmtId="169" fontId="74" fillId="0" borderId="19" xfId="123" quotePrefix="1" applyFont="1" applyFill="1" applyBorder="1" applyAlignment="1" applyProtection="1"/>
    <xf numFmtId="169" fontId="74" fillId="0" borderId="0" xfId="123" quotePrefix="1" applyFont="1" applyFill="1" applyBorder="1" applyAlignment="1" applyProtection="1"/>
    <xf numFmtId="169" fontId="74" fillId="0" borderId="27" xfId="123" quotePrefix="1" applyFont="1" applyFill="1" applyBorder="1" applyAlignment="1" applyProtection="1"/>
    <xf numFmtId="37" fontId="64" fillId="0" borderId="19" xfId="123" quotePrefix="1" applyNumberFormat="1" applyFont="1" applyFill="1" applyBorder="1" applyAlignment="1" applyProtection="1"/>
    <xf numFmtId="37" fontId="64" fillId="0" borderId="23" xfId="123" quotePrefix="1" applyNumberFormat="1" applyFont="1" applyFill="1" applyBorder="1" applyAlignment="1" applyProtection="1"/>
    <xf numFmtId="169" fontId="9" fillId="24" borderId="6" xfId="123" applyNumberFormat="1" applyFont="1" applyFill="1" applyBorder="1"/>
    <xf numFmtId="169" fontId="9" fillId="24" borderId="10" xfId="123" applyNumberFormat="1" applyFont="1" applyFill="1" applyBorder="1"/>
    <xf numFmtId="169" fontId="9" fillId="24" borderId="22" xfId="123" applyNumberFormat="1" applyFont="1" applyFill="1" applyBorder="1"/>
    <xf numFmtId="169" fontId="5" fillId="0" borderId="23" xfId="123" applyNumberFormat="1" applyFont="1" applyBorder="1"/>
    <xf numFmtId="5" fontId="8" fillId="0" borderId="19" xfId="61" applyNumberFormat="1" applyFont="1" applyFill="1" applyBorder="1"/>
    <xf numFmtId="5" fontId="26" fillId="0" borderId="19" xfId="61" applyNumberFormat="1" applyFont="1" applyFill="1" applyBorder="1"/>
    <xf numFmtId="5" fontId="26" fillId="0" borderId="0" xfId="61" applyNumberFormat="1" applyFont="1" applyFill="1" applyBorder="1"/>
    <xf numFmtId="5" fontId="36" fillId="0" borderId="19" xfId="61" quotePrefix="1" applyNumberFormat="1" applyFont="1" applyFill="1" applyBorder="1" applyAlignment="1" applyProtection="1"/>
    <xf numFmtId="5" fontId="36" fillId="0" borderId="0" xfId="60" quotePrefix="1" applyNumberFormat="1" applyFont="1" applyFill="1" applyBorder="1" applyAlignment="1" applyProtection="1"/>
    <xf numFmtId="5" fontId="9" fillId="0" borderId="18" xfId="60" applyNumberFormat="1" applyFont="1" applyFill="1" applyBorder="1" applyAlignment="1" applyProtection="1">
      <alignment horizontal="left"/>
    </xf>
    <xf numFmtId="5" fontId="5" fillId="0" borderId="0" xfId="61" quotePrefix="1" applyNumberFormat="1" applyFont="1" applyFill="1" applyBorder="1" applyAlignment="1" applyProtection="1"/>
    <xf numFmtId="5" fontId="5" fillId="0" borderId="27" xfId="61" quotePrefix="1" applyNumberFormat="1" applyFont="1" applyFill="1" applyBorder="1" applyAlignment="1" applyProtection="1"/>
    <xf numFmtId="5" fontId="9" fillId="24" borderId="6" xfId="61" applyNumberFormat="1" applyFont="1" applyFill="1" applyBorder="1" applyAlignment="1" applyProtection="1">
      <alignment horizontal="right"/>
    </xf>
    <xf numFmtId="5" fontId="9" fillId="24" borderId="22" xfId="61" applyNumberFormat="1" applyFont="1" applyFill="1" applyBorder="1" applyAlignment="1" applyProtection="1">
      <alignment horizontal="right"/>
    </xf>
    <xf numFmtId="0" fontId="25" fillId="0" borderId="20" xfId="0" applyNumberFormat="1" applyFont="1" applyFill="1" applyBorder="1" applyAlignment="1">
      <alignment horizontal="left"/>
    </xf>
    <xf numFmtId="169" fontId="25" fillId="0" borderId="10" xfId="123" quotePrefix="1" applyFont="1" applyFill="1" applyBorder="1" applyAlignment="1" applyProtection="1"/>
    <xf numFmtId="169" fontId="25" fillId="0" borderId="20" xfId="123" quotePrefix="1" applyFont="1" applyFill="1" applyBorder="1" applyAlignment="1" applyProtection="1"/>
    <xf numFmtId="169" fontId="25" fillId="0" borderId="6" xfId="123" quotePrefix="1" applyFont="1" applyFill="1" applyBorder="1" applyAlignment="1" applyProtection="1"/>
    <xf numFmtId="169" fontId="25" fillId="0" borderId="22" xfId="123" quotePrefix="1" applyFont="1" applyFill="1" applyBorder="1" applyAlignment="1" applyProtection="1"/>
    <xf numFmtId="169" fontId="25" fillId="0" borderId="20" xfId="123" applyFont="1" applyFill="1" applyBorder="1" applyAlignment="1">
      <alignment horizontal="left" indent="1"/>
    </xf>
    <xf numFmtId="169" fontId="45" fillId="0" borderId="10" xfId="123" quotePrefix="1" applyFont="1" applyFill="1" applyBorder="1" applyAlignment="1" applyProtection="1">
      <alignment horizontal="right"/>
    </xf>
    <xf numFmtId="169" fontId="45" fillId="0" borderId="20" xfId="123" quotePrefix="1" applyFont="1" applyFill="1" applyBorder="1" applyAlignment="1" applyProtection="1">
      <alignment horizontal="right"/>
    </xf>
    <xf numFmtId="169" fontId="45" fillId="0" borderId="6" xfId="123" quotePrefix="1" applyFont="1" applyFill="1" applyBorder="1" applyAlignment="1" applyProtection="1">
      <alignment horizontal="right"/>
    </xf>
    <xf numFmtId="169" fontId="45" fillId="0" borderId="22" xfId="123" quotePrefix="1" applyFont="1" applyFill="1" applyBorder="1" applyAlignment="1" applyProtection="1">
      <alignment horizontal="right"/>
    </xf>
    <xf numFmtId="5" fontId="5" fillId="0" borderId="23" xfId="0" applyNumberFormat="1" applyFont="1" applyBorder="1"/>
    <xf numFmtId="5" fontId="36" fillId="0" borderId="0" xfId="0" applyNumberFormat="1" applyFont="1" applyFill="1" applyBorder="1" applyAlignment="1" applyProtection="1">
      <alignment horizontal="right"/>
    </xf>
    <xf numFmtId="41" fontId="7" fillId="0" borderId="0" xfId="60" quotePrefix="1" applyNumberFormat="1" applyFont="1" applyFill="1" applyBorder="1" applyAlignment="1" applyProtection="1"/>
    <xf numFmtId="41" fontId="40" fillId="0" borderId="0" xfId="60" quotePrefix="1" applyNumberFormat="1" applyFont="1" applyFill="1" applyBorder="1" applyAlignment="1" applyProtection="1"/>
    <xf numFmtId="169" fontId="64" fillId="0" borderId="19" xfId="123" applyFont="1" applyFill="1" applyBorder="1" applyProtection="1">
      <protection locked="0"/>
    </xf>
    <xf numFmtId="169" fontId="25" fillId="0" borderId="18" xfId="123" applyNumberFormat="1" applyFont="1" applyFill="1" applyBorder="1" applyAlignment="1" applyProtection="1">
      <alignment horizontal="left" indent="1"/>
    </xf>
    <xf numFmtId="169" fontId="44" fillId="0" borderId="18" xfId="123" quotePrefix="1" applyNumberFormat="1" applyFont="1" applyFill="1" applyBorder="1" applyAlignment="1" applyProtection="1"/>
    <xf numFmtId="169" fontId="5" fillId="0" borderId="0" xfId="60" applyNumberFormat="1" applyFont="1" applyBorder="1"/>
    <xf numFmtId="169" fontId="5" fillId="0" borderId="0" xfId="60" applyNumberFormat="1" applyFont="1" applyFill="1" applyBorder="1"/>
    <xf numFmtId="9" fontId="74" fillId="0" borderId="19" xfId="123" quotePrefix="1" applyNumberFormat="1" applyFont="1" applyFill="1" applyBorder="1" applyAlignment="1" applyProtection="1">
      <alignment horizontal="right"/>
    </xf>
    <xf numFmtId="9" fontId="74" fillId="0" borderId="0" xfId="123" quotePrefix="1" applyNumberFormat="1" applyFont="1" applyFill="1" applyBorder="1" applyAlignment="1" applyProtection="1"/>
    <xf numFmtId="9" fontId="72" fillId="0" borderId="19" xfId="123" quotePrefix="1" applyNumberFormat="1" applyFont="1" applyFill="1" applyBorder="1" applyAlignment="1" applyProtection="1"/>
    <xf numFmtId="5" fontId="75" fillId="0" borderId="19" xfId="61" applyNumberFormat="1" applyFont="1" applyFill="1" applyBorder="1" applyAlignment="1" applyProtection="1">
      <alignment horizontal="right"/>
    </xf>
    <xf numFmtId="169" fontId="45" fillId="0" borderId="22" xfId="123" quotePrefix="1" applyFont="1" applyFill="1" applyBorder="1" applyAlignment="1" applyProtection="1"/>
    <xf numFmtId="169" fontId="9" fillId="17" borderId="22" xfId="123" applyNumberFormat="1" applyFont="1" applyFill="1" applyBorder="1"/>
    <xf numFmtId="41" fontId="26" fillId="0" borderId="23" xfId="61" applyNumberFormat="1" applyFont="1" applyFill="1" applyBorder="1" applyProtection="1"/>
    <xf numFmtId="41" fontId="26" fillId="0" borderId="23" xfId="61" applyNumberFormat="1" applyFont="1" applyFill="1" applyBorder="1" applyAlignment="1" applyProtection="1">
      <alignment horizontal="right"/>
    </xf>
    <xf numFmtId="41" fontId="26" fillId="0" borderId="0" xfId="61" applyNumberFormat="1" applyFont="1" applyFill="1" applyBorder="1" applyAlignment="1" applyProtection="1">
      <alignment horizontal="right"/>
    </xf>
    <xf numFmtId="41" fontId="26" fillId="0" borderId="0" xfId="61" applyNumberFormat="1" applyFont="1" applyFill="1" applyBorder="1" applyProtection="1"/>
    <xf numFmtId="41" fontId="26" fillId="0" borderId="19" xfId="61" applyNumberFormat="1" applyFont="1" applyFill="1" applyBorder="1" applyProtection="1"/>
    <xf numFmtId="41" fontId="27" fillId="0" borderId="0" xfId="60" quotePrefix="1" applyNumberFormat="1" applyFont="1" applyFill="1" applyBorder="1" applyAlignment="1" applyProtection="1">
      <alignment horizontal="right"/>
    </xf>
    <xf numFmtId="5" fontId="9" fillId="0" borderId="26" xfId="61" applyNumberFormat="1" applyFont="1" applyFill="1" applyBorder="1" applyAlignment="1" applyProtection="1">
      <alignment horizontal="left"/>
    </xf>
    <xf numFmtId="5" fontId="9" fillId="0" borderId="30" xfId="61" applyNumberFormat="1" applyFont="1" applyFill="1" applyBorder="1" applyProtection="1"/>
    <xf numFmtId="5" fontId="9" fillId="0" borderId="19" xfId="60" applyNumberFormat="1" applyFont="1" applyFill="1" applyBorder="1" applyAlignment="1" applyProtection="1">
      <alignment horizontal="left"/>
    </xf>
    <xf numFmtId="5" fontId="9" fillId="0" borderId="19" xfId="0" applyNumberFormat="1" applyFont="1" applyFill="1" applyBorder="1" applyProtection="1"/>
    <xf numFmtId="5" fontId="9" fillId="0" borderId="27" xfId="61" applyNumberFormat="1" applyFont="1" applyFill="1" applyBorder="1" applyProtection="1"/>
    <xf numFmtId="5" fontId="9" fillId="0" borderId="27" xfId="0" applyNumberFormat="1" applyFont="1" applyFill="1" applyBorder="1" applyProtection="1"/>
    <xf numFmtId="37" fontId="26" fillId="0" borderId="0" xfId="60" applyNumberFormat="1" applyFont="1" applyFill="1" applyBorder="1" applyProtection="1"/>
    <xf numFmtId="37" fontId="26" fillId="0" borderId="19" xfId="60" applyNumberFormat="1" applyFont="1" applyFill="1" applyBorder="1" applyProtection="1"/>
    <xf numFmtId="5" fontId="27" fillId="0" borderId="19" xfId="60" quotePrefix="1" applyNumberFormat="1" applyFont="1" applyFill="1" applyBorder="1" applyAlignment="1" applyProtection="1">
      <alignment horizontal="right"/>
    </xf>
    <xf numFmtId="169" fontId="45" fillId="0" borderId="0" xfId="123" applyFont="1" applyFill="1" applyBorder="1" applyAlignment="1" applyProtection="1">
      <alignment horizontal="right"/>
    </xf>
    <xf numFmtId="169" fontId="45" fillId="0" borderId="19" xfId="123" applyFont="1" applyFill="1" applyBorder="1" applyAlignment="1" applyProtection="1">
      <alignment horizontal="right"/>
    </xf>
    <xf numFmtId="37" fontId="5" fillId="0" borderId="18" xfId="60" applyNumberFormat="1" applyFont="1" applyFill="1" applyBorder="1" applyAlignment="1" applyProtection="1">
      <alignment horizontal="left"/>
    </xf>
    <xf numFmtId="169" fontId="25" fillId="0" borderId="18" xfId="123" applyFont="1" applyFill="1" applyBorder="1" applyAlignment="1" applyProtection="1">
      <alignment horizontal="left" indent="1"/>
    </xf>
    <xf numFmtId="169" fontId="7" fillId="0" borderId="23" xfId="123" applyFont="1" applyFill="1" applyBorder="1" applyProtection="1">
      <protection locked="0"/>
    </xf>
    <xf numFmtId="169" fontId="7" fillId="0" borderId="0" xfId="123" applyFont="1" applyFill="1" applyBorder="1" applyProtection="1">
      <protection locked="0"/>
    </xf>
    <xf numFmtId="169" fontId="5" fillId="0" borderId="29" xfId="123" applyFont="1" applyFill="1" applyBorder="1" applyProtection="1"/>
    <xf numFmtId="7" fontId="5" fillId="0" borderId="28" xfId="108" applyNumberFormat="1" applyFont="1" applyFill="1" applyBorder="1" applyAlignment="1">
      <alignment horizontal="center"/>
    </xf>
    <xf numFmtId="5" fontId="5" fillId="0" borderId="0" xfId="109" applyNumberFormat="1" applyFont="1" applyAlignment="1">
      <alignment horizontal="right"/>
    </xf>
    <xf numFmtId="5" fontId="9" fillId="0" borderId="0" xfId="109" applyNumberFormat="1" applyFont="1" applyBorder="1" applyAlignment="1">
      <alignment horizontal="right"/>
    </xf>
    <xf numFmtId="5" fontId="9" fillId="0" borderId="0" xfId="109" applyNumberFormat="1" applyFont="1" applyBorder="1"/>
    <xf numFmtId="5" fontId="9" fillId="0" borderId="0" xfId="109" applyNumberFormat="1" applyFont="1" applyFill="1"/>
    <xf numFmtId="170" fontId="5" fillId="0" borderId="0" xfId="0" applyNumberFormat="1" applyFont="1" applyBorder="1"/>
    <xf numFmtId="7" fontId="5" fillId="0" borderId="31" xfId="108" applyNumberFormat="1" applyFont="1" applyFill="1" applyBorder="1" applyAlignment="1">
      <alignment horizontal="center"/>
    </xf>
    <xf numFmtId="175" fontId="5" fillId="0" borderId="0" xfId="109" applyNumberFormat="1" applyFont="1" applyFill="1" applyBorder="1" applyAlignment="1">
      <alignment horizontal="right"/>
    </xf>
    <xf numFmtId="37" fontId="5" fillId="0" borderId="1" xfId="0" applyFont="1" applyBorder="1" applyAlignment="1">
      <alignment horizontal="right"/>
    </xf>
    <xf numFmtId="37" fontId="5" fillId="0" borderId="0" xfId="0" quotePrefix="1" applyFont="1" applyAlignment="1">
      <alignment horizontal="right"/>
    </xf>
    <xf numFmtId="9" fontId="5" fillId="0" borderId="0" xfId="123" applyNumberFormat="1" applyFont="1" applyAlignment="1">
      <alignment horizontal="right"/>
    </xf>
    <xf numFmtId="5" fontId="9" fillId="17" borderId="10" xfId="61" applyNumberFormat="1" applyFont="1" applyFill="1" applyBorder="1"/>
    <xf numFmtId="5" fontId="9" fillId="17" borderId="6" xfId="61" applyNumberFormat="1" applyFont="1" applyFill="1" applyBorder="1" applyProtection="1"/>
    <xf numFmtId="5" fontId="9" fillId="17" borderId="20" xfId="0" applyNumberFormat="1" applyFont="1" applyFill="1" applyBorder="1" applyAlignment="1" applyProtection="1">
      <alignment horizontal="left"/>
    </xf>
    <xf numFmtId="5" fontId="9" fillId="17" borderId="10" xfId="0" applyNumberFormat="1" applyFont="1" applyFill="1" applyBorder="1" applyProtection="1"/>
    <xf numFmtId="5" fontId="9" fillId="17" borderId="6" xfId="0" applyNumberFormat="1" applyFont="1" applyFill="1" applyBorder="1" applyProtection="1"/>
    <xf numFmtId="5" fontId="9" fillId="17" borderId="20" xfId="61" applyNumberFormat="1" applyFont="1" applyFill="1" applyBorder="1" applyAlignment="1" applyProtection="1">
      <alignment horizontal="left"/>
    </xf>
    <xf numFmtId="5" fontId="9" fillId="17" borderId="6" xfId="61" applyNumberFormat="1" applyFont="1" applyFill="1" applyBorder="1"/>
    <xf numFmtId="0" fontId="37" fillId="17" borderId="29" xfId="0" applyNumberFormat="1" applyFont="1" applyFill="1" applyBorder="1" applyAlignment="1" applyProtection="1">
      <alignment horizontal="left"/>
    </xf>
    <xf numFmtId="7" fontId="9" fillId="17" borderId="21" xfId="61" quotePrefix="1" applyNumberFormat="1" applyFont="1" applyFill="1" applyBorder="1" applyAlignment="1" applyProtection="1">
      <alignment horizontal="right"/>
    </xf>
    <xf numFmtId="7" fontId="9" fillId="17" borderId="28" xfId="61" quotePrefix="1" applyNumberFormat="1" applyFont="1" applyFill="1" applyBorder="1" applyAlignment="1" applyProtection="1">
      <alignment horizontal="right"/>
    </xf>
    <xf numFmtId="7" fontId="9" fillId="17" borderId="31" xfId="61" quotePrefix="1" applyNumberFormat="1" applyFont="1" applyFill="1" applyBorder="1" applyAlignment="1" applyProtection="1">
      <alignment horizontal="right"/>
    </xf>
    <xf numFmtId="0" fontId="37" fillId="17" borderId="26" xfId="0" applyNumberFormat="1" applyFont="1" applyFill="1" applyBorder="1" applyAlignment="1" applyProtection="1">
      <alignment horizontal="left"/>
    </xf>
    <xf numFmtId="7" fontId="9" fillId="17" borderId="23" xfId="61" quotePrefix="1" applyNumberFormat="1" applyFont="1" applyFill="1" applyBorder="1" applyAlignment="1" applyProtection="1">
      <alignment horizontal="right"/>
    </xf>
    <xf numFmtId="7" fontId="9" fillId="17" borderId="1" xfId="61" quotePrefix="1" applyNumberFormat="1" applyFont="1" applyFill="1" applyBorder="1" applyAlignment="1" applyProtection="1">
      <alignment horizontal="right"/>
    </xf>
    <xf numFmtId="5" fontId="9" fillId="17" borderId="10" xfId="61" quotePrefix="1" applyNumberFormat="1" applyFont="1" applyFill="1" applyBorder="1" applyAlignment="1" applyProtection="1">
      <alignment horizontal="right"/>
    </xf>
    <xf numFmtId="5" fontId="9" fillId="17" borderId="6" xfId="61" quotePrefix="1" applyNumberFormat="1" applyFont="1" applyFill="1" applyBorder="1" applyAlignment="1" applyProtection="1">
      <alignment horizontal="right"/>
    </xf>
    <xf numFmtId="5" fontId="9" fillId="17" borderId="10" xfId="61" quotePrefix="1" applyFont="1" applyFill="1" applyBorder="1" applyAlignment="1" applyProtection="1">
      <alignment horizontal="right"/>
    </xf>
    <xf numFmtId="5" fontId="9" fillId="17" borderId="6" xfId="61" quotePrefix="1" applyFont="1" applyFill="1" applyBorder="1" applyAlignment="1" applyProtection="1">
      <alignment horizontal="right"/>
    </xf>
    <xf numFmtId="5" fontId="9" fillId="17" borderId="10" xfId="61" applyFont="1" applyFill="1" applyBorder="1" applyAlignment="1" applyProtection="1">
      <alignment horizontal="right"/>
    </xf>
    <xf numFmtId="5" fontId="9" fillId="17" borderId="20" xfId="61" applyFont="1" applyFill="1" applyBorder="1" applyAlignment="1" applyProtection="1">
      <alignment horizontal="right"/>
    </xf>
    <xf numFmtId="5" fontId="28" fillId="17" borderId="10" xfId="61" applyFont="1" applyFill="1" applyBorder="1" applyAlignment="1" applyProtection="1">
      <alignment horizontal="right"/>
    </xf>
    <xf numFmtId="5" fontId="28" fillId="17" borderId="6" xfId="61" quotePrefix="1" applyFont="1" applyFill="1" applyBorder="1" applyAlignment="1" applyProtection="1">
      <alignment horizontal="right"/>
    </xf>
    <xf numFmtId="5" fontId="28" fillId="17" borderId="10" xfId="61" quotePrefix="1" applyNumberFormat="1" applyFont="1" applyFill="1" applyBorder="1" applyAlignment="1" applyProtection="1"/>
    <xf numFmtId="5" fontId="9" fillId="17" borderId="10" xfId="61" applyNumberFormat="1" applyFont="1" applyFill="1" applyBorder="1" applyAlignment="1" applyProtection="1">
      <alignment horizontal="right"/>
    </xf>
    <xf numFmtId="5" fontId="9" fillId="17" borderId="20" xfId="61" applyNumberFormat="1" applyFont="1" applyFill="1" applyBorder="1" applyAlignment="1" applyProtection="1">
      <alignment horizontal="right"/>
    </xf>
    <xf numFmtId="5" fontId="9" fillId="17" borderId="28" xfId="61" quotePrefix="1" applyNumberFormat="1" applyFont="1" applyFill="1" applyBorder="1" applyAlignment="1" applyProtection="1">
      <alignment horizontal="right"/>
    </xf>
    <xf numFmtId="5" fontId="28" fillId="17" borderId="1" xfId="61" quotePrefix="1" applyFont="1" applyFill="1" applyBorder="1" applyAlignment="1" applyProtection="1">
      <alignment horizontal="right"/>
    </xf>
    <xf numFmtId="5" fontId="9" fillId="17" borderId="1" xfId="61" quotePrefix="1" applyFont="1" applyFill="1" applyBorder="1" applyAlignment="1" applyProtection="1">
      <alignment horizontal="right"/>
    </xf>
    <xf numFmtId="0" fontId="9" fillId="17" borderId="20" xfId="61" applyNumberFormat="1" applyFont="1" applyFill="1" applyBorder="1" applyAlignment="1" applyProtection="1"/>
    <xf numFmtId="41" fontId="9" fillId="17" borderId="10" xfId="61" applyNumberFormat="1" applyFont="1" applyFill="1" applyBorder="1" applyProtection="1"/>
    <xf numFmtId="41" fontId="9" fillId="17" borderId="10" xfId="61" applyNumberFormat="1" applyFont="1" applyFill="1" applyBorder="1" applyAlignment="1" applyProtection="1">
      <alignment horizontal="right"/>
    </xf>
    <xf numFmtId="41" fontId="27" fillId="17" borderId="6" xfId="61" applyNumberFormat="1" applyFont="1" applyFill="1" applyBorder="1" applyAlignment="1" applyProtection="1">
      <alignment horizontal="right"/>
    </xf>
    <xf numFmtId="41" fontId="27" fillId="17" borderId="6" xfId="61" applyNumberFormat="1" applyFont="1" applyFill="1" applyBorder="1" applyProtection="1"/>
    <xf numFmtId="41" fontId="9" fillId="17" borderId="6" xfId="61" applyNumberFormat="1" applyFont="1" applyFill="1" applyBorder="1" applyProtection="1"/>
    <xf numFmtId="9" fontId="5" fillId="0" borderId="1" xfId="123" applyNumberFormat="1" applyFont="1" applyBorder="1"/>
    <xf numFmtId="5" fontId="9" fillId="17" borderId="22" xfId="61" quotePrefix="1" applyFont="1" applyFill="1" applyBorder="1" applyAlignment="1" applyProtection="1">
      <alignment horizontal="right"/>
    </xf>
    <xf numFmtId="168" fontId="9" fillId="17" borderId="21" xfId="0" applyNumberFormat="1" applyFont="1" applyFill="1" applyBorder="1" applyAlignment="1">
      <alignment horizontal="right"/>
    </xf>
    <xf numFmtId="168" fontId="5" fillId="0" borderId="1" xfId="0" applyNumberFormat="1" applyFont="1" applyBorder="1" applyAlignment="1">
      <alignment horizontal="right"/>
    </xf>
    <xf numFmtId="168" fontId="9" fillId="17" borderId="26" xfId="0" applyNumberFormat="1" applyFont="1" applyFill="1" applyBorder="1"/>
    <xf numFmtId="168" fontId="9" fillId="17" borderId="23" xfId="0" applyNumberFormat="1" applyFont="1" applyFill="1" applyBorder="1" applyAlignment="1">
      <alignment horizontal="right"/>
    </xf>
    <xf numFmtId="168" fontId="9" fillId="17" borderId="1" xfId="0" applyNumberFormat="1" applyFont="1" applyFill="1" applyBorder="1" applyAlignment="1">
      <alignment horizontal="right"/>
    </xf>
    <xf numFmtId="37" fontId="5" fillId="0" borderId="30" xfId="0" applyFont="1" applyBorder="1" applyAlignment="1">
      <alignment horizontal="right"/>
    </xf>
    <xf numFmtId="175" fontId="5" fillId="0" borderId="0" xfId="0" applyNumberFormat="1" applyFont="1" applyBorder="1"/>
    <xf numFmtId="175" fontId="5" fillId="0" borderId="1" xfId="0" applyNumberFormat="1" applyFont="1" applyBorder="1"/>
    <xf numFmtId="169" fontId="5" fillId="0" borderId="0" xfId="123" applyNumberFormat="1" applyFont="1"/>
    <xf numFmtId="37" fontId="78" fillId="29" borderId="0" xfId="0" applyFont="1" applyFill="1"/>
    <xf numFmtId="37" fontId="77" fillId="29" borderId="0" xfId="0" applyFont="1" applyFill="1"/>
    <xf numFmtId="9" fontId="5" fillId="0" borderId="10" xfId="123" applyNumberFormat="1" applyFont="1" applyBorder="1" applyAlignment="1">
      <alignment horizontal="center"/>
    </xf>
    <xf numFmtId="37" fontId="5" fillId="0" borderId="10" xfId="0" applyFont="1" applyBorder="1" applyAlignment="1">
      <alignment horizontal="left"/>
    </xf>
    <xf numFmtId="37" fontId="5" fillId="0" borderId="20" xfId="0" applyFont="1" applyBorder="1"/>
    <xf numFmtId="37" fontId="5" fillId="0" borderId="6" xfId="0" applyFont="1" applyBorder="1" applyAlignment="1">
      <alignment horizontal="right"/>
    </xf>
    <xf numFmtId="37" fontId="5" fillId="0" borderId="22" xfId="0" applyFont="1" applyBorder="1" applyAlignment="1">
      <alignment horizontal="right"/>
    </xf>
    <xf numFmtId="37" fontId="5" fillId="0" borderId="26" xfId="0" applyFont="1" applyBorder="1"/>
    <xf numFmtId="9" fontId="5" fillId="0" borderId="30" xfId="123" applyNumberFormat="1" applyFont="1" applyBorder="1"/>
    <xf numFmtId="37" fontId="9" fillId="0" borderId="20" xfId="0" applyFont="1" applyBorder="1"/>
    <xf numFmtId="37" fontId="9" fillId="0" borderId="6" xfId="0" applyFont="1" applyBorder="1" applyAlignment="1">
      <alignment horizontal="right"/>
    </xf>
    <xf numFmtId="37" fontId="9" fillId="0" borderId="22" xfId="0" applyFont="1" applyBorder="1" applyAlignment="1">
      <alignment horizontal="right"/>
    </xf>
    <xf numFmtId="37" fontId="9" fillId="0" borderId="6" xfId="0" applyFont="1" applyBorder="1"/>
    <xf numFmtId="37" fontId="15" fillId="0" borderId="0" xfId="0" applyFont="1" applyFill="1" applyBorder="1"/>
    <xf numFmtId="37" fontId="8" fillId="0" borderId="0" xfId="0" applyFont="1" applyAlignment="1">
      <alignment horizontal="right"/>
    </xf>
    <xf numFmtId="37" fontId="5" fillId="0" borderId="0" xfId="0" applyFont="1" applyAlignment="1">
      <alignment horizontal="left" indent="1"/>
    </xf>
    <xf numFmtId="37" fontId="8" fillId="0" borderId="27" xfId="0" applyFont="1" applyBorder="1" applyAlignment="1">
      <alignment horizontal="right"/>
    </xf>
    <xf numFmtId="37" fontId="5" fillId="20" borderId="18" xfId="0" applyFont="1" applyFill="1" applyBorder="1"/>
    <xf numFmtId="37" fontId="8" fillId="20" borderId="0" xfId="0" applyFont="1" applyFill="1" applyBorder="1"/>
    <xf numFmtId="37" fontId="5" fillId="20" borderId="0" xfId="0" applyFont="1" applyFill="1" applyBorder="1"/>
    <xf numFmtId="9" fontId="5" fillId="20" borderId="27" xfId="123" applyNumberFormat="1" applyFont="1" applyFill="1" applyBorder="1"/>
    <xf numFmtId="5" fontId="5" fillId="20" borderId="18" xfId="0" applyNumberFormat="1" applyFont="1" applyFill="1" applyBorder="1"/>
    <xf numFmtId="37" fontId="5" fillId="27" borderId="0" xfId="0" applyFont="1" applyFill="1"/>
    <xf numFmtId="5" fontId="8" fillId="20" borderId="0" xfId="0" applyNumberFormat="1" applyFont="1" applyFill="1" applyBorder="1"/>
    <xf numFmtId="5" fontId="5" fillId="20" borderId="0" xfId="0" applyNumberFormat="1" applyFont="1" applyFill="1" applyBorder="1"/>
    <xf numFmtId="37" fontId="5" fillId="20" borderId="26" xfId="0" applyFont="1" applyFill="1" applyBorder="1"/>
    <xf numFmtId="169" fontId="8" fillId="20" borderId="1" xfId="123" applyNumberFormat="1" applyFont="1" applyFill="1" applyBorder="1"/>
    <xf numFmtId="169" fontId="5" fillId="20" borderId="1" xfId="123" applyNumberFormat="1" applyFont="1" applyFill="1" applyBorder="1"/>
    <xf numFmtId="169" fontId="5" fillId="20" borderId="30" xfId="123" applyNumberFormat="1" applyFont="1" applyFill="1" applyBorder="1"/>
    <xf numFmtId="169" fontId="8" fillId="20" borderId="0" xfId="123" applyNumberFormat="1" applyFont="1" applyFill="1" applyBorder="1"/>
    <xf numFmtId="169" fontId="5" fillId="20" borderId="0" xfId="123" applyNumberFormat="1" applyFont="1" applyFill="1" applyBorder="1"/>
    <xf numFmtId="169" fontId="5" fillId="20" borderId="27" xfId="123" applyNumberFormat="1" applyFont="1" applyFill="1" applyBorder="1"/>
    <xf numFmtId="9" fontId="8" fillId="20" borderId="0" xfId="123" applyNumberFormat="1" applyFont="1" applyFill="1" applyBorder="1"/>
    <xf numFmtId="9" fontId="5" fillId="20" borderId="0" xfId="123" applyNumberFormat="1" applyFont="1" applyFill="1" applyBorder="1"/>
    <xf numFmtId="9" fontId="5" fillId="20" borderId="18" xfId="123" applyNumberFormat="1" applyFont="1" applyFill="1" applyBorder="1"/>
    <xf numFmtId="9" fontId="8" fillId="0" borderId="0" xfId="0" applyNumberFormat="1" applyFont="1" applyAlignment="1">
      <alignment horizontal="right"/>
    </xf>
    <xf numFmtId="5" fontId="9" fillId="0" borderId="18" xfId="61" applyNumberFormat="1" applyFont="1" applyFill="1" applyBorder="1" applyAlignment="1" applyProtection="1">
      <alignment horizontal="left"/>
    </xf>
    <xf numFmtId="5" fontId="9" fillId="0" borderId="0" xfId="0" applyNumberFormat="1" applyFont="1"/>
    <xf numFmtId="5" fontId="5" fillId="0" borderId="18" xfId="61" applyNumberFormat="1" applyFont="1" applyFill="1" applyBorder="1" applyAlignment="1" applyProtection="1">
      <alignment horizontal="left" indent="1"/>
    </xf>
    <xf numFmtId="5" fontId="26" fillId="0" borderId="0" xfId="60" quotePrefix="1" applyNumberFormat="1" applyFont="1" applyFill="1" applyBorder="1" applyAlignment="1" applyProtection="1"/>
    <xf numFmtId="5" fontId="5" fillId="0" borderId="18" xfId="61" applyNumberFormat="1" applyFont="1" applyFill="1" applyBorder="1" applyAlignment="1" applyProtection="1">
      <alignment horizontal="left"/>
    </xf>
    <xf numFmtId="41" fontId="64" fillId="0" borderId="19" xfId="60" quotePrefix="1" applyNumberFormat="1" applyFont="1" applyFill="1" applyBorder="1" applyAlignment="1" applyProtection="1">
      <alignment horizontal="right"/>
    </xf>
    <xf numFmtId="170" fontId="5" fillId="0" borderId="18" xfId="0" applyNumberFormat="1" applyFont="1" applyFill="1" applyBorder="1" applyAlignment="1" applyProtection="1">
      <alignment horizontal="left"/>
    </xf>
    <xf numFmtId="170" fontId="36" fillId="0" borderId="0" xfId="0" applyNumberFormat="1" applyFont="1" applyFill="1" applyBorder="1" applyAlignment="1" applyProtection="1">
      <alignment horizontal="right"/>
    </xf>
    <xf numFmtId="170" fontId="5" fillId="0" borderId="0" xfId="60" applyNumberFormat="1" applyFont="1"/>
    <xf numFmtId="170" fontId="5" fillId="0" borderId="0" xfId="60" applyNumberFormat="1" applyFont="1" applyFill="1"/>
    <xf numFmtId="170" fontId="5" fillId="0" borderId="19" xfId="61" quotePrefix="1" applyNumberFormat="1" applyFont="1" applyFill="1" applyBorder="1" applyAlignment="1" applyProtection="1">
      <alignment horizontal="right"/>
    </xf>
    <xf numFmtId="170" fontId="5" fillId="0" borderId="0" xfId="123" applyNumberFormat="1" applyFont="1" applyFill="1" applyBorder="1" applyAlignment="1" applyProtection="1">
      <alignment horizontal="right"/>
    </xf>
    <xf numFmtId="170" fontId="5" fillId="0" borderId="19" xfId="123" applyNumberFormat="1" applyFont="1" applyFill="1" applyBorder="1" applyAlignment="1" applyProtection="1">
      <alignment horizontal="right"/>
    </xf>
    <xf numFmtId="170" fontId="5" fillId="0" borderId="27" xfId="123" applyNumberFormat="1" applyFont="1" applyFill="1" applyBorder="1" applyAlignment="1" applyProtection="1">
      <alignment horizontal="right"/>
    </xf>
    <xf numFmtId="5" fontId="5" fillId="0" borderId="0" xfId="61" applyFont="1"/>
    <xf numFmtId="37" fontId="5" fillId="0" borderId="30" xfId="0" applyFont="1" applyBorder="1"/>
    <xf numFmtId="37" fontId="5" fillId="0" borderId="29" xfId="0" applyFont="1" applyBorder="1"/>
    <xf numFmtId="5" fontId="5" fillId="0" borderId="31" xfId="0" applyNumberFormat="1" applyFont="1" applyBorder="1"/>
    <xf numFmtId="5" fontId="15" fillId="0" borderId="27" xfId="0" applyNumberFormat="1" applyFont="1" applyBorder="1" applyAlignment="1">
      <alignment horizontal="right"/>
    </xf>
    <xf numFmtId="0" fontId="9" fillId="0" borderId="0" xfId="0" applyNumberFormat="1" applyFont="1"/>
    <xf numFmtId="37" fontId="15" fillId="0" borderId="0" xfId="0" applyFont="1" applyBorder="1" applyAlignment="1">
      <alignment horizontal="right"/>
    </xf>
    <xf numFmtId="37" fontId="15" fillId="0" borderId="27" xfId="0" applyFont="1" applyBorder="1" applyAlignment="1">
      <alignment horizontal="right"/>
    </xf>
    <xf numFmtId="169" fontId="5" fillId="0" borderId="18" xfId="123" applyFont="1" applyBorder="1" applyAlignment="1">
      <alignment horizontal="left" indent="1"/>
    </xf>
    <xf numFmtId="0" fontId="9" fillId="0" borderId="20" xfId="0" applyNumberFormat="1" applyFont="1" applyBorder="1"/>
    <xf numFmtId="0" fontId="9" fillId="0" borderId="6" xfId="0" applyNumberFormat="1" applyFont="1" applyBorder="1"/>
    <xf numFmtId="0" fontId="9" fillId="0" borderId="6" xfId="0" applyNumberFormat="1" applyFont="1" applyBorder="1" applyAlignment="1">
      <alignment horizontal="right"/>
    </xf>
    <xf numFmtId="0" fontId="9" fillId="0" borderId="22" xfId="0" applyNumberFormat="1" applyFont="1" applyBorder="1" applyAlignment="1">
      <alignment horizontal="right"/>
    </xf>
    <xf numFmtId="172" fontId="9" fillId="0" borderId="18" xfId="123" applyNumberFormat="1" applyFont="1" applyBorder="1" applyAlignment="1">
      <alignment horizontal="left"/>
    </xf>
    <xf numFmtId="172" fontId="9" fillId="0" borderId="0" xfId="123" applyNumberFormat="1" applyFont="1"/>
    <xf numFmtId="172" fontId="9" fillId="0" borderId="0" xfId="123" applyNumberFormat="1" applyFont="1" applyBorder="1"/>
    <xf numFmtId="172" fontId="9" fillId="0" borderId="27" xfId="123" applyNumberFormat="1" applyFont="1" applyBorder="1"/>
    <xf numFmtId="5" fontId="9" fillId="0" borderId="18" xfId="0" applyNumberFormat="1" applyFont="1" applyFill="1" applyBorder="1" applyAlignment="1" applyProtection="1">
      <alignment horizontal="left"/>
    </xf>
    <xf numFmtId="5" fontId="9" fillId="0" borderId="19" xfId="61" quotePrefix="1" applyNumberFormat="1" applyFont="1" applyFill="1" applyBorder="1" applyAlignment="1" applyProtection="1">
      <alignment horizontal="right"/>
    </xf>
    <xf numFmtId="5" fontId="9" fillId="0" borderId="0" xfId="61" quotePrefix="1" applyNumberFormat="1" applyFont="1" applyFill="1" applyBorder="1" applyAlignment="1" applyProtection="1">
      <alignment horizontal="right"/>
    </xf>
    <xf numFmtId="5" fontId="9" fillId="0" borderId="27" xfId="61" quotePrefix="1" applyNumberFormat="1" applyFont="1" applyFill="1" applyBorder="1" applyAlignment="1" applyProtection="1">
      <alignment horizontal="right"/>
    </xf>
    <xf numFmtId="41" fontId="5" fillId="0" borderId="1" xfId="60" applyNumberFormat="1" applyFont="1" applyFill="1" applyBorder="1" applyProtection="1"/>
    <xf numFmtId="41" fontId="5" fillId="0" borderId="1" xfId="123" quotePrefix="1" applyNumberFormat="1" applyFont="1" applyFill="1" applyBorder="1" applyAlignment="1" applyProtection="1"/>
    <xf numFmtId="169" fontId="25" fillId="0" borderId="28" xfId="123" applyFont="1" applyFill="1" applyBorder="1" applyAlignment="1" applyProtection="1">
      <alignment horizontal="right"/>
    </xf>
    <xf numFmtId="0" fontId="9" fillId="17" borderId="1" xfId="0" quotePrefix="1" applyNumberFormat="1" applyFont="1" applyFill="1" applyBorder="1" applyAlignment="1" applyProtection="1">
      <alignment horizontal="right"/>
    </xf>
    <xf numFmtId="41" fontId="9" fillId="0" borderId="28" xfId="0" quotePrefix="1" applyNumberFormat="1" applyFont="1" applyFill="1" applyBorder="1" applyAlignment="1" applyProtection="1">
      <alignment horizontal="right"/>
    </xf>
    <xf numFmtId="183" fontId="5" fillId="0" borderId="1" xfId="60" quotePrefix="1" applyNumberFormat="1" applyFont="1" applyFill="1" applyBorder="1" applyAlignment="1" applyProtection="1"/>
    <xf numFmtId="0" fontId="5" fillId="0" borderId="26" xfId="114" applyFont="1" applyBorder="1"/>
    <xf numFmtId="5" fontId="5" fillId="0" borderId="1" xfId="108" applyNumberFormat="1" applyFont="1" applyFill="1" applyBorder="1" applyAlignment="1">
      <alignment horizontal="center"/>
    </xf>
    <xf numFmtId="5" fontId="5" fillId="0" borderId="30" xfId="108" applyNumberFormat="1" applyFont="1" applyFill="1" applyBorder="1" applyAlignment="1">
      <alignment horizontal="center"/>
    </xf>
    <xf numFmtId="7" fontId="5" fillId="0" borderId="0" xfId="108" applyNumberFormat="1" applyFont="1"/>
    <xf numFmtId="7" fontId="9" fillId="0" borderId="0" xfId="108" applyNumberFormat="1" applyFont="1"/>
    <xf numFmtId="7" fontId="5" fillId="0" borderId="0" xfId="108" applyNumberFormat="1" applyFont="1" applyBorder="1"/>
    <xf numFmtId="184" fontId="5" fillId="0" borderId="0" xfId="108" applyNumberFormat="1" applyFont="1"/>
    <xf numFmtId="5" fontId="5" fillId="0" borderId="0" xfId="108" applyNumberFormat="1" applyFont="1" applyBorder="1"/>
    <xf numFmtId="5" fontId="9" fillId="17" borderId="22" xfId="0" applyNumberFormat="1" applyFont="1" applyFill="1" applyBorder="1" applyProtection="1"/>
    <xf numFmtId="5" fontId="9" fillId="17" borderId="22" xfId="61" quotePrefix="1" applyNumberFormat="1" applyFont="1" applyFill="1" applyBorder="1" applyAlignment="1" applyProtection="1">
      <alignment horizontal="right"/>
    </xf>
    <xf numFmtId="169" fontId="25" fillId="0" borderId="1" xfId="123" applyFont="1" applyFill="1" applyBorder="1"/>
    <xf numFmtId="169" fontId="25" fillId="0" borderId="30" xfId="123" applyFont="1" applyFill="1" applyBorder="1"/>
    <xf numFmtId="169" fontId="5" fillId="0" borderId="18" xfId="0" applyNumberFormat="1" applyFont="1" applyBorder="1"/>
    <xf numFmtId="169" fontId="5" fillId="0" borderId="27" xfId="0" applyNumberFormat="1" applyFont="1" applyBorder="1"/>
    <xf numFmtId="170" fontId="79" fillId="0" borderId="0" xfId="108" applyNumberFormat="1" applyFont="1"/>
    <xf numFmtId="9" fontId="5" fillId="0" borderId="1" xfId="123" applyNumberFormat="1" applyFont="1" applyBorder="1" applyAlignment="1">
      <alignment horizontal="right"/>
    </xf>
    <xf numFmtId="41" fontId="64" fillId="0" borderId="0" xfId="60" applyNumberFormat="1" applyFont="1" applyFill="1" applyBorder="1"/>
    <xf numFmtId="7" fontId="9" fillId="17" borderId="30" xfId="61" quotePrefix="1" applyNumberFormat="1" applyFont="1" applyFill="1" applyBorder="1" applyAlignment="1" applyProtection="1">
      <alignment horizontal="right"/>
    </xf>
    <xf numFmtId="169" fontId="36" fillId="0" borderId="0" xfId="0" applyNumberFormat="1" applyFont="1" applyFill="1" applyBorder="1" applyAlignment="1" applyProtection="1">
      <alignment horizontal="right"/>
    </xf>
    <xf numFmtId="37" fontId="44" fillId="0" borderId="0" xfId="60" quotePrefix="1" applyFont="1" applyFill="1" applyBorder="1" applyAlignment="1" applyProtection="1"/>
    <xf numFmtId="0" fontId="5" fillId="0" borderId="29" xfId="60" applyNumberFormat="1" applyFont="1" applyFill="1" applyBorder="1" applyAlignment="1" applyProtection="1">
      <alignment horizontal="left"/>
    </xf>
    <xf numFmtId="37" fontId="5" fillId="0" borderId="31" xfId="0" applyFont="1" applyBorder="1"/>
    <xf numFmtId="169" fontId="5" fillId="0" borderId="26" xfId="123" applyFont="1" applyBorder="1" applyAlignment="1">
      <alignment horizontal="left" indent="1"/>
    </xf>
    <xf numFmtId="169" fontId="5" fillId="0" borderId="30" xfId="123" applyFont="1" applyBorder="1"/>
    <xf numFmtId="0" fontId="9" fillId="0" borderId="0" xfId="110" applyNumberFormat="1" applyFont="1" applyFill="1" applyBorder="1" applyAlignment="1" applyProtection="1"/>
    <xf numFmtId="37" fontId="5" fillId="0" borderId="0" xfId="110" applyFont="1"/>
    <xf numFmtId="0" fontId="5" fillId="0" borderId="0" xfId="110" applyNumberFormat="1" applyFont="1" applyFill="1" applyBorder="1" applyAlignment="1" applyProtection="1"/>
    <xf numFmtId="37" fontId="41" fillId="0" borderId="0" xfId="110" applyFont="1"/>
    <xf numFmtId="37" fontId="9" fillId="0" borderId="1" xfId="110" applyFont="1" applyBorder="1"/>
    <xf numFmtId="37" fontId="28" fillId="0" borderId="1" xfId="110" applyFont="1" applyBorder="1" applyAlignment="1">
      <alignment horizontal="right"/>
    </xf>
    <xf numFmtId="168" fontId="9" fillId="0" borderId="1" xfId="110" applyNumberFormat="1" applyFont="1" applyBorder="1" applyAlignment="1">
      <alignment horizontal="right"/>
    </xf>
    <xf numFmtId="0" fontId="9" fillId="0" borderId="0" xfId="108" applyFont="1" applyBorder="1" applyAlignment="1">
      <alignment horizontal="right"/>
    </xf>
    <xf numFmtId="37" fontId="25" fillId="0" borderId="0" xfId="110" applyFont="1"/>
    <xf numFmtId="9" fontId="25" fillId="0" borderId="0" xfId="127" applyFont="1"/>
    <xf numFmtId="7" fontId="5" fillId="0" borderId="0" xfId="110" applyNumberFormat="1" applyFont="1"/>
    <xf numFmtId="37" fontId="9" fillId="0" borderId="0" xfId="110" applyFont="1"/>
    <xf numFmtId="37" fontId="5" fillId="0" borderId="1" xfId="110" applyFont="1" applyBorder="1"/>
    <xf numFmtId="175" fontId="5" fillId="0" borderId="0" xfId="110" applyNumberFormat="1" applyFont="1"/>
    <xf numFmtId="5" fontId="9" fillId="0" borderId="0" xfId="108" applyNumberFormat="1" applyFont="1" applyBorder="1"/>
    <xf numFmtId="41" fontId="7" fillId="0" borderId="0" xfId="108" applyNumberFormat="1" applyFont="1" applyBorder="1"/>
    <xf numFmtId="41" fontId="5" fillId="0" borderId="0" xfId="108" applyNumberFormat="1" applyFont="1" applyBorder="1"/>
    <xf numFmtId="41" fontId="8" fillId="0" borderId="0" xfId="108" applyNumberFormat="1" applyFont="1" applyFill="1" applyBorder="1"/>
    <xf numFmtId="41" fontId="41" fillId="0" borderId="0" xfId="108" applyNumberFormat="1" applyFont="1" applyBorder="1"/>
    <xf numFmtId="184" fontId="8" fillId="0" borderId="0" xfId="108" applyNumberFormat="1" applyFont="1" applyFill="1" applyBorder="1"/>
    <xf numFmtId="5" fontId="9" fillId="17" borderId="0" xfId="68" applyNumberFormat="1" applyFont="1" applyFill="1" applyBorder="1"/>
    <xf numFmtId="5" fontId="5" fillId="0" borderId="18" xfId="108" applyNumberFormat="1" applyFont="1" applyBorder="1"/>
    <xf numFmtId="5" fontId="5" fillId="0" borderId="27" xfId="108" applyNumberFormat="1" applyFont="1" applyBorder="1"/>
    <xf numFmtId="0" fontId="5" fillId="0" borderId="27" xfId="108" applyFont="1" applyBorder="1"/>
    <xf numFmtId="0" fontId="5" fillId="0" borderId="18" xfId="108" applyFont="1" applyBorder="1" applyAlignment="1">
      <alignment horizontal="left"/>
    </xf>
    <xf numFmtId="184" fontId="5" fillId="0" borderId="30" xfId="108" applyNumberFormat="1" applyFont="1" applyFill="1" applyBorder="1"/>
    <xf numFmtId="175" fontId="8" fillId="0" borderId="0" xfId="108" applyNumberFormat="1" applyFont="1" applyBorder="1" applyAlignment="1">
      <alignment horizontal="right"/>
    </xf>
    <xf numFmtId="9" fontId="9" fillId="17" borderId="0" xfId="123" applyNumberFormat="1" applyFont="1" applyFill="1" applyBorder="1"/>
    <xf numFmtId="9" fontId="9" fillId="17" borderId="27" xfId="123" applyNumberFormat="1" applyFont="1" applyFill="1" applyBorder="1"/>
    <xf numFmtId="37" fontId="5" fillId="0" borderId="32" xfId="0" applyFont="1" applyBorder="1"/>
    <xf numFmtId="37" fontId="5" fillId="0" borderId="33" xfId="0" applyFont="1" applyBorder="1"/>
    <xf numFmtId="9" fontId="9" fillId="17" borderId="33" xfId="123" applyNumberFormat="1" applyFont="1" applyFill="1" applyBorder="1"/>
    <xf numFmtId="9" fontId="5" fillId="0" borderId="33" xfId="123" applyNumberFormat="1" applyFont="1" applyBorder="1"/>
    <xf numFmtId="9" fontId="9" fillId="17" borderId="34" xfId="123" applyNumberFormat="1" applyFont="1" applyFill="1" applyBorder="1"/>
    <xf numFmtId="9" fontId="5" fillId="0" borderId="34" xfId="123" applyNumberFormat="1" applyFont="1" applyBorder="1"/>
    <xf numFmtId="41" fontId="64" fillId="0" borderId="19" xfId="61" applyNumberFormat="1" applyFont="1" applyFill="1" applyBorder="1" applyProtection="1"/>
    <xf numFmtId="5" fontId="28" fillId="0" borderId="19" xfId="60" quotePrefix="1" applyNumberFormat="1" applyFont="1" applyFill="1" applyBorder="1" applyAlignment="1" applyProtection="1">
      <alignment horizontal="right"/>
    </xf>
    <xf numFmtId="5" fontId="28" fillId="0" borderId="0" xfId="60" quotePrefix="1" applyNumberFormat="1" applyFont="1" applyFill="1" applyBorder="1" applyAlignment="1" applyProtection="1">
      <alignment horizontal="right"/>
    </xf>
    <xf numFmtId="37" fontId="5" fillId="0" borderId="10" xfId="0" applyFont="1" applyBorder="1" applyAlignment="1">
      <alignment horizontal="left" wrapText="1"/>
    </xf>
    <xf numFmtId="37" fontId="78" fillId="29" borderId="0" xfId="0" applyFont="1" applyFill="1" applyAlignment="1">
      <alignment horizontal="left"/>
    </xf>
    <xf numFmtId="5" fontId="5" fillId="0" borderId="18" xfId="0" applyNumberFormat="1" applyFont="1" applyFill="1" applyBorder="1" applyAlignment="1" applyProtection="1">
      <alignment horizontal="left"/>
    </xf>
    <xf numFmtId="0" fontId="25" fillId="0" borderId="18" xfId="0" applyNumberFormat="1" applyFont="1" applyBorder="1" applyAlignment="1">
      <alignment horizontal="left" indent="1"/>
    </xf>
    <xf numFmtId="0" fontId="9" fillId="0" borderId="0" xfId="0" applyNumberFormat="1" applyFont="1" applyAlignment="1">
      <alignment horizontal="right"/>
    </xf>
    <xf numFmtId="175" fontId="5" fillId="0" borderId="27" xfId="0" applyNumberFormat="1" applyFont="1" applyBorder="1"/>
    <xf numFmtId="170" fontId="5" fillId="0" borderId="18" xfId="0" applyNumberFormat="1" applyFont="1" applyBorder="1"/>
    <xf numFmtId="170" fontId="5" fillId="0" borderId="27" xfId="0" applyNumberFormat="1" applyFont="1" applyBorder="1"/>
    <xf numFmtId="175" fontId="5" fillId="0" borderId="30" xfId="0" applyNumberFormat="1" applyFont="1" applyBorder="1"/>
    <xf numFmtId="7" fontId="5" fillId="0" borderId="0" xfId="0" applyNumberFormat="1" applyFont="1" applyBorder="1"/>
    <xf numFmtId="7" fontId="5" fillId="0" borderId="27" xfId="0" applyNumberFormat="1" applyFont="1" applyBorder="1"/>
    <xf numFmtId="5" fontId="5" fillId="0" borderId="0" xfId="0" applyNumberFormat="1" applyFont="1" applyBorder="1" applyAlignment="1">
      <alignment horizontal="right"/>
    </xf>
    <xf numFmtId="5" fontId="5" fillId="0" borderId="27" xfId="0" applyNumberFormat="1" applyFont="1" applyBorder="1" applyAlignment="1">
      <alignment horizontal="right"/>
    </xf>
    <xf numFmtId="175" fontId="9" fillId="0" borderId="0" xfId="0" applyNumberFormat="1" applyFont="1" applyBorder="1"/>
    <xf numFmtId="175" fontId="9" fillId="0" borderId="27" xfId="0" applyNumberFormat="1" applyFont="1" applyBorder="1"/>
    <xf numFmtId="37" fontId="25" fillId="0" borderId="19" xfId="0" applyNumberFormat="1" applyFont="1" applyBorder="1"/>
    <xf numFmtId="37" fontId="45" fillId="0" borderId="19" xfId="0" applyNumberFormat="1" applyFont="1" applyBorder="1"/>
    <xf numFmtId="170" fontId="5" fillId="0" borderId="0" xfId="60" applyNumberFormat="1" applyFont="1" applyBorder="1"/>
    <xf numFmtId="170" fontId="5" fillId="0" borderId="0" xfId="60" applyNumberFormat="1" applyFont="1" applyFill="1" applyBorder="1"/>
    <xf numFmtId="0" fontId="44" fillId="0" borderId="26" xfId="0" applyNumberFormat="1" applyFont="1" applyFill="1" applyBorder="1" applyAlignment="1" applyProtection="1">
      <alignment horizontal="left" indent="1"/>
    </xf>
    <xf numFmtId="7" fontId="9" fillId="0" borderId="20" xfId="108" applyNumberFormat="1" applyFont="1" applyBorder="1"/>
    <xf numFmtId="7" fontId="80" fillId="0" borderId="6" xfId="108" applyNumberFormat="1" applyFont="1" applyBorder="1"/>
    <xf numFmtId="7" fontId="9" fillId="0" borderId="6" xfId="108" applyNumberFormat="1" applyFont="1" applyBorder="1"/>
    <xf numFmtId="7" fontId="80" fillId="0" borderId="22" xfId="108" applyNumberFormat="1" applyFont="1" applyBorder="1"/>
    <xf numFmtId="0" fontId="9" fillId="0" borderId="18" xfId="108" applyFont="1" applyBorder="1" applyAlignment="1">
      <alignment horizontal="left"/>
    </xf>
    <xf numFmtId="188" fontId="9" fillId="0" borderId="0" xfId="108" applyNumberFormat="1" applyFont="1" applyBorder="1"/>
    <xf numFmtId="188" fontId="9" fillId="0" borderId="27" xfId="108" applyNumberFormat="1" applyFont="1" applyBorder="1"/>
    <xf numFmtId="169" fontId="9" fillId="0" borderId="0" xfId="108" applyNumberFormat="1" applyFont="1" applyBorder="1"/>
    <xf numFmtId="169" fontId="9" fillId="0" borderId="27" xfId="108" applyNumberFormat="1" applyFont="1" applyBorder="1"/>
    <xf numFmtId="0" fontId="9" fillId="0" borderId="26" xfId="108" applyFont="1" applyBorder="1" applyAlignment="1">
      <alignment horizontal="left"/>
    </xf>
    <xf numFmtId="169" fontId="9" fillId="0" borderId="1" xfId="108" applyNumberFormat="1" applyFont="1" applyBorder="1"/>
    <xf numFmtId="169" fontId="9" fillId="0" borderId="30" xfId="108" applyNumberFormat="1" applyFont="1" applyBorder="1"/>
    <xf numFmtId="41" fontId="36" fillId="0" borderId="19" xfId="123" quotePrefix="1" applyNumberFormat="1" applyFont="1" applyFill="1" applyBorder="1" applyAlignment="1" applyProtection="1"/>
    <xf numFmtId="0" fontId="25" fillId="0" borderId="18" xfId="0" applyNumberFormat="1" applyFont="1" applyBorder="1" applyAlignment="1">
      <alignment horizontal="left"/>
    </xf>
    <xf numFmtId="7" fontId="5" fillId="0" borderId="0" xfId="61" applyNumberFormat="1" applyFont="1" applyAlignment="1">
      <alignment horizontal="left"/>
    </xf>
    <xf numFmtId="37" fontId="5" fillId="0" borderId="0" xfId="110" applyFont="1" applyAlignment="1">
      <alignment horizontal="right"/>
    </xf>
    <xf numFmtId="37" fontId="5" fillId="0" borderId="23" xfId="0" applyFont="1" applyBorder="1" applyAlignment="1">
      <alignment horizontal="right"/>
    </xf>
    <xf numFmtId="169" fontId="9" fillId="0" borderId="0" xfId="123" applyFont="1"/>
    <xf numFmtId="168" fontId="9" fillId="0" borderId="0" xfId="60" applyNumberFormat="1" applyFont="1" applyAlignment="1">
      <alignment horizontal="right"/>
    </xf>
    <xf numFmtId="10" fontId="5" fillId="0" borderId="0" xfId="0" applyNumberFormat="1" applyFont="1"/>
    <xf numFmtId="37" fontId="5" fillId="0" borderId="1" xfId="0" applyFont="1" applyBorder="1" applyAlignment="1">
      <alignment horizontal="left"/>
    </xf>
    <xf numFmtId="168" fontId="5" fillId="0" borderId="23" xfId="0" applyNumberFormat="1" applyFont="1" applyBorder="1" applyAlignment="1">
      <alignment horizontal="right"/>
    </xf>
    <xf numFmtId="37" fontId="9" fillId="0" borderId="0" xfId="0" applyFont="1" applyAlignment="1">
      <alignment horizontal="left"/>
    </xf>
    <xf numFmtId="169" fontId="5" fillId="0" borderId="0" xfId="123" applyFont="1" applyAlignment="1">
      <alignment horizontal="right"/>
    </xf>
    <xf numFmtId="169" fontId="5" fillId="0" borderId="19" xfId="123" applyFont="1" applyBorder="1" applyAlignment="1">
      <alignment horizontal="right"/>
    </xf>
    <xf numFmtId="37" fontId="25" fillId="0" borderId="1" xfId="0" applyFont="1" applyBorder="1" applyAlignment="1">
      <alignment horizontal="left"/>
    </xf>
    <xf numFmtId="169" fontId="25" fillId="0" borderId="1" xfId="123" applyFont="1" applyBorder="1" applyAlignment="1">
      <alignment horizontal="right"/>
    </xf>
    <xf numFmtId="169" fontId="25" fillId="0" borderId="23" xfId="123" applyFont="1" applyBorder="1" applyAlignment="1">
      <alignment horizontal="right"/>
    </xf>
    <xf numFmtId="37" fontId="25" fillId="0" borderId="35" xfId="0" applyFont="1" applyBorder="1" applyAlignment="1">
      <alignment horizontal="left"/>
    </xf>
    <xf numFmtId="37" fontId="5" fillId="0" borderId="35" xfId="0" applyFont="1" applyBorder="1"/>
    <xf numFmtId="37" fontId="5" fillId="0" borderId="36" xfId="0" applyFont="1" applyBorder="1"/>
    <xf numFmtId="169" fontId="25" fillId="0" borderId="35" xfId="123" applyFont="1" applyBorder="1"/>
    <xf numFmtId="37" fontId="25" fillId="0" borderId="0" xfId="0" applyFont="1" applyBorder="1" applyAlignment="1">
      <alignment horizontal="left"/>
    </xf>
    <xf numFmtId="168" fontId="9" fillId="0" borderId="21" xfId="60" applyNumberFormat="1" applyFont="1" applyBorder="1" applyAlignment="1">
      <alignment horizontal="right"/>
    </xf>
    <xf numFmtId="169" fontId="5" fillId="0" borderId="19" xfId="123" quotePrefix="1" applyFont="1" applyFill="1" applyBorder="1" applyAlignment="1" applyProtection="1">
      <alignment horizontal="right"/>
    </xf>
    <xf numFmtId="37" fontId="7" fillId="0" borderId="0" xfId="108" applyNumberFormat="1" applyFont="1"/>
    <xf numFmtId="10" fontId="25" fillId="0" borderId="26" xfId="60" applyNumberFormat="1" applyFont="1" applyFill="1" applyBorder="1" applyAlignment="1" applyProtection="1">
      <alignment horizontal="left" indent="1"/>
    </xf>
    <xf numFmtId="10" fontId="25" fillId="0" borderId="1" xfId="123" quotePrefix="1" applyNumberFormat="1" applyFont="1" applyFill="1" applyBorder="1" applyAlignment="1" applyProtection="1"/>
    <xf numFmtId="10" fontId="25" fillId="0" borderId="0" xfId="123" quotePrefix="1" applyNumberFormat="1" applyFont="1" applyFill="1" applyBorder="1" applyAlignment="1" applyProtection="1"/>
    <xf numFmtId="10" fontId="25" fillId="0" borderId="30" xfId="123" quotePrefix="1" applyNumberFormat="1" applyFont="1" applyFill="1" applyBorder="1" applyAlignment="1" applyProtection="1"/>
    <xf numFmtId="10" fontId="25" fillId="0" borderId="0" xfId="0" applyNumberFormat="1" applyFont="1" applyFill="1" applyBorder="1"/>
    <xf numFmtId="10" fontId="5" fillId="0" borderId="0" xfId="60" applyNumberFormat="1" applyFont="1" applyFill="1"/>
    <xf numFmtId="185" fontId="36" fillId="0" borderId="19" xfId="0" applyNumberFormat="1" applyFont="1" applyFill="1" applyBorder="1" applyAlignment="1" applyProtection="1">
      <alignment horizontal="right"/>
    </xf>
    <xf numFmtId="186" fontId="76" fillId="0" borderId="27" xfId="0" applyNumberFormat="1" applyFont="1" applyFill="1" applyBorder="1"/>
    <xf numFmtId="186" fontId="76" fillId="0" borderId="0" xfId="0" applyNumberFormat="1" applyFont="1" applyFill="1" applyBorder="1"/>
    <xf numFmtId="186" fontId="76" fillId="0" borderId="19" xfId="0" applyNumberFormat="1" applyFont="1" applyFill="1" applyBorder="1"/>
    <xf numFmtId="186" fontId="1" fillId="0" borderId="27" xfId="0" applyNumberFormat="1" applyFont="1" applyFill="1" applyBorder="1"/>
    <xf numFmtId="186" fontId="1" fillId="0" borderId="0" xfId="0" applyNumberFormat="1" applyFont="1" applyFill="1" applyBorder="1"/>
    <xf numFmtId="186" fontId="1" fillId="0" borderId="19" xfId="0" applyNumberFormat="1" applyFont="1" applyFill="1" applyBorder="1"/>
    <xf numFmtId="41" fontId="84" fillId="0" borderId="19" xfId="60" quotePrefix="1" applyNumberFormat="1" applyFont="1" applyFill="1" applyBorder="1" applyAlignment="1" applyProtection="1">
      <alignment horizontal="right"/>
    </xf>
    <xf numFmtId="169" fontId="43" fillId="0" borderId="27" xfId="123" quotePrefix="1" applyNumberFormat="1" applyFont="1" applyFill="1" applyBorder="1" applyAlignment="1" applyProtection="1"/>
    <xf numFmtId="41" fontId="8" fillId="0" borderId="30" xfId="60" quotePrefix="1" applyNumberFormat="1" applyFont="1" applyFill="1" applyBorder="1" applyAlignment="1" applyProtection="1"/>
    <xf numFmtId="41" fontId="8" fillId="0" borderId="23" xfId="60" quotePrefix="1" applyNumberFormat="1" applyFont="1" applyFill="1" applyBorder="1" applyAlignment="1" applyProtection="1"/>
    <xf numFmtId="41" fontId="8" fillId="0" borderId="27" xfId="60" quotePrefix="1" applyNumberFormat="1" applyFont="1" applyFill="1" applyBorder="1" applyAlignment="1" applyProtection="1"/>
    <xf numFmtId="37" fontId="9" fillId="0" borderId="37" xfId="0" applyFont="1" applyBorder="1" applyAlignment="1">
      <alignment horizontal="centerContinuous"/>
    </xf>
    <xf numFmtId="37" fontId="9" fillId="0" borderId="38" xfId="0" applyFont="1" applyBorder="1"/>
    <xf numFmtId="37" fontId="1" fillId="0" borderId="39" xfId="0" applyFont="1" applyBorder="1" applyAlignment="1">
      <alignment horizontal="centerContinuous"/>
    </xf>
    <xf numFmtId="9" fontId="9" fillId="0" borderId="40" xfId="0" applyNumberFormat="1" applyFont="1" applyFill="1" applyBorder="1" applyAlignment="1">
      <alignment horizontal="left" vertical="top" wrapText="1"/>
    </xf>
    <xf numFmtId="37" fontId="9" fillId="0" borderId="41" xfId="0" applyFont="1" applyFill="1" applyBorder="1" applyAlignment="1">
      <alignment vertical="top" wrapText="1"/>
    </xf>
    <xf numFmtId="37" fontId="1" fillId="0" borderId="0" xfId="0" applyFont="1" applyFill="1" applyAlignment="1">
      <alignment vertical="top" wrapText="1"/>
    </xf>
    <xf numFmtId="196" fontId="5" fillId="0" borderId="0" xfId="0" applyNumberFormat="1" applyFont="1"/>
    <xf numFmtId="37" fontId="1" fillId="0" borderId="42" xfId="0" applyFont="1" applyFill="1" applyBorder="1" applyAlignment="1">
      <alignment vertical="top" wrapText="1"/>
    </xf>
    <xf numFmtId="37" fontId="1" fillId="0" borderId="43" xfId="0" applyFont="1" applyFill="1" applyBorder="1" applyAlignment="1">
      <alignment vertical="top" wrapText="1"/>
    </xf>
    <xf numFmtId="37" fontId="9" fillId="0" borderId="39" xfId="0" applyFont="1" applyBorder="1"/>
    <xf numFmtId="191" fontId="5" fillId="0" borderId="0" xfId="0" applyNumberFormat="1" applyFont="1"/>
    <xf numFmtId="197" fontId="5" fillId="0" borderId="0" xfId="0" applyNumberFormat="1" applyFont="1"/>
    <xf numFmtId="37" fontId="1" fillId="0" borderId="0" xfId="0" applyFont="1"/>
    <xf numFmtId="37" fontId="1" fillId="0" borderId="1" xfId="0" applyFont="1" applyBorder="1"/>
    <xf numFmtId="168" fontId="5" fillId="0" borderId="1" xfId="0" applyNumberFormat="1" applyFont="1" applyBorder="1"/>
    <xf numFmtId="168" fontId="1" fillId="0" borderId="1" xfId="0" applyNumberFormat="1" applyFont="1" applyBorder="1" applyAlignment="1">
      <alignment horizontal="right"/>
    </xf>
    <xf numFmtId="9" fontId="5" fillId="0" borderId="0" xfId="0" applyNumberFormat="1" applyFont="1"/>
    <xf numFmtId="9" fontId="5" fillId="0" borderId="1" xfId="0" applyNumberFormat="1" applyFont="1" applyBorder="1"/>
    <xf numFmtId="37" fontId="1" fillId="0" borderId="0" xfId="0" quotePrefix="1" applyFont="1"/>
    <xf numFmtId="37" fontId="1" fillId="0" borderId="0" xfId="0" quotePrefix="1" applyFont="1" applyAlignment="1">
      <alignment horizontal="right"/>
    </xf>
    <xf numFmtId="168" fontId="9" fillId="0" borderId="1" xfId="0" applyNumberFormat="1" applyFont="1" applyBorder="1"/>
    <xf numFmtId="37" fontId="1" fillId="0" borderId="28" xfId="0" applyFont="1" applyBorder="1"/>
    <xf numFmtId="9" fontId="25" fillId="0" borderId="1" xfId="123" applyNumberFormat="1" applyFont="1" applyBorder="1"/>
    <xf numFmtId="37" fontId="1" fillId="30" borderId="0" xfId="0" applyFont="1" applyFill="1"/>
    <xf numFmtId="37" fontId="5" fillId="30" borderId="0" xfId="0" applyFont="1" applyFill="1"/>
    <xf numFmtId="9" fontId="25" fillId="30" borderId="1" xfId="123" applyNumberFormat="1" applyFont="1" applyFill="1" applyBorder="1"/>
    <xf numFmtId="37" fontId="5" fillId="30" borderId="1" xfId="0" applyFont="1" applyFill="1" applyBorder="1"/>
    <xf numFmtId="37" fontId="1" fillId="30" borderId="0" xfId="0" applyFont="1" applyFill="1" applyBorder="1"/>
    <xf numFmtId="37" fontId="5" fillId="30" borderId="0" xfId="0" applyFont="1" applyFill="1" applyBorder="1"/>
    <xf numFmtId="9" fontId="5" fillId="30" borderId="0" xfId="0" applyNumberFormat="1" applyFont="1" applyFill="1"/>
    <xf numFmtId="37" fontId="1" fillId="0" borderId="0" xfId="0" applyFont="1" applyFill="1" applyBorder="1"/>
    <xf numFmtId="9" fontId="25" fillId="0" borderId="1" xfId="123" applyNumberFormat="1" applyFont="1" applyFill="1" applyBorder="1"/>
    <xf numFmtId="9" fontId="5" fillId="30" borderId="1" xfId="123" applyNumberFormat="1" applyFont="1" applyFill="1" applyBorder="1"/>
    <xf numFmtId="168" fontId="9" fillId="0" borderId="1" xfId="0" applyNumberFormat="1" applyFont="1" applyBorder="1" applyAlignment="1">
      <alignment horizontal="right"/>
    </xf>
    <xf numFmtId="37" fontId="1" fillId="30" borderId="28" xfId="0" applyFont="1" applyFill="1" applyBorder="1"/>
    <xf numFmtId="5" fontId="5" fillId="30" borderId="28" xfId="0" applyNumberFormat="1" applyFont="1" applyFill="1" applyBorder="1"/>
    <xf numFmtId="37" fontId="5" fillId="30" borderId="28" xfId="0" applyNumberFormat="1" applyFont="1" applyFill="1" applyBorder="1"/>
    <xf numFmtId="37" fontId="1" fillId="0" borderId="28" xfId="0" applyFont="1" applyFill="1" applyBorder="1"/>
    <xf numFmtId="5" fontId="5" fillId="0" borderId="28" xfId="0" applyNumberFormat="1" applyFont="1" applyFill="1" applyBorder="1"/>
    <xf numFmtId="37" fontId="5" fillId="0" borderId="28" xfId="0" applyNumberFormat="1" applyFont="1" applyFill="1" applyBorder="1"/>
    <xf numFmtId="168" fontId="9" fillId="0" borderId="1" xfId="0" applyNumberFormat="1" applyFont="1" applyBorder="1" applyAlignment="1">
      <alignment horizontal="right" wrapText="1"/>
    </xf>
    <xf numFmtId="37" fontId="5" fillId="0" borderId="1" xfId="0" applyNumberFormat="1" applyFont="1" applyBorder="1"/>
    <xf numFmtId="37" fontId="5" fillId="30" borderId="0" xfId="0" applyNumberFormat="1" applyFont="1" applyFill="1" applyBorder="1"/>
    <xf numFmtId="37" fontId="25" fillId="30" borderId="1" xfId="123" applyNumberFormat="1" applyFont="1" applyFill="1" applyBorder="1"/>
    <xf numFmtId="169" fontId="25" fillId="30" borderId="1" xfId="123" applyFont="1" applyFill="1" applyBorder="1"/>
    <xf numFmtId="198" fontId="5" fillId="0" borderId="0" xfId="0" applyNumberFormat="1" applyFont="1"/>
    <xf numFmtId="5" fontId="5" fillId="0" borderId="0" xfId="0" applyNumberFormat="1" applyFont="1" applyAlignment="1">
      <alignment horizontal="right"/>
    </xf>
    <xf numFmtId="169" fontId="5" fillId="0" borderId="0" xfId="0" applyNumberFormat="1" applyFont="1" applyAlignment="1">
      <alignment horizontal="right"/>
    </xf>
    <xf numFmtId="0" fontId="5" fillId="0" borderId="0" xfId="0" applyNumberFormat="1" applyFont="1" applyAlignment="1">
      <alignment horizontal="right"/>
    </xf>
    <xf numFmtId="37" fontId="9" fillId="0" borderId="1" xfId="0" quotePrefix="1" applyFont="1" applyBorder="1" applyAlignment="1">
      <alignment horizontal="right" wrapText="1"/>
    </xf>
    <xf numFmtId="168" fontId="1" fillId="0" borderId="1" xfId="0" applyNumberFormat="1" applyFont="1" applyBorder="1"/>
    <xf numFmtId="37" fontId="1" fillId="0" borderId="0" xfId="0" applyFont="1" applyAlignment="1">
      <alignment horizontal="right"/>
    </xf>
    <xf numFmtId="37" fontId="1" fillId="0" borderId="0" xfId="0" applyFont="1" applyAlignment="1">
      <alignment horizontal="left" indent="1"/>
    </xf>
    <xf numFmtId="169" fontId="1" fillId="0" borderId="0" xfId="123" applyFont="1"/>
    <xf numFmtId="5" fontId="1" fillId="0" borderId="0" xfId="0" applyNumberFormat="1" applyFont="1"/>
    <xf numFmtId="37" fontId="1" fillId="0" borderId="0" xfId="0" applyFont="1" applyBorder="1"/>
    <xf numFmtId="5" fontId="15" fillId="0" borderId="0" xfId="0" applyNumberFormat="1" applyFont="1" applyBorder="1" applyAlignment="1">
      <alignment horizontal="right"/>
    </xf>
    <xf numFmtId="5" fontId="1" fillId="0" borderId="0" xfId="0" applyNumberFormat="1" applyFont="1" applyBorder="1" applyAlignment="1">
      <alignment horizontal="right"/>
    </xf>
    <xf numFmtId="37" fontId="1" fillId="0" borderId="6" xfId="0" applyFont="1" applyBorder="1"/>
    <xf numFmtId="5" fontId="5" fillId="0" borderId="6" xfId="0" applyNumberFormat="1" applyFont="1" applyBorder="1"/>
    <xf numFmtId="175" fontId="1" fillId="0" borderId="0" xfId="0" applyNumberFormat="1" applyFont="1"/>
    <xf numFmtId="39" fontId="85" fillId="0" borderId="0" xfId="0" applyNumberFormat="1" applyFont="1"/>
    <xf numFmtId="169" fontId="1" fillId="0" borderId="0" xfId="123" applyFont="1" applyBorder="1"/>
    <xf numFmtId="7" fontId="1" fillId="0" borderId="0" xfId="0" applyNumberFormat="1" applyFont="1" applyBorder="1"/>
    <xf numFmtId="5" fontId="5" fillId="0" borderId="0" xfId="60" applyNumberFormat="1" applyFont="1" applyFill="1" applyBorder="1" applyProtection="1"/>
    <xf numFmtId="192" fontId="5" fillId="0" borderId="0" xfId="60" applyNumberFormat="1" applyFont="1" applyFill="1" applyBorder="1" applyProtection="1"/>
    <xf numFmtId="168" fontId="5" fillId="0" borderId="0" xfId="0" applyNumberFormat="1" applyFont="1" applyAlignment="1">
      <alignment horizontal="right"/>
    </xf>
    <xf numFmtId="9" fontId="25" fillId="0" borderId="0" xfId="123" applyNumberFormat="1" applyFont="1"/>
    <xf numFmtId="168" fontId="5" fillId="0" borderId="0" xfId="0" applyNumberFormat="1" applyFont="1" applyAlignment="1">
      <alignment horizontal="left"/>
    </xf>
    <xf numFmtId="37" fontId="1" fillId="0" borderId="0" xfId="0" applyFont="1" applyBorder="1" applyAlignment="1">
      <alignment horizontal="right"/>
    </xf>
    <xf numFmtId="37" fontId="25" fillId="0" borderId="27" xfId="0" applyFont="1" applyBorder="1" applyAlignment="1">
      <alignment horizontal="right"/>
    </xf>
    <xf numFmtId="37" fontId="25" fillId="0" borderId="0" xfId="0" applyFont="1" applyBorder="1" applyAlignment="1">
      <alignment horizontal="right"/>
    </xf>
    <xf numFmtId="37" fontId="83" fillId="0" borderId="1" xfId="0" applyFont="1" applyBorder="1" applyAlignment="1">
      <alignment horizontal="right"/>
    </xf>
    <xf numFmtId="37" fontId="83" fillId="0" borderId="30" xfId="0" applyFont="1" applyBorder="1" applyAlignment="1">
      <alignment horizontal="right"/>
    </xf>
    <xf numFmtId="169" fontId="25" fillId="0" borderId="0" xfId="123" applyFont="1" applyBorder="1" applyAlignment="1">
      <alignment horizontal="right"/>
    </xf>
    <xf numFmtId="37" fontId="9" fillId="30" borderId="1" xfId="0" applyFont="1" applyFill="1" applyBorder="1" applyAlignment="1">
      <alignment horizontal="right"/>
    </xf>
    <xf numFmtId="169" fontId="5" fillId="30" borderId="0" xfId="123" applyNumberFormat="1" applyFont="1" applyFill="1" applyBorder="1"/>
    <xf numFmtId="43" fontId="5" fillId="0" borderId="0" xfId="60" applyNumberFormat="1" applyFont="1" applyFill="1" applyBorder="1" applyProtection="1"/>
    <xf numFmtId="199" fontId="84" fillId="0" borderId="0" xfId="60" applyNumberFormat="1" applyFont="1" applyFill="1" applyBorder="1" applyProtection="1"/>
    <xf numFmtId="37" fontId="1" fillId="0" borderId="0" xfId="0" applyFont="1" applyAlignment="1"/>
    <xf numFmtId="37" fontId="1" fillId="0" borderId="6" xfId="0" applyFont="1" applyBorder="1" applyAlignment="1">
      <alignment horizontal="centerContinuous"/>
    </xf>
    <xf numFmtId="37" fontId="5" fillId="0" borderId="6" xfId="0" applyFont="1" applyBorder="1" applyAlignment="1">
      <alignment horizontal="centerContinuous"/>
    </xf>
    <xf numFmtId="171" fontId="5" fillId="0" borderId="0" xfId="60" applyNumberFormat="1" applyFont="1" applyFill="1" applyBorder="1" applyProtection="1"/>
    <xf numFmtId="10" fontId="5" fillId="0" borderId="0" xfId="123" quotePrefix="1" applyNumberFormat="1" applyFont="1" applyFill="1" applyBorder="1" applyAlignment="1" applyProtection="1"/>
    <xf numFmtId="190" fontId="5" fillId="0" borderId="0" xfId="123" quotePrefix="1" applyNumberFormat="1" applyFont="1" applyFill="1" applyBorder="1" applyAlignment="1" applyProtection="1"/>
    <xf numFmtId="5" fontId="5" fillId="0" borderId="0" xfId="61" applyNumberFormat="1" applyFont="1"/>
    <xf numFmtId="5" fontId="5" fillId="0" borderId="44" xfId="61" applyNumberFormat="1" applyFont="1" applyBorder="1"/>
    <xf numFmtId="9" fontId="5" fillId="0" borderId="0" xfId="123" applyNumberFormat="1" applyFont="1" applyBorder="1" applyAlignment="1">
      <alignment horizontal="right"/>
    </xf>
    <xf numFmtId="37" fontId="9" fillId="0" borderId="45" xfId="0" applyFont="1" applyBorder="1" applyAlignment="1">
      <alignment horizontal="right"/>
    </xf>
    <xf numFmtId="9" fontId="5" fillId="0" borderId="46" xfId="123" applyNumberFormat="1" applyFont="1" applyBorder="1" applyAlignment="1">
      <alignment horizontal="right"/>
    </xf>
    <xf numFmtId="9" fontId="5" fillId="0" borderId="47" xfId="123" applyNumberFormat="1" applyFont="1" applyBorder="1" applyAlignment="1">
      <alignment horizontal="right"/>
    </xf>
    <xf numFmtId="37" fontId="5" fillId="0" borderId="46" xfId="0" applyFont="1" applyBorder="1"/>
    <xf numFmtId="37" fontId="9" fillId="0" borderId="47" xfId="0" applyFont="1" applyBorder="1" applyAlignment="1">
      <alignment horizontal="right"/>
    </xf>
    <xf numFmtId="9" fontId="5" fillId="0" borderId="48" xfId="123" applyNumberFormat="1" applyFont="1" applyBorder="1" applyAlignment="1">
      <alignment horizontal="right"/>
    </xf>
    <xf numFmtId="9" fontId="5" fillId="17" borderId="0" xfId="123" applyNumberFormat="1" applyFont="1" applyFill="1" applyAlignment="1">
      <alignment horizontal="right"/>
    </xf>
    <xf numFmtId="9" fontId="5" fillId="17" borderId="46" xfId="123" applyNumberFormat="1" applyFont="1" applyFill="1" applyBorder="1" applyAlignment="1">
      <alignment horizontal="right"/>
    </xf>
    <xf numFmtId="5" fontId="5" fillId="0" borderId="6" xfId="61" applyNumberFormat="1" applyFont="1" applyBorder="1"/>
    <xf numFmtId="37" fontId="9" fillId="0" borderId="30" xfId="0" applyFont="1" applyBorder="1" applyAlignment="1">
      <alignment horizontal="right"/>
    </xf>
    <xf numFmtId="5" fontId="5" fillId="0" borderId="0" xfId="61" applyNumberFormat="1" applyFont="1" applyBorder="1"/>
    <xf numFmtId="37" fontId="1" fillId="30" borderId="6" xfId="0" applyFont="1" applyFill="1" applyBorder="1"/>
    <xf numFmtId="5" fontId="5" fillId="30" borderId="6" xfId="0" applyNumberFormat="1" applyFont="1" applyFill="1" applyBorder="1"/>
    <xf numFmtId="191" fontId="5" fillId="0" borderId="19" xfId="123" applyNumberFormat="1" applyFont="1" applyFill="1" applyBorder="1" applyAlignment="1" applyProtection="1">
      <alignment horizontal="right"/>
    </xf>
    <xf numFmtId="168" fontId="5" fillId="0" borderId="0" xfId="0" applyNumberFormat="1" applyFont="1" applyBorder="1"/>
    <xf numFmtId="168" fontId="5" fillId="0" borderId="0" xfId="0" applyNumberFormat="1" applyFont="1" applyBorder="1" applyAlignment="1">
      <alignment horizontal="right"/>
    </xf>
    <xf numFmtId="168" fontId="1" fillId="0" borderId="0" xfId="0" applyNumberFormat="1" applyFont="1" applyBorder="1" applyAlignment="1">
      <alignment horizontal="right"/>
    </xf>
    <xf numFmtId="37" fontId="93" fillId="0" borderId="0" xfId="0" applyFont="1" applyFill="1"/>
    <xf numFmtId="37" fontId="1" fillId="0" borderId="0" xfId="0" applyFont="1" applyFill="1"/>
    <xf numFmtId="9" fontId="1" fillId="0" borderId="0" xfId="123" applyNumberFormat="1" applyFont="1" applyFill="1"/>
    <xf numFmtId="169" fontId="1" fillId="0" borderId="0" xfId="123" applyFont="1" applyFill="1"/>
    <xf numFmtId="37" fontId="5" fillId="0" borderId="0" xfId="60" applyFont="1"/>
    <xf numFmtId="37" fontId="1" fillId="0" borderId="1" xfId="109" applyFont="1" applyBorder="1"/>
    <xf numFmtId="37" fontId="1" fillId="0" borderId="0" xfId="109" applyFont="1"/>
    <xf numFmtId="5" fontId="9" fillId="30" borderId="0" xfId="109" applyNumberFormat="1" applyFont="1" applyFill="1" applyBorder="1"/>
    <xf numFmtId="170" fontId="25" fillId="0" borderId="0" xfId="109" applyNumberFormat="1" applyFont="1" applyBorder="1"/>
    <xf numFmtId="191" fontId="5" fillId="0" borderId="0" xfId="110" applyNumberFormat="1" applyFont="1"/>
    <xf numFmtId="175" fontId="25" fillId="0" borderId="0" xfId="110" applyNumberFormat="1" applyFont="1"/>
    <xf numFmtId="37" fontId="1" fillId="23" borderId="0" xfId="0" applyFont="1" applyFill="1"/>
    <xf numFmtId="37" fontId="1" fillId="0" borderId="1" xfId="0" applyFont="1" applyBorder="1" applyAlignment="1">
      <alignment horizontal="right"/>
    </xf>
    <xf numFmtId="37" fontId="1" fillId="0" borderId="0" xfId="0" applyFont="1" applyFill="1" applyBorder="1" applyAlignment="1">
      <alignment horizontal="right"/>
    </xf>
    <xf numFmtId="175" fontId="5" fillId="0" borderId="0" xfId="0" applyNumberFormat="1" applyFont="1" applyFill="1" applyBorder="1"/>
    <xf numFmtId="37" fontId="5" fillId="0" borderId="0" xfId="123" applyNumberFormat="1" applyFont="1"/>
    <xf numFmtId="37" fontId="1" fillId="0" borderId="0" xfId="123" applyNumberFormat="1" applyFont="1"/>
    <xf numFmtId="9" fontId="5" fillId="0" borderId="0" xfId="123" applyNumberFormat="1" applyFont="1" applyFill="1"/>
    <xf numFmtId="169" fontId="1" fillId="0" borderId="41" xfId="123" applyFont="1" applyBorder="1"/>
    <xf numFmtId="37" fontId="5" fillId="0" borderId="49" xfId="60" applyFont="1" applyBorder="1"/>
    <xf numFmtId="169" fontId="5" fillId="0" borderId="49" xfId="123" applyFont="1" applyBorder="1"/>
    <xf numFmtId="37" fontId="1" fillId="0" borderId="49" xfId="123" applyNumberFormat="1" applyFont="1" applyBorder="1" applyAlignment="1">
      <alignment horizontal="right"/>
    </xf>
    <xf numFmtId="37" fontId="5" fillId="0" borderId="49" xfId="60" applyFont="1" applyBorder="1" applyAlignment="1">
      <alignment horizontal="right"/>
    </xf>
    <xf numFmtId="169" fontId="5" fillId="0" borderId="49" xfId="123" applyFont="1" applyBorder="1" applyAlignment="1">
      <alignment horizontal="right"/>
    </xf>
    <xf numFmtId="37" fontId="1" fillId="0" borderId="49" xfId="60" applyFont="1" applyBorder="1" applyAlignment="1">
      <alignment horizontal="right"/>
    </xf>
    <xf numFmtId="169" fontId="1" fillId="0" borderId="50" xfId="123" applyFont="1" applyBorder="1" applyAlignment="1">
      <alignment vertical="top" wrapText="1"/>
    </xf>
    <xf numFmtId="169" fontId="1" fillId="0" borderId="51" xfId="123" applyFont="1" applyBorder="1" applyAlignment="1">
      <alignment horizontal="right" vertical="top"/>
    </xf>
    <xf numFmtId="169" fontId="1" fillId="0" borderId="51" xfId="123" applyFont="1" applyBorder="1" applyAlignment="1">
      <alignment horizontal="right" vertical="top" wrapText="1"/>
    </xf>
    <xf numFmtId="37" fontId="1" fillId="0" borderId="51" xfId="0" applyFont="1" applyBorder="1" applyAlignment="1">
      <alignment horizontal="right" vertical="top" wrapText="1"/>
    </xf>
    <xf numFmtId="169" fontId="9" fillId="0" borderId="39" xfId="123" applyFont="1" applyBorder="1"/>
    <xf numFmtId="169" fontId="9" fillId="0" borderId="38" xfId="123" applyFont="1" applyBorder="1" applyAlignment="1">
      <alignment horizontal="right"/>
    </xf>
    <xf numFmtId="37" fontId="9" fillId="0" borderId="38" xfId="0" applyFont="1" applyBorder="1" applyAlignment="1">
      <alignment horizontal="right"/>
    </xf>
    <xf numFmtId="37" fontId="1" fillId="0" borderId="33" xfId="0" applyFont="1" applyBorder="1"/>
    <xf numFmtId="37" fontId="94" fillId="0" borderId="0" xfId="0" applyFont="1"/>
    <xf numFmtId="9" fontId="1" fillId="0" borderId="1" xfId="123" applyNumberFormat="1" applyFont="1" applyBorder="1" applyAlignment="1">
      <alignment horizontal="right"/>
    </xf>
    <xf numFmtId="169" fontId="1" fillId="0" borderId="0" xfId="0" applyNumberFormat="1" applyFont="1"/>
    <xf numFmtId="0" fontId="3" fillId="0" borderId="0" xfId="113" applyBorder="1"/>
    <xf numFmtId="0" fontId="3" fillId="0" borderId="0" xfId="113" applyBorder="1" applyAlignment="1">
      <alignment horizontal="right"/>
    </xf>
    <xf numFmtId="37" fontId="2" fillId="0" borderId="0" xfId="102"/>
    <xf numFmtId="0" fontId="20" fillId="0" borderId="0" xfId="113" applyFont="1" applyFill="1" applyBorder="1" applyAlignment="1">
      <alignment horizontal="center"/>
    </xf>
    <xf numFmtId="0" fontId="35" fillId="0" borderId="0" xfId="113" applyFont="1" applyFill="1" applyBorder="1" applyAlignment="1">
      <alignment horizontal="center"/>
    </xf>
    <xf numFmtId="0" fontId="35" fillId="0" borderId="0" xfId="113" applyFont="1" applyBorder="1" applyAlignment="1">
      <alignment horizontal="center"/>
    </xf>
    <xf numFmtId="0" fontId="13" fillId="17" borderId="20" xfId="113" applyFont="1" applyFill="1" applyBorder="1"/>
    <xf numFmtId="0" fontId="13" fillId="17" borderId="6" xfId="113" applyFont="1" applyFill="1" applyBorder="1" applyAlignment="1">
      <alignment horizontal="right"/>
    </xf>
    <xf numFmtId="0" fontId="13" fillId="17" borderId="6" xfId="113" applyFont="1" applyFill="1" applyBorder="1" applyAlignment="1">
      <alignment horizontal="right" wrapText="1"/>
    </xf>
    <xf numFmtId="0" fontId="13" fillId="17" borderId="22" xfId="113" applyFont="1" applyFill="1" applyBorder="1" applyAlignment="1">
      <alignment horizontal="right" wrapText="1"/>
    </xf>
    <xf numFmtId="0" fontId="13" fillId="17" borderId="19" xfId="113" applyFont="1" applyFill="1" applyBorder="1" applyAlignment="1">
      <alignment wrapText="1"/>
    </xf>
    <xf numFmtId="2" fontId="92" fillId="0" borderId="10" xfId="69" applyNumberFormat="1" applyFont="1" applyBorder="1" applyAlignment="1">
      <alignment horizontal="right"/>
    </xf>
    <xf numFmtId="2" fontId="13" fillId="17" borderId="19" xfId="69" applyNumberFormat="1" applyFont="1" applyFill="1" applyBorder="1" applyAlignment="1">
      <alignment horizontal="right"/>
    </xf>
    <xf numFmtId="2" fontId="92" fillId="0" borderId="22" xfId="69" applyNumberFormat="1" applyFont="1" applyFill="1" applyBorder="1" applyAlignment="1">
      <alignment horizontal="right"/>
    </xf>
    <xf numFmtId="2" fontId="3" fillId="17" borderId="29" xfId="69" applyNumberFormat="1" applyFont="1" applyFill="1" applyBorder="1" applyAlignment="1">
      <alignment horizontal="right"/>
    </xf>
    <xf numFmtId="2" fontId="13" fillId="17" borderId="31" xfId="69" applyNumberFormat="1" applyFont="1" applyFill="1" applyBorder="1" applyAlignment="1">
      <alignment horizontal="right"/>
    </xf>
    <xf numFmtId="2" fontId="92" fillId="23" borderId="10" xfId="69" applyNumberFormat="1" applyFont="1" applyFill="1" applyBorder="1" applyAlignment="1">
      <alignment wrapText="1"/>
    </xf>
    <xf numFmtId="2" fontId="3" fillId="23" borderId="0" xfId="69" applyNumberFormat="1" applyFont="1" applyFill="1" applyBorder="1" applyAlignment="1">
      <alignment horizontal="right"/>
    </xf>
    <xf numFmtId="182" fontId="92" fillId="23" borderId="10" xfId="69" applyNumberFormat="1" applyFont="1" applyFill="1" applyBorder="1" applyAlignment="1">
      <alignment horizontal="right"/>
    </xf>
    <xf numFmtId="2" fontId="21" fillId="23" borderId="0" xfId="69" applyNumberFormat="1" applyFont="1" applyFill="1" applyBorder="1" applyAlignment="1">
      <alignment horizontal="right"/>
    </xf>
    <xf numFmtId="2" fontId="21" fillId="23" borderId="27" xfId="69" applyNumberFormat="1" applyFont="1" applyFill="1" applyBorder="1" applyAlignment="1">
      <alignment horizontal="right"/>
    </xf>
    <xf numFmtId="2" fontId="3" fillId="23" borderId="52" xfId="69" applyNumberFormat="1" applyFont="1" applyFill="1" applyBorder="1" applyAlignment="1">
      <alignment horizontal="right"/>
    </xf>
    <xf numFmtId="2" fontId="13" fillId="17" borderId="27" xfId="69" applyNumberFormat="1" applyFont="1" applyFill="1" applyBorder="1" applyAlignment="1">
      <alignment wrapText="1"/>
    </xf>
    <xf numFmtId="2" fontId="21" fillId="17" borderId="0" xfId="69" applyNumberFormat="1" applyFont="1" applyFill="1" applyBorder="1" applyAlignment="1">
      <alignment horizontal="right"/>
    </xf>
    <xf numFmtId="2" fontId="92" fillId="17" borderId="0" xfId="69" applyNumberFormat="1" applyFont="1" applyFill="1" applyBorder="1" applyAlignment="1">
      <alignment horizontal="right"/>
    </xf>
    <xf numFmtId="2" fontId="17" fillId="17" borderId="0" xfId="69" applyNumberFormat="1" applyFont="1" applyFill="1" applyBorder="1" applyAlignment="1">
      <alignment horizontal="right"/>
    </xf>
    <xf numFmtId="2" fontId="21" fillId="17" borderId="27" xfId="69" applyNumberFormat="1" applyFont="1" applyFill="1" applyBorder="1" applyAlignment="1">
      <alignment horizontal="right"/>
    </xf>
    <xf numFmtId="2" fontId="3" fillId="17" borderId="0" xfId="69" applyNumberFormat="1" applyFont="1" applyFill="1" applyBorder="1" applyAlignment="1">
      <alignment horizontal="right"/>
    </xf>
    <xf numFmtId="182" fontId="92" fillId="0" borderId="10" xfId="113" applyNumberFormat="1" applyFont="1" applyBorder="1" applyAlignment="1">
      <alignment horizontal="right"/>
    </xf>
    <xf numFmtId="0" fontId="13" fillId="17" borderId="23" xfId="113" applyFont="1" applyFill="1" applyBorder="1" applyAlignment="1">
      <alignment wrapText="1"/>
    </xf>
    <xf numFmtId="2" fontId="21" fillId="17" borderId="53" xfId="69" applyNumberFormat="1" applyFont="1" applyFill="1" applyBorder="1" applyAlignment="1">
      <alignment horizontal="right"/>
    </xf>
    <xf numFmtId="2" fontId="21" fillId="17" borderId="1" xfId="69" applyNumberFormat="1" applyFont="1" applyFill="1" applyBorder="1" applyAlignment="1">
      <alignment horizontal="right"/>
    </xf>
    <xf numFmtId="2" fontId="3" fillId="17" borderId="1" xfId="69" applyNumberFormat="1" applyFont="1" applyFill="1" applyBorder="1" applyAlignment="1">
      <alignment horizontal="right"/>
    </xf>
    <xf numFmtId="2" fontId="3" fillId="17" borderId="30" xfId="69" applyNumberFormat="1" applyFont="1" applyFill="1" applyBorder="1" applyAlignment="1">
      <alignment horizontal="right"/>
    </xf>
    <xf numFmtId="190" fontId="5" fillId="0" borderId="0" xfId="123" applyNumberFormat="1" applyFont="1"/>
    <xf numFmtId="37" fontId="1" fillId="0" borderId="18" xfId="0" applyFont="1" applyBorder="1"/>
    <xf numFmtId="37" fontId="1" fillId="0" borderId="0" xfId="109" applyFont="1" applyAlignment="1">
      <alignment horizontal="right"/>
    </xf>
    <xf numFmtId="177" fontId="5" fillId="0" borderId="0" xfId="109" applyNumberFormat="1" applyFont="1"/>
    <xf numFmtId="37" fontId="5" fillId="0" borderId="18" xfId="0" applyFont="1" applyBorder="1" applyAlignment="1">
      <alignment horizontal="left"/>
    </xf>
    <xf numFmtId="37" fontId="1" fillId="0" borderId="6" xfId="0" applyFont="1" applyBorder="1" applyAlignment="1">
      <alignment horizontal="left" indent="1"/>
    </xf>
    <xf numFmtId="37" fontId="5" fillId="0" borderId="0" xfId="0" applyNumberFormat="1" applyFont="1" applyAlignment="1">
      <alignment horizontal="right"/>
    </xf>
    <xf numFmtId="37" fontId="5" fillId="0" borderId="0" xfId="109" applyNumberFormat="1" applyFont="1" applyBorder="1"/>
    <xf numFmtId="37" fontId="5" fillId="0" borderId="0" xfId="109" applyNumberFormat="1" applyFont="1" applyAlignment="1">
      <alignment horizontal="right"/>
    </xf>
    <xf numFmtId="37" fontId="8" fillId="0" borderId="0" xfId="109" applyNumberFormat="1" applyFont="1" applyFill="1" applyBorder="1" applyAlignment="1">
      <alignment horizontal="right"/>
    </xf>
    <xf numFmtId="37" fontId="5" fillId="0" borderId="0" xfId="109" applyNumberFormat="1" applyFont="1"/>
    <xf numFmtId="37" fontId="1" fillId="30" borderId="1" xfId="109" applyNumberFormat="1" applyFont="1" applyFill="1" applyBorder="1"/>
    <xf numFmtId="37" fontId="5" fillId="30" borderId="1" xfId="109" applyNumberFormat="1" applyFont="1" applyFill="1" applyBorder="1" applyAlignment="1">
      <alignment horizontal="right"/>
    </xf>
    <xf numFmtId="37" fontId="8" fillId="30" borderId="1" xfId="109" applyNumberFormat="1" applyFont="1" applyFill="1" applyBorder="1" applyAlignment="1">
      <alignment horizontal="right"/>
    </xf>
    <xf numFmtId="37" fontId="5" fillId="30" borderId="1" xfId="109" applyNumberFormat="1" applyFont="1" applyFill="1" applyBorder="1"/>
    <xf numFmtId="37" fontId="5" fillId="30" borderId="0" xfId="109" applyNumberFormat="1" applyFont="1" applyFill="1" applyBorder="1"/>
    <xf numFmtId="5" fontId="5" fillId="0" borderId="0" xfId="123" applyNumberFormat="1" applyFont="1"/>
    <xf numFmtId="5" fontId="9" fillId="0" borderId="0" xfId="109" applyNumberFormat="1" applyFont="1" applyFill="1" applyBorder="1" applyAlignment="1">
      <alignment horizontal="right"/>
    </xf>
    <xf numFmtId="5" fontId="9" fillId="0" borderId="0" xfId="109" applyNumberFormat="1" applyFont="1"/>
    <xf numFmtId="7" fontId="5" fillId="0" borderId="0" xfId="0" applyNumberFormat="1" applyFont="1" applyAlignment="1">
      <alignment horizontal="right"/>
    </xf>
    <xf numFmtId="7" fontId="5" fillId="0" borderId="0" xfId="123" applyNumberFormat="1" applyFont="1"/>
    <xf numFmtId="37" fontId="9" fillId="30" borderId="29" xfId="109" applyFont="1" applyFill="1" applyBorder="1"/>
    <xf numFmtId="184" fontId="5" fillId="30" borderId="28" xfId="109" applyNumberFormat="1" applyFont="1" applyFill="1" applyBorder="1" applyAlignment="1">
      <alignment horizontal="right"/>
    </xf>
    <xf numFmtId="184" fontId="5" fillId="30" borderId="28" xfId="109" applyNumberFormat="1" applyFont="1" applyFill="1" applyBorder="1"/>
    <xf numFmtId="5" fontId="9" fillId="30" borderId="28" xfId="109" applyNumberFormat="1" applyFont="1" applyFill="1" applyBorder="1"/>
    <xf numFmtId="7" fontId="9" fillId="30" borderId="26" xfId="109" applyNumberFormat="1" applyFont="1" applyFill="1" applyBorder="1" applyAlignment="1">
      <alignment horizontal="left" indent="1"/>
    </xf>
    <xf numFmtId="7" fontId="5" fillId="30" borderId="1" xfId="109" applyNumberFormat="1" applyFont="1" applyFill="1" applyBorder="1" applyAlignment="1">
      <alignment horizontal="right"/>
    </xf>
    <xf numFmtId="7" fontId="5" fillId="30" borderId="1" xfId="109" applyNumberFormat="1" applyFont="1" applyFill="1" applyBorder="1"/>
    <xf numFmtId="7" fontId="9" fillId="30" borderId="1" xfId="109" applyNumberFormat="1" applyFont="1" applyFill="1" applyBorder="1"/>
    <xf numFmtId="175" fontId="28" fillId="0" borderId="1" xfId="109" applyNumberFormat="1" applyFont="1" applyFill="1" applyBorder="1" applyAlignment="1">
      <alignment horizontal="right"/>
    </xf>
    <xf numFmtId="175" fontId="28" fillId="0" borderId="0" xfId="109" applyNumberFormat="1" applyFont="1" applyFill="1" applyBorder="1" applyAlignment="1">
      <alignment horizontal="right"/>
    </xf>
    <xf numFmtId="7" fontId="8" fillId="0" borderId="0" xfId="0" applyNumberFormat="1" applyFont="1" applyBorder="1"/>
    <xf numFmtId="39" fontId="5" fillId="0" borderId="0" xfId="0" applyNumberFormat="1" applyFont="1" applyBorder="1"/>
    <xf numFmtId="171" fontId="5" fillId="0" borderId="0" xfId="60" applyNumberFormat="1" applyFont="1"/>
    <xf numFmtId="0" fontId="44" fillId="0" borderId="18" xfId="0" applyNumberFormat="1" applyFont="1" applyFill="1" applyBorder="1" applyAlignment="1" applyProtection="1">
      <alignment horizontal="left" indent="1"/>
    </xf>
    <xf numFmtId="0" fontId="25" fillId="0" borderId="18" xfId="0" applyNumberFormat="1" applyFont="1" applyFill="1" applyBorder="1" applyAlignment="1" applyProtection="1">
      <alignment horizontal="left"/>
    </xf>
    <xf numFmtId="5" fontId="9" fillId="17" borderId="20" xfId="61" quotePrefix="1" applyNumberFormat="1" applyFont="1" applyFill="1" applyBorder="1" applyAlignment="1" applyProtection="1">
      <alignment horizontal="right"/>
    </xf>
    <xf numFmtId="169" fontId="25" fillId="0" borderId="29" xfId="123" applyFont="1" applyBorder="1"/>
    <xf numFmtId="170" fontId="5" fillId="0" borderId="18" xfId="61" quotePrefix="1" applyNumberFormat="1" applyFont="1" applyFill="1" applyBorder="1" applyAlignment="1" applyProtection="1">
      <alignment horizontal="right"/>
    </xf>
    <xf numFmtId="0" fontId="9" fillId="17" borderId="20" xfId="0" quotePrefix="1" applyNumberFormat="1" applyFont="1" applyFill="1" applyBorder="1" applyAlignment="1" applyProtection="1">
      <alignment horizontal="right"/>
    </xf>
    <xf numFmtId="170" fontId="5" fillId="0" borderId="27" xfId="61" quotePrefix="1" applyNumberFormat="1" applyFont="1" applyFill="1" applyBorder="1" applyAlignment="1" applyProtection="1">
      <alignment horizontal="right"/>
    </xf>
    <xf numFmtId="170" fontId="5" fillId="0" borderId="19" xfId="0" applyNumberFormat="1" applyFont="1" applyFill="1" applyBorder="1" applyAlignment="1" applyProtection="1">
      <alignment horizontal="left"/>
    </xf>
    <xf numFmtId="0" fontId="9" fillId="17" borderId="10" xfId="0" applyNumberFormat="1" applyFont="1" applyFill="1" applyBorder="1" applyAlignment="1" applyProtection="1">
      <alignment horizontal="left"/>
    </xf>
    <xf numFmtId="37" fontId="5" fillId="0" borderId="19" xfId="0" applyNumberFormat="1" applyFont="1" applyBorder="1" applyAlignment="1">
      <alignment horizontal="left"/>
    </xf>
    <xf numFmtId="0" fontId="25" fillId="0" borderId="19" xfId="0" applyNumberFormat="1" applyFont="1" applyBorder="1" applyAlignment="1">
      <alignment horizontal="left"/>
    </xf>
    <xf numFmtId="175" fontId="28" fillId="0" borderId="10" xfId="109" applyNumberFormat="1" applyFont="1" applyFill="1" applyBorder="1" applyAlignment="1">
      <alignment horizontal="right"/>
    </xf>
    <xf numFmtId="5" fontId="5" fillId="0" borderId="19" xfId="109" applyNumberFormat="1" applyFont="1" applyBorder="1"/>
    <xf numFmtId="37" fontId="5" fillId="0" borderId="19" xfId="109" applyNumberFormat="1" applyFont="1" applyBorder="1"/>
    <xf numFmtId="37" fontId="5" fillId="30" borderId="23" xfId="109" applyNumberFormat="1" applyFont="1" applyFill="1" applyBorder="1"/>
    <xf numFmtId="5" fontId="9" fillId="0" borderId="19" xfId="109" applyNumberFormat="1" applyFont="1" applyBorder="1"/>
    <xf numFmtId="170" fontId="25" fillId="0" borderId="19" xfId="109" applyNumberFormat="1" applyFont="1" applyBorder="1"/>
    <xf numFmtId="37" fontId="5" fillId="0" borderId="23" xfId="109" applyFont="1" applyFill="1" applyBorder="1"/>
    <xf numFmtId="5" fontId="9" fillId="0" borderId="19" xfId="109" applyNumberFormat="1" applyFont="1" applyFill="1" applyBorder="1"/>
    <xf numFmtId="37" fontId="5" fillId="0" borderId="19" xfId="109" applyFont="1" applyFill="1" applyBorder="1"/>
    <xf numFmtId="5" fontId="9" fillId="30" borderId="21" xfId="109" applyNumberFormat="1" applyFont="1" applyFill="1" applyBorder="1"/>
    <xf numFmtId="7" fontId="9" fillId="30" borderId="23" xfId="109" applyNumberFormat="1" applyFont="1" applyFill="1" applyBorder="1" applyAlignment="1">
      <alignment horizontal="right"/>
    </xf>
    <xf numFmtId="5" fontId="1" fillId="0" borderId="41" xfId="123" applyNumberFormat="1" applyFont="1" applyBorder="1"/>
    <xf numFmtId="5" fontId="1" fillId="0" borderId="49" xfId="123" applyNumberFormat="1" applyFont="1" applyBorder="1" applyAlignment="1">
      <alignment horizontal="right"/>
    </xf>
    <xf numFmtId="5" fontId="5" fillId="0" borderId="49" xfId="123" applyNumberFormat="1" applyFont="1" applyBorder="1" applyAlignment="1">
      <alignment horizontal="right"/>
    </xf>
    <xf numFmtId="5" fontId="5" fillId="0" borderId="49" xfId="123" applyNumberFormat="1" applyFont="1" applyBorder="1"/>
    <xf numFmtId="5" fontId="5" fillId="0" borderId="49" xfId="0" applyNumberFormat="1" applyFont="1" applyBorder="1"/>
    <xf numFmtId="5" fontId="1" fillId="0" borderId="39" xfId="123" applyNumberFormat="1" applyFont="1" applyBorder="1"/>
    <xf numFmtId="5" fontId="1" fillId="0" borderId="38" xfId="123" applyNumberFormat="1" applyFont="1" applyBorder="1" applyAlignment="1">
      <alignment horizontal="right"/>
    </xf>
    <xf numFmtId="5" fontId="5" fillId="0" borderId="38" xfId="123" applyNumberFormat="1" applyFont="1" applyBorder="1" applyAlignment="1">
      <alignment horizontal="right"/>
    </xf>
    <xf numFmtId="5" fontId="5" fillId="0" borderId="38" xfId="123" applyNumberFormat="1" applyFont="1" applyBorder="1"/>
    <xf numFmtId="5" fontId="5" fillId="0" borderId="38" xfId="0" applyNumberFormat="1" applyFont="1" applyBorder="1"/>
    <xf numFmtId="177" fontId="1" fillId="0" borderId="0" xfId="0" applyNumberFormat="1" applyFont="1"/>
    <xf numFmtId="37" fontId="1" fillId="0" borderId="20" xfId="0" applyFont="1" applyBorder="1"/>
    <xf numFmtId="37" fontId="1" fillId="0" borderId="6" xfId="0" applyFont="1" applyBorder="1" applyAlignment="1">
      <alignment horizontal="right"/>
    </xf>
    <xf numFmtId="37" fontId="1" fillId="0" borderId="22" xfId="0" applyFont="1" applyBorder="1" applyAlignment="1">
      <alignment horizontal="right"/>
    </xf>
    <xf numFmtId="5" fontId="1" fillId="0" borderId="18" xfId="0" applyNumberFormat="1" applyFont="1" applyBorder="1"/>
    <xf numFmtId="5" fontId="1" fillId="0" borderId="0" xfId="0" applyNumberFormat="1" applyFont="1" applyBorder="1"/>
    <xf numFmtId="5" fontId="1" fillId="0" borderId="27" xfId="0" applyNumberFormat="1" applyFont="1" applyBorder="1"/>
    <xf numFmtId="37" fontId="26" fillId="0" borderId="0" xfId="0" applyFont="1" applyBorder="1"/>
    <xf numFmtId="9" fontId="1" fillId="0" borderId="0" xfId="0" applyNumberFormat="1" applyFont="1" applyBorder="1"/>
    <xf numFmtId="37" fontId="1" fillId="0" borderId="26" xfId="0" applyFont="1" applyBorder="1"/>
    <xf numFmtId="37" fontId="1" fillId="0" borderId="30" xfId="0" applyFont="1" applyBorder="1"/>
    <xf numFmtId="0" fontId="1" fillId="0" borderId="0" xfId="61" applyNumberFormat="1" applyFont="1" applyFill="1" applyBorder="1" applyAlignment="1" applyProtection="1">
      <alignment horizontal="left"/>
    </xf>
    <xf numFmtId="188" fontId="5" fillId="0" borderId="27" xfId="0" applyNumberFormat="1" applyFont="1" applyBorder="1"/>
    <xf numFmtId="37" fontId="1" fillId="0" borderId="27" xfId="0" applyFont="1" applyBorder="1"/>
    <xf numFmtId="5" fontId="97" fillId="0" borderId="27" xfId="0" applyNumberFormat="1" applyFont="1" applyBorder="1"/>
    <xf numFmtId="37" fontId="1" fillId="0" borderId="18" xfId="0" quotePrefix="1" applyFont="1" applyBorder="1"/>
    <xf numFmtId="37" fontId="1" fillId="0" borderId="18" xfId="0" applyFont="1" applyBorder="1" applyAlignment="1">
      <alignment horizontal="left" indent="1"/>
    </xf>
    <xf numFmtId="39" fontId="5" fillId="0" borderId="0" xfId="109" applyNumberFormat="1" applyFont="1" applyFill="1"/>
    <xf numFmtId="190" fontId="79" fillId="0" borderId="0" xfId="123" applyNumberFormat="1" applyFont="1" applyFill="1" applyBorder="1" applyProtection="1"/>
    <xf numFmtId="37" fontId="5" fillId="0" borderId="31" xfId="0" applyFont="1" applyFill="1" applyBorder="1"/>
    <xf numFmtId="169" fontId="5" fillId="0" borderId="31" xfId="123" applyFont="1" applyFill="1" applyBorder="1"/>
    <xf numFmtId="37" fontId="5" fillId="0" borderId="27" xfId="60" applyFont="1" applyBorder="1"/>
    <xf numFmtId="5" fontId="8" fillId="0" borderId="27" xfId="61" applyFont="1" applyBorder="1"/>
    <xf numFmtId="37" fontId="8" fillId="0" borderId="27" xfId="60" applyFont="1" applyBorder="1"/>
    <xf numFmtId="169" fontId="8" fillId="0" borderId="27" xfId="123" applyNumberFormat="1" applyFont="1" applyFill="1" applyBorder="1"/>
    <xf numFmtId="37" fontId="8" fillId="0" borderId="27" xfId="0" applyFont="1" applyBorder="1"/>
    <xf numFmtId="173" fontId="9" fillId="24" borderId="22" xfId="123" applyNumberFormat="1" applyFont="1" applyFill="1" applyBorder="1"/>
    <xf numFmtId="169" fontId="1" fillId="0" borderId="19" xfId="123" applyFont="1" applyBorder="1"/>
    <xf numFmtId="169" fontId="1" fillId="0" borderId="0" xfId="123" applyFont="1" applyFill="1" applyBorder="1"/>
    <xf numFmtId="169" fontId="1" fillId="0" borderId="19" xfId="123" applyFont="1" applyFill="1" applyBorder="1"/>
    <xf numFmtId="169" fontId="1" fillId="0" borderId="28" xfId="61" applyNumberFormat="1" applyFont="1" applyBorder="1"/>
    <xf numFmtId="169" fontId="1" fillId="0" borderId="21" xfId="123" applyFont="1" applyFill="1" applyBorder="1"/>
    <xf numFmtId="171" fontId="1" fillId="0" borderId="0" xfId="0" applyNumberFormat="1" applyFont="1" applyBorder="1"/>
    <xf numFmtId="37" fontId="1" fillId="0" borderId="19" xfId="0" applyFont="1" applyBorder="1"/>
    <xf numFmtId="37" fontId="1" fillId="0" borderId="0" xfId="60" applyFont="1" applyBorder="1"/>
    <xf numFmtId="5" fontId="1" fillId="0" borderId="0" xfId="61" applyFont="1" applyBorder="1"/>
    <xf numFmtId="5" fontId="1" fillId="0" borderId="19" xfId="61" applyFont="1" applyBorder="1"/>
    <xf numFmtId="37" fontId="1" fillId="0" borderId="19" xfId="60" applyFont="1" applyBorder="1"/>
    <xf numFmtId="169" fontId="1" fillId="0" borderId="19" xfId="123" applyNumberFormat="1" applyFont="1" applyFill="1" applyBorder="1"/>
    <xf numFmtId="9" fontId="1" fillId="0" borderId="19" xfId="123" applyNumberFormat="1" applyFont="1" applyBorder="1"/>
    <xf numFmtId="37" fontId="1" fillId="24" borderId="6" xfId="0" applyFont="1" applyFill="1" applyBorder="1"/>
    <xf numFmtId="37" fontId="1" fillId="24" borderId="10" xfId="0" applyFont="1" applyFill="1" applyBorder="1"/>
    <xf numFmtId="5" fontId="1" fillId="0" borderId="19" xfId="0" applyNumberFormat="1" applyFont="1" applyBorder="1"/>
    <xf numFmtId="41" fontId="1" fillId="0" borderId="19" xfId="0" applyNumberFormat="1" applyFont="1" applyBorder="1"/>
    <xf numFmtId="37" fontId="1" fillId="24" borderId="22" xfId="0" applyFont="1" applyFill="1" applyBorder="1"/>
    <xf numFmtId="37" fontId="1" fillId="0" borderId="0" xfId="0" applyNumberFormat="1" applyFont="1" applyBorder="1"/>
    <xf numFmtId="9" fontId="25" fillId="0" borderId="23" xfId="123" applyNumberFormat="1" applyFont="1" applyFill="1" applyBorder="1"/>
    <xf numFmtId="37" fontId="45" fillId="0" borderId="0" xfId="61" applyNumberFormat="1" applyFont="1" applyFill="1" applyBorder="1" applyAlignment="1">
      <alignment horizontal="right"/>
    </xf>
    <xf numFmtId="37" fontId="45" fillId="0" borderId="26" xfId="0" quotePrefix="1" applyFont="1" applyBorder="1" applyAlignment="1">
      <alignment horizontal="right"/>
    </xf>
    <xf numFmtId="37" fontId="45" fillId="0" borderId="19" xfId="123" quotePrefix="1" applyNumberFormat="1" applyFont="1" applyFill="1" applyBorder="1" applyAlignment="1" applyProtection="1">
      <alignment horizontal="right"/>
    </xf>
    <xf numFmtId="194" fontId="9" fillId="17" borderId="22" xfId="0" quotePrefix="1" applyNumberFormat="1" applyFont="1" applyFill="1" applyBorder="1" applyAlignment="1">
      <alignment horizontal="right"/>
    </xf>
    <xf numFmtId="194" fontId="9" fillId="17" borderId="10" xfId="0" quotePrefix="1" applyNumberFormat="1" applyFont="1" applyFill="1" applyBorder="1" applyAlignment="1">
      <alignment horizontal="right"/>
    </xf>
    <xf numFmtId="5" fontId="28" fillId="24" borderId="22" xfId="0" applyNumberFormat="1" applyFont="1" applyFill="1" applyBorder="1"/>
    <xf numFmtId="5" fontId="28" fillId="24" borderId="10" xfId="0" applyNumberFormat="1" applyFont="1" applyFill="1" applyBorder="1"/>
    <xf numFmtId="169" fontId="28" fillId="24" borderId="22" xfId="123" applyFont="1" applyFill="1" applyBorder="1"/>
    <xf numFmtId="169" fontId="28" fillId="24" borderId="10" xfId="123" applyFont="1" applyFill="1" applyBorder="1"/>
    <xf numFmtId="37" fontId="87" fillId="0" borderId="0" xfId="0" applyNumberFormat="1" applyFont="1" applyBorder="1"/>
    <xf numFmtId="169" fontId="9" fillId="0" borderId="26" xfId="123" applyFont="1" applyFill="1" applyBorder="1"/>
    <xf numFmtId="169" fontId="5" fillId="0" borderId="18" xfId="123" applyFont="1" applyFill="1" applyBorder="1"/>
    <xf numFmtId="169" fontId="5" fillId="0" borderId="26" xfId="123" applyFont="1" applyFill="1" applyBorder="1"/>
    <xf numFmtId="9" fontId="25" fillId="0" borderId="18" xfId="123" applyNumberFormat="1" applyFont="1" applyFill="1" applyBorder="1"/>
    <xf numFmtId="37" fontId="15" fillId="0" borderId="18" xfId="0" applyFont="1" applyFill="1" applyBorder="1"/>
    <xf numFmtId="37" fontId="9" fillId="0" borderId="26" xfId="0" applyFont="1" applyFill="1" applyBorder="1"/>
    <xf numFmtId="169" fontId="5" fillId="0" borderId="30" xfId="123" applyFont="1" applyFill="1" applyBorder="1" applyAlignment="1">
      <alignment horizontal="right"/>
    </xf>
    <xf numFmtId="169" fontId="8" fillId="0" borderId="0" xfId="123" applyFont="1" applyAlignment="1">
      <alignment horizontal="right"/>
    </xf>
    <xf numFmtId="0" fontId="5" fillId="0" borderId="30" xfId="0" applyNumberFormat="1" applyFont="1" applyBorder="1" applyAlignment="1">
      <alignment horizontal="right"/>
    </xf>
    <xf numFmtId="5" fontId="8" fillId="0" borderId="27" xfId="61" applyFont="1" applyFill="1" applyBorder="1"/>
    <xf numFmtId="7" fontId="5" fillId="0" borderId="19" xfId="0" applyNumberFormat="1" applyFont="1" applyFill="1" applyBorder="1"/>
    <xf numFmtId="37" fontId="8" fillId="0" borderId="27" xfId="60" applyFont="1" applyFill="1" applyBorder="1"/>
    <xf numFmtId="39" fontId="5" fillId="0" borderId="19" xfId="0" applyNumberFormat="1" applyFont="1" applyFill="1" applyBorder="1"/>
    <xf numFmtId="41" fontId="39" fillId="31" borderId="0" xfId="0" applyNumberFormat="1" applyFont="1" applyFill="1" applyBorder="1" applyProtection="1"/>
    <xf numFmtId="41" fontId="5" fillId="31" borderId="0" xfId="61" quotePrefix="1" applyNumberFormat="1" applyFont="1" applyFill="1" applyBorder="1" applyAlignment="1" applyProtection="1"/>
    <xf numFmtId="169" fontId="43" fillId="31" borderId="0" xfId="123" quotePrefix="1" applyNumberFormat="1" applyFont="1" applyFill="1" applyBorder="1" applyAlignment="1" applyProtection="1"/>
    <xf numFmtId="41" fontId="36" fillId="31" borderId="0" xfId="60" quotePrefix="1" applyNumberFormat="1" applyFont="1" applyFill="1" applyBorder="1" applyAlignment="1" applyProtection="1"/>
    <xf numFmtId="169" fontId="43" fillId="31" borderId="1" xfId="123" quotePrefix="1" applyNumberFormat="1" applyFont="1" applyFill="1" applyBorder="1" applyAlignment="1" applyProtection="1"/>
    <xf numFmtId="169" fontId="43" fillId="0" borderId="0" xfId="123" quotePrefix="1" applyNumberFormat="1" applyFont="1" applyFill="1" applyBorder="1" applyAlignment="1" applyProtection="1">
      <alignment horizontal="right"/>
    </xf>
    <xf numFmtId="41" fontId="8" fillId="31" borderId="19" xfId="123" applyNumberFormat="1" applyFont="1" applyFill="1" applyBorder="1" applyAlignment="1" applyProtection="1">
      <alignment horizontal="right"/>
    </xf>
    <xf numFmtId="41" fontId="8" fillId="31" borderId="19" xfId="123" quotePrefix="1" applyNumberFormat="1" applyFont="1" applyFill="1" applyBorder="1" applyAlignment="1" applyProtection="1"/>
    <xf numFmtId="0" fontId="9" fillId="17" borderId="21" xfId="0" applyNumberFormat="1" applyFont="1" applyFill="1" applyBorder="1" applyAlignment="1">
      <alignment horizontal="right"/>
    </xf>
    <xf numFmtId="0" fontId="45" fillId="0" borderId="19" xfId="123" applyNumberFormat="1" applyFont="1" applyFill="1" applyBorder="1" applyAlignment="1" applyProtection="1">
      <alignment horizontal="right"/>
    </xf>
    <xf numFmtId="0" fontId="25" fillId="0" borderId="29" xfId="0" applyNumberFormat="1" applyFont="1" applyFill="1" applyBorder="1" applyAlignment="1" applyProtection="1">
      <alignment horizontal="left" indent="1"/>
    </xf>
    <xf numFmtId="169" fontId="25" fillId="0" borderId="21" xfId="123" applyFont="1" applyFill="1" applyBorder="1"/>
    <xf numFmtId="37" fontId="45" fillId="0" borderId="23" xfId="61" applyNumberFormat="1" applyFont="1" applyFill="1" applyBorder="1"/>
    <xf numFmtId="37" fontId="45" fillId="0" borderId="1" xfId="61" applyNumberFormat="1" applyFont="1" applyFill="1" applyBorder="1"/>
    <xf numFmtId="37" fontId="45" fillId="0" borderId="26" xfId="61" applyNumberFormat="1" applyFont="1" applyFill="1" applyBorder="1" applyAlignment="1" applyProtection="1">
      <alignment horizontal="left"/>
    </xf>
    <xf numFmtId="37" fontId="45" fillId="0" borderId="30" xfId="61" applyNumberFormat="1" applyFont="1" applyFill="1" applyBorder="1"/>
    <xf numFmtId="0" fontId="9" fillId="0" borderId="1" xfId="60" applyNumberFormat="1" applyFont="1" applyFill="1" applyBorder="1" applyAlignment="1" applyProtection="1">
      <alignment horizontal="left"/>
    </xf>
    <xf numFmtId="41" fontId="9" fillId="0" borderId="1" xfId="61" applyNumberFormat="1" applyFont="1" applyFill="1" applyBorder="1" applyAlignment="1" applyProtection="1">
      <alignment horizontal="right"/>
    </xf>
    <xf numFmtId="41" fontId="9" fillId="0" borderId="23" xfId="61" applyNumberFormat="1" applyFont="1" applyFill="1" applyBorder="1" applyAlignment="1" applyProtection="1">
      <alignment horizontal="right"/>
    </xf>
    <xf numFmtId="5" fontId="9" fillId="0" borderId="1" xfId="61" applyNumberFormat="1" applyFont="1" applyFill="1" applyBorder="1" applyAlignment="1" applyProtection="1">
      <alignment horizontal="right"/>
    </xf>
    <xf numFmtId="5" fontId="9" fillId="0" borderId="23" xfId="61" applyNumberFormat="1" applyFont="1" applyFill="1" applyBorder="1" applyAlignment="1" applyProtection="1">
      <alignment horizontal="right"/>
    </xf>
    <xf numFmtId="169" fontId="9" fillId="0" borderId="1" xfId="123" applyFont="1" applyFill="1" applyBorder="1" applyAlignment="1" applyProtection="1">
      <alignment horizontal="right"/>
    </xf>
    <xf numFmtId="171" fontId="9" fillId="0" borderId="23" xfId="60" applyNumberFormat="1" applyFont="1" applyFill="1" applyBorder="1" applyAlignment="1" applyProtection="1">
      <alignment horizontal="right"/>
    </xf>
    <xf numFmtId="37" fontId="9" fillId="0" borderId="23" xfId="60" applyFont="1" applyFill="1" applyBorder="1" applyAlignment="1" applyProtection="1">
      <alignment horizontal="right"/>
    </xf>
    <xf numFmtId="169" fontId="9" fillId="0" borderId="23" xfId="123" applyFont="1" applyFill="1" applyBorder="1" applyAlignment="1" applyProtection="1">
      <alignment horizontal="right"/>
    </xf>
    <xf numFmtId="37" fontId="9" fillId="0" borderId="1" xfId="60" applyFont="1" applyFill="1" applyBorder="1" applyAlignment="1" applyProtection="1">
      <alignment horizontal="right"/>
    </xf>
    <xf numFmtId="37" fontId="9" fillId="0" borderId="30" xfId="60" applyFont="1" applyFill="1" applyBorder="1" applyAlignment="1" applyProtection="1">
      <alignment horizontal="right"/>
    </xf>
    <xf numFmtId="37" fontId="9" fillId="0" borderId="18" xfId="109" applyFont="1" applyBorder="1"/>
    <xf numFmtId="5" fontId="9" fillId="0" borderId="27" xfId="109" applyNumberFormat="1" applyFont="1" applyBorder="1"/>
    <xf numFmtId="37" fontId="109" fillId="0" borderId="0" xfId="0" applyFont="1"/>
    <xf numFmtId="37" fontId="1" fillId="0" borderId="0" xfId="0" applyFont="1" applyAlignment="1">
      <alignment wrapText="1"/>
    </xf>
    <xf numFmtId="37" fontId="109" fillId="0" borderId="20" xfId="0" applyFont="1" applyBorder="1" applyAlignment="1">
      <alignment horizontal="left" wrapText="1"/>
    </xf>
    <xf numFmtId="37" fontId="109" fillId="0" borderId="6" xfId="0" applyFont="1" applyBorder="1" applyAlignment="1">
      <alignment wrapText="1"/>
    </xf>
    <xf numFmtId="37" fontId="109" fillId="0" borderId="6" xfId="0" applyFont="1" applyBorder="1" applyAlignment="1">
      <alignment horizontal="right" wrapText="1"/>
    </xf>
    <xf numFmtId="37" fontId="1" fillId="0" borderId="6" xfId="0" applyFont="1" applyBorder="1" applyAlignment="1">
      <alignment horizontal="right" wrapText="1"/>
    </xf>
    <xf numFmtId="37" fontId="109" fillId="0" borderId="22" xfId="0" applyFont="1" applyBorder="1" applyAlignment="1">
      <alignment horizontal="right" wrapText="1"/>
    </xf>
    <xf numFmtId="14" fontId="110" fillId="18" borderId="18" xfId="0" applyNumberFormat="1" applyFont="1" applyFill="1" applyBorder="1" applyAlignment="1">
      <alignment horizontal="left" vertical="center" wrapText="1"/>
    </xf>
    <xf numFmtId="0" fontId="111" fillId="18" borderId="0" xfId="87" applyFont="1" applyFill="1" applyBorder="1" applyAlignment="1" applyProtection="1">
      <alignment vertical="center" wrapText="1"/>
    </xf>
    <xf numFmtId="3" fontId="110" fillId="18" borderId="0" xfId="0" applyNumberFormat="1" applyFont="1" applyFill="1" applyBorder="1" applyAlignment="1">
      <alignment horizontal="right" vertical="center" wrapText="1"/>
    </xf>
    <xf numFmtId="37" fontId="110" fillId="18" borderId="0" xfId="0" applyFont="1" applyFill="1" applyBorder="1" applyAlignment="1">
      <alignment vertical="center" wrapText="1"/>
    </xf>
    <xf numFmtId="6" fontId="111" fillId="18" borderId="0" xfId="87" applyNumberFormat="1" applyFont="1" applyFill="1" applyBorder="1" applyAlignment="1" applyProtection="1">
      <alignment horizontal="right" vertical="center" wrapText="1"/>
    </xf>
    <xf numFmtId="6" fontId="1" fillId="18" borderId="0" xfId="87" applyNumberFormat="1" applyFont="1" applyFill="1" applyBorder="1" applyAlignment="1" applyProtection="1">
      <alignment horizontal="right" vertical="center" wrapText="1"/>
    </xf>
    <xf numFmtId="8" fontId="109" fillId="18" borderId="0" xfId="0" applyNumberFormat="1" applyFont="1" applyFill="1" applyBorder="1" applyAlignment="1">
      <alignment horizontal="right"/>
    </xf>
    <xf numFmtId="8" fontId="109" fillId="18" borderId="27" xfId="0" applyNumberFormat="1" applyFont="1" applyFill="1" applyBorder="1" applyAlignment="1">
      <alignment horizontal="right"/>
    </xf>
    <xf numFmtId="37" fontId="110" fillId="18" borderId="0" xfId="0" applyFont="1" applyFill="1" applyBorder="1" applyAlignment="1">
      <alignment horizontal="right" vertical="center" wrapText="1"/>
    </xf>
    <xf numFmtId="43" fontId="26" fillId="0" borderId="19" xfId="123" quotePrefix="1" applyNumberFormat="1" applyFont="1" applyFill="1" applyBorder="1" applyAlignment="1" applyProtection="1"/>
    <xf numFmtId="37" fontId="112" fillId="0" borderId="27" xfId="0" applyFont="1" applyBorder="1"/>
    <xf numFmtId="5" fontId="112" fillId="0" borderId="27" xfId="0" applyNumberFormat="1" applyFont="1" applyBorder="1"/>
    <xf numFmtId="5" fontId="1" fillId="0" borderId="30" xfId="0" applyNumberFormat="1" applyFont="1" applyBorder="1"/>
    <xf numFmtId="37" fontId="1" fillId="0" borderId="22" xfId="0" applyFont="1" applyBorder="1"/>
    <xf numFmtId="37" fontId="112" fillId="0" borderId="0" xfId="0" applyFont="1" applyBorder="1"/>
    <xf numFmtId="5" fontId="112" fillId="0" borderId="0" xfId="0" applyNumberFormat="1" applyFont="1" applyBorder="1"/>
    <xf numFmtId="7" fontId="1" fillId="0" borderId="1" xfId="0" applyNumberFormat="1" applyFont="1" applyBorder="1"/>
    <xf numFmtId="7" fontId="1" fillId="0" borderId="30" xfId="0" applyNumberFormat="1" applyFont="1" applyBorder="1"/>
    <xf numFmtId="37" fontId="109" fillId="0" borderId="29" xfId="0" applyFont="1" applyBorder="1"/>
    <xf numFmtId="37" fontId="109" fillId="0" borderId="28" xfId="0" applyFont="1" applyBorder="1"/>
    <xf numFmtId="8" fontId="109" fillId="18" borderId="28" xfId="0" applyNumberFormat="1" applyFont="1" applyFill="1" applyBorder="1" applyAlignment="1">
      <alignment horizontal="right"/>
    </xf>
    <xf numFmtId="8" fontId="109" fillId="18" borderId="31" xfId="0" applyNumberFormat="1" applyFont="1" applyFill="1" applyBorder="1" applyAlignment="1">
      <alignment horizontal="right"/>
    </xf>
    <xf numFmtId="37" fontId="1" fillId="0" borderId="29" xfId="0" applyFont="1" applyBorder="1"/>
    <xf numFmtId="37" fontId="112" fillId="0" borderId="31" xfId="0" applyFont="1" applyBorder="1"/>
    <xf numFmtId="169" fontId="112" fillId="0" borderId="27" xfId="123" applyFont="1" applyBorder="1"/>
    <xf numFmtId="169" fontId="112" fillId="0" borderId="0" xfId="123" applyFont="1" applyBorder="1"/>
    <xf numFmtId="5" fontId="1" fillId="0" borderId="26" xfId="0" applyNumberFormat="1" applyFont="1" applyBorder="1"/>
    <xf numFmtId="5" fontId="1" fillId="0" borderId="20" xfId="0" applyNumberFormat="1" applyFont="1" applyBorder="1"/>
    <xf numFmtId="5" fontId="1" fillId="0" borderId="22" xfId="0" applyNumberFormat="1" applyFont="1" applyBorder="1" applyAlignment="1">
      <alignment horizontal="right"/>
    </xf>
    <xf numFmtId="169" fontId="112" fillId="0" borderId="0" xfId="123" applyFont="1" applyFill="1" applyBorder="1"/>
    <xf numFmtId="37" fontId="15" fillId="0" borderId="0" xfId="0" applyFont="1" applyFill="1" applyBorder="1" applyAlignment="1">
      <alignment horizontal="right"/>
    </xf>
    <xf numFmtId="5" fontId="1" fillId="0" borderId="0" xfId="0" applyNumberFormat="1" applyFont="1" applyFill="1" applyBorder="1"/>
    <xf numFmtId="169" fontId="112" fillId="0" borderId="0" xfId="0" applyNumberFormat="1" applyFont="1" applyBorder="1"/>
    <xf numFmtId="37" fontId="1" fillId="0" borderId="26" xfId="0" applyFont="1" applyBorder="1" applyAlignment="1">
      <alignment horizontal="left" indent="1"/>
    </xf>
    <xf numFmtId="37" fontId="112" fillId="0" borderId="1" xfId="0" applyFont="1" applyBorder="1"/>
    <xf numFmtId="5" fontId="1" fillId="0" borderId="1" xfId="0" applyNumberFormat="1" applyFont="1" applyBorder="1"/>
    <xf numFmtId="37" fontId="1" fillId="0" borderId="20" xfId="0" applyFont="1" applyBorder="1" applyAlignment="1">
      <alignment wrapText="1"/>
    </xf>
    <xf numFmtId="37" fontId="1" fillId="0" borderId="22" xfId="0" applyFont="1" applyBorder="1" applyAlignment="1">
      <alignment horizontal="right" wrapText="1"/>
    </xf>
    <xf numFmtId="37" fontId="109" fillId="0" borderId="0" xfId="0" applyFont="1" applyBorder="1" applyAlignment="1">
      <alignment horizontal="right" wrapText="1"/>
    </xf>
    <xf numFmtId="37" fontId="39" fillId="18" borderId="0" xfId="87" applyNumberFormat="1" applyFont="1" applyFill="1" applyAlignment="1" applyProtection="1">
      <alignment vertical="center" wrapText="1"/>
    </xf>
    <xf numFmtId="37" fontId="110" fillId="18" borderId="0" xfId="0" applyFont="1" applyFill="1" applyAlignment="1">
      <alignment vertical="center" wrapText="1"/>
    </xf>
    <xf numFmtId="37" fontId="110" fillId="18" borderId="0" xfId="0" applyFont="1" applyFill="1" applyAlignment="1">
      <alignment horizontal="right" vertical="center" wrapText="1"/>
    </xf>
    <xf numFmtId="7" fontId="1" fillId="0" borderId="0" xfId="0" applyNumberFormat="1" applyFont="1" applyBorder="1" applyAlignment="1">
      <alignment horizontal="left"/>
    </xf>
    <xf numFmtId="7" fontId="1" fillId="0" borderId="28" xfId="0" applyNumberFormat="1" applyFont="1" applyBorder="1" applyAlignment="1">
      <alignment horizontal="left"/>
    </xf>
    <xf numFmtId="37" fontId="39" fillId="18" borderId="18" xfId="87" applyNumberFormat="1" applyFont="1" applyFill="1" applyBorder="1" applyAlignment="1" applyProtection="1">
      <alignment vertical="center" wrapText="1"/>
    </xf>
    <xf numFmtId="7" fontId="1" fillId="0" borderId="27" xfId="0" applyNumberFormat="1" applyFont="1" applyBorder="1"/>
    <xf numFmtId="7" fontId="1" fillId="0" borderId="26" xfId="0" applyNumberFormat="1" applyFont="1" applyBorder="1"/>
    <xf numFmtId="7" fontId="1" fillId="0" borderId="29" xfId="0" applyNumberFormat="1" applyFont="1" applyBorder="1"/>
    <xf numFmtId="7" fontId="1" fillId="0" borderId="28" xfId="0" applyNumberFormat="1" applyFont="1" applyBorder="1"/>
    <xf numFmtId="7" fontId="1" fillId="0" borderId="31" xfId="0" applyNumberFormat="1" applyFont="1" applyBorder="1"/>
    <xf numFmtId="7" fontId="1" fillId="0" borderId="20" xfId="0" applyNumberFormat="1" applyFont="1" applyBorder="1"/>
    <xf numFmtId="7" fontId="1" fillId="0" borderId="22" xfId="0" applyNumberFormat="1" applyFont="1" applyBorder="1" applyAlignment="1">
      <alignment horizontal="right"/>
    </xf>
    <xf numFmtId="37" fontId="39" fillId="18" borderId="26" xfId="87" applyNumberFormat="1" applyFont="1" applyFill="1" applyBorder="1" applyAlignment="1" applyProtection="1">
      <alignment vertical="center" wrapText="1"/>
    </xf>
    <xf numFmtId="37" fontId="110" fillId="18" borderId="1" xfId="0" applyFont="1" applyFill="1" applyBorder="1" applyAlignment="1">
      <alignment vertical="center" wrapText="1"/>
    </xf>
    <xf numFmtId="37" fontId="110" fillId="18" borderId="1" xfId="0" applyFont="1" applyFill="1" applyBorder="1" applyAlignment="1">
      <alignment horizontal="right" vertical="center" wrapText="1"/>
    </xf>
    <xf numFmtId="7" fontId="1" fillId="0" borderId="20" xfId="0" applyNumberFormat="1" applyFont="1" applyBorder="1" applyAlignment="1">
      <alignment horizontal="left"/>
    </xf>
    <xf numFmtId="7" fontId="1" fillId="0" borderId="6" xfId="0" applyNumberFormat="1" applyFont="1" applyBorder="1" applyAlignment="1">
      <alignment horizontal="right"/>
    </xf>
    <xf numFmtId="7" fontId="1" fillId="0" borderId="6" xfId="0" applyNumberFormat="1" applyFont="1" applyBorder="1" applyAlignment="1">
      <alignment horizontal="left"/>
    </xf>
    <xf numFmtId="37" fontId="1" fillId="18" borderId="0" xfId="87" applyNumberFormat="1" applyFont="1" applyFill="1" applyAlignment="1" applyProtection="1">
      <alignment vertical="center" wrapText="1"/>
    </xf>
    <xf numFmtId="37" fontId="1" fillId="18" borderId="0" xfId="0" applyFont="1" applyFill="1" applyAlignment="1">
      <alignment vertical="center" wrapText="1"/>
    </xf>
    <xf numFmtId="37" fontId="1" fillId="18" borderId="0" xfId="0" applyFont="1" applyFill="1" applyAlignment="1">
      <alignment horizontal="right" vertical="center" wrapText="1"/>
    </xf>
    <xf numFmtId="37" fontId="1" fillId="18" borderId="29" xfId="87" applyNumberFormat="1" applyFont="1" applyFill="1" applyBorder="1" applyAlignment="1" applyProtection="1">
      <alignment vertical="center" wrapText="1"/>
    </xf>
    <xf numFmtId="37" fontId="1" fillId="18" borderId="28" xfId="0" applyFont="1" applyFill="1" applyBorder="1" applyAlignment="1">
      <alignment vertical="center" wrapText="1"/>
    </xf>
    <xf numFmtId="37" fontId="1" fillId="18" borderId="28" xfId="0" applyFont="1" applyFill="1" applyBorder="1" applyAlignment="1">
      <alignment horizontal="right" vertical="center" wrapText="1"/>
    </xf>
    <xf numFmtId="5" fontId="1" fillId="0" borderId="31" xfId="0" applyNumberFormat="1" applyFont="1" applyBorder="1"/>
    <xf numFmtId="37" fontId="1" fillId="18" borderId="26" xfId="87" applyNumberFormat="1" applyFont="1" applyFill="1" applyBorder="1" applyAlignment="1" applyProtection="1">
      <alignment vertical="center" wrapText="1"/>
    </xf>
    <xf numFmtId="37" fontId="1" fillId="18" borderId="1" xfId="0" applyFont="1" applyFill="1" applyBorder="1" applyAlignment="1">
      <alignment vertical="center" wrapText="1"/>
    </xf>
    <xf numFmtId="37" fontId="1" fillId="18" borderId="1" xfId="0" applyFont="1" applyFill="1" applyBorder="1" applyAlignment="1">
      <alignment horizontal="right" vertical="center" wrapText="1"/>
    </xf>
    <xf numFmtId="5" fontId="110" fillId="18" borderId="27" xfId="0" applyNumberFormat="1" applyFont="1" applyFill="1" applyBorder="1" applyAlignment="1">
      <alignment horizontal="right" vertical="center" wrapText="1"/>
    </xf>
    <xf numFmtId="37" fontId="110" fillId="18" borderId="27" xfId="0" applyFont="1" applyFill="1" applyBorder="1" applyAlignment="1">
      <alignment horizontal="right" vertical="center" wrapText="1"/>
    </xf>
    <xf numFmtId="37" fontId="110" fillId="18" borderId="0" xfId="0" applyFont="1" applyFill="1" applyBorder="1" applyAlignment="1">
      <alignment horizontal="left" vertical="center" wrapText="1"/>
    </xf>
    <xf numFmtId="7" fontId="1" fillId="0" borderId="1" xfId="0" applyNumberFormat="1" applyFont="1" applyBorder="1" applyAlignment="1">
      <alignment horizontal="left"/>
    </xf>
    <xf numFmtId="37" fontId="110" fillId="18" borderId="1" xfId="0" applyFont="1" applyFill="1" applyBorder="1" applyAlignment="1">
      <alignment horizontal="left" vertical="center" wrapText="1"/>
    </xf>
    <xf numFmtId="37" fontId="25" fillId="0" borderId="27" xfId="0" applyFont="1" applyBorder="1"/>
    <xf numFmtId="37" fontId="1" fillId="0" borderId="49" xfId="0" applyFont="1" applyBorder="1" applyAlignment="1">
      <alignment horizontal="right"/>
    </xf>
    <xf numFmtId="37" fontId="1" fillId="0" borderId="49" xfId="0" applyFont="1" applyBorder="1"/>
    <xf numFmtId="37" fontId="25" fillId="0" borderId="49" xfId="0" applyFont="1" applyBorder="1"/>
    <xf numFmtId="5" fontId="1" fillId="0" borderId="49" xfId="0" applyNumberFormat="1" applyFont="1" applyBorder="1"/>
    <xf numFmtId="5" fontId="1" fillId="0" borderId="38" xfId="0" applyNumberFormat="1" applyFont="1" applyBorder="1"/>
    <xf numFmtId="37" fontId="1" fillId="0" borderId="38" xfId="0" applyFont="1" applyBorder="1"/>
    <xf numFmtId="172" fontId="1" fillId="0" borderId="0" xfId="0" applyNumberFormat="1" applyFont="1"/>
    <xf numFmtId="37" fontId="1" fillId="0" borderId="54" xfId="0" applyFont="1" applyBorder="1"/>
    <xf numFmtId="37" fontId="1" fillId="0" borderId="55" xfId="0" applyFont="1" applyBorder="1" applyAlignment="1">
      <alignment horizontal="right"/>
    </xf>
    <xf numFmtId="37" fontId="1" fillId="0" borderId="56" xfId="0" applyFont="1" applyBorder="1" applyAlignment="1">
      <alignment horizontal="right"/>
    </xf>
    <xf numFmtId="37" fontId="1" fillId="0" borderId="18" xfId="0" quotePrefix="1" applyFont="1" applyBorder="1" applyAlignment="1">
      <alignment horizontal="left"/>
    </xf>
    <xf numFmtId="37" fontId="1" fillId="0" borderId="18" xfId="0" applyFont="1" applyBorder="1" applyAlignment="1">
      <alignment horizontal="left"/>
    </xf>
    <xf numFmtId="172" fontId="1" fillId="0" borderId="27" xfId="0" applyNumberFormat="1" applyFont="1" applyBorder="1"/>
    <xf numFmtId="37" fontId="9" fillId="0" borderId="29" xfId="0" applyFont="1" applyBorder="1"/>
    <xf numFmtId="37" fontId="9" fillId="0" borderId="43" xfId="0" applyFont="1" applyBorder="1"/>
    <xf numFmtId="37" fontId="9" fillId="0" borderId="43" xfId="0" applyFont="1" applyBorder="1" applyAlignment="1">
      <alignment horizontal="right"/>
    </xf>
    <xf numFmtId="37" fontId="9" fillId="0" borderId="31" xfId="0" applyFont="1" applyBorder="1"/>
    <xf numFmtId="37" fontId="9" fillId="0" borderId="26" xfId="0" applyFont="1" applyBorder="1"/>
    <xf numFmtId="37" fontId="9" fillId="0" borderId="30" xfId="0" applyFont="1" applyBorder="1"/>
    <xf numFmtId="37" fontId="1" fillId="0" borderId="31" xfId="0" applyFont="1" applyBorder="1"/>
    <xf numFmtId="37" fontId="83" fillId="0" borderId="0" xfId="0" applyFont="1"/>
    <xf numFmtId="172" fontId="1" fillId="0" borderId="18" xfId="0" applyNumberFormat="1" applyFont="1" applyBorder="1"/>
    <xf numFmtId="172" fontId="1" fillId="0" borderId="0" xfId="0" applyNumberFormat="1" applyFont="1" applyBorder="1"/>
    <xf numFmtId="169" fontId="1" fillId="0" borderId="18" xfId="0" applyNumberFormat="1" applyFont="1" applyBorder="1"/>
    <xf numFmtId="169" fontId="112" fillId="0" borderId="27" xfId="0" applyNumberFormat="1" applyFont="1" applyBorder="1"/>
    <xf numFmtId="169" fontId="112" fillId="0" borderId="27" xfId="123" applyFont="1" applyFill="1" applyBorder="1"/>
    <xf numFmtId="37" fontId="1" fillId="0" borderId="0" xfId="0" applyFont="1" applyBorder="1" applyAlignment="1">
      <alignment horizontal="left" indent="1"/>
    </xf>
    <xf numFmtId="37" fontId="1" fillId="0" borderId="51" xfId="0" applyFont="1" applyBorder="1" applyAlignment="1">
      <alignment horizontal="right" wrapText="1"/>
    </xf>
    <xf numFmtId="169" fontId="1" fillId="0" borderId="49" xfId="0" applyNumberFormat="1" applyFont="1" applyBorder="1"/>
    <xf numFmtId="9" fontId="1" fillId="0" borderId="49" xfId="0" applyNumberFormat="1" applyFont="1" applyBorder="1"/>
    <xf numFmtId="5" fontId="112" fillId="0" borderId="49" xfId="0" applyNumberFormat="1" applyFont="1" applyBorder="1"/>
    <xf numFmtId="169" fontId="113" fillId="0" borderId="49" xfId="0" applyNumberFormat="1" applyFont="1" applyBorder="1"/>
    <xf numFmtId="9" fontId="112" fillId="0" borderId="49" xfId="0" applyNumberFormat="1" applyFont="1" applyBorder="1"/>
    <xf numFmtId="169" fontId="112" fillId="0" borderId="49" xfId="0" applyNumberFormat="1" applyFont="1" applyBorder="1"/>
    <xf numFmtId="169" fontId="113" fillId="0" borderId="38" xfId="0" applyNumberFormat="1" applyFont="1" applyBorder="1"/>
    <xf numFmtId="9" fontId="1" fillId="0" borderId="38" xfId="0" applyNumberFormat="1" applyFont="1" applyBorder="1"/>
    <xf numFmtId="169" fontId="1" fillId="0" borderId="38" xfId="0" applyNumberFormat="1" applyFont="1" applyBorder="1"/>
    <xf numFmtId="37" fontId="1" fillId="0" borderId="57" xfId="0" applyFont="1" applyBorder="1" applyAlignment="1">
      <alignment wrapText="1"/>
    </xf>
    <xf numFmtId="169" fontId="1" fillId="0" borderId="58" xfId="123" applyFont="1" applyBorder="1"/>
    <xf numFmtId="37" fontId="1" fillId="0" borderId="26" xfId="0" quotePrefix="1" applyFont="1" applyBorder="1"/>
    <xf numFmtId="37" fontId="1" fillId="0" borderId="26" xfId="0" applyFont="1" applyBorder="1" applyAlignment="1">
      <alignment horizontal="left"/>
    </xf>
    <xf numFmtId="172" fontId="1" fillId="0" borderId="30" xfId="0" applyNumberFormat="1" applyFont="1" applyBorder="1"/>
    <xf numFmtId="37" fontId="9" fillId="17" borderId="20" xfId="109" applyFont="1" applyFill="1" applyBorder="1"/>
    <xf numFmtId="184" fontId="5" fillId="17" borderId="6" xfId="109" applyNumberFormat="1" applyFont="1" applyFill="1" applyBorder="1" applyAlignment="1">
      <alignment horizontal="right"/>
    </xf>
    <xf numFmtId="184" fontId="5" fillId="17" borderId="6" xfId="109" applyNumberFormat="1" applyFont="1" applyFill="1" applyBorder="1"/>
    <xf numFmtId="37" fontId="5" fillId="17" borderId="29" xfId="0" applyFont="1" applyFill="1" applyBorder="1"/>
    <xf numFmtId="37" fontId="5" fillId="17" borderId="28" xfId="109" applyFont="1" applyFill="1" applyBorder="1" applyAlignment="1">
      <alignment horizontal="right"/>
    </xf>
    <xf numFmtId="37" fontId="5" fillId="17" borderId="28" xfId="109" applyFont="1" applyFill="1" applyBorder="1"/>
    <xf numFmtId="37" fontId="5" fillId="17" borderId="18" xfId="109" applyFont="1" applyFill="1" applyBorder="1"/>
    <xf numFmtId="37" fontId="9" fillId="17" borderId="0" xfId="109" applyFont="1" applyFill="1" applyBorder="1" applyAlignment="1">
      <alignment horizontal="right"/>
    </xf>
    <xf numFmtId="37" fontId="5" fillId="17" borderId="0" xfId="109" applyFont="1" applyFill="1" applyBorder="1"/>
    <xf numFmtId="37" fontId="5" fillId="17" borderId="0" xfId="109" applyFont="1" applyFill="1" applyBorder="1" applyAlignment="1">
      <alignment horizontal="right"/>
    </xf>
    <xf numFmtId="37" fontId="9" fillId="17" borderId="26" xfId="109" applyFont="1" applyFill="1" applyBorder="1"/>
    <xf numFmtId="37" fontId="9" fillId="17" borderId="1" xfId="109" applyFont="1" applyFill="1" applyBorder="1" applyAlignment="1">
      <alignment horizontal="right"/>
    </xf>
    <xf numFmtId="37" fontId="5" fillId="17" borderId="1" xfId="109" applyFont="1" applyFill="1" applyBorder="1"/>
    <xf numFmtId="37" fontId="5" fillId="17" borderId="1" xfId="109" applyFont="1" applyFill="1" applyBorder="1" applyAlignment="1">
      <alignment horizontal="right"/>
    </xf>
    <xf numFmtId="170" fontId="1" fillId="0" borderId="27" xfId="0" applyNumberFormat="1" applyFont="1" applyBorder="1"/>
    <xf numFmtId="172" fontId="1" fillId="0" borderId="10" xfId="0" applyNumberFormat="1" applyFont="1" applyBorder="1"/>
    <xf numFmtId="169" fontId="1" fillId="0" borderId="0" xfId="123" applyFont="1" applyAlignment="1">
      <alignment horizontal="right"/>
    </xf>
    <xf numFmtId="169" fontId="112" fillId="0" borderId="0" xfId="123" applyFont="1" applyAlignment="1">
      <alignment horizontal="right"/>
    </xf>
    <xf numFmtId="169" fontId="112" fillId="0" borderId="0" xfId="123" applyFont="1"/>
    <xf numFmtId="37" fontId="1" fillId="0" borderId="27" xfId="0" applyNumberFormat="1" applyFont="1" applyBorder="1"/>
    <xf numFmtId="37" fontId="1" fillId="0" borderId="0" xfId="0" applyFont="1" applyFill="1" applyAlignment="1">
      <alignment horizontal="right"/>
    </xf>
    <xf numFmtId="41" fontId="5" fillId="27" borderId="0" xfId="61" applyNumberFormat="1" applyFont="1" applyFill="1" applyBorder="1" applyProtection="1"/>
    <xf numFmtId="41" fontId="44" fillId="27" borderId="0" xfId="123" quotePrefix="1" applyNumberFormat="1" applyFont="1" applyFill="1" applyBorder="1" applyAlignment="1" applyProtection="1"/>
    <xf numFmtId="41" fontId="5" fillId="27" borderId="0" xfId="61" quotePrefix="1" applyNumberFormat="1" applyFont="1" applyFill="1" applyBorder="1" applyAlignment="1" applyProtection="1"/>
    <xf numFmtId="169" fontId="43" fillId="27" borderId="0" xfId="123" quotePrefix="1" applyNumberFormat="1" applyFont="1" applyFill="1" applyBorder="1" applyAlignment="1" applyProtection="1"/>
    <xf numFmtId="41" fontId="36" fillId="27" borderId="0" xfId="60" quotePrefix="1" applyNumberFormat="1" applyFont="1" applyFill="1" applyBorder="1" applyAlignment="1" applyProtection="1"/>
    <xf numFmtId="169" fontId="43" fillId="27" borderId="1" xfId="123" quotePrefix="1" applyNumberFormat="1" applyFont="1" applyFill="1" applyBorder="1" applyAlignment="1" applyProtection="1"/>
    <xf numFmtId="189" fontId="8" fillId="0" borderId="0" xfId="61" applyNumberFormat="1" applyFont="1" applyFill="1" applyBorder="1"/>
    <xf numFmtId="10" fontId="5" fillId="0" borderId="0" xfId="123" applyNumberFormat="1" applyFont="1" applyBorder="1"/>
    <xf numFmtId="169" fontId="5" fillId="0" borderId="0" xfId="123" applyNumberFormat="1" applyFont="1" applyBorder="1"/>
    <xf numFmtId="169" fontId="1" fillId="0" borderId="0" xfId="123" applyNumberFormat="1" applyFont="1" applyBorder="1"/>
    <xf numFmtId="5" fontId="8" fillId="0" borderId="18" xfId="61" applyFont="1" applyFill="1" applyBorder="1"/>
    <xf numFmtId="37" fontId="8" fillId="0" borderId="18" xfId="60" applyFont="1" applyFill="1" applyBorder="1"/>
    <xf numFmtId="9" fontId="8" fillId="0" borderId="18" xfId="123" applyNumberFormat="1" applyFont="1" applyFill="1" applyBorder="1"/>
    <xf numFmtId="169" fontId="8" fillId="0" borderId="18" xfId="123" applyFont="1" applyFill="1" applyBorder="1"/>
    <xf numFmtId="5" fontId="28" fillId="24" borderId="20" xfId="0" applyNumberFormat="1" applyFont="1" applyFill="1" applyBorder="1"/>
    <xf numFmtId="169" fontId="28" fillId="24" borderId="20" xfId="123" applyFont="1" applyFill="1" applyBorder="1"/>
    <xf numFmtId="5" fontId="9" fillId="24" borderId="20" xfId="0" applyNumberFormat="1" applyFont="1" applyFill="1" applyBorder="1"/>
    <xf numFmtId="169" fontId="5" fillId="27" borderId="0" xfId="123" applyNumberFormat="1" applyFont="1" applyFill="1" applyBorder="1"/>
    <xf numFmtId="169" fontId="9" fillId="27" borderId="6" xfId="123" applyNumberFormat="1" applyFont="1" applyFill="1" applyBorder="1"/>
    <xf numFmtId="169" fontId="5" fillId="27" borderId="0" xfId="123" applyFont="1" applyFill="1"/>
    <xf numFmtId="169" fontId="5" fillId="27" borderId="6" xfId="123" applyFont="1" applyFill="1" applyBorder="1"/>
    <xf numFmtId="169" fontId="5" fillId="27" borderId="6" xfId="123" applyNumberFormat="1" applyFont="1" applyFill="1" applyBorder="1"/>
    <xf numFmtId="37" fontId="45" fillId="0" borderId="1" xfId="0" applyFont="1" applyBorder="1" applyAlignment="1">
      <alignment horizontal="right"/>
    </xf>
    <xf numFmtId="169" fontId="119" fillId="0" borderId="0" xfId="123" applyFont="1"/>
    <xf numFmtId="169" fontId="25" fillId="0" borderId="35" xfId="0" applyNumberFormat="1" applyFont="1" applyBorder="1" applyAlignment="1">
      <alignment horizontal="left"/>
    </xf>
    <xf numFmtId="169" fontId="25" fillId="0" borderId="35" xfId="123" applyNumberFormat="1" applyFont="1" applyBorder="1"/>
    <xf numFmtId="169" fontId="25" fillId="0" borderId="0" xfId="123" applyNumberFormat="1" applyFont="1" applyBorder="1"/>
    <xf numFmtId="169" fontId="25" fillId="0" borderId="35" xfId="0" applyNumberFormat="1" applyFont="1" applyBorder="1"/>
    <xf numFmtId="169" fontId="25" fillId="0" borderId="36" xfId="0" applyNumberFormat="1" applyFont="1" applyBorder="1"/>
    <xf numFmtId="169" fontId="25" fillId="0" borderId="0" xfId="123" applyNumberFormat="1" applyFont="1"/>
    <xf numFmtId="169" fontId="25" fillId="0" borderId="0" xfId="0" applyNumberFormat="1" applyFont="1"/>
    <xf numFmtId="169" fontId="25" fillId="0" borderId="0" xfId="0" applyNumberFormat="1" applyFont="1" applyAlignment="1">
      <alignment horizontal="right"/>
    </xf>
    <xf numFmtId="169" fontId="1" fillId="0" borderId="19" xfId="123" applyFont="1" applyBorder="1" applyAlignment="1">
      <alignment horizontal="right"/>
    </xf>
    <xf numFmtId="37" fontId="9" fillId="0" borderId="10" xfId="0" applyFont="1" applyBorder="1"/>
    <xf numFmtId="37" fontId="9" fillId="0" borderId="10" xfId="0" applyFont="1" applyBorder="1" applyAlignment="1">
      <alignment horizontal="right"/>
    </xf>
    <xf numFmtId="168" fontId="9" fillId="0" borderId="10" xfId="0" applyNumberFormat="1" applyFont="1" applyBorder="1" applyAlignment="1">
      <alignment horizontal="right"/>
    </xf>
    <xf numFmtId="169" fontId="119" fillId="0" borderId="27" xfId="123" applyFont="1" applyBorder="1"/>
    <xf numFmtId="37" fontId="120" fillId="23" borderId="0" xfId="0" applyFont="1" applyFill="1" applyAlignment="1">
      <alignment vertical="center" wrapText="1"/>
    </xf>
    <xf numFmtId="37" fontId="120" fillId="18" borderId="0" xfId="0" applyFont="1" applyFill="1" applyAlignment="1">
      <alignment vertical="center" wrapText="1"/>
    </xf>
    <xf numFmtId="37" fontId="120" fillId="18" borderId="0" xfId="0" applyFont="1" applyFill="1" applyAlignment="1">
      <alignment horizontal="right" vertical="center" wrapText="1"/>
    </xf>
    <xf numFmtId="37" fontId="120" fillId="18" borderId="0" xfId="0" applyFont="1" applyFill="1" applyBorder="1" applyAlignment="1">
      <alignment horizontal="left" vertical="center" wrapText="1"/>
    </xf>
    <xf numFmtId="37" fontId="120" fillId="18" borderId="0" xfId="0" applyFont="1" applyFill="1" applyBorder="1" applyAlignment="1">
      <alignment vertical="center" wrapText="1"/>
    </xf>
    <xf numFmtId="37" fontId="120" fillId="18" borderId="0" xfId="0" applyFont="1" applyFill="1" applyBorder="1" applyAlignment="1">
      <alignment horizontal="right" vertical="center" wrapText="1"/>
    </xf>
    <xf numFmtId="37" fontId="120" fillId="18" borderId="27" xfId="0" applyFont="1" applyFill="1" applyBorder="1" applyAlignment="1">
      <alignment horizontal="right" vertical="center" wrapText="1"/>
    </xf>
    <xf numFmtId="37" fontId="121" fillId="18" borderId="0" xfId="0" applyFont="1" applyFill="1" applyAlignment="1">
      <alignment vertical="center" wrapText="1"/>
    </xf>
    <xf numFmtId="169" fontId="45" fillId="0" borderId="6" xfId="123" applyFont="1" applyFill="1" applyBorder="1" applyAlignment="1" applyProtection="1">
      <alignment horizontal="right"/>
    </xf>
    <xf numFmtId="37" fontId="45" fillId="0" borderId="19" xfId="61" applyNumberFormat="1" applyFont="1" applyFill="1" applyBorder="1" applyAlignment="1">
      <alignment horizontal="right"/>
    </xf>
    <xf numFmtId="37" fontId="45" fillId="0" borderId="0" xfId="60" quotePrefix="1" applyFont="1" applyFill="1" applyBorder="1" applyAlignment="1" applyProtection="1">
      <alignment horizontal="right"/>
    </xf>
    <xf numFmtId="37" fontId="1" fillId="23" borderId="49" xfId="0" applyFont="1" applyFill="1" applyBorder="1" applyAlignment="1">
      <alignment horizontal="right"/>
    </xf>
    <xf numFmtId="0" fontId="9" fillId="0" borderId="0" xfId="115" applyNumberFormat="1" applyFont="1"/>
    <xf numFmtId="37" fontId="1" fillId="0" borderId="0" xfId="115" applyFont="1"/>
    <xf numFmtId="37" fontId="1" fillId="0" borderId="0" xfId="115" applyFont="1" applyBorder="1"/>
    <xf numFmtId="0" fontId="1" fillId="0" borderId="0" xfId="115" applyNumberFormat="1" applyFont="1"/>
    <xf numFmtId="0" fontId="25" fillId="0" borderId="0" xfId="115" applyNumberFormat="1" applyFont="1"/>
    <xf numFmtId="37" fontId="38" fillId="0" borderId="0" xfId="115" applyFont="1" applyBorder="1"/>
    <xf numFmtId="37" fontId="9" fillId="0" borderId="0" xfId="115" applyFont="1" applyBorder="1" applyAlignment="1">
      <alignment horizontal="right"/>
    </xf>
    <xf numFmtId="37" fontId="9" fillId="0" borderId="0" xfId="115" applyFont="1" applyBorder="1"/>
    <xf numFmtId="0" fontId="9" fillId="0" borderId="59" xfId="115" applyNumberFormat="1" applyFont="1" applyBorder="1"/>
    <xf numFmtId="37" fontId="1" fillId="0" borderId="19" xfId="115" applyFont="1" applyBorder="1"/>
    <xf numFmtId="37" fontId="1" fillId="0" borderId="27" xfId="115" applyFont="1" applyBorder="1"/>
    <xf numFmtId="0" fontId="1" fillId="0" borderId="18" xfId="0" applyNumberFormat="1" applyFont="1" applyFill="1" applyBorder="1" applyAlignment="1" applyProtection="1">
      <alignment horizontal="left"/>
    </xf>
    <xf numFmtId="5" fontId="1" fillId="0" borderId="19" xfId="115" applyNumberFormat="1" applyFont="1" applyBorder="1"/>
    <xf numFmtId="5" fontId="1" fillId="0" borderId="0" xfId="115" applyNumberFormat="1" applyFont="1" applyBorder="1"/>
    <xf numFmtId="9" fontId="1" fillId="0" borderId="0" xfId="130" applyNumberFormat="1" applyFont="1" applyBorder="1"/>
    <xf numFmtId="37" fontId="1" fillId="0" borderId="0" xfId="115" applyNumberFormat="1" applyFont="1" applyBorder="1"/>
    <xf numFmtId="37" fontId="1" fillId="0" borderId="19" xfId="115" applyNumberFormat="1" applyFont="1" applyBorder="1"/>
    <xf numFmtId="10" fontId="1" fillId="0" borderId="0" xfId="130" applyNumberFormat="1" applyFont="1" applyBorder="1"/>
    <xf numFmtId="0" fontId="1" fillId="0" borderId="18" xfId="115" applyNumberFormat="1" applyFont="1" applyBorder="1"/>
    <xf numFmtId="9" fontId="1" fillId="0" borderId="0" xfId="115" applyNumberFormat="1" applyFont="1" applyBorder="1"/>
    <xf numFmtId="170" fontId="1" fillId="0" borderId="0" xfId="115" applyNumberFormat="1" applyFont="1" applyBorder="1"/>
    <xf numFmtId="0" fontId="9" fillId="0" borderId="18" xfId="115" applyNumberFormat="1" applyFont="1" applyBorder="1"/>
    <xf numFmtId="0" fontId="1" fillId="0" borderId="18" xfId="110" applyNumberFormat="1" applyFont="1" applyBorder="1" applyAlignment="1">
      <alignment horizontal="left"/>
    </xf>
    <xf numFmtId="0" fontId="9" fillId="0" borderId="18" xfId="110" applyNumberFormat="1" applyFont="1" applyBorder="1" applyAlignment="1">
      <alignment horizontal="left"/>
    </xf>
    <xf numFmtId="5" fontId="9" fillId="0" borderId="19" xfId="61" applyNumberFormat="1" applyFont="1" applyBorder="1"/>
    <xf numFmtId="5" fontId="9" fillId="0" borderId="0" xfId="61" applyNumberFormat="1" applyFont="1" applyBorder="1"/>
    <xf numFmtId="37" fontId="9" fillId="0" borderId="0" xfId="115" applyNumberFormat="1" applyFont="1" applyBorder="1"/>
    <xf numFmtId="9" fontId="9" fillId="0" borderId="0" xfId="130" applyNumberFormat="1" applyFont="1" applyBorder="1"/>
    <xf numFmtId="37" fontId="9" fillId="0" borderId="19" xfId="115" applyNumberFormat="1" applyFont="1" applyBorder="1"/>
    <xf numFmtId="10" fontId="9" fillId="0" borderId="0" xfId="130" applyNumberFormat="1" applyFont="1" applyBorder="1"/>
    <xf numFmtId="0" fontId="9" fillId="0" borderId="20" xfId="115" applyNumberFormat="1" applyFont="1" applyBorder="1"/>
    <xf numFmtId="37" fontId="9" fillId="0" borderId="6" xfId="115" applyFont="1" applyBorder="1"/>
    <xf numFmtId="5" fontId="9" fillId="0" borderId="10" xfId="61" applyNumberFormat="1" applyFont="1" applyBorder="1"/>
    <xf numFmtId="5" fontId="9" fillId="0" borderId="6" xfId="61" applyNumberFormat="1" applyFont="1" applyBorder="1"/>
    <xf numFmtId="5" fontId="9" fillId="0" borderId="6" xfId="115" applyNumberFormat="1" applyFont="1" applyBorder="1"/>
    <xf numFmtId="37" fontId="9" fillId="0" borderId="6" xfId="115" applyNumberFormat="1" applyFont="1" applyBorder="1"/>
    <xf numFmtId="9" fontId="9" fillId="0" borderId="6" xfId="130" applyNumberFormat="1" applyFont="1" applyBorder="1"/>
    <xf numFmtId="0" fontId="9" fillId="0" borderId="18" xfId="115" applyNumberFormat="1" applyFont="1" applyFill="1" applyBorder="1"/>
    <xf numFmtId="37" fontId="1" fillId="0" borderId="0" xfId="115" applyFont="1" applyFill="1" applyBorder="1"/>
    <xf numFmtId="37" fontId="9" fillId="0" borderId="19" xfId="61" applyNumberFormat="1" applyFont="1" applyFill="1" applyBorder="1"/>
    <xf numFmtId="37" fontId="9" fillId="0" borderId="0" xfId="61" applyNumberFormat="1" applyFont="1" applyFill="1" applyBorder="1"/>
    <xf numFmtId="37" fontId="9" fillId="0" borderId="0" xfId="115" applyNumberFormat="1" applyFont="1" applyFill="1" applyBorder="1"/>
    <xf numFmtId="9" fontId="9" fillId="0" borderId="0" xfId="130" applyNumberFormat="1" applyFont="1" applyFill="1" applyBorder="1"/>
    <xf numFmtId="37" fontId="9" fillId="0" borderId="19" xfId="115" applyNumberFormat="1" applyFont="1" applyFill="1" applyBorder="1"/>
    <xf numFmtId="9" fontId="1" fillId="0" borderId="0" xfId="115" applyNumberFormat="1" applyFont="1" applyFill="1" applyBorder="1"/>
    <xf numFmtId="9" fontId="1" fillId="0" borderId="0" xfId="115" applyNumberFormat="1" applyFont="1" applyFill="1" applyBorder="1" applyAlignment="1">
      <alignment horizontal="right"/>
    </xf>
    <xf numFmtId="0" fontId="1" fillId="0" borderId="0" xfId="0" applyNumberFormat="1" applyFont="1"/>
    <xf numFmtId="168" fontId="1" fillId="0" borderId="0" xfId="0" applyNumberFormat="1" applyFont="1"/>
    <xf numFmtId="37" fontId="1" fillId="0" borderId="59" xfId="115" applyFont="1" applyBorder="1"/>
    <xf numFmtId="9" fontId="1" fillId="0" borderId="27" xfId="130" applyNumberFormat="1" applyFont="1" applyBorder="1"/>
    <xf numFmtId="41" fontId="1" fillId="0" borderId="0" xfId="115" applyNumberFormat="1" applyFont="1" applyBorder="1"/>
    <xf numFmtId="9" fontId="1" fillId="0" borderId="27" xfId="115" applyNumberFormat="1" applyFont="1" applyBorder="1"/>
    <xf numFmtId="9" fontId="9" fillId="0" borderId="22" xfId="130" applyNumberFormat="1" applyFont="1" applyBorder="1"/>
    <xf numFmtId="9" fontId="9" fillId="0" borderId="27" xfId="130" applyNumberFormat="1" applyFont="1" applyBorder="1"/>
    <xf numFmtId="9" fontId="9" fillId="0" borderId="27" xfId="130" applyNumberFormat="1" applyFont="1" applyFill="1" applyBorder="1"/>
    <xf numFmtId="37" fontId="0" fillId="0" borderId="0" xfId="0" applyBorder="1"/>
    <xf numFmtId="0" fontId="1" fillId="17" borderId="60" xfId="115" applyNumberFormat="1" applyFont="1" applyFill="1" applyBorder="1"/>
    <xf numFmtId="37" fontId="1" fillId="17" borderId="14" xfId="115" applyFont="1" applyFill="1" applyBorder="1"/>
    <xf numFmtId="0" fontId="1" fillId="17" borderId="61" xfId="115" applyNumberFormat="1" applyFont="1" applyFill="1" applyBorder="1"/>
    <xf numFmtId="37" fontId="1" fillId="17" borderId="0" xfId="115" applyFont="1" applyFill="1" applyBorder="1"/>
    <xf numFmtId="37" fontId="9" fillId="17" borderId="6" xfId="115" applyFont="1" applyFill="1" applyBorder="1" applyAlignment="1">
      <alignment horizontal="centerContinuous"/>
    </xf>
    <xf numFmtId="37" fontId="9" fillId="17" borderId="62" xfId="115" applyFont="1" applyFill="1" applyBorder="1" applyAlignment="1">
      <alignment horizontal="centerContinuous"/>
    </xf>
    <xf numFmtId="0" fontId="1" fillId="17" borderId="63" xfId="115" applyNumberFormat="1" applyFont="1" applyFill="1" applyBorder="1"/>
    <xf numFmtId="37" fontId="1" fillId="17" borderId="15" xfId="115" applyFont="1" applyFill="1" applyBorder="1"/>
    <xf numFmtId="37" fontId="9" fillId="17" borderId="64" xfId="115" applyFont="1" applyFill="1" applyBorder="1" applyAlignment="1">
      <alignment horizontal="right"/>
    </xf>
    <xf numFmtId="37" fontId="9" fillId="17" borderId="15" xfId="115" applyFont="1" applyFill="1" applyBorder="1" applyAlignment="1">
      <alignment horizontal="right"/>
    </xf>
    <xf numFmtId="37" fontId="9" fillId="17" borderId="65" xfId="115" applyFont="1" applyFill="1" applyBorder="1" applyAlignment="1">
      <alignment horizontal="right"/>
    </xf>
    <xf numFmtId="5" fontId="1" fillId="0" borderId="18" xfId="115" applyNumberFormat="1" applyFont="1" applyBorder="1"/>
    <xf numFmtId="41" fontId="1" fillId="0" borderId="18" xfId="115" applyNumberFormat="1" applyFont="1" applyBorder="1"/>
    <xf numFmtId="37" fontId="122" fillId="0" borderId="0" xfId="115" applyFont="1"/>
    <xf numFmtId="37" fontId="9" fillId="17" borderId="66" xfId="115" applyFont="1" applyFill="1" applyBorder="1" applyAlignment="1">
      <alignment horizontal="centerContinuous"/>
    </xf>
    <xf numFmtId="37" fontId="9" fillId="17" borderId="67" xfId="115" applyFont="1" applyFill="1" applyBorder="1" applyAlignment="1">
      <alignment horizontal="centerContinuous"/>
    </xf>
    <xf numFmtId="37" fontId="9" fillId="17" borderId="68" xfId="115" applyFont="1" applyFill="1" applyBorder="1" applyAlignment="1">
      <alignment horizontal="centerContinuous"/>
    </xf>
    <xf numFmtId="37" fontId="9" fillId="17" borderId="14" xfId="115" applyFont="1" applyFill="1" applyBorder="1" applyAlignment="1">
      <alignment horizontal="centerContinuous"/>
    </xf>
    <xf numFmtId="37" fontId="9" fillId="17" borderId="69" xfId="115" applyFont="1" applyFill="1" applyBorder="1" applyAlignment="1">
      <alignment horizontal="centerContinuous"/>
    </xf>
    <xf numFmtId="37" fontId="1" fillId="17" borderId="18" xfId="115" applyFont="1" applyFill="1" applyBorder="1"/>
    <xf numFmtId="37" fontId="9" fillId="17" borderId="22" xfId="115" applyFont="1" applyFill="1" applyBorder="1" applyAlignment="1">
      <alignment horizontal="centerContinuous"/>
    </xf>
    <xf numFmtId="0" fontId="9" fillId="17" borderId="20" xfId="115" applyNumberFormat="1" applyFont="1" applyFill="1" applyBorder="1"/>
    <xf numFmtId="37" fontId="1" fillId="17" borderId="6" xfId="115" applyFont="1" applyFill="1" applyBorder="1"/>
    <xf numFmtId="37" fontId="9" fillId="17" borderId="6" xfId="115" applyNumberFormat="1" applyFont="1" applyFill="1" applyBorder="1"/>
    <xf numFmtId="9" fontId="9" fillId="17" borderId="6" xfId="130" applyNumberFormat="1" applyFont="1" applyFill="1" applyBorder="1"/>
    <xf numFmtId="7" fontId="9" fillId="17" borderId="10" xfId="61" applyNumberFormat="1" applyFont="1" applyFill="1" applyBorder="1"/>
    <xf numFmtId="7" fontId="9" fillId="17" borderId="6" xfId="61" applyNumberFormat="1" applyFont="1" applyFill="1" applyBorder="1"/>
    <xf numFmtId="41" fontId="1" fillId="0" borderId="19" xfId="115" applyNumberFormat="1" applyFont="1" applyBorder="1"/>
    <xf numFmtId="41" fontId="1" fillId="0" borderId="19" xfId="61" applyNumberFormat="1" applyFont="1" applyBorder="1"/>
    <xf numFmtId="37" fontId="1" fillId="0" borderId="14" xfId="115" applyFont="1" applyBorder="1"/>
    <xf numFmtId="37" fontId="1" fillId="0" borderId="18" xfId="115" applyNumberFormat="1" applyFont="1" applyBorder="1"/>
    <xf numFmtId="5" fontId="9" fillId="17" borderId="20" xfId="61" applyNumberFormat="1" applyFont="1" applyFill="1" applyBorder="1"/>
    <xf numFmtId="5" fontId="9" fillId="0" borderId="18" xfId="61" applyNumberFormat="1" applyFont="1" applyBorder="1"/>
    <xf numFmtId="37" fontId="9" fillId="0" borderId="18" xfId="115" applyNumberFormat="1" applyFont="1" applyBorder="1"/>
    <xf numFmtId="41" fontId="1" fillId="0" borderId="18" xfId="61" applyNumberFormat="1" applyFont="1" applyBorder="1"/>
    <xf numFmtId="41" fontId="1" fillId="0" borderId="0" xfId="61" applyNumberFormat="1" applyFont="1" applyBorder="1"/>
    <xf numFmtId="5" fontId="9" fillId="0" borderId="20" xfId="61" applyNumberFormat="1" applyFont="1" applyBorder="1"/>
    <xf numFmtId="7" fontId="9" fillId="17" borderId="20" xfId="61" applyNumberFormat="1" applyFont="1" applyFill="1" applyBorder="1"/>
    <xf numFmtId="37" fontId="9" fillId="0" borderId="18" xfId="61" applyNumberFormat="1" applyFont="1" applyFill="1" applyBorder="1"/>
    <xf numFmtId="37" fontId="9" fillId="0" borderId="18" xfId="115" applyNumberFormat="1" applyFont="1" applyFill="1" applyBorder="1"/>
    <xf numFmtId="41" fontId="1" fillId="0" borderId="1" xfId="61" applyNumberFormat="1" applyFont="1" applyBorder="1"/>
    <xf numFmtId="37" fontId="1" fillId="0" borderId="70" xfId="115" applyFont="1" applyBorder="1"/>
    <xf numFmtId="9" fontId="9" fillId="17" borderId="22" xfId="130" applyNumberFormat="1" applyFont="1" applyFill="1" applyBorder="1"/>
    <xf numFmtId="0" fontId="1" fillId="0" borderId="18" xfId="61" applyNumberFormat="1" applyFont="1" applyFill="1" applyBorder="1" applyAlignment="1" applyProtection="1">
      <alignment horizontal="left"/>
    </xf>
    <xf numFmtId="9" fontId="1" fillId="0" borderId="27" xfId="130" applyNumberFormat="1" applyFont="1" applyBorder="1" applyAlignment="1">
      <alignment horizontal="right"/>
    </xf>
    <xf numFmtId="9" fontId="1" fillId="0" borderId="0" xfId="130" applyNumberFormat="1" applyFont="1" applyBorder="1" applyAlignment="1">
      <alignment horizontal="right"/>
    </xf>
    <xf numFmtId="4" fontId="5" fillId="0" borderId="0" xfId="0" applyNumberFormat="1" applyFont="1" applyFill="1" applyBorder="1" applyProtection="1"/>
    <xf numFmtId="169" fontId="28" fillId="24" borderId="6" xfId="123" applyFont="1" applyFill="1" applyBorder="1"/>
    <xf numFmtId="5" fontId="28" fillId="24" borderId="6" xfId="0" applyNumberFormat="1" applyFont="1" applyFill="1" applyBorder="1"/>
    <xf numFmtId="37" fontId="36" fillId="0" borderId="1" xfId="123" quotePrefix="1" applyNumberFormat="1" applyFont="1" applyFill="1" applyBorder="1" applyAlignment="1" applyProtection="1"/>
    <xf numFmtId="7" fontId="5" fillId="0" borderId="0" xfId="61" applyNumberFormat="1" applyFont="1" applyFill="1" applyBorder="1"/>
    <xf numFmtId="168" fontId="9" fillId="0" borderId="0" xfId="0" applyNumberFormat="1" applyFont="1" applyBorder="1" applyAlignment="1">
      <alignment horizontal="right"/>
    </xf>
    <xf numFmtId="195" fontId="5" fillId="0" borderId="0" xfId="0" applyNumberFormat="1" applyFont="1"/>
    <xf numFmtId="9" fontId="1" fillId="0" borderId="18" xfId="0" applyNumberFormat="1" applyFont="1" applyBorder="1" applyAlignment="1">
      <alignment horizontal="left" indent="1"/>
    </xf>
    <xf numFmtId="37" fontId="123" fillId="0" borderId="0" xfId="0" applyFont="1" applyBorder="1"/>
    <xf numFmtId="41" fontId="124" fillId="0" borderId="19" xfId="60" quotePrefix="1" applyNumberFormat="1" applyFont="1" applyFill="1" applyBorder="1" applyAlignment="1" applyProtection="1"/>
    <xf numFmtId="41" fontId="125" fillId="0" borderId="19" xfId="60" quotePrefix="1" applyNumberFormat="1" applyFont="1" applyFill="1" applyBorder="1" applyAlignment="1" applyProtection="1"/>
    <xf numFmtId="41" fontId="125" fillId="0" borderId="0" xfId="60" quotePrefix="1" applyNumberFormat="1" applyFont="1" applyFill="1" applyBorder="1" applyAlignment="1" applyProtection="1"/>
    <xf numFmtId="5" fontId="25" fillId="0" borderId="0" xfId="61" quotePrefix="1" applyFont="1" applyFill="1" applyBorder="1" applyAlignment="1" applyProtection="1"/>
    <xf numFmtId="5" fontId="44" fillId="0" borderId="19" xfId="61" quotePrefix="1" applyFont="1" applyFill="1" applyBorder="1" applyAlignment="1" applyProtection="1"/>
    <xf numFmtId="5" fontId="25" fillId="0" borderId="19" xfId="61" quotePrefix="1" applyFont="1" applyFill="1" applyBorder="1" applyAlignment="1" applyProtection="1"/>
    <xf numFmtId="0" fontId="9" fillId="0" borderId="18" xfId="0" applyNumberFormat="1" applyFont="1" applyFill="1" applyBorder="1" applyAlignment="1">
      <alignment horizontal="right"/>
    </xf>
    <xf numFmtId="0" fontId="9" fillId="0" borderId="0" xfId="0" applyNumberFormat="1" applyFont="1" applyFill="1" applyBorder="1" applyAlignment="1">
      <alignment horizontal="right"/>
    </xf>
    <xf numFmtId="0" fontId="9" fillId="0" borderId="27" xfId="0" applyNumberFormat="1" applyFont="1" applyFill="1" applyBorder="1" applyAlignment="1">
      <alignment horizontal="right"/>
    </xf>
    <xf numFmtId="9" fontId="8" fillId="0" borderId="26" xfId="123" applyNumberFormat="1" applyFont="1" applyBorder="1"/>
    <xf numFmtId="9" fontId="8" fillId="0" borderId="30" xfId="123" applyNumberFormat="1" applyFont="1" applyBorder="1"/>
    <xf numFmtId="9" fontId="9" fillId="0" borderId="26" xfId="123" applyNumberFormat="1" applyFont="1" applyFill="1" applyBorder="1"/>
    <xf numFmtId="9" fontId="9" fillId="0" borderId="30" xfId="123" applyNumberFormat="1" applyFont="1" applyFill="1" applyBorder="1"/>
    <xf numFmtId="169" fontId="5" fillId="0" borderId="18" xfId="123" applyNumberFormat="1" applyFont="1" applyFill="1" applyBorder="1"/>
    <xf numFmtId="37" fontId="5" fillId="24" borderId="20" xfId="0" applyFont="1" applyFill="1" applyBorder="1"/>
    <xf numFmtId="41" fontId="45" fillId="0" borderId="27" xfId="123" applyNumberFormat="1" applyFont="1" applyFill="1" applyBorder="1" applyAlignment="1" applyProtection="1"/>
    <xf numFmtId="169" fontId="8" fillId="0" borderId="18" xfId="123" applyFont="1" applyBorder="1"/>
    <xf numFmtId="7" fontId="5" fillId="0" borderId="18" xfId="0" applyNumberFormat="1" applyFont="1" applyBorder="1"/>
    <xf numFmtId="39" fontId="5" fillId="0" borderId="18" xfId="0" applyNumberFormat="1" applyFont="1" applyBorder="1"/>
    <xf numFmtId="39" fontId="5" fillId="0" borderId="27" xfId="0" applyNumberFormat="1" applyFont="1" applyBorder="1"/>
    <xf numFmtId="169" fontId="5" fillId="0" borderId="18" xfId="123" applyNumberFormat="1" applyFont="1" applyBorder="1"/>
    <xf numFmtId="169" fontId="5" fillId="0" borderId="27" xfId="123" applyNumberFormat="1" applyFont="1" applyBorder="1"/>
    <xf numFmtId="37" fontId="45" fillId="0" borderId="27" xfId="0" applyFont="1" applyBorder="1" applyAlignment="1">
      <alignment horizontal="right"/>
    </xf>
    <xf numFmtId="169" fontId="9" fillId="24" borderId="22" xfId="123" applyFont="1" applyFill="1" applyBorder="1"/>
    <xf numFmtId="5" fontId="5" fillId="0" borderId="18" xfId="61" applyNumberFormat="1" applyFont="1" applyFill="1" applyBorder="1"/>
    <xf numFmtId="5" fontId="5" fillId="0" borderId="27" xfId="61" applyNumberFormat="1" applyFont="1" applyFill="1" applyBorder="1"/>
    <xf numFmtId="186" fontId="15" fillId="0" borderId="0" xfId="0" applyNumberFormat="1" applyFont="1" applyFill="1" applyBorder="1"/>
    <xf numFmtId="37" fontId="25" fillId="0" borderId="6" xfId="60" applyFont="1" applyFill="1" applyBorder="1"/>
    <xf numFmtId="205" fontId="5" fillId="0" borderId="27" xfId="0" applyNumberFormat="1" applyFont="1" applyFill="1" applyBorder="1"/>
    <xf numFmtId="186" fontId="5" fillId="0" borderId="0" xfId="0" applyNumberFormat="1" applyFont="1"/>
    <xf numFmtId="186" fontId="15" fillId="0" borderId="0" xfId="0" applyNumberFormat="1" applyFont="1"/>
    <xf numFmtId="205" fontId="5" fillId="0" borderId="0" xfId="0" applyNumberFormat="1" applyFont="1" applyFill="1" applyBorder="1"/>
    <xf numFmtId="205" fontId="5" fillId="0" borderId="0" xfId="0" applyNumberFormat="1" applyFont="1"/>
    <xf numFmtId="205" fontId="15" fillId="0" borderId="0" xfId="0" applyNumberFormat="1" applyFont="1"/>
    <xf numFmtId="169" fontId="8" fillId="0" borderId="30" xfId="123" applyFont="1" applyFill="1" applyBorder="1"/>
    <xf numFmtId="169" fontId="5" fillId="0" borderId="27" xfId="123" applyNumberFormat="1" applyFont="1" applyFill="1" applyBorder="1" applyAlignment="1">
      <alignment horizontal="right"/>
    </xf>
    <xf numFmtId="39" fontId="5" fillId="0" borderId="0" xfId="0" applyNumberFormat="1" applyFont="1" applyFill="1"/>
    <xf numFmtId="169" fontId="5" fillId="0" borderId="21" xfId="61" applyNumberFormat="1" applyFont="1" applyFill="1" applyBorder="1"/>
    <xf numFmtId="9" fontId="5" fillId="0" borderId="0" xfId="0" applyNumberFormat="1" applyFont="1" applyFill="1"/>
    <xf numFmtId="7" fontId="130" fillId="17" borderId="10" xfId="61" applyNumberFormat="1" applyFont="1" applyFill="1" applyBorder="1"/>
    <xf numFmtId="5" fontId="43" fillId="0" borderId="19" xfId="60" quotePrefix="1" applyNumberFormat="1" applyFont="1" applyFill="1" applyBorder="1" applyAlignment="1" applyProtection="1"/>
    <xf numFmtId="37" fontId="38" fillId="0" borderId="0" xfId="0" applyFont="1" applyFill="1" applyBorder="1" applyAlignment="1">
      <alignment horizontal="right"/>
    </xf>
    <xf numFmtId="4" fontId="5" fillId="0" borderId="0" xfId="123" quotePrefix="1" applyNumberFormat="1" applyFont="1" applyFill="1" applyBorder="1" applyAlignment="1" applyProtection="1"/>
    <xf numFmtId="169" fontId="1" fillId="0" borderId="18" xfId="60" applyNumberFormat="1" applyFont="1" applyFill="1" applyBorder="1" applyAlignment="1" applyProtection="1">
      <alignment horizontal="left"/>
    </xf>
    <xf numFmtId="5" fontId="8" fillId="0" borderId="19" xfId="61" applyFont="1" applyBorder="1"/>
    <xf numFmtId="169" fontId="45" fillId="0" borderId="0" xfId="123" applyNumberFormat="1" applyFont="1" applyFill="1" applyBorder="1" applyAlignment="1" applyProtection="1">
      <alignment horizontal="center"/>
    </xf>
    <xf numFmtId="169" fontId="45" fillId="18" borderId="19" xfId="123" quotePrefix="1" applyNumberFormat="1" applyFont="1" applyFill="1" applyBorder="1" applyAlignment="1" applyProtection="1">
      <alignment horizontal="right"/>
    </xf>
    <xf numFmtId="5" fontId="43" fillId="0" borderId="19" xfId="60" quotePrefix="1" applyNumberFormat="1" applyFont="1" applyFill="1" applyBorder="1" applyAlignment="1" applyProtection="1">
      <alignment horizontal="right"/>
    </xf>
    <xf numFmtId="41" fontId="45" fillId="0" borderId="19" xfId="123" applyNumberFormat="1" applyFont="1" applyFill="1" applyBorder="1" applyAlignment="1" applyProtection="1">
      <alignment horizontal="right"/>
    </xf>
    <xf numFmtId="41" fontId="131" fillId="0" borderId="0" xfId="60" quotePrefix="1" applyNumberFormat="1" applyFont="1" applyFill="1" applyBorder="1" applyAlignment="1" applyProtection="1">
      <alignment horizontal="right"/>
    </xf>
    <xf numFmtId="37" fontId="132" fillId="0" borderId="0" xfId="60" applyNumberFormat="1" applyFont="1" applyFill="1" applyBorder="1" applyProtection="1"/>
    <xf numFmtId="5" fontId="133" fillId="0" borderId="0" xfId="61" quotePrefix="1" applyFont="1" applyFill="1" applyBorder="1" applyAlignment="1" applyProtection="1"/>
    <xf numFmtId="5" fontId="1" fillId="0" borderId="0" xfId="60" quotePrefix="1" applyNumberFormat="1" applyFont="1" applyFill="1" applyBorder="1" applyAlignment="1" applyProtection="1">
      <alignment horizontal="right"/>
    </xf>
    <xf numFmtId="169" fontId="134" fillId="0" borderId="0" xfId="123" applyFont="1" applyFill="1" applyBorder="1" applyAlignment="1" applyProtection="1">
      <alignment horizontal="right"/>
    </xf>
    <xf numFmtId="175" fontId="1" fillId="0" borderId="1" xfId="0" applyNumberFormat="1" applyFont="1" applyBorder="1"/>
    <xf numFmtId="9" fontId="8" fillId="23" borderId="0" xfId="123" applyNumberFormat="1" applyFont="1" applyFill="1"/>
    <xf numFmtId="7" fontId="135" fillId="0" borderId="0" xfId="61" applyNumberFormat="1" applyFont="1"/>
    <xf numFmtId="168" fontId="9" fillId="0" borderId="0" xfId="0" applyNumberFormat="1" applyFont="1" applyBorder="1" applyAlignment="1">
      <alignment horizontal="centerContinuous"/>
    </xf>
    <xf numFmtId="37" fontId="1" fillId="0" borderId="0" xfId="109" applyFont="1" applyBorder="1"/>
    <xf numFmtId="9" fontId="1" fillId="0" borderId="0" xfId="0" applyNumberFormat="1" applyFont="1"/>
    <xf numFmtId="7" fontId="26" fillId="0" borderId="31" xfId="0" applyNumberFormat="1" applyFont="1" applyBorder="1" applyAlignment="1">
      <alignment horizontal="right"/>
    </xf>
    <xf numFmtId="37" fontId="1" fillId="0" borderId="18" xfId="109" applyFont="1" applyBorder="1"/>
    <xf numFmtId="37" fontId="9" fillId="0" borderId="29" xfId="109" applyFont="1" applyBorder="1"/>
    <xf numFmtId="5" fontId="9" fillId="0" borderId="31" xfId="109" applyNumberFormat="1" applyFont="1" applyBorder="1"/>
    <xf numFmtId="171" fontId="1" fillId="0" borderId="27" xfId="0" applyNumberFormat="1" applyFont="1" applyBorder="1"/>
    <xf numFmtId="37" fontId="1" fillId="0" borderId="27" xfId="0" applyNumberFormat="1" applyFont="1" applyBorder="1" applyAlignment="1">
      <alignment horizontal="right"/>
    </xf>
    <xf numFmtId="37" fontId="0" fillId="0" borderId="28" xfId="0" applyBorder="1"/>
    <xf numFmtId="37" fontId="0" fillId="0" borderId="18" xfId="0" applyBorder="1"/>
    <xf numFmtId="37" fontId="9" fillId="0" borderId="27" xfId="109" applyFont="1" applyBorder="1" applyAlignment="1">
      <alignment horizontal="right"/>
    </xf>
    <xf numFmtId="37" fontId="1" fillId="0" borderId="18" xfId="109" applyFont="1" applyFill="1" applyBorder="1"/>
    <xf numFmtId="37" fontId="9" fillId="0" borderId="30" xfId="109" applyFont="1" applyBorder="1" applyAlignment="1">
      <alignment horizontal="right"/>
    </xf>
    <xf numFmtId="6" fontId="1" fillId="0" borderId="28" xfId="109" applyNumberFormat="1" applyFont="1" applyBorder="1" applyAlignment="1">
      <alignment horizontal="right"/>
    </xf>
    <xf numFmtId="37" fontId="1" fillId="0" borderId="0" xfId="109" applyFont="1" applyBorder="1" applyAlignment="1">
      <alignment horizontal="center"/>
    </xf>
    <xf numFmtId="175" fontId="8" fillId="0" borderId="0" xfId="109" applyNumberFormat="1" applyFont="1" applyBorder="1" applyAlignment="1">
      <alignment horizontal="right"/>
    </xf>
    <xf numFmtId="37" fontId="1" fillId="0" borderId="27" xfId="109" applyFont="1" applyBorder="1" applyAlignment="1">
      <alignment horizontal="right"/>
    </xf>
    <xf numFmtId="37" fontId="1" fillId="0" borderId="0" xfId="109" applyFont="1" applyBorder="1" applyAlignment="1">
      <alignment horizontal="right"/>
    </xf>
    <xf numFmtId="175" fontId="1" fillId="0" borderId="0" xfId="109" applyNumberFormat="1" applyFont="1" applyBorder="1" applyAlignment="1">
      <alignment horizontal="right"/>
    </xf>
    <xf numFmtId="5" fontId="9" fillId="0" borderId="28" xfId="109" applyNumberFormat="1" applyFont="1" applyBorder="1" applyAlignment="1">
      <alignment horizontal="right"/>
    </xf>
    <xf numFmtId="37" fontId="9" fillId="0" borderId="28" xfId="109" applyFont="1" applyBorder="1"/>
    <xf numFmtId="175" fontId="9" fillId="0" borderId="28" xfId="109" applyNumberFormat="1" applyFont="1" applyBorder="1" applyAlignment="1">
      <alignment horizontal="right"/>
    </xf>
    <xf numFmtId="5" fontId="9" fillId="0" borderId="31" xfId="109" applyNumberFormat="1" applyFont="1" applyBorder="1" applyAlignment="1">
      <alignment horizontal="right"/>
    </xf>
    <xf numFmtId="175" fontId="9" fillId="0" borderId="0" xfId="109" applyNumberFormat="1" applyFont="1" applyBorder="1" applyAlignment="1">
      <alignment horizontal="right"/>
    </xf>
    <xf numFmtId="5" fontId="9" fillId="0" borderId="27" xfId="109" applyNumberFormat="1" applyFont="1" applyBorder="1" applyAlignment="1">
      <alignment horizontal="right"/>
    </xf>
    <xf numFmtId="37" fontId="1" fillId="0" borderId="26" xfId="109" applyFont="1" applyBorder="1"/>
    <xf numFmtId="37" fontId="1" fillId="0" borderId="1" xfId="109" applyFont="1" applyBorder="1" applyAlignment="1">
      <alignment horizontal="right"/>
    </xf>
    <xf numFmtId="37" fontId="1" fillId="0" borderId="1" xfId="109" applyFont="1" applyBorder="1" applyAlignment="1">
      <alignment horizontal="center"/>
    </xf>
    <xf numFmtId="37" fontId="1" fillId="0" borderId="1" xfId="109" quotePrefix="1" applyFont="1" applyBorder="1" applyAlignment="1">
      <alignment horizontal="center"/>
    </xf>
    <xf numFmtId="37" fontId="1" fillId="0" borderId="30" xfId="109" applyFont="1" applyBorder="1"/>
    <xf numFmtId="37" fontId="9" fillId="0" borderId="20" xfId="109" applyFont="1" applyBorder="1"/>
    <xf numFmtId="5" fontId="9" fillId="0" borderId="6" xfId="109" applyNumberFormat="1" applyFont="1" applyBorder="1" applyAlignment="1">
      <alignment horizontal="right"/>
    </xf>
    <xf numFmtId="37" fontId="1" fillId="0" borderId="6" xfId="109" applyFont="1" applyBorder="1"/>
    <xf numFmtId="175" fontId="9" fillId="0" borderId="6" xfId="109" applyNumberFormat="1" applyFont="1" applyBorder="1" applyAlignment="1">
      <alignment horizontal="right"/>
    </xf>
    <xf numFmtId="5" fontId="9" fillId="0" borderId="22" xfId="109" applyNumberFormat="1" applyFont="1" applyBorder="1"/>
    <xf numFmtId="169" fontId="44" fillId="0" borderId="18" xfId="123" quotePrefix="1" applyFont="1" applyFill="1" applyBorder="1" applyAlignment="1" applyProtection="1"/>
    <xf numFmtId="169" fontId="74" fillId="0" borderId="18" xfId="123" quotePrefix="1" applyFont="1" applyFill="1" applyBorder="1" applyAlignment="1" applyProtection="1"/>
    <xf numFmtId="41" fontId="5" fillId="0" borderId="29" xfId="61" applyNumberFormat="1" applyFont="1" applyFill="1" applyBorder="1"/>
    <xf numFmtId="5" fontId="26" fillId="0" borderId="18" xfId="61" applyNumberFormat="1" applyFont="1" applyFill="1" applyBorder="1"/>
    <xf numFmtId="41" fontId="8" fillId="0" borderId="18" xfId="60" quotePrefix="1" applyNumberFormat="1" applyFont="1" applyFill="1" applyBorder="1" applyAlignment="1" applyProtection="1"/>
    <xf numFmtId="0" fontId="1" fillId="0" borderId="0" xfId="61" applyNumberFormat="1" applyFont="1" applyFill="1" applyBorder="1" applyAlignment="1" applyProtection="1">
      <alignment horizontal="left" indent="1"/>
    </xf>
    <xf numFmtId="0" fontId="1" fillId="0" borderId="18" xfId="60" applyNumberFormat="1" applyFont="1" applyFill="1" applyBorder="1" applyAlignment="1" applyProtection="1">
      <alignment horizontal="left" indent="1"/>
    </xf>
    <xf numFmtId="169" fontId="25" fillId="0" borderId="20" xfId="123" applyFont="1" applyFill="1" applyBorder="1"/>
    <xf numFmtId="0" fontId="5" fillId="0" borderId="23" xfId="0" applyNumberFormat="1" applyFont="1" applyBorder="1" applyAlignment="1">
      <alignment horizontal="right"/>
    </xf>
    <xf numFmtId="169" fontId="45" fillId="0" borderId="0" xfId="123" quotePrefix="1" applyNumberFormat="1" applyFont="1" applyFill="1" applyBorder="1" applyAlignment="1" applyProtection="1">
      <alignment horizontal="left"/>
    </xf>
    <xf numFmtId="37" fontId="45" fillId="0" borderId="18" xfId="60" quotePrefix="1" applyFont="1" applyFill="1" applyBorder="1" applyAlignment="1" applyProtection="1"/>
    <xf numFmtId="4" fontId="5" fillId="0" borderId="0" xfId="0" applyNumberFormat="1" applyFont="1"/>
    <xf numFmtId="37" fontId="38" fillId="0" borderId="29" xfId="0" applyFont="1" applyBorder="1"/>
    <xf numFmtId="4" fontId="5" fillId="0" borderId="0" xfId="0" applyNumberFormat="1" applyFont="1" applyBorder="1"/>
    <xf numFmtId="4" fontId="5" fillId="0" borderId="1" xfId="0" applyNumberFormat="1" applyFont="1" applyBorder="1"/>
    <xf numFmtId="168" fontId="9" fillId="0" borderId="27" xfId="0" applyNumberFormat="1" applyFont="1" applyBorder="1" applyAlignment="1">
      <alignment horizontal="right"/>
    </xf>
    <xf numFmtId="0" fontId="5" fillId="0" borderId="29" xfId="0" applyNumberFormat="1" applyFont="1" applyFill="1" applyBorder="1" applyAlignment="1">
      <alignment horizontal="left"/>
    </xf>
    <xf numFmtId="9" fontId="136" fillId="0" borderId="0" xfId="0" applyNumberFormat="1" applyFont="1" applyBorder="1"/>
    <xf numFmtId="9" fontId="136" fillId="0" borderId="27" xfId="0" applyNumberFormat="1" applyFont="1" applyBorder="1"/>
    <xf numFmtId="4" fontId="5" fillId="0" borderId="27" xfId="0" applyNumberFormat="1" applyFont="1" applyBorder="1"/>
    <xf numFmtId="4" fontId="5" fillId="0" borderId="30" xfId="0" applyNumberFormat="1" applyFont="1" applyBorder="1"/>
    <xf numFmtId="6" fontId="136" fillId="0" borderId="0" xfId="60" applyNumberFormat="1" applyFont="1" applyFill="1" applyBorder="1" applyProtection="1">
      <protection locked="0"/>
    </xf>
    <xf numFmtId="206" fontId="136" fillId="0" borderId="0" xfId="0" applyNumberFormat="1" applyFont="1" applyBorder="1"/>
    <xf numFmtId="6" fontId="5" fillId="0" borderId="0" xfId="0" applyNumberFormat="1" applyFont="1" applyBorder="1"/>
    <xf numFmtId="5" fontId="9" fillId="23" borderId="27" xfId="0" applyNumberFormat="1" applyFont="1" applyFill="1" applyBorder="1"/>
    <xf numFmtId="6" fontId="136" fillId="0" borderId="1" xfId="60" applyNumberFormat="1" applyFont="1" applyFill="1" applyBorder="1" applyProtection="1">
      <protection locked="0"/>
    </xf>
    <xf numFmtId="206" fontId="136" fillId="0" borderId="1" xfId="0" applyNumberFormat="1" applyFont="1" applyBorder="1"/>
    <xf numFmtId="6" fontId="5" fillId="0" borderId="1" xfId="0" applyNumberFormat="1" applyFont="1" applyBorder="1"/>
    <xf numFmtId="5" fontId="9" fillId="23" borderId="18" xfId="0" applyNumberFormat="1" applyFont="1" applyFill="1" applyBorder="1"/>
    <xf numFmtId="37" fontId="9" fillId="23" borderId="20" xfId="0" applyFont="1" applyFill="1" applyBorder="1" applyAlignment="1">
      <alignment horizontal="centerContinuous"/>
    </xf>
    <xf numFmtId="37" fontId="9" fillId="23" borderId="22" xfId="0" applyFont="1" applyFill="1" applyBorder="1" applyAlignment="1">
      <alignment horizontal="centerContinuous"/>
    </xf>
    <xf numFmtId="37" fontId="9" fillId="23" borderId="26" xfId="0" applyFont="1" applyFill="1" applyBorder="1" applyAlignment="1">
      <alignment horizontal="right"/>
    </xf>
    <xf numFmtId="37" fontId="9" fillId="23" borderId="30" xfId="0" applyFont="1" applyFill="1" applyBorder="1" applyAlignment="1">
      <alignment horizontal="right"/>
    </xf>
    <xf numFmtId="37" fontId="5" fillId="23" borderId="26" xfId="0" applyFont="1" applyFill="1" applyBorder="1"/>
    <xf numFmtId="37" fontId="5" fillId="23" borderId="30" xfId="0" applyFont="1" applyFill="1" applyBorder="1"/>
    <xf numFmtId="176" fontId="5" fillId="0" borderId="27" xfId="0" applyNumberFormat="1" applyFont="1" applyBorder="1"/>
    <xf numFmtId="37" fontId="5" fillId="0" borderId="30" xfId="0" applyFont="1" applyFill="1" applyBorder="1"/>
    <xf numFmtId="37" fontId="9" fillId="24" borderId="20" xfId="60" applyFont="1" applyFill="1" applyBorder="1"/>
    <xf numFmtId="37" fontId="45" fillId="0" borderId="18" xfId="0" applyFont="1" applyBorder="1" applyAlignment="1">
      <alignment horizontal="right"/>
    </xf>
    <xf numFmtId="169" fontId="5" fillId="0" borderId="22" xfId="123" applyFont="1" applyFill="1" applyBorder="1"/>
    <xf numFmtId="169" fontId="8" fillId="0" borderId="1" xfId="123" applyFont="1" applyFill="1" applyBorder="1"/>
    <xf numFmtId="41" fontId="5" fillId="0" borderId="18" xfId="61" quotePrefix="1" applyNumberFormat="1" applyFont="1" applyFill="1" applyBorder="1" applyAlignment="1" applyProtection="1"/>
    <xf numFmtId="5" fontId="9" fillId="17" borderId="22" xfId="61" applyNumberFormat="1" applyFont="1" applyFill="1" applyBorder="1"/>
    <xf numFmtId="41" fontId="5" fillId="0" borderId="18" xfId="60" quotePrefix="1" applyNumberFormat="1" applyFont="1" applyFill="1" applyBorder="1" applyAlignment="1" applyProtection="1"/>
    <xf numFmtId="5" fontId="9" fillId="17" borderId="20" xfId="0" applyNumberFormat="1" applyFont="1" applyFill="1" applyBorder="1" applyProtection="1"/>
    <xf numFmtId="41" fontId="5" fillId="0" borderId="18" xfId="60" applyNumberFormat="1" applyFont="1" applyFill="1" applyBorder="1"/>
    <xf numFmtId="41" fontId="9" fillId="0" borderId="18" xfId="61" applyNumberFormat="1" applyFont="1" applyFill="1" applyBorder="1"/>
    <xf numFmtId="185" fontId="36" fillId="0" borderId="18" xfId="0" applyNumberFormat="1" applyFont="1" applyFill="1" applyBorder="1" applyAlignment="1" applyProtection="1">
      <alignment horizontal="right"/>
    </xf>
    <xf numFmtId="185" fontId="36" fillId="0" borderId="0" xfId="0" applyNumberFormat="1" applyFont="1" applyFill="1" applyBorder="1" applyAlignment="1" applyProtection="1">
      <alignment horizontal="right"/>
    </xf>
    <xf numFmtId="185" fontId="36" fillId="0" borderId="27" xfId="0" applyNumberFormat="1" applyFont="1" applyFill="1" applyBorder="1" applyAlignment="1" applyProtection="1">
      <alignment horizontal="right"/>
    </xf>
    <xf numFmtId="41" fontId="8" fillId="0" borderId="27" xfId="60" applyNumberFormat="1" applyFont="1" applyFill="1" applyBorder="1" applyAlignment="1" applyProtection="1">
      <alignment horizontal="right"/>
    </xf>
    <xf numFmtId="41" fontId="5" fillId="0" borderId="18" xfId="0" applyNumberFormat="1" applyFont="1" applyFill="1" applyBorder="1" applyProtection="1"/>
    <xf numFmtId="41" fontId="26" fillId="0" borderId="29" xfId="123" quotePrefix="1" applyNumberFormat="1" applyFont="1" applyFill="1" applyBorder="1" applyAlignment="1" applyProtection="1"/>
    <xf numFmtId="41" fontId="26" fillId="0" borderId="28" xfId="123" quotePrefix="1" applyNumberFormat="1" applyFont="1" applyFill="1" applyBorder="1" applyAlignment="1" applyProtection="1"/>
    <xf numFmtId="41" fontId="26" fillId="0" borderId="31" xfId="123" quotePrefix="1" applyNumberFormat="1" applyFont="1" applyFill="1" applyBorder="1" applyAlignment="1" applyProtection="1"/>
    <xf numFmtId="41" fontId="26" fillId="0" borderId="18" xfId="123" quotePrefix="1" applyNumberFormat="1" applyFont="1" applyFill="1" applyBorder="1" applyAlignment="1" applyProtection="1"/>
    <xf numFmtId="41" fontId="26" fillId="0" borderId="27" xfId="123" quotePrefix="1" applyNumberFormat="1" applyFont="1" applyFill="1" applyBorder="1" applyAlignment="1" applyProtection="1"/>
    <xf numFmtId="41" fontId="44" fillId="0" borderId="27" xfId="123" quotePrefix="1" applyNumberFormat="1" applyFont="1" applyFill="1" applyBorder="1" applyAlignment="1" applyProtection="1"/>
    <xf numFmtId="41" fontId="36" fillId="0" borderId="27" xfId="60" quotePrefix="1" applyNumberFormat="1" applyFont="1" applyFill="1" applyBorder="1" applyAlignment="1" applyProtection="1"/>
    <xf numFmtId="169" fontId="25" fillId="0" borderId="18" xfId="123" quotePrefix="1" applyNumberFormat="1" applyFont="1" applyFill="1" applyBorder="1" applyAlignment="1" applyProtection="1"/>
    <xf numFmtId="41" fontId="25" fillId="0" borderId="18" xfId="60" quotePrefix="1" applyNumberFormat="1" applyFont="1" applyFill="1" applyBorder="1" applyAlignment="1" applyProtection="1"/>
    <xf numFmtId="41" fontId="45" fillId="0" borderId="18" xfId="123" applyNumberFormat="1" applyFont="1" applyFill="1" applyBorder="1" applyAlignment="1" applyProtection="1">
      <alignment horizontal="right"/>
    </xf>
    <xf numFmtId="41" fontId="45" fillId="0" borderId="0" xfId="123" applyNumberFormat="1" applyFont="1" applyFill="1" applyBorder="1" applyAlignment="1" applyProtection="1">
      <alignment horizontal="right"/>
    </xf>
    <xf numFmtId="41" fontId="45" fillId="0" borderId="27" xfId="123" applyNumberFormat="1" applyFont="1" applyFill="1" applyBorder="1" applyAlignment="1" applyProtection="1">
      <alignment horizontal="right"/>
    </xf>
    <xf numFmtId="169" fontId="45" fillId="0" borderId="18" xfId="123" quotePrefix="1" applyNumberFormat="1" applyFont="1" applyFill="1" applyBorder="1" applyAlignment="1" applyProtection="1"/>
    <xf numFmtId="169" fontId="43" fillId="0" borderId="18" xfId="123" quotePrefix="1" applyNumberFormat="1" applyFont="1" applyFill="1" applyBorder="1" applyAlignment="1" applyProtection="1"/>
    <xf numFmtId="37" fontId="45" fillId="0" borderId="27" xfId="60" quotePrefix="1" applyFont="1" applyFill="1" applyBorder="1" applyAlignment="1" applyProtection="1"/>
    <xf numFmtId="5" fontId="37" fillId="0" borderId="27" xfId="61" quotePrefix="1" applyFont="1" applyFill="1" applyBorder="1" applyAlignment="1" applyProtection="1"/>
    <xf numFmtId="5" fontId="44" fillId="0" borderId="27" xfId="61" quotePrefix="1" applyFont="1" applyFill="1" applyBorder="1" applyAlignment="1" applyProtection="1"/>
    <xf numFmtId="41" fontId="7" fillId="0" borderId="18" xfId="123" quotePrefix="1" applyNumberFormat="1" applyFont="1" applyFill="1" applyBorder="1" applyAlignment="1" applyProtection="1"/>
    <xf numFmtId="41" fontId="7" fillId="0" borderId="27" xfId="123" quotePrefix="1" applyNumberFormat="1" applyFont="1" applyFill="1" applyBorder="1" applyAlignment="1" applyProtection="1"/>
    <xf numFmtId="37" fontId="25" fillId="0" borderId="27" xfId="60" quotePrefix="1" applyFont="1" applyFill="1" applyBorder="1" applyAlignment="1" applyProtection="1"/>
    <xf numFmtId="5" fontId="5" fillId="0" borderId="27" xfId="123" quotePrefix="1" applyNumberFormat="1" applyFont="1" applyFill="1" applyBorder="1" applyAlignment="1" applyProtection="1"/>
    <xf numFmtId="5" fontId="9" fillId="17" borderId="22" xfId="61" quotePrefix="1" applyNumberFormat="1" applyFont="1" applyFill="1" applyBorder="1" applyAlignment="1" applyProtection="1"/>
    <xf numFmtId="41" fontId="45" fillId="0" borderId="18" xfId="123" quotePrefix="1" applyNumberFormat="1" applyFont="1" applyFill="1" applyBorder="1" applyAlignment="1" applyProtection="1"/>
    <xf numFmtId="37" fontId="7" fillId="0" borderId="18" xfId="60" quotePrefix="1" applyFont="1" applyFill="1" applyBorder="1" applyAlignment="1" applyProtection="1"/>
    <xf numFmtId="37" fontId="7" fillId="0" borderId="27" xfId="60" quotePrefix="1" applyFont="1" applyFill="1" applyBorder="1" applyAlignment="1" applyProtection="1"/>
    <xf numFmtId="37" fontId="45" fillId="0" borderId="18" xfId="123" quotePrefix="1" applyNumberFormat="1" applyFont="1" applyFill="1" applyBorder="1" applyAlignment="1" applyProtection="1">
      <alignment horizontal="right"/>
    </xf>
    <xf numFmtId="37" fontId="45" fillId="0" borderId="0" xfId="123" quotePrefix="1" applyNumberFormat="1" applyFont="1" applyFill="1" applyBorder="1" applyAlignment="1" applyProtection="1">
      <alignment horizontal="right"/>
    </xf>
    <xf numFmtId="37" fontId="45" fillId="0" borderId="27" xfId="123" quotePrefix="1" applyNumberFormat="1" applyFont="1" applyFill="1" applyBorder="1" applyAlignment="1" applyProtection="1">
      <alignment horizontal="right"/>
    </xf>
    <xf numFmtId="37" fontId="9" fillId="0" borderId="26" xfId="60" applyFont="1" applyFill="1" applyBorder="1" applyAlignment="1" applyProtection="1">
      <alignment horizontal="right"/>
    </xf>
    <xf numFmtId="41" fontId="9" fillId="0" borderId="29" xfId="0" quotePrefix="1" applyNumberFormat="1" applyFont="1" applyFill="1" applyBorder="1" applyAlignment="1" applyProtection="1">
      <alignment horizontal="right"/>
    </xf>
    <xf numFmtId="9" fontId="44" fillId="0" borderId="27" xfId="123" quotePrefix="1" applyNumberFormat="1" applyFont="1" applyFill="1" applyBorder="1" applyAlignment="1" applyProtection="1"/>
    <xf numFmtId="41" fontId="9" fillId="0" borderId="18" xfId="0" quotePrefix="1" applyNumberFormat="1" applyFont="1" applyFill="1" applyBorder="1" applyAlignment="1" applyProtection="1">
      <alignment horizontal="right"/>
    </xf>
    <xf numFmtId="41" fontId="9" fillId="0" borderId="18" xfId="60" applyNumberFormat="1" applyFont="1" applyFill="1" applyBorder="1"/>
    <xf numFmtId="169" fontId="5" fillId="0" borderId="18" xfId="123" applyNumberFormat="1" applyFont="1" applyFill="1" applyBorder="1" applyAlignment="1">
      <alignment horizontal="right"/>
    </xf>
    <xf numFmtId="169" fontId="5" fillId="0" borderId="29" xfId="123" applyNumberFormat="1" applyFont="1" applyFill="1" applyBorder="1"/>
    <xf numFmtId="169" fontId="5" fillId="0" borderId="28" xfId="123" applyNumberFormat="1" applyFont="1" applyFill="1" applyBorder="1"/>
    <xf numFmtId="37" fontId="25" fillId="0" borderId="20" xfId="60" applyFont="1" applyFill="1" applyBorder="1"/>
    <xf numFmtId="169" fontId="25" fillId="0" borderId="26" xfId="123" applyNumberFormat="1" applyFont="1" applyBorder="1"/>
    <xf numFmtId="41" fontId="39" fillId="0" borderId="27" xfId="61" applyNumberFormat="1" applyFont="1" applyFill="1" applyBorder="1"/>
    <xf numFmtId="37" fontId="25" fillId="0" borderId="27" xfId="61" applyNumberFormat="1" applyFont="1" applyFill="1" applyBorder="1"/>
    <xf numFmtId="41" fontId="64" fillId="0" borderId="27" xfId="60" applyNumberFormat="1" applyFont="1" applyFill="1" applyBorder="1"/>
    <xf numFmtId="192" fontId="36" fillId="0" borderId="27" xfId="0" applyNumberFormat="1" applyFont="1" applyFill="1" applyBorder="1" applyAlignment="1" applyProtection="1">
      <alignment horizontal="right"/>
    </xf>
    <xf numFmtId="41" fontId="41" fillId="0" borderId="27" xfId="61" applyNumberFormat="1" applyFont="1" applyFill="1" applyBorder="1" applyAlignment="1" applyProtection="1">
      <alignment horizontal="right"/>
    </xf>
    <xf numFmtId="41" fontId="131" fillId="0" borderId="27" xfId="60" quotePrefix="1" applyNumberFormat="1" applyFont="1" applyFill="1" applyBorder="1" applyAlignment="1" applyProtection="1">
      <alignment horizontal="right"/>
    </xf>
    <xf numFmtId="5" fontId="1" fillId="0" borderId="27" xfId="60" quotePrefix="1" applyNumberFormat="1" applyFont="1" applyFill="1" applyBorder="1" applyAlignment="1" applyProtection="1">
      <alignment horizontal="right"/>
    </xf>
    <xf numFmtId="5" fontId="25" fillId="0" borderId="27" xfId="61" quotePrefix="1" applyFont="1" applyFill="1" applyBorder="1" applyAlignment="1" applyProtection="1"/>
    <xf numFmtId="41" fontId="25" fillId="0" borderId="18" xfId="60" applyNumberFormat="1" applyFont="1" applyFill="1" applyBorder="1" applyProtection="1"/>
    <xf numFmtId="41" fontId="25" fillId="0" borderId="27" xfId="60" applyNumberFormat="1" applyFont="1" applyFill="1" applyBorder="1" applyProtection="1"/>
    <xf numFmtId="169" fontId="26" fillId="0" borderId="27" xfId="123" quotePrefix="1" applyFont="1" applyFill="1" applyBorder="1" applyAlignment="1" applyProtection="1"/>
    <xf numFmtId="5" fontId="9" fillId="17" borderId="29" xfId="61" quotePrefix="1" applyNumberFormat="1" applyFont="1" applyFill="1" applyBorder="1" applyAlignment="1" applyProtection="1">
      <alignment horizontal="right"/>
    </xf>
    <xf numFmtId="5" fontId="9" fillId="17" borderId="31" xfId="61" quotePrefix="1" applyNumberFormat="1" applyFont="1" applyFill="1" applyBorder="1" applyAlignment="1" applyProtection="1">
      <alignment horizontal="right"/>
    </xf>
    <xf numFmtId="5" fontId="9" fillId="17" borderId="30" xfId="61" quotePrefix="1" applyFont="1" applyFill="1" applyBorder="1" applyAlignment="1" applyProtection="1">
      <alignment horizontal="right"/>
    </xf>
    <xf numFmtId="169" fontId="43" fillId="0" borderId="26" xfId="123" quotePrefix="1" applyNumberFormat="1" applyFont="1" applyFill="1" applyBorder="1" applyAlignment="1" applyProtection="1"/>
    <xf numFmtId="9" fontId="43" fillId="0" borderId="18" xfId="123" quotePrefix="1" applyNumberFormat="1" applyFont="1" applyFill="1" applyBorder="1" applyAlignment="1" applyProtection="1"/>
    <xf numFmtId="9" fontId="43" fillId="0" borderId="27" xfId="123" quotePrefix="1" applyNumberFormat="1" applyFont="1" applyFill="1" applyBorder="1" applyAlignment="1" applyProtection="1"/>
    <xf numFmtId="170" fontId="1" fillId="0" borderId="19" xfId="123" applyNumberFormat="1" applyFont="1" applyFill="1" applyBorder="1" applyAlignment="1" applyProtection="1">
      <alignment horizontal="right"/>
    </xf>
    <xf numFmtId="5" fontId="1" fillId="0" borderId="19" xfId="61" quotePrefix="1" applyFont="1" applyFill="1" applyBorder="1" applyAlignment="1" applyProtection="1">
      <alignment horizontal="right"/>
    </xf>
    <xf numFmtId="41" fontId="1" fillId="0" borderId="19" xfId="123" quotePrefix="1" applyNumberFormat="1" applyFont="1" applyFill="1" applyBorder="1" applyAlignment="1" applyProtection="1">
      <alignment horizontal="right"/>
    </xf>
    <xf numFmtId="41" fontId="1" fillId="0" borderId="19" xfId="60" quotePrefix="1" applyNumberFormat="1" applyFont="1" applyFill="1" applyBorder="1" applyAlignment="1" applyProtection="1">
      <alignment horizontal="right"/>
    </xf>
    <xf numFmtId="41" fontId="1" fillId="0" borderId="19" xfId="61" quotePrefix="1" applyNumberFormat="1" applyFont="1" applyFill="1" applyBorder="1" applyAlignment="1" applyProtection="1">
      <alignment horizontal="right"/>
    </xf>
    <xf numFmtId="169" fontId="1" fillId="0" borderId="19" xfId="123" quotePrefix="1" applyFont="1" applyFill="1" applyBorder="1" applyAlignment="1" applyProtection="1">
      <alignment horizontal="right"/>
    </xf>
    <xf numFmtId="5" fontId="1" fillId="0" borderId="19" xfId="60" quotePrefix="1" applyNumberFormat="1" applyFont="1" applyFill="1" applyBorder="1" applyAlignment="1" applyProtection="1"/>
    <xf numFmtId="37" fontId="1" fillId="0" borderId="19" xfId="60" quotePrefix="1" applyFont="1" applyFill="1" applyBorder="1" applyAlignment="1" applyProtection="1"/>
    <xf numFmtId="37" fontId="1" fillId="0" borderId="27" xfId="60" applyNumberFormat="1" applyFont="1" applyFill="1" applyBorder="1" applyProtection="1"/>
    <xf numFmtId="5" fontId="1" fillId="0" borderId="19" xfId="61" quotePrefix="1" applyFont="1" applyFill="1" applyBorder="1" applyAlignment="1" applyProtection="1"/>
    <xf numFmtId="5" fontId="9" fillId="0" borderId="19" xfId="60" quotePrefix="1" applyNumberFormat="1" applyFont="1" applyFill="1" applyBorder="1" applyAlignment="1" applyProtection="1"/>
    <xf numFmtId="37" fontId="1" fillId="0" borderId="19" xfId="60" applyNumberFormat="1" applyFont="1" applyFill="1" applyBorder="1" applyProtection="1"/>
    <xf numFmtId="10" fontId="25" fillId="0" borderId="19" xfId="123" quotePrefix="1" applyNumberFormat="1" applyFont="1" applyFill="1" applyBorder="1" applyAlignment="1" applyProtection="1"/>
    <xf numFmtId="10" fontId="1" fillId="0" borderId="19" xfId="123" quotePrefix="1" applyNumberFormat="1" applyFont="1" applyFill="1" applyBorder="1" applyAlignment="1" applyProtection="1"/>
    <xf numFmtId="37" fontId="1" fillId="0" borderId="19" xfId="123" quotePrefix="1" applyNumberFormat="1" applyFont="1" applyFill="1" applyBorder="1" applyAlignment="1" applyProtection="1"/>
    <xf numFmtId="169" fontId="1" fillId="0" borderId="19" xfId="123" quotePrefix="1" applyFont="1" applyFill="1" applyBorder="1" applyAlignment="1" applyProtection="1"/>
    <xf numFmtId="41" fontId="1" fillId="0" borderId="23" xfId="60" quotePrefix="1" applyNumberFormat="1" applyFont="1" applyFill="1" applyBorder="1" applyAlignment="1" applyProtection="1"/>
    <xf numFmtId="41" fontId="1" fillId="0" borderId="19" xfId="61" applyNumberFormat="1" applyFont="1" applyFill="1" applyBorder="1"/>
    <xf numFmtId="5" fontId="1" fillId="0" borderId="19" xfId="61" quotePrefix="1" applyNumberFormat="1" applyFont="1" applyFill="1" applyBorder="1" applyAlignment="1" applyProtection="1"/>
    <xf numFmtId="41" fontId="1" fillId="0" borderId="19" xfId="60" quotePrefix="1" applyNumberFormat="1" applyFont="1" applyFill="1" applyBorder="1" applyAlignment="1" applyProtection="1"/>
    <xf numFmtId="37" fontId="1" fillId="0" borderId="19" xfId="61" quotePrefix="1" applyNumberFormat="1" applyFont="1" applyFill="1" applyBorder="1" applyAlignment="1" applyProtection="1"/>
    <xf numFmtId="37" fontId="1" fillId="0" borderId="10" xfId="61" applyNumberFormat="1" applyFont="1" applyFill="1" applyBorder="1" applyAlignment="1" applyProtection="1">
      <alignment horizontal="right"/>
    </xf>
    <xf numFmtId="5" fontId="1" fillId="0" borderId="19" xfId="60" quotePrefix="1" applyNumberFormat="1" applyFont="1" applyFill="1" applyBorder="1" applyAlignment="1" applyProtection="1">
      <alignment horizontal="right"/>
    </xf>
    <xf numFmtId="169" fontId="1" fillId="0" borderId="19" xfId="123" applyFont="1" applyFill="1" applyBorder="1" applyProtection="1">
      <protection locked="0"/>
    </xf>
    <xf numFmtId="41" fontId="1" fillId="0" borderId="19" xfId="60" applyNumberFormat="1" applyFont="1" applyFill="1" applyBorder="1" applyProtection="1"/>
    <xf numFmtId="41" fontId="1" fillId="0" borderId="19" xfId="0" applyNumberFormat="1" applyFont="1" applyFill="1" applyBorder="1" applyProtection="1"/>
    <xf numFmtId="41" fontId="1" fillId="0" borderId="19" xfId="0" applyNumberFormat="1" applyFont="1" applyFill="1" applyBorder="1" applyProtection="1">
      <protection locked="0"/>
    </xf>
    <xf numFmtId="41" fontId="1" fillId="0" borderId="23" xfId="0" applyNumberFormat="1" applyFont="1" applyFill="1" applyBorder="1" applyProtection="1">
      <protection locked="0"/>
    </xf>
    <xf numFmtId="41" fontId="1" fillId="0" borderId="19" xfId="61" applyNumberFormat="1" applyFont="1" applyFill="1" applyBorder="1" applyProtection="1"/>
    <xf numFmtId="41" fontId="1" fillId="0" borderId="19" xfId="0" applyNumberFormat="1" applyFont="1" applyFill="1" applyBorder="1" applyAlignment="1" applyProtection="1">
      <alignment horizontal="right"/>
    </xf>
    <xf numFmtId="169" fontId="1" fillId="0" borderId="19" xfId="123" applyFont="1" applyFill="1" applyBorder="1" applyProtection="1"/>
    <xf numFmtId="37" fontId="1" fillId="0" borderId="19" xfId="60" applyFont="1" applyFill="1" applyBorder="1" applyProtection="1"/>
    <xf numFmtId="41" fontId="1" fillId="0" borderId="19" xfId="60" applyNumberFormat="1" applyFont="1" applyFill="1" applyBorder="1"/>
    <xf numFmtId="41" fontId="1" fillId="0" borderId="19" xfId="123" applyNumberFormat="1" applyFont="1" applyFill="1" applyBorder="1" applyProtection="1"/>
    <xf numFmtId="41" fontId="1" fillId="0" borderId="0" xfId="60" quotePrefix="1" applyNumberFormat="1" applyFont="1" applyFill="1" applyBorder="1" applyAlignment="1" applyProtection="1">
      <alignment horizontal="right"/>
    </xf>
    <xf numFmtId="169" fontId="1" fillId="0" borderId="19" xfId="123" applyNumberFormat="1" applyFont="1" applyBorder="1"/>
    <xf numFmtId="169" fontId="5" fillId="0" borderId="21" xfId="123" applyNumberFormat="1" applyFont="1" applyFill="1" applyBorder="1"/>
    <xf numFmtId="37" fontId="9" fillId="24" borderId="10" xfId="0" applyNumberFormat="1" applyFont="1" applyFill="1" applyBorder="1"/>
    <xf numFmtId="39" fontId="5" fillId="0" borderId="0" xfId="0" applyNumberFormat="1" applyFont="1" applyFill="1" applyBorder="1"/>
    <xf numFmtId="41" fontId="137" fillId="0" borderId="0" xfId="60" quotePrefix="1" applyNumberFormat="1" applyFont="1" applyFill="1" applyBorder="1" applyAlignment="1" applyProtection="1">
      <alignment horizontal="right"/>
    </xf>
    <xf numFmtId="207" fontId="5" fillId="0" borderId="0" xfId="0" applyNumberFormat="1" applyFont="1"/>
    <xf numFmtId="37" fontId="1" fillId="0" borderId="20" xfId="61" applyNumberFormat="1" applyFont="1" applyFill="1" applyBorder="1" applyAlignment="1" applyProtection="1">
      <alignment horizontal="right"/>
    </xf>
    <xf numFmtId="37" fontId="1" fillId="0" borderId="6" xfId="61" applyNumberFormat="1" applyFont="1" applyFill="1" applyBorder="1" applyAlignment="1" applyProtection="1">
      <alignment horizontal="right"/>
    </xf>
    <xf numFmtId="37" fontId="1" fillId="0" borderId="22" xfId="61" applyNumberFormat="1" applyFont="1" applyFill="1" applyBorder="1" applyAlignment="1" applyProtection="1">
      <alignment horizontal="right"/>
    </xf>
    <xf numFmtId="41" fontId="5" fillId="0" borderId="28" xfId="61" applyNumberFormat="1" applyFont="1" applyFill="1" applyBorder="1"/>
    <xf numFmtId="7" fontId="137" fillId="0" borderId="0" xfId="61" applyNumberFormat="1" applyFont="1" applyFill="1" applyBorder="1" applyAlignment="1" applyProtection="1">
      <alignment horizontal="right"/>
    </xf>
    <xf numFmtId="0" fontId="36" fillId="0" borderId="29" xfId="61" applyNumberFormat="1" applyFont="1" applyFill="1" applyBorder="1" applyAlignment="1" applyProtection="1">
      <alignment horizontal="left"/>
    </xf>
    <xf numFmtId="7" fontId="5" fillId="0" borderId="21" xfId="61" applyNumberFormat="1" applyFont="1" applyFill="1" applyBorder="1" applyAlignment="1" applyProtection="1">
      <alignment horizontal="right"/>
    </xf>
    <xf numFmtId="7" fontId="8" fillId="0" borderId="28" xfId="61" applyNumberFormat="1" applyFont="1" applyFill="1" applyBorder="1" applyAlignment="1" applyProtection="1">
      <alignment horizontal="right"/>
    </xf>
    <xf numFmtId="7" fontId="137" fillId="0" borderId="28" xfId="61" applyNumberFormat="1" applyFont="1" applyFill="1" applyBorder="1" applyAlignment="1" applyProtection="1">
      <alignment horizontal="right"/>
    </xf>
    <xf numFmtId="7" fontId="5" fillId="0" borderId="23" xfId="61" applyNumberFormat="1" applyFont="1" applyFill="1" applyBorder="1" applyAlignment="1" applyProtection="1">
      <alignment horizontal="right"/>
    </xf>
    <xf numFmtId="7" fontId="8" fillId="0" borderId="1" xfId="61" applyNumberFormat="1" applyFont="1" applyFill="1" applyBorder="1" applyAlignment="1" applyProtection="1">
      <alignment horizontal="right"/>
    </xf>
    <xf numFmtId="9" fontId="1" fillId="0" borderId="23" xfId="61" applyNumberFormat="1" applyFont="1" applyFill="1" applyBorder="1" applyAlignment="1" applyProtection="1">
      <alignment horizontal="right"/>
    </xf>
    <xf numFmtId="9" fontId="8" fillId="0" borderId="23" xfId="60" applyNumberFormat="1" applyFont="1" applyFill="1" applyBorder="1" applyAlignment="1" applyProtection="1">
      <alignment horizontal="right"/>
    </xf>
    <xf numFmtId="170" fontId="34" fillId="0" borderId="0" xfId="123" applyNumberFormat="1" applyFont="1" applyFill="1" applyBorder="1" applyAlignment="1" applyProtection="1">
      <alignment horizontal="right"/>
    </xf>
    <xf numFmtId="169" fontId="5" fillId="18" borderId="0" xfId="123" applyFont="1" applyFill="1" applyBorder="1"/>
    <xf numFmtId="175" fontId="1" fillId="0" borderId="23" xfId="0" applyNumberFormat="1" applyFont="1" applyFill="1" applyBorder="1" applyProtection="1"/>
    <xf numFmtId="7" fontId="1" fillId="0" borderId="0" xfId="110" applyNumberFormat="1" applyFont="1"/>
    <xf numFmtId="0" fontId="9" fillId="0" borderId="1" xfId="0" applyNumberFormat="1" applyFont="1" applyBorder="1" applyAlignment="1">
      <alignment horizontal="centerContinuous"/>
    </xf>
    <xf numFmtId="37" fontId="9" fillId="0" borderId="1" xfId="0" applyFont="1" applyBorder="1" applyAlignment="1">
      <alignment horizontal="centerContinuous"/>
    </xf>
    <xf numFmtId="0" fontId="9" fillId="0" borderId="1" xfId="0" applyNumberFormat="1" applyFont="1" applyBorder="1"/>
    <xf numFmtId="9" fontId="1" fillId="0" borderId="0" xfId="125" applyFont="1"/>
    <xf numFmtId="6" fontId="1" fillId="0" borderId="0" xfId="125" applyNumberFormat="1" applyFont="1"/>
    <xf numFmtId="6" fontId="138" fillId="0" borderId="0" xfId="125" applyNumberFormat="1" applyFont="1"/>
    <xf numFmtId="6" fontId="1" fillId="0" borderId="0" xfId="0" applyNumberFormat="1" applyFont="1" applyBorder="1"/>
    <xf numFmtId="9" fontId="1" fillId="0" borderId="27" xfId="125" applyFont="1" applyBorder="1"/>
    <xf numFmtId="6" fontId="1" fillId="0" borderId="0" xfId="0" applyNumberFormat="1" applyFont="1"/>
    <xf numFmtId="6" fontId="9" fillId="0" borderId="0" xfId="125" applyNumberFormat="1" applyFont="1"/>
    <xf numFmtId="9" fontId="9" fillId="0" borderId="0" xfId="125" applyFont="1"/>
    <xf numFmtId="6" fontId="1" fillId="23" borderId="0" xfId="125" applyNumberFormat="1" applyFont="1" applyFill="1"/>
    <xf numFmtId="6" fontId="138" fillId="23" borderId="0" xfId="125" applyNumberFormat="1" applyFont="1" applyFill="1"/>
    <xf numFmtId="37" fontId="9" fillId="0" borderId="0" xfId="0" applyFont="1" applyBorder="1" applyAlignment="1">
      <alignment horizontal="centerContinuous"/>
    </xf>
    <xf numFmtId="9" fontId="1" fillId="0" borderId="0" xfId="125" applyFont="1" applyBorder="1"/>
    <xf numFmtId="6" fontId="9" fillId="0" borderId="6" xfId="0" applyNumberFormat="1" applyFont="1" applyBorder="1"/>
    <xf numFmtId="9" fontId="9" fillId="0" borderId="22" xfId="125" applyFont="1" applyBorder="1"/>
    <xf numFmtId="37" fontId="9" fillId="0" borderId="0" xfId="0" applyFont="1" applyBorder="1" applyAlignment="1"/>
    <xf numFmtId="9" fontId="9" fillId="0" borderId="6" xfId="125" applyFont="1" applyBorder="1"/>
    <xf numFmtId="37" fontId="9" fillId="23" borderId="31" xfId="0" applyFont="1" applyFill="1" applyBorder="1" applyAlignment="1">
      <alignment horizontal="right"/>
    </xf>
    <xf numFmtId="9" fontId="9" fillId="23" borderId="27" xfId="125" applyFont="1" applyFill="1" applyBorder="1"/>
    <xf numFmtId="9" fontId="9" fillId="23" borderId="30" xfId="125" applyFont="1" applyFill="1" applyBorder="1"/>
    <xf numFmtId="9" fontId="9" fillId="23" borderId="22" xfId="125" applyFont="1" applyFill="1" applyBorder="1"/>
    <xf numFmtId="9" fontId="1" fillId="0" borderId="30" xfId="125" applyFont="1" applyBorder="1"/>
    <xf numFmtId="9" fontId="1" fillId="0" borderId="1" xfId="125" applyFont="1" applyBorder="1"/>
    <xf numFmtId="169" fontId="8" fillId="0" borderId="28" xfId="123" applyFont="1" applyFill="1" applyBorder="1" applyAlignment="1">
      <alignment horizontal="right"/>
    </xf>
    <xf numFmtId="41" fontId="64" fillId="0" borderId="23" xfId="0" applyNumberFormat="1" applyFont="1" applyFill="1" applyBorder="1" applyProtection="1"/>
    <xf numFmtId="37" fontId="9" fillId="0" borderId="28" xfId="0" applyFont="1" applyBorder="1" applyAlignment="1">
      <alignment horizontal="centerContinuous"/>
    </xf>
    <xf numFmtId="37" fontId="9" fillId="0" borderId="31" xfId="0" applyFont="1" applyBorder="1" applyAlignment="1">
      <alignment horizontal="centerContinuous"/>
    </xf>
    <xf numFmtId="168" fontId="9" fillId="0" borderId="28" xfId="0" applyNumberFormat="1" applyFont="1" applyBorder="1" applyAlignment="1">
      <alignment horizontal="centerContinuous"/>
    </xf>
    <xf numFmtId="7" fontId="139" fillId="0" borderId="28" xfId="61" applyNumberFormat="1" applyFont="1" applyFill="1" applyBorder="1" applyAlignment="1" applyProtection="1">
      <alignment horizontal="right"/>
    </xf>
    <xf numFmtId="9" fontId="1" fillId="0" borderId="1" xfId="60" applyNumberFormat="1" applyFont="1" applyFill="1" applyBorder="1" applyAlignment="1" applyProtection="1">
      <alignment horizontal="right"/>
    </xf>
    <xf numFmtId="41" fontId="139" fillId="0" borderId="0" xfId="0" applyNumberFormat="1" applyFont="1" applyFill="1" applyBorder="1" applyProtection="1"/>
    <xf numFmtId="4" fontId="5" fillId="0" borderId="0" xfId="60" applyNumberFormat="1" applyFont="1" applyFill="1" applyBorder="1" applyProtection="1"/>
    <xf numFmtId="168" fontId="9" fillId="0" borderId="30" xfId="0" applyNumberFormat="1" applyFont="1" applyBorder="1"/>
    <xf numFmtId="37" fontId="38" fillId="0" borderId="18" xfId="0" applyFont="1" applyBorder="1"/>
    <xf numFmtId="7" fontId="139" fillId="0" borderId="0" xfId="0" applyNumberFormat="1" applyFont="1" applyBorder="1"/>
    <xf numFmtId="7" fontId="139" fillId="0" borderId="27" xfId="0" applyNumberFormat="1" applyFont="1" applyBorder="1"/>
    <xf numFmtId="169" fontId="1" fillId="0" borderId="27" xfId="123" applyFont="1" applyBorder="1"/>
    <xf numFmtId="169" fontId="139" fillId="0" borderId="0" xfId="123" applyFont="1" applyBorder="1"/>
    <xf numFmtId="169" fontId="139" fillId="0" borderId="27" xfId="123" applyFont="1" applyBorder="1"/>
    <xf numFmtId="5" fontId="139" fillId="0" borderId="0" xfId="0" applyNumberFormat="1" applyFont="1" applyBorder="1"/>
    <xf numFmtId="5" fontId="139" fillId="0" borderId="27" xfId="0" applyNumberFormat="1" applyFont="1" applyBorder="1"/>
    <xf numFmtId="169" fontId="1" fillId="0" borderId="1" xfId="123" applyFont="1" applyBorder="1"/>
    <xf numFmtId="169" fontId="1" fillId="0" borderId="30" xfId="123" applyFont="1" applyBorder="1"/>
    <xf numFmtId="169" fontId="9" fillId="17" borderId="6" xfId="123" applyFont="1" applyFill="1" applyBorder="1"/>
    <xf numFmtId="169" fontId="9" fillId="17" borderId="22" xfId="123" applyFont="1" applyFill="1" applyBorder="1"/>
    <xf numFmtId="37" fontId="15" fillId="0" borderId="18" xfId="0" applyFont="1" applyBorder="1"/>
    <xf numFmtId="37" fontId="1" fillId="0" borderId="27" xfId="0" applyFont="1" applyBorder="1" applyAlignment="1">
      <alignment horizontal="right"/>
    </xf>
    <xf numFmtId="169" fontId="1" fillId="0" borderId="0" xfId="0" applyNumberFormat="1" applyFont="1" applyBorder="1"/>
    <xf numFmtId="169" fontId="123" fillId="0" borderId="0" xfId="0" applyNumberFormat="1" applyFont="1" applyBorder="1"/>
    <xf numFmtId="169" fontId="26" fillId="0" borderId="0" xfId="0" applyNumberFormat="1" applyFont="1" applyBorder="1"/>
    <xf numFmtId="169" fontId="138" fillId="0" borderId="0" xfId="123" applyFont="1" applyBorder="1"/>
    <xf numFmtId="37" fontId="26" fillId="0" borderId="27" xfId="0" applyFont="1" applyBorder="1"/>
    <xf numFmtId="9" fontId="1" fillId="0" borderId="27" xfId="0" applyNumberFormat="1" applyFont="1" applyBorder="1"/>
    <xf numFmtId="169" fontId="1" fillId="0" borderId="27" xfId="0" applyNumberFormat="1" applyFont="1" applyBorder="1"/>
    <xf numFmtId="169" fontId="138" fillId="0" borderId="27" xfId="123" applyFont="1" applyBorder="1"/>
    <xf numFmtId="168" fontId="9" fillId="0" borderId="6" xfId="0" applyNumberFormat="1" applyFont="1" applyBorder="1" applyAlignment="1">
      <alignment horizontal="right"/>
    </xf>
    <xf numFmtId="169" fontId="43" fillId="0" borderId="19" xfId="123" applyFont="1" applyFill="1" applyBorder="1"/>
    <xf numFmtId="9" fontId="1" fillId="0" borderId="26" xfId="0" applyNumberFormat="1" applyFont="1" applyBorder="1" applyAlignment="1">
      <alignment horizontal="left" indent="1"/>
    </xf>
    <xf numFmtId="9" fontId="1" fillId="0" borderId="1" xfId="0" applyNumberFormat="1" applyFont="1" applyBorder="1"/>
    <xf numFmtId="9" fontId="1" fillId="0" borderId="30" xfId="0" applyNumberFormat="1" applyFont="1" applyBorder="1"/>
    <xf numFmtId="205" fontId="5" fillId="0" borderId="19" xfId="0" applyNumberFormat="1" applyFont="1" applyFill="1" applyBorder="1"/>
    <xf numFmtId="37" fontId="9" fillId="0" borderId="21" xfId="0" applyFont="1" applyFill="1" applyBorder="1" applyAlignment="1">
      <alignment horizontal="right"/>
    </xf>
    <xf numFmtId="37" fontId="25" fillId="0" borderId="10" xfId="60" applyFont="1" applyFill="1" applyBorder="1"/>
    <xf numFmtId="169" fontId="139" fillId="0" borderId="0" xfId="123" applyFont="1" applyFill="1" applyBorder="1" applyProtection="1">
      <protection locked="0"/>
    </xf>
    <xf numFmtId="39" fontId="1" fillId="0" borderId="0" xfId="0" applyNumberFormat="1" applyFont="1"/>
    <xf numFmtId="0" fontId="1" fillId="0" borderId="20" xfId="0" applyNumberFormat="1" applyFont="1" applyBorder="1" applyAlignment="1">
      <alignment horizontal="left"/>
    </xf>
    <xf numFmtId="39" fontId="1" fillId="0" borderId="18" xfId="0" applyNumberFormat="1" applyFont="1" applyBorder="1"/>
    <xf numFmtId="39" fontId="138" fillId="0" borderId="0" xfId="0" applyNumberFormat="1" applyFont="1" applyBorder="1"/>
    <xf numFmtId="39" fontId="138" fillId="0" borderId="27" xfId="0" applyNumberFormat="1" applyFont="1" applyBorder="1"/>
    <xf numFmtId="39" fontId="1" fillId="0" borderId="24" xfId="0" applyNumberFormat="1" applyFont="1" applyBorder="1"/>
    <xf numFmtId="39" fontId="138" fillId="0" borderId="5" xfId="0" applyNumberFormat="1" applyFont="1" applyBorder="1"/>
    <xf numFmtId="39" fontId="138" fillId="0" borderId="25" xfId="0" applyNumberFormat="1" applyFont="1" applyBorder="1"/>
    <xf numFmtId="37" fontId="1" fillId="0" borderId="0" xfId="0" applyFont="1" applyAlignment="1">
      <alignment horizontal="left"/>
    </xf>
    <xf numFmtId="37" fontId="1" fillId="0" borderId="0" xfId="0" applyFont="1" applyBorder="1" applyAlignment="1">
      <alignment horizontal="left"/>
    </xf>
    <xf numFmtId="39" fontId="1" fillId="0" borderId="0" xfId="0" applyNumberFormat="1" applyFont="1" applyAlignment="1">
      <alignment horizontal="left"/>
    </xf>
    <xf numFmtId="37" fontId="138" fillId="0" borderId="5" xfId="0" quotePrefix="1" applyFont="1" applyBorder="1" applyAlignment="1">
      <alignment horizontal="right"/>
    </xf>
    <xf numFmtId="37" fontId="138" fillId="0" borderId="5" xfId="0" applyFont="1" applyBorder="1"/>
    <xf numFmtId="37" fontId="138" fillId="0" borderId="0" xfId="0" applyFont="1" applyBorder="1"/>
    <xf numFmtId="37" fontId="138" fillId="0" borderId="27" xfId="0" applyFont="1" applyBorder="1"/>
    <xf numFmtId="37" fontId="1" fillId="0" borderId="71" xfId="0" applyFont="1" applyBorder="1"/>
    <xf numFmtId="37" fontId="138" fillId="0" borderId="72" xfId="0" applyFont="1" applyBorder="1"/>
    <xf numFmtId="37" fontId="138" fillId="0" borderId="1" xfId="0" applyFont="1" applyBorder="1"/>
    <xf numFmtId="37" fontId="138" fillId="0" borderId="30" xfId="0" applyFont="1" applyBorder="1"/>
    <xf numFmtId="9" fontId="138" fillId="0" borderId="0" xfId="123" applyNumberFormat="1" applyFont="1" applyBorder="1"/>
    <xf numFmtId="37" fontId="1" fillId="0" borderId="27" xfId="0" applyFont="1" applyBorder="1" applyAlignment="1">
      <alignment horizontal="left"/>
    </xf>
    <xf numFmtId="9" fontId="138" fillId="0" borderId="1" xfId="123" applyNumberFormat="1" applyFont="1" applyBorder="1"/>
    <xf numFmtId="37" fontId="1" fillId="0" borderId="30" xfId="0" applyFont="1" applyBorder="1" applyAlignment="1">
      <alignment horizontal="left"/>
    </xf>
    <xf numFmtId="208" fontId="1" fillId="0" borderId="0" xfId="0" applyNumberFormat="1" applyFont="1"/>
    <xf numFmtId="37" fontId="1" fillId="0" borderId="0" xfId="0" quotePrefix="1" applyFont="1" applyAlignment="1">
      <alignment horizontal="right" wrapText="1"/>
    </xf>
    <xf numFmtId="37" fontId="1" fillId="0" borderId="0" xfId="0" quotePrefix="1" applyFont="1" applyAlignment="1">
      <alignment horizontal="center" wrapText="1"/>
    </xf>
    <xf numFmtId="208" fontId="139" fillId="0" borderId="0" xfId="0" applyNumberFormat="1" applyFont="1"/>
    <xf numFmtId="188" fontId="1" fillId="0" borderId="0" xfId="0" applyNumberFormat="1" applyFont="1"/>
    <xf numFmtId="188" fontId="140" fillId="0" borderId="0" xfId="0" applyNumberFormat="1" applyFont="1"/>
    <xf numFmtId="209" fontId="9" fillId="0" borderId="0" xfId="0" applyNumberFormat="1" applyFont="1"/>
    <xf numFmtId="5" fontId="141" fillId="0" borderId="0" xfId="0" applyNumberFormat="1" applyFont="1"/>
    <xf numFmtId="9" fontId="1" fillId="0" borderId="0" xfId="123" applyNumberFormat="1" applyFont="1"/>
    <xf numFmtId="37" fontId="139" fillId="0" borderId="0" xfId="0" applyFont="1"/>
    <xf numFmtId="37" fontId="141" fillId="0" borderId="0" xfId="0" applyFont="1"/>
    <xf numFmtId="41" fontId="1" fillId="0" borderId="0" xfId="61" quotePrefix="1" applyNumberFormat="1" applyFont="1" applyFill="1" applyBorder="1" applyAlignment="1" applyProtection="1"/>
    <xf numFmtId="41" fontId="1" fillId="0" borderId="0" xfId="123" quotePrefix="1" applyNumberFormat="1" applyFont="1" applyFill="1" applyBorder="1" applyAlignment="1" applyProtection="1">
      <alignment horizontal="right"/>
    </xf>
    <xf numFmtId="41" fontId="1" fillId="0" borderId="0" xfId="60" quotePrefix="1" applyNumberFormat="1" applyFont="1" applyFill="1" applyBorder="1" applyAlignment="1" applyProtection="1"/>
    <xf numFmtId="41" fontId="1" fillId="0" borderId="0" xfId="123" applyNumberFormat="1" applyFont="1" applyFill="1" applyBorder="1" applyProtection="1"/>
    <xf numFmtId="41" fontId="1" fillId="0" borderId="0" xfId="0" applyNumberFormat="1" applyFont="1" applyFill="1" applyBorder="1" applyProtection="1"/>
    <xf numFmtId="41" fontId="1" fillId="0" borderId="0" xfId="61" applyNumberFormat="1" applyFont="1" applyFill="1" applyBorder="1"/>
    <xf numFmtId="41" fontId="1" fillId="0" borderId="0" xfId="0" applyNumberFormat="1" applyFont="1" applyFill="1" applyBorder="1"/>
    <xf numFmtId="41" fontId="1" fillId="0" borderId="0" xfId="0" applyNumberFormat="1" applyFont="1" applyFill="1" applyBorder="1" applyAlignment="1" applyProtection="1">
      <alignment horizontal="right"/>
    </xf>
    <xf numFmtId="41" fontId="1" fillId="0" borderId="0" xfId="60" applyNumberFormat="1" applyFont="1" applyFill="1" applyBorder="1" applyProtection="1"/>
    <xf numFmtId="170" fontId="1" fillId="0" borderId="0" xfId="123" applyNumberFormat="1" applyFont="1" applyFill="1" applyBorder="1" applyAlignment="1" applyProtection="1">
      <alignment horizontal="right"/>
    </xf>
    <xf numFmtId="37" fontId="1" fillId="0" borderId="0" xfId="60" applyNumberFormat="1" applyFont="1" applyFill="1" applyBorder="1"/>
    <xf numFmtId="37" fontId="1" fillId="0" borderId="0" xfId="60" applyFont="1" applyFill="1" applyBorder="1"/>
    <xf numFmtId="37" fontId="1" fillId="0" borderId="1" xfId="60" applyNumberFormat="1" applyFont="1" applyFill="1" applyBorder="1"/>
    <xf numFmtId="5" fontId="1" fillId="0" borderId="0" xfId="60" applyNumberFormat="1" applyFont="1" applyFill="1" applyBorder="1" applyProtection="1"/>
    <xf numFmtId="5" fontId="1" fillId="0" borderId="0" xfId="61" quotePrefix="1" applyFont="1" applyFill="1" applyBorder="1" applyAlignment="1" applyProtection="1">
      <alignment horizontal="right"/>
    </xf>
    <xf numFmtId="41" fontId="1" fillId="0" borderId="0" xfId="61" quotePrefix="1" applyNumberFormat="1" applyFont="1" applyFill="1" applyBorder="1" applyAlignment="1" applyProtection="1">
      <alignment horizontal="right"/>
    </xf>
    <xf numFmtId="183" fontId="1" fillId="0" borderId="0" xfId="60" quotePrefix="1" applyNumberFormat="1" applyFont="1" applyFill="1" applyBorder="1" applyAlignment="1" applyProtection="1"/>
    <xf numFmtId="41" fontId="1" fillId="0" borderId="0" xfId="61" applyNumberFormat="1" applyFont="1" applyFill="1" applyBorder="1" applyProtection="1"/>
    <xf numFmtId="5" fontId="1" fillId="0" borderId="27" xfId="60" quotePrefix="1" applyNumberFormat="1" applyFont="1" applyFill="1" applyBorder="1" applyAlignment="1" applyProtection="1"/>
    <xf numFmtId="4" fontId="1" fillId="0" borderId="0" xfId="123" quotePrefix="1" applyNumberFormat="1" applyFont="1" applyFill="1" applyBorder="1" applyAlignment="1" applyProtection="1"/>
    <xf numFmtId="41" fontId="34" fillId="18" borderId="0" xfId="123" applyNumberFormat="1" applyFont="1" applyFill="1" applyBorder="1" applyProtection="1"/>
    <xf numFmtId="187" fontId="1" fillId="0" borderId="0" xfId="123" quotePrefix="1" applyNumberFormat="1" applyFont="1" applyFill="1" applyBorder="1" applyAlignment="1" applyProtection="1"/>
    <xf numFmtId="37" fontId="1" fillId="0" borderId="0" xfId="123" quotePrefix="1" applyNumberFormat="1" applyFont="1" applyFill="1" applyBorder="1" applyAlignment="1" applyProtection="1"/>
    <xf numFmtId="169" fontId="1" fillId="0" borderId="27" xfId="123" quotePrefix="1" applyFont="1" applyFill="1" applyBorder="1" applyAlignment="1" applyProtection="1"/>
    <xf numFmtId="41" fontId="1" fillId="0" borderId="27" xfId="60" quotePrefix="1" applyNumberFormat="1" applyFont="1" applyFill="1" applyBorder="1" applyAlignment="1" applyProtection="1"/>
    <xf numFmtId="169" fontId="1" fillId="0" borderId="0" xfId="123" quotePrefix="1" applyFont="1" applyFill="1" applyBorder="1" applyAlignment="1" applyProtection="1"/>
    <xf numFmtId="5" fontId="1" fillId="0" borderId="0" xfId="123" quotePrefix="1" applyNumberFormat="1" applyFont="1" applyFill="1" applyBorder="1" applyAlignment="1" applyProtection="1"/>
    <xf numFmtId="41" fontId="1" fillId="0" borderId="27" xfId="61" applyNumberFormat="1" applyFont="1" applyFill="1" applyBorder="1"/>
    <xf numFmtId="41" fontId="1" fillId="0" borderId="0" xfId="123" quotePrefix="1" applyNumberFormat="1" applyFont="1" applyFill="1" applyBorder="1" applyAlignment="1" applyProtection="1"/>
    <xf numFmtId="169" fontId="1" fillId="0" borderId="0" xfId="123" applyFont="1" applyFill="1" applyBorder="1" applyProtection="1">
      <protection locked="0"/>
    </xf>
    <xf numFmtId="41" fontId="1" fillId="0" borderId="1" xfId="0" applyNumberFormat="1" applyFont="1" applyFill="1" applyBorder="1" applyProtection="1">
      <protection locked="0"/>
    </xf>
    <xf numFmtId="7" fontId="1" fillId="0" borderId="21" xfId="61" applyNumberFormat="1" applyFont="1" applyFill="1" applyBorder="1" applyAlignment="1" applyProtection="1">
      <alignment horizontal="right"/>
    </xf>
    <xf numFmtId="7" fontId="1" fillId="0" borderId="19" xfId="61" applyNumberFormat="1" applyFont="1" applyFill="1" applyBorder="1" applyAlignment="1" applyProtection="1">
      <alignment horizontal="right"/>
    </xf>
    <xf numFmtId="41" fontId="1" fillId="0" borderId="19" xfId="0" applyNumberFormat="1" applyFont="1" applyFill="1" applyBorder="1"/>
    <xf numFmtId="41" fontId="1" fillId="0" borderId="23" xfId="60" applyNumberFormat="1" applyFont="1" applyFill="1" applyBorder="1" applyAlignment="1" applyProtection="1">
      <alignment horizontal="right"/>
    </xf>
    <xf numFmtId="37" fontId="1" fillId="0" borderId="19" xfId="0" applyNumberFormat="1" applyFont="1" applyBorder="1"/>
    <xf numFmtId="37" fontId="1" fillId="0" borderId="19" xfId="0" applyNumberFormat="1" applyFont="1" applyBorder="1" applyAlignment="1">
      <alignment horizontal="right"/>
    </xf>
    <xf numFmtId="37" fontId="1" fillId="0" borderId="19" xfId="60" applyNumberFormat="1" applyFont="1" applyFill="1" applyBorder="1"/>
    <xf numFmtId="37" fontId="1" fillId="0" borderId="19" xfId="60" applyFont="1" applyFill="1" applyBorder="1"/>
    <xf numFmtId="37" fontId="1" fillId="0" borderId="23" xfId="60" applyNumberFormat="1" applyFont="1" applyFill="1" applyBorder="1"/>
    <xf numFmtId="171" fontId="1" fillId="0" borderId="0" xfId="60" applyNumberFormat="1" applyFont="1" applyFill="1" applyBorder="1" applyProtection="1"/>
    <xf numFmtId="41" fontId="1" fillId="0" borderId="19" xfId="123" quotePrefix="1" applyNumberFormat="1" applyFont="1" applyFill="1" applyBorder="1" applyAlignment="1" applyProtection="1"/>
    <xf numFmtId="5" fontId="1" fillId="0" borderId="19" xfId="123" quotePrefix="1" applyNumberFormat="1" applyFont="1" applyFill="1" applyBorder="1" applyAlignment="1" applyProtection="1"/>
    <xf numFmtId="169" fontId="38" fillId="0" borderId="18" xfId="123" applyFont="1" applyFill="1" applyBorder="1"/>
    <xf numFmtId="37" fontId="1" fillId="0" borderId="19" xfId="0" applyFont="1" applyFill="1" applyBorder="1"/>
    <xf numFmtId="169" fontId="1" fillId="0" borderId="18" xfId="123" applyFont="1" applyFill="1" applyBorder="1"/>
    <xf numFmtId="170" fontId="1" fillId="0" borderId="0" xfId="123" applyNumberFormat="1" applyFont="1" applyFill="1" applyBorder="1"/>
    <xf numFmtId="170" fontId="1" fillId="0" borderId="19" xfId="123" applyNumberFormat="1" applyFont="1" applyFill="1" applyBorder="1"/>
    <xf numFmtId="170" fontId="1" fillId="0" borderId="18" xfId="123" applyNumberFormat="1" applyFont="1" applyFill="1" applyBorder="1"/>
    <xf numFmtId="170" fontId="1" fillId="0" borderId="27" xfId="123" applyNumberFormat="1" applyFont="1" applyFill="1" applyBorder="1"/>
    <xf numFmtId="170" fontId="1" fillId="0" borderId="19" xfId="0" applyNumberFormat="1" applyFont="1" applyFill="1" applyBorder="1"/>
    <xf numFmtId="170" fontId="9" fillId="0" borderId="0" xfId="123" applyNumberFormat="1" applyFont="1" applyFill="1" applyBorder="1"/>
    <xf numFmtId="170" fontId="9" fillId="0" borderId="19" xfId="123" applyNumberFormat="1" applyFont="1" applyFill="1" applyBorder="1"/>
    <xf numFmtId="170" fontId="9" fillId="0" borderId="18" xfId="123" applyNumberFormat="1" applyFont="1" applyFill="1" applyBorder="1"/>
    <xf numFmtId="170" fontId="9" fillId="0" borderId="27" xfId="123" applyNumberFormat="1" applyFont="1" applyFill="1" applyBorder="1"/>
    <xf numFmtId="169" fontId="1" fillId="0" borderId="27" xfId="123" applyFont="1" applyFill="1" applyBorder="1"/>
    <xf numFmtId="170" fontId="9" fillId="0" borderId="19" xfId="0" applyNumberFormat="1" applyFont="1" applyFill="1" applyBorder="1"/>
    <xf numFmtId="41" fontId="139" fillId="0" borderId="0" xfId="0" applyNumberFormat="1" applyFont="1" applyFill="1" applyBorder="1"/>
    <xf numFmtId="41" fontId="139" fillId="0" borderId="0" xfId="60" applyNumberFormat="1" applyFont="1" applyFill="1" applyBorder="1"/>
    <xf numFmtId="5" fontId="142" fillId="17" borderId="6" xfId="61" quotePrefix="1" applyFont="1" applyFill="1" applyBorder="1" applyAlignment="1" applyProtection="1">
      <alignment horizontal="right"/>
    </xf>
    <xf numFmtId="41" fontId="143" fillId="0" borderId="0" xfId="60" quotePrefix="1" applyNumberFormat="1" applyFont="1" applyFill="1" applyBorder="1" applyAlignment="1" applyProtection="1"/>
    <xf numFmtId="5" fontId="142" fillId="17" borderId="6" xfId="61" quotePrefix="1" applyNumberFormat="1" applyFont="1" applyFill="1" applyBorder="1" applyAlignment="1" applyProtection="1"/>
    <xf numFmtId="5" fontId="142" fillId="17" borderId="20" xfId="61" quotePrefix="1" applyNumberFormat="1" applyFont="1" applyFill="1" applyBorder="1" applyAlignment="1" applyProtection="1"/>
    <xf numFmtId="186" fontId="139" fillId="0" borderId="18" xfId="0" applyNumberFormat="1" applyFont="1" applyFill="1" applyBorder="1"/>
    <xf numFmtId="186" fontId="143" fillId="0" borderId="18" xfId="0" applyNumberFormat="1" applyFont="1" applyFill="1" applyBorder="1"/>
    <xf numFmtId="186" fontId="144" fillId="0" borderId="18" xfId="0" applyNumberFormat="1" applyFont="1" applyFill="1" applyBorder="1"/>
    <xf numFmtId="205" fontId="139" fillId="0" borderId="18" xfId="0" applyNumberFormat="1" applyFont="1" applyFill="1" applyBorder="1"/>
    <xf numFmtId="186" fontId="139" fillId="0" borderId="0" xfId="0" applyNumberFormat="1" applyFont="1" applyFill="1" applyBorder="1"/>
    <xf numFmtId="186" fontId="139" fillId="0" borderId="0" xfId="0" applyNumberFormat="1" applyFont="1" applyFill="1"/>
    <xf numFmtId="186" fontId="144" fillId="0" borderId="0" xfId="0" applyNumberFormat="1" applyFont="1" applyFill="1" applyBorder="1"/>
    <xf numFmtId="186" fontId="143" fillId="0" borderId="0" xfId="0" applyNumberFormat="1" applyFont="1" applyFill="1"/>
    <xf numFmtId="5" fontId="139" fillId="0" borderId="19" xfId="61" applyFont="1" applyBorder="1"/>
    <xf numFmtId="5" fontId="139" fillId="0" borderId="0" xfId="61" applyFont="1" applyBorder="1"/>
    <xf numFmtId="37" fontId="139" fillId="0" borderId="19" xfId="60" applyFont="1" applyBorder="1"/>
    <xf numFmtId="37" fontId="139" fillId="0" borderId="0" xfId="60" applyFont="1" applyBorder="1"/>
    <xf numFmtId="169" fontId="139" fillId="0" borderId="19" xfId="123" applyNumberFormat="1" applyFont="1" applyFill="1" applyBorder="1"/>
    <xf numFmtId="169" fontId="139" fillId="0" borderId="0" xfId="123" applyNumberFormat="1" applyFont="1" applyFill="1" applyBorder="1"/>
    <xf numFmtId="5" fontId="139" fillId="0" borderId="0" xfId="61" applyFont="1" applyFill="1" applyBorder="1"/>
    <xf numFmtId="37" fontId="139" fillId="0" borderId="0" xfId="60" applyFont="1" applyFill="1" applyBorder="1"/>
    <xf numFmtId="5" fontId="139" fillId="0" borderId="19" xfId="0" applyNumberFormat="1" applyFont="1" applyBorder="1"/>
    <xf numFmtId="5" fontId="139" fillId="0" borderId="18" xfId="0" applyNumberFormat="1" applyFont="1" applyBorder="1"/>
    <xf numFmtId="41" fontId="139" fillId="0" borderId="19" xfId="0" applyNumberFormat="1" applyFont="1" applyBorder="1"/>
    <xf numFmtId="41" fontId="139" fillId="0" borderId="18" xfId="0" applyNumberFormat="1" applyFont="1" applyBorder="1"/>
    <xf numFmtId="41" fontId="139" fillId="0" borderId="0" xfId="0" applyNumberFormat="1" applyFont="1" applyBorder="1"/>
    <xf numFmtId="41" fontId="139" fillId="0" borderId="27" xfId="0" applyNumberFormat="1" applyFont="1" applyBorder="1"/>
    <xf numFmtId="9" fontId="139" fillId="0" borderId="19" xfId="123" applyNumberFormat="1" applyFont="1" applyBorder="1"/>
    <xf numFmtId="9" fontId="139" fillId="0" borderId="18" xfId="123" applyNumberFormat="1" applyFont="1" applyBorder="1"/>
    <xf numFmtId="9" fontId="139" fillId="0" borderId="0" xfId="123" applyNumberFormat="1" applyFont="1" applyBorder="1"/>
    <xf numFmtId="9" fontId="139" fillId="0" borderId="27" xfId="123" applyNumberFormat="1" applyFont="1" applyBorder="1"/>
    <xf numFmtId="9" fontId="139" fillId="0" borderId="0" xfId="123" applyNumberFormat="1" applyFont="1" applyFill="1" applyBorder="1"/>
    <xf numFmtId="169" fontId="145" fillId="24" borderId="6" xfId="123" applyNumberFormat="1" applyFont="1" applyFill="1" applyBorder="1"/>
    <xf numFmtId="169" fontId="139" fillId="0" borderId="0" xfId="123" applyFont="1" applyFill="1" applyBorder="1" applyProtection="1"/>
    <xf numFmtId="169" fontId="139" fillId="0" borderId="0" xfId="123" applyNumberFormat="1" applyFont="1" applyFill="1" applyBorder="1" applyProtection="1"/>
    <xf numFmtId="41" fontId="145" fillId="17" borderId="6" xfId="61" applyNumberFormat="1" applyFont="1" applyFill="1" applyBorder="1" applyProtection="1"/>
    <xf numFmtId="5" fontId="9" fillId="0" borderId="0" xfId="0" applyNumberFormat="1" applyFont="1" applyFill="1"/>
    <xf numFmtId="0" fontId="1" fillId="0" borderId="0" xfId="101"/>
    <xf numFmtId="2" fontId="1" fillId="0" borderId="0" xfId="101" applyNumberFormat="1" applyAlignment="1">
      <alignment horizontal="left"/>
    </xf>
    <xf numFmtId="0" fontId="1" fillId="0" borderId="0" xfId="101" applyNumberFormat="1" applyAlignment="1">
      <alignment horizontal="left"/>
    </xf>
    <xf numFmtId="1" fontId="1" fillId="0" borderId="0" xfId="101" applyNumberFormat="1" applyAlignment="1">
      <alignment horizontal="left"/>
    </xf>
    <xf numFmtId="0" fontId="1" fillId="0" borderId="0" xfId="101" applyFont="1"/>
    <xf numFmtId="49" fontId="1" fillId="0" borderId="0" xfId="101" applyNumberFormat="1"/>
    <xf numFmtId="37" fontId="139" fillId="0" borderId="27" xfId="0" applyFont="1" applyBorder="1"/>
    <xf numFmtId="9" fontId="139" fillId="0" borderId="0" xfId="123" applyNumberFormat="1" applyFont="1"/>
    <xf numFmtId="9" fontId="139" fillId="0" borderId="0" xfId="0" applyNumberFormat="1" applyFont="1"/>
    <xf numFmtId="9" fontId="139" fillId="0" borderId="27" xfId="123" applyNumberFormat="1" applyFont="1" applyBorder="1" applyAlignment="1">
      <alignment horizontal="right"/>
    </xf>
    <xf numFmtId="9" fontId="1" fillId="0" borderId="0" xfId="0" applyNumberFormat="1" applyFont="1" applyAlignment="1">
      <alignment wrapText="1"/>
    </xf>
    <xf numFmtId="37" fontId="1" fillId="0" borderId="0" xfId="0" applyFont="1" applyAlignment="1">
      <alignment horizontal="left" wrapText="1"/>
    </xf>
    <xf numFmtId="5" fontId="1" fillId="0" borderId="22" xfId="0" applyNumberFormat="1" applyFont="1" applyBorder="1" applyAlignment="1">
      <alignment wrapText="1"/>
    </xf>
    <xf numFmtId="37" fontId="1" fillId="0" borderId="6" xfId="0" applyFont="1" applyBorder="1" applyAlignment="1">
      <alignment wrapText="1"/>
    </xf>
    <xf numFmtId="37" fontId="1" fillId="0" borderId="22" xfId="0" applyFont="1" applyBorder="1" applyAlignment="1">
      <alignment wrapText="1"/>
    </xf>
    <xf numFmtId="5" fontId="1" fillId="0" borderId="6" xfId="0" applyNumberFormat="1" applyFont="1" applyBorder="1" applyAlignment="1">
      <alignment wrapText="1"/>
    </xf>
    <xf numFmtId="0" fontId="1" fillId="0" borderId="18" xfId="61" applyNumberFormat="1" applyFont="1" applyFill="1" applyBorder="1" applyAlignment="1" applyProtection="1">
      <alignment horizontal="left" indent="1"/>
    </xf>
    <xf numFmtId="37" fontId="1" fillId="0" borderId="27" xfId="0" applyFont="1" applyFill="1" applyBorder="1"/>
    <xf numFmtId="37" fontId="1" fillId="17" borderId="0" xfId="0" applyFont="1" applyFill="1"/>
    <xf numFmtId="39" fontId="1" fillId="0" borderId="0" xfId="60" applyNumberFormat="1" applyFont="1" applyFill="1"/>
    <xf numFmtId="186" fontId="143" fillId="0" borderId="0" xfId="0" applyNumberFormat="1" applyFont="1" applyFill="1" applyBorder="1"/>
    <xf numFmtId="205" fontId="139" fillId="0" borderId="0" xfId="0" applyNumberFormat="1" applyFont="1" applyFill="1" applyBorder="1"/>
    <xf numFmtId="9" fontId="1" fillId="0" borderId="0" xfId="123" applyNumberFormat="1" applyFont="1" applyFill="1" applyBorder="1"/>
    <xf numFmtId="9" fontId="1" fillId="0" borderId="19" xfId="123" applyNumberFormat="1" applyFont="1" applyFill="1" applyBorder="1"/>
    <xf numFmtId="41" fontId="139" fillId="0" borderId="0" xfId="60" quotePrefix="1" applyNumberFormat="1" applyFont="1" applyFill="1" applyBorder="1" applyAlignment="1" applyProtection="1"/>
    <xf numFmtId="41" fontId="146" fillId="17" borderId="6" xfId="61" applyNumberFormat="1" applyFont="1" applyFill="1" applyBorder="1" applyProtection="1"/>
    <xf numFmtId="39" fontId="45" fillId="0" borderId="0" xfId="61" applyNumberFormat="1" applyFont="1" applyFill="1" applyBorder="1"/>
    <xf numFmtId="37" fontId="8" fillId="0" borderId="0" xfId="0" applyFont="1" applyFill="1"/>
    <xf numFmtId="9" fontId="8" fillId="0" borderId="0" xfId="123" applyNumberFormat="1" applyFont="1" applyFill="1"/>
    <xf numFmtId="9" fontId="9" fillId="0" borderId="0" xfId="123" applyNumberFormat="1" applyFont="1" applyAlignment="1">
      <alignment horizontal="right"/>
    </xf>
    <xf numFmtId="37" fontId="131" fillId="0" borderId="0" xfId="0" applyFont="1" applyFill="1"/>
    <xf numFmtId="9" fontId="139" fillId="0" borderId="0" xfId="123" applyNumberFormat="1" applyFont="1" applyFill="1"/>
    <xf numFmtId="169" fontId="1" fillId="18" borderId="21" xfId="123" applyFont="1" applyFill="1" applyBorder="1"/>
    <xf numFmtId="169" fontId="1" fillId="0" borderId="23" xfId="123" applyFont="1" applyFill="1" applyBorder="1"/>
    <xf numFmtId="37" fontId="1" fillId="0" borderId="0" xfId="0" applyFont="1" applyAlignment="1">
      <alignment horizontal="centerContinuous"/>
    </xf>
    <xf numFmtId="5" fontId="1" fillId="0" borderId="0" xfId="0" applyNumberFormat="1" applyFont="1" applyFill="1"/>
    <xf numFmtId="5" fontId="1" fillId="0" borderId="28" xfId="0" applyNumberFormat="1" applyFont="1" applyBorder="1"/>
    <xf numFmtId="9" fontId="1" fillId="0" borderId="0" xfId="123" applyNumberFormat="1" applyFont="1" applyBorder="1"/>
    <xf numFmtId="7" fontId="5" fillId="0" borderId="0" xfId="109" applyNumberFormat="1" applyFont="1" applyFill="1"/>
    <xf numFmtId="37" fontId="1" fillId="0" borderId="1" xfId="0" applyFont="1" applyBorder="1" applyAlignment="1">
      <alignment horizontal="left"/>
    </xf>
    <xf numFmtId="208" fontId="138" fillId="0" borderId="27" xfId="0" applyNumberFormat="1" applyFont="1" applyBorder="1" applyAlignment="1">
      <alignment horizontal="right"/>
    </xf>
    <xf numFmtId="208" fontId="138" fillId="0" borderId="30" xfId="0" applyNumberFormat="1" applyFont="1" applyBorder="1" applyAlignment="1">
      <alignment horizontal="right"/>
    </xf>
    <xf numFmtId="37" fontId="138" fillId="0" borderId="0" xfId="0" applyFont="1" applyBorder="1" applyAlignment="1">
      <alignment horizontal="left"/>
    </xf>
    <xf numFmtId="37" fontId="1" fillId="0" borderId="28" xfId="0" applyFont="1" applyBorder="1" applyAlignment="1">
      <alignment horizontal="left"/>
    </xf>
    <xf numFmtId="37" fontId="1" fillId="0" borderId="31" xfId="0" applyFont="1" applyBorder="1" applyAlignment="1">
      <alignment horizontal="right"/>
    </xf>
    <xf numFmtId="37" fontId="1" fillId="0" borderId="24" xfId="0" applyFont="1" applyBorder="1"/>
    <xf numFmtId="37" fontId="1" fillId="0" borderId="5" xfId="0" applyFont="1" applyBorder="1" applyAlignment="1">
      <alignment horizontal="left"/>
    </xf>
    <xf numFmtId="208" fontId="138" fillId="0" borderId="25" xfId="0" applyNumberFormat="1" applyFont="1" applyBorder="1" applyAlignment="1">
      <alignment horizontal="right"/>
    </xf>
    <xf numFmtId="169" fontId="138" fillId="0" borderId="25" xfId="123" applyNumberFormat="1" applyFont="1" applyBorder="1"/>
    <xf numFmtId="9" fontId="1" fillId="0" borderId="28" xfId="0" applyNumberFormat="1" applyFont="1" applyBorder="1" applyAlignment="1">
      <alignment horizontal="right"/>
    </xf>
    <xf numFmtId="37" fontId="1" fillId="0" borderId="31" xfId="0" applyFont="1" applyBorder="1" applyAlignment="1">
      <alignment horizontal="left"/>
    </xf>
    <xf numFmtId="9" fontId="138" fillId="0" borderId="5" xfId="123" applyNumberFormat="1" applyFont="1" applyBorder="1"/>
    <xf numFmtId="37" fontId="1" fillId="0" borderId="25" xfId="0" applyFont="1" applyBorder="1" applyAlignment="1">
      <alignment horizontal="left"/>
    </xf>
    <xf numFmtId="41" fontId="1" fillId="0" borderId="0" xfId="0" applyNumberFormat="1" applyFont="1"/>
    <xf numFmtId="41" fontId="9" fillId="0" borderId="0" xfId="0" applyNumberFormat="1" applyFont="1"/>
    <xf numFmtId="44" fontId="1" fillId="0" borderId="0" xfId="0" applyNumberFormat="1" applyFont="1"/>
    <xf numFmtId="41" fontId="9" fillId="0" borderId="0" xfId="0" applyNumberFormat="1" applyFont="1" applyFill="1"/>
    <xf numFmtId="37" fontId="1" fillId="0" borderId="0" xfId="109" applyFont="1" applyFill="1"/>
    <xf numFmtId="37" fontId="1" fillId="32" borderId="0" xfId="0" applyFont="1" applyFill="1"/>
    <xf numFmtId="37" fontId="38" fillId="32" borderId="0" xfId="0" applyFont="1" applyFill="1"/>
    <xf numFmtId="37" fontId="1" fillId="32" borderId="0" xfId="0" applyFont="1" applyFill="1" applyAlignment="1">
      <alignment horizontal="left" indent="1"/>
    </xf>
    <xf numFmtId="41" fontId="139" fillId="32" borderId="0" xfId="0" applyNumberFormat="1" applyFont="1" applyFill="1"/>
    <xf numFmtId="41" fontId="1" fillId="32" borderId="0" xfId="123" applyNumberFormat="1" applyFont="1" applyFill="1"/>
    <xf numFmtId="41" fontId="15" fillId="32" borderId="0" xfId="0" applyNumberFormat="1" applyFont="1" applyFill="1" applyAlignment="1">
      <alignment horizontal="right"/>
    </xf>
    <xf numFmtId="37" fontId="9" fillId="32" borderId="0" xfId="0" applyFont="1" applyFill="1"/>
    <xf numFmtId="41" fontId="1" fillId="32" borderId="0" xfId="0" applyNumberFormat="1" applyFont="1" applyFill="1"/>
    <xf numFmtId="41" fontId="15" fillId="0" borderId="0" xfId="0" applyNumberFormat="1" applyFont="1" applyBorder="1" applyAlignment="1">
      <alignment horizontal="right"/>
    </xf>
    <xf numFmtId="41" fontId="15" fillId="0" borderId="0" xfId="0" applyNumberFormat="1" applyFont="1" applyFill="1" applyBorder="1" applyAlignment="1">
      <alignment horizontal="right"/>
    </xf>
    <xf numFmtId="41" fontId="15" fillId="0" borderId="27" xfId="0" applyNumberFormat="1" applyFont="1" applyFill="1" applyBorder="1" applyAlignment="1">
      <alignment horizontal="right"/>
    </xf>
    <xf numFmtId="37" fontId="139" fillId="0" borderId="0" xfId="0" applyFont="1" applyBorder="1"/>
    <xf numFmtId="5" fontId="140" fillId="0" borderId="0" xfId="0" applyNumberFormat="1" applyFont="1" applyBorder="1"/>
    <xf numFmtId="5" fontId="9" fillId="0" borderId="0" xfId="0" applyNumberFormat="1" applyFont="1" applyBorder="1" applyAlignment="1">
      <alignment horizontal="right"/>
    </xf>
    <xf numFmtId="5" fontId="9" fillId="0" borderId="27" xfId="0" applyNumberFormat="1" applyFont="1" applyBorder="1" applyAlignment="1">
      <alignment horizontal="right"/>
    </xf>
    <xf numFmtId="213" fontId="139" fillId="0" borderId="0" xfId="0" applyNumberFormat="1" applyFont="1" applyBorder="1"/>
    <xf numFmtId="213" fontId="1" fillId="0" borderId="0" xfId="0" applyNumberFormat="1" applyFont="1" applyBorder="1"/>
    <xf numFmtId="213" fontId="1" fillId="0" borderId="27" xfId="0" applyNumberFormat="1" applyFont="1" applyBorder="1"/>
    <xf numFmtId="5" fontId="83" fillId="0" borderId="1" xfId="0" applyNumberFormat="1" applyFont="1" applyBorder="1"/>
    <xf numFmtId="213" fontId="147" fillId="0" borderId="1" xfId="0" applyNumberFormat="1" applyFont="1" applyBorder="1"/>
    <xf numFmtId="5" fontId="83" fillId="0" borderId="30" xfId="0" applyNumberFormat="1" applyFont="1" applyBorder="1"/>
    <xf numFmtId="49" fontId="1" fillId="0" borderId="0" xfId="0" applyNumberFormat="1" applyFont="1" applyBorder="1" applyAlignment="1">
      <alignment horizontal="right"/>
    </xf>
    <xf numFmtId="49" fontId="9" fillId="0" borderId="0" xfId="0" applyNumberFormat="1" applyFont="1" applyBorder="1" applyAlignment="1">
      <alignment horizontal="right"/>
    </xf>
    <xf numFmtId="49" fontId="9" fillId="0" borderId="0" xfId="0" applyNumberFormat="1" applyFont="1" applyFill="1" applyBorder="1" applyAlignment="1">
      <alignment horizontal="right"/>
    </xf>
    <xf numFmtId="49" fontId="9" fillId="0" borderId="27" xfId="0" applyNumberFormat="1" applyFont="1" applyFill="1" applyBorder="1" applyAlignment="1">
      <alignment horizontal="right"/>
    </xf>
    <xf numFmtId="5" fontId="139" fillId="0" borderId="0" xfId="123" applyNumberFormat="1" applyFont="1" applyBorder="1"/>
    <xf numFmtId="5" fontId="1" fillId="0" borderId="0" xfId="123" applyNumberFormat="1" applyFont="1" applyBorder="1"/>
    <xf numFmtId="37" fontId="1" fillId="17" borderId="0" xfId="0" applyFont="1" applyFill="1" applyBorder="1"/>
    <xf numFmtId="37" fontId="1" fillId="17" borderId="27" xfId="0" applyFont="1" applyFill="1" applyBorder="1"/>
    <xf numFmtId="41" fontId="1" fillId="0" borderId="0" xfId="123" applyNumberFormat="1" applyFont="1" applyBorder="1"/>
    <xf numFmtId="41" fontId="139" fillId="0" borderId="0" xfId="123" applyNumberFormat="1" applyFont="1" applyBorder="1"/>
    <xf numFmtId="37" fontId="139" fillId="17" borderId="0" xfId="0" applyFont="1" applyFill="1" applyBorder="1"/>
    <xf numFmtId="5" fontId="131" fillId="0" borderId="0" xfId="0" applyNumberFormat="1" applyFont="1" applyBorder="1"/>
    <xf numFmtId="5" fontId="140" fillId="0" borderId="27" xfId="0" applyNumberFormat="1" applyFont="1" applyBorder="1"/>
    <xf numFmtId="37" fontId="25" fillId="0" borderId="18" xfId="0" applyFont="1" applyBorder="1" applyAlignment="1">
      <alignment horizontal="left" indent="2"/>
    </xf>
    <xf numFmtId="169" fontId="147" fillId="0" borderId="0" xfId="0" applyNumberFormat="1" applyFont="1" applyBorder="1"/>
    <xf numFmtId="169" fontId="25" fillId="0" borderId="0" xfId="0" applyNumberFormat="1" applyFont="1" applyBorder="1"/>
    <xf numFmtId="169" fontId="25" fillId="0" borderId="0" xfId="0" applyNumberFormat="1" applyFont="1" applyFill="1" applyBorder="1"/>
    <xf numFmtId="169" fontId="25" fillId="0" borderId="27" xfId="0" applyNumberFormat="1" applyFont="1" applyFill="1" applyBorder="1"/>
    <xf numFmtId="41" fontId="1" fillId="0" borderId="0" xfId="0" applyNumberFormat="1" applyFont="1" applyBorder="1"/>
    <xf numFmtId="169" fontId="148" fillId="0" borderId="0" xfId="0" applyNumberFormat="1" applyFont="1" applyBorder="1"/>
    <xf numFmtId="169" fontId="148" fillId="0" borderId="27" xfId="0" applyNumberFormat="1" applyFont="1" applyBorder="1"/>
    <xf numFmtId="41" fontId="1" fillId="0" borderId="27" xfId="0" applyNumberFormat="1" applyFont="1" applyBorder="1"/>
    <xf numFmtId="41" fontId="1" fillId="0" borderId="0" xfId="0" applyNumberFormat="1" applyFont="1" applyBorder="1" applyAlignment="1">
      <alignment horizontal="right"/>
    </xf>
    <xf numFmtId="41" fontId="1" fillId="0" borderId="27" xfId="0" applyNumberFormat="1" applyFont="1" applyBorder="1" applyAlignment="1">
      <alignment horizontal="right"/>
    </xf>
    <xf numFmtId="41" fontId="1" fillId="0" borderId="1" xfId="0" applyNumberFormat="1" applyFont="1" applyBorder="1"/>
    <xf numFmtId="41" fontId="1" fillId="0" borderId="27" xfId="0" applyNumberFormat="1" applyFont="1" applyFill="1" applyBorder="1"/>
    <xf numFmtId="169" fontId="25" fillId="0" borderId="0" xfId="123" applyNumberFormat="1" applyFont="1" applyFill="1" applyBorder="1"/>
    <xf numFmtId="169" fontId="25" fillId="0" borderId="27" xfId="123" applyNumberFormat="1" applyFont="1" applyFill="1" applyBorder="1"/>
    <xf numFmtId="41" fontId="139" fillId="0" borderId="27" xfId="0" applyNumberFormat="1" applyFont="1" applyFill="1" applyBorder="1"/>
    <xf numFmtId="169" fontId="147" fillId="0" borderId="0" xfId="0" applyNumberFormat="1" applyFont="1" applyFill="1" applyBorder="1"/>
    <xf numFmtId="169" fontId="147" fillId="0" borderId="27" xfId="0" applyNumberFormat="1" applyFont="1" applyFill="1" applyBorder="1"/>
    <xf numFmtId="41" fontId="140" fillId="0" borderId="0" xfId="0" applyNumberFormat="1" applyFont="1" applyBorder="1"/>
    <xf numFmtId="37" fontId="1" fillId="0" borderId="18" xfId="0" applyFont="1" applyBorder="1" applyAlignment="1">
      <alignment horizontal="right" indent="1"/>
    </xf>
    <xf numFmtId="9" fontId="25" fillId="0" borderId="0" xfId="0" applyNumberFormat="1" applyFont="1" applyBorder="1"/>
    <xf numFmtId="9" fontId="25" fillId="0" borderId="0" xfId="0" applyNumberFormat="1" applyFont="1" applyFill="1" applyBorder="1"/>
    <xf numFmtId="9" fontId="25" fillId="0" borderId="27" xfId="0" applyNumberFormat="1" applyFont="1" applyFill="1" applyBorder="1"/>
    <xf numFmtId="41" fontId="9" fillId="0" borderId="27" xfId="0" applyNumberFormat="1" applyFont="1" applyFill="1" applyBorder="1"/>
    <xf numFmtId="41" fontId="9" fillId="0" borderId="1" xfId="0" applyNumberFormat="1" applyFont="1" applyBorder="1"/>
    <xf numFmtId="5" fontId="139" fillId="0" borderId="0" xfId="61" quotePrefix="1" applyNumberFormat="1" applyFont="1" applyFill="1" applyBorder="1" applyAlignment="1" applyProtection="1"/>
    <xf numFmtId="37" fontId="139" fillId="0" borderId="0" xfId="61" quotePrefix="1" applyNumberFormat="1" applyFont="1" applyFill="1" applyBorder="1" applyAlignment="1" applyProtection="1"/>
    <xf numFmtId="37" fontId="1" fillId="0" borderId="0" xfId="0" applyFont="1" applyAlignment="1">
      <alignment horizontal="center"/>
    </xf>
    <xf numFmtId="186" fontId="140" fillId="0" borderId="0" xfId="0" applyNumberFormat="1" applyFont="1" applyFill="1"/>
    <xf numFmtId="37" fontId="1" fillId="20" borderId="0" xfId="0" applyFont="1" applyFill="1"/>
    <xf numFmtId="37" fontId="1" fillId="20" borderId="0" xfId="0" applyFont="1" applyFill="1" applyAlignment="1">
      <alignment horizontal="right"/>
    </xf>
    <xf numFmtId="37" fontId="9" fillId="20" borderId="0" xfId="0" applyFont="1" applyFill="1"/>
    <xf numFmtId="37" fontId="1" fillId="0" borderId="0" xfId="0" applyFont="1" applyFill="1" applyAlignment="1">
      <alignment horizontal="center"/>
    </xf>
    <xf numFmtId="186" fontId="140" fillId="0" borderId="0" xfId="0" applyNumberFormat="1" applyFont="1" applyFill="1" applyBorder="1"/>
    <xf numFmtId="186" fontId="149" fillId="0" borderId="0" xfId="0" applyNumberFormat="1" applyFont="1" applyFill="1" applyBorder="1"/>
    <xf numFmtId="37" fontId="9" fillId="20" borderId="0" xfId="0" applyFont="1" applyFill="1" applyBorder="1"/>
    <xf numFmtId="41" fontId="131" fillId="0" borderId="0" xfId="60" applyNumberFormat="1" applyFont="1" applyFill="1" applyBorder="1" applyProtection="1"/>
    <xf numFmtId="168" fontId="1" fillId="0" borderId="0" xfId="0" applyNumberFormat="1" applyFont="1" applyAlignment="1">
      <alignment horizontal="right"/>
    </xf>
    <xf numFmtId="5" fontId="139" fillId="0" borderId="0" xfId="0" applyNumberFormat="1" applyFont="1"/>
    <xf numFmtId="5" fontId="140" fillId="0" borderId="0" xfId="0" applyNumberFormat="1" applyFont="1"/>
    <xf numFmtId="37" fontId="140" fillId="0" borderId="0" xfId="0" applyFont="1"/>
    <xf numFmtId="41" fontId="131" fillId="0" borderId="19" xfId="60" quotePrefix="1" applyNumberFormat="1" applyFont="1" applyFill="1" applyBorder="1" applyAlignment="1" applyProtection="1">
      <alignment horizontal="right"/>
    </xf>
    <xf numFmtId="41" fontId="141" fillId="0" borderId="0" xfId="0" applyNumberFormat="1" applyFont="1" applyBorder="1"/>
    <xf numFmtId="37" fontId="1" fillId="0" borderId="18" xfId="0" applyFont="1" applyBorder="1" applyAlignment="1">
      <alignment horizontal="left" indent="2"/>
    </xf>
    <xf numFmtId="41" fontId="141" fillId="0" borderId="27" xfId="0" applyNumberFormat="1" applyFont="1" applyBorder="1"/>
    <xf numFmtId="41" fontId="15" fillId="0" borderId="27" xfId="0" applyNumberFormat="1" applyFont="1" applyBorder="1" applyAlignment="1">
      <alignment horizontal="right"/>
    </xf>
    <xf numFmtId="41" fontId="9" fillId="0" borderId="27" xfId="0" applyNumberFormat="1" applyFont="1" applyBorder="1"/>
    <xf numFmtId="41" fontId="9" fillId="0" borderId="30" xfId="0" applyNumberFormat="1" applyFont="1" applyBorder="1"/>
    <xf numFmtId="41" fontId="139" fillId="0" borderId="1" xfId="0" applyNumberFormat="1" applyFont="1" applyBorder="1"/>
    <xf numFmtId="44" fontId="139" fillId="0" borderId="0" xfId="0" applyNumberFormat="1" applyFont="1" applyBorder="1"/>
    <xf numFmtId="44" fontId="139" fillId="0" borderId="27" xfId="0" applyNumberFormat="1" applyFont="1" applyBorder="1"/>
    <xf numFmtId="169" fontId="139" fillId="0" borderId="0" xfId="0" applyNumberFormat="1" applyFont="1" applyBorder="1"/>
    <xf numFmtId="169" fontId="139" fillId="0" borderId="27" xfId="0" applyNumberFormat="1" applyFont="1" applyBorder="1"/>
    <xf numFmtId="44" fontId="139" fillId="0" borderId="1" xfId="0" applyNumberFormat="1" applyFont="1" applyBorder="1"/>
    <xf numFmtId="44" fontId="139" fillId="0" borderId="30" xfId="0" applyNumberFormat="1" applyFont="1" applyBorder="1"/>
    <xf numFmtId="37" fontId="9" fillId="0" borderId="18" xfId="0" applyFont="1" applyBorder="1" applyAlignment="1">
      <alignment horizontal="left" indent="1"/>
    </xf>
    <xf numFmtId="44" fontId="142" fillId="0" borderId="0" xfId="0" applyNumberFormat="1" applyFont="1" applyBorder="1"/>
    <xf numFmtId="44" fontId="142" fillId="0" borderId="27" xfId="0" applyNumberFormat="1" applyFont="1" applyBorder="1"/>
    <xf numFmtId="37" fontId="9" fillId="0" borderId="18" xfId="0" applyFont="1" applyBorder="1" applyAlignment="1">
      <alignment horizontal="left" indent="2"/>
    </xf>
    <xf numFmtId="37" fontId="25" fillId="0" borderId="0" xfId="0" applyFont="1" applyBorder="1" applyAlignment="1">
      <alignment horizontal="left" indent="1"/>
    </xf>
    <xf numFmtId="213" fontId="147" fillId="0" borderId="0" xfId="0" quotePrefix="1" applyNumberFormat="1" applyFont="1" applyBorder="1"/>
    <xf numFmtId="213" fontId="147" fillId="0" borderId="0" xfId="0" applyNumberFormat="1" applyFont="1" applyBorder="1"/>
    <xf numFmtId="5" fontId="83" fillId="0" borderId="0" xfId="0" applyNumberFormat="1" applyFont="1" applyBorder="1"/>
    <xf numFmtId="169" fontId="147" fillId="0" borderId="27" xfId="0" applyNumberFormat="1" applyFont="1" applyBorder="1"/>
    <xf numFmtId="190" fontId="8" fillId="23" borderId="19" xfId="123" applyNumberFormat="1" applyFont="1" applyFill="1" applyBorder="1" applyAlignment="1" applyProtection="1">
      <alignment horizontal="right"/>
    </xf>
    <xf numFmtId="190" fontId="5" fillId="23" borderId="0" xfId="123" applyNumberFormat="1" applyFont="1" applyFill="1" applyBorder="1" applyProtection="1"/>
    <xf numFmtId="37" fontId="150" fillId="0" borderId="18" xfId="0" applyFont="1" applyBorder="1" applyAlignment="1">
      <alignment horizontal="left" indent="1"/>
    </xf>
    <xf numFmtId="169" fontId="150" fillId="0" borderId="0" xfId="123" quotePrefix="1" applyFont="1" applyBorder="1" applyAlignment="1">
      <alignment horizontal="right"/>
    </xf>
    <xf numFmtId="41" fontId="151" fillId="0" borderId="0" xfId="0" applyNumberFormat="1" applyFont="1" applyBorder="1"/>
    <xf numFmtId="41" fontId="151" fillId="0" borderId="27" xfId="0" applyNumberFormat="1" applyFont="1" applyBorder="1"/>
    <xf numFmtId="37" fontId="9" fillId="17" borderId="18" xfId="0" applyFont="1" applyFill="1" applyBorder="1" applyAlignment="1">
      <alignment horizontal="left" indent="1"/>
    </xf>
    <xf numFmtId="41" fontId="139" fillId="17" borderId="0" xfId="0" applyNumberFormat="1" applyFont="1" applyFill="1" applyBorder="1"/>
    <xf numFmtId="37" fontId="1" fillId="0" borderId="26" xfId="0" applyFont="1" applyBorder="1" applyAlignment="1">
      <alignment horizontal="left" indent="2"/>
    </xf>
    <xf numFmtId="41" fontId="1" fillId="0" borderId="1" xfId="123" applyNumberFormat="1" applyFont="1" applyBorder="1"/>
    <xf numFmtId="41" fontId="139" fillId="0" borderId="30" xfId="0" applyNumberFormat="1" applyFont="1" applyBorder="1"/>
    <xf numFmtId="41" fontId="1" fillId="0" borderId="27" xfId="123" applyNumberFormat="1" applyFont="1" applyBorder="1"/>
    <xf numFmtId="41" fontId="141" fillId="0" borderId="0" xfId="123" applyNumberFormat="1" applyFont="1" applyBorder="1"/>
    <xf numFmtId="41" fontId="141" fillId="0" borderId="27" xfId="123" applyNumberFormat="1" applyFont="1" applyBorder="1"/>
    <xf numFmtId="37" fontId="141" fillId="0" borderId="0" xfId="0" applyFont="1" applyBorder="1"/>
    <xf numFmtId="37" fontId="141" fillId="0" borderId="27" xfId="0" applyFont="1" applyBorder="1"/>
    <xf numFmtId="5" fontId="9" fillId="0" borderId="1" xfId="0" applyNumberFormat="1" applyFont="1" applyBorder="1"/>
    <xf numFmtId="5" fontId="9" fillId="0" borderId="30" xfId="0" applyNumberFormat="1" applyFont="1" applyBorder="1"/>
    <xf numFmtId="5" fontId="151" fillId="0" borderId="0" xfId="0" applyNumberFormat="1" applyFont="1" applyBorder="1"/>
    <xf numFmtId="5" fontId="1" fillId="0" borderId="27" xfId="123" applyNumberFormat="1" applyFont="1" applyBorder="1"/>
    <xf numFmtId="41" fontId="151" fillId="0" borderId="0" xfId="0" applyNumberFormat="1" applyFont="1" applyFill="1" applyBorder="1"/>
    <xf numFmtId="41" fontId="151" fillId="0" borderId="27" xfId="0" applyNumberFormat="1" applyFont="1" applyFill="1" applyBorder="1"/>
    <xf numFmtId="169" fontId="25" fillId="0" borderId="19" xfId="123" quotePrefix="1" applyFont="1" applyFill="1" applyBorder="1" applyAlignment="1" applyProtection="1">
      <alignment horizontal="right"/>
    </xf>
    <xf numFmtId="44" fontId="1" fillId="0" borderId="0" xfId="0" applyNumberFormat="1" applyFont="1" applyBorder="1"/>
    <xf numFmtId="37" fontId="1" fillId="32" borderId="0" xfId="0" applyFont="1" applyFill="1" applyBorder="1"/>
    <xf numFmtId="41" fontId="15" fillId="32" borderId="0" xfId="0" applyNumberFormat="1" applyFont="1" applyFill="1" applyBorder="1" applyAlignment="1">
      <alignment horizontal="right"/>
    </xf>
    <xf numFmtId="41" fontId="1" fillId="32" borderId="0" xfId="0" applyNumberFormat="1" applyFont="1" applyFill="1" applyBorder="1"/>
    <xf numFmtId="41" fontId="139" fillId="32" borderId="0" xfId="0" applyNumberFormat="1" applyFont="1" applyFill="1" applyBorder="1"/>
    <xf numFmtId="192" fontId="36" fillId="0" borderId="23" xfId="0" applyNumberFormat="1" applyFont="1" applyFill="1" applyBorder="1" applyAlignment="1" applyProtection="1">
      <alignment horizontal="right"/>
    </xf>
    <xf numFmtId="192" fontId="36" fillId="0" borderId="19" xfId="0" applyNumberFormat="1" applyFont="1" applyFill="1" applyBorder="1" applyAlignment="1" applyProtection="1">
      <alignment horizontal="right"/>
    </xf>
    <xf numFmtId="0" fontId="9" fillId="22" borderId="20" xfId="0" applyNumberFormat="1" applyFont="1" applyFill="1" applyBorder="1" applyProtection="1"/>
    <xf numFmtId="5" fontId="9" fillId="22" borderId="10" xfId="61" applyNumberFormat="1" applyFont="1" applyFill="1" applyBorder="1"/>
    <xf numFmtId="5" fontId="9" fillId="22" borderId="6" xfId="61" applyNumberFormat="1" applyFont="1" applyFill="1" applyBorder="1" applyProtection="1"/>
    <xf numFmtId="0" fontId="37" fillId="22" borderId="20" xfId="0" applyNumberFormat="1" applyFont="1" applyFill="1" applyBorder="1" applyAlignment="1" applyProtection="1">
      <alignment horizontal="left"/>
    </xf>
    <xf numFmtId="7" fontId="9" fillId="22" borderId="10" xfId="61" quotePrefix="1" applyNumberFormat="1" applyFont="1" applyFill="1" applyBorder="1" applyAlignment="1" applyProtection="1">
      <alignment horizontal="right"/>
    </xf>
    <xf numFmtId="7" fontId="9" fillId="22" borderId="6" xfId="61" quotePrefix="1" applyNumberFormat="1" applyFont="1" applyFill="1" applyBorder="1" applyAlignment="1" applyProtection="1">
      <alignment horizontal="right"/>
    </xf>
    <xf numFmtId="7" fontId="9" fillId="22" borderId="22" xfId="61" quotePrefix="1" applyNumberFormat="1" applyFont="1" applyFill="1" applyBorder="1" applyAlignment="1" applyProtection="1">
      <alignment horizontal="right"/>
    </xf>
    <xf numFmtId="170" fontId="5" fillId="22" borderId="22" xfId="61" quotePrefix="1" applyNumberFormat="1" applyFont="1" applyFill="1" applyBorder="1" applyAlignment="1" applyProtection="1">
      <alignment horizontal="right"/>
    </xf>
    <xf numFmtId="170" fontId="5" fillId="22" borderId="10" xfId="61" quotePrefix="1" applyNumberFormat="1" applyFont="1" applyFill="1" applyBorder="1" applyAlignment="1" applyProtection="1">
      <alignment horizontal="right"/>
    </xf>
    <xf numFmtId="170" fontId="5" fillId="22" borderId="20" xfId="61" quotePrefix="1" applyNumberFormat="1" applyFont="1" applyFill="1" applyBorder="1" applyAlignment="1" applyProtection="1">
      <alignment horizontal="right"/>
    </xf>
    <xf numFmtId="170" fontId="5" fillId="22" borderId="6" xfId="123" applyNumberFormat="1" applyFont="1" applyFill="1" applyBorder="1" applyAlignment="1" applyProtection="1">
      <alignment horizontal="right"/>
    </xf>
    <xf numFmtId="170" fontId="5" fillId="22" borderId="10" xfId="123" applyNumberFormat="1" applyFont="1" applyFill="1" applyBorder="1" applyAlignment="1" applyProtection="1">
      <alignment horizontal="right"/>
    </xf>
    <xf numFmtId="191" fontId="5" fillId="22" borderId="10" xfId="123" applyNumberFormat="1" applyFont="1" applyFill="1" applyBorder="1" applyAlignment="1" applyProtection="1">
      <alignment horizontal="right"/>
    </xf>
    <xf numFmtId="170" fontId="34" fillId="22" borderId="6" xfId="123" applyNumberFormat="1" applyFont="1" applyFill="1" applyBorder="1" applyAlignment="1" applyProtection="1">
      <alignment horizontal="right"/>
    </xf>
    <xf numFmtId="170" fontId="1" fillId="22" borderId="6" xfId="123" applyNumberFormat="1" applyFont="1" applyFill="1" applyBorder="1" applyAlignment="1" applyProtection="1">
      <alignment horizontal="right"/>
    </xf>
    <xf numFmtId="170" fontId="1" fillId="22" borderId="10" xfId="123" applyNumberFormat="1" applyFont="1" applyFill="1" applyBorder="1" applyAlignment="1" applyProtection="1">
      <alignment horizontal="right"/>
    </xf>
    <xf numFmtId="5" fontId="9" fillId="22" borderId="10" xfId="61" quotePrefix="1" applyNumberFormat="1" applyFont="1" applyFill="1" applyBorder="1" applyAlignment="1" applyProtection="1">
      <alignment horizontal="right"/>
    </xf>
    <xf numFmtId="170" fontId="9" fillId="22" borderId="10" xfId="0" applyNumberFormat="1" applyFont="1" applyFill="1" applyBorder="1" applyAlignment="1" applyProtection="1">
      <alignment horizontal="left"/>
    </xf>
    <xf numFmtId="37" fontId="25" fillId="0" borderId="0" xfId="60" applyFont="1" applyFill="1" applyBorder="1" applyAlignment="1" applyProtection="1">
      <alignment horizontal="left" indent="1"/>
    </xf>
    <xf numFmtId="37" fontId="25" fillId="0" borderId="29" xfId="60" applyFont="1" applyFill="1" applyBorder="1" applyAlignment="1" applyProtection="1">
      <alignment horizontal="left" indent="1"/>
    </xf>
    <xf numFmtId="37" fontId="25" fillId="0" borderId="28" xfId="60" quotePrefix="1" applyFont="1" applyFill="1" applyBorder="1" applyAlignment="1" applyProtection="1">
      <alignment horizontal="right"/>
    </xf>
    <xf numFmtId="37" fontId="25" fillId="0" borderId="31" xfId="60" quotePrefix="1" applyFont="1" applyFill="1" applyBorder="1" applyAlignment="1" applyProtection="1">
      <alignment horizontal="right"/>
    </xf>
    <xf numFmtId="37" fontId="7" fillId="0" borderId="0" xfId="60" applyFont="1" applyBorder="1"/>
    <xf numFmtId="169" fontId="25" fillId="0" borderId="23" xfId="123" quotePrefix="1" applyFont="1" applyFill="1" applyBorder="1" applyAlignment="1" applyProtection="1"/>
    <xf numFmtId="0" fontId="9" fillId="22" borderId="20" xfId="0" applyNumberFormat="1" applyFont="1" applyFill="1" applyBorder="1" applyAlignment="1" applyProtection="1">
      <alignment horizontal="left"/>
    </xf>
    <xf numFmtId="37" fontId="45" fillId="22" borderId="6" xfId="60" quotePrefix="1" applyFont="1" applyFill="1" applyBorder="1" applyAlignment="1" applyProtection="1"/>
    <xf numFmtId="37" fontId="45" fillId="22" borderId="10" xfId="60" quotePrefix="1" applyFont="1" applyFill="1" applyBorder="1" applyAlignment="1" applyProtection="1"/>
    <xf numFmtId="37" fontId="25" fillId="22" borderId="10" xfId="60" quotePrefix="1" applyFont="1" applyFill="1" applyBorder="1" applyAlignment="1" applyProtection="1"/>
    <xf numFmtId="5" fontId="9" fillId="22" borderId="10" xfId="61" applyFont="1" applyFill="1" applyBorder="1" applyAlignment="1" applyProtection="1">
      <alignment horizontal="right"/>
    </xf>
    <xf numFmtId="5" fontId="9" fillId="22" borderId="10" xfId="61" quotePrefix="1" applyFont="1" applyFill="1" applyBorder="1" applyAlignment="1" applyProtection="1">
      <alignment horizontal="right"/>
    </xf>
    <xf numFmtId="169" fontId="141" fillId="0" borderId="0" xfId="0" applyNumberFormat="1" applyFont="1" applyBorder="1"/>
    <xf numFmtId="169" fontId="141" fillId="0" borderId="27" xfId="0" applyNumberFormat="1" applyFont="1" applyBorder="1"/>
    <xf numFmtId="37" fontId="25" fillId="0" borderId="26" xfId="0" applyFont="1" applyBorder="1"/>
    <xf numFmtId="41" fontId="25" fillId="0" borderId="1" xfId="0" applyNumberFormat="1" applyFont="1" applyBorder="1"/>
    <xf numFmtId="49" fontId="9" fillId="17" borderId="6" xfId="0" applyNumberFormat="1" applyFont="1" applyFill="1" applyBorder="1" applyAlignment="1">
      <alignment horizontal="right"/>
    </xf>
    <xf numFmtId="49" fontId="1" fillId="17" borderId="6" xfId="0" applyNumberFormat="1" applyFont="1" applyFill="1" applyBorder="1" applyAlignment="1">
      <alignment horizontal="right"/>
    </xf>
    <xf numFmtId="49" fontId="9" fillId="17" borderId="22" xfId="0" applyNumberFormat="1" applyFont="1" applyFill="1" applyBorder="1" applyAlignment="1">
      <alignment horizontal="right"/>
    </xf>
    <xf numFmtId="5" fontId="1" fillId="0" borderId="27" xfId="0" applyNumberFormat="1" applyFont="1" applyFill="1" applyBorder="1"/>
    <xf numFmtId="5" fontId="9" fillId="0" borderId="0" xfId="0" applyNumberFormat="1" applyFont="1" applyFill="1" applyBorder="1"/>
    <xf numFmtId="5" fontId="9" fillId="0" borderId="27" xfId="0" applyNumberFormat="1" applyFont="1" applyFill="1" applyBorder="1"/>
    <xf numFmtId="5" fontId="9" fillId="0" borderId="1" xfId="0" applyNumberFormat="1" applyFont="1" applyFill="1" applyBorder="1"/>
    <xf numFmtId="5" fontId="9" fillId="0" borderId="30" xfId="0" applyNumberFormat="1" applyFont="1" applyFill="1" applyBorder="1"/>
    <xf numFmtId="169" fontId="131" fillId="0" borderId="0" xfId="123" applyNumberFormat="1" applyFont="1" applyFill="1" applyBorder="1"/>
    <xf numFmtId="169" fontId="131" fillId="0" borderId="19" xfId="123" applyNumberFormat="1" applyFont="1" applyFill="1" applyBorder="1"/>
    <xf numFmtId="37" fontId="140" fillId="0" borderId="0" xfId="0" applyFont="1" applyBorder="1"/>
    <xf numFmtId="208" fontId="139" fillId="0" borderId="0" xfId="0" applyNumberFormat="1" applyFont="1" applyBorder="1"/>
    <xf numFmtId="208" fontId="1" fillId="0" borderId="0" xfId="0" applyNumberFormat="1" applyFont="1" applyBorder="1"/>
    <xf numFmtId="208" fontId="1" fillId="0" borderId="27" xfId="0" applyNumberFormat="1" applyFont="1" applyBorder="1"/>
    <xf numFmtId="5" fontId="8" fillId="0" borderId="0" xfId="60" applyNumberFormat="1" applyFont="1" applyFill="1" applyBorder="1" applyProtection="1">
      <protection locked="0"/>
    </xf>
    <xf numFmtId="37" fontId="140" fillId="0" borderId="0" xfId="0" applyNumberFormat="1" applyFont="1" applyBorder="1"/>
    <xf numFmtId="176" fontId="140" fillId="0" borderId="0" xfId="0" applyNumberFormat="1" applyFont="1" applyBorder="1"/>
    <xf numFmtId="9" fontId="25" fillId="0" borderId="27" xfId="0" applyNumberFormat="1" applyFont="1" applyBorder="1"/>
    <xf numFmtId="176" fontId="140" fillId="0" borderId="27" xfId="0" applyNumberFormat="1" applyFont="1" applyBorder="1"/>
    <xf numFmtId="188" fontId="139" fillId="0" borderId="1" xfId="0" applyNumberFormat="1" applyFont="1" applyBorder="1"/>
    <xf numFmtId="188" fontId="139" fillId="0" borderId="30" xfId="0" applyNumberFormat="1" applyFont="1" applyBorder="1"/>
    <xf numFmtId="7" fontId="1" fillId="0" borderId="0" xfId="109" applyNumberFormat="1" applyFont="1" applyFill="1" applyBorder="1"/>
    <xf numFmtId="169" fontId="1" fillId="0" borderId="18" xfId="123" applyFont="1" applyBorder="1" applyAlignment="1">
      <alignment horizontal="left" indent="1"/>
    </xf>
    <xf numFmtId="5" fontId="9" fillId="0" borderId="19" xfId="0" applyNumberFormat="1" applyFont="1" applyFill="1" applyBorder="1" applyAlignment="1" applyProtection="1">
      <alignment horizontal="right"/>
    </xf>
    <xf numFmtId="169" fontId="25" fillId="0" borderId="23" xfId="123" applyFont="1" applyFill="1" applyBorder="1" applyAlignment="1" applyProtection="1">
      <alignment horizontal="right"/>
    </xf>
    <xf numFmtId="37" fontId="1" fillId="18" borderId="18" xfId="109" applyFont="1" applyFill="1" applyBorder="1"/>
    <xf numFmtId="5" fontId="5" fillId="18" borderId="0" xfId="109" applyNumberFormat="1" applyFont="1" applyFill="1" applyBorder="1" applyAlignment="1">
      <alignment horizontal="right"/>
    </xf>
    <xf numFmtId="37" fontId="5" fillId="18" borderId="0" xfId="109" applyFont="1" applyFill="1" applyBorder="1" applyAlignment="1">
      <alignment horizontal="center"/>
    </xf>
    <xf numFmtId="175" fontId="8" fillId="18" borderId="0" xfId="109" applyNumberFormat="1" applyFont="1" applyFill="1" applyBorder="1" applyAlignment="1">
      <alignment horizontal="right"/>
    </xf>
    <xf numFmtId="37" fontId="5" fillId="18" borderId="0" xfId="109" quotePrefix="1" applyFont="1" applyFill="1" applyBorder="1" applyAlignment="1">
      <alignment horizontal="center"/>
    </xf>
    <xf numFmtId="37" fontId="5" fillId="18" borderId="0" xfId="109" applyFont="1" applyFill="1" applyBorder="1" applyAlignment="1">
      <alignment horizontal="right"/>
    </xf>
    <xf numFmtId="37" fontId="1" fillId="18" borderId="26" xfId="109" applyFont="1" applyFill="1" applyBorder="1"/>
    <xf numFmtId="37" fontId="5" fillId="18" borderId="1" xfId="109" applyFont="1" applyFill="1" applyBorder="1" applyAlignment="1">
      <alignment horizontal="right"/>
    </xf>
    <xf numFmtId="37" fontId="5" fillId="18" borderId="1" xfId="109" applyFont="1" applyFill="1" applyBorder="1" applyAlignment="1">
      <alignment horizontal="center"/>
    </xf>
    <xf numFmtId="37" fontId="5" fillId="18" borderId="1" xfId="109" quotePrefix="1" applyFont="1" applyFill="1" applyBorder="1" applyAlignment="1">
      <alignment horizontal="center"/>
    </xf>
    <xf numFmtId="37" fontId="9" fillId="18" borderId="18" xfId="109" applyFont="1" applyFill="1" applyBorder="1"/>
    <xf numFmtId="5" fontId="9" fillId="18" borderId="0" xfId="109" applyNumberFormat="1" applyFont="1" applyFill="1" applyBorder="1" applyAlignment="1">
      <alignment horizontal="right"/>
    </xf>
    <xf numFmtId="37" fontId="9" fillId="18" borderId="0" xfId="109" applyFont="1" applyFill="1" applyBorder="1" applyAlignment="1">
      <alignment horizontal="center"/>
    </xf>
    <xf numFmtId="175" fontId="9" fillId="18" borderId="0" xfId="109" applyNumberFormat="1" applyFont="1" applyFill="1" applyBorder="1" applyAlignment="1">
      <alignment horizontal="right"/>
    </xf>
    <xf numFmtId="37" fontId="5" fillId="18" borderId="18" xfId="109" applyFont="1" applyFill="1" applyBorder="1"/>
    <xf numFmtId="37" fontId="5" fillId="18" borderId="1" xfId="109" applyFont="1" applyFill="1" applyBorder="1"/>
    <xf numFmtId="37" fontId="5" fillId="18" borderId="0" xfId="109" applyFont="1" applyFill="1" applyBorder="1"/>
    <xf numFmtId="37" fontId="5" fillId="18" borderId="0" xfId="0" applyFont="1" applyFill="1"/>
    <xf numFmtId="37" fontId="9" fillId="18" borderId="0" xfId="109" applyFont="1" applyFill="1"/>
    <xf numFmtId="37" fontId="5" fillId="18" borderId="0" xfId="109" applyFont="1" applyFill="1" applyAlignment="1">
      <alignment horizontal="right"/>
    </xf>
    <xf numFmtId="37" fontId="5" fillId="18" borderId="0" xfId="109" applyFont="1" applyFill="1"/>
    <xf numFmtId="0" fontId="1" fillId="18" borderId="0" xfId="0" applyNumberFormat="1" applyFont="1" applyFill="1" applyBorder="1" applyProtection="1"/>
    <xf numFmtId="41" fontId="1" fillId="18" borderId="0" xfId="0" applyNumberFormat="1" applyFont="1" applyFill="1" applyBorder="1"/>
    <xf numFmtId="185" fontId="1" fillId="18" borderId="0" xfId="0" applyNumberFormat="1" applyFont="1" applyFill="1" applyBorder="1"/>
    <xf numFmtId="4" fontId="3" fillId="18" borderId="0" xfId="0" applyNumberFormat="1" applyFont="1" applyFill="1" applyBorder="1"/>
    <xf numFmtId="169" fontId="1" fillId="18" borderId="0" xfId="123" applyFont="1" applyFill="1" applyBorder="1"/>
    <xf numFmtId="187" fontId="1" fillId="18" borderId="0" xfId="0" applyNumberFormat="1" applyFont="1" applyFill="1" applyBorder="1"/>
    <xf numFmtId="187" fontId="131" fillId="18" borderId="0" xfId="0" applyNumberFormat="1" applyFont="1" applyFill="1" applyBorder="1"/>
    <xf numFmtId="0" fontId="9" fillId="18" borderId="18" xfId="0" applyNumberFormat="1" applyFont="1" applyFill="1" applyBorder="1" applyAlignment="1" applyProtection="1">
      <alignment horizontal="left"/>
    </xf>
    <xf numFmtId="41" fontId="9" fillId="18" borderId="19" xfId="0" applyNumberFormat="1" applyFont="1" applyFill="1" applyBorder="1" applyAlignment="1" applyProtection="1">
      <alignment horizontal="right"/>
    </xf>
    <xf numFmtId="41" fontId="9" fillId="18" borderId="0" xfId="0" applyNumberFormat="1" applyFont="1" applyFill="1" applyBorder="1" applyAlignment="1" applyProtection="1">
      <alignment horizontal="right"/>
    </xf>
    <xf numFmtId="41" fontId="5" fillId="18" borderId="0" xfId="61" quotePrefix="1" applyNumberFormat="1" applyFont="1" applyFill="1" applyBorder="1" applyAlignment="1" applyProtection="1">
      <alignment horizontal="right"/>
    </xf>
    <xf numFmtId="41" fontId="9" fillId="18" borderId="18" xfId="0" applyNumberFormat="1" applyFont="1" applyFill="1" applyBorder="1" applyAlignment="1" applyProtection="1">
      <alignment horizontal="right"/>
    </xf>
    <xf numFmtId="41" fontId="9" fillId="18" borderId="27" xfId="0" applyNumberFormat="1" applyFont="1" applyFill="1" applyBorder="1" applyAlignment="1" applyProtection="1">
      <alignment horizontal="right"/>
    </xf>
    <xf numFmtId="169" fontId="9" fillId="18" borderId="19" xfId="123" applyFont="1" applyFill="1" applyBorder="1" applyAlignment="1" applyProtection="1">
      <alignment horizontal="right"/>
    </xf>
    <xf numFmtId="0" fontId="5" fillId="18" borderId="18" xfId="0" applyNumberFormat="1" applyFont="1" applyFill="1" applyBorder="1" applyAlignment="1" applyProtection="1">
      <alignment horizontal="left"/>
    </xf>
    <xf numFmtId="5" fontId="8" fillId="18" borderId="19" xfId="61" quotePrefix="1" applyNumberFormat="1" applyFont="1" applyFill="1" applyBorder="1" applyAlignment="1" applyProtection="1">
      <alignment horizontal="right"/>
    </xf>
    <xf numFmtId="5" fontId="8" fillId="18" borderId="0" xfId="61" quotePrefix="1" applyNumberFormat="1" applyFont="1" applyFill="1" applyBorder="1" applyAlignment="1" applyProtection="1">
      <alignment horizontal="right"/>
    </xf>
    <xf numFmtId="5" fontId="5" fillId="18" borderId="19" xfId="61" quotePrefix="1" applyNumberFormat="1" applyFont="1" applyFill="1" applyBorder="1" applyAlignment="1" applyProtection="1">
      <alignment horizontal="right"/>
    </xf>
    <xf numFmtId="5" fontId="8" fillId="18" borderId="0" xfId="60" quotePrefix="1" applyNumberFormat="1" applyFont="1" applyFill="1" applyBorder="1" applyAlignment="1" applyProtection="1">
      <alignment horizontal="right"/>
    </xf>
    <xf numFmtId="5" fontId="1" fillId="18" borderId="19" xfId="61" quotePrefix="1" applyNumberFormat="1" applyFont="1" applyFill="1" applyBorder="1" applyAlignment="1" applyProtection="1">
      <alignment horizontal="right"/>
    </xf>
    <xf numFmtId="5" fontId="139" fillId="18" borderId="0" xfId="60" quotePrefix="1" applyNumberFormat="1" applyFont="1" applyFill="1" applyBorder="1" applyAlignment="1" applyProtection="1">
      <alignment horizontal="right"/>
    </xf>
    <xf numFmtId="5" fontId="5" fillId="18" borderId="0" xfId="60" quotePrefix="1" applyNumberFormat="1" applyFont="1" applyFill="1" applyBorder="1" applyAlignment="1" applyProtection="1">
      <alignment horizontal="right"/>
    </xf>
    <xf numFmtId="41" fontId="5" fillId="18" borderId="19" xfId="60" applyNumberFormat="1" applyFont="1" applyFill="1" applyBorder="1" applyProtection="1"/>
    <xf numFmtId="41" fontId="5" fillId="18" borderId="19" xfId="60" applyNumberFormat="1" applyFont="1" applyFill="1" applyBorder="1" applyAlignment="1" applyProtection="1">
      <alignment horizontal="right"/>
    </xf>
    <xf numFmtId="41" fontId="5" fillId="18" borderId="0" xfId="60" applyNumberFormat="1" applyFont="1" applyFill="1" applyBorder="1" applyAlignment="1" applyProtection="1">
      <alignment horizontal="right"/>
    </xf>
    <xf numFmtId="41" fontId="1" fillId="18" borderId="0" xfId="60" applyNumberFormat="1" applyFont="1" applyFill="1" applyBorder="1" applyAlignment="1" applyProtection="1">
      <alignment horizontal="right"/>
    </xf>
    <xf numFmtId="41" fontId="1" fillId="18" borderId="19" xfId="60" applyNumberFormat="1" applyFont="1" applyFill="1" applyBorder="1" applyAlignment="1" applyProtection="1">
      <alignment horizontal="right"/>
    </xf>
    <xf numFmtId="0" fontId="5" fillId="18" borderId="18" xfId="0" applyNumberFormat="1" applyFont="1" applyFill="1" applyBorder="1" applyAlignment="1" applyProtection="1">
      <alignment horizontal="left" indent="1"/>
    </xf>
    <xf numFmtId="41" fontId="5" fillId="18" borderId="19" xfId="61" quotePrefix="1" applyNumberFormat="1" applyFont="1" applyFill="1" applyBorder="1" applyAlignment="1" applyProtection="1"/>
    <xf numFmtId="41" fontId="5" fillId="18" borderId="0" xfId="61" quotePrefix="1" applyNumberFormat="1" applyFont="1" applyFill="1" applyBorder="1" applyAlignment="1" applyProtection="1"/>
    <xf numFmtId="41" fontId="1" fillId="18" borderId="0" xfId="61" quotePrefix="1" applyNumberFormat="1" applyFont="1" applyFill="1" applyBorder="1" applyAlignment="1" applyProtection="1"/>
    <xf numFmtId="41" fontId="1" fillId="18" borderId="19" xfId="61" quotePrefix="1" applyNumberFormat="1" applyFont="1" applyFill="1" applyBorder="1" applyAlignment="1" applyProtection="1"/>
    <xf numFmtId="0" fontId="15" fillId="18" borderId="18" xfId="0" applyNumberFormat="1" applyFont="1" applyFill="1" applyBorder="1" applyAlignment="1" applyProtection="1">
      <alignment horizontal="left" indent="1"/>
    </xf>
    <xf numFmtId="41" fontId="15" fillId="18" borderId="19" xfId="61" quotePrefix="1" applyNumberFormat="1" applyFont="1" applyFill="1" applyBorder="1" applyAlignment="1" applyProtection="1"/>
    <xf numFmtId="41" fontId="15" fillId="18" borderId="0" xfId="61" quotePrefix="1" applyNumberFormat="1" applyFont="1" applyFill="1" applyBorder="1" applyAlignment="1" applyProtection="1"/>
    <xf numFmtId="41" fontId="5" fillId="18" borderId="19" xfId="61" applyNumberFormat="1" applyFont="1" applyFill="1" applyBorder="1"/>
    <xf numFmtId="41" fontId="8" fillId="18" borderId="19" xfId="61" applyNumberFormat="1" applyFont="1" applyFill="1" applyBorder="1"/>
    <xf numFmtId="41" fontId="8" fillId="18" borderId="0" xfId="61" applyNumberFormat="1" applyFont="1" applyFill="1" applyBorder="1"/>
    <xf numFmtId="41" fontId="5" fillId="18" borderId="19" xfId="60" quotePrefix="1" applyNumberFormat="1" applyFont="1" applyFill="1" applyBorder="1" applyAlignment="1" applyProtection="1">
      <alignment horizontal="right"/>
    </xf>
    <xf numFmtId="41" fontId="1" fillId="18" borderId="19" xfId="60" quotePrefix="1" applyNumberFormat="1" applyFont="1" applyFill="1" applyBorder="1" applyAlignment="1" applyProtection="1">
      <alignment horizontal="right"/>
    </xf>
    <xf numFmtId="41" fontId="139" fillId="18" borderId="0" xfId="60" quotePrefix="1" applyNumberFormat="1" applyFont="1" applyFill="1" applyBorder="1" applyAlignment="1" applyProtection="1">
      <alignment horizontal="right"/>
    </xf>
    <xf numFmtId="41" fontId="5" fillId="18" borderId="0" xfId="60" quotePrefix="1" applyNumberFormat="1" applyFont="1" applyFill="1" applyBorder="1" applyAlignment="1" applyProtection="1">
      <alignment horizontal="right"/>
    </xf>
    <xf numFmtId="41" fontId="1" fillId="18" borderId="0" xfId="60" quotePrefix="1" applyNumberFormat="1" applyFont="1" applyFill="1" applyBorder="1" applyAlignment="1" applyProtection="1">
      <alignment horizontal="right"/>
    </xf>
    <xf numFmtId="41" fontId="1" fillId="18" borderId="19" xfId="61" applyNumberFormat="1" applyFont="1" applyFill="1" applyBorder="1"/>
    <xf numFmtId="41" fontId="139" fillId="18" borderId="0" xfId="61" applyNumberFormat="1" applyFont="1" applyFill="1" applyBorder="1"/>
    <xf numFmtId="41" fontId="5" fillId="18" borderId="0" xfId="61" applyNumberFormat="1" applyFont="1" applyFill="1" applyBorder="1"/>
    <xf numFmtId="0" fontId="25" fillId="18" borderId="18" xfId="0" applyNumberFormat="1" applyFont="1" applyFill="1" applyBorder="1" applyAlignment="1" applyProtection="1">
      <alignment horizontal="left" indent="1"/>
    </xf>
    <xf numFmtId="169" fontId="25" fillId="18" borderId="19" xfId="123" applyFont="1" applyFill="1" applyBorder="1"/>
    <xf numFmtId="169" fontId="25" fillId="18" borderId="0" xfId="123" applyFont="1" applyFill="1" applyBorder="1" applyProtection="1"/>
    <xf numFmtId="0" fontId="36" fillId="18" borderId="18" xfId="0" applyNumberFormat="1" applyFont="1" applyFill="1" applyBorder="1" applyAlignment="1" applyProtection="1">
      <alignment horizontal="left"/>
    </xf>
    <xf numFmtId="41" fontId="5" fillId="18" borderId="19" xfId="123" quotePrefix="1" applyNumberFormat="1" applyFont="1" applyFill="1" applyBorder="1" applyAlignment="1" applyProtection="1">
      <alignment horizontal="right"/>
    </xf>
    <xf numFmtId="5" fontId="5" fillId="18" borderId="19" xfId="123" applyNumberFormat="1" applyFont="1" applyFill="1" applyBorder="1" applyAlignment="1" applyProtection="1">
      <alignment horizontal="right"/>
    </xf>
    <xf numFmtId="5" fontId="5" fillId="18" borderId="19" xfId="123" quotePrefix="1" applyNumberFormat="1" applyFont="1" applyFill="1" applyBorder="1" applyAlignment="1" applyProtection="1">
      <alignment horizontal="right"/>
    </xf>
    <xf numFmtId="41" fontId="5" fillId="18" borderId="0" xfId="123" quotePrefix="1" applyNumberFormat="1" applyFont="1" applyFill="1" applyBorder="1" applyAlignment="1" applyProtection="1">
      <alignment horizontal="right"/>
    </xf>
    <xf numFmtId="41" fontId="1" fillId="18" borderId="0" xfId="123" quotePrefix="1" applyNumberFormat="1" applyFont="1" applyFill="1" applyBorder="1" applyAlignment="1" applyProtection="1">
      <alignment horizontal="right"/>
    </xf>
    <xf numFmtId="5" fontId="1" fillId="18" borderId="19" xfId="123" quotePrefix="1" applyNumberFormat="1" applyFont="1" applyFill="1" applyBorder="1" applyAlignment="1" applyProtection="1">
      <alignment horizontal="right"/>
    </xf>
    <xf numFmtId="169" fontId="25" fillId="18" borderId="19" xfId="123" quotePrefix="1" applyFont="1" applyFill="1" applyBorder="1" applyAlignment="1" applyProtection="1">
      <alignment horizontal="right"/>
    </xf>
    <xf numFmtId="0" fontId="9" fillId="18" borderId="18" xfId="0" applyNumberFormat="1" applyFont="1" applyFill="1" applyBorder="1" applyProtection="1"/>
    <xf numFmtId="41" fontId="8" fillId="18" borderId="19" xfId="60" applyNumberFormat="1" applyFont="1" applyFill="1" applyBorder="1" applyProtection="1"/>
    <xf numFmtId="5" fontId="8" fillId="18" borderId="19" xfId="60" applyNumberFormat="1" applyFont="1" applyFill="1" applyBorder="1" applyProtection="1"/>
    <xf numFmtId="41" fontId="5" fillId="18" borderId="0" xfId="123" applyNumberFormat="1" applyFont="1" applyFill="1" applyBorder="1"/>
    <xf numFmtId="41" fontId="1" fillId="18" borderId="0" xfId="123" applyNumberFormat="1" applyFont="1" applyFill="1" applyBorder="1"/>
    <xf numFmtId="41" fontId="8" fillId="18" borderId="0" xfId="60" applyNumberFormat="1" applyFont="1" applyFill="1" applyBorder="1" applyProtection="1"/>
    <xf numFmtId="41" fontId="1" fillId="18" borderId="19" xfId="60" applyNumberFormat="1" applyFont="1" applyFill="1" applyBorder="1" applyProtection="1"/>
    <xf numFmtId="41" fontId="139" fillId="18" borderId="0" xfId="60" applyNumberFormat="1" applyFont="1" applyFill="1" applyBorder="1" applyProtection="1"/>
    <xf numFmtId="41" fontId="5" fillId="18" borderId="0" xfId="60" applyNumberFormat="1" applyFont="1" applyFill="1" applyBorder="1" applyProtection="1"/>
    <xf numFmtId="0" fontId="15" fillId="18" borderId="18" xfId="0" applyNumberFormat="1" applyFont="1" applyFill="1" applyBorder="1" applyAlignment="1" applyProtection="1">
      <alignment horizontal="left"/>
    </xf>
    <xf numFmtId="41" fontId="15" fillId="18" borderId="19" xfId="60" applyNumberFormat="1" applyFont="1" applyFill="1" applyBorder="1" applyProtection="1"/>
    <xf numFmtId="41" fontId="15" fillId="18" borderId="19" xfId="60" applyNumberFormat="1" applyFont="1" applyFill="1" applyBorder="1" applyAlignment="1" applyProtection="1">
      <alignment horizontal="right"/>
    </xf>
    <xf numFmtId="41" fontId="15" fillId="18" borderId="0" xfId="60" applyNumberFormat="1" applyFont="1" applyFill="1" applyBorder="1" applyAlignment="1" applyProtection="1">
      <alignment horizontal="right"/>
    </xf>
    <xf numFmtId="41" fontId="9" fillId="18" borderId="19" xfId="0" applyNumberFormat="1" applyFont="1" applyFill="1" applyBorder="1" applyProtection="1"/>
    <xf numFmtId="41" fontId="9" fillId="18" borderId="0" xfId="0" applyNumberFormat="1" applyFont="1" applyFill="1" applyBorder="1" applyProtection="1"/>
    <xf numFmtId="43" fontId="9" fillId="18" borderId="19" xfId="0" applyNumberFormat="1" applyFont="1" applyFill="1" applyBorder="1" applyProtection="1"/>
    <xf numFmtId="41" fontId="5" fillId="18" borderId="19" xfId="60" quotePrefix="1" applyNumberFormat="1" applyFont="1" applyFill="1" applyBorder="1" applyAlignment="1" applyProtection="1"/>
    <xf numFmtId="41" fontId="5" fillId="18" borderId="0" xfId="60" quotePrefix="1" applyNumberFormat="1" applyFont="1" applyFill="1" applyBorder="1" applyAlignment="1" applyProtection="1"/>
    <xf numFmtId="41" fontId="1" fillId="18" borderId="0" xfId="60" quotePrefix="1" applyNumberFormat="1" applyFont="1" applyFill="1" applyBorder="1" applyAlignment="1" applyProtection="1"/>
    <xf numFmtId="41" fontId="1" fillId="18" borderId="19" xfId="60" quotePrefix="1" applyNumberFormat="1" applyFont="1" applyFill="1" applyBorder="1" applyAlignment="1" applyProtection="1"/>
    <xf numFmtId="41" fontId="5" fillId="18" borderId="19" xfId="123" applyNumberFormat="1" applyFont="1" applyFill="1" applyBorder="1" applyProtection="1"/>
    <xf numFmtId="41" fontId="5" fillId="18" borderId="0" xfId="123" applyNumberFormat="1" applyFont="1" applyFill="1" applyBorder="1" applyProtection="1"/>
    <xf numFmtId="41" fontId="1" fillId="18" borderId="0" xfId="123" applyNumberFormat="1" applyFont="1" applyFill="1" applyBorder="1" applyProtection="1"/>
    <xf numFmtId="41" fontId="1" fillId="18" borderId="19" xfId="123" applyNumberFormat="1" applyFont="1" applyFill="1" applyBorder="1" applyProtection="1"/>
    <xf numFmtId="41" fontId="5" fillId="18" borderId="0" xfId="0" applyNumberFormat="1" applyFont="1" applyFill="1" applyBorder="1" applyProtection="1"/>
    <xf numFmtId="187" fontId="5" fillId="18" borderId="0" xfId="0" applyNumberFormat="1" applyFont="1" applyFill="1" applyBorder="1" applyProtection="1"/>
    <xf numFmtId="169" fontId="9" fillId="18" borderId="19" xfId="123" applyFont="1" applyFill="1" applyBorder="1" applyProtection="1"/>
    <xf numFmtId="41" fontId="1" fillId="18" borderId="0" xfId="0" applyNumberFormat="1" applyFont="1" applyFill="1" applyBorder="1" applyProtection="1"/>
    <xf numFmtId="169" fontId="9" fillId="18" borderId="18" xfId="123" applyFont="1" applyFill="1" applyBorder="1" applyProtection="1"/>
    <xf numFmtId="169" fontId="9" fillId="18" borderId="0" xfId="123" applyFont="1" applyFill="1" applyBorder="1" applyProtection="1"/>
    <xf numFmtId="169" fontId="9" fillId="18" borderId="27" xfId="123" applyFont="1" applyFill="1" applyBorder="1" applyProtection="1"/>
    <xf numFmtId="41" fontId="39" fillId="18" borderId="19" xfId="60" applyNumberFormat="1" applyFont="1" applyFill="1" applyBorder="1" applyProtection="1"/>
    <xf numFmtId="41" fontId="39" fillId="18" borderId="0" xfId="0" applyNumberFormat="1" applyFont="1" applyFill="1" applyBorder="1" applyProtection="1"/>
    <xf numFmtId="41" fontId="15" fillId="18" borderId="19" xfId="123" applyNumberFormat="1" applyFont="1" applyFill="1" applyBorder="1" applyProtection="1"/>
    <xf numFmtId="41" fontId="143" fillId="18" borderId="0" xfId="0" applyNumberFormat="1" applyFont="1" applyFill="1" applyBorder="1" applyProtection="1"/>
    <xf numFmtId="41" fontId="39" fillId="18" borderId="27" xfId="0" applyNumberFormat="1" applyFont="1" applyFill="1" applyBorder="1" applyProtection="1"/>
    <xf numFmtId="5" fontId="9" fillId="18" borderId="0" xfId="0" applyNumberFormat="1" applyFont="1" applyFill="1" applyBorder="1" applyAlignment="1" applyProtection="1">
      <alignment horizontal="right"/>
    </xf>
    <xf numFmtId="41" fontId="5" fillId="18" borderId="27" xfId="61" applyNumberFormat="1" applyFont="1" applyFill="1" applyBorder="1"/>
    <xf numFmtId="41" fontId="8" fillId="18" borderId="0" xfId="60" applyNumberFormat="1" applyFont="1" applyFill="1" applyBorder="1" applyAlignment="1" applyProtection="1">
      <alignment horizontal="right"/>
    </xf>
    <xf numFmtId="41" fontId="8" fillId="18" borderId="0" xfId="60" quotePrefix="1" applyNumberFormat="1" applyFont="1" applyFill="1" applyBorder="1" applyAlignment="1" applyProtection="1">
      <alignment horizontal="right"/>
    </xf>
    <xf numFmtId="41" fontId="8" fillId="18" borderId="27" xfId="60" quotePrefix="1" applyNumberFormat="1" applyFont="1" applyFill="1" applyBorder="1" applyAlignment="1" applyProtection="1">
      <alignment horizontal="right"/>
    </xf>
    <xf numFmtId="41" fontId="39" fillId="18" borderId="0" xfId="60" applyNumberFormat="1" applyFont="1" applyFill="1" applyBorder="1" applyAlignment="1" applyProtection="1">
      <alignment horizontal="right"/>
    </xf>
    <xf numFmtId="41" fontId="39" fillId="18" borderId="0" xfId="60" quotePrefix="1" applyNumberFormat="1" applyFont="1" applyFill="1" applyBorder="1" applyAlignment="1" applyProtection="1">
      <alignment horizontal="right"/>
    </xf>
    <xf numFmtId="41" fontId="15" fillId="18" borderId="19" xfId="60" quotePrefix="1" applyNumberFormat="1" applyFont="1" applyFill="1" applyBorder="1" applyAlignment="1" applyProtection="1">
      <alignment horizontal="right"/>
    </xf>
    <xf numFmtId="41" fontId="39" fillId="18" borderId="27" xfId="60" quotePrefix="1" applyNumberFormat="1" applyFont="1" applyFill="1" applyBorder="1" applyAlignment="1" applyProtection="1">
      <alignment horizontal="right"/>
    </xf>
    <xf numFmtId="41" fontId="5" fillId="18" borderId="27" xfId="60" applyNumberFormat="1" applyFont="1" applyFill="1" applyBorder="1" applyAlignment="1" applyProtection="1">
      <alignment horizontal="right"/>
    </xf>
    <xf numFmtId="5" fontId="9" fillId="18" borderId="0" xfId="0" applyNumberFormat="1" applyFont="1" applyFill="1" applyBorder="1" applyProtection="1"/>
    <xf numFmtId="41" fontId="9" fillId="18" borderId="27" xfId="0" applyNumberFormat="1" applyFont="1" applyFill="1" applyBorder="1" applyProtection="1"/>
    <xf numFmtId="41" fontId="8" fillId="18" borderId="0" xfId="0" applyNumberFormat="1" applyFont="1" applyFill="1" applyBorder="1"/>
    <xf numFmtId="41" fontId="5" fillId="18" borderId="19" xfId="0" applyNumberFormat="1" applyFont="1" applyFill="1" applyBorder="1"/>
    <xf numFmtId="41" fontId="1" fillId="18" borderId="19" xfId="60" applyNumberFormat="1" applyFont="1" applyFill="1" applyBorder="1"/>
    <xf numFmtId="41" fontId="139" fillId="18" borderId="0" xfId="0" applyNumberFormat="1" applyFont="1" applyFill="1" applyBorder="1"/>
    <xf numFmtId="41" fontId="8" fillId="18" borderId="0" xfId="60" applyNumberFormat="1" applyFont="1" applyFill="1" applyBorder="1"/>
    <xf numFmtId="41" fontId="5" fillId="18" borderId="19" xfId="60" applyNumberFormat="1" applyFont="1" applyFill="1" applyBorder="1"/>
    <xf numFmtId="41" fontId="8" fillId="18" borderId="19" xfId="60" applyNumberFormat="1" applyFont="1" applyFill="1" applyBorder="1"/>
    <xf numFmtId="41" fontId="8" fillId="18" borderId="27" xfId="60" applyNumberFormat="1" applyFont="1" applyFill="1" applyBorder="1"/>
    <xf numFmtId="0" fontId="5" fillId="18" borderId="18" xfId="61" applyNumberFormat="1" applyFont="1" applyFill="1" applyBorder="1" applyAlignment="1" applyProtection="1">
      <alignment horizontal="left"/>
    </xf>
    <xf numFmtId="41" fontId="5" fillId="18" borderId="19" xfId="61" applyNumberFormat="1" applyFont="1" applyFill="1" applyBorder="1" applyAlignment="1" applyProtection="1">
      <alignment horizontal="right"/>
    </xf>
    <xf numFmtId="41" fontId="5" fillId="18" borderId="0" xfId="61" applyNumberFormat="1" applyFont="1" applyFill="1" applyBorder="1" applyAlignment="1" applyProtection="1">
      <alignment horizontal="right"/>
    </xf>
    <xf numFmtId="41" fontId="1" fillId="18" borderId="0" xfId="61" applyNumberFormat="1" applyFont="1" applyFill="1" applyBorder="1" applyAlignment="1" applyProtection="1">
      <alignment horizontal="right"/>
    </xf>
    <xf numFmtId="41" fontId="1" fillId="18" borderId="19" xfId="61" applyNumberFormat="1" applyFont="1" applyFill="1" applyBorder="1" applyAlignment="1" applyProtection="1">
      <alignment horizontal="right"/>
    </xf>
    <xf numFmtId="41" fontId="5" fillId="18" borderId="27" xfId="61" applyNumberFormat="1" applyFont="1" applyFill="1" applyBorder="1" applyAlignment="1" applyProtection="1">
      <alignment horizontal="right"/>
    </xf>
    <xf numFmtId="0" fontId="9" fillId="18" borderId="18" xfId="61" applyNumberFormat="1" applyFont="1" applyFill="1" applyBorder="1" applyAlignment="1" applyProtection="1">
      <alignment horizontal="left"/>
    </xf>
    <xf numFmtId="41" fontId="9" fillId="18" borderId="19" xfId="61" applyNumberFormat="1" applyFont="1" applyFill="1" applyBorder="1"/>
    <xf numFmtId="41" fontId="9" fillId="18" borderId="0" xfId="61" applyNumberFormat="1" applyFont="1" applyFill="1" applyBorder="1"/>
    <xf numFmtId="5" fontId="9" fillId="18" borderId="0" xfId="61" applyNumberFormat="1" applyFont="1" applyFill="1" applyBorder="1"/>
    <xf numFmtId="169" fontId="93" fillId="18" borderId="0" xfId="123" applyFont="1" applyFill="1" applyBorder="1"/>
    <xf numFmtId="41" fontId="9" fillId="18" borderId="27" xfId="61" applyNumberFormat="1" applyFont="1" applyFill="1" applyBorder="1"/>
    <xf numFmtId="41" fontId="5" fillId="18" borderId="0" xfId="60" applyNumberFormat="1" applyFont="1" applyFill="1" applyBorder="1"/>
    <xf numFmtId="41" fontId="139" fillId="18" borderId="0" xfId="60" applyNumberFormat="1" applyFont="1" applyFill="1" applyBorder="1"/>
    <xf numFmtId="0" fontId="25" fillId="18" borderId="29" xfId="0" applyNumberFormat="1" applyFont="1" applyFill="1" applyBorder="1" applyAlignment="1" applyProtection="1">
      <alignment horizontal="left" indent="1"/>
    </xf>
    <xf numFmtId="169" fontId="25" fillId="18" borderId="21" xfId="123" applyFont="1" applyFill="1" applyBorder="1"/>
    <xf numFmtId="169" fontId="25" fillId="18" borderId="28" xfId="123" applyFont="1" applyFill="1" applyBorder="1" applyProtection="1"/>
    <xf numFmtId="169" fontId="25" fillId="18" borderId="31" xfId="123" applyFont="1" applyFill="1" applyBorder="1" applyProtection="1"/>
    <xf numFmtId="37" fontId="45" fillId="18" borderId="23" xfId="61" applyNumberFormat="1" applyFont="1" applyFill="1" applyBorder="1"/>
    <xf numFmtId="37" fontId="45" fillId="18" borderId="1" xfId="61" applyNumberFormat="1" applyFont="1" applyFill="1" applyBorder="1"/>
    <xf numFmtId="37" fontId="45" fillId="18" borderId="1" xfId="61" applyNumberFormat="1" applyFont="1" applyFill="1" applyBorder="1" applyAlignment="1">
      <alignment horizontal="right"/>
    </xf>
    <xf numFmtId="37" fontId="45" fillId="18" borderId="23" xfId="61" quotePrefix="1" applyNumberFormat="1" applyFont="1" applyFill="1" applyBorder="1" applyAlignment="1">
      <alignment horizontal="right"/>
    </xf>
    <xf numFmtId="37" fontId="25" fillId="18" borderId="23" xfId="61" applyNumberFormat="1" applyFont="1" applyFill="1" applyBorder="1"/>
    <xf numFmtId="5" fontId="5" fillId="18" borderId="19" xfId="0" applyNumberFormat="1" applyFont="1" applyFill="1" applyBorder="1" applyAlignment="1" applyProtection="1">
      <alignment horizontal="right"/>
    </xf>
    <xf numFmtId="5" fontId="5" fillId="18" borderId="0" xfId="0" applyNumberFormat="1" applyFont="1" applyFill="1" applyBorder="1" applyAlignment="1" applyProtection="1">
      <alignment horizontal="right"/>
    </xf>
    <xf numFmtId="5" fontId="1" fillId="18" borderId="0" xfId="0" applyNumberFormat="1" applyFont="1" applyFill="1" applyBorder="1" applyAlignment="1" applyProtection="1">
      <alignment horizontal="right"/>
    </xf>
    <xf numFmtId="5" fontId="1" fillId="18" borderId="19" xfId="0" applyNumberFormat="1" applyFont="1" applyFill="1" applyBorder="1" applyAlignment="1" applyProtection="1">
      <alignment horizontal="right"/>
    </xf>
    <xf numFmtId="5" fontId="5" fillId="18" borderId="29" xfId="0" applyNumberFormat="1" applyFont="1" applyFill="1" applyBorder="1" applyAlignment="1" applyProtection="1">
      <alignment horizontal="right"/>
    </xf>
    <xf numFmtId="5" fontId="5" fillId="18" borderId="28" xfId="0" applyNumberFormat="1" applyFont="1" applyFill="1" applyBorder="1" applyAlignment="1" applyProtection="1">
      <alignment horizontal="right"/>
    </xf>
    <xf numFmtId="5" fontId="5" fillId="18" borderId="31" xfId="0" applyNumberFormat="1" applyFont="1" applyFill="1" applyBorder="1" applyAlignment="1" applyProtection="1">
      <alignment horizontal="right"/>
    </xf>
    <xf numFmtId="41" fontId="5" fillId="18" borderId="19" xfId="0" applyNumberFormat="1" applyFont="1" applyFill="1" applyBorder="1" applyAlignment="1" applyProtection="1">
      <alignment horizontal="right"/>
    </xf>
    <xf numFmtId="41" fontId="5" fillId="18" borderId="19" xfId="0" applyNumberFormat="1" applyFont="1" applyFill="1" applyBorder="1" applyProtection="1"/>
    <xf numFmtId="41" fontId="1" fillId="18" borderId="19" xfId="0" applyNumberFormat="1" applyFont="1" applyFill="1" applyBorder="1" applyProtection="1"/>
    <xf numFmtId="41" fontId="5" fillId="18" borderId="18" xfId="0" applyNumberFormat="1" applyFont="1" applyFill="1" applyBorder="1" applyProtection="1"/>
    <xf numFmtId="41" fontId="5" fillId="18" borderId="27" xfId="0" applyNumberFormat="1" applyFont="1" applyFill="1" applyBorder="1" applyProtection="1"/>
    <xf numFmtId="41" fontId="8" fillId="18" borderId="19" xfId="0" applyNumberFormat="1" applyFont="1" applyFill="1" applyBorder="1" applyProtection="1"/>
    <xf numFmtId="41" fontId="8" fillId="18" borderId="0" xfId="0" applyNumberFormat="1" applyFont="1" applyFill="1" applyBorder="1" applyProtection="1"/>
    <xf numFmtId="41" fontId="139" fillId="18" borderId="18" xfId="0" applyNumberFormat="1" applyFont="1" applyFill="1" applyBorder="1" applyProtection="1"/>
    <xf numFmtId="41" fontId="139" fillId="18" borderId="0" xfId="0" applyNumberFormat="1" applyFont="1" applyFill="1" applyBorder="1" applyProtection="1"/>
    <xf numFmtId="41" fontId="8" fillId="18" borderId="30" xfId="0" applyNumberFormat="1" applyFont="1" applyFill="1" applyBorder="1" applyProtection="1"/>
    <xf numFmtId="41" fontId="5" fillId="18" borderId="23" xfId="0" applyNumberFormat="1" applyFont="1" applyFill="1" applyBorder="1" applyProtection="1"/>
    <xf numFmtId="41" fontId="1" fillId="18" borderId="19" xfId="0" applyNumberFormat="1" applyFont="1" applyFill="1" applyBorder="1" applyAlignment="1" applyProtection="1">
      <alignment horizontal="right"/>
    </xf>
    <xf numFmtId="41" fontId="8" fillId="18" borderId="18" xfId="0" applyNumberFormat="1" applyFont="1" applyFill="1" applyBorder="1" applyProtection="1"/>
    <xf numFmtId="41" fontId="8" fillId="18" borderId="27" xfId="0" applyNumberFormat="1" applyFont="1" applyFill="1" applyBorder="1" applyProtection="1"/>
    <xf numFmtId="41" fontId="8" fillId="18" borderId="23" xfId="0" applyNumberFormat="1" applyFont="1" applyFill="1" applyBorder="1" applyProtection="1"/>
    <xf numFmtId="0" fontId="25" fillId="18" borderId="21" xfId="0" applyNumberFormat="1" applyFont="1" applyFill="1" applyBorder="1" applyAlignment="1">
      <alignment horizontal="left" indent="1"/>
    </xf>
    <xf numFmtId="169" fontId="25" fillId="18" borderId="31" xfId="123" applyFont="1" applyFill="1" applyBorder="1"/>
    <xf numFmtId="169" fontId="25" fillId="18" borderId="29" xfId="123" applyFont="1" applyFill="1" applyBorder="1"/>
    <xf numFmtId="169" fontId="25" fillId="18" borderId="28" xfId="123" applyFont="1" applyFill="1" applyBorder="1"/>
    <xf numFmtId="0" fontId="25" fillId="18" borderId="19" xfId="0" applyNumberFormat="1" applyFont="1" applyFill="1" applyBorder="1" applyAlignment="1">
      <alignment horizontal="left" indent="1"/>
    </xf>
    <xf numFmtId="169" fontId="25" fillId="18" borderId="27" xfId="123" applyFont="1" applyFill="1" applyBorder="1"/>
    <xf numFmtId="169" fontId="25" fillId="18" borderId="18" xfId="123" applyFont="1" applyFill="1" applyBorder="1"/>
    <xf numFmtId="169" fontId="25" fillId="18" borderId="0" xfId="123" applyFont="1" applyFill="1" applyBorder="1"/>
    <xf numFmtId="0" fontId="25" fillId="18" borderId="19" xfId="0" applyNumberFormat="1" applyFont="1" applyFill="1" applyBorder="1" applyAlignment="1" applyProtection="1">
      <alignment horizontal="left" indent="1"/>
    </xf>
    <xf numFmtId="169" fontId="25" fillId="18" borderId="18" xfId="123" applyFont="1" applyFill="1" applyBorder="1" applyProtection="1"/>
    <xf numFmtId="169" fontId="25" fillId="18" borderId="27" xfId="123" applyFont="1" applyFill="1" applyBorder="1" applyProtection="1"/>
    <xf numFmtId="37" fontId="25" fillId="18" borderId="19" xfId="0" applyNumberFormat="1" applyFont="1" applyFill="1" applyBorder="1"/>
    <xf numFmtId="37" fontId="25" fillId="18" borderId="0" xfId="0" applyNumberFormat="1" applyFont="1" applyFill="1" applyBorder="1"/>
    <xf numFmtId="37" fontId="25" fillId="18" borderId="0" xfId="123" applyNumberFormat="1" applyFont="1" applyFill="1" applyBorder="1"/>
    <xf numFmtId="37" fontId="45" fillId="18" borderId="0" xfId="0" applyNumberFormat="1" applyFont="1" applyFill="1" applyBorder="1"/>
    <xf numFmtId="37" fontId="45" fillId="18" borderId="19" xfId="0" applyNumberFormat="1" applyFont="1" applyFill="1" applyBorder="1"/>
    <xf numFmtId="37" fontId="45" fillId="18" borderId="0" xfId="0" applyNumberFormat="1" applyFont="1" applyFill="1" applyBorder="1" applyAlignment="1">
      <alignment horizontal="right"/>
    </xf>
    <xf numFmtId="37" fontId="45" fillId="18" borderId="0" xfId="0" quotePrefix="1" applyNumberFormat="1" applyFont="1" applyFill="1" applyBorder="1" applyAlignment="1">
      <alignment horizontal="right"/>
    </xf>
    <xf numFmtId="37" fontId="45" fillId="18" borderId="19" xfId="0" quotePrefix="1" applyNumberFormat="1" applyFont="1" applyFill="1" applyBorder="1" applyAlignment="1">
      <alignment horizontal="left"/>
    </xf>
    <xf numFmtId="37" fontId="45" fillId="18" borderId="19" xfId="0" quotePrefix="1" applyNumberFormat="1" applyFont="1" applyFill="1" applyBorder="1" applyAlignment="1">
      <alignment horizontal="right"/>
    </xf>
    <xf numFmtId="170" fontId="5" fillId="18" borderId="27" xfId="61" quotePrefix="1" applyNumberFormat="1" applyFont="1" applyFill="1" applyBorder="1" applyAlignment="1" applyProtection="1">
      <alignment horizontal="right"/>
    </xf>
    <xf numFmtId="170" fontId="5" fillId="18" borderId="19" xfId="61" quotePrefix="1" applyNumberFormat="1" applyFont="1" applyFill="1" applyBorder="1" applyAlignment="1" applyProtection="1">
      <alignment horizontal="right"/>
    </xf>
    <xf numFmtId="170" fontId="5" fillId="18" borderId="18" xfId="61" quotePrefix="1" applyNumberFormat="1" applyFont="1" applyFill="1" applyBorder="1" applyAlignment="1" applyProtection="1">
      <alignment horizontal="right"/>
    </xf>
    <xf numFmtId="170" fontId="5" fillId="18" borderId="0" xfId="123" applyNumberFormat="1" applyFont="1" applyFill="1" applyBorder="1" applyAlignment="1" applyProtection="1">
      <alignment horizontal="right"/>
    </xf>
    <xf numFmtId="170" fontId="5" fillId="18" borderId="19" xfId="123" applyNumberFormat="1" applyFont="1" applyFill="1" applyBorder="1" applyAlignment="1" applyProtection="1">
      <alignment horizontal="right"/>
    </xf>
    <xf numFmtId="191" fontId="5" fillId="18" borderId="19" xfId="123" applyNumberFormat="1" applyFont="1" applyFill="1" applyBorder="1" applyAlignment="1" applyProtection="1">
      <alignment horizontal="right"/>
    </xf>
    <xf numFmtId="170" fontId="34" fillId="18" borderId="0" xfId="123" applyNumberFormat="1" applyFont="1" applyFill="1" applyBorder="1" applyAlignment="1" applyProtection="1">
      <alignment horizontal="right"/>
    </xf>
    <xf numFmtId="170" fontId="1" fillId="18" borderId="0" xfId="123" applyNumberFormat="1" applyFont="1" applyFill="1" applyBorder="1" applyAlignment="1" applyProtection="1">
      <alignment horizontal="right"/>
    </xf>
    <xf numFmtId="170" fontId="1" fillId="18" borderId="19" xfId="123" applyNumberFormat="1" applyFont="1" applyFill="1" applyBorder="1" applyAlignment="1" applyProtection="1">
      <alignment horizontal="right"/>
    </xf>
    <xf numFmtId="169" fontId="25" fillId="18" borderId="19" xfId="123" applyFont="1" applyFill="1" applyBorder="1" applyAlignment="1" applyProtection="1">
      <alignment horizontal="right"/>
    </xf>
    <xf numFmtId="0" fontId="25" fillId="18" borderId="23" xfId="0" applyNumberFormat="1" applyFont="1" applyFill="1" applyBorder="1" applyAlignment="1" applyProtection="1">
      <alignment horizontal="left" indent="1"/>
    </xf>
    <xf numFmtId="170" fontId="5" fillId="18" borderId="30" xfId="61" quotePrefix="1" applyNumberFormat="1" applyFont="1" applyFill="1" applyBorder="1" applyAlignment="1" applyProtection="1">
      <alignment horizontal="right"/>
    </xf>
    <xf numFmtId="170" fontId="5" fillId="18" borderId="23" xfId="61" quotePrefix="1" applyNumberFormat="1" applyFont="1" applyFill="1" applyBorder="1" applyAlignment="1" applyProtection="1">
      <alignment horizontal="right"/>
    </xf>
    <xf numFmtId="170" fontId="5" fillId="18" borderId="26" xfId="61" quotePrefix="1" applyNumberFormat="1" applyFont="1" applyFill="1" applyBorder="1" applyAlignment="1" applyProtection="1">
      <alignment horizontal="right"/>
    </xf>
    <xf numFmtId="170" fontId="5" fillId="18" borderId="1" xfId="123" applyNumberFormat="1" applyFont="1" applyFill="1" applyBorder="1" applyAlignment="1" applyProtection="1">
      <alignment horizontal="right"/>
    </xf>
    <xf numFmtId="170" fontId="5" fillId="18" borderId="23" xfId="123" applyNumberFormat="1" applyFont="1" applyFill="1" applyBorder="1" applyAlignment="1" applyProtection="1">
      <alignment horizontal="right"/>
    </xf>
    <xf numFmtId="191" fontId="5" fillId="18" borderId="23" xfId="123" applyNumberFormat="1" applyFont="1" applyFill="1" applyBorder="1" applyAlignment="1" applyProtection="1">
      <alignment horizontal="right"/>
    </xf>
    <xf numFmtId="170" fontId="34" fillId="18" borderId="1" xfId="123" applyNumberFormat="1" applyFont="1" applyFill="1" applyBorder="1" applyAlignment="1" applyProtection="1">
      <alignment horizontal="right"/>
    </xf>
    <xf numFmtId="170" fontId="1" fillId="18" borderId="1" xfId="123" applyNumberFormat="1" applyFont="1" applyFill="1" applyBorder="1" applyAlignment="1" applyProtection="1">
      <alignment horizontal="right"/>
    </xf>
    <xf numFmtId="170" fontId="1" fillId="18" borderId="23" xfId="123" applyNumberFormat="1" applyFont="1" applyFill="1" applyBorder="1" applyAlignment="1" applyProtection="1">
      <alignment horizontal="right"/>
    </xf>
    <xf numFmtId="169" fontId="25" fillId="18" borderId="23" xfId="123" applyFont="1" applyFill="1" applyBorder="1" applyAlignment="1" applyProtection="1">
      <alignment horizontal="right"/>
    </xf>
    <xf numFmtId="41" fontId="9" fillId="18" borderId="0" xfId="0" quotePrefix="1" applyNumberFormat="1" applyFont="1" applyFill="1" applyBorder="1" applyAlignment="1" applyProtection="1">
      <alignment horizontal="right"/>
    </xf>
    <xf numFmtId="41" fontId="9" fillId="18" borderId="27" xfId="0" quotePrefix="1" applyNumberFormat="1" applyFont="1" applyFill="1" applyBorder="1" applyAlignment="1" applyProtection="1">
      <alignment horizontal="right"/>
    </xf>
    <xf numFmtId="41" fontId="7" fillId="18" borderId="0" xfId="0" applyNumberFormat="1" applyFont="1" applyFill="1" applyBorder="1" applyProtection="1"/>
    <xf numFmtId="0" fontId="5" fillId="18" borderId="18" xfId="61" applyNumberFormat="1" applyFont="1" applyFill="1" applyBorder="1" applyAlignment="1" applyProtection="1">
      <alignment horizontal="left" indent="1"/>
    </xf>
    <xf numFmtId="5" fontId="5" fillId="18" borderId="19" xfId="61" applyFont="1" applyFill="1" applyBorder="1" applyProtection="1"/>
    <xf numFmtId="5" fontId="5" fillId="18" borderId="18" xfId="61" applyFont="1" applyFill="1" applyBorder="1" applyProtection="1"/>
    <xf numFmtId="5" fontId="5" fillId="18" borderId="0" xfId="61" applyFont="1" applyFill="1" applyBorder="1" applyProtection="1"/>
    <xf numFmtId="5" fontId="5" fillId="18" borderId="27" xfId="61" applyFont="1" applyFill="1" applyBorder="1" applyProtection="1"/>
    <xf numFmtId="5" fontId="5" fillId="18" borderId="18" xfId="61" applyNumberFormat="1" applyFont="1" applyFill="1" applyBorder="1" applyProtection="1"/>
    <xf numFmtId="5" fontId="5" fillId="18" borderId="0" xfId="61" applyNumberFormat="1" applyFont="1" applyFill="1" applyBorder="1" applyProtection="1"/>
    <xf numFmtId="5" fontId="5" fillId="18" borderId="27" xfId="61" applyNumberFormat="1" applyFont="1" applyFill="1" applyBorder="1" applyProtection="1"/>
    <xf numFmtId="5" fontId="5" fillId="18" borderId="19" xfId="61" applyNumberFormat="1" applyFont="1" applyFill="1" applyBorder="1" applyProtection="1"/>
    <xf numFmtId="5" fontId="1" fillId="18" borderId="19" xfId="61" applyFont="1" applyFill="1" applyBorder="1" applyProtection="1"/>
    <xf numFmtId="0" fontId="5" fillId="18" borderId="18" xfId="60" applyNumberFormat="1" applyFont="1" applyFill="1" applyBorder="1" applyAlignment="1" applyProtection="1">
      <alignment horizontal="left" indent="1"/>
    </xf>
    <xf numFmtId="41" fontId="5" fillId="18" borderId="18" xfId="60" applyNumberFormat="1" applyFont="1" applyFill="1" applyBorder="1" applyProtection="1"/>
    <xf numFmtId="41" fontId="5" fillId="18" borderId="27" xfId="60" applyNumberFormat="1" applyFont="1" applyFill="1" applyBorder="1" applyProtection="1"/>
    <xf numFmtId="41" fontId="8" fillId="18" borderId="0" xfId="60" applyNumberFormat="1" applyFont="1" applyFill="1" applyBorder="1" applyProtection="1">
      <protection locked="0"/>
    </xf>
    <xf numFmtId="41" fontId="5" fillId="18" borderId="19" xfId="60" applyNumberFormat="1" applyFont="1" applyFill="1" applyBorder="1" applyProtection="1">
      <protection locked="0"/>
    </xf>
    <xf numFmtId="41" fontId="8" fillId="18" borderId="19" xfId="60" applyNumberFormat="1" applyFont="1" applyFill="1" applyBorder="1" applyProtection="1">
      <protection locked="0"/>
    </xf>
    <xf numFmtId="41" fontId="5" fillId="18" borderId="18" xfId="60" applyNumberFormat="1" applyFont="1" applyFill="1" applyBorder="1" applyProtection="1">
      <protection locked="0"/>
    </xf>
    <xf numFmtId="41" fontId="5" fillId="18" borderId="0" xfId="60" applyNumberFormat="1" applyFont="1" applyFill="1" applyBorder="1" applyProtection="1">
      <protection locked="0"/>
    </xf>
    <xf numFmtId="41" fontId="5" fillId="18" borderId="27" xfId="60" applyNumberFormat="1" applyFont="1" applyFill="1" applyBorder="1" applyProtection="1">
      <protection locked="0"/>
    </xf>
    <xf numFmtId="41" fontId="1" fillId="18" borderId="19" xfId="60" applyNumberFormat="1" applyFont="1" applyFill="1" applyBorder="1" applyProtection="1">
      <protection locked="0"/>
    </xf>
    <xf numFmtId="41" fontId="8" fillId="18" borderId="27" xfId="60" applyNumberFormat="1" applyFont="1" applyFill="1" applyBorder="1" applyProtection="1">
      <protection locked="0"/>
    </xf>
    <xf numFmtId="0" fontId="5" fillId="18" borderId="18" xfId="60" applyNumberFormat="1" applyFont="1" applyFill="1" applyBorder="1" applyAlignment="1" applyProtection="1">
      <alignment horizontal="left" indent="2"/>
    </xf>
    <xf numFmtId="41" fontId="8" fillId="18" borderId="19" xfId="60" quotePrefix="1" applyNumberFormat="1" applyFont="1" applyFill="1" applyBorder="1" applyAlignment="1" applyProtection="1">
      <alignment horizontal="right"/>
    </xf>
    <xf numFmtId="0" fontId="5" fillId="18" borderId="19" xfId="60" applyNumberFormat="1" applyFont="1" applyFill="1" applyBorder="1" applyAlignment="1" applyProtection="1">
      <alignment horizontal="left" indent="2"/>
    </xf>
    <xf numFmtId="0" fontId="5" fillId="18" borderId="19" xfId="61" applyNumberFormat="1" applyFont="1" applyFill="1" applyBorder="1" applyAlignment="1" applyProtection="1">
      <alignment horizontal="left" indent="1"/>
    </xf>
    <xf numFmtId="0" fontId="15" fillId="18" borderId="19" xfId="60" applyNumberFormat="1" applyFont="1" applyFill="1" applyBorder="1" applyAlignment="1" applyProtection="1">
      <alignment horizontal="left" indent="1"/>
    </xf>
    <xf numFmtId="41" fontId="15" fillId="18" borderId="19" xfId="60" applyNumberFormat="1" applyFont="1" applyFill="1" applyBorder="1" applyProtection="1">
      <protection locked="0"/>
    </xf>
    <xf numFmtId="41" fontId="39" fillId="18" borderId="19" xfId="60" applyNumberFormat="1" applyFont="1" applyFill="1" applyBorder="1" applyProtection="1">
      <protection locked="0"/>
    </xf>
    <xf numFmtId="41" fontId="73" fillId="18" borderId="0" xfId="60" applyNumberFormat="1" applyFont="1" applyFill="1" applyBorder="1" applyProtection="1">
      <protection locked="0"/>
    </xf>
    <xf numFmtId="41" fontId="39" fillId="18" borderId="0" xfId="60" applyNumberFormat="1" applyFont="1" applyFill="1" applyBorder="1" applyProtection="1">
      <protection locked="0"/>
    </xf>
    <xf numFmtId="41" fontId="39" fillId="18" borderId="27" xfId="60" applyNumberFormat="1" applyFont="1" applyFill="1" applyBorder="1" applyProtection="1">
      <protection locked="0"/>
    </xf>
    <xf numFmtId="5" fontId="9" fillId="18" borderId="19" xfId="61" applyNumberFormat="1" applyFont="1" applyFill="1" applyBorder="1" applyAlignment="1" applyProtection="1">
      <alignment horizontal="left"/>
    </xf>
    <xf numFmtId="5" fontId="9" fillId="18" borderId="19" xfId="61" applyNumberFormat="1" applyFont="1" applyFill="1" applyBorder="1" applyProtection="1"/>
    <xf numFmtId="5" fontId="9" fillId="18" borderId="18" xfId="61" applyNumberFormat="1" applyFont="1" applyFill="1" applyBorder="1" applyProtection="1"/>
    <xf numFmtId="5" fontId="9" fillId="18" borderId="0" xfId="61" applyNumberFormat="1" applyFont="1" applyFill="1" applyBorder="1" applyProtection="1"/>
    <xf numFmtId="5" fontId="9" fillId="18" borderId="27" xfId="61" applyNumberFormat="1" applyFont="1" applyFill="1" applyBorder="1" applyProtection="1"/>
    <xf numFmtId="0" fontId="5" fillId="18" borderId="19" xfId="0" applyNumberFormat="1" applyFont="1" applyFill="1" applyBorder="1" applyProtection="1"/>
    <xf numFmtId="5" fontId="5" fillId="18" borderId="19" xfId="0" applyNumberFormat="1" applyFont="1" applyFill="1" applyBorder="1" applyProtection="1"/>
    <xf numFmtId="41" fontId="84" fillId="18" borderId="27" xfId="0" applyNumberFormat="1" applyFont="1" applyFill="1" applyBorder="1" applyProtection="1"/>
    <xf numFmtId="5" fontId="5" fillId="18" borderId="27" xfId="0" applyNumberFormat="1" applyFont="1" applyFill="1" applyBorder="1" applyProtection="1"/>
    <xf numFmtId="5" fontId="5" fillId="18" borderId="0" xfId="0" applyNumberFormat="1" applyFont="1" applyFill="1" applyBorder="1" applyProtection="1"/>
    <xf numFmtId="0" fontId="9" fillId="18" borderId="19" xfId="0" applyNumberFormat="1" applyFont="1" applyFill="1" applyBorder="1" applyAlignment="1" applyProtection="1">
      <alignment horizontal="left"/>
    </xf>
    <xf numFmtId="41" fontId="5" fillId="18" borderId="19" xfId="61" applyNumberFormat="1" applyFont="1" applyFill="1" applyBorder="1" applyProtection="1"/>
    <xf numFmtId="41" fontId="8" fillId="18" borderId="0" xfId="61" applyNumberFormat="1" applyFont="1" applyFill="1" applyBorder="1" applyProtection="1"/>
    <xf numFmtId="41" fontId="1" fillId="18" borderId="19" xfId="61" applyNumberFormat="1" applyFont="1" applyFill="1" applyBorder="1" applyProtection="1"/>
    <xf numFmtId="41" fontId="5" fillId="18" borderId="0" xfId="61" applyNumberFormat="1" applyFont="1" applyFill="1" applyBorder="1" applyProtection="1"/>
    <xf numFmtId="41" fontId="8" fillId="18" borderId="18" xfId="60" applyNumberFormat="1" applyFont="1" applyFill="1" applyBorder="1" applyProtection="1">
      <protection locked="0"/>
    </xf>
    <xf numFmtId="41" fontId="1" fillId="18" borderId="27" xfId="60" applyNumberFormat="1" applyFont="1" applyFill="1" applyBorder="1" applyProtection="1">
      <protection locked="0"/>
    </xf>
    <xf numFmtId="0" fontId="1" fillId="18" borderId="19" xfId="61" applyNumberFormat="1" applyFont="1" applyFill="1" applyBorder="1" applyAlignment="1" applyProtection="1">
      <alignment horizontal="left" indent="1"/>
    </xf>
    <xf numFmtId="41" fontId="76" fillId="18" borderId="19" xfId="60" applyNumberFormat="1" applyFont="1" applyFill="1" applyBorder="1" applyProtection="1">
      <protection locked="0"/>
    </xf>
    <xf numFmtId="5" fontId="5" fillId="18" borderId="18" xfId="0" applyNumberFormat="1" applyFont="1" applyFill="1" applyBorder="1" applyProtection="1"/>
    <xf numFmtId="0" fontId="15" fillId="18" borderId="18" xfId="60" applyNumberFormat="1" applyFont="1" applyFill="1" applyBorder="1" applyAlignment="1" applyProtection="1">
      <alignment horizontal="left" indent="1"/>
    </xf>
    <xf numFmtId="41" fontId="73" fillId="18" borderId="27" xfId="60" applyNumberFormat="1" applyFont="1" applyFill="1" applyBorder="1" applyProtection="1">
      <protection locked="0"/>
    </xf>
    <xf numFmtId="5" fontId="9" fillId="18" borderId="18" xfId="61" applyNumberFormat="1" applyFont="1" applyFill="1" applyBorder="1" applyAlignment="1" applyProtection="1">
      <alignment horizontal="left"/>
    </xf>
    <xf numFmtId="0" fontId="5" fillId="18" borderId="18" xfId="0" applyNumberFormat="1" applyFont="1" applyFill="1" applyBorder="1" applyProtection="1"/>
    <xf numFmtId="41" fontId="5" fillId="18" borderId="27" xfId="0" applyNumberFormat="1" applyFont="1" applyFill="1" applyBorder="1" applyAlignment="1" applyProtection="1">
      <alignment horizontal="right"/>
    </xf>
    <xf numFmtId="41" fontId="5" fillId="18" borderId="0" xfId="0" applyNumberFormat="1" applyFont="1" applyFill="1" applyBorder="1" applyAlignment="1" applyProtection="1">
      <alignment horizontal="right"/>
    </xf>
    <xf numFmtId="41" fontId="5" fillId="18" borderId="18" xfId="0" applyNumberFormat="1" applyFont="1" applyFill="1" applyBorder="1" applyAlignment="1" applyProtection="1">
      <alignment horizontal="right"/>
    </xf>
    <xf numFmtId="41" fontId="15" fillId="18" borderId="27" xfId="60" applyNumberFormat="1" applyFont="1" applyFill="1" applyBorder="1" applyProtection="1"/>
    <xf numFmtId="5" fontId="15" fillId="18" borderId="18" xfId="60" applyNumberFormat="1" applyFont="1" applyFill="1" applyBorder="1" applyProtection="1"/>
    <xf numFmtId="41" fontId="15" fillId="18" borderId="0" xfId="60" applyNumberFormat="1" applyFont="1" applyFill="1" applyBorder="1" applyProtection="1"/>
    <xf numFmtId="5" fontId="15" fillId="18" borderId="19" xfId="60" applyNumberFormat="1" applyFont="1" applyFill="1" applyBorder="1" applyProtection="1"/>
    <xf numFmtId="5" fontId="15" fillId="18" borderId="27" xfId="60" applyNumberFormat="1" applyFont="1" applyFill="1" applyBorder="1" applyProtection="1"/>
    <xf numFmtId="5" fontId="15" fillId="18" borderId="0" xfId="60" applyNumberFormat="1" applyFont="1" applyFill="1" applyBorder="1" applyProtection="1"/>
    <xf numFmtId="5" fontId="9" fillId="18" borderId="26" xfId="61" applyNumberFormat="1" applyFont="1" applyFill="1" applyBorder="1" applyAlignment="1" applyProtection="1">
      <alignment horizontal="left"/>
    </xf>
    <xf numFmtId="5" fontId="9" fillId="18" borderId="23" xfId="61" applyNumberFormat="1" applyFont="1" applyFill="1" applyBorder="1" applyProtection="1"/>
    <xf numFmtId="5" fontId="9" fillId="18" borderId="30" xfId="61" applyNumberFormat="1" applyFont="1" applyFill="1" applyBorder="1" applyProtection="1"/>
    <xf numFmtId="5" fontId="9" fillId="18" borderId="26" xfId="61" applyNumberFormat="1" applyFont="1" applyFill="1" applyBorder="1" applyProtection="1"/>
    <xf numFmtId="5" fontId="9" fillId="18" borderId="1" xfId="61" applyNumberFormat="1" applyFont="1" applyFill="1" applyBorder="1" applyProtection="1"/>
    <xf numFmtId="0" fontId="9" fillId="18" borderId="19" xfId="0" applyNumberFormat="1" applyFont="1" applyFill="1" applyBorder="1" applyProtection="1"/>
    <xf numFmtId="43" fontId="9" fillId="18" borderId="18" xfId="0" applyNumberFormat="1" applyFont="1" applyFill="1" applyBorder="1" applyAlignment="1" applyProtection="1">
      <alignment horizontal="right"/>
    </xf>
    <xf numFmtId="5" fontId="5" fillId="18" borderId="19" xfId="61" applyFont="1" applyFill="1" applyBorder="1" applyAlignment="1" applyProtection="1">
      <alignment horizontal="right"/>
    </xf>
    <xf numFmtId="5" fontId="8" fillId="18" borderId="19" xfId="61" applyFont="1" applyFill="1" applyBorder="1" applyProtection="1"/>
    <xf numFmtId="5" fontId="8" fillId="18" borderId="0" xfId="61" applyFont="1" applyFill="1" applyBorder="1" applyProtection="1"/>
    <xf numFmtId="0" fontId="5" fillId="18" borderId="19" xfId="60" applyNumberFormat="1" applyFont="1" applyFill="1" applyBorder="1" applyAlignment="1" applyProtection="1">
      <alignment horizontal="left" indent="1"/>
    </xf>
    <xf numFmtId="41" fontId="8" fillId="18" borderId="19" xfId="60" applyNumberFormat="1" applyFont="1" applyFill="1" applyBorder="1" applyAlignment="1" applyProtection="1">
      <alignment horizontal="right"/>
    </xf>
    <xf numFmtId="41" fontId="39" fillId="18" borderId="19" xfId="60" applyNumberFormat="1" applyFont="1" applyFill="1" applyBorder="1" applyAlignment="1" applyProtection="1">
      <alignment horizontal="right"/>
    </xf>
    <xf numFmtId="0" fontId="9" fillId="18" borderId="19" xfId="61" applyNumberFormat="1" applyFont="1" applyFill="1" applyBorder="1" applyAlignment="1" applyProtection="1">
      <alignment horizontal="left"/>
    </xf>
    <xf numFmtId="41" fontId="9" fillId="18" borderId="19" xfId="61" applyNumberFormat="1" applyFont="1" applyFill="1" applyBorder="1" applyProtection="1"/>
    <xf numFmtId="41" fontId="9" fillId="18" borderId="0" xfId="61" applyNumberFormat="1" applyFont="1" applyFill="1" applyBorder="1" applyProtection="1"/>
    <xf numFmtId="41" fontId="8" fillId="18" borderId="19" xfId="61" applyNumberFormat="1" applyFont="1" applyFill="1" applyBorder="1" applyProtection="1"/>
    <xf numFmtId="41" fontId="26" fillId="18" borderId="19" xfId="60" applyNumberFormat="1" applyFont="1" applyFill="1" applyBorder="1" applyProtection="1"/>
    <xf numFmtId="41" fontId="39" fillId="18" borderId="0" xfId="60" applyNumberFormat="1" applyFont="1" applyFill="1" applyBorder="1" applyProtection="1"/>
    <xf numFmtId="5" fontId="9" fillId="18" borderId="19" xfId="61" applyFont="1" applyFill="1" applyBorder="1" applyProtection="1"/>
    <xf numFmtId="5" fontId="9" fillId="18" borderId="0" xfId="61" applyFont="1" applyFill="1" applyBorder="1" applyProtection="1"/>
    <xf numFmtId="41" fontId="139" fillId="18" borderId="0" xfId="61" applyNumberFormat="1" applyFont="1" applyFill="1" applyBorder="1" applyProtection="1"/>
    <xf numFmtId="0" fontId="5" fillId="18" borderId="19" xfId="0" applyNumberFormat="1" applyFont="1" applyFill="1" applyBorder="1" applyAlignment="1" applyProtection="1">
      <alignment horizontal="left" indent="1"/>
    </xf>
    <xf numFmtId="0" fontId="5" fillId="18" borderId="19" xfId="61" applyNumberFormat="1" applyFont="1" applyFill="1" applyBorder="1" applyAlignment="1" applyProtection="1">
      <alignment horizontal="left"/>
    </xf>
    <xf numFmtId="0" fontId="9" fillId="18" borderId="23" xfId="61" applyNumberFormat="1" applyFont="1" applyFill="1" applyBorder="1" applyAlignment="1" applyProtection="1">
      <alignment horizontal="left"/>
    </xf>
    <xf numFmtId="5" fontId="9" fillId="18" borderId="23" xfId="61" applyFont="1" applyFill="1" applyBorder="1" applyProtection="1"/>
    <xf numFmtId="5" fontId="9" fillId="18" borderId="1" xfId="61" applyFont="1" applyFill="1" applyBorder="1" applyProtection="1"/>
    <xf numFmtId="0" fontId="1" fillId="0" borderId="0" xfId="0" applyNumberFormat="1" applyFont="1" applyAlignment="1">
      <alignment horizontal="left"/>
    </xf>
    <xf numFmtId="37" fontId="139" fillId="0" borderId="0" xfId="0" applyFont="1" applyAlignment="1">
      <alignment horizontal="right"/>
    </xf>
    <xf numFmtId="37" fontId="139" fillId="0" borderId="0" xfId="0" applyFont="1" applyAlignment="1">
      <alignment horizontal="center"/>
    </xf>
    <xf numFmtId="175" fontId="139" fillId="0" borderId="0" xfId="0" applyNumberFormat="1" applyFont="1" applyAlignment="1">
      <alignment horizontal="center"/>
    </xf>
    <xf numFmtId="175" fontId="1" fillId="0" borderId="0" xfId="0" applyNumberFormat="1" applyFont="1" applyAlignment="1">
      <alignment horizontal="center"/>
    </xf>
    <xf numFmtId="0" fontId="9" fillId="0" borderId="0" xfId="0" applyNumberFormat="1" applyFont="1" applyAlignment="1">
      <alignment horizontal="centerContinuous" wrapText="1"/>
    </xf>
    <xf numFmtId="37" fontId="9" fillId="18" borderId="0" xfId="0" applyFont="1" applyFill="1"/>
    <xf numFmtId="37" fontId="1" fillId="18" borderId="0" xfId="0" applyFont="1" applyFill="1"/>
    <xf numFmtId="175" fontId="1" fillId="17" borderId="0" xfId="0" applyNumberFormat="1" applyFont="1" applyFill="1" applyAlignment="1">
      <alignment horizontal="center"/>
    </xf>
    <xf numFmtId="175" fontId="139" fillId="17" borderId="0" xfId="0" applyNumberFormat="1" applyFont="1" applyFill="1" applyAlignment="1">
      <alignment horizontal="center"/>
    </xf>
    <xf numFmtId="37" fontId="153" fillId="33" borderId="0" xfId="0" applyFont="1" applyFill="1"/>
    <xf numFmtId="37" fontId="154" fillId="33" borderId="0" xfId="0" applyFont="1" applyFill="1"/>
    <xf numFmtId="175" fontId="154" fillId="33" borderId="0" xfId="0" applyNumberFormat="1" applyFont="1" applyFill="1" applyAlignment="1">
      <alignment horizontal="center"/>
    </xf>
    <xf numFmtId="0" fontId="9" fillId="0" borderId="0" xfId="0" applyNumberFormat="1" applyFont="1" applyAlignment="1">
      <alignment horizontal="center"/>
    </xf>
    <xf numFmtId="5" fontId="139" fillId="18" borderId="0" xfId="0" applyNumberFormat="1" applyFont="1" applyFill="1" applyAlignment="1">
      <alignment horizontal="right"/>
    </xf>
    <xf numFmtId="169" fontId="1" fillId="17" borderId="0" xfId="0" applyNumberFormat="1" applyFont="1" applyFill="1" applyAlignment="1">
      <alignment horizontal="center"/>
    </xf>
    <xf numFmtId="169" fontId="1" fillId="0" borderId="0" xfId="0" applyNumberFormat="1" applyFont="1" applyAlignment="1">
      <alignment horizontal="center"/>
    </xf>
    <xf numFmtId="37" fontId="15" fillId="0" borderId="0" xfId="0" applyFont="1" applyAlignment="1">
      <alignment horizontal="center"/>
    </xf>
    <xf numFmtId="169" fontId="154" fillId="33" borderId="0" xfId="0" applyNumberFormat="1" applyFont="1" applyFill="1" applyAlignment="1">
      <alignment horizontal="center"/>
    </xf>
    <xf numFmtId="169" fontId="1" fillId="0" borderId="0" xfId="0" applyNumberFormat="1" applyFont="1" applyAlignment="1"/>
    <xf numFmtId="37" fontId="154" fillId="33" borderId="0" xfId="0" applyFont="1" applyFill="1" applyAlignment="1">
      <alignment horizontal="center"/>
    </xf>
    <xf numFmtId="169" fontId="139" fillId="0" borderId="0" xfId="0" applyNumberFormat="1" applyFont="1" applyAlignment="1">
      <alignment horizontal="center"/>
    </xf>
    <xf numFmtId="9" fontId="1" fillId="0" borderId="0" xfId="0" applyNumberFormat="1" applyFont="1" applyFill="1"/>
    <xf numFmtId="37" fontId="1" fillId="0" borderId="0" xfId="0" applyFont="1" applyFill="1" applyAlignment="1">
      <alignment horizontal="left"/>
    </xf>
    <xf numFmtId="175" fontId="1" fillId="0" borderId="0" xfId="0" applyNumberFormat="1" applyFont="1" applyFill="1" applyAlignment="1">
      <alignment horizontal="center"/>
    </xf>
    <xf numFmtId="37" fontId="139" fillId="17" borderId="0" xfId="0" applyFont="1" applyFill="1" applyAlignment="1">
      <alignment horizontal="center"/>
    </xf>
    <xf numFmtId="37" fontId="1" fillId="17" borderId="0" xfId="0" applyFont="1" applyFill="1" applyAlignment="1">
      <alignment horizontal="center"/>
    </xf>
    <xf numFmtId="39" fontId="1" fillId="0" borderId="66" xfId="0" applyNumberFormat="1" applyFont="1" applyBorder="1"/>
    <xf numFmtId="39" fontId="138" fillId="0" borderId="67" xfId="0" applyNumberFormat="1" applyFont="1" applyBorder="1"/>
    <xf numFmtId="39" fontId="138" fillId="0" borderId="68" xfId="0" applyNumberFormat="1" applyFont="1" applyBorder="1"/>
    <xf numFmtId="37" fontId="9" fillId="0" borderId="0" xfId="0" applyFont="1" applyFill="1" applyBorder="1" applyAlignment="1"/>
    <xf numFmtId="9" fontId="1" fillId="0" borderId="0" xfId="125" applyFont="1" applyFill="1"/>
    <xf numFmtId="9" fontId="9" fillId="0" borderId="0" xfId="125" applyFont="1" applyFill="1"/>
    <xf numFmtId="9" fontId="1" fillId="0" borderId="0" xfId="125" applyFont="1" applyFill="1" applyBorder="1"/>
    <xf numFmtId="9" fontId="9" fillId="0" borderId="0" xfId="125" applyFont="1" applyFill="1" applyBorder="1"/>
    <xf numFmtId="39" fontId="1" fillId="0" borderId="0" xfId="0" applyNumberFormat="1" applyFont="1" applyFill="1"/>
    <xf numFmtId="37" fontId="1" fillId="0" borderId="0" xfId="0" applyFont="1" applyFill="1" applyAlignment="1">
      <alignment wrapText="1"/>
    </xf>
    <xf numFmtId="0" fontId="1" fillId="0" borderId="0" xfId="0" applyNumberFormat="1" applyFont="1" applyFill="1"/>
    <xf numFmtId="6" fontId="9" fillId="0" borderId="0" xfId="0" applyNumberFormat="1" applyFont="1" applyFill="1" applyBorder="1"/>
    <xf numFmtId="169" fontId="1" fillId="0" borderId="0" xfId="0" applyNumberFormat="1" applyFont="1" applyFill="1" applyAlignment="1">
      <alignment horizontal="center"/>
    </xf>
    <xf numFmtId="5" fontId="139" fillId="0" borderId="0" xfId="0" applyNumberFormat="1" applyFont="1" applyFill="1" applyAlignment="1">
      <alignment horizontal="right"/>
    </xf>
    <xf numFmtId="37" fontId="139" fillId="0" borderId="0" xfId="0" applyFont="1" applyFill="1" applyAlignment="1">
      <alignment horizontal="right"/>
    </xf>
    <xf numFmtId="37" fontId="139" fillId="0" borderId="0" xfId="0" applyFont="1" applyFill="1" applyAlignment="1">
      <alignment horizontal="center"/>
    </xf>
    <xf numFmtId="175" fontId="139" fillId="0" borderId="0" xfId="0" applyNumberFormat="1" applyFont="1" applyFill="1" applyAlignment="1">
      <alignment horizontal="center"/>
    </xf>
    <xf numFmtId="0" fontId="25" fillId="0" borderId="0" xfId="0" applyNumberFormat="1" applyFont="1" applyAlignment="1">
      <alignment horizontal="left" indent="1"/>
    </xf>
    <xf numFmtId="169" fontId="138" fillId="0" borderId="5" xfId="123" applyNumberFormat="1" applyFont="1" applyBorder="1"/>
    <xf numFmtId="169" fontId="1" fillId="0" borderId="0" xfId="0" applyNumberFormat="1" applyFont="1" applyBorder="1" applyAlignment="1">
      <alignment horizontal="right"/>
    </xf>
    <xf numFmtId="169" fontId="1" fillId="0" borderId="27" xfId="123" applyNumberFormat="1" applyFont="1" applyBorder="1"/>
    <xf numFmtId="169" fontId="1" fillId="0" borderId="27" xfId="123" applyNumberFormat="1" applyFont="1" applyBorder="1" applyAlignment="1">
      <alignment horizontal="right"/>
    </xf>
    <xf numFmtId="169" fontId="1" fillId="0" borderId="1" xfId="0" applyNumberFormat="1" applyFont="1" applyBorder="1" applyAlignment="1">
      <alignment horizontal="right"/>
    </xf>
    <xf numFmtId="169" fontId="1" fillId="0" borderId="30" xfId="123" applyNumberFormat="1" applyFont="1" applyBorder="1" applyAlignment="1">
      <alignment horizontal="right"/>
    </xf>
    <xf numFmtId="168" fontId="1" fillId="0" borderId="30" xfId="0" applyNumberFormat="1" applyFont="1" applyBorder="1" applyAlignment="1">
      <alignment horizontal="right"/>
    </xf>
    <xf numFmtId="169" fontId="1" fillId="0" borderId="0" xfId="123" applyFont="1" applyBorder="1" applyAlignment="1">
      <alignment horizontal="right"/>
    </xf>
    <xf numFmtId="37" fontId="1" fillId="0" borderId="31" xfId="0" applyFont="1" applyBorder="1" applyAlignment="1">
      <alignment horizontal="centerContinuous"/>
    </xf>
    <xf numFmtId="5" fontId="1" fillId="0" borderId="27" xfId="0" applyNumberFormat="1" applyFont="1" applyBorder="1" applyAlignment="1">
      <alignment horizontal="right"/>
    </xf>
    <xf numFmtId="10" fontId="1" fillId="0" borderId="0" xfId="123" applyNumberFormat="1" applyFont="1" applyFill="1"/>
    <xf numFmtId="169" fontId="141" fillId="0" borderId="27" xfId="123" quotePrefix="1" applyFont="1" applyFill="1" applyBorder="1" applyAlignment="1" applyProtection="1"/>
    <xf numFmtId="169" fontId="141" fillId="0" borderId="0" xfId="123" quotePrefix="1" applyFont="1" applyFill="1" applyBorder="1" applyAlignment="1" applyProtection="1"/>
    <xf numFmtId="169" fontId="141" fillId="0" borderId="19" xfId="123" quotePrefix="1" applyFont="1" applyFill="1" applyBorder="1" applyAlignment="1" applyProtection="1"/>
    <xf numFmtId="41" fontId="149" fillId="18" borderId="0" xfId="60" applyNumberFormat="1" applyFont="1" applyFill="1" applyBorder="1" applyProtection="1"/>
    <xf numFmtId="41" fontId="141" fillId="0" borderId="0" xfId="0" applyNumberFormat="1" applyFont="1" applyFill="1" applyBorder="1"/>
    <xf numFmtId="41" fontId="141" fillId="0" borderId="27" xfId="0" applyNumberFormat="1" applyFont="1" applyFill="1" applyBorder="1"/>
    <xf numFmtId="3" fontId="25" fillId="0" borderId="0" xfId="0" applyNumberFormat="1" applyFont="1"/>
    <xf numFmtId="3" fontId="0" fillId="0" borderId="0" xfId="0" applyNumberFormat="1"/>
    <xf numFmtId="37" fontId="155" fillId="0" borderId="0" xfId="0" applyFont="1"/>
    <xf numFmtId="9" fontId="155" fillId="0" borderId="0" xfId="0" applyNumberFormat="1" applyFont="1"/>
    <xf numFmtId="37" fontId="156" fillId="0" borderId="0" xfId="0" applyFont="1"/>
    <xf numFmtId="37" fontId="155" fillId="0" borderId="0" xfId="0" applyFont="1" applyAlignment="1">
      <alignment horizontal="right"/>
    </xf>
    <xf numFmtId="4" fontId="8" fillId="0" borderId="19" xfId="123" quotePrefix="1" applyNumberFormat="1" applyFont="1" applyFill="1" applyBorder="1" applyAlignment="1" applyProtection="1"/>
    <xf numFmtId="0" fontId="1" fillId="0" borderId="18" xfId="60" applyNumberFormat="1" applyFont="1" applyFill="1" applyBorder="1" applyAlignment="1" applyProtection="1">
      <alignment horizontal="left"/>
    </xf>
    <xf numFmtId="7" fontId="9" fillId="0" borderId="0" xfId="0" applyNumberFormat="1" applyFont="1" applyBorder="1"/>
    <xf numFmtId="7" fontId="9" fillId="0" borderId="0" xfId="0" applyNumberFormat="1" applyFont="1" applyFill="1" applyBorder="1"/>
    <xf numFmtId="7" fontId="1" fillId="0" borderId="0" xfId="0" applyNumberFormat="1" applyFont="1"/>
    <xf numFmtId="37" fontId="139" fillId="0" borderId="0" xfId="60" applyNumberFormat="1" applyFont="1" applyFill="1" applyBorder="1"/>
    <xf numFmtId="37" fontId="5" fillId="0" borderId="19" xfId="123" quotePrefix="1" applyNumberFormat="1" applyFont="1" applyFill="1" applyBorder="1" applyAlignment="1" applyProtection="1">
      <alignment horizontal="right"/>
    </xf>
    <xf numFmtId="37" fontId="8" fillId="0" borderId="19" xfId="60" applyNumberFormat="1" applyFont="1" applyFill="1" applyBorder="1" applyAlignment="1" applyProtection="1">
      <alignment horizontal="right"/>
    </xf>
    <xf numFmtId="37" fontId="8" fillId="0" borderId="0" xfId="60" applyNumberFormat="1" applyFont="1" applyFill="1" applyBorder="1" applyAlignment="1" applyProtection="1">
      <alignment horizontal="right"/>
    </xf>
    <xf numFmtId="37" fontId="1" fillId="0" borderId="19" xfId="60" applyNumberFormat="1" applyFont="1" applyFill="1" applyBorder="1" applyAlignment="1" applyProtection="1">
      <alignment horizontal="right"/>
    </xf>
    <xf numFmtId="37" fontId="64" fillId="0" borderId="0" xfId="60" applyNumberFormat="1" applyFont="1" applyFill="1" applyBorder="1"/>
    <xf numFmtId="37" fontId="64" fillId="0" borderId="19" xfId="60" applyNumberFormat="1" applyFont="1" applyFill="1" applyBorder="1"/>
    <xf numFmtId="37" fontId="5" fillId="0" borderId="0" xfId="123" quotePrefix="1" applyNumberFormat="1" applyFont="1" applyFill="1" applyBorder="1" applyAlignment="1" applyProtection="1">
      <alignment horizontal="right"/>
    </xf>
    <xf numFmtId="37" fontId="5" fillId="0" borderId="27" xfId="123" quotePrefix="1" applyNumberFormat="1" applyFont="1" applyFill="1" applyBorder="1" applyAlignment="1" applyProtection="1">
      <alignment horizontal="right"/>
    </xf>
    <xf numFmtId="41" fontId="139" fillId="0" borderId="0" xfId="0" applyNumberFormat="1" applyFont="1" applyFill="1" applyBorder="1" applyAlignment="1" applyProtection="1">
      <alignment horizontal="right"/>
    </xf>
    <xf numFmtId="41" fontId="139" fillId="0" borderId="19" xfId="0" applyNumberFormat="1" applyFont="1" applyFill="1" applyBorder="1" applyAlignment="1" applyProtection="1">
      <alignment horizontal="right"/>
    </xf>
    <xf numFmtId="41" fontId="139" fillId="0" borderId="27" xfId="0" applyNumberFormat="1" applyFont="1" applyFill="1" applyBorder="1" applyAlignment="1" applyProtection="1">
      <alignment horizontal="right"/>
    </xf>
    <xf numFmtId="41" fontId="1" fillId="0" borderId="19" xfId="60" applyNumberFormat="1" applyFont="1" applyFill="1" applyBorder="1" applyAlignment="1" applyProtection="1">
      <alignment horizontal="right"/>
    </xf>
    <xf numFmtId="7" fontId="139" fillId="0" borderId="0" xfId="123" quotePrefix="1" applyNumberFormat="1" applyFont="1" applyFill="1" applyBorder="1" applyAlignment="1" applyProtection="1">
      <alignment horizontal="right"/>
    </xf>
    <xf numFmtId="37" fontId="140" fillId="0" borderId="0" xfId="60" applyNumberFormat="1" applyFont="1" applyFill="1" applyBorder="1"/>
    <xf numFmtId="169" fontId="157" fillId="0" borderId="0" xfId="123" applyFont="1" applyFill="1" applyBorder="1" applyAlignment="1" applyProtection="1">
      <alignment horizontal="right"/>
    </xf>
    <xf numFmtId="169" fontId="157" fillId="0" borderId="19" xfId="123" applyFont="1" applyFill="1" applyBorder="1" applyAlignment="1" applyProtection="1">
      <alignment horizontal="right"/>
    </xf>
    <xf numFmtId="41" fontId="158" fillId="0" borderId="0" xfId="0" applyNumberFormat="1" applyFont="1" applyFill="1" applyBorder="1"/>
    <xf numFmtId="7" fontId="1" fillId="0" borderId="0" xfId="0" applyNumberFormat="1" applyFont="1" applyFill="1" applyBorder="1"/>
    <xf numFmtId="7" fontId="131" fillId="0" borderId="0" xfId="0" applyNumberFormat="1" applyFont="1" applyFill="1" applyBorder="1"/>
    <xf numFmtId="5" fontId="9" fillId="17" borderId="6" xfId="0" applyNumberFormat="1" applyFont="1" applyFill="1" applyBorder="1"/>
    <xf numFmtId="5" fontId="9" fillId="17" borderId="22" xfId="0" applyNumberFormat="1" applyFont="1" applyFill="1" applyBorder="1"/>
    <xf numFmtId="7" fontId="9" fillId="0" borderId="18" xfId="0" applyNumberFormat="1" applyFont="1" applyBorder="1"/>
    <xf numFmtId="7" fontId="9" fillId="0" borderId="27" xfId="0" applyNumberFormat="1" applyFont="1" applyFill="1" applyBorder="1"/>
    <xf numFmtId="7" fontId="1" fillId="0" borderId="27" xfId="0" applyNumberFormat="1" applyFont="1" applyFill="1" applyBorder="1"/>
    <xf numFmtId="37" fontId="1" fillId="0" borderId="26" xfId="0" applyFont="1" applyFill="1" applyBorder="1" applyAlignment="1">
      <alignment horizontal="left" indent="1"/>
    </xf>
    <xf numFmtId="41" fontId="9" fillId="0" borderId="1" xfId="0" applyNumberFormat="1" applyFont="1" applyFill="1" applyBorder="1"/>
    <xf numFmtId="9" fontId="139" fillId="0" borderId="1" xfId="0" applyNumberFormat="1" applyFont="1" applyFill="1" applyBorder="1"/>
    <xf numFmtId="9" fontId="141" fillId="0" borderId="1" xfId="0" applyNumberFormat="1" applyFont="1" applyFill="1" applyBorder="1"/>
    <xf numFmtId="9" fontId="141" fillId="0" borderId="30" xfId="0" applyNumberFormat="1" applyFont="1" applyFill="1" applyBorder="1"/>
    <xf numFmtId="37" fontId="1" fillId="17" borderId="6" xfId="0" applyFont="1" applyFill="1" applyBorder="1"/>
    <xf numFmtId="37" fontId="1" fillId="17" borderId="22" xfId="0" applyFont="1" applyFill="1" applyBorder="1"/>
    <xf numFmtId="41" fontId="142" fillId="0" borderId="0" xfId="0" applyNumberFormat="1" applyFont="1" applyBorder="1"/>
    <xf numFmtId="49" fontId="9" fillId="0" borderId="0" xfId="0" applyNumberFormat="1" applyFont="1" applyAlignment="1">
      <alignment horizontal="right"/>
    </xf>
    <xf numFmtId="4" fontId="45" fillId="0" borderId="19" xfId="123" quotePrefix="1" applyNumberFormat="1" applyFont="1" applyFill="1" applyBorder="1" applyAlignment="1" applyProtection="1"/>
    <xf numFmtId="37" fontId="147" fillId="0" borderId="19" xfId="60" quotePrefix="1" applyFont="1" applyFill="1" applyBorder="1" applyAlignment="1" applyProtection="1"/>
    <xf numFmtId="169" fontId="150" fillId="0" borderId="19" xfId="123" quotePrefix="1" applyFont="1" applyFill="1" applyBorder="1" applyAlignment="1" applyProtection="1"/>
    <xf numFmtId="4" fontId="44" fillId="0" borderId="27" xfId="123" quotePrefix="1" applyNumberFormat="1" applyFont="1" applyFill="1" applyBorder="1" applyAlignment="1" applyProtection="1"/>
    <xf numFmtId="4" fontId="44" fillId="0" borderId="19" xfId="123" quotePrefix="1" applyNumberFormat="1" applyFont="1" applyFill="1" applyBorder="1" applyAlignment="1" applyProtection="1"/>
    <xf numFmtId="37" fontId="150" fillId="0" borderId="22" xfId="60" applyFont="1" applyFill="1" applyBorder="1"/>
    <xf numFmtId="169" fontId="131" fillId="0" borderId="19" xfId="123" applyFont="1" applyFill="1" applyBorder="1"/>
    <xf numFmtId="169" fontId="8" fillId="0" borderId="0" xfId="123" applyFont="1" applyFill="1" applyBorder="1" applyAlignment="1">
      <alignment horizontal="right"/>
    </xf>
    <xf numFmtId="37" fontId="147" fillId="0" borderId="0" xfId="0" applyFont="1" applyFill="1"/>
    <xf numFmtId="37" fontId="139" fillId="0" borderId="0" xfId="0" quotePrefix="1" applyFont="1" applyFill="1" applyAlignment="1">
      <alignment horizontal="right"/>
    </xf>
    <xf numFmtId="41" fontId="139" fillId="0" borderId="0" xfId="60" quotePrefix="1" applyNumberFormat="1" applyFont="1" applyFill="1" applyBorder="1" applyAlignment="1" applyProtection="1">
      <alignment horizontal="right"/>
    </xf>
    <xf numFmtId="0" fontId="25" fillId="0" borderId="18" xfId="0" quotePrefix="1" applyNumberFormat="1" applyFont="1" applyFill="1" applyBorder="1" applyAlignment="1" applyProtection="1">
      <alignment horizontal="left"/>
    </xf>
    <xf numFmtId="5" fontId="25" fillId="0" borderId="19" xfId="60" quotePrefix="1" applyNumberFormat="1" applyFont="1" applyFill="1" applyBorder="1" applyAlignment="1" applyProtection="1">
      <alignment horizontal="right"/>
    </xf>
    <xf numFmtId="41" fontId="147" fillId="0" borderId="19" xfId="60" quotePrefix="1" applyNumberFormat="1" applyFont="1" applyFill="1" applyBorder="1" applyAlignment="1" applyProtection="1">
      <alignment horizontal="right"/>
    </xf>
    <xf numFmtId="9" fontId="1" fillId="0" borderId="23" xfId="60" applyNumberFormat="1" applyFont="1" applyFill="1" applyBorder="1" applyAlignment="1" applyProtection="1">
      <alignment horizontal="right"/>
    </xf>
    <xf numFmtId="39" fontId="139" fillId="0" borderId="0" xfId="60" quotePrefix="1" applyNumberFormat="1" applyFont="1" applyAlignment="1">
      <alignment horizontal="right"/>
    </xf>
    <xf numFmtId="41" fontId="9" fillId="17" borderId="6" xfId="61" quotePrefix="1" applyNumberFormat="1" applyFont="1" applyFill="1" applyBorder="1" applyAlignment="1" applyProtection="1">
      <alignment horizontal="right"/>
    </xf>
    <xf numFmtId="41" fontId="141" fillId="18" borderId="19" xfId="61" applyNumberFormat="1" applyFont="1" applyFill="1" applyBorder="1"/>
    <xf numFmtId="5" fontId="9" fillId="0" borderId="19" xfId="61" applyNumberFormat="1" applyFont="1" applyFill="1" applyBorder="1"/>
    <xf numFmtId="5" fontId="9" fillId="0" borderId="27" xfId="61" applyNumberFormat="1" applyFont="1" applyFill="1" applyBorder="1"/>
    <xf numFmtId="0" fontId="147" fillId="0" borderId="18" xfId="0" applyNumberFormat="1" applyFont="1" applyFill="1" applyBorder="1" applyProtection="1"/>
    <xf numFmtId="5" fontId="147" fillId="0" borderId="19" xfId="61" quotePrefix="1" applyNumberFormat="1" applyFont="1" applyFill="1" applyBorder="1" applyAlignment="1">
      <alignment horizontal="right"/>
    </xf>
    <xf numFmtId="43" fontId="9" fillId="0" borderId="19" xfId="0" applyNumberFormat="1" applyFont="1" applyFill="1" applyBorder="1" applyProtection="1"/>
    <xf numFmtId="41" fontId="147" fillId="0" borderId="19" xfId="0" quotePrefix="1" applyNumberFormat="1" applyFont="1" applyFill="1" applyBorder="1" applyAlignment="1" applyProtection="1">
      <alignment horizontal="right"/>
    </xf>
    <xf numFmtId="37" fontId="45" fillId="18" borderId="19" xfId="61" applyNumberFormat="1" applyFont="1" applyFill="1" applyBorder="1"/>
    <xf numFmtId="37" fontId="45" fillId="18" borderId="0" xfId="61" applyNumberFormat="1" applyFont="1" applyFill="1" applyBorder="1"/>
    <xf numFmtId="37" fontId="45" fillId="18" borderId="0" xfId="61" applyNumberFormat="1" applyFont="1" applyFill="1" applyBorder="1" applyAlignment="1">
      <alignment horizontal="right"/>
    </xf>
    <xf numFmtId="37" fontId="45" fillId="18" borderId="19" xfId="61" quotePrefix="1" applyNumberFormat="1" applyFont="1" applyFill="1" applyBorder="1" applyAlignment="1">
      <alignment horizontal="right"/>
    </xf>
    <xf numFmtId="37" fontId="45" fillId="0" borderId="0" xfId="61" applyNumberFormat="1" applyFont="1" applyFill="1" applyBorder="1" applyAlignment="1" applyProtection="1">
      <alignment horizontal="left"/>
    </xf>
    <xf numFmtId="37" fontId="25" fillId="18" borderId="18" xfId="61" applyNumberFormat="1" applyFont="1" applyFill="1" applyBorder="1" applyAlignment="1" applyProtection="1">
      <alignment horizontal="left"/>
    </xf>
    <xf numFmtId="37" fontId="147" fillId="18" borderId="26" xfId="61" applyNumberFormat="1" applyFont="1" applyFill="1" applyBorder="1" applyAlignment="1" applyProtection="1">
      <alignment horizontal="left"/>
    </xf>
    <xf numFmtId="37" fontId="147" fillId="0" borderId="23" xfId="61" quotePrefix="1" applyNumberFormat="1" applyFont="1" applyFill="1" applyBorder="1" applyAlignment="1">
      <alignment horizontal="right"/>
    </xf>
    <xf numFmtId="41" fontId="139" fillId="0" borderId="19" xfId="0" applyNumberFormat="1" applyFont="1" applyFill="1" applyBorder="1" applyProtection="1"/>
    <xf numFmtId="37" fontId="147" fillId="0" borderId="18" xfId="0" applyFont="1" applyBorder="1" applyAlignment="1">
      <alignment horizontal="left" indent="2"/>
    </xf>
    <xf numFmtId="169" fontId="147" fillId="0" borderId="0" xfId="0" quotePrefix="1" applyNumberFormat="1" applyFont="1" applyBorder="1" applyAlignment="1">
      <alignment horizontal="right"/>
    </xf>
    <xf numFmtId="37" fontId="147" fillId="0" borderId="18" xfId="0" applyFont="1" applyBorder="1" applyAlignment="1">
      <alignment horizontal="left" indent="1"/>
    </xf>
    <xf numFmtId="5" fontId="147" fillId="0" borderId="0" xfId="0" quotePrefix="1" applyNumberFormat="1" applyFont="1" applyBorder="1" applyAlignment="1">
      <alignment horizontal="right"/>
    </xf>
    <xf numFmtId="37" fontId="147" fillId="0" borderId="26" xfId="0" applyFont="1" applyBorder="1"/>
    <xf numFmtId="5" fontId="147" fillId="0" borderId="1" xfId="0" quotePrefix="1" applyNumberFormat="1" applyFont="1" applyBorder="1" applyAlignment="1">
      <alignment horizontal="right"/>
    </xf>
    <xf numFmtId="7" fontId="1" fillId="0" borderId="1" xfId="60" applyNumberFormat="1" applyFont="1" applyFill="1" applyBorder="1" applyAlignment="1" applyProtection="1">
      <alignment horizontal="left" indent="1"/>
    </xf>
    <xf numFmtId="7" fontId="26" fillId="0" borderId="23" xfId="60" applyNumberFormat="1" applyFont="1" applyFill="1" applyBorder="1" applyProtection="1"/>
    <xf numFmtId="7" fontId="26" fillId="0" borderId="1" xfId="60" applyNumberFormat="1" applyFont="1" applyFill="1" applyBorder="1" applyProtection="1"/>
    <xf numFmtId="7" fontId="5" fillId="0" borderId="23" xfId="60" applyNumberFormat="1" applyFont="1" applyFill="1" applyBorder="1" applyProtection="1"/>
    <xf numFmtId="7" fontId="8" fillId="0" borderId="1" xfId="60" applyNumberFormat="1" applyFont="1" applyFill="1" applyBorder="1" applyProtection="1"/>
    <xf numFmtId="169" fontId="1" fillId="0" borderId="1" xfId="123" applyNumberFormat="1" applyFont="1" applyFill="1" applyBorder="1" applyProtection="1"/>
    <xf numFmtId="169" fontId="1" fillId="0" borderId="23" xfId="123" applyNumberFormat="1" applyFont="1" applyFill="1" applyBorder="1" applyProtection="1"/>
    <xf numFmtId="169" fontId="139" fillId="0" borderId="1" xfId="60" applyNumberFormat="1" applyFont="1" applyFill="1" applyBorder="1" applyProtection="1"/>
    <xf numFmtId="169" fontId="141" fillId="0" borderId="1" xfId="60" applyNumberFormat="1" applyFont="1" applyFill="1" applyBorder="1" applyProtection="1"/>
    <xf numFmtId="169" fontId="141" fillId="0" borderId="23" xfId="60" applyNumberFormat="1" applyFont="1" applyFill="1" applyBorder="1" applyProtection="1"/>
    <xf numFmtId="41" fontId="159" fillId="0" borderId="0" xfId="0" applyNumberFormat="1" applyFont="1" applyBorder="1"/>
    <xf numFmtId="41" fontId="159" fillId="0" borderId="0" xfId="0" applyNumberFormat="1" applyFont="1" applyFill="1" applyBorder="1"/>
    <xf numFmtId="5" fontId="145" fillId="0" borderId="0" xfId="0" applyNumberFormat="1" applyFont="1" applyBorder="1" applyAlignment="1">
      <alignment horizontal="right"/>
    </xf>
    <xf numFmtId="41" fontId="160" fillId="0" borderId="1" xfId="60" applyNumberFormat="1" applyFont="1" applyFill="1" applyBorder="1"/>
    <xf numFmtId="14" fontId="15" fillId="0" borderId="28" xfId="0" applyNumberFormat="1" applyFont="1" applyBorder="1"/>
    <xf numFmtId="14" fontId="15" fillId="0" borderId="0" xfId="0" applyNumberFormat="1" applyFont="1" applyBorder="1"/>
    <xf numFmtId="5" fontId="159" fillId="0" borderId="0" xfId="0" applyNumberFormat="1" applyFont="1" applyBorder="1"/>
    <xf numFmtId="37" fontId="159" fillId="0" borderId="0" xfId="0" applyFont="1" applyBorder="1"/>
    <xf numFmtId="4" fontId="8" fillId="0" borderId="0" xfId="123" applyNumberFormat="1" applyFont="1" applyFill="1" applyBorder="1" applyAlignment="1" applyProtection="1">
      <alignment horizontal="right"/>
    </xf>
    <xf numFmtId="43" fontId="5" fillId="0" borderId="0" xfId="0" applyNumberFormat="1" applyFont="1" applyFill="1"/>
    <xf numFmtId="169" fontId="150" fillId="18" borderId="19" xfId="123" applyFont="1" applyFill="1" applyBorder="1"/>
    <xf numFmtId="37" fontId="5" fillId="0" borderId="19" xfId="0" applyNumberFormat="1" applyFont="1" applyFill="1" applyBorder="1"/>
    <xf numFmtId="37" fontId="131" fillId="0" borderId="0" xfId="60" applyNumberFormat="1" applyFont="1" applyFill="1" applyBorder="1" applyProtection="1"/>
    <xf numFmtId="0" fontId="1" fillId="18" borderId="18" xfId="0" applyNumberFormat="1" applyFont="1" applyFill="1" applyBorder="1" applyAlignment="1" applyProtection="1">
      <alignment horizontal="left"/>
    </xf>
    <xf numFmtId="37" fontId="141" fillId="0" borderId="19" xfId="60" applyNumberFormat="1" applyFont="1" applyFill="1" applyBorder="1" applyProtection="1"/>
    <xf numFmtId="5" fontId="7" fillId="0" borderId="19" xfId="123" quotePrefix="1" applyNumberFormat="1" applyFont="1" applyFill="1" applyBorder="1" applyAlignment="1" applyProtection="1"/>
    <xf numFmtId="4" fontId="25" fillId="0" borderId="19" xfId="123" quotePrefix="1" applyNumberFormat="1" applyFont="1" applyFill="1" applyBorder="1" applyAlignment="1" applyProtection="1"/>
    <xf numFmtId="207" fontId="43" fillId="0" borderId="19" xfId="123" quotePrefix="1" applyNumberFormat="1" applyFont="1" applyFill="1" applyBorder="1" applyAlignment="1" applyProtection="1"/>
    <xf numFmtId="37" fontId="9" fillId="0" borderId="27" xfId="0" applyFont="1" applyBorder="1" applyAlignment="1">
      <alignment horizontal="right"/>
    </xf>
    <xf numFmtId="170" fontId="139" fillId="0" borderId="0" xfId="0" applyNumberFormat="1" applyFont="1" applyBorder="1"/>
    <xf numFmtId="37" fontId="147" fillId="0" borderId="1" xfId="0" applyFont="1" applyBorder="1"/>
    <xf numFmtId="5" fontId="83" fillId="0" borderId="27" xfId="0" applyNumberFormat="1" applyFont="1" applyBorder="1"/>
    <xf numFmtId="5" fontId="140" fillId="0" borderId="1" xfId="0" applyNumberFormat="1" applyFont="1" applyFill="1" applyBorder="1"/>
    <xf numFmtId="37" fontId="9" fillId="0" borderId="0" xfId="0" applyNumberFormat="1" applyFont="1" applyBorder="1"/>
    <xf numFmtId="37" fontId="139" fillId="0" borderId="0" xfId="0" applyNumberFormat="1" applyFont="1" applyBorder="1"/>
    <xf numFmtId="37" fontId="140" fillId="0" borderId="1" xfId="0" applyNumberFormat="1" applyFont="1" applyBorder="1"/>
    <xf numFmtId="37" fontId="1" fillId="0" borderId="1" xfId="0" applyFont="1" applyBorder="1" applyAlignment="1">
      <alignment horizontal="left" indent="1"/>
    </xf>
    <xf numFmtId="170" fontId="140" fillId="0" borderId="0" xfId="0" applyNumberFormat="1" applyFont="1" applyBorder="1"/>
    <xf numFmtId="4" fontId="5" fillId="0" borderId="19" xfId="123" quotePrefix="1" applyNumberFormat="1" applyFont="1" applyFill="1" applyBorder="1" applyAlignment="1" applyProtection="1"/>
    <xf numFmtId="7" fontId="139" fillId="0" borderId="0" xfId="0" applyNumberFormat="1" applyFont="1"/>
    <xf numFmtId="208" fontId="5" fillId="0" borderId="0" xfId="0" applyNumberFormat="1" applyFont="1"/>
    <xf numFmtId="7" fontId="9" fillId="0" borderId="0" xfId="0" applyNumberFormat="1" applyFont="1"/>
    <xf numFmtId="177" fontId="15" fillId="0" borderId="27" xfId="0" applyNumberFormat="1" applyFont="1" applyBorder="1" applyAlignment="1">
      <alignment horizontal="right"/>
    </xf>
    <xf numFmtId="4" fontId="1" fillId="0" borderId="0" xfId="0" applyNumberFormat="1" applyFont="1"/>
    <xf numFmtId="16" fontId="45" fillId="0" borderId="0" xfId="123" applyNumberFormat="1" applyFont="1" applyFill="1" applyBorder="1" applyAlignment="1" applyProtection="1">
      <alignment horizontal="right"/>
    </xf>
    <xf numFmtId="37" fontId="9" fillId="0" borderId="28" xfId="0" applyFont="1" applyBorder="1" applyAlignment="1">
      <alignment horizontal="right"/>
    </xf>
    <xf numFmtId="168" fontId="9" fillId="0" borderId="18" xfId="0" applyNumberFormat="1" applyFont="1" applyBorder="1"/>
    <xf numFmtId="175" fontId="1" fillId="18" borderId="1" xfId="109" applyNumberFormat="1" applyFont="1" applyFill="1" applyBorder="1" applyAlignment="1">
      <alignment horizontal="right"/>
    </xf>
    <xf numFmtId="7" fontId="135" fillId="0" borderId="0" xfId="0" applyNumberFormat="1" applyFont="1"/>
    <xf numFmtId="43" fontId="9" fillId="18" borderId="27" xfId="0" applyNumberFormat="1" applyFont="1" applyFill="1" applyBorder="1" applyAlignment="1" applyProtection="1">
      <alignment horizontal="right"/>
    </xf>
    <xf numFmtId="169" fontId="9" fillId="18" borderId="27" xfId="123" applyFont="1" applyFill="1" applyBorder="1" applyAlignment="1" applyProtection="1">
      <alignment horizontal="right"/>
    </xf>
    <xf numFmtId="0" fontId="163" fillId="17" borderId="6" xfId="0" quotePrefix="1" applyNumberFormat="1" applyFont="1" applyFill="1" applyBorder="1" applyAlignment="1" applyProtection="1">
      <alignment horizontal="right"/>
    </xf>
    <xf numFmtId="41" fontId="1" fillId="18" borderId="0" xfId="60" applyNumberFormat="1" applyFont="1" applyFill="1" applyBorder="1"/>
    <xf numFmtId="41" fontId="1" fillId="0" borderId="0" xfId="60" applyNumberFormat="1" applyFont="1" applyFill="1" applyBorder="1"/>
    <xf numFmtId="5" fontId="164" fillId="18" borderId="0" xfId="60" quotePrefix="1" applyNumberFormat="1" applyFont="1" applyFill="1" applyBorder="1" applyAlignment="1" applyProtection="1">
      <alignment horizontal="right"/>
    </xf>
    <xf numFmtId="41" fontId="164" fillId="18" borderId="0" xfId="61" applyNumberFormat="1" applyFont="1" applyFill="1" applyBorder="1"/>
    <xf numFmtId="41" fontId="164" fillId="18" borderId="0" xfId="60" quotePrefix="1" applyNumberFormat="1" applyFont="1" applyFill="1" applyBorder="1" applyAlignment="1" applyProtection="1">
      <alignment horizontal="right"/>
    </xf>
    <xf numFmtId="41" fontId="164" fillId="18" borderId="0" xfId="60" applyNumberFormat="1" applyFont="1" applyFill="1" applyBorder="1" applyProtection="1"/>
    <xf numFmtId="41" fontId="1" fillId="18" borderId="27" xfId="60" applyNumberFormat="1" applyFont="1" applyFill="1" applyBorder="1" applyAlignment="1" applyProtection="1">
      <alignment horizontal="right"/>
    </xf>
    <xf numFmtId="41" fontId="8" fillId="0" borderId="27" xfId="61" applyNumberFormat="1" applyFont="1" applyFill="1" applyBorder="1"/>
    <xf numFmtId="41" fontId="7" fillId="18" borderId="27" xfId="60" applyNumberFormat="1" applyFont="1" applyFill="1" applyBorder="1"/>
    <xf numFmtId="41" fontId="1" fillId="18" borderId="27" xfId="0" applyNumberFormat="1" applyFont="1" applyFill="1" applyBorder="1" applyProtection="1"/>
    <xf numFmtId="5" fontId="28" fillId="0" borderId="27" xfId="60" quotePrefix="1" applyNumberFormat="1" applyFont="1" applyFill="1" applyBorder="1" applyAlignment="1" applyProtection="1">
      <alignment horizontal="right"/>
    </xf>
    <xf numFmtId="37" fontId="26" fillId="0" borderId="27" xfId="60" applyNumberFormat="1" applyFont="1" applyFill="1" applyBorder="1" applyProtection="1"/>
    <xf numFmtId="5" fontId="27" fillId="0" borderId="27" xfId="60" quotePrefix="1" applyNumberFormat="1" applyFont="1" applyFill="1" applyBorder="1" applyAlignment="1" applyProtection="1">
      <alignment horizontal="right"/>
    </xf>
    <xf numFmtId="5" fontId="27" fillId="0" borderId="0" xfId="61" quotePrefix="1" applyFont="1" applyFill="1" applyBorder="1" applyAlignment="1" applyProtection="1"/>
    <xf numFmtId="39" fontId="1" fillId="0" borderId="0" xfId="60" applyNumberFormat="1" applyFont="1"/>
    <xf numFmtId="41" fontId="26" fillId="0" borderId="27" xfId="60" applyNumberFormat="1" applyFont="1" applyFill="1" applyBorder="1"/>
    <xf numFmtId="41" fontId="8" fillId="0" borderId="27" xfId="60" applyNumberFormat="1" applyFont="1" applyFill="1" applyBorder="1"/>
    <xf numFmtId="41" fontId="1" fillId="0" borderId="27" xfId="0" applyNumberFormat="1" applyFont="1" applyFill="1" applyBorder="1" applyProtection="1"/>
    <xf numFmtId="169" fontId="1" fillId="0" borderId="1" xfId="123" applyFont="1" applyFill="1" applyBorder="1"/>
    <xf numFmtId="169" fontId="1" fillId="0" borderId="0" xfId="123" applyNumberFormat="1" applyFont="1" applyFill="1" applyBorder="1"/>
    <xf numFmtId="169" fontId="8" fillId="0" borderId="0" xfId="61" applyNumberFormat="1" applyFont="1" applyBorder="1"/>
    <xf numFmtId="10" fontId="1" fillId="0" borderId="0" xfId="123" applyNumberFormat="1" applyFont="1" applyBorder="1"/>
    <xf numFmtId="169" fontId="1" fillId="0" borderId="21" xfId="123" applyNumberFormat="1" applyFont="1" applyFill="1" applyBorder="1"/>
    <xf numFmtId="169" fontId="8" fillId="0" borderId="21" xfId="123" applyFont="1" applyBorder="1"/>
    <xf numFmtId="41" fontId="76" fillId="0" borderId="19" xfId="0" applyNumberFormat="1" applyFont="1" applyBorder="1"/>
    <xf numFmtId="41" fontId="1" fillId="0" borderId="27" xfId="123" quotePrefix="1" applyNumberFormat="1" applyFont="1" applyFill="1" applyBorder="1" applyAlignment="1" applyProtection="1"/>
    <xf numFmtId="5" fontId="166" fillId="0" borderId="0" xfId="0" applyNumberFormat="1" applyFont="1" applyBorder="1"/>
    <xf numFmtId="176" fontId="166" fillId="0" borderId="0" xfId="0" applyNumberFormat="1" applyFont="1" applyBorder="1"/>
    <xf numFmtId="5" fontId="165" fillId="0" borderId="0" xfId="0" applyNumberFormat="1" applyFont="1" applyBorder="1"/>
    <xf numFmtId="176" fontId="167" fillId="0" borderId="0" xfId="0" applyNumberFormat="1" applyFont="1" applyBorder="1"/>
    <xf numFmtId="37" fontId="0" fillId="0" borderId="19" xfId="0" applyBorder="1"/>
    <xf numFmtId="37" fontId="0" fillId="0" borderId="23" xfId="0" applyBorder="1"/>
    <xf numFmtId="169" fontId="168" fillId="0" borderId="0" xfId="123" quotePrefix="1" applyNumberFormat="1" applyFont="1" applyFill="1" applyBorder="1" applyAlignment="1" applyProtection="1"/>
    <xf numFmtId="169" fontId="168" fillId="0" borderId="19" xfId="123" quotePrefix="1" applyNumberFormat="1" applyFont="1" applyFill="1" applyBorder="1" applyAlignment="1" applyProtection="1"/>
    <xf numFmtId="187" fontId="8" fillId="0" borderId="23" xfId="123" quotePrefix="1" applyNumberFormat="1" applyFont="1" applyFill="1" applyBorder="1" applyAlignment="1" applyProtection="1"/>
    <xf numFmtId="41" fontId="8" fillId="0" borderId="23" xfId="123" quotePrefix="1" applyNumberFormat="1" applyFont="1" applyFill="1" applyBorder="1" applyAlignment="1" applyProtection="1"/>
    <xf numFmtId="187" fontId="8" fillId="0" borderId="1" xfId="123" quotePrefix="1" applyNumberFormat="1" applyFont="1" applyFill="1" applyBorder="1" applyAlignment="1" applyProtection="1"/>
    <xf numFmtId="41" fontId="8" fillId="0" borderId="1" xfId="60" quotePrefix="1" applyNumberFormat="1" applyFont="1" applyFill="1" applyBorder="1" applyAlignment="1" applyProtection="1"/>
    <xf numFmtId="169" fontId="169" fillId="0" borderId="0" xfId="123" quotePrefix="1" applyFont="1" applyFill="1" applyBorder="1" applyAlignment="1" applyProtection="1"/>
    <xf numFmtId="169" fontId="169" fillId="0" borderId="19" xfId="123" quotePrefix="1" applyFont="1" applyFill="1" applyBorder="1" applyAlignment="1" applyProtection="1"/>
    <xf numFmtId="37" fontId="9" fillId="34" borderId="0" xfId="0" applyFont="1" applyFill="1"/>
    <xf numFmtId="37" fontId="0" fillId="34" borderId="0" xfId="0" applyFill="1"/>
    <xf numFmtId="37" fontId="0" fillId="34" borderId="19" xfId="0" applyFill="1" applyBorder="1"/>
    <xf numFmtId="37" fontId="0" fillId="34" borderId="0" xfId="0" applyFill="1" applyBorder="1"/>
    <xf numFmtId="37" fontId="1" fillId="34" borderId="0" xfId="0" applyFont="1" applyFill="1"/>
    <xf numFmtId="5" fontId="36" fillId="34" borderId="0" xfId="61" quotePrefix="1" applyFont="1" applyFill="1" applyBorder="1" applyAlignment="1" applyProtection="1"/>
    <xf numFmtId="5" fontId="1" fillId="34" borderId="19" xfId="61" quotePrefix="1" applyFont="1" applyFill="1" applyBorder="1" applyAlignment="1" applyProtection="1"/>
    <xf numFmtId="41" fontId="42" fillId="34" borderId="0" xfId="60" quotePrefix="1" applyNumberFormat="1" applyFont="1" applyFill="1" applyBorder="1" applyAlignment="1" applyProtection="1"/>
    <xf numFmtId="41" fontId="15" fillId="34" borderId="19" xfId="60" quotePrefix="1" applyNumberFormat="1" applyFont="1" applyFill="1" applyBorder="1" applyAlignment="1" applyProtection="1"/>
    <xf numFmtId="41" fontId="37" fillId="34" borderId="0" xfId="60" quotePrefix="1" applyNumberFormat="1" applyFont="1" applyFill="1" applyBorder="1" applyAlignment="1" applyProtection="1"/>
    <xf numFmtId="5" fontId="9" fillId="34" borderId="19" xfId="60" quotePrefix="1" applyNumberFormat="1" applyFont="1" applyFill="1" applyBorder="1" applyAlignment="1" applyProtection="1"/>
    <xf numFmtId="41" fontId="9" fillId="34" borderId="0" xfId="123" quotePrefix="1" applyNumberFormat="1" applyFont="1" applyFill="1" applyBorder="1" applyAlignment="1" applyProtection="1"/>
    <xf numFmtId="41" fontId="9" fillId="34" borderId="19" xfId="123" quotePrefix="1" applyNumberFormat="1" applyFont="1" applyFill="1" applyBorder="1" applyAlignment="1" applyProtection="1"/>
    <xf numFmtId="41" fontId="143" fillId="34" borderId="0" xfId="60" quotePrefix="1" applyNumberFormat="1" applyFont="1" applyFill="1" applyBorder="1" applyAlignment="1" applyProtection="1"/>
    <xf numFmtId="41" fontId="39" fillId="34" borderId="0" xfId="60" quotePrefix="1" applyNumberFormat="1" applyFont="1" applyFill="1" applyBorder="1" applyAlignment="1" applyProtection="1"/>
    <xf numFmtId="0" fontId="5" fillId="34" borderId="18" xfId="60" applyNumberFormat="1" applyFont="1" applyFill="1" applyBorder="1" applyAlignment="1" applyProtection="1">
      <alignment horizontal="left"/>
    </xf>
    <xf numFmtId="5" fontId="5" fillId="34" borderId="0" xfId="123" quotePrefix="1" applyNumberFormat="1" applyFont="1" applyFill="1" applyBorder="1" applyAlignment="1" applyProtection="1"/>
    <xf numFmtId="5" fontId="5" fillId="34" borderId="19" xfId="123" quotePrefix="1" applyNumberFormat="1" applyFont="1" applyFill="1" applyBorder="1" applyAlignment="1" applyProtection="1"/>
    <xf numFmtId="41" fontId="15" fillId="34" borderId="0" xfId="123" quotePrefix="1" applyNumberFormat="1" applyFont="1" applyFill="1" applyBorder="1" applyAlignment="1" applyProtection="1"/>
    <xf numFmtId="41" fontId="15" fillId="34" borderId="19" xfId="123" quotePrefix="1" applyNumberFormat="1" applyFont="1" applyFill="1" applyBorder="1" applyAlignment="1" applyProtection="1"/>
    <xf numFmtId="5" fontId="9" fillId="34" borderId="0" xfId="123" quotePrefix="1" applyNumberFormat="1" applyFont="1" applyFill="1" applyBorder="1" applyAlignment="1" applyProtection="1"/>
    <xf numFmtId="5" fontId="9" fillId="34" borderId="19" xfId="123" quotePrefix="1" applyNumberFormat="1" applyFont="1" applyFill="1" applyBorder="1" applyAlignment="1" applyProtection="1"/>
    <xf numFmtId="169" fontId="44" fillId="34" borderId="0" xfId="123" quotePrefix="1" applyNumberFormat="1" applyFont="1" applyFill="1" applyBorder="1" applyAlignment="1" applyProtection="1"/>
    <xf numFmtId="169" fontId="44" fillId="34" borderId="19" xfId="123" quotePrefix="1" applyNumberFormat="1" applyFont="1" applyFill="1" applyBorder="1" applyAlignment="1" applyProtection="1"/>
    <xf numFmtId="0" fontId="5" fillId="34" borderId="26" xfId="60" applyNumberFormat="1" applyFont="1" applyFill="1" applyBorder="1" applyAlignment="1" applyProtection="1">
      <alignment horizontal="left"/>
    </xf>
    <xf numFmtId="37" fontId="0" fillId="34" borderId="1" xfId="0" applyFill="1" applyBorder="1"/>
    <xf numFmtId="37" fontId="0" fillId="34" borderId="23" xfId="0" applyFill="1" applyBorder="1"/>
    <xf numFmtId="169" fontId="44" fillId="34" borderId="1" xfId="123" quotePrefix="1" applyNumberFormat="1" applyFont="1" applyFill="1" applyBorder="1" applyAlignment="1" applyProtection="1"/>
    <xf numFmtId="169" fontId="44" fillId="34" borderId="30" xfId="123" quotePrefix="1" applyNumberFormat="1" applyFont="1" applyFill="1" applyBorder="1" applyAlignment="1" applyProtection="1"/>
    <xf numFmtId="169" fontId="44" fillId="34" borderId="23" xfId="123" quotePrefix="1" applyNumberFormat="1" applyFont="1" applyFill="1" applyBorder="1" applyAlignment="1" applyProtection="1"/>
    <xf numFmtId="10" fontId="172" fillId="0" borderId="0" xfId="123" quotePrefix="1" applyNumberFormat="1" applyFont="1" applyFill="1" applyBorder="1" applyAlignment="1" applyProtection="1"/>
    <xf numFmtId="10" fontId="44" fillId="34" borderId="1" xfId="123" quotePrefix="1" applyNumberFormat="1" applyFont="1" applyFill="1" applyBorder="1" applyAlignment="1" applyProtection="1"/>
    <xf numFmtId="10" fontId="44" fillId="34" borderId="30" xfId="123" quotePrefix="1" applyNumberFormat="1" applyFont="1" applyFill="1" applyBorder="1" applyAlignment="1" applyProtection="1"/>
    <xf numFmtId="10" fontId="44" fillId="34" borderId="23" xfId="123" quotePrefix="1" applyNumberFormat="1" applyFont="1" applyFill="1" applyBorder="1" applyAlignment="1" applyProtection="1"/>
    <xf numFmtId="4" fontId="5" fillId="0" borderId="0" xfId="123" applyNumberFormat="1" applyFont="1" applyFill="1" applyBorder="1" applyProtection="1"/>
    <xf numFmtId="41" fontId="171" fillId="18" borderId="0" xfId="60" applyNumberFormat="1" applyFont="1" applyFill="1" applyBorder="1" applyProtection="1"/>
    <xf numFmtId="169" fontId="171" fillId="0" borderId="19" xfId="123" applyFont="1" applyBorder="1"/>
    <xf numFmtId="0" fontId="9" fillId="17" borderId="10" xfId="60" applyNumberFormat="1" applyFont="1" applyFill="1" applyBorder="1" applyAlignment="1" applyProtection="1">
      <alignment horizontal="right"/>
    </xf>
    <xf numFmtId="41" fontId="171" fillId="0" borderId="0" xfId="60" applyNumberFormat="1" applyFont="1" applyFill="1" applyBorder="1"/>
    <xf numFmtId="41" fontId="1" fillId="0" borderId="18" xfId="0" applyNumberFormat="1" applyFont="1" applyFill="1" applyBorder="1" applyProtection="1"/>
    <xf numFmtId="5" fontId="173" fillId="17" borderId="6" xfId="61" quotePrefix="1" applyNumberFormat="1" applyFont="1" applyFill="1" applyBorder="1" applyAlignment="1" applyProtection="1"/>
    <xf numFmtId="169" fontId="168" fillId="0" borderId="28" xfId="123" quotePrefix="1" applyNumberFormat="1" applyFont="1" applyFill="1" applyBorder="1" applyAlignment="1" applyProtection="1"/>
    <xf numFmtId="41" fontId="171" fillId="18" borderId="0" xfId="61" applyNumberFormat="1" applyFont="1" applyFill="1" applyBorder="1"/>
    <xf numFmtId="41" fontId="171" fillId="18" borderId="0" xfId="0" applyNumberFormat="1" applyFont="1" applyFill="1" applyBorder="1"/>
    <xf numFmtId="41" fontId="171" fillId="18" borderId="0" xfId="60" applyNumberFormat="1" applyFont="1" applyFill="1" applyBorder="1"/>
    <xf numFmtId="7" fontId="171" fillId="0" borderId="28" xfId="61" applyNumberFormat="1" applyFont="1" applyFill="1" applyBorder="1" applyAlignment="1" applyProtection="1">
      <alignment horizontal="right"/>
    </xf>
    <xf numFmtId="7" fontId="171" fillId="0" borderId="0" xfId="60" applyNumberFormat="1" applyFont="1" applyFill="1" applyBorder="1" applyProtection="1"/>
    <xf numFmtId="7" fontId="171" fillId="0" borderId="0" xfId="60" applyNumberFormat="1" applyFont="1" applyFill="1" applyBorder="1" applyAlignment="1" applyProtection="1">
      <alignment horizontal="right"/>
    </xf>
    <xf numFmtId="37" fontId="1" fillId="0" borderId="0" xfId="60" applyFont="1" applyFill="1" applyBorder="1" applyProtection="1"/>
    <xf numFmtId="186" fontId="171" fillId="0" borderId="0" xfId="0" applyNumberFormat="1" applyFont="1" applyFill="1" applyBorder="1"/>
    <xf numFmtId="186" fontId="171" fillId="0" borderId="0" xfId="0" applyNumberFormat="1" applyFont="1" applyFill="1"/>
    <xf numFmtId="186" fontId="171" fillId="0" borderId="18" xfId="0" applyNumberFormat="1" applyFont="1" applyFill="1" applyBorder="1"/>
    <xf numFmtId="186" fontId="175" fillId="24" borderId="6" xfId="0" applyNumberFormat="1" applyFont="1" applyFill="1" applyBorder="1"/>
    <xf numFmtId="169" fontId="171" fillId="0" borderId="0" xfId="61" applyNumberFormat="1" applyFont="1" applyBorder="1"/>
    <xf numFmtId="169" fontId="171" fillId="0" borderId="0" xfId="123" applyFont="1" applyFill="1" applyBorder="1"/>
    <xf numFmtId="169" fontId="45" fillId="0" borderId="18" xfId="123" quotePrefix="1" applyNumberFormat="1" applyFont="1" applyFill="1" applyBorder="1" applyAlignment="1" applyProtection="1">
      <alignment horizontal="right"/>
    </xf>
    <xf numFmtId="41" fontId="176" fillId="18" borderId="19" xfId="60" quotePrefix="1" applyNumberFormat="1" applyFont="1" applyFill="1" applyBorder="1" applyAlignment="1" applyProtection="1">
      <alignment horizontal="right"/>
    </xf>
    <xf numFmtId="41" fontId="171" fillId="18" borderId="0" xfId="60" quotePrefix="1" applyNumberFormat="1" applyFont="1" applyFill="1" applyBorder="1" applyAlignment="1" applyProtection="1">
      <alignment horizontal="right"/>
    </xf>
    <xf numFmtId="37" fontId="171" fillId="0" borderId="0" xfId="0" applyFont="1" applyFill="1"/>
    <xf numFmtId="41" fontId="9" fillId="35" borderId="0" xfId="0" applyNumberFormat="1" applyFont="1" applyFill="1" applyBorder="1" applyAlignment="1" applyProtection="1">
      <alignment horizontal="right"/>
    </xf>
    <xf numFmtId="41" fontId="9" fillId="35" borderId="27" xfId="0" applyNumberFormat="1" applyFont="1" applyFill="1" applyBorder="1" applyAlignment="1" applyProtection="1">
      <alignment horizontal="right"/>
    </xf>
    <xf numFmtId="41" fontId="9" fillId="35" borderId="19" xfId="0" applyNumberFormat="1" applyFont="1" applyFill="1" applyBorder="1" applyAlignment="1" applyProtection="1">
      <alignment horizontal="right"/>
    </xf>
    <xf numFmtId="41" fontId="5" fillId="35" borderId="0" xfId="0" applyNumberFormat="1" applyFont="1" applyFill="1" applyBorder="1" applyProtection="1"/>
    <xf numFmtId="41" fontId="5" fillId="35" borderId="27" xfId="0" applyNumberFormat="1" applyFont="1" applyFill="1" applyBorder="1" applyProtection="1"/>
    <xf numFmtId="41" fontId="5" fillId="35" borderId="19" xfId="0" applyNumberFormat="1" applyFont="1" applyFill="1" applyBorder="1" applyProtection="1"/>
    <xf numFmtId="5" fontId="5" fillId="35" borderId="0" xfId="61" applyNumberFormat="1" applyFont="1" applyFill="1" applyBorder="1" applyProtection="1"/>
    <xf numFmtId="5" fontId="5" fillId="35" borderId="27" xfId="61" applyNumberFormat="1" applyFont="1" applyFill="1" applyBorder="1" applyProtection="1"/>
    <xf numFmtId="5" fontId="1" fillId="35" borderId="19" xfId="61" applyFont="1" applyFill="1" applyBorder="1" applyProtection="1"/>
    <xf numFmtId="5" fontId="5" fillId="35" borderId="19" xfId="61" applyFont="1" applyFill="1" applyBorder="1" applyProtection="1"/>
    <xf numFmtId="41" fontId="5" fillId="35" borderId="0" xfId="60" applyNumberFormat="1" applyFont="1" applyFill="1" applyBorder="1" applyProtection="1"/>
    <xf numFmtId="41" fontId="5" fillId="35" borderId="27" xfId="60" applyNumberFormat="1" applyFont="1" applyFill="1" applyBorder="1" applyProtection="1"/>
    <xf numFmtId="41" fontId="1" fillId="35" borderId="19" xfId="60" applyNumberFormat="1" applyFont="1" applyFill="1" applyBorder="1" applyProtection="1"/>
    <xf numFmtId="41" fontId="5" fillId="35" borderId="19" xfId="60" applyNumberFormat="1" applyFont="1" applyFill="1" applyBorder="1" applyProtection="1"/>
    <xf numFmtId="41" fontId="171" fillId="35" borderId="0" xfId="60" applyNumberFormat="1" applyFont="1" applyFill="1" applyBorder="1" applyProtection="1"/>
    <xf numFmtId="41" fontId="171" fillId="35" borderId="0" xfId="60" applyNumberFormat="1" applyFont="1" applyFill="1" applyBorder="1" applyProtection="1">
      <protection locked="0"/>
    </xf>
    <xf numFmtId="41" fontId="5" fillId="35" borderId="0" xfId="60" applyNumberFormat="1" applyFont="1" applyFill="1" applyBorder="1" applyProtection="1">
      <protection locked="0"/>
    </xf>
    <xf numFmtId="41" fontId="5" fillId="35" borderId="27" xfId="60" applyNumberFormat="1" applyFont="1" applyFill="1" applyBorder="1" applyProtection="1">
      <protection locked="0"/>
    </xf>
    <xf numFmtId="41" fontId="1" fillId="35" borderId="19" xfId="60" applyNumberFormat="1" applyFont="1" applyFill="1" applyBorder="1" applyProtection="1">
      <protection locked="0"/>
    </xf>
    <xf numFmtId="41" fontId="5" fillId="35" borderId="19" xfId="60" applyNumberFormat="1" applyFont="1" applyFill="1" applyBorder="1" applyProtection="1">
      <protection locked="0"/>
    </xf>
    <xf numFmtId="41" fontId="8" fillId="35" borderId="0" xfId="60" applyNumberFormat="1" applyFont="1" applyFill="1" applyBorder="1" applyProtection="1">
      <protection locked="0"/>
    </xf>
    <xf numFmtId="41" fontId="8" fillId="35" borderId="27" xfId="60" applyNumberFormat="1" applyFont="1" applyFill="1" applyBorder="1" applyProtection="1">
      <protection locked="0"/>
    </xf>
    <xf numFmtId="41" fontId="8" fillId="35" borderId="19" xfId="60" applyNumberFormat="1" applyFont="1" applyFill="1" applyBorder="1" applyProtection="1">
      <protection locked="0"/>
    </xf>
    <xf numFmtId="41" fontId="1" fillId="35" borderId="19" xfId="60" quotePrefix="1" applyNumberFormat="1" applyFont="1" applyFill="1" applyBorder="1" applyAlignment="1" applyProtection="1">
      <alignment horizontal="right"/>
    </xf>
    <xf numFmtId="41" fontId="5" fillId="35" borderId="19" xfId="60" quotePrefix="1" applyNumberFormat="1" applyFont="1" applyFill="1" applyBorder="1" applyAlignment="1" applyProtection="1">
      <alignment horizontal="right"/>
    </xf>
    <xf numFmtId="41" fontId="5" fillId="35" borderId="0" xfId="60" quotePrefix="1" applyNumberFormat="1" applyFont="1" applyFill="1" applyBorder="1" applyAlignment="1" applyProtection="1">
      <alignment horizontal="right"/>
    </xf>
    <xf numFmtId="41" fontId="5" fillId="35" borderId="27" xfId="60" quotePrefix="1" applyNumberFormat="1" applyFont="1" applyFill="1" applyBorder="1" applyAlignment="1" applyProtection="1">
      <alignment horizontal="right"/>
    </xf>
    <xf numFmtId="41" fontId="141" fillId="35" borderId="0" xfId="60" applyNumberFormat="1" applyFont="1" applyFill="1" applyBorder="1" applyProtection="1">
      <protection locked="0"/>
    </xf>
    <xf numFmtId="41" fontId="141" fillId="35" borderId="19" xfId="60" applyNumberFormat="1" applyFont="1" applyFill="1" applyBorder="1" applyProtection="1">
      <protection locked="0"/>
    </xf>
    <xf numFmtId="41" fontId="174" fillId="35" borderId="19" xfId="60" applyNumberFormat="1" applyFont="1" applyFill="1" applyBorder="1" applyProtection="1">
      <protection locked="0"/>
    </xf>
    <xf numFmtId="41" fontId="39" fillId="35" borderId="0" xfId="60" applyNumberFormat="1" applyFont="1" applyFill="1" applyBorder="1" applyProtection="1">
      <protection locked="0"/>
    </xf>
    <xf numFmtId="41" fontId="39" fillId="35" borderId="27" xfId="60" applyNumberFormat="1" applyFont="1" applyFill="1" applyBorder="1" applyProtection="1">
      <protection locked="0"/>
    </xf>
    <xf numFmtId="41" fontId="15" fillId="35" borderId="19" xfId="60" applyNumberFormat="1" applyFont="1" applyFill="1" applyBorder="1" applyProtection="1">
      <protection locked="0"/>
    </xf>
    <xf numFmtId="41" fontId="39" fillId="35" borderId="19" xfId="60" applyNumberFormat="1" applyFont="1" applyFill="1" applyBorder="1" applyProtection="1">
      <protection locked="0"/>
    </xf>
    <xf numFmtId="5" fontId="9" fillId="35" borderId="0" xfId="61" applyNumberFormat="1" applyFont="1" applyFill="1" applyBorder="1" applyProtection="1"/>
    <xf numFmtId="5" fontId="9" fillId="35" borderId="27" xfId="61" applyNumberFormat="1" applyFont="1" applyFill="1" applyBorder="1" applyProtection="1"/>
    <xf numFmtId="5" fontId="9" fillId="35" borderId="19" xfId="61" applyNumberFormat="1" applyFont="1" applyFill="1" applyBorder="1" applyProtection="1"/>
    <xf numFmtId="5" fontId="5" fillId="35" borderId="0" xfId="0" applyNumberFormat="1" applyFont="1" applyFill="1" applyBorder="1" applyProtection="1"/>
    <xf numFmtId="5" fontId="5" fillId="35" borderId="27" xfId="0" applyNumberFormat="1" applyFont="1" applyFill="1" applyBorder="1" applyProtection="1"/>
    <xf numFmtId="5" fontId="5" fillId="35" borderId="19" xfId="0" applyNumberFormat="1" applyFont="1" applyFill="1" applyBorder="1" applyProtection="1"/>
    <xf numFmtId="41" fontId="171" fillId="35" borderId="0" xfId="61" applyNumberFormat="1" applyFont="1" applyFill="1" applyBorder="1" applyProtection="1"/>
    <xf numFmtId="41" fontId="5" fillId="35" borderId="0" xfId="61" applyNumberFormat="1" applyFont="1" applyFill="1" applyBorder="1" applyProtection="1"/>
    <xf numFmtId="41" fontId="1" fillId="35" borderId="19" xfId="61" applyNumberFormat="1" applyFont="1" applyFill="1" applyBorder="1" applyProtection="1"/>
    <xf numFmtId="41" fontId="5" fillId="35" borderId="19" xfId="61" applyNumberFormat="1" applyFont="1" applyFill="1" applyBorder="1" applyProtection="1"/>
    <xf numFmtId="41" fontId="1" fillId="35" borderId="27" xfId="60" applyNumberFormat="1" applyFont="1" applyFill="1" applyBorder="1" applyProtection="1">
      <protection locked="0"/>
    </xf>
    <xf numFmtId="41" fontId="1" fillId="35" borderId="19" xfId="0" applyNumberFormat="1" applyFont="1" applyFill="1" applyBorder="1" applyProtection="1"/>
    <xf numFmtId="41" fontId="8" fillId="35" borderId="0" xfId="60" quotePrefix="1" applyNumberFormat="1" applyFont="1" applyFill="1" applyBorder="1" applyAlignment="1" applyProtection="1">
      <alignment horizontal="right"/>
    </xf>
    <xf numFmtId="41" fontId="139" fillId="35" borderId="19" xfId="60" quotePrefix="1" applyNumberFormat="1" applyFont="1" applyFill="1" applyBorder="1" applyAlignment="1" applyProtection="1">
      <alignment horizontal="right"/>
    </xf>
    <xf numFmtId="41" fontId="73" fillId="35" borderId="0" xfId="60" applyNumberFormat="1" applyFont="1" applyFill="1" applyBorder="1" applyProtection="1">
      <protection locked="0"/>
    </xf>
    <xf numFmtId="41" fontId="73" fillId="35" borderId="27" xfId="60" applyNumberFormat="1" applyFont="1" applyFill="1" applyBorder="1" applyProtection="1">
      <protection locked="0"/>
    </xf>
    <xf numFmtId="41" fontId="76" fillId="35" borderId="19" xfId="60" applyNumberFormat="1" applyFont="1" applyFill="1" applyBorder="1" applyProtection="1">
      <protection locked="0"/>
    </xf>
    <xf numFmtId="41" fontId="5" fillId="35" borderId="0" xfId="0" applyNumberFormat="1" applyFont="1" applyFill="1" applyBorder="1" applyAlignment="1" applyProtection="1">
      <alignment horizontal="right"/>
    </xf>
    <xf numFmtId="41" fontId="5" fillId="35" borderId="27" xfId="0" applyNumberFormat="1" applyFont="1" applyFill="1" applyBorder="1" applyAlignment="1" applyProtection="1">
      <alignment horizontal="right"/>
    </xf>
    <xf numFmtId="41" fontId="1" fillId="35" borderId="19" xfId="0" applyNumberFormat="1" applyFont="1" applyFill="1" applyBorder="1" applyAlignment="1" applyProtection="1">
      <alignment horizontal="right"/>
    </xf>
    <xf numFmtId="41" fontId="5" fillId="35" borderId="19" xfId="0" applyNumberFormat="1" applyFont="1" applyFill="1" applyBorder="1" applyAlignment="1" applyProtection="1">
      <alignment horizontal="right"/>
    </xf>
    <xf numFmtId="5" fontId="15" fillId="35" borderId="0" xfId="60" applyNumberFormat="1" applyFont="1" applyFill="1" applyBorder="1" applyProtection="1"/>
    <xf numFmtId="5" fontId="15" fillId="35" borderId="27" xfId="60" applyNumberFormat="1" applyFont="1" applyFill="1" applyBorder="1" applyProtection="1"/>
    <xf numFmtId="41" fontId="15" fillId="35" borderId="19" xfId="60" applyNumberFormat="1" applyFont="1" applyFill="1" applyBorder="1" applyProtection="1"/>
    <xf numFmtId="5" fontId="9" fillId="35" borderId="1" xfId="61" applyNumberFormat="1" applyFont="1" applyFill="1" applyBorder="1" applyProtection="1"/>
    <xf numFmtId="5" fontId="9" fillId="35" borderId="30" xfId="61" applyNumberFormat="1" applyFont="1" applyFill="1" applyBorder="1" applyProtection="1"/>
    <xf numFmtId="5" fontId="9" fillId="35" borderId="23" xfId="61" applyNumberFormat="1" applyFont="1" applyFill="1" applyBorder="1" applyProtection="1"/>
    <xf numFmtId="5" fontId="5" fillId="35" borderId="0" xfId="61" applyFont="1" applyFill="1" applyBorder="1" applyProtection="1"/>
    <xf numFmtId="41" fontId="1" fillId="35" borderId="0" xfId="60" applyNumberFormat="1" applyFont="1" applyFill="1" applyBorder="1" applyAlignment="1" applyProtection="1">
      <alignment horizontal="right"/>
    </xf>
    <xf numFmtId="41" fontId="5" fillId="35" borderId="0" xfId="60" applyNumberFormat="1" applyFont="1" applyFill="1" applyBorder="1" applyAlignment="1" applyProtection="1">
      <alignment horizontal="right"/>
    </xf>
    <xf numFmtId="41" fontId="15" fillId="35" borderId="0" xfId="60" applyNumberFormat="1" applyFont="1" applyFill="1" applyBorder="1" applyProtection="1"/>
    <xf numFmtId="41" fontId="15" fillId="35" borderId="19" xfId="60" applyNumberFormat="1" applyFont="1" applyFill="1" applyBorder="1" applyAlignment="1" applyProtection="1">
      <alignment horizontal="right"/>
    </xf>
    <xf numFmtId="41" fontId="9" fillId="35" borderId="0" xfId="61" applyNumberFormat="1" applyFont="1" applyFill="1" applyBorder="1" applyProtection="1"/>
    <xf numFmtId="41" fontId="9" fillId="35" borderId="19" xfId="61" applyNumberFormat="1" applyFont="1" applyFill="1" applyBorder="1" applyProtection="1"/>
    <xf numFmtId="41" fontId="5" fillId="35" borderId="0" xfId="123" applyNumberFormat="1" applyFont="1" applyFill="1" applyBorder="1" applyProtection="1"/>
    <xf numFmtId="5" fontId="9" fillId="35" borderId="0" xfId="61" applyFont="1" applyFill="1" applyBorder="1" applyProtection="1"/>
    <xf numFmtId="5" fontId="9" fillId="35" borderId="19" xfId="61" applyFont="1" applyFill="1" applyBorder="1" applyProtection="1"/>
    <xf numFmtId="41" fontId="5" fillId="35" borderId="0" xfId="60" applyNumberFormat="1" applyFont="1" applyFill="1" applyBorder="1"/>
    <xf numFmtId="41" fontId="5" fillId="35" borderId="19" xfId="60" applyNumberFormat="1" applyFont="1" applyFill="1" applyBorder="1"/>
    <xf numFmtId="5" fontId="9" fillId="35" borderId="1" xfId="61" applyFont="1" applyFill="1" applyBorder="1" applyProtection="1"/>
    <xf numFmtId="5" fontId="9" fillId="35" borderId="23" xfId="61" applyFont="1" applyFill="1" applyBorder="1" applyProtection="1"/>
    <xf numFmtId="41" fontId="177" fillId="35" borderId="0" xfId="60" applyNumberFormat="1" applyFont="1" applyFill="1" applyBorder="1" applyProtection="1">
      <protection locked="0"/>
    </xf>
    <xf numFmtId="41" fontId="171" fillId="35" borderId="0" xfId="60" applyNumberFormat="1" applyFont="1" applyFill="1" applyBorder="1" applyAlignment="1" applyProtection="1">
      <alignment horizontal="right"/>
    </xf>
    <xf numFmtId="41" fontId="178" fillId="35" borderId="0" xfId="60" applyNumberFormat="1" applyFont="1" applyFill="1" applyBorder="1" applyProtection="1"/>
    <xf numFmtId="4" fontId="5" fillId="0" borderId="0" xfId="60" quotePrefix="1" applyNumberFormat="1" applyFont="1" applyFill="1" applyBorder="1" applyAlignment="1" applyProtection="1"/>
    <xf numFmtId="0" fontId="1" fillId="18" borderId="19" xfId="0" applyNumberFormat="1" applyFont="1" applyFill="1" applyBorder="1" applyAlignment="1" applyProtection="1">
      <alignment horizontal="left" indent="1"/>
    </xf>
    <xf numFmtId="41" fontId="179" fillId="35" borderId="0" xfId="60" applyNumberFormat="1" applyFont="1" applyFill="1" applyBorder="1" applyProtection="1"/>
    <xf numFmtId="41" fontId="1" fillId="0" borderId="27" xfId="60" applyNumberFormat="1" applyFont="1" applyFill="1" applyBorder="1"/>
    <xf numFmtId="41" fontId="178" fillId="0" borderId="0" xfId="0" applyNumberFormat="1" applyFont="1" applyFill="1" applyBorder="1" applyProtection="1"/>
    <xf numFmtId="5" fontId="170" fillId="0" borderId="0" xfId="0" applyNumberFormat="1" applyFont="1" applyBorder="1"/>
    <xf numFmtId="169" fontId="169" fillId="0" borderId="0" xfId="123" applyFont="1" applyBorder="1"/>
    <xf numFmtId="37" fontId="170" fillId="0" borderId="0" xfId="0" applyNumberFormat="1" applyFont="1" applyBorder="1"/>
    <xf numFmtId="169" fontId="169" fillId="0" borderId="0" xfId="123" applyFont="1" applyFill="1" applyBorder="1"/>
    <xf numFmtId="169" fontId="172" fillId="0" borderId="0" xfId="123" quotePrefix="1" applyNumberFormat="1" applyFont="1" applyFill="1" applyBorder="1" applyAlignment="1" applyProtection="1"/>
    <xf numFmtId="5" fontId="9" fillId="0" borderId="0" xfId="61" quotePrefix="1" applyNumberFormat="1" applyFont="1" applyFill="1" applyBorder="1" applyAlignment="1" applyProtection="1"/>
    <xf numFmtId="5" fontId="9" fillId="0" borderId="27" xfId="61" quotePrefix="1" applyNumberFormat="1" applyFont="1" applyFill="1" applyBorder="1" applyAlignment="1" applyProtection="1"/>
    <xf numFmtId="5" fontId="9" fillId="0" borderId="19" xfId="61" quotePrefix="1" applyNumberFormat="1" applyFont="1" applyFill="1" applyBorder="1" applyAlignment="1" applyProtection="1"/>
    <xf numFmtId="37" fontId="179" fillId="0" borderId="0" xfId="0" applyFont="1" applyBorder="1"/>
    <xf numFmtId="5" fontId="180" fillId="24" borderId="10" xfId="0" applyNumberFormat="1" applyFont="1" applyFill="1" applyBorder="1"/>
    <xf numFmtId="5" fontId="180" fillId="24" borderId="6" xfId="0" applyNumberFormat="1" applyFont="1" applyFill="1" applyBorder="1"/>
    <xf numFmtId="169" fontId="5" fillId="0" borderId="0" xfId="123" applyFont="1" applyFill="1" applyBorder="1" applyAlignment="1">
      <alignment horizontal="right"/>
    </xf>
    <xf numFmtId="169" fontId="179" fillId="0" borderId="0" xfId="123" applyFont="1" applyFill="1" applyBorder="1"/>
    <xf numFmtId="169" fontId="170" fillId="0" borderId="0" xfId="123" applyFont="1" applyBorder="1"/>
    <xf numFmtId="41" fontId="171" fillId="18" borderId="0" xfId="0" applyNumberFormat="1" applyFont="1" applyFill="1" applyBorder="1" applyProtection="1"/>
    <xf numFmtId="37" fontId="25" fillId="0" borderId="0" xfId="0" applyFont="1" applyFill="1" applyBorder="1"/>
    <xf numFmtId="186" fontId="25" fillId="0" borderId="0" xfId="0" applyNumberFormat="1" applyFont="1" applyFill="1" applyBorder="1"/>
    <xf numFmtId="37" fontId="25" fillId="0" borderId="0" xfId="0" quotePrefix="1" applyFont="1" applyFill="1" applyAlignment="1">
      <alignment horizontal="left"/>
    </xf>
    <xf numFmtId="0" fontId="173" fillId="17" borderId="6" xfId="0" quotePrefix="1" applyNumberFormat="1" applyFont="1" applyFill="1" applyBorder="1" applyAlignment="1" applyProtection="1">
      <alignment horizontal="right"/>
    </xf>
    <xf numFmtId="5" fontId="179" fillId="0" borderId="0" xfId="61" applyFont="1" applyBorder="1"/>
    <xf numFmtId="37" fontId="170" fillId="0" borderId="0" xfId="0" applyFont="1" applyFill="1" applyBorder="1"/>
    <xf numFmtId="37" fontId="170" fillId="0" borderId="0" xfId="60" quotePrefix="1" applyFont="1" applyFill="1" applyBorder="1" applyAlignment="1" applyProtection="1"/>
    <xf numFmtId="37" fontId="64" fillId="0" borderId="19" xfId="60" applyNumberFormat="1" applyFont="1" applyFill="1" applyBorder="1" applyProtection="1"/>
    <xf numFmtId="37" fontId="171" fillId="0" borderId="0" xfId="123" quotePrefix="1" applyNumberFormat="1" applyFont="1" applyFill="1" applyBorder="1" applyAlignment="1" applyProtection="1"/>
    <xf numFmtId="5" fontId="5" fillId="0" borderId="19" xfId="61" applyFont="1" applyFill="1" applyBorder="1"/>
    <xf numFmtId="5" fontId="131" fillId="0" borderId="0" xfId="61" applyFont="1" applyFill="1" applyBorder="1"/>
    <xf numFmtId="5" fontId="131" fillId="0" borderId="19" xfId="61" applyFont="1" applyFill="1" applyBorder="1"/>
    <xf numFmtId="37" fontId="9" fillId="36" borderId="20" xfId="0" applyFont="1" applyFill="1" applyBorder="1"/>
    <xf numFmtId="37" fontId="1" fillId="36" borderId="22" xfId="0" applyFont="1" applyFill="1" applyBorder="1"/>
    <xf numFmtId="37" fontId="171" fillId="0" borderId="27" xfId="0" applyFont="1" applyBorder="1"/>
    <xf numFmtId="5" fontId="171" fillId="0" borderId="27" xfId="0" applyNumberFormat="1" applyFont="1" applyBorder="1"/>
    <xf numFmtId="214" fontId="1" fillId="0" borderId="0" xfId="0" applyNumberFormat="1" applyFont="1"/>
    <xf numFmtId="173" fontId="1" fillId="0" borderId="0" xfId="0" applyNumberFormat="1" applyFont="1"/>
    <xf numFmtId="10" fontId="1" fillId="0" borderId="0" xfId="0" applyNumberFormat="1" applyFont="1"/>
    <xf numFmtId="10" fontId="171" fillId="0" borderId="0" xfId="0" applyNumberFormat="1" applyFont="1"/>
    <xf numFmtId="37" fontId="1" fillId="36" borderId="6" xfId="0" applyFont="1" applyFill="1" applyBorder="1"/>
    <xf numFmtId="169" fontId="171" fillId="0" borderId="0" xfId="0" applyNumberFormat="1" applyFont="1"/>
    <xf numFmtId="37" fontId="1" fillId="0" borderId="73" xfId="0" applyFont="1" applyBorder="1"/>
    <xf numFmtId="37" fontId="1" fillId="0" borderId="74" xfId="0" applyFont="1" applyBorder="1"/>
    <xf numFmtId="43" fontId="5" fillId="0" borderId="0" xfId="0" applyNumberFormat="1" applyFont="1" applyFill="1" applyBorder="1"/>
    <xf numFmtId="43" fontId="9" fillId="0" borderId="0" xfId="0" applyNumberFormat="1" applyFont="1" applyFill="1" applyBorder="1"/>
    <xf numFmtId="169" fontId="171" fillId="0" borderId="27" xfId="0" applyNumberFormat="1" applyFont="1" applyBorder="1"/>
    <xf numFmtId="169" fontId="171" fillId="0" borderId="74" xfId="0" applyNumberFormat="1" applyFont="1" applyBorder="1"/>
    <xf numFmtId="215" fontId="1" fillId="0" borderId="27" xfId="0" applyNumberFormat="1" applyFont="1" applyBorder="1"/>
    <xf numFmtId="215" fontId="15" fillId="0" borderId="27" xfId="0" applyNumberFormat="1" applyFont="1" applyBorder="1" applyAlignment="1">
      <alignment horizontal="right"/>
    </xf>
    <xf numFmtId="5" fontId="9" fillId="36" borderId="22" xfId="0" applyNumberFormat="1" applyFont="1" applyFill="1" applyBorder="1"/>
    <xf numFmtId="37" fontId="171" fillId="0" borderId="0" xfId="0" applyFont="1" applyFill="1" applyBorder="1"/>
    <xf numFmtId="169" fontId="171" fillId="0" borderId="0" xfId="0" applyNumberFormat="1" applyFont="1" applyFill="1" applyBorder="1"/>
    <xf numFmtId="169" fontId="1" fillId="0" borderId="0" xfId="0" applyNumberFormat="1" applyFont="1" applyFill="1" applyBorder="1"/>
    <xf numFmtId="170" fontId="1" fillId="0" borderId="0" xfId="0" applyNumberFormat="1" applyFont="1" applyFill="1" applyBorder="1"/>
    <xf numFmtId="37" fontId="1" fillId="0" borderId="0" xfId="0" applyNumberFormat="1" applyFont="1" applyFill="1" applyBorder="1"/>
    <xf numFmtId="172" fontId="1" fillId="0" borderId="0" xfId="0" applyNumberFormat="1" applyFont="1" applyFill="1"/>
    <xf numFmtId="169" fontId="171" fillId="0" borderId="0" xfId="0" applyNumberFormat="1" applyFont="1" applyFill="1"/>
    <xf numFmtId="37" fontId="1" fillId="0" borderId="0" xfId="0" applyFont="1" applyFill="1" applyAlignment="1">
      <alignment horizontal="center" wrapText="1"/>
    </xf>
    <xf numFmtId="169" fontId="171" fillId="0" borderId="0" xfId="0" applyNumberFormat="1" applyFont="1" applyFill="1" applyAlignment="1">
      <alignment horizontal="center"/>
    </xf>
    <xf numFmtId="37" fontId="38" fillId="0" borderId="75" xfId="0" applyFont="1" applyBorder="1"/>
    <xf numFmtId="37" fontId="1" fillId="0" borderId="76" xfId="0" applyFont="1" applyBorder="1"/>
    <xf numFmtId="37" fontId="38" fillId="0" borderId="76" xfId="0" applyFont="1" applyBorder="1"/>
    <xf numFmtId="37" fontId="1" fillId="0" borderId="77" xfId="0" applyFont="1" applyBorder="1"/>
    <xf numFmtId="5" fontId="171" fillId="0" borderId="0" xfId="0" applyNumberFormat="1" applyFont="1" applyBorder="1"/>
    <xf numFmtId="9" fontId="171" fillId="0" borderId="27" xfId="125" applyFont="1" applyBorder="1"/>
    <xf numFmtId="169" fontId="171" fillId="0" borderId="27" xfId="125" applyNumberFormat="1" applyFont="1" applyBorder="1"/>
    <xf numFmtId="169" fontId="171" fillId="0" borderId="0" xfId="125" applyNumberFormat="1" applyFont="1" applyBorder="1"/>
    <xf numFmtId="37" fontId="25" fillId="0" borderId="0" xfId="0" applyFont="1" applyAlignment="1">
      <alignment horizontal="left" indent="1"/>
    </xf>
    <xf numFmtId="169" fontId="25" fillId="0" borderId="0" xfId="125" applyNumberFormat="1" applyFont="1"/>
    <xf numFmtId="37" fontId="1" fillId="36" borderId="20" xfId="0" applyFont="1" applyFill="1" applyBorder="1"/>
    <xf numFmtId="37" fontId="9" fillId="36" borderId="6" xfId="0" applyFont="1" applyFill="1" applyBorder="1" applyAlignment="1">
      <alignment horizontal="center" wrapText="1"/>
    </xf>
    <xf numFmtId="37" fontId="9" fillId="36" borderId="22" xfId="0" applyFont="1" applyFill="1" applyBorder="1" applyAlignment="1">
      <alignment horizontal="center" wrapText="1"/>
    </xf>
    <xf numFmtId="37" fontId="1" fillId="0" borderId="0" xfId="0" applyNumberFormat="1" applyFont="1" applyBorder="1" applyAlignment="1">
      <alignment horizontal="center"/>
    </xf>
    <xf numFmtId="9" fontId="1" fillId="0" borderId="0" xfId="0" applyNumberFormat="1" applyFont="1" applyBorder="1" applyAlignment="1">
      <alignment horizontal="center"/>
    </xf>
    <xf numFmtId="37" fontId="1" fillId="0" borderId="0" xfId="0" applyFont="1" applyBorder="1" applyAlignment="1">
      <alignment horizontal="center"/>
    </xf>
    <xf numFmtId="170" fontId="1" fillId="0" borderId="0" xfId="0" applyNumberFormat="1" applyFont="1" applyBorder="1" applyAlignment="1">
      <alignment horizontal="center"/>
    </xf>
    <xf numFmtId="169" fontId="1" fillId="0" borderId="27" xfId="0" applyNumberFormat="1" applyFont="1" applyBorder="1" applyAlignment="1">
      <alignment horizontal="center"/>
    </xf>
    <xf numFmtId="168" fontId="9" fillId="0" borderId="26" xfId="0" applyNumberFormat="1" applyFont="1" applyBorder="1"/>
    <xf numFmtId="37" fontId="1" fillId="0" borderId="1" xfId="0" applyNumberFormat="1" applyFont="1" applyBorder="1" applyAlignment="1">
      <alignment horizontal="center"/>
    </xf>
    <xf numFmtId="9" fontId="1" fillId="0" borderId="1" xfId="0" applyNumberFormat="1" applyFont="1" applyBorder="1" applyAlignment="1">
      <alignment horizontal="center"/>
    </xf>
    <xf numFmtId="37" fontId="1" fillId="0" borderId="1" xfId="0" applyFont="1" applyBorder="1" applyAlignment="1">
      <alignment horizontal="center"/>
    </xf>
    <xf numFmtId="170" fontId="1" fillId="0" borderId="1" xfId="0" applyNumberFormat="1" applyFont="1" applyBorder="1" applyAlignment="1">
      <alignment horizontal="center"/>
    </xf>
    <xf numFmtId="169" fontId="1" fillId="0" borderId="30" xfId="0" applyNumberFormat="1" applyFont="1" applyBorder="1" applyAlignment="1">
      <alignment horizontal="center"/>
    </xf>
    <xf numFmtId="37" fontId="9" fillId="0" borderId="76" xfId="0" applyFont="1" applyBorder="1"/>
    <xf numFmtId="37" fontId="175" fillId="0" borderId="77" xfId="0" applyFont="1" applyBorder="1" applyAlignment="1">
      <alignment horizontal="right"/>
    </xf>
    <xf numFmtId="10" fontId="171" fillId="0" borderId="27" xfId="123" applyNumberFormat="1" applyFont="1" applyBorder="1"/>
    <xf numFmtId="10" fontId="171" fillId="0" borderId="30" xfId="123" applyNumberFormat="1" applyFont="1" applyBorder="1"/>
    <xf numFmtId="37" fontId="1" fillId="0" borderId="18" xfId="0" applyFont="1" applyFill="1" applyBorder="1"/>
    <xf numFmtId="37" fontId="1" fillId="0" borderId="26" xfId="0" applyFont="1" applyFill="1" applyBorder="1"/>
    <xf numFmtId="37" fontId="1" fillId="0" borderId="29" xfId="0" applyFont="1" applyFill="1" applyBorder="1"/>
    <xf numFmtId="37" fontId="1" fillId="0" borderId="27" xfId="0" applyFont="1" applyFill="1" applyBorder="1" applyAlignment="1">
      <alignment horizontal="right"/>
    </xf>
    <xf numFmtId="37" fontId="1" fillId="0" borderId="30" xfId="0" applyFont="1" applyFill="1" applyBorder="1" applyAlignment="1">
      <alignment horizontal="right"/>
    </xf>
    <xf numFmtId="37" fontId="175" fillId="0" borderId="18" xfId="0" applyFont="1" applyBorder="1" applyAlignment="1">
      <alignment horizontal="left"/>
    </xf>
    <xf numFmtId="10" fontId="171" fillId="0" borderId="18" xfId="123" applyNumberFormat="1" applyFont="1" applyBorder="1" applyAlignment="1">
      <alignment horizontal="left"/>
    </xf>
    <xf numFmtId="10" fontId="171" fillId="0" borderId="26" xfId="123" applyNumberFormat="1" applyFont="1" applyBorder="1" applyAlignment="1">
      <alignment horizontal="left"/>
    </xf>
    <xf numFmtId="10" fontId="171" fillId="0" borderId="0" xfId="125" applyNumberFormat="1" applyFont="1" applyBorder="1"/>
    <xf numFmtId="37" fontId="26" fillId="0" borderId="18" xfId="60" applyNumberFormat="1" applyFont="1" applyFill="1" applyBorder="1" applyProtection="1"/>
    <xf numFmtId="170" fontId="147" fillId="18" borderId="23" xfId="0" applyNumberFormat="1" applyFont="1" applyFill="1" applyBorder="1" applyAlignment="1" applyProtection="1">
      <alignment horizontal="left"/>
    </xf>
    <xf numFmtId="37" fontId="45" fillId="18" borderId="23" xfId="0" quotePrefix="1" applyNumberFormat="1" applyFont="1" applyFill="1" applyBorder="1" applyAlignment="1">
      <alignment horizontal="right"/>
    </xf>
    <xf numFmtId="170" fontId="147" fillId="0" borderId="23" xfId="123" quotePrefix="1" applyNumberFormat="1" applyFont="1" applyFill="1" applyBorder="1" applyAlignment="1" applyProtection="1">
      <alignment horizontal="right"/>
    </xf>
    <xf numFmtId="170" fontId="5" fillId="0" borderId="23" xfId="123" applyNumberFormat="1" applyFont="1" applyFill="1" applyBorder="1" applyAlignment="1" applyProtection="1">
      <alignment horizontal="right"/>
    </xf>
    <xf numFmtId="5" fontId="171" fillId="0" borderId="0" xfId="0" applyNumberFormat="1" applyFont="1"/>
    <xf numFmtId="37" fontId="171" fillId="0" borderId="31" xfId="0" applyFont="1" applyBorder="1"/>
    <xf numFmtId="169" fontId="171" fillId="0" borderId="27" xfId="123" applyFont="1" applyBorder="1"/>
    <xf numFmtId="37" fontId="1" fillId="0" borderId="78" xfId="0" applyFont="1" applyBorder="1" applyAlignment="1">
      <alignment horizontal="centerContinuous"/>
    </xf>
    <xf numFmtId="37" fontId="1" fillId="0" borderId="79" xfId="0" applyFont="1" applyBorder="1" applyAlignment="1">
      <alignment horizontal="centerContinuous"/>
    </xf>
    <xf numFmtId="170" fontId="1" fillId="0" borderId="0" xfId="0" applyNumberFormat="1" applyFont="1" applyBorder="1"/>
    <xf numFmtId="170" fontId="171" fillId="0" borderId="0" xfId="0" applyNumberFormat="1" applyFont="1" applyBorder="1"/>
    <xf numFmtId="7" fontId="1" fillId="0" borderId="0" xfId="123" applyNumberFormat="1" applyFont="1"/>
    <xf numFmtId="7" fontId="171" fillId="0" borderId="0" xfId="123" applyNumberFormat="1" applyFont="1"/>
    <xf numFmtId="7" fontId="1" fillId="0" borderId="0" xfId="123" applyNumberFormat="1" applyFont="1" applyAlignment="1">
      <alignment horizontal="right"/>
    </xf>
    <xf numFmtId="169" fontId="171" fillId="0" borderId="0" xfId="123" applyFont="1"/>
    <xf numFmtId="169" fontId="1" fillId="0" borderId="29" xfId="123" applyFont="1" applyBorder="1"/>
    <xf numFmtId="169" fontId="1" fillId="0" borderId="76" xfId="123" applyFont="1" applyBorder="1"/>
    <xf numFmtId="169" fontId="1" fillId="0" borderId="31" xfId="123" applyFont="1" applyBorder="1"/>
    <xf numFmtId="169" fontId="171" fillId="0" borderId="0" xfId="123" applyFont="1" applyBorder="1"/>
    <xf numFmtId="170" fontId="171" fillId="0" borderId="27" xfId="0" applyNumberFormat="1" applyFont="1" applyBorder="1"/>
    <xf numFmtId="169" fontId="181" fillId="0" borderId="75" xfId="123" applyFont="1" applyBorder="1"/>
    <xf numFmtId="170" fontId="171" fillId="0" borderId="27" xfId="0" applyNumberFormat="1" applyFont="1" applyFill="1" applyBorder="1"/>
    <xf numFmtId="169" fontId="1" fillId="0" borderId="18" xfId="123" applyNumberFormat="1" applyFont="1" applyBorder="1"/>
    <xf numFmtId="169" fontId="1" fillId="0" borderId="26" xfId="123" applyNumberFormat="1" applyFont="1" applyBorder="1"/>
    <xf numFmtId="5" fontId="173" fillId="0" borderId="0" xfId="60" quotePrefix="1" applyNumberFormat="1" applyFont="1" applyFill="1" applyBorder="1" applyAlignment="1" applyProtection="1">
      <alignment horizontal="right"/>
    </xf>
    <xf numFmtId="5" fontId="27" fillId="0" borderId="18" xfId="60" quotePrefix="1" applyNumberFormat="1" applyFont="1" applyFill="1" applyBorder="1" applyAlignment="1" applyProtection="1">
      <alignment horizontal="right"/>
    </xf>
    <xf numFmtId="41" fontId="161" fillId="0" borderId="0" xfId="0" applyNumberFormat="1" applyFont="1" applyFill="1" applyBorder="1" applyProtection="1"/>
    <xf numFmtId="186" fontId="76" fillId="0" borderId="0" xfId="0" applyNumberFormat="1" applyFont="1" applyFill="1"/>
    <xf numFmtId="186" fontId="179" fillId="0" borderId="0" xfId="0" applyNumberFormat="1" applyFont="1" applyFill="1" applyBorder="1"/>
    <xf numFmtId="186" fontId="182" fillId="0" borderId="0" xfId="0" applyNumberFormat="1" applyFont="1" applyFill="1"/>
    <xf numFmtId="186" fontId="179" fillId="0" borderId="0" xfId="0" applyNumberFormat="1" applyFont="1" applyFill="1"/>
    <xf numFmtId="5" fontId="171" fillId="0" borderId="0" xfId="61" applyFont="1" applyFill="1" applyBorder="1"/>
    <xf numFmtId="37" fontId="171" fillId="0" borderId="0" xfId="60" applyFont="1" applyFill="1" applyBorder="1"/>
    <xf numFmtId="5" fontId="170" fillId="0" borderId="0" xfId="61" applyFont="1" applyFill="1" applyBorder="1"/>
    <xf numFmtId="37" fontId="170" fillId="0" borderId="0" xfId="60" applyFont="1" applyFill="1" applyBorder="1"/>
    <xf numFmtId="169" fontId="170" fillId="0" borderId="0" xfId="123" applyNumberFormat="1" applyFont="1" applyFill="1" applyBorder="1"/>
    <xf numFmtId="5" fontId="170" fillId="0" borderId="0" xfId="61" applyFont="1" applyBorder="1"/>
    <xf numFmtId="37" fontId="170" fillId="0" borderId="0" xfId="60" applyFont="1" applyBorder="1"/>
    <xf numFmtId="37" fontId="131" fillId="0" borderId="0" xfId="60" applyFont="1" applyFill="1" applyBorder="1"/>
    <xf numFmtId="37" fontId="131" fillId="0" borderId="19" xfId="60" applyFont="1" applyFill="1" applyBorder="1"/>
    <xf numFmtId="4" fontId="9" fillId="18" borderId="19" xfId="123" applyNumberFormat="1" applyFont="1" applyFill="1" applyBorder="1" applyAlignment="1" applyProtection="1">
      <alignment horizontal="right"/>
    </xf>
    <xf numFmtId="37" fontId="171" fillId="0" borderId="0" xfId="60" applyFont="1" applyFill="1" applyBorder="1" applyProtection="1"/>
    <xf numFmtId="169" fontId="183" fillId="0" borderId="29" xfId="123" quotePrefix="1" applyNumberFormat="1" applyFont="1" applyFill="1" applyBorder="1" applyAlignment="1" applyProtection="1"/>
    <xf numFmtId="169" fontId="43" fillId="0" borderId="28" xfId="123" applyFont="1" applyFill="1" applyBorder="1"/>
    <xf numFmtId="169" fontId="43" fillId="0" borderId="31" xfId="123" applyFont="1" applyFill="1" applyBorder="1"/>
    <xf numFmtId="169" fontId="36" fillId="0" borderId="19" xfId="123" applyFont="1" applyFill="1" applyBorder="1" applyAlignment="1" applyProtection="1">
      <alignment horizontal="right"/>
    </xf>
    <xf numFmtId="169" fontId="183" fillId="18" borderId="0" xfId="123" applyFont="1" applyFill="1" applyBorder="1" applyProtection="1"/>
    <xf numFmtId="37" fontId="172" fillId="18" borderId="0" xfId="0" quotePrefix="1" applyNumberFormat="1" applyFont="1" applyFill="1" applyBorder="1" applyAlignment="1">
      <alignment horizontal="right"/>
    </xf>
    <xf numFmtId="37" fontId="9" fillId="24" borderId="79" xfId="0" applyFont="1" applyFill="1" applyBorder="1"/>
    <xf numFmtId="169" fontId="131" fillId="0" borderId="27" xfId="123" applyFont="1" applyFill="1" applyBorder="1"/>
    <xf numFmtId="37" fontId="9" fillId="24" borderId="78" xfId="0" applyFont="1" applyFill="1" applyBorder="1"/>
    <xf numFmtId="169" fontId="131" fillId="0" borderId="27" xfId="123" applyNumberFormat="1" applyFont="1" applyFill="1" applyBorder="1"/>
    <xf numFmtId="37" fontId="1" fillId="0" borderId="0" xfId="0" applyFont="1" applyFill="1" applyAlignment="1">
      <alignment horizontal="left" indent="1"/>
    </xf>
    <xf numFmtId="37" fontId="171" fillId="0" borderId="0" xfId="0" quotePrefix="1" applyFont="1" applyBorder="1"/>
    <xf numFmtId="9" fontId="171" fillId="0" borderId="0" xfId="123" applyNumberFormat="1" applyFont="1" applyBorder="1"/>
    <xf numFmtId="37" fontId="171" fillId="0" borderId="0" xfId="0" quotePrefix="1" applyFont="1" applyBorder="1" applyAlignment="1">
      <alignment horizontal="right"/>
    </xf>
    <xf numFmtId="9" fontId="171" fillId="0" borderId="0" xfId="123" quotePrefix="1" applyNumberFormat="1" applyFont="1" applyBorder="1" applyAlignment="1">
      <alignment horizontal="right"/>
    </xf>
    <xf numFmtId="169" fontId="171" fillId="0" borderId="0" xfId="123" quotePrefix="1" applyNumberFormat="1" applyFont="1" applyBorder="1" applyAlignment="1">
      <alignment horizontal="right"/>
    </xf>
    <xf numFmtId="37" fontId="171" fillId="0" borderId="0" xfId="0" quotePrefix="1" applyFont="1" applyFill="1" applyAlignment="1">
      <alignment horizontal="right"/>
    </xf>
    <xf numFmtId="9" fontId="171" fillId="0" borderId="0" xfId="123" quotePrefix="1" applyNumberFormat="1" applyFont="1" applyFill="1" applyBorder="1" applyAlignment="1">
      <alignment horizontal="right"/>
    </xf>
    <xf numFmtId="37" fontId="171" fillId="0" borderId="0" xfId="0" quotePrefix="1" applyFont="1" applyFill="1" applyBorder="1" applyAlignment="1">
      <alignment horizontal="right"/>
    </xf>
    <xf numFmtId="9" fontId="171" fillId="0" borderId="0" xfId="123" applyNumberFormat="1" applyFont="1" applyFill="1"/>
    <xf numFmtId="37" fontId="171" fillId="0" borderId="0" xfId="0" applyFont="1" applyFill="1" applyAlignment="1">
      <alignment horizontal="right"/>
    </xf>
    <xf numFmtId="37" fontId="171" fillId="0" borderId="0" xfId="0" applyFont="1" applyBorder="1"/>
    <xf numFmtId="37" fontId="5" fillId="37" borderId="0" xfId="0" applyFont="1" applyFill="1"/>
    <xf numFmtId="169" fontId="25" fillId="0" borderId="31" xfId="123" applyFont="1" applyFill="1" applyBorder="1"/>
    <xf numFmtId="37" fontId="45" fillId="0" borderId="0" xfId="0" quotePrefix="1" applyNumberFormat="1" applyFont="1" applyFill="1" applyBorder="1" applyAlignment="1">
      <alignment horizontal="right"/>
    </xf>
    <xf numFmtId="37" fontId="172" fillId="0" borderId="0" xfId="0" quotePrefix="1" applyNumberFormat="1" applyFont="1" applyFill="1" applyBorder="1" applyAlignment="1">
      <alignment horizontal="right"/>
    </xf>
    <xf numFmtId="41" fontId="9" fillId="0" borderId="18" xfId="0" applyNumberFormat="1" applyFont="1" applyFill="1" applyBorder="1" applyProtection="1"/>
    <xf numFmtId="5" fontId="9" fillId="0" borderId="18" xfId="0" applyNumberFormat="1" applyFont="1" applyFill="1" applyBorder="1" applyProtection="1"/>
    <xf numFmtId="169" fontId="43" fillId="0" borderId="76" xfId="123" applyFont="1" applyFill="1" applyBorder="1"/>
    <xf numFmtId="169" fontId="172" fillId="0" borderId="0" xfId="123" applyFont="1" applyBorder="1"/>
    <xf numFmtId="9" fontId="9" fillId="0" borderId="30" xfId="123" applyNumberFormat="1" applyFont="1" applyBorder="1"/>
    <xf numFmtId="169" fontId="171" fillId="0" borderId="0" xfId="123" applyNumberFormat="1" applyFont="1" applyFill="1" applyBorder="1"/>
    <xf numFmtId="186" fontId="15" fillId="0" borderId="18" xfId="0" applyNumberFormat="1" applyFont="1" applyFill="1" applyBorder="1"/>
    <xf numFmtId="169" fontId="1" fillId="0" borderId="29" xfId="123" applyNumberFormat="1" applyFont="1" applyFill="1" applyBorder="1"/>
    <xf numFmtId="169" fontId="1" fillId="0" borderId="76" xfId="123" applyNumberFormat="1" applyFont="1" applyFill="1" applyBorder="1"/>
    <xf numFmtId="9" fontId="25" fillId="38" borderId="30" xfId="123" applyNumberFormat="1" applyFont="1" applyFill="1" applyBorder="1"/>
    <xf numFmtId="41" fontId="1" fillId="18" borderId="0" xfId="60" applyNumberFormat="1" applyFont="1" applyFill="1" applyBorder="1" applyProtection="1"/>
    <xf numFmtId="41" fontId="15" fillId="18" borderId="0" xfId="0" applyNumberFormat="1" applyFont="1" applyFill="1" applyBorder="1" applyProtection="1"/>
    <xf numFmtId="9" fontId="171" fillId="0" borderId="1" xfId="60" applyNumberFormat="1" applyFont="1" applyFill="1" applyBorder="1" applyAlignment="1" applyProtection="1">
      <alignment horizontal="right"/>
    </xf>
    <xf numFmtId="7" fontId="1" fillId="0" borderId="28" xfId="61" applyNumberFormat="1" applyFont="1" applyFill="1" applyBorder="1" applyAlignment="1" applyProtection="1">
      <alignment horizontal="right"/>
    </xf>
    <xf numFmtId="41" fontId="1" fillId="0" borderId="18" xfId="60" applyNumberFormat="1" applyFont="1" applyFill="1" applyBorder="1"/>
    <xf numFmtId="169" fontId="172" fillId="0" borderId="0" xfId="123" applyFont="1" applyFill="1" applyBorder="1" applyAlignment="1" applyProtection="1">
      <alignment horizontal="right"/>
    </xf>
    <xf numFmtId="37" fontId="176" fillId="0" borderId="0" xfId="123" quotePrefix="1" applyNumberFormat="1" applyFont="1" applyFill="1" applyBorder="1" applyAlignment="1" applyProtection="1"/>
    <xf numFmtId="5" fontId="9" fillId="17" borderId="22" xfId="61" applyFont="1" applyFill="1" applyBorder="1" applyAlignment="1" applyProtection="1">
      <alignment horizontal="right"/>
    </xf>
    <xf numFmtId="5" fontId="9" fillId="17" borderId="6" xfId="61" applyFont="1" applyFill="1" applyBorder="1" applyAlignment="1" applyProtection="1">
      <alignment horizontal="right"/>
    </xf>
    <xf numFmtId="169" fontId="172" fillId="0" borderId="0" xfId="123" quotePrefix="1" applyFont="1" applyFill="1" applyBorder="1" applyAlignment="1" applyProtection="1"/>
    <xf numFmtId="5" fontId="5" fillId="0" borderId="18" xfId="60" quotePrefix="1" applyNumberFormat="1" applyFont="1" applyFill="1" applyBorder="1" applyAlignment="1" applyProtection="1">
      <alignment horizontal="right"/>
    </xf>
    <xf numFmtId="5" fontId="9" fillId="0" borderId="18" xfId="60" quotePrefix="1" applyNumberFormat="1" applyFont="1" applyFill="1" applyBorder="1" applyAlignment="1" applyProtection="1">
      <alignment horizontal="right"/>
    </xf>
    <xf numFmtId="37" fontId="176" fillId="0" borderId="18" xfId="60" applyNumberFormat="1" applyFont="1" applyFill="1" applyBorder="1" applyProtection="1"/>
    <xf numFmtId="37" fontId="176" fillId="0" borderId="0" xfId="60" applyNumberFormat="1" applyFont="1" applyFill="1" applyBorder="1" applyProtection="1"/>
    <xf numFmtId="37" fontId="5" fillId="0" borderId="18" xfId="60" quotePrefix="1" applyFont="1" applyFill="1" applyBorder="1" applyAlignment="1" applyProtection="1"/>
    <xf numFmtId="37" fontId="5" fillId="0" borderId="27" xfId="60" quotePrefix="1" applyFont="1" applyFill="1" applyBorder="1" applyAlignment="1" applyProtection="1"/>
    <xf numFmtId="5" fontId="37" fillId="0" borderId="18" xfId="61" quotePrefix="1" applyFont="1" applyFill="1" applyBorder="1" applyAlignment="1" applyProtection="1"/>
    <xf numFmtId="169" fontId="176" fillId="0" borderId="0" xfId="123" quotePrefix="1" applyFont="1" applyFill="1" applyBorder="1" applyAlignment="1" applyProtection="1"/>
    <xf numFmtId="5" fontId="9" fillId="17" borderId="20" xfId="61" quotePrefix="1" applyNumberFormat="1" applyFont="1" applyFill="1" applyBorder="1" applyAlignment="1" applyProtection="1"/>
    <xf numFmtId="5" fontId="9" fillId="17" borderId="76" xfId="61" quotePrefix="1" applyNumberFormat="1" applyFont="1" applyFill="1" applyBorder="1" applyAlignment="1" applyProtection="1"/>
    <xf numFmtId="5" fontId="36" fillId="0" borderId="18" xfId="61" quotePrefix="1" applyNumberFormat="1" applyFont="1" applyFill="1" applyBorder="1" applyAlignment="1" applyProtection="1"/>
    <xf numFmtId="5" fontId="36" fillId="0" borderId="27" xfId="61" quotePrefix="1" applyNumberFormat="1" applyFont="1" applyFill="1" applyBorder="1" applyAlignment="1" applyProtection="1"/>
    <xf numFmtId="5" fontId="36" fillId="0" borderId="0" xfId="61" quotePrefix="1" applyNumberFormat="1" applyFont="1" applyFill="1" applyBorder="1" applyAlignment="1" applyProtection="1"/>
    <xf numFmtId="9" fontId="172" fillId="0" borderId="0" xfId="123" quotePrefix="1" applyNumberFormat="1" applyFont="1" applyFill="1" applyBorder="1" applyAlignment="1" applyProtection="1"/>
    <xf numFmtId="5" fontId="9" fillId="0" borderId="18" xfId="61" applyNumberFormat="1" applyFont="1" applyFill="1" applyBorder="1" applyAlignment="1" applyProtection="1">
      <alignment horizontal="right"/>
    </xf>
    <xf numFmtId="5" fontId="184" fillId="0" borderId="0" xfId="61" applyNumberFormat="1" applyFont="1" applyFill="1" applyBorder="1" applyAlignment="1" applyProtection="1">
      <alignment horizontal="right"/>
    </xf>
    <xf numFmtId="41" fontId="1" fillId="35" borderId="0" xfId="60" applyNumberFormat="1" applyFont="1" applyFill="1" applyBorder="1" applyProtection="1"/>
    <xf numFmtId="41" fontId="1" fillId="35" borderId="27" xfId="60" applyNumberFormat="1" applyFont="1" applyFill="1" applyBorder="1" applyProtection="1"/>
    <xf numFmtId="41" fontId="9" fillId="17" borderId="20" xfId="61" applyNumberFormat="1" applyFont="1" applyFill="1" applyBorder="1" applyProtection="1"/>
    <xf numFmtId="37" fontId="2" fillId="0" borderId="0" xfId="0" applyFont="1"/>
    <xf numFmtId="192" fontId="5" fillId="0" borderId="0" xfId="0" applyNumberFormat="1" applyFont="1" applyFill="1" applyBorder="1" applyAlignment="1" applyProtection="1">
      <alignment horizontal="right"/>
    </xf>
    <xf numFmtId="172" fontId="5" fillId="0" borderId="0" xfId="60" applyNumberFormat="1" applyFont="1" applyFill="1"/>
    <xf numFmtId="0" fontId="5" fillId="0" borderId="0" xfId="123" applyNumberFormat="1" applyFont="1"/>
    <xf numFmtId="41" fontId="1" fillId="18" borderId="19" xfId="0" applyNumberFormat="1" applyFont="1" applyFill="1" applyBorder="1"/>
    <xf numFmtId="41" fontId="1" fillId="0" borderId="27" xfId="123" quotePrefix="1" applyNumberFormat="1" applyFont="1" applyFill="1" applyBorder="1" applyAlignment="1" applyProtection="1">
      <alignment horizontal="right"/>
    </xf>
    <xf numFmtId="7" fontId="1" fillId="0" borderId="19" xfId="60" applyNumberFormat="1" applyFont="1" applyFill="1" applyBorder="1" applyProtection="1"/>
    <xf numFmtId="169" fontId="1" fillId="0" borderId="23" xfId="60" applyNumberFormat="1" applyFont="1" applyFill="1" applyBorder="1" applyProtection="1"/>
    <xf numFmtId="5" fontId="1" fillId="0" borderId="23" xfId="0" applyNumberFormat="1" applyFont="1" applyBorder="1"/>
    <xf numFmtId="169" fontId="25" fillId="0" borderId="23" xfId="123" quotePrefix="1" applyNumberFormat="1" applyFont="1" applyFill="1" applyBorder="1" applyAlignment="1" applyProtection="1"/>
    <xf numFmtId="41" fontId="1" fillId="35" borderId="19" xfId="60" applyNumberFormat="1" applyFont="1" applyFill="1" applyBorder="1"/>
    <xf numFmtId="169" fontId="1" fillId="0" borderId="27" xfId="123" applyFont="1" applyFill="1" applyBorder="1" applyProtection="1"/>
    <xf numFmtId="37" fontId="1" fillId="0" borderId="27" xfId="60" applyFont="1" applyFill="1" applyBorder="1" applyProtection="1"/>
    <xf numFmtId="175" fontId="1" fillId="0" borderId="30" xfId="0" applyNumberFormat="1" applyFont="1" applyFill="1" applyBorder="1" applyProtection="1"/>
    <xf numFmtId="169" fontId="1" fillId="0" borderId="21" xfId="123" applyFont="1" applyBorder="1"/>
    <xf numFmtId="37" fontId="1" fillId="0" borderId="21" xfId="60" applyFont="1" applyFill="1" applyBorder="1"/>
    <xf numFmtId="37" fontId="1" fillId="0" borderId="23" xfId="60" applyFont="1" applyFill="1" applyBorder="1"/>
    <xf numFmtId="169" fontId="1" fillId="0" borderId="21" xfId="61" applyNumberFormat="1" applyFont="1" applyFill="1" applyBorder="1"/>
    <xf numFmtId="169" fontId="25" fillId="0" borderId="19" xfId="123" quotePrefix="1" applyNumberFormat="1" applyFont="1" applyFill="1" applyBorder="1" applyAlignment="1" applyProtection="1">
      <alignment horizontal="right"/>
    </xf>
    <xf numFmtId="5" fontId="1" fillId="0" borderId="19" xfId="61" applyFont="1" applyFill="1" applyBorder="1"/>
    <xf numFmtId="9" fontId="1" fillId="0" borderId="27" xfId="123" applyNumberFormat="1" applyFont="1" applyBorder="1"/>
    <xf numFmtId="5" fontId="1" fillId="0" borderId="19" xfId="123" applyNumberFormat="1" applyFont="1" applyBorder="1"/>
    <xf numFmtId="37" fontId="1" fillId="0" borderId="27" xfId="60" applyFont="1" applyBorder="1"/>
    <xf numFmtId="43" fontId="9" fillId="18" borderId="19" xfId="61" applyNumberFormat="1" applyFont="1" applyFill="1" applyBorder="1"/>
    <xf numFmtId="169" fontId="25" fillId="0" borderId="76" xfId="123" applyFont="1" applyBorder="1"/>
    <xf numFmtId="169" fontId="25" fillId="0" borderId="77" xfId="123" applyFont="1" applyBorder="1"/>
    <xf numFmtId="37" fontId="9" fillId="17" borderId="20" xfId="0" applyFont="1" applyFill="1" applyBorder="1" applyAlignment="1">
      <alignment horizontal="right"/>
    </xf>
    <xf numFmtId="37" fontId="9" fillId="17" borderId="6" xfId="0" applyFont="1" applyFill="1" applyBorder="1" applyAlignment="1">
      <alignment horizontal="right"/>
    </xf>
    <xf numFmtId="37" fontId="9" fillId="17" borderId="22" xfId="0" applyFont="1" applyFill="1" applyBorder="1" applyAlignment="1">
      <alignment horizontal="right"/>
    </xf>
    <xf numFmtId="41" fontId="171" fillId="0" borderId="0" xfId="0" applyNumberFormat="1" applyFont="1" applyFill="1" applyBorder="1" applyProtection="1"/>
    <xf numFmtId="5" fontId="5" fillId="0" borderId="1" xfId="0" applyNumberFormat="1" applyFont="1" applyFill="1" applyBorder="1"/>
    <xf numFmtId="37" fontId="5" fillId="0" borderId="0" xfId="0" applyNumberFormat="1" applyFont="1" applyFill="1" applyBorder="1" applyAlignment="1">
      <alignment horizontal="right"/>
    </xf>
    <xf numFmtId="216" fontId="5" fillId="0" borderId="0" xfId="60" applyNumberFormat="1" applyFont="1" applyFill="1"/>
    <xf numFmtId="171" fontId="5" fillId="0" borderId="0" xfId="60" applyNumberFormat="1" applyFont="1" applyFill="1"/>
    <xf numFmtId="169" fontId="1" fillId="0" borderId="27" xfId="123" applyNumberFormat="1" applyFont="1" applyFill="1" applyBorder="1"/>
    <xf numFmtId="7" fontId="26" fillId="0" borderId="0" xfId="152" applyNumberFormat="1" applyFont="1" applyFill="1" applyBorder="1" applyAlignment="1">
      <alignment horizontal="right"/>
    </xf>
    <xf numFmtId="7" fontId="26" fillId="0" borderId="0" xfId="0" applyNumberFormat="1" applyFont="1" applyAlignment="1">
      <alignment horizontal="right"/>
    </xf>
    <xf numFmtId="0" fontId="9" fillId="18" borderId="0" xfId="0" applyNumberFormat="1" applyFont="1" applyFill="1" applyBorder="1" applyProtection="1"/>
    <xf numFmtId="192" fontId="8" fillId="0" borderId="19" xfId="60" quotePrefix="1" applyNumberFormat="1" applyFont="1" applyFill="1" applyBorder="1" applyAlignment="1" applyProtection="1"/>
    <xf numFmtId="37" fontId="5" fillId="17" borderId="76" xfId="109" applyFont="1" applyFill="1" applyBorder="1" applyAlignment="1">
      <alignment horizontal="right"/>
    </xf>
    <xf numFmtId="184" fontId="5" fillId="17" borderId="78" xfId="109" applyNumberFormat="1" applyFont="1" applyFill="1" applyBorder="1" applyAlignment="1">
      <alignment horizontal="right"/>
    </xf>
    <xf numFmtId="41" fontId="178" fillId="18" borderId="0" xfId="60" quotePrefix="1" applyNumberFormat="1" applyFont="1" applyFill="1" applyBorder="1" applyAlignment="1" applyProtection="1">
      <alignment horizontal="right"/>
    </xf>
    <xf numFmtId="7" fontId="171" fillId="0" borderId="0" xfId="152" applyNumberFormat="1" applyFont="1" applyFill="1" applyBorder="1" applyAlignment="1">
      <alignment horizontal="right"/>
    </xf>
    <xf numFmtId="186" fontId="177" fillId="0" borderId="0" xfId="0" applyNumberFormat="1" applyFont="1" applyFill="1" applyBorder="1"/>
    <xf numFmtId="186" fontId="178" fillId="0" borderId="0" xfId="0" applyNumberFormat="1" applyFont="1" applyFill="1" applyBorder="1"/>
    <xf numFmtId="205" fontId="171" fillId="0" borderId="0" xfId="0" applyNumberFormat="1" applyFont="1" applyFill="1" applyBorder="1"/>
    <xf numFmtId="37" fontId="171" fillId="0" borderId="0" xfId="0" applyNumberFormat="1" applyFont="1" applyFill="1" applyBorder="1"/>
    <xf numFmtId="186" fontId="178" fillId="0" borderId="0" xfId="0" applyNumberFormat="1" applyFont="1" applyFill="1"/>
    <xf numFmtId="169" fontId="183" fillId="0" borderId="10" xfId="123" quotePrefix="1" applyFont="1" applyFill="1" applyBorder="1" applyAlignment="1" applyProtection="1">
      <alignment horizontal="right"/>
    </xf>
    <xf numFmtId="170" fontId="5" fillId="0" borderId="0" xfId="0" applyNumberFormat="1" applyFont="1" applyFill="1" applyBorder="1" applyAlignment="1" applyProtection="1">
      <alignment horizontal="left"/>
    </xf>
    <xf numFmtId="37" fontId="185" fillId="0" borderId="23" xfId="0" applyNumberFormat="1" applyFont="1" applyFill="1" applyBorder="1"/>
    <xf numFmtId="170" fontId="5" fillId="0" borderId="1" xfId="123" applyNumberFormat="1" applyFont="1" applyFill="1" applyBorder="1" applyAlignment="1" applyProtection="1">
      <alignment horizontal="right"/>
    </xf>
    <xf numFmtId="41" fontId="171" fillId="18" borderId="27" xfId="61" applyNumberFormat="1" applyFont="1" applyFill="1" applyBorder="1"/>
    <xf numFmtId="37" fontId="9" fillId="17" borderId="77" xfId="109" applyFont="1" applyFill="1" applyBorder="1" applyAlignment="1">
      <alignment horizontal="right"/>
    </xf>
    <xf numFmtId="37" fontId="9" fillId="17" borderId="27" xfId="109" applyFont="1" applyFill="1" applyBorder="1" applyAlignment="1">
      <alignment horizontal="right"/>
    </xf>
    <xf numFmtId="37" fontId="9" fillId="17" borderId="30" xfId="109" applyFont="1" applyFill="1" applyBorder="1" applyAlignment="1">
      <alignment horizontal="right"/>
    </xf>
    <xf numFmtId="5" fontId="5" fillId="18" borderId="27" xfId="109" applyNumberFormat="1" applyFont="1" applyFill="1" applyBorder="1"/>
    <xf numFmtId="37" fontId="5" fillId="18" borderId="27" xfId="109" applyFont="1" applyFill="1" applyBorder="1"/>
    <xf numFmtId="37" fontId="5" fillId="18" borderId="30" xfId="109" applyFont="1" applyFill="1" applyBorder="1"/>
    <xf numFmtId="5" fontId="9" fillId="18" borderId="27" xfId="109" applyNumberFormat="1" applyFont="1" applyFill="1" applyBorder="1"/>
    <xf numFmtId="37" fontId="152" fillId="18" borderId="30" xfId="109" applyFont="1" applyFill="1" applyBorder="1"/>
    <xf numFmtId="5" fontId="9" fillId="17" borderId="79" xfId="109" applyNumberFormat="1" applyFont="1" applyFill="1" applyBorder="1"/>
    <xf numFmtId="41" fontId="171" fillId="0" borderId="0" xfId="61" applyNumberFormat="1" applyFont="1" applyFill="1" applyBorder="1" applyProtection="1"/>
    <xf numFmtId="169" fontId="183" fillId="0" borderId="27" xfId="123" applyFont="1" applyFill="1" applyBorder="1" applyProtection="1"/>
    <xf numFmtId="5" fontId="180" fillId="0" borderId="19" xfId="61" applyNumberFormat="1" applyFont="1" applyFill="1" applyBorder="1"/>
    <xf numFmtId="37" fontId="185" fillId="0" borderId="78" xfId="0" applyNumberFormat="1" applyFont="1" applyFill="1" applyBorder="1"/>
    <xf numFmtId="169" fontId="8" fillId="35" borderId="0" xfId="60" applyNumberFormat="1" applyFont="1" applyFill="1" applyBorder="1" applyProtection="1">
      <protection locked="0"/>
    </xf>
    <xf numFmtId="37" fontId="9" fillId="17" borderId="76" xfId="109" applyFont="1" applyFill="1" applyBorder="1" applyAlignment="1">
      <alignment horizontal="right"/>
    </xf>
    <xf numFmtId="5" fontId="5" fillId="18" borderId="0" xfId="109" applyNumberFormat="1" applyFont="1" applyFill="1" applyBorder="1"/>
    <xf numFmtId="5" fontId="9" fillId="18" borderId="0" xfId="109" applyNumberFormat="1" applyFont="1" applyFill="1" applyBorder="1"/>
    <xf numFmtId="37" fontId="152" fillId="18" borderId="1" xfId="109" applyFont="1" applyFill="1" applyBorder="1"/>
    <xf numFmtId="5" fontId="9" fillId="17" borderId="78" xfId="109" applyNumberFormat="1" applyFont="1" applyFill="1" applyBorder="1"/>
    <xf numFmtId="177" fontId="5" fillId="0" borderId="0" xfId="109" applyNumberFormat="1" applyFont="1" applyBorder="1"/>
    <xf numFmtId="7" fontId="1" fillId="0" borderId="0" xfId="0" applyNumberFormat="1" applyFont="1" applyAlignment="1">
      <alignment horizontal="right"/>
    </xf>
    <xf numFmtId="177" fontId="5" fillId="0" borderId="0" xfId="0" applyNumberFormat="1" applyFont="1"/>
    <xf numFmtId="37" fontId="170" fillId="0" borderId="0" xfId="0" applyFont="1"/>
    <xf numFmtId="5" fontId="1" fillId="18" borderId="0" xfId="61" applyNumberFormat="1" applyFont="1" applyFill="1" applyBorder="1" applyProtection="1"/>
    <xf numFmtId="5" fontId="1" fillId="35" borderId="0" xfId="0" applyNumberFormat="1" applyFont="1" applyFill="1" applyBorder="1" applyProtection="1"/>
    <xf numFmtId="41" fontId="1" fillId="35" borderId="0" xfId="0" applyNumberFormat="1" applyFont="1" applyFill="1" applyBorder="1" applyProtection="1"/>
    <xf numFmtId="5" fontId="1" fillId="18" borderId="0" xfId="0" applyNumberFormat="1" applyFont="1" applyFill="1" applyBorder="1" applyProtection="1"/>
    <xf numFmtId="41" fontId="1" fillId="18" borderId="0" xfId="0" applyNumberFormat="1" applyFont="1" applyFill="1" applyBorder="1" applyAlignment="1" applyProtection="1">
      <alignment horizontal="right"/>
    </xf>
    <xf numFmtId="0" fontId="9" fillId="17" borderId="78" xfId="0" quotePrefix="1" applyNumberFormat="1" applyFont="1" applyFill="1" applyBorder="1" applyAlignment="1" applyProtection="1">
      <alignment horizontal="right"/>
    </xf>
    <xf numFmtId="5" fontId="9" fillId="35" borderId="0" xfId="0" applyNumberFormat="1" applyFont="1" applyFill="1" applyBorder="1" applyAlignment="1" applyProtection="1">
      <alignment horizontal="right"/>
    </xf>
    <xf numFmtId="5" fontId="1" fillId="35" borderId="0" xfId="61" applyFont="1" applyFill="1" applyBorder="1" applyProtection="1"/>
    <xf numFmtId="41" fontId="1" fillId="35" borderId="0" xfId="123" applyNumberFormat="1" applyFont="1" applyFill="1" applyBorder="1" applyProtection="1"/>
    <xf numFmtId="41" fontId="1" fillId="35" borderId="0" xfId="61" applyNumberFormat="1" applyFont="1" applyFill="1" applyBorder="1" applyProtection="1"/>
    <xf numFmtId="41" fontId="1" fillId="35" borderId="0" xfId="60" applyNumberFormat="1" applyFont="1" applyFill="1" applyBorder="1"/>
    <xf numFmtId="169" fontId="1" fillId="0" borderId="0" xfId="123" applyFont="1" applyFill="1" applyBorder="1" applyProtection="1"/>
    <xf numFmtId="175" fontId="1" fillId="0" borderId="1" xfId="0" applyNumberFormat="1" applyFont="1" applyFill="1" applyBorder="1" applyProtection="1"/>
    <xf numFmtId="41" fontId="9" fillId="17" borderId="78" xfId="60" applyNumberFormat="1" applyFont="1" applyFill="1" applyBorder="1" applyAlignment="1" applyProtection="1">
      <alignment horizontal="right"/>
    </xf>
    <xf numFmtId="0" fontId="9" fillId="17" borderId="78" xfId="0" applyNumberFormat="1" applyFont="1" applyFill="1" applyBorder="1" applyAlignment="1" applyProtection="1">
      <alignment horizontal="right"/>
    </xf>
    <xf numFmtId="169" fontId="8" fillId="0" borderId="0" xfId="123" applyNumberFormat="1" applyFont="1" applyFill="1" applyBorder="1" applyProtection="1"/>
    <xf numFmtId="41" fontId="27" fillId="17" borderId="78" xfId="61" applyNumberFormat="1" applyFont="1" applyFill="1" applyBorder="1" applyProtection="1"/>
    <xf numFmtId="7" fontId="174" fillId="0" borderId="0" xfId="0" applyNumberFormat="1" applyFont="1" applyAlignment="1">
      <alignment horizontal="right"/>
    </xf>
    <xf numFmtId="188" fontId="5" fillId="0" borderId="0" xfId="0" applyNumberFormat="1" applyFont="1"/>
    <xf numFmtId="5" fontId="170" fillId="0" borderId="0" xfId="0" applyNumberFormat="1" applyFont="1"/>
    <xf numFmtId="169" fontId="44" fillId="0" borderId="18" xfId="0" applyNumberFormat="1" applyFont="1" applyFill="1" applyBorder="1" applyAlignment="1" applyProtection="1">
      <alignment horizontal="left" indent="1"/>
    </xf>
    <xf numFmtId="169" fontId="5" fillId="0" borderId="0" xfId="123" quotePrefix="1" applyNumberFormat="1" applyFont="1" applyFill="1" applyBorder="1" applyAlignment="1" applyProtection="1">
      <alignment horizontal="right"/>
    </xf>
    <xf numFmtId="169" fontId="25" fillId="0" borderId="18" xfId="0" applyNumberFormat="1" applyFont="1" applyFill="1" applyBorder="1" applyAlignment="1" applyProtection="1">
      <alignment horizontal="left"/>
    </xf>
    <xf numFmtId="5" fontId="9" fillId="0" borderId="29" xfId="0" applyNumberFormat="1" applyFont="1" applyFill="1" applyBorder="1" applyAlignment="1" applyProtection="1">
      <alignment horizontal="left"/>
    </xf>
    <xf numFmtId="5" fontId="9" fillId="0" borderId="31" xfId="61" quotePrefix="1" applyNumberFormat="1" applyFont="1" applyFill="1" applyBorder="1" applyAlignment="1" applyProtection="1">
      <alignment horizontal="right"/>
    </xf>
    <xf numFmtId="5" fontId="9" fillId="0" borderId="21" xfId="61" quotePrefix="1" applyNumberFormat="1" applyFont="1" applyFill="1" applyBorder="1" applyAlignment="1" applyProtection="1">
      <alignment horizontal="right"/>
    </xf>
    <xf numFmtId="5" fontId="9" fillId="0" borderId="29" xfId="61" quotePrefix="1" applyNumberFormat="1" applyFont="1" applyFill="1" applyBorder="1" applyAlignment="1" applyProtection="1">
      <alignment horizontal="right"/>
    </xf>
    <xf numFmtId="5" fontId="9" fillId="0" borderId="28" xfId="61" quotePrefix="1" applyNumberFormat="1" applyFont="1" applyFill="1" applyBorder="1" applyAlignment="1" applyProtection="1">
      <alignment horizontal="right"/>
    </xf>
    <xf numFmtId="5" fontId="5" fillId="0" borderId="0" xfId="0" applyNumberFormat="1" applyFont="1" applyFill="1"/>
    <xf numFmtId="5" fontId="9" fillId="0" borderId="18" xfId="61" quotePrefix="1" applyNumberFormat="1" applyFont="1" applyFill="1" applyBorder="1" applyAlignment="1" applyProtection="1">
      <alignment horizontal="right"/>
    </xf>
    <xf numFmtId="5" fontId="5" fillId="0" borderId="0" xfId="60" applyNumberFormat="1" applyFont="1" applyFill="1" applyBorder="1"/>
    <xf numFmtId="5" fontId="5" fillId="0" borderId="0" xfId="0" applyNumberFormat="1" applyFont="1" applyFill="1" applyBorder="1"/>
    <xf numFmtId="5" fontId="1" fillId="0" borderId="29" xfId="0" applyNumberFormat="1" applyFont="1" applyFill="1" applyBorder="1" applyAlignment="1" applyProtection="1">
      <alignment horizontal="left"/>
    </xf>
    <xf numFmtId="5" fontId="1" fillId="0" borderId="18" xfId="0" applyNumberFormat="1" applyFont="1" applyFill="1" applyBorder="1" applyAlignment="1" applyProtection="1">
      <alignment horizontal="left"/>
    </xf>
    <xf numFmtId="186" fontId="174" fillId="0" borderId="27" xfId="0" applyNumberFormat="1" applyFont="1" applyFill="1" applyBorder="1"/>
    <xf numFmtId="186" fontId="174" fillId="0" borderId="19" xfId="0" applyNumberFormat="1" applyFont="1" applyFill="1" applyBorder="1"/>
    <xf numFmtId="186" fontId="174" fillId="0" borderId="0" xfId="0" applyNumberFormat="1" applyFont="1" applyFill="1"/>
    <xf numFmtId="169" fontId="171" fillId="0" borderId="21" xfId="123" applyFont="1" applyFill="1" applyBorder="1"/>
    <xf numFmtId="169" fontId="171" fillId="0" borderId="19" xfId="123" applyFont="1" applyFill="1" applyBorder="1"/>
    <xf numFmtId="5" fontId="171" fillId="0" borderId="19" xfId="61" applyFont="1" applyFill="1" applyBorder="1"/>
    <xf numFmtId="37" fontId="171" fillId="0" borderId="19" xfId="60" applyFont="1" applyFill="1" applyBorder="1"/>
    <xf numFmtId="169" fontId="171" fillId="0" borderId="19" xfId="123" applyNumberFormat="1" applyFont="1" applyFill="1" applyBorder="1"/>
    <xf numFmtId="5" fontId="170" fillId="0" borderId="19" xfId="61" applyFont="1" applyFill="1" applyBorder="1"/>
    <xf numFmtId="37" fontId="170" fillId="0" borderId="19" xfId="60" applyFont="1" applyFill="1" applyBorder="1"/>
    <xf numFmtId="169" fontId="170" fillId="0" borderId="19" xfId="123" applyNumberFormat="1" applyFont="1" applyFill="1" applyBorder="1"/>
    <xf numFmtId="169" fontId="179" fillId="0" borderId="21" xfId="123" applyFont="1" applyFill="1" applyBorder="1"/>
    <xf numFmtId="169" fontId="170" fillId="0" borderId="19" xfId="123" applyFont="1" applyBorder="1"/>
    <xf numFmtId="5" fontId="187" fillId="35" borderId="27" xfId="60" applyNumberFormat="1" applyFont="1" applyFill="1" applyBorder="1" applyProtection="1">
      <protection locked="0"/>
    </xf>
    <xf numFmtId="5" fontId="9" fillId="17" borderId="78" xfId="61" quotePrefix="1" applyNumberFormat="1" applyFont="1" applyFill="1" applyBorder="1" applyAlignment="1" applyProtection="1"/>
    <xf numFmtId="37" fontId="1" fillId="0" borderId="23" xfId="61" quotePrefix="1" applyNumberFormat="1" applyFont="1" applyFill="1" applyBorder="1" applyAlignment="1" applyProtection="1"/>
    <xf numFmtId="169" fontId="44" fillId="0" borderId="21" xfId="123" quotePrefix="1" applyNumberFormat="1" applyFont="1" applyFill="1" applyBorder="1" applyAlignment="1" applyProtection="1"/>
    <xf numFmtId="37" fontId="139" fillId="0" borderId="23" xfId="61" quotePrefix="1" applyNumberFormat="1" applyFont="1" applyFill="1" applyBorder="1" applyAlignment="1" applyProtection="1"/>
    <xf numFmtId="169" fontId="183" fillId="0" borderId="0" xfId="123" quotePrefix="1" applyNumberFormat="1" applyFont="1" applyFill="1" applyBorder="1" applyAlignment="1" applyProtection="1"/>
    <xf numFmtId="169" fontId="45" fillId="0" borderId="19" xfId="123" quotePrefix="1" applyFont="1" applyFill="1" applyBorder="1" applyAlignment="1" applyProtection="1"/>
    <xf numFmtId="37" fontId="139" fillId="0" borderId="19" xfId="61" quotePrefix="1" applyNumberFormat="1" applyFont="1" applyFill="1" applyBorder="1" applyAlignment="1" applyProtection="1"/>
    <xf numFmtId="10" fontId="44" fillId="0" borderId="0" xfId="123" quotePrefix="1" applyNumberFormat="1" applyFont="1" applyFill="1" applyBorder="1" applyAlignment="1" applyProtection="1"/>
    <xf numFmtId="10" fontId="44" fillId="0" borderId="21" xfId="123" quotePrefix="1" applyNumberFormat="1" applyFont="1" applyFill="1" applyBorder="1" applyAlignment="1" applyProtection="1"/>
    <xf numFmtId="37" fontId="9" fillId="39" borderId="0" xfId="0" applyFont="1" applyFill="1"/>
    <xf numFmtId="37" fontId="0" fillId="39" borderId="0" xfId="0" applyFill="1" applyBorder="1"/>
    <xf numFmtId="37" fontId="0" fillId="39" borderId="0" xfId="0" applyFill="1"/>
    <xf numFmtId="37" fontId="0" fillId="39" borderId="19" xfId="0" applyFill="1" applyBorder="1"/>
    <xf numFmtId="5" fontId="36" fillId="39" borderId="0" xfId="61" quotePrefix="1" applyFont="1" applyFill="1" applyBorder="1" applyAlignment="1" applyProtection="1"/>
    <xf numFmtId="5" fontId="1" fillId="39" borderId="19" xfId="61" quotePrefix="1" applyFont="1" applyFill="1" applyBorder="1" applyAlignment="1" applyProtection="1"/>
    <xf numFmtId="41" fontId="42" fillId="39" borderId="0" xfId="60" quotePrefix="1" applyNumberFormat="1" applyFont="1" applyFill="1" applyBorder="1" applyAlignment="1" applyProtection="1"/>
    <xf numFmtId="41" fontId="15" fillId="39" borderId="19" xfId="60" quotePrefix="1" applyNumberFormat="1" applyFont="1" applyFill="1" applyBorder="1" applyAlignment="1" applyProtection="1"/>
    <xf numFmtId="41" fontId="37" fillId="39" borderId="0" xfId="60" quotePrefix="1" applyNumberFormat="1" applyFont="1" applyFill="1" applyBorder="1" applyAlignment="1" applyProtection="1"/>
    <xf numFmtId="5" fontId="9" fillId="39" borderId="19" xfId="60" quotePrefix="1" applyNumberFormat="1" applyFont="1" applyFill="1" applyBorder="1" applyAlignment="1" applyProtection="1"/>
    <xf numFmtId="41" fontId="9" fillId="39" borderId="0" xfId="123" quotePrefix="1" applyNumberFormat="1" applyFont="1" applyFill="1" applyBorder="1" applyAlignment="1" applyProtection="1"/>
    <xf numFmtId="41" fontId="9" fillId="39" borderId="19" xfId="123" quotePrefix="1" applyNumberFormat="1" applyFont="1" applyFill="1" applyBorder="1" applyAlignment="1" applyProtection="1"/>
    <xf numFmtId="41" fontId="143" fillId="39" borderId="0" xfId="60" quotePrefix="1" applyNumberFormat="1" applyFont="1" applyFill="1" applyBorder="1" applyAlignment="1" applyProtection="1"/>
    <xf numFmtId="41" fontId="39" fillId="39" borderId="0" xfId="60" quotePrefix="1" applyNumberFormat="1" applyFont="1" applyFill="1" applyBorder="1" applyAlignment="1" applyProtection="1"/>
    <xf numFmtId="37" fontId="45" fillId="18" borderId="18" xfId="61" quotePrefix="1" applyNumberFormat="1" applyFont="1" applyFill="1" applyBorder="1" applyAlignment="1">
      <alignment horizontal="right"/>
    </xf>
    <xf numFmtId="37" fontId="45" fillId="18" borderId="18" xfId="0" quotePrefix="1" applyNumberFormat="1" applyFont="1" applyFill="1" applyBorder="1" applyAlignment="1">
      <alignment horizontal="right"/>
    </xf>
    <xf numFmtId="0" fontId="45" fillId="0" borderId="18" xfId="123" applyNumberFormat="1" applyFont="1" applyFill="1" applyBorder="1" applyAlignment="1" applyProtection="1">
      <alignment horizontal="right"/>
    </xf>
    <xf numFmtId="169" fontId="169" fillId="0" borderId="18" xfId="123" quotePrefix="1" applyFont="1" applyFill="1" applyBorder="1" applyAlignment="1" applyProtection="1"/>
    <xf numFmtId="169" fontId="169" fillId="0" borderId="27" xfId="123" quotePrefix="1" applyFont="1" applyFill="1" applyBorder="1" applyAlignment="1" applyProtection="1"/>
    <xf numFmtId="169" fontId="169" fillId="0" borderId="18" xfId="123" quotePrefix="1" applyNumberFormat="1" applyFont="1" applyFill="1" applyBorder="1" applyAlignment="1" applyProtection="1"/>
    <xf numFmtId="169" fontId="169" fillId="0" borderId="0" xfId="123" quotePrefix="1" applyNumberFormat="1" applyFont="1" applyFill="1" applyBorder="1" applyAlignment="1" applyProtection="1"/>
    <xf numFmtId="169" fontId="169" fillId="0" borderId="28" xfId="123" quotePrefix="1" applyNumberFormat="1" applyFont="1" applyFill="1" applyBorder="1" applyAlignment="1" applyProtection="1"/>
    <xf numFmtId="5" fontId="8" fillId="0" borderId="19" xfId="60" quotePrefix="1" applyNumberFormat="1" applyFont="1" applyFill="1" applyBorder="1" applyAlignment="1" applyProtection="1"/>
    <xf numFmtId="169" fontId="169" fillId="0" borderId="76" xfId="123" quotePrefix="1" applyNumberFormat="1" applyFont="1" applyFill="1" applyBorder="1" applyAlignment="1" applyProtection="1"/>
    <xf numFmtId="169" fontId="169" fillId="0" borderId="27" xfId="123" quotePrefix="1" applyNumberFormat="1" applyFont="1" applyFill="1" applyBorder="1" applyAlignment="1" applyProtection="1"/>
    <xf numFmtId="169" fontId="169" fillId="0" borderId="19" xfId="123" quotePrefix="1" applyNumberFormat="1" applyFont="1" applyFill="1" applyBorder="1" applyAlignment="1" applyProtection="1"/>
    <xf numFmtId="5" fontId="188" fillId="17" borderId="20" xfId="61" quotePrefix="1" applyNumberFormat="1" applyFont="1" applyFill="1" applyBorder="1" applyAlignment="1" applyProtection="1"/>
    <xf numFmtId="5" fontId="188" fillId="17" borderId="78" xfId="61" quotePrefix="1" applyNumberFormat="1" applyFont="1" applyFill="1" applyBorder="1" applyAlignment="1" applyProtection="1"/>
    <xf numFmtId="12" fontId="5" fillId="0" borderId="0" xfId="0" applyNumberFormat="1" applyFont="1" applyFill="1" applyBorder="1" applyProtection="1"/>
    <xf numFmtId="169" fontId="172" fillId="0" borderId="19" xfId="123" applyFont="1" applyFill="1" applyBorder="1" applyAlignment="1" applyProtection="1">
      <alignment horizontal="right"/>
    </xf>
    <xf numFmtId="43" fontId="9" fillId="0" borderId="0" xfId="0" applyNumberFormat="1" applyFont="1" applyFill="1" applyBorder="1" applyProtection="1"/>
    <xf numFmtId="41" fontId="9" fillId="17" borderId="78" xfId="61" applyNumberFormat="1" applyFont="1" applyFill="1" applyBorder="1" applyProtection="1"/>
    <xf numFmtId="43" fontId="9" fillId="0" borderId="0" xfId="0" applyNumberFormat="1" applyFont="1" applyFill="1" applyBorder="1" applyAlignment="1" applyProtection="1">
      <alignment horizontal="right"/>
    </xf>
    <xf numFmtId="41" fontId="39" fillId="37" borderId="0" xfId="60" applyNumberFormat="1" applyFont="1" applyFill="1" applyBorder="1" applyProtection="1">
      <protection locked="0"/>
    </xf>
    <xf numFmtId="41" fontId="15" fillId="37" borderId="19" xfId="60" applyNumberFormat="1" applyFont="1" applyFill="1" applyBorder="1" applyProtection="1">
      <protection locked="0"/>
    </xf>
    <xf numFmtId="41" fontId="189" fillId="37" borderId="19" xfId="60" applyNumberFormat="1" applyFont="1" applyFill="1" applyBorder="1" applyProtection="1">
      <protection locked="0"/>
    </xf>
    <xf numFmtId="41" fontId="1" fillId="18" borderId="1" xfId="0" applyNumberFormat="1" applyFont="1" applyFill="1" applyBorder="1" applyProtection="1"/>
    <xf numFmtId="5" fontId="9" fillId="17" borderId="78" xfId="61" quotePrefix="1" applyNumberFormat="1" applyFont="1" applyFill="1" applyBorder="1" applyAlignment="1" applyProtection="1">
      <alignment horizontal="right"/>
    </xf>
    <xf numFmtId="169" fontId="183" fillId="0" borderId="0" xfId="123" applyFont="1" applyFill="1" applyBorder="1" applyProtection="1"/>
    <xf numFmtId="169" fontId="183" fillId="18" borderId="19" xfId="123" applyFont="1" applyFill="1" applyBorder="1"/>
    <xf numFmtId="169" fontId="5" fillId="0" borderId="78" xfId="123" applyFont="1" applyFill="1" applyBorder="1" applyAlignment="1" applyProtection="1">
      <alignment horizontal="right"/>
    </xf>
    <xf numFmtId="4" fontId="185" fillId="0" borderId="78" xfId="123" applyNumberFormat="1" applyFont="1" applyFill="1" applyBorder="1"/>
    <xf numFmtId="37" fontId="1" fillId="0" borderId="19" xfId="0" applyNumberFormat="1" applyFont="1" applyFill="1" applyBorder="1"/>
    <xf numFmtId="37" fontId="1" fillId="0" borderId="18" xfId="0" applyNumberFormat="1" applyFont="1" applyFill="1" applyBorder="1"/>
    <xf numFmtId="41" fontId="1" fillId="0" borderId="23" xfId="0" applyNumberFormat="1" applyFont="1" applyFill="1" applyBorder="1" applyProtection="1"/>
    <xf numFmtId="169" fontId="183" fillId="0" borderId="0" xfId="123" quotePrefix="1" applyFont="1" applyFill="1" applyBorder="1" applyAlignment="1" applyProtection="1"/>
    <xf numFmtId="169" fontId="183" fillId="0" borderId="27" xfId="123" quotePrefix="1" applyFont="1" applyFill="1" applyBorder="1" applyAlignment="1" applyProtection="1"/>
    <xf numFmtId="169" fontId="183" fillId="0" borderId="19" xfId="123" quotePrefix="1" applyFont="1" applyFill="1" applyBorder="1" applyAlignment="1" applyProtection="1"/>
    <xf numFmtId="9" fontId="183" fillId="0" borderId="19" xfId="123" quotePrefix="1" applyNumberFormat="1" applyFont="1" applyFill="1" applyBorder="1" applyAlignment="1" applyProtection="1"/>
    <xf numFmtId="9" fontId="183" fillId="0" borderId="27" xfId="123" quotePrefix="1" applyNumberFormat="1" applyFont="1" applyFill="1" applyBorder="1" applyAlignment="1" applyProtection="1"/>
    <xf numFmtId="9" fontId="183" fillId="0" borderId="0" xfId="123" quotePrefix="1" applyNumberFormat="1" applyFont="1" applyFill="1" applyBorder="1" applyAlignment="1" applyProtection="1"/>
    <xf numFmtId="37" fontId="1" fillId="0" borderId="19" xfId="0" applyFont="1" applyBorder="1" applyAlignment="1">
      <alignment horizontal="center" vertical="center" wrapText="1"/>
    </xf>
    <xf numFmtId="37" fontId="0" fillId="0" borderId="19" xfId="0" applyBorder="1" applyAlignment="1">
      <alignment horizontal="center" vertical="center" wrapText="1"/>
    </xf>
    <xf numFmtId="37" fontId="0" fillId="0" borderId="23" xfId="0" applyBorder="1" applyAlignment="1">
      <alignment horizontal="center" vertical="center" wrapText="1"/>
    </xf>
    <xf numFmtId="37" fontId="9" fillId="0" borderId="0" xfId="0" applyFont="1" applyAlignment="1">
      <alignment horizontal="center"/>
    </xf>
    <xf numFmtId="37" fontId="9" fillId="0" borderId="0" xfId="0" applyFont="1" applyFill="1" applyAlignment="1">
      <alignment horizontal="center"/>
    </xf>
    <xf numFmtId="37" fontId="9" fillId="20" borderId="0" xfId="0" applyFont="1" applyFill="1" applyAlignment="1">
      <alignment horizontal="center"/>
    </xf>
    <xf numFmtId="0" fontId="91" fillId="0" borderId="0" xfId="113" applyFont="1" applyBorder="1" applyAlignment="1">
      <alignment horizontal="center" vertical="center" wrapText="1"/>
    </xf>
    <xf numFmtId="0" fontId="91" fillId="0" borderId="1" xfId="113" applyFont="1" applyBorder="1" applyAlignment="1">
      <alignment horizontal="center" vertical="center" wrapText="1"/>
    </xf>
    <xf numFmtId="22" fontId="18" fillId="0" borderId="0" xfId="112" applyNumberFormat="1" applyFont="1" applyAlignment="1">
      <alignment horizontal="center" vertical="top"/>
    </xf>
    <xf numFmtId="174" fontId="13" fillId="0" borderId="0" xfId="112" applyNumberFormat="1" applyFont="1" applyAlignment="1">
      <alignment horizontal="center" vertical="top"/>
    </xf>
    <xf numFmtId="174" fontId="1" fillId="0" borderId="0" xfId="112" applyNumberFormat="1" applyAlignment="1">
      <alignment horizontal="center" vertical="top"/>
    </xf>
    <xf numFmtId="0" fontId="1" fillId="40" borderId="0" xfId="163" applyFont="1" applyFill="1" applyAlignment="1">
      <alignment vertical="top"/>
    </xf>
    <xf numFmtId="0" fontId="1" fillId="40" borderId="0" xfId="101" applyFill="1" applyAlignment="1">
      <alignment vertical="top"/>
    </xf>
    <xf numFmtId="0" fontId="1" fillId="40" borderId="0" xfId="101" applyFill="1"/>
    <xf numFmtId="0" fontId="191" fillId="40" borderId="0" xfId="163" applyFont="1" applyFill="1" applyAlignment="1">
      <alignment horizontal="left" vertical="top"/>
    </xf>
    <xf numFmtId="0" fontId="1" fillId="40" borderId="0" xfId="101" applyFont="1" applyFill="1" applyAlignment="1">
      <alignment vertical="top"/>
    </xf>
    <xf numFmtId="0" fontId="25" fillId="40" borderId="0" xfId="163" applyFont="1" applyFill="1" applyAlignment="1">
      <alignment vertical="top"/>
    </xf>
    <xf numFmtId="37" fontId="0" fillId="40" borderId="0" xfId="0" applyFill="1" applyAlignment="1">
      <alignment vertical="top"/>
    </xf>
    <xf numFmtId="37" fontId="192" fillId="40" borderId="0" xfId="0" applyFont="1" applyFill="1" applyAlignment="1">
      <alignment vertical="top"/>
    </xf>
    <xf numFmtId="37" fontId="193" fillId="40" borderId="0" xfId="0" applyFont="1" applyFill="1" applyAlignment="1">
      <alignment vertical="top"/>
    </xf>
    <xf numFmtId="37" fontId="193" fillId="40" borderId="0" xfId="0" applyFont="1" applyFill="1" applyAlignment="1">
      <alignment vertical="top"/>
    </xf>
    <xf numFmtId="37" fontId="192" fillId="40" borderId="0" xfId="0" applyFont="1" applyFill="1" applyAlignment="1">
      <alignment vertical="top"/>
    </xf>
    <xf numFmtId="37" fontId="0" fillId="40" borderId="0" xfId="0" applyFill="1" applyAlignment="1">
      <alignment vertical="top"/>
    </xf>
    <xf numFmtId="37" fontId="0" fillId="40" borderId="84" xfId="0" applyFill="1" applyBorder="1" applyAlignment="1">
      <alignment vertical="top"/>
    </xf>
    <xf numFmtId="37" fontId="192" fillId="40" borderId="80" xfId="0" applyFont="1" applyFill="1" applyBorder="1" applyAlignment="1">
      <alignment vertical="top"/>
    </xf>
    <xf numFmtId="37" fontId="192" fillId="40" borderId="81" xfId="0" applyFont="1" applyFill="1" applyBorder="1" applyAlignment="1">
      <alignment vertical="top"/>
    </xf>
    <xf numFmtId="37" fontId="192" fillId="40" borderId="82" xfId="0" applyFont="1" applyFill="1" applyBorder="1" applyAlignment="1">
      <alignment vertical="top"/>
    </xf>
    <xf numFmtId="37" fontId="192" fillId="40" borderId="83" xfId="0" applyFont="1" applyFill="1" applyBorder="1" applyAlignment="1">
      <alignment vertical="top"/>
    </xf>
    <xf numFmtId="37" fontId="0" fillId="40" borderId="85" xfId="0" applyFill="1" applyBorder="1" applyAlignment="1">
      <alignment vertical="top"/>
    </xf>
    <xf numFmtId="222" fontId="1" fillId="0" borderId="0" xfId="101" applyNumberFormat="1" applyAlignment="1">
      <alignment horizontal="left"/>
    </xf>
    <xf numFmtId="0" fontId="194" fillId="0" borderId="0" xfId="101" applyFont="1" applyAlignment="1">
      <alignment wrapText="1"/>
    </xf>
    <xf numFmtId="0" fontId="194" fillId="0" borderId="0" xfId="101" applyFont="1" applyAlignment="1">
      <alignment horizontal="left" wrapText="1" indent="3"/>
    </xf>
    <xf numFmtId="0" fontId="194" fillId="0" borderId="0" xfId="101" applyFont="1" applyAlignment="1">
      <alignment horizontal="left" wrapText="1" indent="1"/>
    </xf>
    <xf numFmtId="0" fontId="196" fillId="0" borderId="0" xfId="101" applyFont="1" applyAlignment="1">
      <alignment wrapText="1"/>
    </xf>
  </cellXfs>
  <cellStyles count="164">
    <cellStyle name="%" xfId="1"/>
    <cellStyle name="******************************************" xfId="2"/>
    <cellStyle name="_RRS1" xfId="3"/>
    <cellStyle name="_RRS27" xfId="4"/>
    <cellStyle name="_SUMMARY " xfId="5"/>
    <cellStyle name="_SUMMARY _RRST1" xfId="6"/>
    <cellStyle name="_SUMMARY _RRST1_1" xfId="7"/>
    <cellStyle name="_SUMMARY _RRST1_2" xfId="8"/>
    <cellStyle name="£ BP" xfId="9"/>
    <cellStyle name="¥ JY" xfId="10"/>
    <cellStyle name="=C:\WINNT35\SYSTEM32\COMMAND.COM" xfId="11"/>
    <cellStyle name="•W_GE 3 MINIMUM" xfId="12"/>
    <cellStyle name="0_Capex &amp; Depreciation " xfId="13"/>
    <cellStyle name="0_Capex &amp; Depreciation _RRST1" xfId="14"/>
    <cellStyle name="0_Capex &amp; Depreciation _RRST1_1" xfId="15"/>
    <cellStyle name="0_Capex &amp; Depreciation _RRST1_2" xfId="16"/>
    <cellStyle name="0_Capex &amp; Depreciation _RRST19" xfId="17"/>
    <cellStyle name="0_Valuing BP " xfId="18"/>
    <cellStyle name="0_Valuing BP _RRST1" xfId="19"/>
    <cellStyle name="0_Valuing BP _RRST1_1" xfId="20"/>
    <cellStyle name="0_Valuing BP _RRST1_2" xfId="21"/>
    <cellStyle name="0_Valuing BP _RRST19" xfId="22"/>
    <cellStyle name="20% - Accent1" xfId="23" builtinId="30" customBuiltin="1"/>
    <cellStyle name="20% - Accent2" xfId="24" builtinId="34" customBuiltin="1"/>
    <cellStyle name="20% - Accent3" xfId="25" builtinId="38" customBuiltin="1"/>
    <cellStyle name="20% - Accent4" xfId="26" builtinId="42" customBuiltin="1"/>
    <cellStyle name="20% - Accent5" xfId="27" builtinId="46" customBuiltin="1"/>
    <cellStyle name="20% - Accent6" xfId="28" builtinId="50" customBuiltin="1"/>
    <cellStyle name="40% - Accent1" xfId="29" builtinId="31" customBuiltin="1"/>
    <cellStyle name="40% - Accent2" xfId="30" builtinId="35" customBuiltin="1"/>
    <cellStyle name="40% - Accent3" xfId="31" builtinId="39" customBuiltin="1"/>
    <cellStyle name="40% - Accent4" xfId="32" builtinId="43" customBuiltin="1"/>
    <cellStyle name="40% - Accent5" xfId="33" builtinId="47" customBuiltin="1"/>
    <cellStyle name="40% - Accent6" xfId="34" builtinId="51" customBuiltin="1"/>
    <cellStyle name="60% - Accent1" xfId="35" builtinId="32" customBuiltin="1"/>
    <cellStyle name="60% - Accent2" xfId="36" builtinId="36" customBuiltin="1"/>
    <cellStyle name="60% - Accent3" xfId="37" builtinId="40" customBuiltin="1"/>
    <cellStyle name="60% - Accent4" xfId="38" builtinId="44" customBuiltin="1"/>
    <cellStyle name="60% - Accent5" xfId="39" builtinId="48" customBuiltin="1"/>
    <cellStyle name="60% - Accent6" xfId="40" builtinId="52" customBuiltin="1"/>
    <cellStyle name="Accent1" xfId="41" builtinId="29" customBuiltin="1"/>
    <cellStyle name="Accent2" xfId="42" builtinId="33" customBuiltin="1"/>
    <cellStyle name="Accent3" xfId="43" builtinId="37" customBuiltin="1"/>
    <cellStyle name="Accent4" xfId="44" builtinId="41" customBuiltin="1"/>
    <cellStyle name="Accent5" xfId="45" builtinId="45" customBuiltin="1"/>
    <cellStyle name="Accent6" xfId="46" builtinId="49" customBuiltin="1"/>
    <cellStyle name="Bad" xfId="47" builtinId="27" customBuiltin="1"/>
    <cellStyle name="Blue" xfId="48"/>
    <cellStyle name="Bold/Border" xfId="49"/>
    <cellStyle name="brad" xfId="50"/>
    <cellStyle name="Bullet" xfId="51"/>
    <cellStyle name="c_HardInc " xfId="52"/>
    <cellStyle name="c_HardInc _RRST1" xfId="53"/>
    <cellStyle name="c_HardInc _RRST1_1" xfId="54"/>
    <cellStyle name="c_HardInc _RRST1_2" xfId="55"/>
    <cellStyle name="c_HardInc _RRST19" xfId="56"/>
    <cellStyle name="Calculation" xfId="57" builtinId="22" customBuiltin="1"/>
    <cellStyle name="Changeable" xfId="58"/>
    <cellStyle name="Check Cell" xfId="59" builtinId="23" customBuiltin="1"/>
    <cellStyle name="Comma" xfId="60" builtinId="3"/>
    <cellStyle name="Currency" xfId="61" builtinId="4"/>
    <cellStyle name="Currency [2]" xfId="62"/>
    <cellStyle name="Currency 2" xfId="63"/>
    <cellStyle name="Currency 3" xfId="64"/>
    <cellStyle name="Currency 4" xfId="65"/>
    <cellStyle name="Currency 5" xfId="66"/>
    <cellStyle name="Currency 6" xfId="67"/>
    <cellStyle name="Currency 7" xfId="162"/>
    <cellStyle name="Currency_ESA WIP" xfId="68"/>
    <cellStyle name="Currency_HOT Bear to Bull" xfId="69"/>
    <cellStyle name="Dash" xfId="70"/>
    <cellStyle name="Date" xfId="71"/>
    <cellStyle name="Dezimal [0]_Compiling Utility Macros" xfId="72"/>
    <cellStyle name="Dezimal_Compiling Utility Macros" xfId="73"/>
    <cellStyle name="Explanatory Text" xfId="74" builtinId="53" customBuiltin="1"/>
    <cellStyle name="Fail" xfId="75"/>
    <cellStyle name="FiscalPeriod" xfId="76"/>
    <cellStyle name="Good" xfId="77" builtinId="26" customBuiltin="1"/>
    <cellStyle name="Grey" xfId="78"/>
    <cellStyle name="Header1" xfId="79"/>
    <cellStyle name="Header2" xfId="80"/>
    <cellStyle name="Heading 1" xfId="81" builtinId="16" customBuiltin="1"/>
    <cellStyle name="Heading 2" xfId="82" builtinId="17" customBuiltin="1"/>
    <cellStyle name="Heading 3" xfId="83" builtinId="18" customBuiltin="1"/>
    <cellStyle name="Heading 4" xfId="84" builtinId="19" customBuiltin="1"/>
    <cellStyle name="helv narrow 8" xfId="85"/>
    <cellStyle name="Hidden" xfId="86"/>
    <cellStyle name="Hyperlink" xfId="87" builtinId="8"/>
    <cellStyle name="Input" xfId="88" builtinId="20" customBuiltin="1"/>
    <cellStyle name="Input [yellow]" xfId="89"/>
    <cellStyle name="Linked Cell" xfId="90" builtinId="24" customBuiltin="1"/>
    <cellStyle name="MetricLabel" xfId="91"/>
    <cellStyle name="MetricLabelBlue" xfId="92"/>
    <cellStyle name="MetricValue" xfId="93"/>
    <cellStyle name="Neutral" xfId="94" builtinId="28" customBuiltin="1"/>
    <cellStyle name="Normal" xfId="0" builtinId="0" customBuiltin="1"/>
    <cellStyle name="Normal - Style1" xfId="95"/>
    <cellStyle name="Normal 10" xfId="96"/>
    <cellStyle name="Normal 11" xfId="97"/>
    <cellStyle name="Normal 12" xfId="98"/>
    <cellStyle name="Normal 13" xfId="161"/>
    <cellStyle name="Normal 2" xfId="99"/>
    <cellStyle name="Normal 3" xfId="100"/>
    <cellStyle name="Normal 4" xfId="101"/>
    <cellStyle name="Normal 5" xfId="102"/>
    <cellStyle name="Normal 6" xfId="103"/>
    <cellStyle name="Normal 6 2" xfId="104"/>
    <cellStyle name="Normal 7" xfId="105"/>
    <cellStyle name="Normal 8" xfId="106"/>
    <cellStyle name="Normal 9" xfId="107"/>
    <cellStyle name="Normal_DisclaimerSheet Samples" xfId="163"/>
    <cellStyle name="Normal_ESA WIP" xfId="108"/>
    <cellStyle name="Normal_HOT WIP" xfId="109"/>
    <cellStyle name="Normal_MAR WIP" xfId="110"/>
    <cellStyle name="Normal_QTR Rooms" xfId="111"/>
    <cellStyle name="Normal_Starwood Hotels and resorts (HOT.N) Leisure &amp; Lodging (NA) ver 40" xfId="112"/>
    <cellStyle name="Normal_Waterfall1" xfId="113"/>
    <cellStyle name="Normal_wipgain" xfId="114"/>
    <cellStyle name="Normal_WYNN WIP" xfId="115"/>
    <cellStyle name="Note" xfId="116" builtinId="10" customBuiltin="1"/>
    <cellStyle name="Number" xfId="117"/>
    <cellStyle name="Œ…‹æØ‚è [0.00]_GE 3 MINIMUM" xfId="118"/>
    <cellStyle name="Œ…‹æØ‚è_GE 3 MINIMUM" xfId="119"/>
    <cellStyle name="Output" xfId="120" builtinId="21" customBuiltin="1"/>
    <cellStyle name="p " xfId="121"/>
    <cellStyle name="Pass" xfId="122"/>
    <cellStyle name="Percent" xfId="123" builtinId="5"/>
    <cellStyle name="Percent [2]" xfId="124"/>
    <cellStyle name="Percent 2" xfId="125"/>
    <cellStyle name="Percent_ESA WIP" xfId="126"/>
    <cellStyle name="Percent_MAR WIP" xfId="127"/>
    <cellStyle name="Percent_Starwood Hotels and resorts (HOT.N) Leisure &amp; Lodging (NA) ver 40" xfId="128"/>
    <cellStyle name="Percent_wipgain" xfId="129"/>
    <cellStyle name="Percent_WYNN WIP" xfId="130"/>
    <cellStyle name="Price" xfId="131"/>
    <cellStyle name="PSChar" xfId="132"/>
    <cellStyle name="PSDate" xfId="133"/>
    <cellStyle name="PSDec" xfId="134"/>
    <cellStyle name="PSHeading" xfId="135"/>
    <cellStyle name="PSInt" xfId="136"/>
    <cellStyle name="PSSpacer" xfId="137"/>
    <cellStyle name="RRSInstruction" xfId="138"/>
    <cellStyle name="RRSInstruction 2" xfId="139"/>
    <cellStyle name="s_HardInc " xfId="140"/>
    <cellStyle name="s_HardInc _RRST1" xfId="141"/>
    <cellStyle name="s_HardInc _RRST1_1" xfId="142"/>
    <cellStyle name="s_HardInc _RRST1_2" xfId="143"/>
    <cellStyle name="s_HardInc _RRST19" xfId="144"/>
    <cellStyle name="s_Valuation " xfId="145"/>
    <cellStyle name="s_Valuation _RRST1" xfId="146"/>
    <cellStyle name="s_Valuation _RRST1_1" xfId="147"/>
    <cellStyle name="s_Valuation _RRST1_2" xfId="148"/>
    <cellStyle name="s_Valuation _RRST19" xfId="149"/>
    <cellStyle name="ssp " xfId="150"/>
    <cellStyle name="Standard_Anpassen der Amortisation" xfId="151"/>
    <cellStyle name="Style 1" xfId="152"/>
    <cellStyle name="Style 2" xfId="153"/>
    <cellStyle name="Style 24" xfId="154"/>
    <cellStyle name="Title" xfId="155" builtinId="15" customBuiltin="1"/>
    <cellStyle name="Total" xfId="156" builtinId="25" customBuiltin="1"/>
    <cellStyle name="TRHyperlink" xfId="157"/>
    <cellStyle name="Währung [0]_Compiling Utility Macros" xfId="158"/>
    <cellStyle name="Währung_Compiling Utility Macros" xfId="159"/>
    <cellStyle name="Warning Text" xfId="160"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800000"/>
      <color rgb="FF008000"/>
      <color rgb="FFFFFFFF"/>
      <color rgb="FFE6BE64"/>
      <color rgb="FF137CB1"/>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$770 </v>
        <stp/>
        <stp>50476805-480c-48c1-9ae3-9552c57f0cda</stp>
        <tr r="L37" s="58483"/>
      </tp>
      <tp>
        <v>100</v>
        <stp/>
        <stp>1dc3d3ca-ec76-4f5e-a0db-873e30cbf966</stp>
        <tr r="L42" s="58483"/>
      </tp>
      <tp t="s">
        <v>Manual Calculation</v>
        <stp/>
        <stp>f90775aa-990d-4544-a1ef-27783d9358dc</stp>
        <tr r="HR508" s="58481"/>
      </tp>
      <tp>
        <v>0</v>
        <stp/>
        <stp>e1c1619c-2d39-4fed-93ef-c5ce0dd2fc4f</stp>
        <tr r="FX599" s="58502"/>
      </tp>
      <tp>
        <v>0</v>
        <stp/>
        <stp>7ec48ede-6c95-47bf-b144-9567d26b6a8a</stp>
        <tr r="FY597" s="58502"/>
      </tp>
      <tp>
        <v>0</v>
        <stp/>
        <stp>0477534c-ddf4-4425-b62d-adc75bd53ad0</stp>
        <tr r="FX598" s="58502"/>
      </tp>
      <tp t="s">
        <v>Manual Calculation</v>
        <stp/>
        <stp>c515f86a-d064-4b93-9d2d-709e13f11009</stp>
        <tr r="HP508" s="58481"/>
      </tp>
      <tp>
        <v>1936</v>
        <stp/>
        <stp>68992a2b-b322-4ce1-9192-426f6d1d5987</stp>
        <tr r="HS508" s="58481"/>
      </tp>
      <tp t="s">
        <v>Manual Calculation</v>
        <stp/>
        <stp>78c532b8-6e72-47f3-88a3-ebeb0ab8003a</stp>
        <tr r="HQ508" s="58481"/>
      </tp>
      <tp>
        <v>0</v>
        <stp/>
        <stp>7c75d687-7a1d-447e-beba-220bc08b689e</stp>
        <tr r="GC597" s="58502"/>
      </tp>
      <tp>
        <v>0</v>
        <stp/>
        <stp>61e36e11-2fad-49cb-900e-d5bb0ee6c48e</stp>
        <tr r="FY598" s="58502"/>
      </tp>
      <tp>
        <v>0</v>
        <stp/>
        <stp>a271909c-01b4-40cb-a85b-11c604da9138</stp>
        <tr r="FY599" s="58502"/>
      </tp>
      <tp>
        <v>0</v>
        <stp/>
        <stp>563aac37-19db-44ff-b003-9767f4c91b81</stp>
        <tr r="FX597" s="58502"/>
      </tp>
      <tp>
        <v>2261</v>
        <stp/>
        <stp>390a005a-5427-4f9a-914b-034bd10198a5</stp>
        <tr r="HU508" s="58481"/>
      </tp>
      <tp t="s">
        <v xml:space="preserve">$426 </v>
        <stp/>
        <stp>a885a22d-8863-44d3-8dd1-7ab27eec35c0</stp>
        <tr r="L47" s="58483"/>
      </tp>
      <tp>
        <v>2100</v>
        <stp/>
        <stp>5167b2d6-e545-4892-b536-b33aa2929384</stp>
        <tr r="HT508" s="58481"/>
      </tp>
      <tp>
        <v>215</v>
        <stp/>
        <stp>c3741b3a-aae9-4ade-92db-ddea05e925a5</stp>
        <tr r="L32" s="58483"/>
      </tp>
      <tp t="s">
        <v xml:space="preserve">$83.40 </v>
        <stp/>
        <stp>28d21fcf-6c4f-4771-a714-943d117cc8c2</stp>
        <tr r="I16" s="5848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chartsheets/sheet1.xml" Type="http://schemas.openxmlformats.org/officeDocument/2006/relationships/chartsheet"/>
<Relationship Id="rId25" Target="worksheets/sheet24.xml" Type="http://schemas.openxmlformats.org/officeDocument/2006/relationships/worksheet"/>
<Relationship Id="rId26" Target="worksheets/sheet25.xml" Type="http://schemas.openxmlformats.org/officeDocument/2006/relationships/worksheet"/>
<Relationship Id="rId27" Target="worksheets/sheet26.xml" Type="http://schemas.openxmlformats.org/officeDocument/2006/relationships/worksheet"/>
<Relationship Id="rId28" Target="worksheets/sheet27.xml" Type="http://schemas.openxmlformats.org/officeDocument/2006/relationships/worksheet"/>
<Relationship Id="rId29" Target="worksheets/sheet28.xml" Type="http://schemas.openxmlformats.org/officeDocument/2006/relationships/worksheet"/>
<Relationship Id="rId3" Target="worksheets/sheet3.xml" Type="http://schemas.openxmlformats.org/officeDocument/2006/relationships/worksheet"/>
<Relationship Id="rId30" Target="worksheets/sheet29.xml" Type="http://schemas.openxmlformats.org/officeDocument/2006/relationships/worksheet"/>
<Relationship Id="rId31" Target="worksheets/sheet30.xml" Type="http://schemas.openxmlformats.org/officeDocument/2006/relationships/worksheet"/>
<Relationship Id="rId32" Target="theme/theme1.xml" Type="http://schemas.openxmlformats.org/officeDocument/2006/relationships/theme"/>
<Relationship Id="rId33" Target="styles.xml" Type="http://schemas.openxmlformats.org/officeDocument/2006/relationships/styles"/>
<Relationship Id="rId34" Target="sharedStrings.xml" Type="http://schemas.openxmlformats.org/officeDocument/2006/relationships/sharedStrings"/>
<Relationship Id="rId35" Target="calcChain.xml" Type="http://schemas.openxmlformats.org/officeDocument/2006/relationships/calcChain"/>
<Relationship Id="rId36" Target="../customXml/item1.xml" Type="http://schemas.openxmlformats.org/officeDocument/2006/relationships/customXml"/>
<Relationship Id="rId37" Target="../customXml/item2.xml" Type="http://schemas.openxmlformats.org/officeDocument/2006/relationships/customXml"/>
<Relationship Id="rId38" Target="volatileDependencies.xml" Type="http://schemas.openxmlformats.org/officeDocument/2006/relationships/volatileDependencies"/>
<Relationship Id="rId39"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2.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_rels/chart4.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_rels/chart5.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_rels/chart6.xml.rels><?xml version="1.0" encoding="UTF-8" standalone="yes"?>
<Relationships xmlns="http://schemas.openxmlformats.org/package/2006/relationships">
<Relationship Id="rId1" Target="../drawings/drawing7.xml" Type="http://schemas.openxmlformats.org/officeDocument/2006/relationships/chartUserShapes"/>
</Relationships>

</file>

<file path=xl/charts/_rels/chart12.xml.rels><?xml version="1.0" encoding="UTF-8" standalone="yes"?>
<Relationships xmlns="http://schemas.openxmlformats.org/package/2006/relationships">
<Relationship Id="rId1" Target="../drawings/drawing8.xml" Type="http://schemas.openxmlformats.org/officeDocument/2006/relationships/chartUserShapes"/>
</Relationships>

</file>

<file path=xl/charts/_rels/chart14.xml.rels><?xml version="1.0" encoding="UTF-8" standalone="yes"?>
<Relationships xmlns="http://schemas.openxmlformats.org/package/2006/relationships">
<Relationship Id="rId1" Target="../drawings/drawing9.xml" Type="http://schemas.openxmlformats.org/officeDocument/2006/relationships/chartUserShapes"/>
</Relationships>

</file>

<file path=xl/charts/_rels/chart15.xml.rels><?xml version="1.0" encoding="UTF-8" standalone="yes"?>
<Relationships xmlns="http://schemas.openxmlformats.org/package/2006/relationships">
<Relationship Id="rId1" Target="../drawings/drawing10.xml" Type="http://schemas.openxmlformats.org/officeDocument/2006/relationships/chartUserShapes"/>
</Relationships>

</file>

<file path=xl/charts/_rels/chart16.xml.rels><?xml version="1.0" encoding="UTF-8" standalone="yes"?>
<Relationships xmlns="http://schemas.openxmlformats.org/package/2006/relationships">
<Relationship Id="rId1" Target="../drawings/drawing12.xml" Type="http://schemas.openxmlformats.org/officeDocument/2006/relationships/chartUserShapes"/>
</Relationships>

</file>

<file path=xl/charts/_rels/chart18.xml.rels><?xml version="1.0" encoding="UTF-8" standalone="yes"?>
<Relationships xmlns="http://schemas.openxmlformats.org/package/2006/relationships">
<Relationship Id="rId1" Target="../drawings/drawing13.xml" Type="http://schemas.openxmlformats.org/officeDocument/2006/relationships/chartUserShapes"/>
</Relationships>

</file>

<file path=xl/charts/_rels/chart21.xml.rels><?xml version="1.0" encoding="UTF-8" standalone="yes"?>
<Relationships xmlns="http://schemas.openxmlformats.org/package/2006/relationships">
<Relationship Id="rId1" Target="../drawings/drawing15.xml" Type="http://schemas.openxmlformats.org/officeDocument/2006/relationships/chartUserShapes"/>
</Relationships>

</file>

<file path=xl/charts/_rels/chart23.xml.rels><?xml version="1.0" encoding="UTF-8" standalone="yes"?>
<Relationships xmlns="http://schemas.openxmlformats.org/package/2006/relationships">
<Relationship Id="rId1" Target="../drawings/drawing18.xml" Type="http://schemas.openxmlformats.org/officeDocument/2006/relationships/chartUserShapes"/>
</Relationships>

</file>

<file path=xl/charts/_rels/chart25.xml.rels><?xml version="1.0" encoding="UTF-8" standalone="yes"?>
<Relationships xmlns="http://schemas.openxmlformats.org/package/2006/relationships">
<Relationship Id="rId1" Target="../drawings/drawing19.xml" Type="http://schemas.openxmlformats.org/officeDocument/2006/relationships/chartUserShapes"/>
</Relationships>

</file>

<file path=xl/charts/_rels/chart28.xml.rels><?xml version="1.0" encoding="UTF-8" standalone="yes"?>
<Relationships xmlns="http://schemas.openxmlformats.org/package/2006/relationships">
<Relationship Id="rId1" Target="../drawings/drawing21.xml" Type="http://schemas.openxmlformats.org/officeDocument/2006/relationships/chartUserShapes"/>
</Relationships>

</file>

<file path=xl/charts/_rels/chart30.xml.rels><?xml version="1.0" encoding="UTF-8" standalone="yes"?>
<Relationships xmlns="http://schemas.openxmlformats.org/package/2006/relationships">
<Relationship Id="rId1" Target="../drawings/drawing22.xml" Type="http://schemas.openxmlformats.org/officeDocument/2006/relationships/chartUserShapes"/>
</Relationships>

</file>

<file path=xl/charts/_rels/chart34.xml.rels><?xml version="1.0" encoding="UTF-8" standalone="yes"?>
<Relationships xmlns="http://schemas.openxmlformats.org/package/2006/relationships">
<Relationship Id="rId1" Target="../drawings/drawing24.xml" Type="http://schemas.openxmlformats.org/officeDocument/2006/relationships/chartUserShapes"/>
</Relationships>

</file>

<file path=xl/charts/_rels/chart37.xml.rels><?xml version="1.0" encoding="UTF-8" standalone="yes"?>
<Relationships xmlns="http://schemas.openxmlformats.org/package/2006/relationships">
<Relationship Id="rId1" Target="../drawings/drawing25.xml" Type="http://schemas.openxmlformats.org/officeDocument/2006/relationships/chartUserShapes"/>
</Relationships>

</file>

<file path=xl/charts/_rels/chart44.xml.rels><?xml version="1.0" encoding="UTF-8" standalone="yes"?>
<Relationships xmlns="http://schemas.openxmlformats.org/package/2006/relationships">
<Relationship Id="rId1" Target="../drawings/drawing26.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716662900581139E-2"/>
          <c:y val="2.7528731650730439E-2"/>
          <c:w val="0.82607764364719316"/>
          <c:h val="0.78125002763721696"/>
        </c:manualLayout>
      </c:layout>
      <c:barChart>
        <c:barDir val="col"/>
        <c:grouping val="clustered"/>
        <c:varyColors val="0"/>
        <c:ser>
          <c:idx val="0"/>
          <c:order val="0"/>
          <c:tx>
            <c:v>2016-2018e EBITDA CAGR</c:v>
          </c:tx>
          <c:spPr>
            <a:solidFill>
              <a:srgbClr val="137CB1"/>
            </a:solidFill>
            <a:ln w="25400">
              <a:noFill/>
            </a:ln>
          </c:spPr>
          <c:invertIfNegative val="0"/>
          <c:dPt>
            <c:idx val="1"/>
            <c:invertIfNegative val="0"/>
            <c:bubble3D val="0"/>
          </c:dPt>
          <c:dPt>
            <c:idx val="5"/>
            <c:invertIfNegative val="0"/>
            <c:bubble3D val="0"/>
            <c:spPr>
              <a:solidFill>
                <a:srgbClr val="E6BE64"/>
              </a:solidFill>
              <a:ln w="25400">
                <a:noFill/>
              </a:ln>
            </c:spPr>
          </c:dPt>
          <c:dLbls>
            <c:dLbl>
              <c:idx val="0"/>
              <c:layout>
                <c:manualLayout>
                  <c:x val="2.321146946330148E-3"/>
                  <c:y val="7.9700355728483718E-2"/>
                </c:manualLayout>
              </c:layout>
              <c:spPr/>
              <c:txPr>
                <a:bodyPr/>
                <a:lstStyle/>
                <a:p>
                  <a:pPr>
                    <a:defRPr sz="900"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dLbl>
            <c:dLbl>
              <c:idx val="3"/>
              <c:layout>
                <c:manualLayout>
                  <c:x val="0"/>
                  <c:y val="1.6779022258628151E-2"/>
                </c:manualLayout>
              </c:layout>
              <c:showLegendKey val="0"/>
              <c:showVal val="1"/>
              <c:showCatName val="0"/>
              <c:showSerName val="0"/>
              <c:showPercent val="0"/>
              <c:showBubbleSize val="0"/>
            </c:dLbl>
            <c:dLbl>
              <c:idx val="4"/>
              <c:layout>
                <c:manualLayout>
                  <c:x val="0"/>
                  <c:y val="7.1310844599169643E-2"/>
                </c:manualLayout>
              </c:layout>
              <c:spPr/>
              <c:txPr>
                <a:bodyPr/>
                <a:lstStyle/>
                <a:p>
                  <a:pPr>
                    <a:defRPr sz="900"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dLbl>
            <c:txPr>
              <a:bodyPr/>
              <a:lstStyle/>
              <a:p>
                <a:pPr>
                  <a:defRPr sz="9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3'!$AN$166:$AN$172</c:f>
              <c:strCache>
                <c:ptCount val="7"/>
                <c:pt idx="0">
                  <c:v>LQ</c:v>
                </c:pt>
                <c:pt idx="1">
                  <c:v>STAY</c:v>
                </c:pt>
                <c:pt idx="2">
                  <c:v>HLT</c:v>
                </c:pt>
                <c:pt idx="3">
                  <c:v>H</c:v>
                </c:pt>
                <c:pt idx="4">
                  <c:v>IHG</c:v>
                </c:pt>
                <c:pt idx="5">
                  <c:v>MAR</c:v>
                </c:pt>
                <c:pt idx="6">
                  <c:v>CHH</c:v>
                </c:pt>
              </c:strCache>
            </c:strRef>
          </c:cat>
          <c:val>
            <c:numRef>
              <c:f>'Exhibits 3'!$AO$166:$AO$172</c:f>
              <c:numCache>
                <c:formatCode>0.0%</c:formatCode>
                <c:ptCount val="7"/>
                <c:pt idx="0">
                  <c:v>-1.5084533007937106E-2</c:v>
                </c:pt>
                <c:pt idx="1">
                  <c:v>-0.42692618682710493</c:v>
                </c:pt>
                <c:pt idx="2">
                  <c:v>5.0342220818197836E-2</c:v>
                </c:pt>
                <c:pt idx="3">
                  <c:v>-0.48689156691862712</c:v>
                </c:pt>
                <c:pt idx="4">
                  <c:v>6.5016677964692349E-2</c:v>
                </c:pt>
                <c:pt idx="5">
                  <c:v>0</c:v>
                </c:pt>
                <c:pt idx="6">
                  <c:v>-0.50179507369913856</c:v>
                </c:pt>
              </c:numCache>
            </c:numRef>
          </c:val>
        </c:ser>
        <c:dLbls>
          <c:showLegendKey val="0"/>
          <c:showVal val="0"/>
          <c:showCatName val="0"/>
          <c:showSerName val="0"/>
          <c:showPercent val="0"/>
          <c:showBubbleSize val="0"/>
        </c:dLbls>
        <c:gapWidth val="60"/>
        <c:axId val="670249728"/>
        <c:axId val="670251264"/>
      </c:barChart>
      <c:lineChart>
        <c:grouping val="standard"/>
        <c:varyColors val="0"/>
        <c:ser>
          <c:idx val="1"/>
          <c:order val="1"/>
          <c:tx>
            <c:v>2018e PEG Ratio (EV/EBITDA)</c:v>
          </c:tx>
          <c:spPr>
            <a:ln>
              <a:noFill/>
            </a:ln>
          </c:spPr>
          <c:marker>
            <c:spPr>
              <a:solidFill>
                <a:schemeClr val="accent2"/>
              </a:solidFill>
              <a:ln>
                <a:noFill/>
              </a:ln>
            </c:spPr>
          </c:marker>
          <c:dLbls>
            <c:dLbl>
              <c:idx val="0"/>
              <c:delete val="1"/>
            </c:dLbl>
            <c:dLbl>
              <c:idx val="6"/>
              <c:spPr/>
              <c:txPr>
                <a:bodyPr/>
                <a:lstStyle/>
                <a:p>
                  <a:pPr>
                    <a:defRPr sz="900" b="1">
                      <a:solidFill>
                        <a:schemeClr val="bg1"/>
                      </a:solidFill>
                      <a:latin typeface="Arial" panose="020B0604020202020204" pitchFamily="34" charset="0"/>
                      <a:cs typeface="Arial" panose="020B0604020202020204" pitchFamily="34" charset="0"/>
                    </a:defRPr>
                  </a:pPr>
                  <a:endParaRPr lang="en-US"/>
                </a:p>
              </c:txPr>
              <c:dLblPos val="t"/>
              <c:showLegendKey val="0"/>
              <c:showVal val="1"/>
              <c:showCatName val="0"/>
              <c:showSerName val="0"/>
              <c:showPercent val="0"/>
              <c:showBubbleSize val="0"/>
            </c:dLbl>
            <c:txPr>
              <a:bodyPr/>
              <a:lstStyle/>
              <a:p>
                <a:pPr>
                  <a:defRPr sz="900" b="1">
                    <a:solidFill>
                      <a:sysClr val="windowText" lastClr="000000"/>
                    </a:solidFill>
                    <a:latin typeface="Arial" panose="020B0604020202020204" pitchFamily="34" charset="0"/>
                    <a:cs typeface="Arial" panose="020B0604020202020204" pitchFamily="34" charset="0"/>
                  </a:defRPr>
                </a:pPr>
                <a:endParaRPr lang="en-US"/>
              </a:p>
            </c:txPr>
            <c:dLblPos val="t"/>
            <c:showLegendKey val="0"/>
            <c:showVal val="1"/>
            <c:showCatName val="0"/>
            <c:showSerName val="0"/>
            <c:showPercent val="0"/>
            <c:showBubbleSize val="0"/>
            <c:showLeaderLines val="0"/>
          </c:dLbls>
          <c:cat>
            <c:strRef>
              <c:f>'Exhibits 3'!$AN$166:$AN$172</c:f>
              <c:strCache>
                <c:ptCount val="7"/>
                <c:pt idx="0">
                  <c:v>LQ</c:v>
                </c:pt>
                <c:pt idx="1">
                  <c:v>STAY</c:v>
                </c:pt>
                <c:pt idx="2">
                  <c:v>HLT</c:v>
                </c:pt>
                <c:pt idx="3">
                  <c:v>H</c:v>
                </c:pt>
                <c:pt idx="4">
                  <c:v>IHG</c:v>
                </c:pt>
                <c:pt idx="5">
                  <c:v>MAR</c:v>
                </c:pt>
                <c:pt idx="6">
                  <c:v>CHH</c:v>
                </c:pt>
              </c:strCache>
            </c:strRef>
          </c:cat>
          <c:val>
            <c:numRef>
              <c:f>'Exhibits 3'!$AR$166:$AR$172</c:f>
              <c:numCache>
                <c:formatCode>0.0"x"_)</c:formatCode>
                <c:ptCount val="7"/>
                <c:pt idx="0">
                  <c:v>0</c:v>
                </c:pt>
                <c:pt idx="1">
                  <c:v>-0.21733440635662066</c:v>
                </c:pt>
                <c:pt idx="2">
                  <c:v>2.5300776782304273</c:v>
                </c:pt>
                <c:pt idx="3">
                  <c:v>-0.20879583077290639</c:v>
                </c:pt>
                <c:pt idx="4">
                  <c:v>2.1607809579520367</c:v>
                </c:pt>
                <c:pt idx="5">
                  <c:v>0</c:v>
                </c:pt>
                <c:pt idx="6">
                  <c:v>-0.2665529438683133</c:v>
                </c:pt>
              </c:numCache>
            </c:numRef>
          </c:val>
          <c:smooth val="0"/>
        </c:ser>
        <c:dLbls>
          <c:showLegendKey val="0"/>
          <c:showVal val="0"/>
          <c:showCatName val="0"/>
          <c:showSerName val="0"/>
          <c:showPercent val="0"/>
          <c:showBubbleSize val="0"/>
        </c:dLbls>
        <c:marker val="1"/>
        <c:smooth val="0"/>
        <c:axId val="670265344"/>
        <c:axId val="670266880"/>
      </c:lineChart>
      <c:catAx>
        <c:axId val="670249728"/>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0251264"/>
        <c:crosses val="autoZero"/>
        <c:auto val="1"/>
        <c:lblAlgn val="ctr"/>
        <c:lblOffset val="100"/>
        <c:tickLblSkip val="1"/>
        <c:tickMarkSkip val="1"/>
        <c:noMultiLvlLbl val="0"/>
      </c:catAx>
      <c:valAx>
        <c:axId val="670251264"/>
        <c:scaling>
          <c:orientation val="minMax"/>
        </c:scaling>
        <c:delete val="0"/>
        <c:axPos val="l"/>
        <c:majorGridlines>
          <c:spPr>
            <a:ln w="12700">
              <a:solidFill>
                <a:srgbClr val="C0C0C0"/>
              </a:solidFill>
              <a:prstDash val="solid"/>
            </a:ln>
          </c:spPr>
        </c:majorGridlines>
        <c:numFmt formatCode="0.0%" sourceLinked="1"/>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0249728"/>
        <c:crosses val="autoZero"/>
        <c:crossBetween val="between"/>
      </c:valAx>
      <c:catAx>
        <c:axId val="670265344"/>
        <c:scaling>
          <c:orientation val="minMax"/>
        </c:scaling>
        <c:delete val="1"/>
        <c:axPos val="b"/>
        <c:majorTickMark val="out"/>
        <c:minorTickMark val="none"/>
        <c:tickLblPos val="nextTo"/>
        <c:crossAx val="670266880"/>
        <c:crosses val="autoZero"/>
        <c:auto val="1"/>
        <c:lblAlgn val="ctr"/>
        <c:lblOffset val="100"/>
        <c:noMultiLvlLbl val="0"/>
      </c:catAx>
      <c:valAx>
        <c:axId val="670266880"/>
        <c:scaling>
          <c:orientation val="minMax"/>
          <c:max val="5"/>
          <c:min val="-0.5"/>
        </c:scaling>
        <c:delete val="0"/>
        <c:axPos val="r"/>
        <c:numFmt formatCode="0.0&quot;x&quot;_)"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670265344"/>
        <c:crosses val="max"/>
        <c:crossBetween val="between"/>
      </c:valAx>
      <c:spPr>
        <a:noFill/>
        <a:ln w="25400">
          <a:noFill/>
        </a:ln>
      </c:spPr>
    </c:plotArea>
    <c:legend>
      <c:legendPos val="b"/>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12100206868913E-2"/>
          <c:y val="4.4886844093251776E-2"/>
          <c:w val="0.9115538274359446"/>
          <c:h val="0.80712776099642736"/>
        </c:manualLayout>
      </c:layout>
      <c:barChart>
        <c:barDir val="col"/>
        <c:grouping val="clustered"/>
        <c:varyColors val="0"/>
        <c:ser>
          <c:idx val="0"/>
          <c:order val="0"/>
          <c:spPr>
            <a:solidFill>
              <a:srgbClr val="137CB1"/>
            </a:solidFill>
            <a:ln w="25400">
              <a:noFill/>
            </a:ln>
          </c:spPr>
          <c:invertIfNegative val="0"/>
          <c:dPt>
            <c:idx val="0"/>
            <c:invertIfNegative val="0"/>
            <c:bubble3D val="0"/>
            <c:spPr>
              <a:solidFill>
                <a:srgbClr val="FFC000"/>
              </a:solidFill>
              <a:ln w="25400">
                <a:noFill/>
              </a:ln>
            </c:spPr>
          </c:dPt>
          <c:dPt>
            <c:idx val="3"/>
            <c:invertIfNegative val="0"/>
            <c:bubble3D val="0"/>
            <c:spPr>
              <a:solidFill>
                <a:srgbClr val="FFC000"/>
              </a:solidFill>
              <a:ln w="25400">
                <a:noFill/>
              </a:ln>
            </c:spPr>
          </c:dPt>
          <c:dPt>
            <c:idx val="8"/>
            <c:invertIfNegative val="0"/>
            <c:bubble3D val="0"/>
            <c:spPr>
              <a:solidFill>
                <a:srgbClr val="FFC000"/>
              </a:solidFill>
              <a:ln w="25400">
                <a:noFill/>
              </a:ln>
            </c:spPr>
          </c:dPt>
          <c:dLbls>
            <c:txPr>
              <a:bodyPr/>
              <a:lstStyle/>
              <a:p>
                <a:pPr>
                  <a:defRPr sz="8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3'!$BB$185:$BB$195</c:f>
              <c:strCache>
                <c:ptCount val="11"/>
                <c:pt idx="0">
                  <c:v>MSe
HLT
REIT</c:v>
                </c:pt>
                <c:pt idx="1">
                  <c:v>Lodging
Reit
Avg.</c:v>
                </c:pt>
                <c:pt idx="3">
                  <c:v>MSe
HLT
Timeshare</c:v>
                </c:pt>
                <c:pt idx="4">
                  <c:v>VAC</c:v>
                </c:pt>
                <c:pt idx="5">
                  <c:v>WYN</c:v>
                </c:pt>
                <c:pt idx="6">
                  <c:v>Timeshare
Avg.</c:v>
                </c:pt>
                <c:pt idx="8">
                  <c:v>MSe HLT
PF Fee
Business</c:v>
                </c:pt>
                <c:pt idx="9">
                  <c:v>MAR</c:v>
                </c:pt>
                <c:pt idx="10">
                  <c:v>CHH</c:v>
                </c:pt>
              </c:strCache>
            </c:strRef>
          </c:cat>
          <c:val>
            <c:numRef>
              <c:f>'Exhibits 3'!$BC$185:$BC$195</c:f>
              <c:numCache>
                <c:formatCode>0.0"x"</c:formatCode>
                <c:ptCount val="11"/>
                <c:pt idx="0">
                  <c:v>15.75</c:v>
                </c:pt>
                <c:pt idx="1">
                  <c:v>10.196743820072678</c:v>
                </c:pt>
                <c:pt idx="3">
                  <c:v>15.722965816384368</c:v>
                </c:pt>
                <c:pt idx="4">
                  <c:v>9.0292796156820607</c:v>
                </c:pt>
                <c:pt idx="5">
                  <c:v>9.3787256239963952</c:v>
                </c:pt>
                <c:pt idx="6">
                  <c:v>7.3796418844906713</c:v>
                </c:pt>
                <c:pt idx="9">
                  <c:v>11.932226794695858</c:v>
                </c:pt>
                <c:pt idx="10">
                  <c:v>13.401319365398809</c:v>
                </c:pt>
              </c:numCache>
            </c:numRef>
          </c:val>
        </c:ser>
        <c:dLbls>
          <c:showLegendKey val="0"/>
          <c:showVal val="0"/>
          <c:showCatName val="0"/>
          <c:showSerName val="0"/>
          <c:showPercent val="0"/>
          <c:showBubbleSize val="0"/>
        </c:dLbls>
        <c:gapWidth val="60"/>
        <c:axId val="670292608"/>
        <c:axId val="670298496"/>
      </c:barChart>
      <c:catAx>
        <c:axId val="670292608"/>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0298496"/>
        <c:crosses val="autoZero"/>
        <c:auto val="1"/>
        <c:lblAlgn val="ctr"/>
        <c:lblOffset val="100"/>
        <c:tickLblSkip val="1"/>
        <c:tickMarkSkip val="1"/>
        <c:noMultiLvlLbl val="0"/>
      </c:catAx>
      <c:valAx>
        <c:axId val="670298496"/>
        <c:scaling>
          <c:orientation val="minMax"/>
        </c:scaling>
        <c:delete val="0"/>
        <c:axPos val="l"/>
        <c:majorGridlines>
          <c:spPr>
            <a:ln w="12700">
              <a:solidFill>
                <a:srgbClr val="C0C0C0"/>
              </a:solidFill>
              <a:prstDash val="solid"/>
            </a:ln>
          </c:spPr>
        </c:majorGridlines>
        <c:numFmt formatCode="0.0&quot;x&quot;" sourceLinked="1"/>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0292608"/>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verticalDpi="0"/>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Pt>
            <c:idx val="0"/>
            <c:invertIfNegative val="0"/>
            <c:bubble3D val="0"/>
            <c:spPr>
              <a:solidFill>
                <a:srgbClr val="E6BE64"/>
              </a:solidFill>
              <a:ln w="25400">
                <a:noFill/>
              </a:ln>
            </c:spPr>
          </c:dPt>
          <c:dPt>
            <c:idx val="1"/>
            <c:invertIfNegative val="0"/>
            <c:bubble3D val="0"/>
            <c:spPr>
              <a:solidFill>
                <a:srgbClr val="4AAC6B"/>
              </a:solidFill>
              <a:ln w="25400">
                <a:noFill/>
              </a:ln>
            </c:spPr>
          </c:dPt>
          <c:dPt>
            <c:idx val="3"/>
            <c:invertIfNegative val="0"/>
            <c:bubble3D val="0"/>
            <c:spPr>
              <a:solidFill>
                <a:srgbClr val="4AAC6B"/>
              </a:solidFill>
              <a:ln w="25400">
                <a:noFill/>
              </a:ln>
            </c:spPr>
          </c:dPt>
          <c:dLbls>
            <c:numFmt formatCode="\$#,##0" sourceLinked="0"/>
            <c:txPr>
              <a:bodyPr/>
              <a:lstStyle/>
              <a:p>
                <a:pPr>
                  <a:defRPr sz="9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'Exhibits 3'!$CM$316:$CM$320</c:f>
              <c:strCache>
                <c:ptCount val="5"/>
                <c:pt idx="0">
                  <c:v>HLT 2016E Guide</c:v>
                </c:pt>
                <c:pt idx="1">
                  <c:v>2017 MSe</c:v>
                </c:pt>
                <c:pt idx="2">
                  <c:v>2017E Cons</c:v>
                </c:pt>
                <c:pt idx="3">
                  <c:v>2018 MSe</c:v>
                </c:pt>
                <c:pt idx="4">
                  <c:v>2018E Cons</c:v>
                </c:pt>
              </c:strCache>
            </c:strRef>
          </c:cat>
          <c:val>
            <c:numRef>
              <c:f>'Exhibits 3'!$CN$316:$CN$320</c:f>
              <c:numCache>
                <c:formatCode>#,##0_);\(#,##0\)</c:formatCode>
                <c:ptCount val="5"/>
                <c:pt idx="0">
                  <c:v>1760</c:v>
                </c:pt>
                <c:pt idx="1">
                  <c:v>1965</c:v>
                </c:pt>
                <c:pt idx="2">
                  <c:v>1921.75</c:v>
                </c:pt>
                <c:pt idx="3">
                  <c:v>2068.6601203221921</c:v>
                </c:pt>
                <c:pt idx="4">
                  <c:v>2042.2200401073976</c:v>
                </c:pt>
              </c:numCache>
            </c:numRef>
          </c:val>
        </c:ser>
        <c:dLbls>
          <c:showLegendKey val="0"/>
          <c:showVal val="0"/>
          <c:showCatName val="0"/>
          <c:showSerName val="0"/>
          <c:showPercent val="0"/>
          <c:showBubbleSize val="0"/>
        </c:dLbls>
        <c:gapWidth val="48"/>
        <c:axId val="670174208"/>
        <c:axId val="670184192"/>
      </c:barChart>
      <c:catAx>
        <c:axId val="670174208"/>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670184192"/>
        <c:crosses val="autoZero"/>
        <c:auto val="1"/>
        <c:lblAlgn val="ctr"/>
        <c:lblOffset val="100"/>
        <c:tickLblSkip val="1"/>
        <c:tickMarkSkip val="1"/>
        <c:noMultiLvlLbl val="0"/>
      </c:catAx>
      <c:valAx>
        <c:axId val="670184192"/>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EBITDA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670174208"/>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Pt>
            <c:idx val="0"/>
            <c:invertIfNegative val="0"/>
            <c:bubble3D val="0"/>
            <c:spPr>
              <a:solidFill>
                <a:srgbClr val="E6BE64"/>
              </a:solidFill>
              <a:ln w="25400">
                <a:noFill/>
              </a:ln>
            </c:spPr>
          </c:dPt>
          <c:dPt>
            <c:idx val="1"/>
            <c:invertIfNegative val="0"/>
            <c:bubble3D val="0"/>
            <c:spPr>
              <a:solidFill>
                <a:srgbClr val="4AAC6B"/>
              </a:solidFill>
              <a:ln w="25400">
                <a:noFill/>
              </a:ln>
            </c:spPr>
          </c:dPt>
          <c:dPt>
            <c:idx val="3"/>
            <c:invertIfNegative val="0"/>
            <c:bubble3D val="0"/>
            <c:spPr>
              <a:solidFill>
                <a:srgbClr val="4AAC6B"/>
              </a:solidFill>
              <a:ln w="25400">
                <a:noFill/>
              </a:ln>
            </c:spPr>
          </c:dPt>
          <c:dLbls>
            <c:numFmt formatCode="\$#,##0" sourceLinked="0"/>
            <c:txPr>
              <a:bodyPr/>
              <a:lstStyle/>
              <a:p>
                <a:pPr>
                  <a:defRPr sz="9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'Exhibits 3'!$CM$323:$CM$327</c:f>
              <c:strCache>
                <c:ptCount val="5"/>
                <c:pt idx="0">
                  <c:v>HLT 2016E Guide</c:v>
                </c:pt>
                <c:pt idx="1">
                  <c:v>2017 MSe</c:v>
                </c:pt>
                <c:pt idx="2">
                  <c:v>2017E Cons</c:v>
                </c:pt>
                <c:pt idx="3">
                  <c:v>2018 MSe</c:v>
                </c:pt>
                <c:pt idx="4">
                  <c:v>2018E Cons</c:v>
                </c:pt>
              </c:strCache>
            </c:strRef>
          </c:cat>
          <c:val>
            <c:numRef>
              <c:f>'Exhibits 3'!$CN$323:$CN$327</c:f>
              <c:numCache>
                <c:formatCode>#,##0_);\(#,##0\)</c:formatCode>
                <c:ptCount val="5"/>
                <c:pt idx="0">
                  <c:v>765</c:v>
                </c:pt>
                <c:pt idx="1">
                  <c:v>764.46170245283065</c:v>
                </c:pt>
                <c:pt idx="2">
                  <c:v>776.86542561320766</c:v>
                </c:pt>
                <c:pt idx="3">
                  <c:v>789.75509015688669</c:v>
                </c:pt>
                <c:pt idx="4">
                  <c:v>780.58503005229556</c:v>
                </c:pt>
              </c:numCache>
            </c:numRef>
          </c:val>
        </c:ser>
        <c:dLbls>
          <c:showLegendKey val="0"/>
          <c:showVal val="0"/>
          <c:showCatName val="0"/>
          <c:showSerName val="0"/>
          <c:showPercent val="0"/>
          <c:showBubbleSize val="0"/>
        </c:dLbls>
        <c:gapWidth val="48"/>
        <c:axId val="670214016"/>
        <c:axId val="670215552"/>
      </c:barChart>
      <c:catAx>
        <c:axId val="670214016"/>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670215552"/>
        <c:crosses val="autoZero"/>
        <c:auto val="1"/>
        <c:lblAlgn val="ctr"/>
        <c:lblOffset val="100"/>
        <c:tickLblSkip val="1"/>
        <c:tickMarkSkip val="1"/>
        <c:noMultiLvlLbl val="0"/>
      </c:catAx>
      <c:valAx>
        <c:axId val="670215552"/>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EBITDA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670214016"/>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Pt>
            <c:idx val="0"/>
            <c:invertIfNegative val="0"/>
            <c:bubble3D val="0"/>
            <c:spPr>
              <a:solidFill>
                <a:srgbClr val="E6BE64"/>
              </a:solidFill>
              <a:ln w="25400">
                <a:noFill/>
              </a:ln>
            </c:spPr>
          </c:dPt>
          <c:dPt>
            <c:idx val="1"/>
            <c:invertIfNegative val="0"/>
            <c:bubble3D val="0"/>
            <c:spPr>
              <a:solidFill>
                <a:srgbClr val="4AAC6B"/>
              </a:solidFill>
              <a:ln w="25400">
                <a:noFill/>
              </a:ln>
            </c:spPr>
          </c:dPt>
          <c:dPt>
            <c:idx val="3"/>
            <c:invertIfNegative val="0"/>
            <c:bubble3D val="0"/>
            <c:spPr>
              <a:solidFill>
                <a:srgbClr val="4AAC6B"/>
              </a:solidFill>
              <a:ln w="25400">
                <a:noFill/>
              </a:ln>
            </c:spPr>
          </c:dPt>
          <c:dLbls>
            <c:numFmt formatCode="\$#,##0" sourceLinked="0"/>
            <c:txPr>
              <a:bodyPr/>
              <a:lstStyle/>
              <a:p>
                <a:pPr>
                  <a:defRPr sz="9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'Exhibits 3'!$CM$330:$CM$334</c:f>
              <c:strCache>
                <c:ptCount val="5"/>
                <c:pt idx="0">
                  <c:v>HLT 2016E Guide</c:v>
                </c:pt>
                <c:pt idx="1">
                  <c:v>2017 MSe</c:v>
                </c:pt>
                <c:pt idx="2">
                  <c:v>2017E Cons</c:v>
                </c:pt>
                <c:pt idx="3">
                  <c:v>2018 MSe</c:v>
                </c:pt>
                <c:pt idx="4">
                  <c:v>2018E Cons</c:v>
                </c:pt>
              </c:strCache>
            </c:strRef>
          </c:cat>
          <c:val>
            <c:numRef>
              <c:f>'Exhibits 3'!$CN$330:$CN$334</c:f>
              <c:numCache>
                <c:formatCode>#,##0_);\(#,##0\)</c:formatCode>
                <c:ptCount val="5"/>
                <c:pt idx="0">
                  <c:v>380</c:v>
                </c:pt>
                <c:pt idx="1">
                  <c:v>399.01125000000013</c:v>
                </c:pt>
                <c:pt idx="2">
                  <c:v>396.5028125</c:v>
                </c:pt>
                <c:pt idx="3">
                  <c:v>423.66066250000023</c:v>
                </c:pt>
                <c:pt idx="4">
                  <c:v>410.55355416666674</c:v>
                </c:pt>
              </c:numCache>
            </c:numRef>
          </c:val>
        </c:ser>
        <c:dLbls>
          <c:showLegendKey val="0"/>
          <c:showVal val="0"/>
          <c:showCatName val="0"/>
          <c:showSerName val="0"/>
          <c:showPercent val="0"/>
          <c:showBubbleSize val="0"/>
        </c:dLbls>
        <c:gapWidth val="48"/>
        <c:axId val="672232960"/>
        <c:axId val="672234496"/>
      </c:barChart>
      <c:catAx>
        <c:axId val="672232960"/>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672234496"/>
        <c:crosses val="autoZero"/>
        <c:auto val="1"/>
        <c:lblAlgn val="ctr"/>
        <c:lblOffset val="100"/>
        <c:tickLblSkip val="1"/>
        <c:tickMarkSkip val="1"/>
        <c:noMultiLvlLbl val="0"/>
      </c:catAx>
      <c:valAx>
        <c:axId val="672234496"/>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EBITDA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67223296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'Exhibits 3'!$CK$341</c:f>
              <c:strCache>
                <c:ptCount val="1"/>
                <c:pt idx="0">
                  <c:v>HLT OpCo</c:v>
                </c:pt>
              </c:strCache>
            </c:strRef>
          </c:tx>
          <c:spPr>
            <a:solidFill>
              <a:srgbClr val="137CB1"/>
            </a:solidFill>
            <a:ln w="25400">
              <a:noFill/>
            </a:ln>
          </c:spPr>
          <c:invertIfNegative val="0"/>
          <c:dLbls>
            <c:txPr>
              <a:bodyPr/>
              <a:lstStyle/>
              <a:p>
                <a:pPr>
                  <a:defRPr sz="1000" b="1" i="0" u="none" strike="noStrike" baseline="0">
                    <a:solidFill>
                      <a:srgbClr val="FFFFFF"/>
                    </a:solidFill>
                    <a:latin typeface="Calibri"/>
                    <a:ea typeface="Calibri"/>
                    <a:cs typeface="Calibri"/>
                  </a:defRPr>
                </a:pPr>
                <a:endParaRPr lang="en-US"/>
              </a:p>
            </c:txPr>
            <c:showLegendKey val="0"/>
            <c:showVal val="1"/>
            <c:showCatName val="0"/>
            <c:showSerName val="0"/>
            <c:showPercent val="0"/>
            <c:showBubbleSize val="0"/>
            <c:showLeaderLines val="0"/>
          </c:dLbls>
          <c:cat>
            <c:strRef>
              <c:f>'Exhibits 3'!$CL$340:$CP$340</c:f>
              <c:strCache>
                <c:ptCount val="5"/>
                <c:pt idx="0">
                  <c:v>HLT 2016E Guide</c:v>
                </c:pt>
                <c:pt idx="1">
                  <c:v>2017 MSe</c:v>
                </c:pt>
                <c:pt idx="2">
                  <c:v>2017E Cons</c:v>
                </c:pt>
                <c:pt idx="3">
                  <c:v>2018 MSe</c:v>
                </c:pt>
                <c:pt idx="4">
                  <c:v>2018E Cons</c:v>
                </c:pt>
              </c:strCache>
            </c:strRef>
          </c:cat>
          <c:val>
            <c:numRef>
              <c:f>'Exhibits 3'!$CL$341:$CP$341</c:f>
              <c:numCache>
                <c:formatCode>#,##0_);\(#,##0\)</c:formatCode>
                <c:ptCount val="5"/>
                <c:pt idx="0">
                  <c:v>1760</c:v>
                </c:pt>
                <c:pt idx="1">
                  <c:v>1965</c:v>
                </c:pt>
                <c:pt idx="2">
                  <c:v>1921.75</c:v>
                </c:pt>
                <c:pt idx="3">
                  <c:v>2068.6601203221921</c:v>
                </c:pt>
                <c:pt idx="4">
                  <c:v>2042.2200401073976</c:v>
                </c:pt>
              </c:numCache>
            </c:numRef>
          </c:val>
        </c:ser>
        <c:ser>
          <c:idx val="1"/>
          <c:order val="1"/>
          <c:tx>
            <c:strRef>
              <c:f>'Exhibits 3'!$CK$342</c:f>
              <c:strCache>
                <c:ptCount val="1"/>
                <c:pt idx="0">
                  <c:v>Park</c:v>
                </c:pt>
              </c:strCache>
            </c:strRef>
          </c:tx>
          <c:spPr>
            <a:solidFill>
              <a:srgbClr val="EACC80"/>
            </a:solidFill>
            <a:ln w="25400">
              <a:noFill/>
            </a:ln>
          </c:spPr>
          <c:invertIfNegative val="0"/>
          <c:dLbls>
            <c:txPr>
              <a:bodyPr/>
              <a:lstStyle/>
              <a:p>
                <a:pPr>
                  <a:defRPr sz="1000" b="1" i="0" u="none" strike="noStrike" baseline="0">
                    <a:solidFill>
                      <a:srgbClr val="FFFFFF"/>
                    </a:solidFill>
                    <a:latin typeface="Calibri"/>
                    <a:ea typeface="Calibri"/>
                    <a:cs typeface="Calibri"/>
                  </a:defRPr>
                </a:pPr>
                <a:endParaRPr lang="en-US"/>
              </a:p>
            </c:txPr>
            <c:showLegendKey val="0"/>
            <c:showVal val="1"/>
            <c:showCatName val="0"/>
            <c:showSerName val="0"/>
            <c:showPercent val="0"/>
            <c:showBubbleSize val="0"/>
            <c:showLeaderLines val="0"/>
          </c:dLbls>
          <c:cat>
            <c:strRef>
              <c:f>'Exhibits 3'!$CL$340:$CP$340</c:f>
              <c:strCache>
                <c:ptCount val="5"/>
                <c:pt idx="0">
                  <c:v>HLT 2016E Guide</c:v>
                </c:pt>
                <c:pt idx="1">
                  <c:v>2017 MSe</c:v>
                </c:pt>
                <c:pt idx="2">
                  <c:v>2017E Cons</c:v>
                </c:pt>
                <c:pt idx="3">
                  <c:v>2018 MSe</c:v>
                </c:pt>
                <c:pt idx="4">
                  <c:v>2018E Cons</c:v>
                </c:pt>
              </c:strCache>
            </c:strRef>
          </c:cat>
          <c:val>
            <c:numRef>
              <c:f>'Exhibits 3'!$CL$342:$CP$342</c:f>
              <c:numCache>
                <c:formatCode>#,##0_);\(#,##0\)</c:formatCode>
                <c:ptCount val="5"/>
                <c:pt idx="0">
                  <c:v>765</c:v>
                </c:pt>
                <c:pt idx="1">
                  <c:v>764.46170245283065</c:v>
                </c:pt>
                <c:pt idx="2">
                  <c:v>776.86542561320766</c:v>
                </c:pt>
                <c:pt idx="3">
                  <c:v>789.75509015688669</c:v>
                </c:pt>
                <c:pt idx="4">
                  <c:v>780.58503005229556</c:v>
                </c:pt>
              </c:numCache>
            </c:numRef>
          </c:val>
        </c:ser>
        <c:ser>
          <c:idx val="2"/>
          <c:order val="2"/>
          <c:tx>
            <c:strRef>
              <c:f>'Exhibits 3'!$CK$343</c:f>
              <c:strCache>
                <c:ptCount val="1"/>
                <c:pt idx="0">
                  <c:v>HGV</c:v>
                </c:pt>
              </c:strCache>
            </c:strRef>
          </c:tx>
          <c:spPr>
            <a:solidFill>
              <a:srgbClr val="4AAC6B"/>
            </a:solidFill>
            <a:ln w="25400">
              <a:noFill/>
            </a:ln>
          </c:spPr>
          <c:invertIfNegative val="0"/>
          <c:dLbls>
            <c:txPr>
              <a:bodyPr/>
              <a:lstStyle/>
              <a:p>
                <a:pPr>
                  <a:defRPr sz="1000" b="1" i="0" u="none" strike="noStrike" baseline="0">
                    <a:solidFill>
                      <a:srgbClr val="FFFFFF"/>
                    </a:solidFill>
                    <a:latin typeface="Calibri"/>
                    <a:ea typeface="Calibri"/>
                    <a:cs typeface="Calibri"/>
                  </a:defRPr>
                </a:pPr>
                <a:endParaRPr lang="en-US"/>
              </a:p>
            </c:txPr>
            <c:showLegendKey val="0"/>
            <c:showVal val="1"/>
            <c:showCatName val="0"/>
            <c:showSerName val="0"/>
            <c:showPercent val="0"/>
            <c:showBubbleSize val="0"/>
            <c:showLeaderLines val="0"/>
          </c:dLbls>
          <c:cat>
            <c:strRef>
              <c:f>'Exhibits 3'!$CL$340:$CP$340</c:f>
              <c:strCache>
                <c:ptCount val="5"/>
                <c:pt idx="0">
                  <c:v>HLT 2016E Guide</c:v>
                </c:pt>
                <c:pt idx="1">
                  <c:v>2017 MSe</c:v>
                </c:pt>
                <c:pt idx="2">
                  <c:v>2017E Cons</c:v>
                </c:pt>
                <c:pt idx="3">
                  <c:v>2018 MSe</c:v>
                </c:pt>
                <c:pt idx="4">
                  <c:v>2018E Cons</c:v>
                </c:pt>
              </c:strCache>
            </c:strRef>
          </c:cat>
          <c:val>
            <c:numRef>
              <c:f>'Exhibits 3'!$CL$343:$CP$343</c:f>
              <c:numCache>
                <c:formatCode>#,##0_);\(#,##0\)</c:formatCode>
                <c:ptCount val="5"/>
                <c:pt idx="0">
                  <c:v>380</c:v>
                </c:pt>
                <c:pt idx="1">
                  <c:v>399.01125000000013</c:v>
                </c:pt>
                <c:pt idx="2">
                  <c:v>396.5028125</c:v>
                </c:pt>
                <c:pt idx="3">
                  <c:v>423.66066250000023</c:v>
                </c:pt>
                <c:pt idx="4">
                  <c:v>410.55355416666674</c:v>
                </c:pt>
              </c:numCache>
            </c:numRef>
          </c:val>
        </c:ser>
        <c:dLbls>
          <c:showLegendKey val="0"/>
          <c:showVal val="0"/>
          <c:showCatName val="0"/>
          <c:showSerName val="0"/>
          <c:showPercent val="0"/>
          <c:showBubbleSize val="0"/>
        </c:dLbls>
        <c:gapWidth val="37"/>
        <c:overlap val="100"/>
        <c:axId val="672282880"/>
        <c:axId val="672296960"/>
      </c:barChart>
      <c:catAx>
        <c:axId val="672282880"/>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672296960"/>
        <c:crosses val="autoZero"/>
        <c:auto val="1"/>
        <c:lblAlgn val="ctr"/>
        <c:lblOffset val="100"/>
        <c:tickLblSkip val="1"/>
        <c:tickMarkSkip val="1"/>
        <c:noMultiLvlLbl val="0"/>
      </c:catAx>
      <c:valAx>
        <c:axId val="672296960"/>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EBITDA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672282880"/>
        <c:crosses val="autoZero"/>
        <c:crossBetween val="between"/>
      </c:valAx>
      <c:spPr>
        <a:noFill/>
        <a:ln w="25400">
          <a:noFill/>
        </a:ln>
      </c:spPr>
    </c:plotArea>
    <c:legend>
      <c:legendPos val="b"/>
      <c:layout>
        <c:manualLayout>
          <c:xMode val="edge"/>
          <c:yMode val="edge"/>
          <c:x val="0.3679937528470098"/>
          <c:y val="0.85609749830222281"/>
          <c:w val="0.36401249430598032"/>
          <c:h val="8.371712277224086E-2"/>
        </c:manualLayout>
      </c:layout>
      <c:overlay val="0"/>
      <c:spPr>
        <a:noFill/>
        <a:ln w="25400">
          <a:noFill/>
        </a:ln>
        <a:extLst>
          <a:ext uri="{909E8E84-426E-40DD-AFC4-6F175D3DCCD1}">
            <a14:hiddenFill xmlns:a14="http://schemas.microsoft.com/office/drawing/2010/main">
              <a:noFill/>
            </a14:hiddenFill>
          </a:ext>
        </a:extLst>
      </c:spPr>
      <c:txPr>
        <a:bodyPr/>
        <a:lstStyle/>
        <a:p>
          <a:pPr>
            <a:defRPr sz="460" b="0" i="0" u="none" strike="noStrike" baseline="0">
              <a:solidFill>
                <a:srgbClr val="80808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05555555555555"/>
          <c:y val="3.9351851851851853E-2"/>
          <c:w val="0.5083333333333333"/>
          <c:h val="0.84722222222222221"/>
        </c:manualLayout>
      </c:layout>
      <c:pieChart>
        <c:varyColors val="1"/>
        <c:ser>
          <c:idx val="0"/>
          <c:order val="0"/>
          <c:tx>
            <c:strRef>
              <c:f>'Exhibits 3'!$DW$411</c:f>
              <c:strCache>
                <c:ptCount val="1"/>
                <c:pt idx="0">
                  <c:v>Park</c:v>
                </c:pt>
              </c:strCache>
            </c:strRef>
          </c:tx>
          <c:dPt>
            <c:idx val="0"/>
            <c:bubble3D val="0"/>
            <c:spPr>
              <a:solidFill>
                <a:srgbClr val="137CB1"/>
              </a:solidFill>
            </c:spPr>
          </c:dPt>
          <c:dPt>
            <c:idx val="1"/>
            <c:bubble3D val="0"/>
            <c:spPr>
              <a:solidFill>
                <a:srgbClr val="EACC80"/>
              </a:solidFill>
            </c:spPr>
          </c:dPt>
          <c:dPt>
            <c:idx val="2"/>
            <c:bubble3D val="0"/>
            <c:spPr>
              <a:solidFill>
                <a:srgbClr val="4AAC6B"/>
              </a:solidFill>
            </c:spPr>
          </c:dPt>
          <c:dPt>
            <c:idx val="3"/>
            <c:bubble3D val="0"/>
            <c:spPr>
              <a:solidFill>
                <a:srgbClr val="A8D7E2"/>
              </a:solidFill>
            </c:spPr>
          </c:dPt>
          <c:dPt>
            <c:idx val="4"/>
            <c:bubble3D val="0"/>
            <c:spPr>
              <a:solidFill>
                <a:srgbClr val="E58061"/>
              </a:solidFill>
            </c:spPr>
          </c:dPt>
          <c:dPt>
            <c:idx val="5"/>
            <c:bubble3D val="0"/>
            <c:spPr>
              <a:solidFill>
                <a:srgbClr val="BCE3A1"/>
              </a:solidFill>
            </c:spPr>
          </c:dPt>
          <c:dPt>
            <c:idx val="6"/>
            <c:bubble3D val="0"/>
            <c:spPr>
              <a:solidFill>
                <a:srgbClr val="8E466A"/>
              </a:solidFill>
            </c:spPr>
          </c:dPt>
          <c:dPt>
            <c:idx val="7"/>
            <c:bubble3D val="0"/>
            <c:spPr>
              <a:solidFill>
                <a:srgbClr val="F3A7A9"/>
              </a:solidFill>
            </c:spPr>
          </c:dPt>
          <c:dPt>
            <c:idx val="8"/>
            <c:bubble3D val="0"/>
            <c:spPr>
              <a:solidFill>
                <a:srgbClr val="1275A6"/>
              </a:solidFill>
            </c:spPr>
          </c:dPt>
          <c:dPt>
            <c:idx val="9"/>
            <c:bubble3D val="0"/>
            <c:spPr>
              <a:solidFill>
                <a:srgbClr val="E5BF61"/>
              </a:solidFill>
            </c:spPr>
          </c:dPt>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1"/>
            <c:showSerName val="0"/>
            <c:showPercent val="0"/>
            <c:showBubbleSize val="0"/>
            <c:showLeaderLines val="1"/>
          </c:dLbls>
          <c:cat>
            <c:strRef>
              <c:f>'Exhibits 3'!$DV$412:$DV$421</c:f>
              <c:strCache>
                <c:ptCount val="10"/>
                <c:pt idx="0">
                  <c:v>Florida</c:v>
                </c:pt>
                <c:pt idx="1">
                  <c:v>Northern CA</c:v>
                </c:pt>
                <c:pt idx="2">
                  <c:v>International</c:v>
                </c:pt>
                <c:pt idx="3">
                  <c:v>Hawaii</c:v>
                </c:pt>
                <c:pt idx="4">
                  <c:v>Southern CA</c:v>
                </c:pt>
                <c:pt idx="5">
                  <c:v>Chicago</c:v>
                </c:pt>
                <c:pt idx="6">
                  <c:v>Washington D.C.</c:v>
                </c:pt>
                <c:pt idx="7">
                  <c:v>New York</c:v>
                </c:pt>
                <c:pt idx="8">
                  <c:v>New Orleans</c:v>
                </c:pt>
                <c:pt idx="9">
                  <c:v>Other U.S.</c:v>
                </c:pt>
              </c:strCache>
            </c:strRef>
          </c:cat>
          <c:val>
            <c:numRef>
              <c:f>'Exhibits 3'!$DW$412:$DW$421</c:f>
              <c:numCache>
                <c:formatCode>0%</c:formatCode>
                <c:ptCount val="10"/>
                <c:pt idx="0">
                  <c:v>0.13</c:v>
                </c:pt>
                <c:pt idx="1">
                  <c:v>0.13</c:v>
                </c:pt>
                <c:pt idx="2">
                  <c:v>0.12</c:v>
                </c:pt>
                <c:pt idx="3">
                  <c:v>0.12</c:v>
                </c:pt>
                <c:pt idx="4">
                  <c:v>0.08</c:v>
                </c:pt>
                <c:pt idx="5">
                  <c:v>0.08</c:v>
                </c:pt>
                <c:pt idx="6">
                  <c:v>0.06</c:v>
                </c:pt>
                <c:pt idx="7">
                  <c:v>0.06</c:v>
                </c:pt>
                <c:pt idx="8">
                  <c:v>0.05</c:v>
                </c:pt>
                <c:pt idx="9">
                  <c:v>0.17</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83753941675476"/>
          <c:y val="0.12657916692573415"/>
          <c:w val="0.53101709244976214"/>
          <c:h val="0.87342083307426588"/>
        </c:manualLayout>
      </c:layout>
      <c:pieChart>
        <c:varyColors val="1"/>
        <c:ser>
          <c:idx val="0"/>
          <c:order val="0"/>
          <c:tx>
            <c:strRef>
              <c:f>'Exhibits 3'!$DW$411</c:f>
              <c:strCache>
                <c:ptCount val="1"/>
                <c:pt idx="0">
                  <c:v>Park</c:v>
                </c:pt>
              </c:strCache>
            </c:strRef>
          </c:tx>
          <c:dPt>
            <c:idx val="0"/>
            <c:bubble3D val="0"/>
            <c:spPr>
              <a:solidFill>
                <a:srgbClr val="137CB1"/>
              </a:solidFill>
            </c:spPr>
          </c:dPt>
          <c:dPt>
            <c:idx val="1"/>
            <c:bubble3D val="0"/>
            <c:spPr>
              <a:solidFill>
                <a:srgbClr val="EACC80"/>
              </a:solidFill>
            </c:spPr>
          </c:dPt>
          <c:dPt>
            <c:idx val="2"/>
            <c:bubble3D val="0"/>
            <c:spPr>
              <a:solidFill>
                <a:srgbClr val="4AAC6B"/>
              </a:solidFill>
            </c:spPr>
          </c:dPt>
          <c:dPt>
            <c:idx val="3"/>
            <c:bubble3D val="0"/>
            <c:spPr>
              <a:solidFill>
                <a:srgbClr val="A8D7E2"/>
              </a:solidFill>
            </c:spPr>
          </c:dPt>
          <c:dPt>
            <c:idx val="4"/>
            <c:bubble3D val="0"/>
            <c:spPr>
              <a:solidFill>
                <a:srgbClr val="E58061"/>
              </a:solidFill>
            </c:spPr>
          </c:dPt>
          <c:dLbls>
            <c:txPr>
              <a:bodyPr/>
              <a:lstStyle/>
              <a:p>
                <a:pPr>
                  <a:defRPr sz="1050" b="0" i="0" u="none" strike="noStrike" baseline="0">
                    <a:solidFill>
                      <a:srgbClr val="000000"/>
                    </a:solidFill>
                    <a:latin typeface="Calibri"/>
                    <a:ea typeface="Calibri"/>
                    <a:cs typeface="Calibri"/>
                  </a:defRPr>
                </a:pPr>
                <a:endParaRPr lang="en-US"/>
              </a:p>
            </c:txPr>
            <c:showLegendKey val="0"/>
            <c:showVal val="1"/>
            <c:showCatName val="1"/>
            <c:showSerName val="0"/>
            <c:showPercent val="0"/>
            <c:showBubbleSize val="0"/>
            <c:showLeaderLines val="1"/>
          </c:dLbls>
          <c:cat>
            <c:strRef>
              <c:f>'Exhibits 3'!$EC$442:$EC$446</c:f>
              <c:strCache>
                <c:ptCount val="5"/>
                <c:pt idx="0">
                  <c:v>Luxury</c:v>
                </c:pt>
                <c:pt idx="1">
                  <c:v>Upper Upscale</c:v>
                </c:pt>
                <c:pt idx="2">
                  <c:v>Upper Midscale</c:v>
                </c:pt>
                <c:pt idx="3">
                  <c:v>Upscale</c:v>
                </c:pt>
                <c:pt idx="4">
                  <c:v>Other</c:v>
                </c:pt>
              </c:strCache>
            </c:strRef>
          </c:cat>
          <c:val>
            <c:numRef>
              <c:f>'Exhibits 3'!$ED$442:$ED$446</c:f>
              <c:numCache>
                <c:formatCode>0%</c:formatCode>
                <c:ptCount val="5"/>
                <c:pt idx="0">
                  <c:v>0.03</c:v>
                </c:pt>
                <c:pt idx="1">
                  <c:v>0.34</c:v>
                </c:pt>
                <c:pt idx="2">
                  <c:v>0.28999999999999998</c:v>
                </c:pt>
                <c:pt idx="3">
                  <c:v>0.33</c:v>
                </c:pt>
                <c:pt idx="4">
                  <c:v>0.01</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83753941675476"/>
          <c:y val="0.12657916692573415"/>
          <c:w val="0.53101709244976214"/>
          <c:h val="0.87342083307426588"/>
        </c:manualLayout>
      </c:layout>
      <c:pieChart>
        <c:varyColors val="1"/>
        <c:ser>
          <c:idx val="0"/>
          <c:order val="0"/>
          <c:tx>
            <c:strRef>
              <c:f>'Exhibits 3'!$DW$411</c:f>
              <c:strCache>
                <c:ptCount val="1"/>
                <c:pt idx="0">
                  <c:v>Park</c:v>
                </c:pt>
              </c:strCache>
            </c:strRef>
          </c:tx>
          <c:dPt>
            <c:idx val="0"/>
            <c:bubble3D val="0"/>
            <c:spPr>
              <a:solidFill>
                <a:srgbClr val="137CB1"/>
              </a:solidFill>
            </c:spPr>
          </c:dPt>
          <c:dPt>
            <c:idx val="1"/>
            <c:bubble3D val="0"/>
            <c:spPr>
              <a:solidFill>
                <a:srgbClr val="EACC80"/>
              </a:solidFill>
            </c:spPr>
          </c:dPt>
          <c:dPt>
            <c:idx val="2"/>
            <c:bubble3D val="0"/>
            <c:spPr>
              <a:solidFill>
                <a:srgbClr val="4AAC6B"/>
              </a:solidFill>
            </c:spPr>
          </c:dPt>
          <c:dPt>
            <c:idx val="3"/>
            <c:bubble3D val="0"/>
            <c:spPr>
              <a:solidFill>
                <a:srgbClr val="A8D7E2"/>
              </a:solidFill>
            </c:spPr>
          </c:dPt>
          <c:dLbls>
            <c:txPr>
              <a:bodyPr/>
              <a:lstStyle/>
              <a:p>
                <a:pPr>
                  <a:defRPr sz="1050" b="0" i="0" u="none" strike="noStrike" baseline="0">
                    <a:solidFill>
                      <a:srgbClr val="000000"/>
                    </a:solidFill>
                    <a:latin typeface="Calibri"/>
                    <a:ea typeface="Calibri"/>
                    <a:cs typeface="Calibri"/>
                  </a:defRPr>
                </a:pPr>
                <a:endParaRPr lang="en-US"/>
              </a:p>
            </c:txPr>
            <c:showLegendKey val="0"/>
            <c:showVal val="1"/>
            <c:showCatName val="1"/>
            <c:showSerName val="0"/>
            <c:showPercent val="0"/>
            <c:showBubbleSize val="0"/>
            <c:showLeaderLines val="1"/>
          </c:dLbls>
          <c:cat>
            <c:strRef>
              <c:f>'Exhibits 3'!$EK$471:$EK$474</c:f>
              <c:strCache>
                <c:ptCount val="4"/>
                <c:pt idx="0">
                  <c:v>Suburban</c:v>
                </c:pt>
                <c:pt idx="1">
                  <c:v>Urban</c:v>
                </c:pt>
                <c:pt idx="2">
                  <c:v>Airport</c:v>
                </c:pt>
                <c:pt idx="3">
                  <c:v>Resort</c:v>
                </c:pt>
              </c:strCache>
            </c:strRef>
          </c:cat>
          <c:val>
            <c:numRef>
              <c:f>'Exhibits 3'!$EL$471:$EL$474</c:f>
              <c:numCache>
                <c:formatCode>0%</c:formatCode>
                <c:ptCount val="4"/>
                <c:pt idx="0">
                  <c:v>0.1</c:v>
                </c:pt>
                <c:pt idx="1">
                  <c:v>0.44</c:v>
                </c:pt>
                <c:pt idx="2">
                  <c:v>0.18</c:v>
                </c:pt>
                <c:pt idx="3">
                  <c:v>0.28000000000000003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80808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'Exhibits 3'!$EW$499:$EW$505</c:f>
              <c:strCache>
                <c:ptCount val="1"/>
                <c:pt idx="0">
                  <c:v>% Growth 59.1% 52.3% 47.7% 33.7% 27.3% 18.1%</c:v>
                </c:pt>
              </c:strCache>
            </c:strRef>
          </c:tx>
          <c:spPr>
            <a:solidFill>
              <a:srgbClr val="137CB1"/>
            </a:solidFill>
            <a:ln w="25400">
              <a:noFill/>
            </a:ln>
          </c:spPr>
          <c:invertIfNegative val="0"/>
          <c:dLbls>
            <c:txPr>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strRef>
              <c:f>'Exhibits 3'!$ET$500:$ET$506</c:f>
              <c:strCache>
                <c:ptCount val="7"/>
                <c:pt idx="0">
                  <c:v>Hilton</c:v>
                </c:pt>
                <c:pt idx="1">
                  <c:v>Hyatt</c:v>
                </c:pt>
                <c:pt idx="2">
                  <c:v>Marriott</c:v>
                </c:pt>
                <c:pt idx="3">
                  <c:v>IHG</c:v>
                </c:pt>
                <c:pt idx="4">
                  <c:v>Wyndham</c:v>
                </c:pt>
                <c:pt idx="5">
                  <c:v>Accor</c:v>
                </c:pt>
                <c:pt idx="6">
                  <c:v>Choice</c:v>
                </c:pt>
              </c:strCache>
            </c:strRef>
          </c:cat>
          <c:val>
            <c:numRef>
              <c:f>'Exhibits 3'!$EW$500:$EW$506</c:f>
              <c:numCache>
                <c:formatCode>0.0%</c:formatCode>
                <c:ptCount val="7"/>
                <c:pt idx="0">
                  <c:v>0.59072580645161299</c:v>
                </c:pt>
                <c:pt idx="1">
                  <c:v>0.52252252252252251</c:v>
                </c:pt>
                <c:pt idx="2">
                  <c:v>0.4769820971867007</c:v>
                </c:pt>
                <c:pt idx="3">
                  <c:v>0.33687943262411357</c:v>
                </c:pt>
                <c:pt idx="4">
                  <c:v>0.27306273062730635</c:v>
                </c:pt>
                <c:pt idx="5">
                  <c:v>0.1806981519507187</c:v>
                </c:pt>
                <c:pt idx="6">
                  <c:v>0.14125560538116599</c:v>
                </c:pt>
              </c:numCache>
            </c:numRef>
          </c:val>
        </c:ser>
        <c:dLbls>
          <c:showLegendKey val="0"/>
          <c:showVal val="0"/>
          <c:showCatName val="0"/>
          <c:showSerName val="0"/>
          <c:showPercent val="0"/>
          <c:showBubbleSize val="0"/>
        </c:dLbls>
        <c:gapWidth val="46"/>
        <c:axId val="672120832"/>
        <c:axId val="672122368"/>
      </c:barChart>
      <c:catAx>
        <c:axId val="672120832"/>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50" b="0" i="0" u="none" strike="noStrike" baseline="0">
                <a:solidFill>
                  <a:srgbClr val="808080"/>
                </a:solidFill>
                <a:latin typeface="Calibri"/>
                <a:ea typeface="Calibri"/>
                <a:cs typeface="Calibri"/>
              </a:defRPr>
            </a:pPr>
            <a:endParaRPr lang="en-US"/>
          </a:p>
        </c:txPr>
        <c:crossAx val="672122368"/>
        <c:crosses val="autoZero"/>
        <c:auto val="1"/>
        <c:lblAlgn val="ctr"/>
        <c:lblOffset val="100"/>
        <c:tickLblSkip val="1"/>
        <c:tickMarkSkip val="1"/>
        <c:noMultiLvlLbl val="0"/>
      </c:catAx>
      <c:valAx>
        <c:axId val="672122368"/>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Global Room Growth (%)</a:t>
                </a:r>
              </a:p>
            </c:rich>
          </c:tx>
          <c:overlay val="0"/>
        </c:title>
        <c:numFmt formatCode="0%" sourceLinked="0"/>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6721208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Pt>
            <c:idx val="3"/>
            <c:invertIfNegative val="0"/>
            <c:bubble3D val="0"/>
            <c:spPr>
              <a:solidFill>
                <a:srgbClr val="E6BE64"/>
              </a:solidFill>
              <a:ln w="25400">
                <a:noFill/>
              </a:ln>
            </c:spPr>
          </c:dPt>
          <c:dLbls>
            <c:numFmt formatCode="0.0%" sourceLinked="0"/>
            <c:txPr>
              <a:bodyPr/>
              <a:lstStyle/>
              <a:p>
                <a:pPr>
                  <a:defRPr b="1"/>
                </a:pPr>
                <a:endParaRPr lang="en-US"/>
              </a:p>
            </c:txPr>
            <c:showLegendKey val="0"/>
            <c:showVal val="1"/>
            <c:showCatName val="0"/>
            <c:showSerName val="0"/>
            <c:showPercent val="0"/>
            <c:showBubbleSize val="0"/>
            <c:showLeaderLines val="0"/>
          </c:dLbls>
          <c:cat>
            <c:strRef>
              <c:f>'Exhibits 3'!$GH$612:$GH$617</c:f>
              <c:strCache>
                <c:ptCount val="6"/>
                <c:pt idx="0">
                  <c:v>LQ</c:v>
                </c:pt>
                <c:pt idx="1">
                  <c:v>HLT</c:v>
                </c:pt>
                <c:pt idx="2">
                  <c:v>MAR</c:v>
                </c:pt>
                <c:pt idx="3">
                  <c:v>H</c:v>
                </c:pt>
                <c:pt idx="4">
                  <c:v>CHH</c:v>
                </c:pt>
                <c:pt idx="5">
                  <c:v>STAY</c:v>
                </c:pt>
              </c:strCache>
            </c:strRef>
          </c:cat>
          <c:val>
            <c:numRef>
              <c:f>'Exhibits 3'!$GI$612:$GI$617</c:f>
              <c:numCache>
                <c:formatCode>0.0%</c:formatCode>
                <c:ptCount val="6"/>
                <c:pt idx="0">
                  <c:v>0</c:v>
                </c:pt>
                <c:pt idx="1">
                  <c:v>1.7999999999999999E-2</c:v>
                </c:pt>
                <c:pt idx="2">
                  <c:v>2.3E-2</c:v>
                </c:pt>
                <c:pt idx="3">
                  <c:v>2.5000000000000001E-2</c:v>
                </c:pt>
                <c:pt idx="4">
                  <c:v>3.9E-2</c:v>
                </c:pt>
                <c:pt idx="5">
                  <c:v>3.9E-2</c:v>
                </c:pt>
              </c:numCache>
            </c:numRef>
          </c:val>
        </c:ser>
        <c:dLbls>
          <c:showLegendKey val="0"/>
          <c:showVal val="0"/>
          <c:showCatName val="0"/>
          <c:showSerName val="0"/>
          <c:showPercent val="0"/>
          <c:showBubbleSize val="0"/>
        </c:dLbls>
        <c:gapWidth val="37"/>
        <c:axId val="6642688"/>
        <c:axId val="6644480"/>
      </c:barChart>
      <c:lineChart>
        <c:grouping val="standard"/>
        <c:varyColors val="0"/>
        <c:ser>
          <c:idx val="1"/>
          <c:order val="1"/>
          <c:tx>
            <c:strRef>
              <c:f>'Exhibits 3'!$GJ$611</c:f>
              <c:strCache>
                <c:ptCount val="1"/>
                <c:pt idx="0">
                  <c:v>Average</c:v>
                </c:pt>
              </c:strCache>
            </c:strRef>
          </c:tx>
          <c:marker>
            <c:symbol val="none"/>
          </c:marker>
          <c:val>
            <c:numRef>
              <c:f>'Exhibits 3'!$GJ$612:$GJ$617</c:f>
              <c:numCache>
                <c:formatCode>0.0%</c:formatCode>
                <c:ptCount val="6"/>
                <c:pt idx="0">
                  <c:v>2.4000000000000004E-2</c:v>
                </c:pt>
                <c:pt idx="1">
                  <c:v>2.4000000000000004E-2</c:v>
                </c:pt>
                <c:pt idx="2">
                  <c:v>2.4000000000000004E-2</c:v>
                </c:pt>
                <c:pt idx="3">
                  <c:v>2.4000000000000004E-2</c:v>
                </c:pt>
                <c:pt idx="4">
                  <c:v>2.4000000000000004E-2</c:v>
                </c:pt>
                <c:pt idx="5">
                  <c:v>2.4000000000000004E-2</c:v>
                </c:pt>
              </c:numCache>
            </c:numRef>
          </c:val>
          <c:smooth val="0"/>
        </c:ser>
        <c:dLbls>
          <c:showLegendKey val="0"/>
          <c:showVal val="0"/>
          <c:showCatName val="0"/>
          <c:showSerName val="0"/>
          <c:showPercent val="0"/>
          <c:showBubbleSize val="0"/>
        </c:dLbls>
        <c:marker val="1"/>
        <c:smooth val="0"/>
        <c:axId val="6642688"/>
        <c:axId val="6644480"/>
      </c:lineChart>
      <c:catAx>
        <c:axId val="6642688"/>
        <c:scaling>
          <c:orientation val="minMax"/>
        </c:scaling>
        <c:delete val="0"/>
        <c:axPos val="b"/>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6644480"/>
        <c:crosses val="autoZero"/>
        <c:auto val="1"/>
        <c:lblAlgn val="ctr"/>
        <c:lblOffset val="100"/>
        <c:tickLblSkip val="1"/>
        <c:tickMarkSkip val="1"/>
        <c:noMultiLvlLbl val="0"/>
      </c:catAx>
      <c:valAx>
        <c:axId val="6644480"/>
        <c:scaling>
          <c:orientation val="minMax"/>
        </c:scaling>
        <c:delete val="0"/>
        <c:axPos val="l"/>
        <c:majorGridlines>
          <c:spPr>
            <a:ln>
              <a:solidFill>
                <a:srgbClr val="C0C0C0"/>
              </a:solidFill>
              <a:prstDash val="solid"/>
            </a:ln>
          </c:spPr>
        </c:majorGridlines>
        <c:title>
          <c:tx>
            <c:rich>
              <a:bodyPr rot="-5400000" vert="horz"/>
              <a:lstStyle/>
              <a:p>
                <a:pPr>
                  <a:defRPr/>
                </a:pPr>
                <a:r>
                  <a:rPr lang="en-US"/>
                  <a:t>2016 RevPAR Growth (%)</a:t>
                </a:r>
              </a:p>
            </c:rich>
          </c:tx>
          <c:overlay val="0"/>
        </c:title>
        <c:numFmt formatCode="0.0%" sourceLinked="1"/>
        <c:majorTickMark val="out"/>
        <c:minorTickMark val="none"/>
        <c:tickLblPos val="nextTo"/>
        <c:spPr>
          <a:ln w="9525">
            <a:noFill/>
          </a:ln>
        </c:spPr>
        <c:txPr>
          <a:bodyPr rot="0" vert="horz"/>
          <a:lstStyle/>
          <a:p>
            <a:pPr>
              <a:defRPr>
                <a:solidFill>
                  <a:srgbClr val="808080"/>
                </a:solidFill>
              </a:defRPr>
            </a:pPr>
            <a:endParaRPr lang="en-US"/>
          </a:p>
        </c:txPr>
        <c:crossAx val="6642688"/>
        <c:crosses val="autoZero"/>
        <c:crossBetween val="between"/>
      </c:valAx>
      <c:spPr>
        <a:noFill/>
        <a:ln w="25400">
          <a:noFill/>
        </a:ln>
        <a:extLst>
          <a:ext uri="{909E8E84-426E-40DD-AFC4-6F175D3DCCD1}">
            <a14:hiddenFill xmlns:a14="http://schemas.microsoft.com/office/drawing/2010/main">
              <a:solidFill>
                <a:sysClr val="window" lastClr="F0F0F0"/>
              </a:solidFill>
            </a14:hiddenFill>
          </a:ext>
        </a:extLst>
      </c:spPr>
    </c:plotArea>
    <c:legend>
      <c:legendPos val="l"/>
      <c:legendEntry>
        <c:idx val="0"/>
        <c:delete val="1"/>
      </c:legendEntry>
      <c:layout>
        <c:manualLayout>
          <c:xMode val="edge"/>
          <c:yMode val="edge"/>
          <c:x val="0.16111111111111112"/>
          <c:y val="5.5171697287839022E-2"/>
          <c:w val="0.17563954505686788"/>
          <c:h val="8.3717191601049873E-2"/>
        </c:manualLayout>
      </c:layout>
      <c:overlay val="1"/>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Lbls>
            <c:dLbl>
              <c:idx val="0"/>
              <c:tx>
                <c:rich>
                  <a:bodyPr/>
                  <a:lstStyle/>
                  <a:p>
                    <a:pPr>
                      <a:defRPr sz="1200" b="1"/>
                    </a:pPr>
                    <a:r>
                      <a:rPr lang="en-US" sz="1200"/>
                      <a:t>$33m</a:t>
                    </a:r>
                  </a:p>
                </c:rich>
              </c:tx>
              <c:numFmt formatCode="&quot;$&quot;#,##0" sourceLinked="0"/>
              <c:spPr/>
              <c:showLegendKey val="0"/>
              <c:showVal val="1"/>
              <c:showCatName val="0"/>
              <c:showSerName val="0"/>
              <c:showPercent val="0"/>
              <c:showBubbleSize val="0"/>
            </c:dLbl>
            <c:dLbl>
              <c:idx val="1"/>
              <c:layout>
                <c:manualLayout>
                  <c:x val="-2.7777777777777779E-3"/>
                  <c:y val="1.3888888888888895E-2"/>
                </c:manualLayout>
              </c:layout>
              <c:tx>
                <c:rich>
                  <a:bodyPr/>
                  <a:lstStyle/>
                  <a:p>
                    <a:pPr>
                      <a:defRPr sz="1200" b="1"/>
                    </a:pPr>
                    <a:r>
                      <a:rPr lang="en-US" sz="1200"/>
                      <a:t>$66m</a:t>
                    </a:r>
                  </a:p>
                </c:rich>
              </c:tx>
              <c:numFmt formatCode="&quot;$&quot;#,##0" sourceLinked="0"/>
              <c:spPr/>
              <c:showLegendKey val="0"/>
              <c:showVal val="1"/>
              <c:showCatName val="0"/>
              <c:showSerName val="0"/>
              <c:showPercent val="0"/>
              <c:showBubbleSize val="0"/>
            </c:dLbl>
            <c:numFmt formatCode="&quot;$&quot;#,##0" sourceLinked="0"/>
            <c:txPr>
              <a:bodyPr/>
              <a:lstStyle/>
              <a:p>
                <a:pPr>
                  <a:defRPr sz="1100" b="1"/>
                </a:pPr>
                <a:endParaRPr lang="en-US"/>
              </a:p>
            </c:txPr>
            <c:showLegendKey val="0"/>
            <c:showVal val="1"/>
            <c:showCatName val="0"/>
            <c:showSerName val="0"/>
            <c:showPercent val="0"/>
            <c:showBubbleSize val="0"/>
            <c:showLeaderLines val="0"/>
          </c:dLbls>
          <c:cat>
            <c:numRef>
              <c:f>'Exhibits 3'!$HE$663:$HE$664</c:f>
              <c:numCache>
                <c:formatCode>0.00%</c:formatCode>
                <c:ptCount val="2"/>
                <c:pt idx="0">
                  <c:v>2.75E-2</c:v>
                </c:pt>
                <c:pt idx="1">
                  <c:v>3.5000000000000003E-2</c:v>
                </c:pt>
              </c:numCache>
            </c:numRef>
          </c:cat>
          <c:val>
            <c:numRef>
              <c:f>'Exhibits 3'!$HK$663:$HK$664</c:f>
              <c:numCache>
                <c:formatCode>#,##0_);\(#,##0\)</c:formatCode>
                <c:ptCount val="2"/>
                <c:pt idx="0">
                  <c:v>54.687499999999986</c:v>
                </c:pt>
                <c:pt idx="1">
                  <c:v>76.562500000000014</c:v>
                </c:pt>
              </c:numCache>
            </c:numRef>
          </c:val>
        </c:ser>
        <c:dLbls>
          <c:showLegendKey val="0"/>
          <c:showVal val="0"/>
          <c:showCatName val="0"/>
          <c:showSerName val="0"/>
          <c:showPercent val="0"/>
          <c:showBubbleSize val="0"/>
        </c:dLbls>
        <c:gapWidth val="32"/>
        <c:axId val="6690688"/>
        <c:axId val="6692864"/>
      </c:barChart>
      <c:catAx>
        <c:axId val="6690688"/>
        <c:scaling>
          <c:orientation val="minMax"/>
        </c:scaling>
        <c:delete val="0"/>
        <c:axPos val="b"/>
        <c:title>
          <c:tx>
            <c:rich>
              <a:bodyPr/>
              <a:lstStyle/>
              <a:p>
                <a:pPr>
                  <a:defRPr sz="1100"/>
                </a:pPr>
                <a:r>
                  <a:rPr lang="en-US" sz="1100"/>
                  <a:t>Total Contributions</a:t>
                </a:r>
                <a:r>
                  <a:rPr lang="en-US" sz="1100" baseline="0"/>
                  <a:t> </a:t>
                </a:r>
                <a:r>
                  <a:rPr lang="en-US" sz="1100"/>
                  <a:t>as % of Total Credit Card Spend</a:t>
                </a:r>
              </a:p>
            </c:rich>
          </c:tx>
          <c:overlay val="0"/>
        </c:title>
        <c:numFmt formatCode="0.00%" sourceLinked="1"/>
        <c:majorTickMark val="out"/>
        <c:minorTickMark val="none"/>
        <c:tickLblPos val="low"/>
        <c:spPr>
          <a:ln>
            <a:solidFill>
              <a:srgbClr val="808080"/>
            </a:solidFill>
            <a:prstDash val="solid"/>
          </a:ln>
        </c:spPr>
        <c:txPr>
          <a:bodyPr rot="0" vert="horz"/>
          <a:lstStyle/>
          <a:p>
            <a:pPr>
              <a:defRPr sz="1100">
                <a:solidFill>
                  <a:srgbClr val="808080"/>
                </a:solidFill>
              </a:defRPr>
            </a:pPr>
            <a:endParaRPr lang="en-US"/>
          </a:p>
        </c:txPr>
        <c:crossAx val="6692864"/>
        <c:crosses val="autoZero"/>
        <c:auto val="1"/>
        <c:lblAlgn val="ctr"/>
        <c:lblOffset val="100"/>
        <c:tickLblSkip val="1"/>
        <c:tickMarkSkip val="1"/>
        <c:noMultiLvlLbl val="0"/>
      </c:catAx>
      <c:valAx>
        <c:axId val="6692864"/>
        <c:scaling>
          <c:orientation val="minMax"/>
        </c:scaling>
        <c:delete val="0"/>
        <c:axPos val="l"/>
        <c:majorGridlines>
          <c:spPr>
            <a:ln>
              <a:solidFill>
                <a:srgbClr val="C0C0C0"/>
              </a:solidFill>
              <a:prstDash val="solid"/>
            </a:ln>
          </c:spPr>
        </c:majorGridlines>
        <c:title>
          <c:tx>
            <c:rich>
              <a:bodyPr rot="-5400000" vert="horz"/>
              <a:lstStyle/>
              <a:p>
                <a:pPr>
                  <a:defRPr sz="1100"/>
                </a:pPr>
                <a:r>
                  <a:rPr lang="en-US" sz="1100"/>
                  <a:t>Incremental Branding Fees ($m)</a:t>
                </a:r>
              </a:p>
            </c:rich>
          </c:tx>
          <c:overlay val="0"/>
        </c:title>
        <c:numFmt formatCode="#,##0_);\(#,##0\)" sourceLinked="1"/>
        <c:majorTickMark val="out"/>
        <c:minorTickMark val="none"/>
        <c:tickLblPos val="nextTo"/>
        <c:spPr>
          <a:ln w="9525">
            <a:noFill/>
          </a:ln>
        </c:spPr>
        <c:txPr>
          <a:bodyPr rot="0" vert="horz"/>
          <a:lstStyle/>
          <a:p>
            <a:pPr>
              <a:defRPr sz="1100">
                <a:solidFill>
                  <a:srgbClr val="808080"/>
                </a:solidFill>
              </a:defRPr>
            </a:pPr>
            <a:endParaRPr lang="en-US"/>
          </a:p>
        </c:txPr>
        <c:crossAx val="6690688"/>
        <c:crosses val="autoZero"/>
        <c:crossBetween val="between"/>
      </c:valAx>
      <c:spPr>
        <a:noFill/>
        <a:ln w="25400">
          <a:noFill/>
        </a:ln>
        <a:extLst>
          <a:ext uri="{909E8E84-426E-40DD-AFC4-6F175D3DCCD1}">
            <a14:hiddenFill xmlns:a14="http://schemas.microsoft.com/office/drawing/2010/main">
              <a:solidFill>
                <a:sysClr val="window" lastClr="F0F0F0"/>
              </a:solidFill>
            </a14:hiddenFill>
          </a:ext>
        </a:extLst>
      </c:spPr>
    </c:plotArea>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v>Incentive Mgmt Fees (IMFs)</c:v>
          </c:tx>
          <c:spPr>
            <a:solidFill>
              <a:srgbClr val="EACC80"/>
            </a:solidFill>
            <a:ln w="25400">
              <a:noFill/>
            </a:ln>
          </c:spPr>
          <c:invertIfNegative val="0"/>
          <c:dLbls>
            <c:dLbl>
              <c:idx val="0"/>
              <c:layout>
                <c:manualLayout>
                  <c:x val="0"/>
                  <c:y val="-3.3911403882531596E-2"/>
                </c:manualLayout>
              </c:layout>
              <c:tx>
                <c:rich>
                  <a:bodyPr/>
                  <a:lstStyle/>
                  <a:p>
                    <a:pPr>
                      <a:defRPr sz="1100" b="1">
                        <a:solidFill>
                          <a:schemeClr val="bg1"/>
                        </a:solidFill>
                      </a:defRPr>
                    </a:pPr>
                    <a:r>
                      <a:rPr lang="en-US">
                        <a:solidFill>
                          <a:schemeClr val="bg1"/>
                        </a:solidFill>
                      </a:rPr>
                      <a:t>$1m</a:t>
                    </a:r>
                  </a:p>
                </c:rich>
              </c:tx>
              <c:numFmt formatCode="&quot;$&quot;#,##0" sourceLinked="0"/>
              <c:spPr/>
              <c:showLegendKey val="0"/>
              <c:showVal val="1"/>
              <c:showCatName val="0"/>
              <c:showSerName val="0"/>
              <c:showPercent val="0"/>
              <c:showBubbleSize val="0"/>
            </c:dLbl>
            <c:dLbl>
              <c:idx val="1"/>
              <c:layout>
                <c:manualLayout>
                  <c:x val="0"/>
                  <c:y val="-5.3289348958263795E-2"/>
                </c:manualLayout>
              </c:layout>
              <c:tx>
                <c:rich>
                  <a:bodyPr/>
                  <a:lstStyle/>
                  <a:p>
                    <a:pPr>
                      <a:defRPr sz="1100" b="1">
                        <a:solidFill>
                          <a:schemeClr val="bg1"/>
                        </a:solidFill>
                      </a:defRPr>
                    </a:pPr>
                    <a:r>
                      <a:rPr lang="en-US">
                        <a:solidFill>
                          <a:schemeClr val="bg1"/>
                        </a:solidFill>
                      </a:rPr>
                      <a:t>$2m</a:t>
                    </a:r>
                  </a:p>
                </c:rich>
              </c:tx>
              <c:numFmt formatCode="&quot;$&quot;#,##0" sourceLinked="0"/>
              <c:spPr/>
              <c:showLegendKey val="0"/>
              <c:showVal val="1"/>
              <c:showCatName val="0"/>
              <c:showSerName val="0"/>
              <c:showPercent val="0"/>
              <c:showBubbleSize val="0"/>
            </c:dLbl>
            <c:numFmt formatCode="&quot;$&quot;#,##0" sourceLinked="0"/>
            <c:txPr>
              <a:bodyPr/>
              <a:lstStyle/>
              <a:p>
                <a:pPr>
                  <a:defRPr sz="1100" b="1"/>
                </a:pPr>
                <a:endParaRPr lang="en-US"/>
              </a:p>
            </c:txPr>
            <c:showLegendKey val="0"/>
            <c:showVal val="1"/>
            <c:showCatName val="0"/>
            <c:showSerName val="0"/>
            <c:showPercent val="0"/>
            <c:showBubbleSize val="0"/>
            <c:showLeaderLines val="0"/>
          </c:dLbls>
          <c:cat>
            <c:numRef>
              <c:f>'Exhibits 3'!$IB$713:$IB$714</c:f>
              <c:numCache>
                <c:formatCode>0.0%</c:formatCode>
                <c:ptCount val="2"/>
                <c:pt idx="0">
                  <c:v>1.4999999999999999E-2</c:v>
                </c:pt>
                <c:pt idx="1">
                  <c:v>0.01</c:v>
                </c:pt>
              </c:numCache>
            </c:numRef>
          </c:cat>
          <c:val>
            <c:numRef>
              <c:f>'Exhibits 3'!$IE$713:$IE$714</c:f>
              <c:numCache>
                <c:formatCode>#,##0_);\(#,##0\)</c:formatCode>
                <c:ptCount val="2"/>
                <c:pt idx="0">
                  <c:v>0.79896896046203869</c:v>
                </c:pt>
                <c:pt idx="1">
                  <c:v>1.5979379209240774</c:v>
                </c:pt>
              </c:numCache>
            </c:numRef>
          </c:val>
        </c:ser>
        <c:ser>
          <c:idx val="0"/>
          <c:order val="1"/>
          <c:spPr>
            <a:solidFill>
              <a:srgbClr val="137CB1"/>
            </a:solidFill>
            <a:ln w="25400">
              <a:noFill/>
            </a:ln>
          </c:spPr>
          <c:invertIfNegative val="0"/>
          <c:dLbls>
            <c:dLbl>
              <c:idx val="0"/>
              <c:layout>
                <c:manualLayout>
                  <c:x val="-5.5555555555555558E-3"/>
                  <c:y val="-0.19907407407407407"/>
                </c:manualLayout>
              </c:layout>
              <c:tx>
                <c:rich>
                  <a:bodyPr/>
                  <a:lstStyle/>
                  <a:p>
                    <a:r>
                      <a:rPr lang="en-US">
                        <a:solidFill>
                          <a:sysClr val="windowText" lastClr="000000"/>
                        </a:solidFill>
                      </a:rPr>
                      <a:t>$54m</a:t>
                    </a:r>
                    <a:endParaRPr lang="en-US"/>
                  </a:p>
                </c:rich>
              </c:tx>
              <c:showLegendKey val="0"/>
              <c:showVal val="1"/>
              <c:showCatName val="0"/>
              <c:showSerName val="0"/>
              <c:showPercent val="0"/>
              <c:showBubbleSize val="0"/>
            </c:dLbl>
            <c:dLbl>
              <c:idx val="1"/>
              <c:layout>
                <c:manualLayout>
                  <c:x val="-2.1860785707243419E-7"/>
                  <c:y val="-0.35271140556093622"/>
                </c:manualLayout>
              </c:layout>
              <c:tx>
                <c:rich>
                  <a:bodyPr/>
                  <a:lstStyle/>
                  <a:p>
                    <a:r>
                      <a:rPr lang="en-US">
                        <a:solidFill>
                          <a:sysClr val="windowText" lastClr="000000"/>
                        </a:solidFill>
                      </a:rPr>
                      <a:t>$108m</a:t>
                    </a:r>
                    <a:endParaRPr lang="en-US"/>
                  </a:p>
                </c:rich>
              </c:tx>
              <c:showLegendKey val="0"/>
              <c:showVal val="1"/>
              <c:showCatName val="0"/>
              <c:showSerName val="0"/>
              <c:showPercent val="0"/>
              <c:showBubbleSize val="0"/>
            </c:dLbl>
            <c:numFmt formatCode="&quot;$&quot;#,##0" sourceLinked="0"/>
            <c:txPr>
              <a:bodyPr/>
              <a:lstStyle/>
              <a:p>
                <a:pPr>
                  <a:defRPr sz="1100" b="1">
                    <a:solidFill>
                      <a:sysClr val="windowText" lastClr="000000"/>
                    </a:solidFill>
                  </a:defRPr>
                </a:pPr>
                <a:endParaRPr lang="en-US"/>
              </a:p>
            </c:txPr>
            <c:showLegendKey val="0"/>
            <c:showVal val="1"/>
            <c:showCatName val="0"/>
            <c:showSerName val="0"/>
            <c:showPercent val="0"/>
            <c:showBubbleSize val="0"/>
            <c:showLeaderLines val="0"/>
          </c:dLbls>
          <c:cat>
            <c:numRef>
              <c:f>'Exhibits 3'!$IB$713:$IB$714</c:f>
              <c:numCache>
                <c:formatCode>0.0%</c:formatCode>
                <c:ptCount val="2"/>
                <c:pt idx="0">
                  <c:v>1.4999999999999999E-2</c:v>
                </c:pt>
                <c:pt idx="1">
                  <c:v>0.01</c:v>
                </c:pt>
              </c:numCache>
            </c:numRef>
          </c:cat>
          <c:val>
            <c:numRef>
              <c:f>'Exhibits 3'!$ID$713:$ID$714</c:f>
              <c:numCache>
                <c:formatCode>#,##0_);\(#,##0\)</c:formatCode>
                <c:ptCount val="2"/>
                <c:pt idx="0">
                  <c:v>53.201031039537959</c:v>
                </c:pt>
                <c:pt idx="1">
                  <c:v>106.40206207907592</c:v>
                </c:pt>
              </c:numCache>
            </c:numRef>
          </c:val>
        </c:ser>
        <c:dLbls>
          <c:showLegendKey val="0"/>
          <c:showVal val="0"/>
          <c:showCatName val="0"/>
          <c:showSerName val="0"/>
          <c:showPercent val="0"/>
          <c:showBubbleSize val="0"/>
        </c:dLbls>
        <c:gapWidth val="32"/>
        <c:overlap val="100"/>
        <c:axId val="6744320"/>
        <c:axId val="672407936"/>
      </c:barChart>
      <c:catAx>
        <c:axId val="6744320"/>
        <c:scaling>
          <c:orientation val="minMax"/>
        </c:scaling>
        <c:delete val="0"/>
        <c:axPos val="b"/>
        <c:title>
          <c:tx>
            <c:rich>
              <a:bodyPr/>
              <a:lstStyle/>
              <a:p>
                <a:pPr>
                  <a:defRPr/>
                </a:pPr>
                <a:r>
                  <a:rPr lang="en-US"/>
                  <a:t>Credit Card</a:t>
                </a:r>
                <a:r>
                  <a:rPr lang="en-US" baseline="0"/>
                  <a:t> Transaction Fees (%)</a:t>
                </a:r>
                <a:endParaRPr lang="en-US"/>
              </a:p>
            </c:rich>
          </c:tx>
          <c:overlay val="0"/>
        </c:title>
        <c:numFmt formatCode="0.0%" sourceLinked="1"/>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672407936"/>
        <c:crosses val="autoZero"/>
        <c:auto val="1"/>
        <c:lblAlgn val="ctr"/>
        <c:lblOffset val="100"/>
        <c:tickLblSkip val="1"/>
        <c:tickMarkSkip val="1"/>
        <c:noMultiLvlLbl val="0"/>
      </c:catAx>
      <c:valAx>
        <c:axId val="672407936"/>
        <c:scaling>
          <c:orientation val="minMax"/>
        </c:scaling>
        <c:delete val="0"/>
        <c:axPos val="l"/>
        <c:majorGridlines>
          <c:spPr>
            <a:ln>
              <a:solidFill>
                <a:srgbClr val="C0C0C0"/>
              </a:solidFill>
              <a:prstDash val="solid"/>
            </a:ln>
          </c:spPr>
        </c:majorGridlines>
        <c:title>
          <c:tx>
            <c:rich>
              <a:bodyPr rot="-5400000" vert="horz"/>
              <a:lstStyle/>
              <a:p>
                <a:pPr>
                  <a:defRPr/>
                </a:pPr>
                <a:r>
                  <a:rPr lang="en-US"/>
                  <a:t>Incremental Expense Save ($m)</a:t>
                </a:r>
              </a:p>
            </c:rich>
          </c:tx>
          <c:overlay val="0"/>
        </c:title>
        <c:numFmt formatCode="#,##0_);\(#,##0\)" sourceLinked="1"/>
        <c:majorTickMark val="out"/>
        <c:minorTickMark val="none"/>
        <c:tickLblPos val="nextTo"/>
        <c:spPr>
          <a:ln w="9525">
            <a:noFill/>
          </a:ln>
        </c:spPr>
        <c:txPr>
          <a:bodyPr rot="0" vert="horz"/>
          <a:lstStyle/>
          <a:p>
            <a:pPr>
              <a:defRPr>
                <a:solidFill>
                  <a:srgbClr val="808080"/>
                </a:solidFill>
              </a:defRPr>
            </a:pPr>
            <a:endParaRPr lang="en-US"/>
          </a:p>
        </c:txPr>
        <c:crossAx val="6744320"/>
        <c:crosses val="autoZero"/>
        <c:crossBetween val="between"/>
      </c:valAx>
      <c:spPr>
        <a:noFill/>
        <a:ln w="25400">
          <a:noFill/>
        </a:ln>
        <a:extLst>
          <a:ext uri="{909E8E84-426E-40DD-AFC4-6F175D3DCCD1}">
            <a14:hiddenFill xmlns:a14="http://schemas.microsoft.com/office/drawing/2010/main">
              <a:solidFill>
                <a:sysClr val="window" lastClr="F0F0F0"/>
              </a:solidFill>
            </a14:hiddenFill>
          </a:ext>
        </a:extLst>
      </c:spPr>
    </c:plotArea>
    <c:legend>
      <c:legendPos val="r"/>
      <c:legendEntry>
        <c:idx val="0"/>
        <c:delete val="1"/>
      </c:legendEntry>
      <c:layout>
        <c:manualLayout>
          <c:xMode val="edge"/>
          <c:yMode val="edge"/>
          <c:x val="0.16030643044619428"/>
          <c:y val="5.9801326917468652E-2"/>
          <c:w val="0.35837467191601052"/>
          <c:h val="0.10261956838728492"/>
        </c:manualLayout>
      </c:layout>
      <c:overlay val="1"/>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v>Current co-brand contract value</c:v>
          </c:tx>
          <c:spPr>
            <a:solidFill>
              <a:srgbClr val="137CB1"/>
            </a:solidFill>
            <a:ln w="25400">
              <a:noFill/>
            </a:ln>
          </c:spPr>
          <c:invertIfNegative val="0"/>
          <c:dLbls>
            <c:dLbl>
              <c:idx val="0"/>
              <c:tx>
                <c:rich>
                  <a:bodyPr/>
                  <a:lstStyle/>
                  <a:p>
                    <a:r>
                      <a:rPr lang="en-US" b="1"/>
                      <a:t>$306m</a:t>
                    </a:r>
                    <a:endParaRPr lang="en-US"/>
                  </a:p>
                </c:rich>
              </c:tx>
              <c:showLegendKey val="0"/>
              <c:showVal val="1"/>
              <c:showCatName val="0"/>
              <c:showSerName val="0"/>
              <c:showPercent val="0"/>
              <c:showBubbleSize val="0"/>
            </c:dLbl>
            <c:dLbl>
              <c:idx val="1"/>
              <c:tx>
                <c:rich>
                  <a:bodyPr/>
                  <a:lstStyle/>
                  <a:p>
                    <a:r>
                      <a:rPr lang="en-US" b="1"/>
                      <a:t>$61m</a:t>
                    </a:r>
                    <a:endParaRPr lang="en-US"/>
                  </a:p>
                </c:rich>
              </c:tx>
              <c:showLegendKey val="0"/>
              <c:showVal val="1"/>
              <c:showCatName val="0"/>
              <c:showSerName val="0"/>
              <c:showPercent val="0"/>
              <c:showBubbleSize val="0"/>
            </c:dLbl>
            <c:numFmt formatCode="&quot;$&quot;#,##0" sourceLinked="0"/>
            <c:txPr>
              <a:bodyPr/>
              <a:lstStyle/>
              <a:p>
                <a:pPr>
                  <a:defRPr b="1">
                    <a:solidFill>
                      <a:schemeClr val="bg1"/>
                    </a:solidFill>
                  </a:defRPr>
                </a:pPr>
                <a:endParaRPr lang="en-US"/>
              </a:p>
            </c:txPr>
            <c:showLegendKey val="0"/>
            <c:showVal val="1"/>
            <c:showCatName val="0"/>
            <c:showSerName val="0"/>
            <c:showPercent val="0"/>
            <c:showBubbleSize val="0"/>
            <c:showLeaderLines val="0"/>
          </c:dLbls>
          <c:cat>
            <c:strRef>
              <c:f>'Exhibits 3'!$IT$769:$IT$770</c:f>
              <c:strCache>
                <c:ptCount val="2"/>
                <c:pt idx="0">
                  <c:v>Total Contribution </c:v>
                </c:pt>
                <c:pt idx="1">
                  <c:v>Branding Fees</c:v>
                </c:pt>
              </c:strCache>
            </c:strRef>
          </c:cat>
          <c:val>
            <c:numRef>
              <c:f>'Exhibits 3'!$IQ$769:$IQ$770</c:f>
              <c:numCache>
                <c:formatCode>#,##0_);\(#,##0\)</c:formatCode>
                <c:ptCount val="2"/>
                <c:pt idx="0">
                  <c:v>306.25000000000006</c:v>
                </c:pt>
                <c:pt idx="1">
                  <c:v>76.562500000000014</c:v>
                </c:pt>
              </c:numCache>
            </c:numRef>
          </c:val>
        </c:ser>
        <c:ser>
          <c:idx val="0"/>
          <c:order val="1"/>
          <c:tx>
            <c:v>Base case incremental value</c:v>
          </c:tx>
          <c:spPr>
            <a:solidFill>
              <a:srgbClr val="EACC80"/>
            </a:solidFill>
            <a:ln w="25400">
              <a:noFill/>
            </a:ln>
          </c:spPr>
          <c:invertIfNegative val="0"/>
          <c:dLbls>
            <c:dLbl>
              <c:idx val="0"/>
              <c:tx>
                <c:rich>
                  <a:bodyPr/>
                  <a:lstStyle/>
                  <a:p>
                    <a:r>
                      <a:rPr lang="en-US" b="1"/>
                      <a:t>$175m</a:t>
                    </a:r>
                    <a:endParaRPr lang="en-US"/>
                  </a:p>
                </c:rich>
              </c:tx>
              <c:showLegendKey val="0"/>
              <c:showVal val="1"/>
              <c:showCatName val="0"/>
              <c:showSerName val="0"/>
              <c:showPercent val="0"/>
              <c:showBubbleSize val="0"/>
            </c:dLbl>
            <c:dLbl>
              <c:idx val="1"/>
              <c:tx>
                <c:rich>
                  <a:bodyPr/>
                  <a:lstStyle/>
                  <a:p>
                    <a:r>
                      <a:rPr lang="en-US" b="1"/>
                      <a:t>$35m</a:t>
                    </a:r>
                  </a:p>
                </c:rich>
              </c:tx>
              <c:showLegendKey val="0"/>
              <c:showVal val="1"/>
              <c:showCatName val="0"/>
              <c:showSerName val="0"/>
              <c:showPercent val="0"/>
              <c:showBubbleSize val="0"/>
            </c:dLbl>
            <c:numFmt formatCode="&quot;$&quot;#,##0" sourceLinked="0"/>
            <c:txPr>
              <a:bodyPr/>
              <a:lstStyle/>
              <a:p>
                <a:pPr>
                  <a:defRPr b="1"/>
                </a:pPr>
                <a:endParaRPr lang="en-US"/>
              </a:p>
            </c:txPr>
            <c:showLegendKey val="0"/>
            <c:showVal val="1"/>
            <c:showCatName val="0"/>
            <c:showSerName val="0"/>
            <c:showPercent val="0"/>
            <c:showBubbleSize val="0"/>
            <c:showLeaderLines val="0"/>
          </c:dLbls>
          <c:cat>
            <c:strRef>
              <c:f>'Exhibits 3'!$IT$769:$IT$770</c:f>
              <c:strCache>
                <c:ptCount val="2"/>
                <c:pt idx="0">
                  <c:v>Total Contribution </c:v>
                </c:pt>
                <c:pt idx="1">
                  <c:v>Branding Fees</c:v>
                </c:pt>
              </c:strCache>
            </c:strRef>
          </c:cat>
          <c:val>
            <c:numRef>
              <c:f>'Exhibits 3'!$IS$769:$IS$770</c:f>
              <c:numCache>
                <c:formatCode>#,##0_);\(#,##0\)</c:formatCode>
                <c:ptCount val="2"/>
                <c:pt idx="0">
                  <c:v>218.74999999999994</c:v>
                </c:pt>
                <c:pt idx="1">
                  <c:v>54.687499999999986</c:v>
                </c:pt>
              </c:numCache>
            </c:numRef>
          </c:val>
        </c:ser>
        <c:dLbls>
          <c:showLegendKey val="0"/>
          <c:showVal val="0"/>
          <c:showCatName val="0"/>
          <c:showSerName val="0"/>
          <c:showPercent val="0"/>
          <c:showBubbleSize val="0"/>
        </c:dLbls>
        <c:gapWidth val="76"/>
        <c:overlap val="100"/>
        <c:axId val="672463104"/>
        <c:axId val="672485376"/>
      </c:barChart>
      <c:catAx>
        <c:axId val="672463104"/>
        <c:scaling>
          <c:orientation val="minMax"/>
        </c:scaling>
        <c:delete val="0"/>
        <c:axPos val="b"/>
        <c:numFmt formatCode="0.00%" sourceLinked="1"/>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672485376"/>
        <c:crosses val="autoZero"/>
        <c:auto val="1"/>
        <c:lblAlgn val="ctr"/>
        <c:lblOffset val="100"/>
        <c:tickLblSkip val="1"/>
        <c:tickMarkSkip val="1"/>
        <c:noMultiLvlLbl val="0"/>
      </c:catAx>
      <c:valAx>
        <c:axId val="672485376"/>
        <c:scaling>
          <c:orientation val="minMax"/>
          <c:max val="550"/>
        </c:scaling>
        <c:delete val="0"/>
        <c:axPos val="l"/>
        <c:majorGridlines>
          <c:spPr>
            <a:ln>
              <a:solidFill>
                <a:srgbClr val="C0C0C0"/>
              </a:solidFill>
              <a:prstDash val="solid"/>
            </a:ln>
          </c:spPr>
        </c:majorGridlines>
        <c:title>
          <c:tx>
            <c:rich>
              <a:bodyPr rot="-5400000" vert="horz"/>
              <a:lstStyle/>
              <a:p>
                <a:pPr>
                  <a:defRPr/>
                </a:pPr>
                <a:r>
                  <a:rPr lang="en-US"/>
                  <a:t>Incremental Value from Co-brand Card Contract Renegotiation ($m)</a:t>
                </a:r>
              </a:p>
            </c:rich>
          </c:tx>
          <c:overlay val="0"/>
        </c:title>
        <c:numFmt formatCode="#,##0_);\(#,##0\)" sourceLinked="1"/>
        <c:majorTickMark val="out"/>
        <c:minorTickMark val="none"/>
        <c:tickLblPos val="nextTo"/>
        <c:spPr>
          <a:ln w="9525">
            <a:noFill/>
          </a:ln>
        </c:spPr>
        <c:txPr>
          <a:bodyPr rot="0" vert="horz"/>
          <a:lstStyle/>
          <a:p>
            <a:pPr>
              <a:defRPr>
                <a:solidFill>
                  <a:srgbClr val="808080"/>
                </a:solidFill>
              </a:defRPr>
            </a:pPr>
            <a:endParaRPr lang="en-US"/>
          </a:p>
        </c:txPr>
        <c:crossAx val="672463104"/>
        <c:crosses val="autoZero"/>
        <c:crossBetween val="between"/>
      </c:valAx>
      <c:spPr>
        <a:noFill/>
        <a:ln w="25400">
          <a:noFill/>
        </a:ln>
        <a:extLst>
          <a:ext uri="{909E8E84-426E-40DD-AFC4-6F175D3DCCD1}">
            <a14:hiddenFill xmlns:a14="http://schemas.microsoft.com/office/drawing/2010/main">
              <a:solidFill>
                <a:sysClr val="window" lastClr="F0F0F0"/>
              </a:solidFill>
            </a14:hiddenFill>
          </a:ext>
        </a:extLst>
      </c:spPr>
    </c:plotArea>
    <c:legend>
      <c:legendPos val="r"/>
      <c:layout>
        <c:manualLayout>
          <c:xMode val="edge"/>
          <c:yMode val="edge"/>
          <c:x val="0.5075286526684164"/>
          <c:y val="5.9801326917468652E-2"/>
          <c:w val="0.49247134733158354"/>
          <c:h val="0.15894284047827353"/>
        </c:manualLayout>
      </c:layout>
      <c:overlay val="1"/>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v>Current co-brand contract value</c:v>
          </c:tx>
          <c:spPr>
            <a:solidFill>
              <a:srgbClr val="137CB1"/>
            </a:solidFill>
            <a:ln w="25400">
              <a:noFill/>
            </a:ln>
          </c:spPr>
          <c:invertIfNegative val="0"/>
          <c:dLbls>
            <c:dLbl>
              <c:idx val="0"/>
              <c:tx>
                <c:rich>
                  <a:bodyPr/>
                  <a:lstStyle/>
                  <a:p>
                    <a:r>
                      <a:rPr lang="en-US" b="1"/>
                      <a:t>$306m</a:t>
                    </a:r>
                    <a:endParaRPr lang="en-US"/>
                  </a:p>
                </c:rich>
              </c:tx>
              <c:showLegendKey val="0"/>
              <c:showVal val="1"/>
              <c:showCatName val="0"/>
              <c:showSerName val="0"/>
              <c:showPercent val="0"/>
              <c:showBubbleSize val="0"/>
            </c:dLbl>
            <c:dLbl>
              <c:idx val="1"/>
              <c:tx>
                <c:rich>
                  <a:bodyPr/>
                  <a:lstStyle/>
                  <a:p>
                    <a:r>
                      <a:rPr lang="en-US" b="1"/>
                      <a:t>$61m</a:t>
                    </a:r>
                    <a:endParaRPr lang="en-US"/>
                  </a:p>
                </c:rich>
              </c:tx>
              <c:showLegendKey val="0"/>
              <c:showVal val="1"/>
              <c:showCatName val="0"/>
              <c:showSerName val="0"/>
              <c:showPercent val="0"/>
              <c:showBubbleSize val="0"/>
            </c:dLbl>
            <c:numFmt formatCode="&quot;$&quot;#,##0" sourceLinked="0"/>
            <c:txPr>
              <a:bodyPr/>
              <a:lstStyle/>
              <a:p>
                <a:pPr>
                  <a:defRPr b="1">
                    <a:solidFill>
                      <a:schemeClr val="bg1"/>
                    </a:solidFill>
                  </a:defRPr>
                </a:pPr>
                <a:endParaRPr lang="en-US"/>
              </a:p>
            </c:txPr>
            <c:showLegendKey val="0"/>
            <c:showVal val="1"/>
            <c:showCatName val="0"/>
            <c:showSerName val="0"/>
            <c:showPercent val="0"/>
            <c:showBubbleSize val="0"/>
            <c:showLeaderLines val="0"/>
          </c:dLbls>
          <c:cat>
            <c:strRef>
              <c:f>'Exhibits 3'!$JB$794:$JB$795</c:f>
              <c:strCache>
                <c:ptCount val="2"/>
                <c:pt idx="0">
                  <c:v>Total Contribution </c:v>
                </c:pt>
                <c:pt idx="1">
                  <c:v>Branding Fees</c:v>
                </c:pt>
              </c:strCache>
            </c:strRef>
          </c:cat>
          <c:val>
            <c:numRef>
              <c:f>'Exhibits 3'!$IY$794:$IY$795</c:f>
              <c:numCache>
                <c:formatCode>#,##0_);\(#,##0\)</c:formatCode>
                <c:ptCount val="2"/>
                <c:pt idx="0">
                  <c:v>306.25000000000006</c:v>
                </c:pt>
                <c:pt idx="1">
                  <c:v>76.562500000000014</c:v>
                </c:pt>
              </c:numCache>
            </c:numRef>
          </c:val>
        </c:ser>
        <c:ser>
          <c:idx val="0"/>
          <c:order val="1"/>
          <c:tx>
            <c:v>Bull case incremental value</c:v>
          </c:tx>
          <c:spPr>
            <a:solidFill>
              <a:srgbClr val="EACC80"/>
            </a:solidFill>
            <a:ln w="25400">
              <a:noFill/>
            </a:ln>
          </c:spPr>
          <c:invertIfNegative val="0"/>
          <c:dLbls>
            <c:dLbl>
              <c:idx val="0"/>
              <c:tx>
                <c:rich>
                  <a:bodyPr/>
                  <a:lstStyle/>
                  <a:p>
                    <a:r>
                      <a:rPr lang="en-US" b="1"/>
                      <a:t>$306m</a:t>
                    </a:r>
                    <a:endParaRPr lang="en-US"/>
                  </a:p>
                </c:rich>
              </c:tx>
              <c:showLegendKey val="0"/>
              <c:showVal val="1"/>
              <c:showCatName val="0"/>
              <c:showSerName val="0"/>
              <c:showPercent val="0"/>
              <c:showBubbleSize val="0"/>
            </c:dLbl>
            <c:dLbl>
              <c:idx val="1"/>
              <c:tx>
                <c:rich>
                  <a:bodyPr/>
                  <a:lstStyle/>
                  <a:p>
                    <a:r>
                      <a:rPr lang="en-US" b="1"/>
                      <a:t>$61m</a:t>
                    </a:r>
                  </a:p>
                </c:rich>
              </c:tx>
              <c:showLegendKey val="0"/>
              <c:showVal val="1"/>
              <c:showCatName val="0"/>
              <c:showSerName val="0"/>
              <c:showPercent val="0"/>
              <c:showBubbleSize val="0"/>
            </c:dLbl>
            <c:numFmt formatCode="&quot;$&quot;#,##0" sourceLinked="0"/>
            <c:txPr>
              <a:bodyPr/>
              <a:lstStyle/>
              <a:p>
                <a:pPr>
                  <a:defRPr b="1"/>
                </a:pPr>
                <a:endParaRPr lang="en-US"/>
              </a:p>
            </c:txPr>
            <c:showLegendKey val="0"/>
            <c:showVal val="1"/>
            <c:showCatName val="0"/>
            <c:showSerName val="0"/>
            <c:showPercent val="0"/>
            <c:showBubbleSize val="0"/>
            <c:showLeaderLines val="0"/>
          </c:dLbls>
          <c:cat>
            <c:strRef>
              <c:f>'Exhibits 3'!$JB$794:$JB$795</c:f>
              <c:strCache>
                <c:ptCount val="2"/>
                <c:pt idx="0">
                  <c:v>Total Contribution </c:v>
                </c:pt>
                <c:pt idx="1">
                  <c:v>Branding Fees</c:v>
                </c:pt>
              </c:strCache>
            </c:strRef>
          </c:cat>
          <c:val>
            <c:numRef>
              <c:f>'Exhibits 3'!$JA$794:$JA$795</c:f>
              <c:numCache>
                <c:formatCode>#,##0_);\(#,##0\)</c:formatCode>
                <c:ptCount val="2"/>
                <c:pt idx="0">
                  <c:v>306.25000000000006</c:v>
                </c:pt>
                <c:pt idx="1">
                  <c:v>76.562500000000014</c:v>
                </c:pt>
              </c:numCache>
            </c:numRef>
          </c:val>
        </c:ser>
        <c:dLbls>
          <c:showLegendKey val="0"/>
          <c:showVal val="0"/>
          <c:showCatName val="0"/>
          <c:showSerName val="0"/>
          <c:showPercent val="0"/>
          <c:showBubbleSize val="0"/>
        </c:dLbls>
        <c:gapWidth val="76"/>
        <c:overlap val="100"/>
        <c:axId val="672512256"/>
        <c:axId val="672530432"/>
      </c:barChart>
      <c:catAx>
        <c:axId val="672512256"/>
        <c:scaling>
          <c:orientation val="minMax"/>
        </c:scaling>
        <c:delete val="0"/>
        <c:axPos val="b"/>
        <c:numFmt formatCode="0.00%" sourceLinked="1"/>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672530432"/>
        <c:crosses val="autoZero"/>
        <c:auto val="1"/>
        <c:lblAlgn val="ctr"/>
        <c:lblOffset val="100"/>
        <c:tickLblSkip val="1"/>
        <c:tickMarkSkip val="1"/>
        <c:noMultiLvlLbl val="0"/>
      </c:catAx>
      <c:valAx>
        <c:axId val="672530432"/>
        <c:scaling>
          <c:orientation val="minMax"/>
          <c:max val="700"/>
        </c:scaling>
        <c:delete val="0"/>
        <c:axPos val="l"/>
        <c:majorGridlines>
          <c:spPr>
            <a:ln>
              <a:solidFill>
                <a:srgbClr val="C0C0C0"/>
              </a:solidFill>
              <a:prstDash val="solid"/>
            </a:ln>
          </c:spPr>
        </c:majorGridlines>
        <c:title>
          <c:tx>
            <c:rich>
              <a:bodyPr rot="-5400000" vert="horz"/>
              <a:lstStyle/>
              <a:p>
                <a:pPr>
                  <a:defRPr/>
                </a:pPr>
                <a:r>
                  <a:rPr lang="en-US"/>
                  <a:t>Incremental Value from Co-brand Card Contract Renegotiation ($m)</a:t>
                </a:r>
              </a:p>
            </c:rich>
          </c:tx>
          <c:overlay val="0"/>
        </c:title>
        <c:numFmt formatCode="#,##0_);\(#,##0\)" sourceLinked="1"/>
        <c:majorTickMark val="out"/>
        <c:minorTickMark val="none"/>
        <c:tickLblPos val="nextTo"/>
        <c:spPr>
          <a:ln w="9525">
            <a:noFill/>
          </a:ln>
        </c:spPr>
        <c:txPr>
          <a:bodyPr rot="0" vert="horz"/>
          <a:lstStyle/>
          <a:p>
            <a:pPr>
              <a:defRPr>
                <a:solidFill>
                  <a:srgbClr val="808080"/>
                </a:solidFill>
              </a:defRPr>
            </a:pPr>
            <a:endParaRPr lang="en-US"/>
          </a:p>
        </c:txPr>
        <c:crossAx val="672512256"/>
        <c:crosses val="autoZero"/>
        <c:crossBetween val="between"/>
      </c:valAx>
      <c:spPr>
        <a:noFill/>
        <a:ln w="25400">
          <a:noFill/>
        </a:ln>
        <a:extLst>
          <a:ext uri="{909E8E84-426E-40DD-AFC4-6F175D3DCCD1}">
            <a14:hiddenFill xmlns:a14="http://schemas.microsoft.com/office/drawing/2010/main">
              <a:solidFill>
                <a:sysClr val="window" lastClr="F0F0F0"/>
              </a:solidFill>
            </a14:hiddenFill>
          </a:ext>
        </a:extLst>
      </c:spPr>
    </c:plotArea>
    <c:legend>
      <c:legendPos val="r"/>
      <c:layout>
        <c:manualLayout>
          <c:xMode val="edge"/>
          <c:yMode val="edge"/>
          <c:x val="0.5075286526684164"/>
          <c:y val="9.2208734324876057E-2"/>
          <c:w val="0.49247134733158354"/>
          <c:h val="0.15894284047827353"/>
        </c:manualLayout>
      </c:layout>
      <c:overlay val="1"/>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67467416463766E-2"/>
          <c:y val="7.277628032345014E-2"/>
          <c:w val="0.91597933027421785"/>
          <c:h val="0.84366576819407013"/>
        </c:manualLayout>
      </c:layout>
      <c:lineChart>
        <c:grouping val="standard"/>
        <c:varyColors val="0"/>
        <c:ser>
          <c:idx val="0"/>
          <c:order val="0"/>
          <c:tx>
            <c:v>Series1</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1613696"/>
        <c:axId val="671615232"/>
      </c:lineChart>
      <c:catAx>
        <c:axId val="671613696"/>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671615232"/>
        <c:crosses val="autoZero"/>
        <c:auto val="1"/>
        <c:lblAlgn val="ctr"/>
        <c:lblOffset val="100"/>
        <c:tickLblSkip val="1"/>
        <c:tickMarkSkip val="1"/>
        <c:noMultiLvlLbl val="0"/>
      </c:catAx>
      <c:valAx>
        <c:axId val="671615232"/>
        <c:scaling>
          <c:orientation val="minMax"/>
          <c:max val="200"/>
          <c:min val="5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Arial"/>
                    <a:ea typeface="Arial"/>
                    <a:cs typeface="Arial"/>
                  </a:defRPr>
                </a:pPr>
                <a:r>
                  <a:rPr lang="en-US"/>
                  <a:t>Mass revenue ($ millions)</a:t>
                </a:r>
              </a:p>
            </c:rich>
          </c:tx>
          <c:layout>
            <c:manualLayout>
              <c:xMode val="edge"/>
              <c:yMode val="edge"/>
              <c:x val="3.7509377344336083E-3"/>
              <c:y val="0.264150943396226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100" b="0" i="0" u="none" strike="noStrike" baseline="0">
                <a:solidFill>
                  <a:srgbClr val="000000"/>
                </a:solidFill>
                <a:latin typeface="Arial"/>
                <a:ea typeface="Arial"/>
                <a:cs typeface="Arial"/>
              </a:defRPr>
            </a:pPr>
            <a:endParaRPr lang="en-US"/>
          </a:p>
        </c:txPr>
        <c:crossAx val="671613696"/>
        <c:crosses val="autoZero"/>
        <c:crossBetween val="between"/>
        <c:majorUnit val="50"/>
      </c:valAx>
      <c:spPr>
        <a:noFill/>
        <a:ln w="25400">
          <a:noFill/>
        </a:ln>
      </c:spPr>
    </c:plotArea>
    <c:plotVisOnly val="1"/>
    <c:dispBlanksAs val="gap"/>
    <c:showDLblsOverMax val="0"/>
  </c:chart>
  <c:spPr>
    <a:solidFill>
      <a:srgbClr val="FFFFFF"/>
    </a:solidFill>
    <a:ln w="9525">
      <a:noFill/>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2046314725713"/>
          <c:y val="7.6704651856372985E-2"/>
          <c:w val="0.69817691843017726"/>
          <c:h val="0.7755692576588824"/>
        </c:manualLayout>
      </c:layout>
      <c:barChart>
        <c:barDir val="col"/>
        <c:grouping val="clustered"/>
        <c:varyColors val="0"/>
        <c:ser>
          <c:idx val="1"/>
          <c:order val="0"/>
          <c:tx>
            <c:v/>
          </c:tx>
          <c:spPr>
            <a:solidFill>
              <a:srgbClr val="969696"/>
            </a:solidFill>
            <a:ln w="25400">
              <a:noFill/>
            </a:ln>
          </c:spPr>
          <c:invertIfNegative val="0"/>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axId val="671662464"/>
        <c:axId val="671664384"/>
      </c:barChart>
      <c:lineChart>
        <c:grouping val="standard"/>
        <c:varyColors val="0"/>
        <c:ser>
          <c:idx val="0"/>
          <c:order val="1"/>
          <c:tx>
            <c:v/>
          </c:tx>
          <c:spPr>
            <a:ln w="25400">
              <a:solidFill>
                <a:srgbClr val="000080"/>
              </a:solidFill>
              <a:prstDash val="solid"/>
            </a:ln>
          </c:spPr>
          <c:marker>
            <c:symbol val="diamond"/>
            <c:size val="7"/>
            <c:spPr>
              <a:solidFill>
                <a:srgbClr val="000080"/>
              </a:solidFill>
              <a:ln>
                <a:solidFill>
                  <a:srgbClr val="000080"/>
                </a:solidFill>
                <a:prstDash val="solid"/>
              </a:ln>
            </c:spPr>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1670656"/>
        <c:axId val="671672192"/>
      </c:lineChart>
      <c:catAx>
        <c:axId val="671662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71664384"/>
        <c:crosses val="autoZero"/>
        <c:auto val="0"/>
        <c:lblAlgn val="ctr"/>
        <c:lblOffset val="100"/>
        <c:tickLblSkip val="1"/>
        <c:tickMarkSkip val="1"/>
        <c:noMultiLvlLbl val="0"/>
      </c:catAx>
      <c:valAx>
        <c:axId val="671664384"/>
        <c:scaling>
          <c:orientation val="minMax"/>
          <c:max val="300"/>
          <c:min val="10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Las Vegas RevPAR</a:t>
                </a:r>
              </a:p>
            </c:rich>
          </c:tx>
          <c:layout>
            <c:manualLayout>
              <c:xMode val="edge"/>
              <c:yMode val="edge"/>
              <c:x val="1.3266998341625208E-2"/>
              <c:y val="0.28409120734908133"/>
            </c:manualLayout>
          </c:layout>
          <c:overlay val="0"/>
          <c:spPr>
            <a:noFill/>
            <a:ln w="25400">
              <a:noFill/>
            </a:ln>
          </c:spPr>
        </c:title>
        <c:numFmt formatCode="\$#,##0_);\(\$#,##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1662464"/>
        <c:crosses val="autoZero"/>
        <c:crossBetween val="between"/>
        <c:majorUnit val="50"/>
      </c:valAx>
      <c:catAx>
        <c:axId val="671670656"/>
        <c:scaling>
          <c:orientation val="minMax"/>
        </c:scaling>
        <c:delete val="1"/>
        <c:axPos val="b"/>
        <c:numFmt formatCode="General" sourceLinked="1"/>
        <c:majorTickMark val="out"/>
        <c:minorTickMark val="none"/>
        <c:tickLblPos val="nextTo"/>
        <c:crossAx val="671672192"/>
        <c:crosses val="autoZero"/>
        <c:auto val="0"/>
        <c:lblAlgn val="ctr"/>
        <c:lblOffset val="100"/>
        <c:noMultiLvlLbl val="0"/>
      </c:catAx>
      <c:valAx>
        <c:axId val="671672192"/>
        <c:scaling>
          <c:orientation val="minMax"/>
          <c:max val="0.1"/>
          <c:min val="-0.4"/>
        </c:scaling>
        <c:delete val="0"/>
        <c:axPos val="r"/>
        <c:title>
          <c:tx>
            <c:rich>
              <a:bodyPr rot="5400000" vert="horz"/>
              <a:lstStyle/>
              <a:p>
                <a:pPr algn="ctr">
                  <a:defRPr sz="1000" b="1" i="0" u="none" strike="noStrike" baseline="0">
                    <a:solidFill>
                      <a:srgbClr val="000000"/>
                    </a:solidFill>
                    <a:latin typeface="Arial"/>
                    <a:ea typeface="Arial"/>
                    <a:cs typeface="Arial"/>
                  </a:defRPr>
                </a:pPr>
                <a:r>
                  <a:rPr lang="en-US"/>
                  <a:t>% Growth (y-o-y)</a:t>
                </a:r>
              </a:p>
            </c:rich>
          </c:tx>
          <c:layout>
            <c:manualLayout>
              <c:xMode val="edge"/>
              <c:yMode val="edge"/>
              <c:x val="0.92869145088207261"/>
              <c:y val="0.31250029825817227"/>
            </c:manualLayout>
          </c:layout>
          <c:overlay val="0"/>
          <c:spPr>
            <a:noFill/>
            <a:ln w="25400">
              <a:noFill/>
            </a:ln>
          </c:spPr>
        </c:title>
        <c:numFmt formatCode="0.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1670656"/>
        <c:crosses val="max"/>
        <c:crossBetween val="between"/>
        <c:majorUnit val="0.125"/>
      </c:valAx>
      <c:spPr>
        <a:noFill/>
        <a:ln w="25400">
          <a:noFill/>
        </a:ln>
      </c:spPr>
    </c:plotArea>
    <c:legend>
      <c:legendPos val="r"/>
      <c:layout>
        <c:manualLayout>
          <c:xMode val="edge"/>
          <c:yMode val="edge"/>
          <c:x val="0.16583782748549464"/>
          <c:y val="0.9204557384872345"/>
          <c:w val="0.5356559285810667"/>
          <c:h val="7.1022727272727293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1200" verticalDpi="120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10299769408147E-2"/>
          <c:y val="7.6923076923076927E-2"/>
          <c:w val="0.9192928516525749"/>
          <c:h val="0.83727810650887569"/>
        </c:manualLayout>
      </c:layout>
      <c:lineChart>
        <c:grouping val="standard"/>
        <c:varyColors val="0"/>
        <c:ser>
          <c:idx val="0"/>
          <c:order val="0"/>
          <c:tx>
            <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ser>
          <c:idx val="1"/>
          <c:order val="1"/>
          <c:tx>
            <c:v/>
          </c:tx>
          <c:spPr>
            <a:ln w="38100">
              <a:solidFill>
                <a:srgbClr val="969696"/>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1697536"/>
        <c:axId val="671715712"/>
      </c:lineChart>
      <c:catAx>
        <c:axId val="671697536"/>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715712"/>
        <c:crosses val="autoZero"/>
        <c:auto val="1"/>
        <c:lblAlgn val="ctr"/>
        <c:lblOffset val="100"/>
        <c:tickLblSkip val="1"/>
        <c:tickMarkSkip val="1"/>
        <c:noMultiLvlLbl val="0"/>
      </c:catAx>
      <c:valAx>
        <c:axId val="671715712"/>
        <c:scaling>
          <c:orientation val="minMax"/>
          <c:max val="1000"/>
          <c:min val="0"/>
        </c:scaling>
        <c:delete val="0"/>
        <c:axPos val="l"/>
        <c:majorGridlines>
          <c:spPr>
            <a:ln w="3175">
              <a:solidFill>
                <a:srgbClr val="80808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Gaming revenue ($ millions)</a:t>
                </a:r>
              </a:p>
            </c:rich>
          </c:tx>
          <c:layout>
            <c:manualLayout>
              <c:xMode val="edge"/>
              <c:yMode val="edge"/>
              <c:x val="3.843197540353574E-3"/>
              <c:y val="0.251479289940828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1697536"/>
        <c:crosses val="autoZero"/>
        <c:crossBetween val="between"/>
        <c:majorUnit val="20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915242327679346E-2"/>
          <c:y val="7.3170925354964209E-2"/>
          <c:w val="0.91370207883693655"/>
          <c:h val="0.84824072726310362"/>
        </c:manualLayout>
      </c:layout>
      <c:lineChart>
        <c:grouping val="standard"/>
        <c:varyColors val="0"/>
        <c:ser>
          <c:idx val="0"/>
          <c:order val="0"/>
          <c:tx>
            <c:v>Series1</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1736576"/>
        <c:axId val="671738112"/>
      </c:lineChart>
      <c:catAx>
        <c:axId val="671736576"/>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71738112"/>
        <c:crosses val="autoZero"/>
        <c:auto val="1"/>
        <c:lblAlgn val="ctr"/>
        <c:lblOffset val="100"/>
        <c:tickLblSkip val="1"/>
        <c:tickMarkSkip val="1"/>
        <c:noMultiLvlLbl val="0"/>
      </c:catAx>
      <c:valAx>
        <c:axId val="671738112"/>
        <c:scaling>
          <c:orientation val="minMax"/>
          <c:max val="1.4999999999999999E-2"/>
          <c:min val="7.4999999999999997E-3"/>
        </c:scaling>
        <c:delete val="0"/>
        <c:axPos val="l"/>
        <c:majorGridlines>
          <c:spPr>
            <a:ln w="3175">
              <a:solidFill>
                <a:srgbClr val="808080"/>
              </a:solidFill>
              <a:prstDash val="solid"/>
            </a:ln>
          </c:spPr>
        </c:majorGridlines>
        <c:title>
          <c:tx>
            <c:rich>
              <a:bodyPr/>
              <a:lstStyle/>
              <a:p>
                <a:pPr>
                  <a:defRPr sz="1075" b="0" i="0" u="none" strike="noStrike" baseline="0">
                    <a:solidFill>
                      <a:srgbClr val="000000"/>
                    </a:solidFill>
                    <a:latin typeface="Arial"/>
                    <a:ea typeface="Arial"/>
                    <a:cs typeface="Arial"/>
                  </a:defRPr>
                </a:pPr>
                <a:r>
                  <a:rPr lang="en-US"/>
                  <a:t>Commission Rates</a:t>
                </a:r>
              </a:p>
            </c:rich>
          </c:tx>
          <c:layout>
            <c:manualLayout>
              <c:xMode val="edge"/>
              <c:yMode val="edge"/>
              <c:x val="3.7850113550340651E-3"/>
              <c:y val="0.33333418688517596"/>
            </c:manualLayout>
          </c:layout>
          <c:overlay val="0"/>
          <c:spPr>
            <a:noFill/>
            <a:ln w="25400">
              <a:noFill/>
            </a:ln>
          </c:spPr>
        </c:title>
        <c:numFmt formatCode="0.00%" sourceLinked="0"/>
        <c:majorTickMark val="out"/>
        <c:minorTickMark val="none"/>
        <c:tickLblPos val="nextTo"/>
        <c:spPr>
          <a:ln w="9525">
            <a:noFill/>
          </a:ln>
        </c:spPr>
        <c:txPr>
          <a:bodyPr rot="0" vert="horz"/>
          <a:lstStyle/>
          <a:p>
            <a:pPr>
              <a:defRPr sz="1075" b="0" i="0" u="none" strike="noStrike" baseline="0">
                <a:solidFill>
                  <a:srgbClr val="000000"/>
                </a:solidFill>
                <a:latin typeface="Arial"/>
                <a:ea typeface="Arial"/>
                <a:cs typeface="Arial"/>
              </a:defRPr>
            </a:pPr>
            <a:endParaRPr lang="en-US"/>
          </a:p>
        </c:txPr>
        <c:crossAx val="671736576"/>
        <c:crosses val="autoZero"/>
        <c:crossBetween val="between"/>
        <c:majorUnit val="2.5000000000000001E-3"/>
      </c:valAx>
      <c:spPr>
        <a:noFill/>
        <a:ln w="25400">
          <a:noFill/>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2168835130468"/>
          <c:y val="8.0838441532620597E-2"/>
          <c:w val="0.82302857541454499"/>
          <c:h val="0.8652707260343464"/>
        </c:manualLayout>
      </c:layout>
      <c:barChart>
        <c:barDir val="col"/>
        <c:grouping val="clustered"/>
        <c:varyColors val="0"/>
        <c:ser>
          <c:idx val="0"/>
          <c:order val="0"/>
          <c:tx>
            <c:v/>
          </c:tx>
          <c:spPr>
            <a:solidFill>
              <a:srgbClr val="3366FF"/>
            </a:solidFill>
            <a:ln w="25400">
              <a:noFill/>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Lit>
              <c:formatCode>General</c:formatCode>
              <c:ptCount val="1"/>
              <c:pt idx="0">
                <c:v>1</c:v>
              </c:pt>
            </c:numLit>
          </c:cat>
          <c:val>
            <c:numLit>
              <c:formatCode>General</c:formatCode>
              <c:ptCount val="1"/>
              <c:pt idx="0">
                <c:v>1</c:v>
              </c:pt>
            </c:numLit>
          </c:val>
        </c:ser>
        <c:ser>
          <c:idx val="1"/>
          <c:order val="1"/>
          <c:tx>
            <c:v/>
          </c:tx>
          <c:spPr>
            <a:pattFill prst="pct75">
              <a:fgClr>
                <a:srgbClr xmlns:mc="http://schemas.openxmlformats.org/markup-compatibility/2006" xmlns:a14="http://schemas.microsoft.com/office/drawing/2010/main" val="808080" mc:Ignorable="a14" a14:legacySpreadsheetColorIndex="23"/>
              </a:fgClr>
              <a:bgClr>
                <a:srgbClr xmlns:mc="http://schemas.openxmlformats.org/markup-compatibility/2006" xmlns:a14="http://schemas.microsoft.com/office/drawing/2010/main" val="FFFFFF" mc:Ignorable="a14" a14:legacySpreadsheetColorIndex="9"/>
              </a:bgClr>
            </a:patt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axId val="673414528"/>
        <c:axId val="673424512"/>
      </c:barChart>
      <c:catAx>
        <c:axId val="673414528"/>
        <c:scaling>
          <c:orientation val="minMax"/>
        </c:scaling>
        <c:delete val="0"/>
        <c:axPos val="b"/>
        <c:numFmt formatCode="General" sourceLinked="1"/>
        <c:majorTickMark val="out"/>
        <c:minorTickMark val="none"/>
        <c:tickLblPos val="low"/>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3424512"/>
        <c:crosses val="autoZero"/>
        <c:auto val="1"/>
        <c:lblAlgn val="ctr"/>
        <c:lblOffset val="100"/>
        <c:tickLblSkip val="1"/>
        <c:tickMarkSkip val="1"/>
        <c:noMultiLvlLbl val="0"/>
      </c:catAx>
      <c:valAx>
        <c:axId val="673424512"/>
        <c:scaling>
          <c:orientation val="minMax"/>
          <c:min val="-0.2"/>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 Growth (Sequential)</a:t>
                </a:r>
              </a:p>
            </c:rich>
          </c:tx>
          <c:layout>
            <c:manualLayout>
              <c:xMode val="edge"/>
              <c:yMode val="edge"/>
              <c:x val="2.5586353944562899E-2"/>
              <c:y val="0.2934134879846606"/>
            </c:manualLayout>
          </c:layout>
          <c:overlay val="0"/>
          <c:spPr>
            <a:noFill/>
            <a:ln w="25400">
              <a:noFill/>
            </a:ln>
          </c:spPr>
        </c:title>
        <c:numFmt formatCode="General"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3414528"/>
        <c:crosses val="autoZero"/>
        <c:crossBetween val="between"/>
        <c:majorUnit val="0.1"/>
        <c:minorUnit val="0.1"/>
      </c:valAx>
      <c:spPr>
        <a:noFill/>
        <a:ln w="25400">
          <a:noFill/>
        </a:ln>
      </c:spPr>
    </c:plotArea>
    <c:legend>
      <c:legendPos val="r"/>
      <c:layout>
        <c:manualLayout>
          <c:xMode val="edge"/>
          <c:yMode val="edge"/>
          <c:x val="0.65032050098215333"/>
          <c:y val="0.13772486523016958"/>
          <c:w val="8.3155650319829411E-2"/>
          <c:h val="7.1856287425149712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Adjusted EBITDA Margins</a:t>
            </a:r>
          </a:p>
        </c:rich>
      </c:tx>
      <c:layout>
        <c:manualLayout>
          <c:xMode val="edge"/>
          <c:yMode val="edge"/>
          <c:x val="0.36214034974023307"/>
          <c:y val="3.2258064516129031E-2"/>
        </c:manualLayout>
      </c:layout>
      <c:overlay val="0"/>
      <c:spPr>
        <a:noFill/>
        <a:ln w="25400">
          <a:noFill/>
        </a:ln>
      </c:spPr>
    </c:title>
    <c:autoTitleDeleted val="0"/>
    <c:plotArea>
      <c:layout>
        <c:manualLayout>
          <c:layoutTarget val="inner"/>
          <c:xMode val="edge"/>
          <c:yMode val="edge"/>
          <c:x val="0.1083677720547358"/>
          <c:y val="9.4470046082949302E-2"/>
          <c:w val="0.87105740828806622"/>
          <c:h val="0.71658986175115202"/>
        </c:manualLayout>
      </c:layout>
      <c:barChart>
        <c:barDir val="col"/>
        <c:grouping val="clustered"/>
        <c:varyColors val="0"/>
        <c:ser>
          <c:idx val="0"/>
          <c:order val="0"/>
          <c:tx>
            <c:strRef>
              <c:f>Exhibits2!$J$13</c:f>
              <c:strCache>
                <c:ptCount val="1"/>
                <c:pt idx="0">
                  <c:v>2010</c:v>
                </c:pt>
              </c:strCache>
            </c:strRef>
          </c:tx>
          <c:invertIfNegative val="0"/>
          <c:cat>
            <c:strRef>
              <c:f>Exhibits2!$I$14:$K$17</c:f>
              <c:strCache>
                <c:ptCount val="4"/>
                <c:pt idx="0">
                  <c:v>H</c:v>
                </c:pt>
                <c:pt idx="1">
                  <c:v>HLT</c:v>
                </c:pt>
                <c:pt idx="2">
                  <c:v>HOT</c:v>
                </c:pt>
                <c:pt idx="3">
                  <c:v>MAR</c:v>
                </c:pt>
              </c:strCache>
            </c:strRef>
          </c:cat>
          <c:val>
            <c:numRef>
              <c:f>Exhibits2!$J$15:$J$17</c:f>
            </c:numRef>
          </c:val>
        </c:ser>
        <c:ser>
          <c:idx val="1"/>
          <c:order val="1"/>
          <c:tx>
            <c:strRef>
              <c:f>Exhibits2!$K$13</c:f>
              <c:strCache>
                <c:ptCount val="1"/>
                <c:pt idx="0">
                  <c:v>2011</c:v>
                </c:pt>
              </c:strCache>
            </c:strRef>
          </c:tx>
          <c:invertIfNegative val="0"/>
          <c:cat>
            <c:strRef>
              <c:f>Exhibits2!$I$14:$K$17</c:f>
              <c:strCache>
                <c:ptCount val="4"/>
                <c:pt idx="0">
                  <c:v>H</c:v>
                </c:pt>
                <c:pt idx="1">
                  <c:v>HLT</c:v>
                </c:pt>
                <c:pt idx="2">
                  <c:v>HOT</c:v>
                </c:pt>
                <c:pt idx="3">
                  <c:v>MAR</c:v>
                </c:pt>
              </c:strCache>
            </c:strRef>
          </c:cat>
          <c:val>
            <c:numRef>
              <c:f>Exhibits2!$K$15:$K$17</c:f>
            </c:numRef>
          </c:val>
        </c:ser>
        <c:ser>
          <c:idx val="2"/>
          <c:order val="2"/>
          <c:tx>
            <c:strRef>
              <c:f>Exhibits2!$L$13</c:f>
              <c:strCache>
                <c:ptCount val="1"/>
                <c:pt idx="0">
                  <c:v>2012</c:v>
                </c:pt>
              </c:strCache>
            </c:strRef>
          </c:tx>
          <c:spPr>
            <a:solidFill>
              <a:srgbClr val="000080"/>
            </a:solidFill>
            <a:ln w="12700">
              <a:solidFill>
                <a:srgbClr val="000000"/>
              </a:solidFill>
              <a:prstDash val="solid"/>
            </a:ln>
          </c:spPr>
          <c:invertIfNegative val="0"/>
          <c:dLbls>
            <c:spPr>
              <a:noFill/>
              <a:ln w="25400">
                <a:noFill/>
              </a:ln>
            </c:spPr>
            <c:txPr>
              <a:bodyPr/>
              <a:lstStyle/>
              <a:p>
                <a:pPr>
                  <a:defRPr sz="12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Exhibits2!$I$14:$K$17</c:f>
              <c:strCache>
                <c:ptCount val="4"/>
                <c:pt idx="0">
                  <c:v>H</c:v>
                </c:pt>
                <c:pt idx="1">
                  <c:v>HLT</c:v>
                </c:pt>
                <c:pt idx="2">
                  <c:v>HOT</c:v>
                </c:pt>
                <c:pt idx="3">
                  <c:v>MAR</c:v>
                </c:pt>
              </c:strCache>
            </c:strRef>
          </c:cat>
          <c:val>
            <c:numRef>
              <c:f>Exhibits2!$L$14:$L$17</c:f>
              <c:numCache>
                <c:formatCode>0.0%</c:formatCode>
                <c:ptCount val="4"/>
                <c:pt idx="0">
                  <c:v>0.25187032418952621</c:v>
                </c:pt>
                <c:pt idx="1">
                  <c:v>0.31794538361508451</c:v>
                </c:pt>
                <c:pt idx="2">
                  <c:v>0.31487219209914796</c:v>
                </c:pt>
                <c:pt idx="3">
                  <c:v>0.47571606475716066</c:v>
                </c:pt>
              </c:numCache>
            </c:numRef>
          </c:val>
        </c:ser>
        <c:ser>
          <c:idx val="4"/>
          <c:order val="3"/>
          <c:tx>
            <c:strRef>
              <c:f>Exhibits2!$M$13</c:f>
              <c:strCache>
                <c:ptCount val="1"/>
                <c:pt idx="0">
                  <c:v>2013E</c:v>
                </c:pt>
              </c:strCache>
            </c:strRef>
          </c:tx>
          <c:invertIfNegative val="0"/>
          <c:cat>
            <c:strRef>
              <c:f>Exhibits2!$I$14:$K$17</c:f>
              <c:strCache>
                <c:ptCount val="4"/>
                <c:pt idx="0">
                  <c:v>H</c:v>
                </c:pt>
                <c:pt idx="1">
                  <c:v>HLT</c:v>
                </c:pt>
                <c:pt idx="2">
                  <c:v>HOT</c:v>
                </c:pt>
                <c:pt idx="3">
                  <c:v>MAR</c:v>
                </c:pt>
              </c:strCache>
            </c:strRef>
          </c:cat>
          <c:val>
            <c:numRef>
              <c:f>Exhibits2!$M$15:$M$17</c:f>
            </c:numRef>
          </c:val>
        </c:ser>
        <c:ser>
          <c:idx val="5"/>
          <c:order val="4"/>
          <c:tx>
            <c:strRef>
              <c:f>Exhibits2!$N$13</c:f>
              <c:strCache>
                <c:ptCount val="1"/>
                <c:pt idx="0">
                  <c:v>2014E</c:v>
                </c:pt>
              </c:strCache>
            </c:strRef>
          </c:tx>
          <c:invertIfNegative val="0"/>
          <c:cat>
            <c:strRef>
              <c:f>Exhibits2!$I$14:$K$17</c:f>
              <c:strCache>
                <c:ptCount val="4"/>
                <c:pt idx="0">
                  <c:v>H</c:v>
                </c:pt>
                <c:pt idx="1">
                  <c:v>HLT</c:v>
                </c:pt>
                <c:pt idx="2">
                  <c:v>HOT</c:v>
                </c:pt>
                <c:pt idx="3">
                  <c:v>MAR</c:v>
                </c:pt>
              </c:strCache>
            </c:strRef>
          </c:cat>
          <c:val>
            <c:numRef>
              <c:f>Exhibits2!$N$15:$N$17</c:f>
            </c:numRef>
          </c:val>
        </c:ser>
        <c:ser>
          <c:idx val="3"/>
          <c:order val="5"/>
          <c:tx>
            <c:strRef>
              <c:f>Exhibits2!$O$13</c:f>
              <c:strCache>
                <c:ptCount val="1"/>
                <c:pt idx="0">
                  <c:v>2015E</c:v>
                </c:pt>
              </c:strCache>
            </c:strRef>
          </c:tx>
          <c:spPr>
            <a:solidFill>
              <a:srgbClr val="FFFF00"/>
            </a:solidFill>
            <a:ln w="12700">
              <a:solidFill>
                <a:srgbClr val="000000"/>
              </a:solidFill>
              <a:prstDash val="solid"/>
            </a:ln>
          </c:spPr>
          <c:invertIfNegative val="0"/>
          <c:dLbls>
            <c:spPr>
              <a:noFill/>
              <a:ln w="25400">
                <a:noFill/>
              </a:ln>
            </c:spPr>
            <c:txPr>
              <a:bodyPr/>
              <a:lstStyle/>
              <a:p>
                <a:pPr>
                  <a:defRPr sz="12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Exhibits2!$I$14:$K$17</c:f>
              <c:strCache>
                <c:ptCount val="4"/>
                <c:pt idx="0">
                  <c:v>H</c:v>
                </c:pt>
                <c:pt idx="1">
                  <c:v>HLT</c:v>
                </c:pt>
                <c:pt idx="2">
                  <c:v>HOT</c:v>
                </c:pt>
                <c:pt idx="3">
                  <c:v>MAR</c:v>
                </c:pt>
              </c:strCache>
            </c:strRef>
          </c:cat>
          <c:val>
            <c:numRef>
              <c:f>Exhibits2!$O$14:$O$17</c:f>
              <c:numCache>
                <c:formatCode>0.0%</c:formatCode>
                <c:ptCount val="4"/>
                <c:pt idx="0">
                  <c:v>0.30101704849938299</c:v>
                </c:pt>
                <c:pt idx="1">
                  <c:v>0.40310837300476055</c:v>
                </c:pt>
                <c:pt idx="2">
                  <c:v>0.40506798263436355</c:v>
                </c:pt>
                <c:pt idx="3">
                  <c:v>0.50189207006698633</c:v>
                </c:pt>
              </c:numCache>
            </c:numRef>
          </c:val>
        </c:ser>
        <c:dLbls>
          <c:showLegendKey val="0"/>
          <c:showVal val="0"/>
          <c:showCatName val="0"/>
          <c:showSerName val="0"/>
          <c:showPercent val="0"/>
          <c:showBubbleSize val="0"/>
        </c:dLbls>
        <c:gapWidth val="150"/>
        <c:axId val="671498240"/>
        <c:axId val="671499776"/>
      </c:barChart>
      <c:catAx>
        <c:axId val="67149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71499776"/>
        <c:crosses val="autoZero"/>
        <c:auto val="1"/>
        <c:lblAlgn val="ctr"/>
        <c:lblOffset val="100"/>
        <c:tickLblSkip val="1"/>
        <c:tickMarkSkip val="1"/>
        <c:noMultiLvlLbl val="0"/>
      </c:catAx>
      <c:valAx>
        <c:axId val="671499776"/>
        <c:scaling>
          <c:orientation val="minMax"/>
          <c:max val="0.7"/>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71498240"/>
        <c:crosses val="autoZero"/>
        <c:crossBetween val="between"/>
      </c:valAx>
      <c:spPr>
        <a:noFill/>
        <a:ln w="12700">
          <a:solidFill>
            <a:srgbClr val="808080"/>
          </a:solidFill>
          <a:prstDash val="solid"/>
        </a:ln>
      </c:spPr>
    </c:plotArea>
    <c:legend>
      <c:legendPos val="r"/>
      <c:layout>
        <c:manualLayout>
          <c:xMode val="edge"/>
          <c:yMode val="edge"/>
          <c:x val="0.51577575436815259"/>
          <c:y val="0.92626728110599077"/>
          <c:w val="0.1851854732150251"/>
          <c:h val="5.7603686635944729E-2"/>
        </c:manualLayout>
      </c:layout>
      <c:overlay val="0"/>
      <c:spPr>
        <a:solidFill>
          <a:srgbClr val="FFFFFF"/>
        </a:solidFill>
        <a:ln w="3175">
          <a:solidFill>
            <a:srgbClr val="000000"/>
          </a:solidFill>
          <a:prstDash val="solid"/>
        </a:ln>
      </c:spPr>
      <c:txPr>
        <a:bodyPr/>
        <a:lstStyle/>
        <a:p>
          <a:pPr>
            <a:defRPr sz="11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Value per room</c:v>
          </c:tx>
          <c:invertIfNegative val="0"/>
          <c:cat>
            <c:strRef>
              <c:f>Exhibits2!$BG$143:$BR$143</c:f>
              <c:strCache>
                <c:ptCount val="12"/>
                <c:pt idx="0">
                  <c:v>2004 </c:v>
                </c:pt>
                <c:pt idx="1">
                  <c:v>2005 </c:v>
                </c:pt>
                <c:pt idx="2">
                  <c:v>2006 </c:v>
                </c:pt>
                <c:pt idx="3">
                  <c:v>2007 </c:v>
                </c:pt>
                <c:pt idx="4">
                  <c:v>2008 </c:v>
                </c:pt>
                <c:pt idx="5">
                  <c:v>2009 </c:v>
                </c:pt>
                <c:pt idx="6">
                  <c:v>2010 </c:v>
                </c:pt>
                <c:pt idx="7">
                  <c:v>2011 </c:v>
                </c:pt>
                <c:pt idx="8">
                  <c:v>2012 </c:v>
                </c:pt>
                <c:pt idx="9">
                  <c:v>2013E</c:v>
                </c:pt>
                <c:pt idx="10">
                  <c:v>2014E</c:v>
                </c:pt>
                <c:pt idx="11">
                  <c:v>2015E</c:v>
                </c:pt>
              </c:strCache>
            </c:strRef>
          </c:cat>
          <c:val>
            <c:numRef>
              <c:f>Exhibits2!$BG$144:$BR$144</c:f>
              <c:numCache>
                <c:formatCode>"$"#,##0_);\("$"#,##0\)</c:formatCode>
                <c:ptCount val="12"/>
                <c:pt idx="0">
                  <c:v>65000</c:v>
                </c:pt>
                <c:pt idx="1">
                  <c:v>82000</c:v>
                </c:pt>
                <c:pt idx="2">
                  <c:v>99000</c:v>
                </c:pt>
                <c:pt idx="3">
                  <c:v>95000</c:v>
                </c:pt>
                <c:pt idx="4">
                  <c:v>81000</c:v>
                </c:pt>
                <c:pt idx="5">
                  <c:v>56000</c:v>
                </c:pt>
                <c:pt idx="6">
                  <c:v>65000</c:v>
                </c:pt>
                <c:pt idx="7">
                  <c:v>78000</c:v>
                </c:pt>
                <c:pt idx="8">
                  <c:v>94000</c:v>
                </c:pt>
                <c:pt idx="9">
                  <c:v>106000</c:v>
                </c:pt>
                <c:pt idx="10">
                  <c:v>122000</c:v>
                </c:pt>
                <c:pt idx="11">
                  <c:v>133000</c:v>
                </c:pt>
              </c:numCache>
            </c:numRef>
          </c:val>
        </c:ser>
        <c:dLbls>
          <c:showLegendKey val="0"/>
          <c:showVal val="0"/>
          <c:showCatName val="0"/>
          <c:showSerName val="0"/>
          <c:showPercent val="0"/>
          <c:showBubbleSize val="0"/>
        </c:dLbls>
        <c:gapWidth val="150"/>
        <c:overlap val="-100"/>
        <c:axId val="658266752"/>
        <c:axId val="658268544"/>
      </c:barChart>
      <c:lineChart>
        <c:grouping val="standard"/>
        <c:varyColors val="0"/>
        <c:ser>
          <c:idx val="1"/>
          <c:order val="1"/>
          <c:tx>
            <c:v>% Change</c:v>
          </c:tx>
          <c:spPr>
            <a:ln w="25400">
              <a:solidFill>
                <a:srgbClr val="008080"/>
              </a:solidFill>
              <a:prstDash val="solid"/>
            </a:ln>
          </c:spPr>
          <c:marker>
            <c:symbol val="none"/>
          </c:marker>
          <c:cat>
            <c:strRef>
              <c:f>Exhibits2!$BG$143:$BR$143</c:f>
              <c:strCache>
                <c:ptCount val="12"/>
                <c:pt idx="0">
                  <c:v>2004 </c:v>
                </c:pt>
                <c:pt idx="1">
                  <c:v>2005 </c:v>
                </c:pt>
                <c:pt idx="2">
                  <c:v>2006 </c:v>
                </c:pt>
                <c:pt idx="3">
                  <c:v>2007 </c:v>
                </c:pt>
                <c:pt idx="4">
                  <c:v>2008 </c:v>
                </c:pt>
                <c:pt idx="5">
                  <c:v>2009 </c:v>
                </c:pt>
                <c:pt idx="6">
                  <c:v>2010 </c:v>
                </c:pt>
                <c:pt idx="7">
                  <c:v>2011 </c:v>
                </c:pt>
                <c:pt idx="8">
                  <c:v>2012 </c:v>
                </c:pt>
                <c:pt idx="9">
                  <c:v>2013E</c:v>
                </c:pt>
                <c:pt idx="10">
                  <c:v>2014E</c:v>
                </c:pt>
                <c:pt idx="11">
                  <c:v>2015E</c:v>
                </c:pt>
              </c:strCache>
            </c:strRef>
          </c:cat>
          <c:val>
            <c:numRef>
              <c:f>Exhibits2!$BG$145:$BR$145</c:f>
              <c:numCache>
                <c:formatCode>0%</c:formatCode>
                <c:ptCount val="12"/>
                <c:pt idx="0">
                  <c:v>0.28000000000000003</c:v>
                </c:pt>
                <c:pt idx="1">
                  <c:v>0.26</c:v>
                </c:pt>
                <c:pt idx="2">
                  <c:v>0.21</c:v>
                </c:pt>
                <c:pt idx="3">
                  <c:v>-0.04</c:v>
                </c:pt>
                <c:pt idx="4">
                  <c:v>-0.15</c:v>
                </c:pt>
                <c:pt idx="5">
                  <c:v>-0.31</c:v>
                </c:pt>
                <c:pt idx="6">
                  <c:v>0.17</c:v>
                </c:pt>
                <c:pt idx="7">
                  <c:v>0.2</c:v>
                </c:pt>
                <c:pt idx="8">
                  <c:v>0.2</c:v>
                </c:pt>
                <c:pt idx="9">
                  <c:v>0.12</c:v>
                </c:pt>
                <c:pt idx="10">
                  <c:v>0.15</c:v>
                </c:pt>
                <c:pt idx="11">
                  <c:v>0.09</c:v>
                </c:pt>
              </c:numCache>
            </c:numRef>
          </c:val>
          <c:smooth val="0"/>
        </c:ser>
        <c:dLbls>
          <c:showLegendKey val="0"/>
          <c:showVal val="0"/>
          <c:showCatName val="0"/>
          <c:showSerName val="0"/>
          <c:showPercent val="0"/>
          <c:showBubbleSize val="0"/>
        </c:dLbls>
        <c:marker val="1"/>
        <c:smooth val="0"/>
        <c:axId val="658270080"/>
        <c:axId val="658271616"/>
      </c:lineChart>
      <c:catAx>
        <c:axId val="658266752"/>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658268544"/>
        <c:crosses val="autoZero"/>
        <c:auto val="1"/>
        <c:lblAlgn val="ctr"/>
        <c:lblOffset val="100"/>
        <c:noMultiLvlLbl val="0"/>
      </c:catAx>
      <c:valAx>
        <c:axId val="658268544"/>
        <c:scaling>
          <c:orientation val="minMax"/>
        </c:scaling>
        <c:delete val="0"/>
        <c:axPos val="l"/>
        <c:majorGridlines/>
        <c:numFmt formatCode="&quot;$&quot;#,##0_);\(&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8266752"/>
        <c:crosses val="autoZero"/>
        <c:crossBetween val="between"/>
      </c:valAx>
      <c:catAx>
        <c:axId val="658270080"/>
        <c:scaling>
          <c:orientation val="minMax"/>
        </c:scaling>
        <c:delete val="1"/>
        <c:axPos val="b"/>
        <c:majorTickMark val="out"/>
        <c:minorTickMark val="none"/>
        <c:tickLblPos val="nextTo"/>
        <c:crossAx val="658271616"/>
        <c:crosses val="autoZero"/>
        <c:auto val="1"/>
        <c:lblAlgn val="ctr"/>
        <c:lblOffset val="100"/>
        <c:noMultiLvlLbl val="0"/>
      </c:catAx>
      <c:valAx>
        <c:axId val="658271616"/>
        <c:scaling>
          <c:orientation val="minMax"/>
          <c:max val="0.5"/>
          <c:min val="-0.4"/>
        </c:scaling>
        <c:delete val="0"/>
        <c:axPos val="r"/>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8270080"/>
        <c:crosses val="max"/>
        <c:crossBetween val="between"/>
        <c:majorUnit val="0.1"/>
      </c:valAx>
    </c:plotArea>
    <c:legend>
      <c:legendPos val="r"/>
      <c:layout>
        <c:manualLayout>
          <c:xMode val="edge"/>
          <c:yMode val="edge"/>
          <c:x val="0.24948046774818428"/>
          <c:y val="0.86868969661620576"/>
          <c:w val="0.50103993757537069"/>
          <c:h val="8.0808434299248E-2"/>
        </c:manualLayout>
      </c:layout>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67467416463766E-2"/>
          <c:y val="7.277628032345014E-2"/>
          <c:w val="0.91597933027421785"/>
          <c:h val="0.84366576819407013"/>
        </c:manualLayout>
      </c:layout>
      <c:lineChart>
        <c:grouping val="standard"/>
        <c:varyColors val="0"/>
        <c:ser>
          <c:idx val="0"/>
          <c:order val="0"/>
          <c:tx>
            <c:v>Series1</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3795072"/>
        <c:axId val="673817344"/>
      </c:lineChart>
      <c:catAx>
        <c:axId val="673795072"/>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673817344"/>
        <c:crosses val="autoZero"/>
        <c:auto val="1"/>
        <c:lblAlgn val="ctr"/>
        <c:lblOffset val="100"/>
        <c:tickLblSkip val="1"/>
        <c:tickMarkSkip val="1"/>
        <c:noMultiLvlLbl val="0"/>
      </c:catAx>
      <c:valAx>
        <c:axId val="673817344"/>
        <c:scaling>
          <c:orientation val="minMax"/>
          <c:max val="200"/>
          <c:min val="5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Arial"/>
                    <a:ea typeface="Arial"/>
                    <a:cs typeface="Arial"/>
                  </a:defRPr>
                </a:pPr>
                <a:r>
                  <a:rPr lang="en-US"/>
                  <a:t>Mass revenue ($ millions)</a:t>
                </a:r>
              </a:p>
            </c:rich>
          </c:tx>
          <c:layout>
            <c:manualLayout>
              <c:xMode val="edge"/>
              <c:yMode val="edge"/>
              <c:x val="3.7509377344336083E-3"/>
              <c:y val="0.264150943396226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100" b="0" i="0" u="none" strike="noStrike" baseline="0">
                <a:solidFill>
                  <a:srgbClr val="000000"/>
                </a:solidFill>
                <a:latin typeface="Arial"/>
                <a:ea typeface="Arial"/>
                <a:cs typeface="Arial"/>
              </a:defRPr>
            </a:pPr>
            <a:endParaRPr lang="en-US"/>
          </a:p>
        </c:txPr>
        <c:crossAx val="673795072"/>
        <c:crosses val="autoZero"/>
        <c:crossBetween val="between"/>
        <c:majorUnit val="50"/>
      </c:valAx>
      <c:spPr>
        <a:noFill/>
        <a:ln w="25400">
          <a:noFill/>
        </a:ln>
      </c:spPr>
    </c:plotArea>
    <c:plotVisOnly val="1"/>
    <c:dispBlanksAs val="gap"/>
    <c:showDLblsOverMax val="0"/>
  </c:chart>
  <c:spPr>
    <a:solidFill>
      <a:srgbClr val="FFFFFF"/>
    </a:solidFill>
    <a:ln w="9525">
      <a:noFill/>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2046314725713"/>
          <c:y val="7.6704651856372985E-2"/>
          <c:w val="0.69817691843017726"/>
          <c:h val="0.7755692576588824"/>
        </c:manualLayout>
      </c:layout>
      <c:barChart>
        <c:barDir val="col"/>
        <c:grouping val="clustered"/>
        <c:varyColors val="0"/>
        <c:ser>
          <c:idx val="1"/>
          <c:order val="0"/>
          <c:tx>
            <c:v/>
          </c:tx>
          <c:spPr>
            <a:solidFill>
              <a:srgbClr val="969696"/>
            </a:solidFill>
            <a:ln w="25400">
              <a:noFill/>
            </a:ln>
          </c:spPr>
          <c:invertIfNegative val="0"/>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axId val="674392704"/>
        <c:axId val="674398976"/>
      </c:barChart>
      <c:lineChart>
        <c:grouping val="standard"/>
        <c:varyColors val="0"/>
        <c:ser>
          <c:idx val="0"/>
          <c:order val="1"/>
          <c:tx>
            <c:v/>
          </c:tx>
          <c:spPr>
            <a:ln w="25400">
              <a:solidFill>
                <a:srgbClr val="000080"/>
              </a:solidFill>
              <a:prstDash val="solid"/>
            </a:ln>
          </c:spPr>
          <c:marker>
            <c:symbol val="diamond"/>
            <c:size val="7"/>
            <c:spPr>
              <a:solidFill>
                <a:srgbClr val="000080"/>
              </a:solidFill>
              <a:ln>
                <a:solidFill>
                  <a:srgbClr val="000080"/>
                </a:solidFill>
                <a:prstDash val="solid"/>
              </a:ln>
            </c:spPr>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4400896"/>
        <c:axId val="674406784"/>
      </c:lineChart>
      <c:catAx>
        <c:axId val="67439270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74398976"/>
        <c:crosses val="autoZero"/>
        <c:auto val="0"/>
        <c:lblAlgn val="ctr"/>
        <c:lblOffset val="100"/>
        <c:tickLblSkip val="1"/>
        <c:tickMarkSkip val="1"/>
        <c:noMultiLvlLbl val="0"/>
      </c:catAx>
      <c:valAx>
        <c:axId val="674398976"/>
        <c:scaling>
          <c:orientation val="minMax"/>
          <c:max val="300"/>
          <c:min val="10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Las Vegas RevPAR</a:t>
                </a:r>
              </a:p>
            </c:rich>
          </c:tx>
          <c:layout>
            <c:manualLayout>
              <c:xMode val="edge"/>
              <c:yMode val="edge"/>
              <c:x val="1.3266998341625208E-2"/>
              <c:y val="0.28409120734908133"/>
            </c:manualLayout>
          </c:layout>
          <c:overlay val="0"/>
          <c:spPr>
            <a:noFill/>
            <a:ln w="25400">
              <a:noFill/>
            </a:ln>
          </c:spPr>
        </c:title>
        <c:numFmt formatCode="\$#,##0_);\(\$#,##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392704"/>
        <c:crosses val="autoZero"/>
        <c:crossBetween val="between"/>
        <c:majorUnit val="50"/>
      </c:valAx>
      <c:catAx>
        <c:axId val="674400896"/>
        <c:scaling>
          <c:orientation val="minMax"/>
        </c:scaling>
        <c:delete val="1"/>
        <c:axPos val="b"/>
        <c:numFmt formatCode="General" sourceLinked="1"/>
        <c:majorTickMark val="out"/>
        <c:minorTickMark val="none"/>
        <c:tickLblPos val="nextTo"/>
        <c:crossAx val="674406784"/>
        <c:crosses val="autoZero"/>
        <c:auto val="0"/>
        <c:lblAlgn val="ctr"/>
        <c:lblOffset val="100"/>
        <c:noMultiLvlLbl val="0"/>
      </c:catAx>
      <c:valAx>
        <c:axId val="674406784"/>
        <c:scaling>
          <c:orientation val="minMax"/>
          <c:max val="0.1"/>
          <c:min val="-0.4"/>
        </c:scaling>
        <c:delete val="0"/>
        <c:axPos val="r"/>
        <c:title>
          <c:tx>
            <c:rich>
              <a:bodyPr rot="5400000" vert="horz"/>
              <a:lstStyle/>
              <a:p>
                <a:pPr algn="ctr">
                  <a:defRPr sz="1000" b="1" i="0" u="none" strike="noStrike" baseline="0">
                    <a:solidFill>
                      <a:srgbClr val="000000"/>
                    </a:solidFill>
                    <a:latin typeface="Arial"/>
                    <a:ea typeface="Arial"/>
                    <a:cs typeface="Arial"/>
                  </a:defRPr>
                </a:pPr>
                <a:r>
                  <a:rPr lang="en-US"/>
                  <a:t>% Growth (y-o-y)</a:t>
                </a:r>
              </a:p>
            </c:rich>
          </c:tx>
          <c:layout>
            <c:manualLayout>
              <c:xMode val="edge"/>
              <c:yMode val="edge"/>
              <c:x val="0.92869145088207261"/>
              <c:y val="0.31250029825817227"/>
            </c:manualLayout>
          </c:layout>
          <c:overlay val="0"/>
          <c:spPr>
            <a:noFill/>
            <a:ln w="25400">
              <a:noFill/>
            </a:ln>
          </c:spPr>
        </c:title>
        <c:numFmt formatCode="0.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400896"/>
        <c:crosses val="max"/>
        <c:crossBetween val="between"/>
        <c:majorUnit val="0.125"/>
      </c:valAx>
      <c:spPr>
        <a:noFill/>
        <a:ln w="25400">
          <a:noFill/>
        </a:ln>
      </c:spPr>
    </c:plotArea>
    <c:legend>
      <c:legendPos val="r"/>
      <c:layout>
        <c:manualLayout>
          <c:xMode val="edge"/>
          <c:yMode val="edge"/>
          <c:x val="0.16583782748549464"/>
          <c:y val="0.9204557384872345"/>
          <c:w val="0.5356559285810667"/>
          <c:h val="7.1022727272727293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1200" verticalDpi="120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10299769408147E-2"/>
          <c:y val="7.6923076923076927E-2"/>
          <c:w val="0.9192928516525749"/>
          <c:h val="0.83727810650887569"/>
        </c:manualLayout>
      </c:layout>
      <c:lineChart>
        <c:grouping val="standard"/>
        <c:varyColors val="0"/>
        <c:ser>
          <c:idx val="0"/>
          <c:order val="0"/>
          <c:tx>
            <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ser>
          <c:idx val="1"/>
          <c:order val="1"/>
          <c:tx>
            <c:v/>
          </c:tx>
          <c:spPr>
            <a:ln w="38100">
              <a:solidFill>
                <a:srgbClr val="969696"/>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52096640"/>
        <c:axId val="652098176"/>
      </c:lineChart>
      <c:catAx>
        <c:axId val="652096640"/>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52098176"/>
        <c:crosses val="autoZero"/>
        <c:auto val="1"/>
        <c:lblAlgn val="ctr"/>
        <c:lblOffset val="100"/>
        <c:tickLblSkip val="1"/>
        <c:tickMarkSkip val="1"/>
        <c:noMultiLvlLbl val="0"/>
      </c:catAx>
      <c:valAx>
        <c:axId val="652098176"/>
        <c:scaling>
          <c:orientation val="minMax"/>
          <c:max val="1000"/>
          <c:min val="0"/>
        </c:scaling>
        <c:delete val="0"/>
        <c:axPos val="l"/>
        <c:majorGridlines>
          <c:spPr>
            <a:ln w="3175">
              <a:solidFill>
                <a:srgbClr val="80808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Gaming revenue ($ millions)</a:t>
                </a:r>
              </a:p>
            </c:rich>
          </c:tx>
          <c:layout>
            <c:manualLayout>
              <c:xMode val="edge"/>
              <c:yMode val="edge"/>
              <c:x val="3.843197540353574E-3"/>
              <c:y val="0.251479289940828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52096640"/>
        <c:crosses val="autoZero"/>
        <c:crossBetween val="between"/>
        <c:majorUnit val="20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915242327679346E-2"/>
          <c:y val="7.3170925354964209E-2"/>
          <c:w val="0.91370207883693655"/>
          <c:h val="0.84824072726310362"/>
        </c:manualLayout>
      </c:layout>
      <c:lineChart>
        <c:grouping val="standard"/>
        <c:varyColors val="0"/>
        <c:ser>
          <c:idx val="0"/>
          <c:order val="0"/>
          <c:tx>
            <c:v>Series1</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52131328"/>
        <c:axId val="652133120"/>
      </c:lineChart>
      <c:catAx>
        <c:axId val="652131328"/>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52133120"/>
        <c:crosses val="autoZero"/>
        <c:auto val="1"/>
        <c:lblAlgn val="ctr"/>
        <c:lblOffset val="100"/>
        <c:tickLblSkip val="1"/>
        <c:tickMarkSkip val="1"/>
        <c:noMultiLvlLbl val="0"/>
      </c:catAx>
      <c:valAx>
        <c:axId val="652133120"/>
        <c:scaling>
          <c:orientation val="minMax"/>
          <c:max val="1.4999999999999999E-2"/>
          <c:min val="7.4999999999999997E-3"/>
        </c:scaling>
        <c:delete val="0"/>
        <c:axPos val="l"/>
        <c:majorGridlines>
          <c:spPr>
            <a:ln w="3175">
              <a:solidFill>
                <a:srgbClr val="808080"/>
              </a:solidFill>
              <a:prstDash val="solid"/>
            </a:ln>
          </c:spPr>
        </c:majorGridlines>
        <c:title>
          <c:tx>
            <c:rich>
              <a:bodyPr/>
              <a:lstStyle/>
              <a:p>
                <a:pPr>
                  <a:defRPr sz="1075" b="0" i="0" u="none" strike="noStrike" baseline="0">
                    <a:solidFill>
                      <a:srgbClr val="000000"/>
                    </a:solidFill>
                    <a:latin typeface="Arial"/>
                    <a:ea typeface="Arial"/>
                    <a:cs typeface="Arial"/>
                  </a:defRPr>
                </a:pPr>
                <a:r>
                  <a:rPr lang="en-US"/>
                  <a:t>Commission Rates</a:t>
                </a:r>
              </a:p>
            </c:rich>
          </c:tx>
          <c:layout>
            <c:manualLayout>
              <c:xMode val="edge"/>
              <c:yMode val="edge"/>
              <c:x val="3.7850113550340651E-3"/>
              <c:y val="0.33333418688517596"/>
            </c:manualLayout>
          </c:layout>
          <c:overlay val="0"/>
          <c:spPr>
            <a:noFill/>
            <a:ln w="25400">
              <a:noFill/>
            </a:ln>
          </c:spPr>
        </c:title>
        <c:numFmt formatCode="0.00%" sourceLinked="0"/>
        <c:majorTickMark val="out"/>
        <c:minorTickMark val="none"/>
        <c:tickLblPos val="nextTo"/>
        <c:spPr>
          <a:ln w="9525">
            <a:noFill/>
          </a:ln>
        </c:spPr>
        <c:txPr>
          <a:bodyPr rot="0" vert="horz"/>
          <a:lstStyle/>
          <a:p>
            <a:pPr>
              <a:defRPr sz="1075" b="0" i="0" u="none" strike="noStrike" baseline="0">
                <a:solidFill>
                  <a:srgbClr val="000000"/>
                </a:solidFill>
                <a:latin typeface="Arial"/>
                <a:ea typeface="Arial"/>
                <a:cs typeface="Arial"/>
              </a:defRPr>
            </a:pPr>
            <a:endParaRPr lang="en-US"/>
          </a:p>
        </c:txPr>
        <c:crossAx val="652131328"/>
        <c:crosses val="autoZero"/>
        <c:crossBetween val="between"/>
        <c:majorUnit val="2.5000000000000001E-3"/>
      </c:valAx>
      <c:spPr>
        <a:noFill/>
        <a:ln w="25400">
          <a:noFill/>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2168835130468"/>
          <c:y val="8.0838441532620597E-2"/>
          <c:w val="0.82302857541454499"/>
          <c:h val="0.8652707260343464"/>
        </c:manualLayout>
      </c:layout>
      <c:barChart>
        <c:barDir val="col"/>
        <c:grouping val="clustered"/>
        <c:varyColors val="0"/>
        <c:ser>
          <c:idx val="0"/>
          <c:order val="0"/>
          <c:tx>
            <c:v/>
          </c:tx>
          <c:spPr>
            <a:solidFill>
              <a:srgbClr val="3366FF"/>
            </a:solidFill>
            <a:ln w="25400">
              <a:noFill/>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Lit>
              <c:formatCode>General</c:formatCode>
              <c:ptCount val="1"/>
              <c:pt idx="0">
                <c:v>1</c:v>
              </c:pt>
            </c:numLit>
          </c:cat>
          <c:val>
            <c:numLit>
              <c:formatCode>General</c:formatCode>
              <c:ptCount val="1"/>
              <c:pt idx="0">
                <c:v>1</c:v>
              </c:pt>
            </c:numLit>
          </c:val>
        </c:ser>
        <c:ser>
          <c:idx val="1"/>
          <c:order val="1"/>
          <c:tx>
            <c:v/>
          </c:tx>
          <c:spPr>
            <a:pattFill prst="pct75">
              <a:fgClr>
                <a:srgbClr xmlns:mc="http://schemas.openxmlformats.org/markup-compatibility/2006" xmlns:a14="http://schemas.microsoft.com/office/drawing/2010/main" val="808080" mc:Ignorable="a14" a14:legacySpreadsheetColorIndex="23"/>
              </a:fgClr>
              <a:bgClr>
                <a:srgbClr xmlns:mc="http://schemas.openxmlformats.org/markup-compatibility/2006" xmlns:a14="http://schemas.microsoft.com/office/drawing/2010/main" val="FFFFFF" mc:Ignorable="a14" a14:legacySpreadsheetColorIndex="9"/>
              </a:bgClr>
            </a:patt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axId val="674445184"/>
        <c:axId val="674446720"/>
      </c:barChart>
      <c:catAx>
        <c:axId val="674445184"/>
        <c:scaling>
          <c:orientation val="minMax"/>
        </c:scaling>
        <c:delete val="0"/>
        <c:axPos val="b"/>
        <c:numFmt formatCode="General" sourceLinked="1"/>
        <c:majorTickMark val="out"/>
        <c:minorTickMark val="none"/>
        <c:tickLblPos val="low"/>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446720"/>
        <c:crosses val="autoZero"/>
        <c:auto val="1"/>
        <c:lblAlgn val="ctr"/>
        <c:lblOffset val="100"/>
        <c:tickLblSkip val="1"/>
        <c:tickMarkSkip val="1"/>
        <c:noMultiLvlLbl val="0"/>
      </c:catAx>
      <c:valAx>
        <c:axId val="674446720"/>
        <c:scaling>
          <c:orientation val="minMax"/>
          <c:min val="-0.2"/>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 Growth (Sequential)</a:t>
                </a:r>
              </a:p>
            </c:rich>
          </c:tx>
          <c:layout>
            <c:manualLayout>
              <c:xMode val="edge"/>
              <c:yMode val="edge"/>
              <c:x val="2.5586353944562899E-2"/>
              <c:y val="0.2934134879846606"/>
            </c:manualLayout>
          </c:layout>
          <c:overlay val="0"/>
          <c:spPr>
            <a:noFill/>
            <a:ln w="25400">
              <a:noFill/>
            </a:ln>
          </c:spPr>
        </c:title>
        <c:numFmt formatCode="General"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445184"/>
        <c:crosses val="autoZero"/>
        <c:crossBetween val="between"/>
        <c:majorUnit val="0.1"/>
        <c:minorUnit val="0.1"/>
      </c:valAx>
      <c:spPr>
        <a:noFill/>
        <a:ln w="25400">
          <a:noFill/>
        </a:ln>
      </c:spPr>
    </c:plotArea>
    <c:legend>
      <c:legendPos val="r"/>
      <c:layout>
        <c:manualLayout>
          <c:xMode val="edge"/>
          <c:yMode val="edge"/>
          <c:x val="0.65032050098215333"/>
          <c:y val="0.13772486523016958"/>
          <c:w val="8.3155650319829411E-2"/>
          <c:h val="7.1856287425149712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67467416463766E-2"/>
          <c:y val="7.277628032345014E-2"/>
          <c:w val="0.91597933027421785"/>
          <c:h val="0.84366576819407013"/>
        </c:manualLayout>
      </c:layout>
      <c:lineChart>
        <c:grouping val="standard"/>
        <c:varyColors val="0"/>
        <c:ser>
          <c:idx val="0"/>
          <c:order val="0"/>
          <c:tx>
            <c:v>Series1</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4599296"/>
        <c:axId val="674600832"/>
      </c:lineChart>
      <c:catAx>
        <c:axId val="674599296"/>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674600832"/>
        <c:crosses val="autoZero"/>
        <c:auto val="1"/>
        <c:lblAlgn val="ctr"/>
        <c:lblOffset val="100"/>
        <c:tickLblSkip val="1"/>
        <c:tickMarkSkip val="1"/>
        <c:noMultiLvlLbl val="0"/>
      </c:catAx>
      <c:valAx>
        <c:axId val="674600832"/>
        <c:scaling>
          <c:orientation val="minMax"/>
          <c:max val="200"/>
          <c:min val="5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Arial"/>
                    <a:ea typeface="Arial"/>
                    <a:cs typeface="Arial"/>
                  </a:defRPr>
                </a:pPr>
                <a:r>
                  <a:rPr lang="en-US"/>
                  <a:t>Mass revenue ($ millions)</a:t>
                </a:r>
              </a:p>
            </c:rich>
          </c:tx>
          <c:layout>
            <c:manualLayout>
              <c:xMode val="edge"/>
              <c:yMode val="edge"/>
              <c:x val="3.7509377344336083E-3"/>
              <c:y val="0.264150943396226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100" b="0" i="0" u="none" strike="noStrike" baseline="0">
                <a:solidFill>
                  <a:srgbClr val="000000"/>
                </a:solidFill>
                <a:latin typeface="Arial"/>
                <a:ea typeface="Arial"/>
                <a:cs typeface="Arial"/>
              </a:defRPr>
            </a:pPr>
            <a:endParaRPr lang="en-US"/>
          </a:p>
        </c:txPr>
        <c:crossAx val="674599296"/>
        <c:crosses val="autoZero"/>
        <c:crossBetween val="between"/>
        <c:majorUnit val="50"/>
      </c:valAx>
      <c:spPr>
        <a:noFill/>
        <a:ln w="25400">
          <a:noFill/>
        </a:ln>
      </c:spPr>
    </c:plotArea>
    <c:plotVisOnly val="1"/>
    <c:dispBlanksAs val="gap"/>
    <c:showDLblsOverMax val="0"/>
  </c:chart>
  <c:spPr>
    <a:solidFill>
      <a:srgbClr val="FFFFFF"/>
    </a:solidFill>
    <a:ln w="9525">
      <a:noFill/>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2046314725713"/>
          <c:y val="7.6704651856372985E-2"/>
          <c:w val="0.69817691843017726"/>
          <c:h val="0.7755692576588824"/>
        </c:manualLayout>
      </c:layout>
      <c:barChart>
        <c:barDir val="col"/>
        <c:grouping val="clustered"/>
        <c:varyColors val="0"/>
        <c:ser>
          <c:idx val="1"/>
          <c:order val="0"/>
          <c:tx>
            <c:v/>
          </c:tx>
          <c:spPr>
            <a:solidFill>
              <a:srgbClr val="969696"/>
            </a:solidFill>
            <a:ln w="25400">
              <a:noFill/>
            </a:ln>
          </c:spPr>
          <c:invertIfNegative val="0"/>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axId val="674648064"/>
        <c:axId val="674649984"/>
      </c:barChart>
      <c:lineChart>
        <c:grouping val="standard"/>
        <c:varyColors val="0"/>
        <c:ser>
          <c:idx val="0"/>
          <c:order val="1"/>
          <c:tx>
            <c:v/>
          </c:tx>
          <c:spPr>
            <a:ln w="25400">
              <a:solidFill>
                <a:srgbClr val="000080"/>
              </a:solidFill>
              <a:prstDash val="solid"/>
            </a:ln>
          </c:spPr>
          <c:marker>
            <c:symbol val="diamond"/>
            <c:size val="7"/>
            <c:spPr>
              <a:solidFill>
                <a:srgbClr val="000080"/>
              </a:solidFill>
              <a:ln>
                <a:solidFill>
                  <a:srgbClr val="000080"/>
                </a:solidFill>
                <a:prstDash val="solid"/>
              </a:ln>
            </c:spPr>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4660352"/>
        <c:axId val="674661888"/>
      </c:lineChart>
      <c:catAx>
        <c:axId val="6746480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74649984"/>
        <c:crosses val="autoZero"/>
        <c:auto val="0"/>
        <c:lblAlgn val="ctr"/>
        <c:lblOffset val="100"/>
        <c:tickLblSkip val="1"/>
        <c:tickMarkSkip val="1"/>
        <c:noMultiLvlLbl val="0"/>
      </c:catAx>
      <c:valAx>
        <c:axId val="674649984"/>
        <c:scaling>
          <c:orientation val="minMax"/>
          <c:max val="300"/>
          <c:min val="10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Las Vegas RevPAR</a:t>
                </a:r>
              </a:p>
            </c:rich>
          </c:tx>
          <c:layout>
            <c:manualLayout>
              <c:xMode val="edge"/>
              <c:yMode val="edge"/>
              <c:x val="1.3266998341625208E-2"/>
              <c:y val="0.28409120734908133"/>
            </c:manualLayout>
          </c:layout>
          <c:overlay val="0"/>
          <c:spPr>
            <a:noFill/>
            <a:ln w="25400">
              <a:noFill/>
            </a:ln>
          </c:spPr>
        </c:title>
        <c:numFmt formatCode="\$#,##0_);\(\$#,##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648064"/>
        <c:crosses val="autoZero"/>
        <c:crossBetween val="between"/>
        <c:majorUnit val="50"/>
      </c:valAx>
      <c:catAx>
        <c:axId val="674660352"/>
        <c:scaling>
          <c:orientation val="minMax"/>
        </c:scaling>
        <c:delete val="1"/>
        <c:axPos val="b"/>
        <c:numFmt formatCode="General" sourceLinked="1"/>
        <c:majorTickMark val="out"/>
        <c:minorTickMark val="none"/>
        <c:tickLblPos val="nextTo"/>
        <c:crossAx val="674661888"/>
        <c:crosses val="autoZero"/>
        <c:auto val="0"/>
        <c:lblAlgn val="ctr"/>
        <c:lblOffset val="100"/>
        <c:noMultiLvlLbl val="0"/>
      </c:catAx>
      <c:valAx>
        <c:axId val="674661888"/>
        <c:scaling>
          <c:orientation val="minMax"/>
          <c:max val="0.1"/>
          <c:min val="-0.4"/>
        </c:scaling>
        <c:delete val="0"/>
        <c:axPos val="r"/>
        <c:title>
          <c:tx>
            <c:rich>
              <a:bodyPr rot="5400000" vert="horz"/>
              <a:lstStyle/>
              <a:p>
                <a:pPr algn="ctr">
                  <a:defRPr sz="1000" b="1" i="0" u="none" strike="noStrike" baseline="0">
                    <a:solidFill>
                      <a:srgbClr val="000000"/>
                    </a:solidFill>
                    <a:latin typeface="Arial"/>
                    <a:ea typeface="Arial"/>
                    <a:cs typeface="Arial"/>
                  </a:defRPr>
                </a:pPr>
                <a:r>
                  <a:rPr lang="en-US"/>
                  <a:t>% Growth (y-o-y)</a:t>
                </a:r>
              </a:p>
            </c:rich>
          </c:tx>
          <c:layout>
            <c:manualLayout>
              <c:xMode val="edge"/>
              <c:yMode val="edge"/>
              <c:x val="0.92869145088207261"/>
              <c:y val="0.31250029825817227"/>
            </c:manualLayout>
          </c:layout>
          <c:overlay val="0"/>
          <c:spPr>
            <a:noFill/>
            <a:ln w="25400">
              <a:noFill/>
            </a:ln>
          </c:spPr>
        </c:title>
        <c:numFmt formatCode="0.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660352"/>
        <c:crosses val="max"/>
        <c:crossBetween val="between"/>
        <c:majorUnit val="0.125"/>
      </c:valAx>
      <c:spPr>
        <a:noFill/>
        <a:ln w="25400">
          <a:noFill/>
        </a:ln>
      </c:spPr>
    </c:plotArea>
    <c:legend>
      <c:legendPos val="r"/>
      <c:layout>
        <c:manualLayout>
          <c:xMode val="edge"/>
          <c:yMode val="edge"/>
          <c:x val="0.16583782748549464"/>
          <c:y val="0.9204557384872345"/>
          <c:w val="0.5356559285810667"/>
          <c:h val="7.1022727272727293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1200" verticalDpi="1200"/>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10299769408147E-2"/>
          <c:y val="7.6923076923076927E-2"/>
          <c:w val="0.9192928516525749"/>
          <c:h val="0.83727810650887569"/>
        </c:manualLayout>
      </c:layout>
      <c:lineChart>
        <c:grouping val="standard"/>
        <c:varyColors val="0"/>
        <c:ser>
          <c:idx val="0"/>
          <c:order val="0"/>
          <c:tx>
            <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ser>
          <c:idx val="1"/>
          <c:order val="1"/>
          <c:tx>
            <c:v/>
          </c:tx>
          <c:spPr>
            <a:ln w="38100">
              <a:solidFill>
                <a:srgbClr val="969696"/>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4695424"/>
        <c:axId val="674701312"/>
      </c:lineChart>
      <c:catAx>
        <c:axId val="674695424"/>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701312"/>
        <c:crosses val="autoZero"/>
        <c:auto val="1"/>
        <c:lblAlgn val="ctr"/>
        <c:lblOffset val="100"/>
        <c:tickLblSkip val="1"/>
        <c:tickMarkSkip val="1"/>
        <c:noMultiLvlLbl val="0"/>
      </c:catAx>
      <c:valAx>
        <c:axId val="674701312"/>
        <c:scaling>
          <c:orientation val="minMax"/>
          <c:max val="1000"/>
          <c:min val="0"/>
        </c:scaling>
        <c:delete val="0"/>
        <c:axPos val="l"/>
        <c:majorGridlines>
          <c:spPr>
            <a:ln w="3175">
              <a:solidFill>
                <a:srgbClr val="80808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Gaming revenue ($ millions)</a:t>
                </a:r>
              </a:p>
            </c:rich>
          </c:tx>
          <c:layout>
            <c:manualLayout>
              <c:xMode val="edge"/>
              <c:yMode val="edge"/>
              <c:x val="3.843197540353574E-3"/>
              <c:y val="0.251479289940828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695424"/>
        <c:crosses val="autoZero"/>
        <c:crossBetween val="between"/>
        <c:majorUnit val="20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915242327679346E-2"/>
          <c:y val="7.3170925354964209E-2"/>
          <c:w val="0.91370207883693655"/>
          <c:h val="0.84824072726310362"/>
        </c:manualLayout>
      </c:layout>
      <c:lineChart>
        <c:grouping val="standard"/>
        <c:varyColors val="0"/>
        <c:ser>
          <c:idx val="0"/>
          <c:order val="0"/>
          <c:tx>
            <c:v>Series1</c:v>
          </c:tx>
          <c:spPr>
            <a:ln w="38100">
              <a:solidFill>
                <a:srgbClr val="00008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74738560"/>
        <c:axId val="674740096"/>
      </c:lineChart>
      <c:catAx>
        <c:axId val="674738560"/>
        <c:scaling>
          <c:orientation val="minMax"/>
        </c:scaling>
        <c:delete val="0"/>
        <c:axPos val="b"/>
        <c:majorGridlines>
          <c:spPr>
            <a:ln w="3175">
              <a:solidFill>
                <a:srgbClr val="808080"/>
              </a:solidFill>
              <a:prstDash val="solid"/>
            </a:ln>
          </c:spPr>
        </c:majorGridlines>
        <c:numFmt formatCode="General" sourceLinked="1"/>
        <c:majorTickMark val="none"/>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74740096"/>
        <c:crosses val="autoZero"/>
        <c:auto val="1"/>
        <c:lblAlgn val="ctr"/>
        <c:lblOffset val="100"/>
        <c:tickLblSkip val="1"/>
        <c:tickMarkSkip val="1"/>
        <c:noMultiLvlLbl val="0"/>
      </c:catAx>
      <c:valAx>
        <c:axId val="674740096"/>
        <c:scaling>
          <c:orientation val="minMax"/>
          <c:max val="1.4999999999999999E-2"/>
          <c:min val="7.4999999999999997E-3"/>
        </c:scaling>
        <c:delete val="0"/>
        <c:axPos val="l"/>
        <c:majorGridlines>
          <c:spPr>
            <a:ln w="3175">
              <a:solidFill>
                <a:srgbClr val="808080"/>
              </a:solidFill>
              <a:prstDash val="solid"/>
            </a:ln>
          </c:spPr>
        </c:majorGridlines>
        <c:title>
          <c:tx>
            <c:rich>
              <a:bodyPr/>
              <a:lstStyle/>
              <a:p>
                <a:pPr>
                  <a:defRPr sz="1075" b="0" i="0" u="none" strike="noStrike" baseline="0">
                    <a:solidFill>
                      <a:srgbClr val="000000"/>
                    </a:solidFill>
                    <a:latin typeface="Arial"/>
                    <a:ea typeface="Arial"/>
                    <a:cs typeface="Arial"/>
                  </a:defRPr>
                </a:pPr>
                <a:r>
                  <a:rPr lang="en-US"/>
                  <a:t>Commission Rates</a:t>
                </a:r>
              </a:p>
            </c:rich>
          </c:tx>
          <c:layout>
            <c:manualLayout>
              <c:xMode val="edge"/>
              <c:yMode val="edge"/>
              <c:x val="3.7850113550340651E-3"/>
              <c:y val="0.33333418688517596"/>
            </c:manualLayout>
          </c:layout>
          <c:overlay val="0"/>
          <c:spPr>
            <a:noFill/>
            <a:ln w="25400">
              <a:noFill/>
            </a:ln>
          </c:spPr>
        </c:title>
        <c:numFmt formatCode="0.00%" sourceLinked="0"/>
        <c:majorTickMark val="out"/>
        <c:minorTickMark val="none"/>
        <c:tickLblPos val="nextTo"/>
        <c:spPr>
          <a:ln w="9525">
            <a:noFill/>
          </a:ln>
        </c:spPr>
        <c:txPr>
          <a:bodyPr rot="0" vert="horz"/>
          <a:lstStyle/>
          <a:p>
            <a:pPr>
              <a:defRPr sz="1075" b="0" i="0" u="none" strike="noStrike" baseline="0">
                <a:solidFill>
                  <a:srgbClr val="000000"/>
                </a:solidFill>
                <a:latin typeface="Arial"/>
                <a:ea typeface="Arial"/>
                <a:cs typeface="Arial"/>
              </a:defRPr>
            </a:pPr>
            <a:endParaRPr lang="en-US"/>
          </a:p>
        </c:txPr>
        <c:crossAx val="674738560"/>
        <c:crosses val="autoZero"/>
        <c:crossBetween val="between"/>
        <c:majorUnit val="2.5000000000000001E-3"/>
      </c:valAx>
      <c:spPr>
        <a:noFill/>
        <a:ln w="25400">
          <a:noFill/>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2168835130468"/>
          <c:y val="8.0838441532620597E-2"/>
          <c:w val="0.82302857541454499"/>
          <c:h val="0.8652707260343464"/>
        </c:manualLayout>
      </c:layout>
      <c:barChart>
        <c:barDir val="col"/>
        <c:grouping val="clustered"/>
        <c:varyColors val="0"/>
        <c:ser>
          <c:idx val="0"/>
          <c:order val="0"/>
          <c:tx>
            <c:v/>
          </c:tx>
          <c:spPr>
            <a:solidFill>
              <a:srgbClr val="3366FF"/>
            </a:solidFill>
            <a:ln w="25400">
              <a:noFill/>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Lit>
              <c:formatCode>General</c:formatCode>
              <c:ptCount val="1"/>
              <c:pt idx="0">
                <c:v>1</c:v>
              </c:pt>
            </c:numLit>
          </c:cat>
          <c:val>
            <c:numLit>
              <c:formatCode>General</c:formatCode>
              <c:ptCount val="1"/>
              <c:pt idx="0">
                <c:v>1</c:v>
              </c:pt>
            </c:numLit>
          </c:val>
        </c:ser>
        <c:ser>
          <c:idx val="1"/>
          <c:order val="1"/>
          <c:tx>
            <c:v/>
          </c:tx>
          <c:spPr>
            <a:pattFill prst="pct75">
              <a:fgClr>
                <a:srgbClr xmlns:mc="http://schemas.openxmlformats.org/markup-compatibility/2006" xmlns:a14="http://schemas.microsoft.com/office/drawing/2010/main" val="808080" mc:Ignorable="a14" a14:legacySpreadsheetColorIndex="23"/>
              </a:fgClr>
              <a:bgClr>
                <a:srgbClr xmlns:mc="http://schemas.openxmlformats.org/markup-compatibility/2006" xmlns:a14="http://schemas.microsoft.com/office/drawing/2010/main" val="FFFFFF" mc:Ignorable="a14" a14:legacySpreadsheetColorIndex="9"/>
              </a:bgClr>
            </a:patt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axId val="674753536"/>
        <c:axId val="674870016"/>
      </c:barChart>
      <c:catAx>
        <c:axId val="674753536"/>
        <c:scaling>
          <c:orientation val="minMax"/>
        </c:scaling>
        <c:delete val="0"/>
        <c:axPos val="b"/>
        <c:numFmt formatCode="General" sourceLinked="1"/>
        <c:majorTickMark val="out"/>
        <c:minorTickMark val="none"/>
        <c:tickLblPos val="low"/>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870016"/>
        <c:crosses val="autoZero"/>
        <c:auto val="1"/>
        <c:lblAlgn val="ctr"/>
        <c:lblOffset val="100"/>
        <c:tickLblSkip val="1"/>
        <c:tickMarkSkip val="1"/>
        <c:noMultiLvlLbl val="0"/>
      </c:catAx>
      <c:valAx>
        <c:axId val="674870016"/>
        <c:scaling>
          <c:orientation val="minMax"/>
          <c:min val="-0.2"/>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 Growth (Sequential)</a:t>
                </a:r>
              </a:p>
            </c:rich>
          </c:tx>
          <c:layout>
            <c:manualLayout>
              <c:xMode val="edge"/>
              <c:yMode val="edge"/>
              <c:x val="2.5586353944562899E-2"/>
              <c:y val="0.2934134879846606"/>
            </c:manualLayout>
          </c:layout>
          <c:overlay val="0"/>
          <c:spPr>
            <a:noFill/>
            <a:ln w="25400">
              <a:noFill/>
            </a:ln>
          </c:spPr>
        </c:title>
        <c:numFmt formatCode="General"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74753536"/>
        <c:crosses val="autoZero"/>
        <c:crossBetween val="between"/>
        <c:majorUnit val="0.1"/>
        <c:minorUnit val="0.1"/>
      </c:valAx>
      <c:spPr>
        <a:noFill/>
        <a:ln w="25400">
          <a:noFill/>
        </a:ln>
      </c:spPr>
    </c:plotArea>
    <c:legend>
      <c:legendPos val="r"/>
      <c:layout>
        <c:manualLayout>
          <c:xMode val="edge"/>
          <c:yMode val="edge"/>
          <c:x val="0.65032050098215333"/>
          <c:y val="0.13772486523016958"/>
          <c:w val="8.3155650319829411E-2"/>
          <c:h val="7.1856287425149712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602788288466058E-2"/>
          <c:y val="5.4054108926419694E-2"/>
          <c:w val="0.90821978557081118"/>
          <c:h val="0.68399237833815696"/>
        </c:manualLayout>
      </c:layout>
      <c:barChart>
        <c:barDir val="col"/>
        <c:grouping val="clustered"/>
        <c:varyColors val="0"/>
        <c:ser>
          <c:idx val="0"/>
          <c:order val="0"/>
          <c:spPr>
            <a:solidFill>
              <a:srgbClr val="9999FF"/>
            </a:solidFill>
            <a:ln w="25400">
              <a:noFill/>
            </a:ln>
          </c:spPr>
          <c:invertIfNegative val="0"/>
          <c:dLbls>
            <c:dLbl>
              <c:idx val="1"/>
              <c:layout>
                <c:manualLayout>
                  <c:x val="3.8905474834957893E-3"/>
                  <c:y val="-1.4046730915096253E-2"/>
                </c:manualLayout>
              </c:layout>
              <c:dLblPos val="outEnd"/>
              <c:showLegendKey val="0"/>
              <c:showVal val="1"/>
              <c:showCatName val="0"/>
              <c:showSerName val="0"/>
              <c:showPercent val="0"/>
              <c:showBubbleSize val="0"/>
            </c:dLbl>
            <c:dLbl>
              <c:idx val="2"/>
              <c:layout>
                <c:manualLayout>
                  <c:x val="1.6073646146402987E-3"/>
                  <c:y val="-1.86501469503359E-2"/>
                </c:manualLayout>
              </c:layout>
              <c:dLblPos val="outEnd"/>
              <c:showLegendKey val="0"/>
              <c:showVal val="1"/>
              <c:showCatName val="0"/>
              <c:showSerName val="0"/>
              <c:showPercent val="0"/>
              <c:showBubbleSize val="0"/>
            </c:dLbl>
            <c:dLbl>
              <c:idx val="8"/>
              <c:tx>
                <c:rich>
                  <a:bodyPr/>
                  <a:lstStyle/>
                  <a:p>
                    <a:r>
                      <a:rPr lang="en-US"/>
                      <a:t>&lt;1%</a:t>
                    </a:r>
                  </a:p>
                </c:rich>
              </c:tx>
              <c:showLegendKey val="0"/>
              <c:showVal val="0"/>
              <c:showCatName val="0"/>
              <c:showSerName val="0"/>
              <c:showPercent val="0"/>
              <c:showBubbleSize val="0"/>
            </c:dLbl>
            <c:dLbl>
              <c:idx val="9"/>
              <c:tx>
                <c:rich>
                  <a:bodyPr/>
                  <a:lstStyle/>
                  <a:p>
                    <a:r>
                      <a:t>&lt;1%</a:t>
                    </a:r>
                  </a:p>
                </c:rich>
              </c:tx>
              <c:showLegendKey val="0"/>
              <c:showVal val="0"/>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Exhibits!$A$4:$A$12</c:f>
              <c:strCache>
                <c:ptCount val="9"/>
                <c:pt idx="0">
                  <c:v>Hilton Hotels </c:v>
                </c:pt>
                <c:pt idx="1">
                  <c:v>Hampton Inn</c:v>
                </c:pt>
                <c:pt idx="2">
                  <c:v>DoubleTree </c:v>
                </c:pt>
                <c:pt idx="3">
                  <c:v>Hilton Garden Inn</c:v>
                </c:pt>
                <c:pt idx="4">
                  <c:v>Embassy Suites </c:v>
                </c:pt>
                <c:pt idx="5">
                  <c:v>Homewood </c:v>
                </c:pt>
                <c:pt idx="6">
                  <c:v>Waldorf Astoria </c:v>
                </c:pt>
                <c:pt idx="7">
                  <c:v>Conrad </c:v>
                </c:pt>
                <c:pt idx="8">
                  <c:v>Home2 Suites </c:v>
                </c:pt>
              </c:strCache>
            </c:strRef>
          </c:cat>
          <c:val>
            <c:numRef>
              <c:f>Exhibits!$D$4:$D$12</c:f>
              <c:numCache>
                <c:formatCode>0%</c:formatCode>
                <c:ptCount val="9"/>
                <c:pt idx="0">
                  <c:v>0.29484374671310642</c:v>
                </c:pt>
                <c:pt idx="1">
                  <c:v>0.28501086365289202</c:v>
                </c:pt>
                <c:pt idx="2">
                  <c:v>0.13584674886780601</c:v>
                </c:pt>
                <c:pt idx="3">
                  <c:v>0.11890666273992445</c:v>
                </c:pt>
                <c:pt idx="4">
                  <c:v>7.6957636261460932E-2</c:v>
                </c:pt>
                <c:pt idx="5">
                  <c:v>5.4448988913965275E-2</c:v>
                </c:pt>
                <c:pt idx="6">
                  <c:v>1.5529163573856312E-2</c:v>
                </c:pt>
                <c:pt idx="7">
                  <c:v>1.1835822106556959E-2</c:v>
                </c:pt>
                <c:pt idx="8">
                  <c:v>3.6407511697584753E-3</c:v>
                </c:pt>
              </c:numCache>
            </c:numRef>
          </c:val>
        </c:ser>
        <c:dLbls>
          <c:showLegendKey val="0"/>
          <c:showVal val="0"/>
          <c:showCatName val="0"/>
          <c:showSerName val="0"/>
          <c:showPercent val="0"/>
          <c:showBubbleSize val="0"/>
        </c:dLbls>
        <c:gapWidth val="150"/>
        <c:axId val="674875648"/>
        <c:axId val="674152448"/>
      </c:barChart>
      <c:catAx>
        <c:axId val="674875648"/>
        <c:scaling>
          <c:orientation val="minMax"/>
        </c:scaling>
        <c:delete val="0"/>
        <c:axPos val="b"/>
        <c:numFmt formatCode="#,##0_);\(#,##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74152448"/>
        <c:crosses val="autoZero"/>
        <c:auto val="1"/>
        <c:lblAlgn val="ctr"/>
        <c:lblOffset val="100"/>
        <c:tickLblSkip val="1"/>
        <c:tickMarkSkip val="1"/>
        <c:noMultiLvlLbl val="0"/>
      </c:catAx>
      <c:valAx>
        <c:axId val="67415244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87564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18315232150463"/>
          <c:y val="5.7203449007143192E-2"/>
          <c:w val="0.86823914555463977"/>
          <c:h val="0.78813640854286171"/>
        </c:manualLayout>
      </c:layout>
      <c:barChart>
        <c:barDir val="col"/>
        <c:grouping val="stacked"/>
        <c:varyColors val="0"/>
        <c:ser>
          <c:idx val="0"/>
          <c:order val="0"/>
          <c:tx>
            <c:strRef>
              <c:f>Exhibits!$P$55</c:f>
              <c:strCache>
                <c:ptCount val="1"/>
                <c:pt idx="0">
                  <c:v>Owned</c:v>
                </c:pt>
              </c:strCache>
            </c:strRef>
          </c:tx>
          <c:spPr>
            <a:solidFill>
              <a:srgbClr val="9999FF"/>
            </a:solidFill>
            <a:ln w="12700">
              <a:solidFill>
                <a:srgbClr val="000000"/>
              </a:solidFill>
              <a:prstDash val="solid"/>
            </a:ln>
          </c:spPr>
          <c:invertIfNegative val="0"/>
          <c:cat>
            <c:strRef>
              <c:f>Exhibits!$Q$54:$U$54</c:f>
              <c:strCache>
                <c:ptCount val="5"/>
                <c:pt idx="0">
                  <c:v>IHG</c:v>
                </c:pt>
                <c:pt idx="1">
                  <c:v>HLT</c:v>
                </c:pt>
                <c:pt idx="2">
                  <c:v>MAR</c:v>
                </c:pt>
                <c:pt idx="3">
                  <c:v>HOT</c:v>
                </c:pt>
                <c:pt idx="4">
                  <c:v>H</c:v>
                </c:pt>
              </c:strCache>
            </c:strRef>
          </c:cat>
          <c:val>
            <c:numRef>
              <c:f>Exhibits!$Q$55:$U$55</c:f>
              <c:numCache>
                <c:formatCode>#,##0_);\(#,##0\)</c:formatCode>
                <c:ptCount val="5"/>
                <c:pt idx="0">
                  <c:v>3962</c:v>
                </c:pt>
                <c:pt idx="1">
                  <c:v>62251</c:v>
                </c:pt>
              </c:numCache>
            </c:numRef>
          </c:val>
        </c:ser>
        <c:ser>
          <c:idx val="1"/>
          <c:order val="1"/>
          <c:tx>
            <c:strRef>
              <c:f>Exhibits!$P$56</c:f>
              <c:strCache>
                <c:ptCount val="1"/>
                <c:pt idx="0">
                  <c:v>Managed</c:v>
                </c:pt>
              </c:strCache>
            </c:strRef>
          </c:tx>
          <c:spPr>
            <a:solidFill>
              <a:srgbClr val="993366"/>
            </a:solidFill>
            <a:ln w="12700">
              <a:solidFill>
                <a:srgbClr val="000000"/>
              </a:solidFill>
              <a:prstDash val="solid"/>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Exhibits!$Q$54:$U$54</c:f>
              <c:strCache>
                <c:ptCount val="5"/>
                <c:pt idx="0">
                  <c:v>IHG</c:v>
                </c:pt>
                <c:pt idx="1">
                  <c:v>HLT</c:v>
                </c:pt>
                <c:pt idx="2">
                  <c:v>MAR</c:v>
                </c:pt>
                <c:pt idx="3">
                  <c:v>HOT</c:v>
                </c:pt>
                <c:pt idx="4">
                  <c:v>H</c:v>
                </c:pt>
              </c:strCache>
            </c:strRef>
          </c:cat>
          <c:val>
            <c:numRef>
              <c:f>Exhibits!$Q$56:$U$56</c:f>
              <c:numCache>
                <c:formatCode>#,##0_);\(#,##0\)</c:formatCode>
                <c:ptCount val="5"/>
                <c:pt idx="0">
                  <c:v>174968</c:v>
                </c:pt>
                <c:pt idx="1">
                  <c:v>140187</c:v>
                </c:pt>
              </c:numCache>
            </c:numRef>
          </c:val>
        </c:ser>
        <c:ser>
          <c:idx val="2"/>
          <c:order val="2"/>
          <c:tx>
            <c:strRef>
              <c:f>Exhibits!$P$57</c:f>
              <c:strCache>
                <c:ptCount val="1"/>
                <c:pt idx="0">
                  <c:v>Franchised</c:v>
                </c:pt>
              </c:strCache>
            </c:strRef>
          </c:tx>
          <c:spPr>
            <a:solidFill>
              <a:srgbClr val="FFFFCC"/>
            </a:solidFill>
            <a:ln w="12700">
              <a:solidFill>
                <a:srgbClr val="000000"/>
              </a:solidFill>
              <a:prstDash val="solid"/>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Exhibits!$Q$54:$U$54</c:f>
              <c:strCache>
                <c:ptCount val="5"/>
                <c:pt idx="0">
                  <c:v>IHG</c:v>
                </c:pt>
                <c:pt idx="1">
                  <c:v>HLT</c:v>
                </c:pt>
                <c:pt idx="2">
                  <c:v>MAR</c:v>
                </c:pt>
                <c:pt idx="3">
                  <c:v>HOT</c:v>
                </c:pt>
                <c:pt idx="4">
                  <c:v>H</c:v>
                </c:pt>
              </c:strCache>
            </c:strRef>
          </c:cat>
          <c:val>
            <c:numRef>
              <c:f>Exhibits!$Q$57:$U$57</c:f>
              <c:numCache>
                <c:formatCode>#,##0_);\(#,##0\)</c:formatCode>
                <c:ptCount val="5"/>
                <c:pt idx="0">
                  <c:v>500120</c:v>
                </c:pt>
                <c:pt idx="1">
                  <c:v>463084</c:v>
                </c:pt>
              </c:numCache>
            </c:numRef>
          </c:val>
        </c:ser>
        <c:ser>
          <c:idx val="3"/>
          <c:order val="3"/>
          <c:tx>
            <c:strRef>
              <c:f>Exhibits!$P$58</c:f>
              <c:strCache>
                <c:ptCount val="1"/>
                <c:pt idx="0">
                  <c:v>Timeshare</c:v>
                </c:pt>
              </c:strCache>
            </c:strRef>
          </c:tx>
          <c:spPr>
            <a:solidFill>
              <a:srgbClr val="00FFFF"/>
            </a:solidFill>
            <a:ln w="12700">
              <a:solidFill>
                <a:srgbClr val="000000"/>
              </a:solidFill>
              <a:prstDash val="solid"/>
            </a:ln>
          </c:spPr>
          <c:invertIfNegative val="0"/>
          <c:cat>
            <c:strRef>
              <c:f>Exhibits!$Q$54:$U$54</c:f>
              <c:strCache>
                <c:ptCount val="5"/>
                <c:pt idx="0">
                  <c:v>IHG</c:v>
                </c:pt>
                <c:pt idx="1">
                  <c:v>HLT</c:v>
                </c:pt>
                <c:pt idx="2">
                  <c:v>MAR</c:v>
                </c:pt>
                <c:pt idx="3">
                  <c:v>HOT</c:v>
                </c:pt>
                <c:pt idx="4">
                  <c:v>H</c:v>
                </c:pt>
              </c:strCache>
            </c:strRef>
          </c:cat>
          <c:val>
            <c:numRef>
              <c:f>Exhibits!$Q$58:$U$58</c:f>
              <c:numCache>
                <c:formatCode>#,##0_);\(#,##0\)</c:formatCode>
                <c:ptCount val="5"/>
                <c:pt idx="0">
                  <c:v>0</c:v>
                </c:pt>
                <c:pt idx="1">
                  <c:v>6404</c:v>
                </c:pt>
              </c:numCache>
            </c:numRef>
          </c:val>
        </c:ser>
        <c:dLbls>
          <c:showLegendKey val="0"/>
          <c:showVal val="0"/>
          <c:showCatName val="0"/>
          <c:showSerName val="0"/>
          <c:showPercent val="0"/>
          <c:showBubbleSize val="0"/>
        </c:dLbls>
        <c:gapWidth val="70"/>
        <c:overlap val="100"/>
        <c:axId val="673208576"/>
        <c:axId val="673230848"/>
      </c:barChart>
      <c:catAx>
        <c:axId val="673208576"/>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673230848"/>
        <c:crosses val="autoZero"/>
        <c:auto val="1"/>
        <c:lblAlgn val="ctr"/>
        <c:lblOffset val="100"/>
        <c:tickLblSkip val="1"/>
        <c:tickMarkSkip val="1"/>
        <c:noMultiLvlLbl val="0"/>
      </c:catAx>
      <c:valAx>
        <c:axId val="673230848"/>
        <c:scaling>
          <c:orientation val="minMax"/>
        </c:scaling>
        <c:delete val="0"/>
        <c:axPos val="l"/>
        <c:majorGridlines>
          <c:spPr>
            <a:ln w="12700">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208576"/>
        <c:crosses val="autoZero"/>
        <c:crossBetween val="between"/>
      </c:valAx>
      <c:spPr>
        <a:solidFill>
          <a:srgbClr val="FFFFFF"/>
        </a:solidFill>
        <a:ln w="12700">
          <a:solidFill>
            <a:srgbClr val="808080"/>
          </a:solidFill>
          <a:prstDash val="solid"/>
        </a:ln>
      </c:spPr>
    </c:plotArea>
    <c:legend>
      <c:legendPos val="b"/>
      <c:layout>
        <c:manualLayout>
          <c:xMode val="edge"/>
          <c:yMode val="edge"/>
          <c:x val="0.21359237862257507"/>
          <c:y val="0.93220427954980201"/>
          <c:w val="0.69348171284414695"/>
          <c:h val="5.2966101694915224E-2"/>
        </c:manualLayout>
      </c:layout>
      <c:overlay val="0"/>
      <c:spPr>
        <a:solidFill>
          <a:srgbClr val="FFFFFF"/>
        </a:solidFill>
        <a:ln w="25400">
          <a:noFill/>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197492163009403"/>
          <c:y val="9.3078758949880672E-2"/>
          <c:w val="0.53605015673981193"/>
          <c:h val="0.81622911694510736"/>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Lbls>
            <c:dLbl>
              <c:idx val="0"/>
              <c:layout>
                <c:manualLayout>
                  <c:x val="-0.10004821497626279"/>
                  <c:y val="0.1568549038768722"/>
                </c:manualLayout>
              </c:layout>
              <c:dLblPos val="bestFit"/>
              <c:showLegendKey val="0"/>
              <c:showVal val="1"/>
              <c:showCatName val="1"/>
              <c:showSerName val="0"/>
              <c:showPercent val="0"/>
              <c:showBubbleSize val="0"/>
              <c:separator>
</c:separator>
            </c:dLbl>
            <c:dLbl>
              <c:idx val="1"/>
              <c:layout>
                <c:manualLayout>
                  <c:x val="4.5120989970297579E-2"/>
                  <c:y val="-0.22450278440731905"/>
                </c:manualLayout>
              </c:layout>
              <c:dLblPos val="bestFit"/>
              <c:showLegendKey val="0"/>
              <c:showVal val="1"/>
              <c:showCatName val="1"/>
              <c:showSerName val="0"/>
              <c:showPercent val="0"/>
              <c:showBubbleSize val="0"/>
              <c:separator>
</c:separator>
            </c:dLbl>
            <c:dLbl>
              <c:idx val="2"/>
              <c:layout>
                <c:manualLayout>
                  <c:x val="0.11289298085388229"/>
                  <c:y val="0.1521169638997989"/>
                </c:manualLayout>
              </c:layout>
              <c:dLblPos val="bestFit"/>
              <c:showLegendKey val="0"/>
              <c:showVal val="1"/>
              <c:showCatName val="1"/>
              <c:showSerName val="0"/>
              <c:showPercent val="0"/>
              <c:showBubbleSize val="0"/>
              <c:separator>
</c:separator>
            </c:dLbl>
            <c:spPr>
              <a:noFill/>
              <a:ln w="25400">
                <a:noFill/>
              </a:ln>
            </c:spPr>
            <c:txPr>
              <a:bodyPr/>
              <a:lstStyle/>
              <a:p>
                <a:pPr>
                  <a:defRPr sz="14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eparator>
</c:separator>
            <c:showLeaderLines val="1"/>
          </c:dLbls>
          <c:cat>
            <c:strRef>
              <c:f>Exhibits!$AH$110:$AH$112</c:f>
              <c:strCache>
                <c:ptCount val="3"/>
                <c:pt idx="0">
                  <c:v>Fees</c:v>
                </c:pt>
                <c:pt idx="1">
                  <c:v>Owned</c:v>
                </c:pt>
                <c:pt idx="2">
                  <c:v>Timeshare</c:v>
                </c:pt>
              </c:strCache>
            </c:strRef>
          </c:cat>
          <c:val>
            <c:numRef>
              <c:f>Exhibits!$AI$110:$AI$112</c:f>
              <c:numCache>
                <c:formatCode>0%</c:formatCode>
                <c:ptCount val="3"/>
                <c:pt idx="0">
                  <c:v>0.19779022720199191</c:v>
                </c:pt>
                <c:pt idx="1">
                  <c:v>0.62962962962962965</c:v>
                </c:pt>
                <c:pt idx="2">
                  <c:v>0.17258014316837847</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36600306278713"/>
          <c:y val="9.2636687013675376E-2"/>
          <c:w val="0.52679938744257271"/>
          <c:h val="0.81710308545395716"/>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Lbls>
            <c:dLbl>
              <c:idx val="0"/>
              <c:layout>
                <c:manualLayout>
                  <c:x val="-0.15188449835807277"/>
                  <c:y val="-3.184369736987424E-2"/>
                </c:manualLayout>
              </c:layout>
              <c:dLblPos val="bestFit"/>
              <c:showLegendKey val="0"/>
              <c:showVal val="1"/>
              <c:showCatName val="1"/>
              <c:showSerName val="0"/>
              <c:showPercent val="0"/>
              <c:showBubbleSize val="0"/>
              <c:separator>
</c:separator>
            </c:dLbl>
            <c:dLbl>
              <c:idx val="1"/>
              <c:layout>
                <c:manualLayout>
                  <c:x val="0.17881917899619368"/>
                  <c:y val="-5.4333929326604857E-2"/>
                </c:manualLayout>
              </c:layout>
              <c:dLblPos val="bestFit"/>
              <c:showLegendKey val="0"/>
              <c:showVal val="1"/>
              <c:showCatName val="1"/>
              <c:showSerName val="0"/>
              <c:showPercent val="0"/>
              <c:showBubbleSize val="0"/>
              <c:separator>
</c:separator>
            </c:dLbl>
            <c:dLbl>
              <c:idx val="2"/>
              <c:layout>
                <c:manualLayout>
                  <c:x val="9.491553218941047E-2"/>
                  <c:y val="0.16864627635822951"/>
                </c:manualLayout>
              </c:layout>
              <c:dLblPos val="bestFit"/>
              <c:showLegendKey val="0"/>
              <c:showVal val="1"/>
              <c:showCatName val="1"/>
              <c:showSerName val="0"/>
              <c:showPercent val="0"/>
              <c:showBubbleSize val="0"/>
              <c:separator>
</c:separator>
            </c:dLbl>
            <c:spPr>
              <a:noFill/>
              <a:ln w="25400">
                <a:noFill/>
              </a:ln>
            </c:spPr>
            <c:txPr>
              <a:bodyPr/>
              <a:lstStyle/>
              <a:p>
                <a:pPr>
                  <a:defRPr sz="14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eparator>
</c:separator>
            <c:showLeaderLines val="1"/>
          </c:dLbls>
          <c:cat>
            <c:strRef>
              <c:f>Exhibits!$AH$110:$AH$112</c:f>
              <c:strCache>
                <c:ptCount val="3"/>
                <c:pt idx="0">
                  <c:v>Fees</c:v>
                </c:pt>
                <c:pt idx="1">
                  <c:v>Owned</c:v>
                </c:pt>
                <c:pt idx="2">
                  <c:v>Timeshare</c:v>
                </c:pt>
              </c:strCache>
            </c:strRef>
          </c:cat>
          <c:val>
            <c:numRef>
              <c:f>Exhibits!$AJ$110:$AJ$112</c:f>
              <c:numCache>
                <c:formatCode>0%</c:formatCode>
                <c:ptCount val="3"/>
                <c:pt idx="0">
                  <c:v>0.50901081297557071</c:v>
                </c:pt>
                <c:pt idx="1">
                  <c:v>0.37204645574689627</c:v>
                </c:pt>
                <c:pt idx="2">
                  <c:v>0.11894273127753303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8189405153416963E-2"/>
          <c:y val="5.4054108926419694E-2"/>
          <c:w val="0.90260751913944504"/>
          <c:h val="0.80041661294890709"/>
        </c:manualLayout>
      </c:layout>
      <c:barChart>
        <c:barDir val="col"/>
        <c:grouping val="clustered"/>
        <c:varyColors val="0"/>
        <c:ser>
          <c:idx val="0"/>
          <c:order val="0"/>
          <c:tx>
            <c:strRef>
              <c:f>Exhibits!$BO$197</c:f>
              <c:strCache>
                <c:ptCount val="1"/>
                <c:pt idx="0">
                  <c:v>HLT US RevPAR</c:v>
                </c:pt>
              </c:strCache>
            </c:strRef>
          </c:tx>
          <c:spPr>
            <a:solidFill>
              <a:srgbClr val="9999FF"/>
            </a:solidFill>
            <a:ln w="25400">
              <a:noFill/>
            </a:ln>
          </c:spPr>
          <c:invertIfNegative val="0"/>
          <c:cat>
            <c:strRef>
              <c:f>Exhibits!$BP$196:$BX$196</c:f>
              <c:strCache>
                <c:ptCount val="8"/>
                <c:pt idx="0">
                  <c:v>2011</c:v>
                </c:pt>
                <c:pt idx="1">
                  <c:v>1Q12</c:v>
                </c:pt>
                <c:pt idx="2">
                  <c:v>2Q12</c:v>
                </c:pt>
                <c:pt idx="3">
                  <c:v>3Q12</c:v>
                </c:pt>
                <c:pt idx="4">
                  <c:v>4Q12</c:v>
                </c:pt>
                <c:pt idx="5">
                  <c:v>1Q13</c:v>
                </c:pt>
                <c:pt idx="6">
                  <c:v>2Q13</c:v>
                </c:pt>
                <c:pt idx="7">
                  <c:v>3Q13</c:v>
                </c:pt>
              </c:strCache>
            </c:strRef>
          </c:cat>
          <c:val>
            <c:numRef>
              <c:f>Exhibits!$BP$197:$BX$197</c:f>
              <c:numCache>
                <c:formatCode>0.0%</c:formatCode>
                <c:ptCount val="8"/>
                <c:pt idx="0">
                  <c:v>6.7000000000000004E-2</c:v>
                </c:pt>
                <c:pt idx="1">
                  <c:v>7.0000000000000062E-2</c:v>
                </c:pt>
                <c:pt idx="2">
                  <c:v>6.899999999999995E-2</c:v>
                </c:pt>
                <c:pt idx="3">
                  <c:v>4.8000000000000043E-2</c:v>
                </c:pt>
                <c:pt idx="4">
                  <c:v>5.8999999999999941E-2</c:v>
                </c:pt>
                <c:pt idx="5">
                  <c:v>5.5E-2</c:v>
                </c:pt>
                <c:pt idx="6">
                  <c:v>5.1999999999999998E-2</c:v>
                </c:pt>
                <c:pt idx="7">
                  <c:v>5.1999999999999998E-2</c:v>
                </c:pt>
              </c:numCache>
            </c:numRef>
          </c:val>
        </c:ser>
        <c:ser>
          <c:idx val="1"/>
          <c:order val="1"/>
          <c:tx>
            <c:strRef>
              <c:f>Exhibits!$BO$198</c:f>
              <c:strCache>
                <c:ptCount val="1"/>
                <c:pt idx="0">
                  <c:v>STR Implied RevPAR</c:v>
                </c:pt>
              </c:strCache>
            </c:strRef>
          </c:tx>
          <c:spPr>
            <a:solidFill>
              <a:srgbClr val="993366"/>
            </a:solidFill>
            <a:ln w="25400">
              <a:noFill/>
            </a:ln>
          </c:spPr>
          <c:invertIfNegative val="0"/>
          <c:cat>
            <c:strRef>
              <c:f>Exhibits!$BP$196:$BX$196</c:f>
              <c:strCache>
                <c:ptCount val="8"/>
                <c:pt idx="0">
                  <c:v>2011</c:v>
                </c:pt>
                <c:pt idx="1">
                  <c:v>1Q12</c:v>
                </c:pt>
                <c:pt idx="2">
                  <c:v>2Q12</c:v>
                </c:pt>
                <c:pt idx="3">
                  <c:v>3Q12</c:v>
                </c:pt>
                <c:pt idx="4">
                  <c:v>4Q12</c:v>
                </c:pt>
                <c:pt idx="5">
                  <c:v>1Q13</c:v>
                </c:pt>
                <c:pt idx="6">
                  <c:v>2Q13</c:v>
                </c:pt>
                <c:pt idx="7">
                  <c:v>3Q13</c:v>
                </c:pt>
              </c:strCache>
            </c:strRef>
          </c:cat>
          <c:val>
            <c:numRef>
              <c:f>Exhibits!$BP$198:$BX$198</c:f>
              <c:numCache>
                <c:formatCode>0.0%</c:formatCode>
                <c:ptCount val="8"/>
                <c:pt idx="0">
                  <c:v>7.6605379928728151E-2</c:v>
                </c:pt>
                <c:pt idx="1">
                  <c:v>7.3340970912010625E-2</c:v>
                </c:pt>
                <c:pt idx="2">
                  <c:v>7.5120262551002681E-2</c:v>
                </c:pt>
                <c:pt idx="3">
                  <c:v>5.0455717065940944E-2</c:v>
                </c:pt>
                <c:pt idx="4">
                  <c:v>6.6897512865128808E-2</c:v>
                </c:pt>
                <c:pt idx="5">
                  <c:v>5.6439175076467486E-2</c:v>
                </c:pt>
                <c:pt idx="6">
                  <c:v>5.2539322774699256E-2</c:v>
                </c:pt>
                <c:pt idx="7">
                  <c:v>5.4635488448255325E-2</c:v>
                </c:pt>
              </c:numCache>
            </c:numRef>
          </c:val>
        </c:ser>
        <c:dLbls>
          <c:showLegendKey val="0"/>
          <c:showVal val="0"/>
          <c:showCatName val="0"/>
          <c:showSerName val="0"/>
          <c:showPercent val="0"/>
          <c:showBubbleSize val="0"/>
        </c:dLbls>
        <c:gapWidth val="150"/>
        <c:axId val="674086912"/>
        <c:axId val="674088448"/>
      </c:barChart>
      <c:catAx>
        <c:axId val="674086912"/>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088448"/>
        <c:crosses val="autoZero"/>
        <c:auto val="1"/>
        <c:lblAlgn val="ctr"/>
        <c:lblOffset val="100"/>
        <c:tickLblSkip val="1"/>
        <c:tickMarkSkip val="1"/>
        <c:noMultiLvlLbl val="0"/>
      </c:catAx>
      <c:valAx>
        <c:axId val="674088448"/>
        <c:scaling>
          <c:orientation val="minMax"/>
          <c:min val="0.02"/>
        </c:scaling>
        <c:delete val="0"/>
        <c:axPos val="l"/>
        <c:majorGridlines>
          <c:spPr>
            <a:ln w="12700">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086912"/>
        <c:crosses val="autoZero"/>
        <c:crossBetween val="between"/>
      </c:valAx>
      <c:spPr>
        <a:solidFill>
          <a:srgbClr val="FFFFFF"/>
        </a:solidFill>
        <a:ln w="12700">
          <a:solidFill>
            <a:srgbClr val="808080"/>
          </a:solidFill>
          <a:prstDash val="solid"/>
        </a:ln>
      </c:spPr>
    </c:plotArea>
    <c:legend>
      <c:legendPos val="r"/>
      <c:layout>
        <c:manualLayout>
          <c:xMode val="edge"/>
          <c:yMode val="edge"/>
          <c:x val="0.35390989706533593"/>
          <c:y val="0.94178881485968091"/>
          <c:w val="0.3511664128403702"/>
          <c:h val="4.5738045738045741E-2"/>
        </c:manualLayout>
      </c:layout>
      <c:overlay val="0"/>
      <c:spPr>
        <a:solidFill>
          <a:srgbClr val="FFFFFF"/>
        </a:solidFill>
        <a:ln w="25400">
          <a:noFill/>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12087912087919E-2"/>
          <c:y val="5.5914095921740424E-2"/>
          <c:w val="0.8928571428571429"/>
          <c:h val="0.84731360742945105"/>
        </c:manualLayout>
      </c:layout>
      <c:barChart>
        <c:barDir val="col"/>
        <c:grouping val="clustered"/>
        <c:varyColors val="0"/>
        <c:ser>
          <c:idx val="0"/>
          <c:order val="0"/>
          <c:spPr>
            <a:solidFill>
              <a:srgbClr val="9999FF"/>
            </a:solidFill>
            <a:ln w="25400">
              <a:noFill/>
            </a:ln>
          </c:spPr>
          <c:invertIfNegative val="0"/>
          <c:dPt>
            <c:idx val="1"/>
            <c:invertIfNegative val="0"/>
            <c:bubble3D val="0"/>
            <c:spPr>
              <a:solidFill>
                <a:srgbClr val="FFFF00"/>
              </a:solidFill>
              <a:ln w="25400">
                <a:noFill/>
              </a:ln>
            </c:spPr>
          </c:dPt>
          <c:cat>
            <c:strRef>
              <c:f>Exhibits!$CT$266:$CT$268</c:f>
              <c:strCache>
                <c:ptCount val="3"/>
                <c:pt idx="0">
                  <c:v>HOT</c:v>
                </c:pt>
                <c:pt idx="1">
                  <c:v>HLT</c:v>
                </c:pt>
                <c:pt idx="2">
                  <c:v>MAR</c:v>
                </c:pt>
              </c:strCache>
            </c:strRef>
          </c:cat>
          <c:val>
            <c:numRef>
              <c:f>Exhibits!$CU$266:$CU$268</c:f>
              <c:numCache>
                <c:formatCode>0.0%</c:formatCode>
                <c:ptCount val="3"/>
              </c:numCache>
            </c:numRef>
          </c:val>
        </c:ser>
        <c:dLbls>
          <c:showLegendKey val="0"/>
          <c:showVal val="0"/>
          <c:showCatName val="0"/>
          <c:showSerName val="0"/>
          <c:showPercent val="0"/>
          <c:showBubbleSize val="0"/>
        </c:dLbls>
        <c:gapWidth val="150"/>
        <c:axId val="674185216"/>
        <c:axId val="674186752"/>
      </c:barChart>
      <c:catAx>
        <c:axId val="674185216"/>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186752"/>
        <c:crosses val="autoZero"/>
        <c:auto val="1"/>
        <c:lblAlgn val="ctr"/>
        <c:lblOffset val="100"/>
        <c:tickLblSkip val="1"/>
        <c:tickMarkSkip val="1"/>
        <c:noMultiLvlLbl val="0"/>
      </c:catAx>
      <c:valAx>
        <c:axId val="674186752"/>
        <c:scaling>
          <c:orientation val="minMax"/>
          <c:max val="0.12"/>
          <c:min val="0.06"/>
        </c:scaling>
        <c:delete val="0"/>
        <c:axPos val="l"/>
        <c:majorGridlines>
          <c:spPr>
            <a:ln w="12700">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185216"/>
        <c:crosses val="autoZero"/>
        <c:crossBetween val="between"/>
        <c:majorUnit val="0.01"/>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339265021759692"/>
          <c:y val="6.7708505524967252E-2"/>
          <c:w val="0.87399099637062394"/>
          <c:h val="0.81510623958902895"/>
        </c:manualLayout>
      </c:layout>
      <c:barChart>
        <c:barDir val="col"/>
        <c:grouping val="clustered"/>
        <c:varyColors val="0"/>
        <c:ser>
          <c:idx val="0"/>
          <c:order val="0"/>
          <c:spPr>
            <a:solidFill>
              <a:srgbClr val="9999FF"/>
            </a:solidFill>
            <a:ln w="25400">
              <a:noFill/>
            </a:ln>
          </c:spPr>
          <c:invertIfNegative val="0"/>
          <c:dPt>
            <c:idx val="0"/>
            <c:invertIfNegative val="0"/>
            <c:bubble3D val="0"/>
            <c:spPr>
              <a:solidFill>
                <a:srgbClr val="FFFF00"/>
              </a:solidFill>
              <a:ln w="25400">
                <a:noFill/>
              </a:ln>
            </c:spPr>
          </c:dPt>
          <c:dLbls>
            <c:numFmt formatCode="0%" sourceLinked="0"/>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Exhibits!$DC$302:$DC$304</c:f>
              <c:strCache>
                <c:ptCount val="3"/>
                <c:pt idx="0">
                  <c:v>HLT</c:v>
                </c:pt>
                <c:pt idx="1">
                  <c:v>MAR</c:v>
                </c:pt>
                <c:pt idx="2">
                  <c:v>HOT</c:v>
                </c:pt>
              </c:strCache>
            </c:strRef>
          </c:cat>
          <c:val>
            <c:numRef>
              <c:f>Exhibits!$DD$302:$DD$304</c:f>
              <c:numCache>
                <c:formatCode>0.0%</c:formatCode>
                <c:ptCount val="3"/>
                <c:pt idx="0">
                  <c:v>0.189589149345464</c:v>
                </c:pt>
              </c:numCache>
            </c:numRef>
          </c:val>
        </c:ser>
        <c:dLbls>
          <c:showLegendKey val="0"/>
          <c:showVal val="0"/>
          <c:showCatName val="0"/>
          <c:showSerName val="0"/>
          <c:showPercent val="0"/>
          <c:showBubbleSize val="0"/>
        </c:dLbls>
        <c:gapWidth val="150"/>
        <c:axId val="674207232"/>
        <c:axId val="674208768"/>
      </c:barChart>
      <c:catAx>
        <c:axId val="674207232"/>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208768"/>
        <c:crosses val="autoZero"/>
        <c:auto val="1"/>
        <c:lblAlgn val="ctr"/>
        <c:lblOffset val="100"/>
        <c:tickLblSkip val="1"/>
        <c:tickMarkSkip val="1"/>
        <c:noMultiLvlLbl val="0"/>
      </c:catAx>
      <c:valAx>
        <c:axId val="674208768"/>
        <c:scaling>
          <c:orientation val="minMax"/>
        </c:scaling>
        <c:delete val="0"/>
        <c:axPos val="l"/>
        <c:majorGridlines>
          <c:spPr>
            <a:ln w="12700">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20723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0028777765773401"/>
          <c:y val="0.20215096217860001"/>
          <c:w val="0.39942584779354096"/>
          <c:h val="0.59785071793245537"/>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00FFFF"/>
              </a:solidFill>
              <a:ln w="12700">
                <a:solidFill>
                  <a:srgbClr val="000000"/>
                </a:solidFill>
                <a:prstDash val="solid"/>
              </a:ln>
            </c:spPr>
          </c:dPt>
          <c:dPt>
            <c:idx val="4"/>
            <c:bubble3D val="0"/>
            <c:spPr>
              <a:solidFill>
                <a:srgbClr val="660066"/>
              </a:solidFill>
              <a:ln w="12700">
                <a:solidFill>
                  <a:srgbClr val="000000"/>
                </a:solidFill>
                <a:prstDash val="solid"/>
              </a:ln>
            </c:spPr>
          </c:dPt>
          <c:dLbls>
            <c:dLbl>
              <c:idx val="3"/>
              <c:layout>
                <c:manualLayout>
                  <c:x val="-0.20501069504867864"/>
                  <c:y val="8.266653126013776E-2"/>
                </c:manualLayout>
              </c:layout>
              <c:dLblPos val="bestFit"/>
              <c:showLegendKey val="0"/>
              <c:showVal val="1"/>
              <c:showCatName val="1"/>
              <c:showSerName val="0"/>
              <c:showPercent val="0"/>
              <c:showBubbleSize val="0"/>
              <c:separator>
</c:separator>
            </c:dLbl>
            <c:dLbl>
              <c:idx val="4"/>
              <c:layout>
                <c:manualLayout>
                  <c:x val="6.1101973875352716E-3"/>
                  <c:y val="-1.5455458999117301E-2"/>
                </c:manualLayout>
              </c:layout>
              <c:dLblPos val="bestFit"/>
              <c:showLegendKey val="0"/>
              <c:showVal val="1"/>
              <c:showCatName val="1"/>
              <c:showSerName val="0"/>
              <c:showPercent val="0"/>
              <c:showBubbleSize val="0"/>
              <c:separator>
</c:separator>
            </c:dLbl>
            <c:spPr>
              <a:noFill/>
              <a:ln w="25400">
                <a:noFill/>
              </a:ln>
            </c:spPr>
            <c:txPr>
              <a:bodyPr/>
              <a:lstStyle/>
              <a:p>
                <a:pPr>
                  <a:defRPr sz="115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eparator>
</c:separator>
            <c:showLeaderLines val="0"/>
          </c:dLbls>
          <c:cat>
            <c:strRef>
              <c:f>Exhibits!$EA$384:$EA$388</c:f>
              <c:strCache>
                <c:ptCount val="5"/>
                <c:pt idx="0">
                  <c:v>US</c:v>
                </c:pt>
                <c:pt idx="1">
                  <c:v>Europe</c:v>
                </c:pt>
                <c:pt idx="2">
                  <c:v>Asia Pacific</c:v>
                </c:pt>
                <c:pt idx="3">
                  <c:v>Middle East / Africa</c:v>
                </c:pt>
                <c:pt idx="4">
                  <c:v>Other Americas</c:v>
                </c:pt>
              </c:strCache>
            </c:strRef>
          </c:cat>
          <c:val>
            <c:numRef>
              <c:f>Exhibits!$EB$384:$EB$388</c:f>
              <c:numCache>
                <c:formatCode>0%</c:formatCode>
                <c:ptCount val="5"/>
              </c:numCache>
            </c:numRef>
          </c:val>
        </c:ser>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2235982826408749"/>
          <c:y val="0.21935529938528936"/>
          <c:w val="0.35802517096564612"/>
          <c:h val="0.56129150136824046"/>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00FFFF"/>
              </a:solidFill>
              <a:ln w="12700">
                <a:solidFill>
                  <a:srgbClr val="000000"/>
                </a:solidFill>
                <a:prstDash val="solid"/>
              </a:ln>
            </c:spPr>
          </c:dPt>
          <c:dPt>
            <c:idx val="4"/>
            <c:bubble3D val="0"/>
            <c:spPr>
              <a:solidFill>
                <a:srgbClr val="660066"/>
              </a:solidFill>
              <a:ln w="12700">
                <a:solidFill>
                  <a:srgbClr val="000000"/>
                </a:solidFill>
                <a:prstDash val="solid"/>
              </a:ln>
            </c:spPr>
          </c:dPt>
          <c:dLbls>
            <c:dLbl>
              <c:idx val="2"/>
              <c:layout>
                <c:manualLayout>
                  <c:x val="-9.8648518055177905E-3"/>
                  <c:y val="2.5137908812859992E-2"/>
                </c:manualLayout>
              </c:layout>
              <c:dLblPos val="bestFit"/>
              <c:showLegendKey val="0"/>
              <c:showVal val="1"/>
              <c:showCatName val="1"/>
              <c:showSerName val="0"/>
              <c:showPercent val="0"/>
              <c:showBubbleSize val="0"/>
              <c:separator>
</c:separator>
            </c:dLbl>
            <c:dLbl>
              <c:idx val="3"/>
              <c:layout>
                <c:manualLayout>
                  <c:x val="4.3078248871767082E-2"/>
                  <c:y val="-2.5187602476004149E-2"/>
                </c:manualLayout>
              </c:layout>
              <c:dLblPos val="bestFit"/>
              <c:showLegendKey val="0"/>
              <c:showVal val="1"/>
              <c:showCatName val="1"/>
              <c:showSerName val="0"/>
              <c:showPercent val="0"/>
              <c:showBubbleSize val="0"/>
              <c:separator>
</c:separator>
            </c:dLbl>
            <c:dLbl>
              <c:idx val="4"/>
              <c:layout>
                <c:manualLayout>
                  <c:x val="0.11839860464431291"/>
                  <c:y val="-2.6797893455464031E-2"/>
                </c:manualLayout>
              </c:layout>
              <c:dLblPos val="bestFit"/>
              <c:showLegendKey val="0"/>
              <c:showVal val="1"/>
              <c:showCatName val="1"/>
              <c:showSerName val="0"/>
              <c:showPercent val="0"/>
              <c:showBubbleSize val="0"/>
              <c:separator>
</c:separator>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eparator>
</c:separator>
            <c:showLeaderLines val="0"/>
          </c:dLbls>
          <c:cat>
            <c:strRef>
              <c:f>Exhibits!$EN$421:$EN$425</c:f>
              <c:strCache>
                <c:ptCount val="5"/>
                <c:pt idx="0">
                  <c:v>US</c:v>
                </c:pt>
                <c:pt idx="1">
                  <c:v>Europe</c:v>
                </c:pt>
                <c:pt idx="2">
                  <c:v>Asia Pacific</c:v>
                </c:pt>
                <c:pt idx="3">
                  <c:v>Middle East / Africa</c:v>
                </c:pt>
                <c:pt idx="4">
                  <c:v>Other Americas</c:v>
                </c:pt>
              </c:strCache>
            </c:strRef>
          </c:cat>
          <c:val>
            <c:numRef>
              <c:f>Exhibits!$EO$421:$EO$425</c:f>
              <c:numCache>
                <c:formatCode>0%</c:formatCode>
                <c:ptCount val="5"/>
                <c:pt idx="0">
                  <c:v>0.75</c:v>
                </c:pt>
                <c:pt idx="1">
                  <c:v>0.09</c:v>
                </c:pt>
                <c:pt idx="2">
                  <c:v>0.09</c:v>
                </c:pt>
                <c:pt idx="3">
                  <c:v>0.02</c:v>
                </c:pt>
                <c:pt idx="4">
                  <c:v>0.05</c:v>
                </c:pt>
              </c:numCache>
            </c:numRef>
          </c:val>
        </c:ser>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67129151814769E-2"/>
          <c:y val="5.5914095921740424E-2"/>
          <c:w val="0.89315128234112962"/>
          <c:h val="0.84731360742945105"/>
        </c:manualLayout>
      </c:layout>
      <c:barChart>
        <c:barDir val="col"/>
        <c:grouping val="clustered"/>
        <c:varyColors val="0"/>
        <c:ser>
          <c:idx val="0"/>
          <c:order val="0"/>
          <c:spPr>
            <a:solidFill>
              <a:srgbClr val="9999FF"/>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Exhibits!$FL$493:$FQ$493</c:f>
              <c:strCache>
                <c:ptCount val="6"/>
                <c:pt idx="0">
                  <c:v>2,013 </c:v>
                </c:pt>
                <c:pt idx="1">
                  <c:v>2,014 </c:v>
                </c:pt>
                <c:pt idx="2">
                  <c:v>2,015 </c:v>
                </c:pt>
                <c:pt idx="3">
                  <c:v>2,016 </c:v>
                </c:pt>
                <c:pt idx="4">
                  <c:v>2017A</c:v>
                </c:pt>
                <c:pt idx="5">
                  <c:v>2018E</c:v>
                </c:pt>
              </c:strCache>
            </c:strRef>
          </c:cat>
          <c:val>
            <c:numRef>
              <c:f>Exhibits!$FL$494:$FQ$494</c:f>
              <c:numCache>
                <c:formatCode>0.0%</c:formatCode>
                <c:ptCount val="6"/>
                <c:pt idx="0">
                  <c:v>0.22701592193117617</c:v>
                </c:pt>
                <c:pt idx="1">
                  <c:v>0.23881165492287185</c:v>
                </c:pt>
                <c:pt idx="2">
                  <c:v>0.25541163946061035</c:v>
                </c:pt>
                <c:pt idx="3">
                  <c:v>0.25508016805281658</c:v>
                </c:pt>
                <c:pt idx="4">
                  <c:v>0.2149890590809628</c:v>
                </c:pt>
                <c:pt idx="5">
                  <c:v>0.20905935557730629</c:v>
                </c:pt>
              </c:numCache>
            </c:numRef>
          </c:val>
        </c:ser>
        <c:dLbls>
          <c:showLegendKey val="0"/>
          <c:showVal val="0"/>
          <c:showCatName val="0"/>
          <c:showSerName val="0"/>
          <c:showPercent val="0"/>
          <c:showBubbleSize val="0"/>
        </c:dLbls>
        <c:gapWidth val="150"/>
        <c:axId val="674321920"/>
        <c:axId val="674323456"/>
      </c:barChart>
      <c:catAx>
        <c:axId val="674321920"/>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323456"/>
        <c:crosses val="autoZero"/>
        <c:auto val="1"/>
        <c:lblAlgn val="ctr"/>
        <c:lblOffset val="100"/>
        <c:tickLblSkip val="1"/>
        <c:tickMarkSkip val="1"/>
        <c:noMultiLvlLbl val="0"/>
      </c:catAx>
      <c:valAx>
        <c:axId val="674323456"/>
        <c:scaling>
          <c:orientation val="minMax"/>
          <c:max val="0.25"/>
          <c:min val="0.22500000000000001"/>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4321920"/>
        <c:crosses val="autoZero"/>
        <c:crossBetween val="between"/>
        <c:majorUnit val="5.0000000000000001E-3"/>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Owned Hotel EBITDA Margins</a:t>
            </a:r>
          </a:p>
        </c:rich>
      </c:tx>
      <c:layout>
        <c:manualLayout>
          <c:xMode val="edge"/>
          <c:yMode val="edge"/>
          <c:x val="0.30958918491352966"/>
          <c:y val="1.2903225806451613E-2"/>
        </c:manualLayout>
      </c:layout>
      <c:overlay val="0"/>
      <c:spPr>
        <a:noFill/>
        <a:ln w="25400">
          <a:noFill/>
        </a:ln>
      </c:spPr>
    </c:title>
    <c:autoTitleDeleted val="0"/>
    <c:plotArea>
      <c:layout>
        <c:manualLayout>
          <c:layoutTarget val="inner"/>
          <c:xMode val="edge"/>
          <c:yMode val="edge"/>
          <c:x val="0.10547952260777144"/>
          <c:y val="0.11827981829598937"/>
          <c:w val="0.87397318732153473"/>
          <c:h val="0.77419517430102125"/>
        </c:manualLayout>
      </c:layout>
      <c:barChart>
        <c:barDir val="col"/>
        <c:grouping val="clustered"/>
        <c:varyColors val="0"/>
        <c:ser>
          <c:idx val="0"/>
          <c:order val="0"/>
          <c:spPr>
            <a:solidFill>
              <a:srgbClr val="9999FF"/>
            </a:solidFill>
            <a:ln w="25400">
              <a:noFill/>
            </a:ln>
          </c:spPr>
          <c:invertIfNegative val="0"/>
          <c:dLbls>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Exhibits!$GD$529:$GH$529</c:f>
              <c:numCache>
                <c:formatCode>#,##0_);\(#,##0\)</c:formatCode>
                <c:ptCount val="5"/>
                <c:pt idx="0" formatCode="0_);\(0\)">
                  <c:v>2012</c:v>
                </c:pt>
                <c:pt idx="1">
                  <c:v>2013</c:v>
                </c:pt>
                <c:pt idx="2">
                  <c:v>2014</c:v>
                </c:pt>
                <c:pt idx="3">
                  <c:v>2015</c:v>
                </c:pt>
                <c:pt idx="4">
                  <c:v>2016</c:v>
                </c:pt>
              </c:numCache>
            </c:numRef>
          </c:cat>
          <c:val>
            <c:numRef>
              <c:f>Exhibits!$GD$530:$GH$530</c:f>
              <c:numCache>
                <c:formatCode>0.0%</c:formatCode>
                <c:ptCount val="5"/>
                <c:pt idx="0">
                  <c:v>0.19795307039440838</c:v>
                </c:pt>
                <c:pt idx="1">
                  <c:v>0.2279754601226994</c:v>
                </c:pt>
                <c:pt idx="2">
                  <c:v>0.23390306719737766</c:v>
                </c:pt>
                <c:pt idx="3">
                  <c:v>0.24964805255748476</c:v>
                </c:pt>
                <c:pt idx="4">
                  <c:v>0.24753427952850612</c:v>
                </c:pt>
              </c:numCache>
            </c:numRef>
          </c:val>
        </c:ser>
        <c:dLbls>
          <c:showLegendKey val="0"/>
          <c:showVal val="0"/>
          <c:showCatName val="0"/>
          <c:showSerName val="0"/>
          <c:showPercent val="0"/>
          <c:showBubbleSize val="0"/>
        </c:dLbls>
        <c:gapWidth val="150"/>
        <c:axId val="675555968"/>
        <c:axId val="675557760"/>
      </c:barChart>
      <c:catAx>
        <c:axId val="675555968"/>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75557760"/>
        <c:crosses val="autoZero"/>
        <c:auto val="1"/>
        <c:lblAlgn val="ctr"/>
        <c:lblOffset val="100"/>
        <c:tickLblSkip val="1"/>
        <c:tickMarkSkip val="1"/>
        <c:noMultiLvlLbl val="0"/>
      </c:catAx>
      <c:valAx>
        <c:axId val="675557760"/>
        <c:scaling>
          <c:orientation val="minMax"/>
          <c:min val="0.18000000000000002"/>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75555968"/>
        <c:crosses val="autoZero"/>
        <c:crossBetween val="between"/>
        <c:majorUnit val="1.0000000000000002E-2"/>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Incentive Management Fees</a:t>
            </a:r>
          </a:p>
        </c:rich>
      </c:tx>
      <c:layout>
        <c:manualLayout>
          <c:xMode val="edge"/>
          <c:yMode val="edge"/>
          <c:x val="0.31961634425326463"/>
          <c:y val="1.0752688172043012E-2"/>
        </c:manualLayout>
      </c:layout>
      <c:overlay val="0"/>
      <c:spPr>
        <a:noFill/>
        <a:ln w="25400">
          <a:noFill/>
        </a:ln>
      </c:spPr>
    </c:title>
    <c:autoTitleDeleted val="0"/>
    <c:plotArea>
      <c:layout>
        <c:manualLayout>
          <c:layoutTarget val="inner"/>
          <c:xMode val="edge"/>
          <c:yMode val="edge"/>
          <c:x val="0.10013730835437612"/>
          <c:y val="0.11397873399431703"/>
          <c:w val="0.87928787198842595"/>
          <c:h val="0.77849625860269367"/>
        </c:manualLayout>
      </c:layout>
      <c:barChart>
        <c:barDir val="col"/>
        <c:grouping val="clustered"/>
        <c:varyColors val="0"/>
        <c:ser>
          <c:idx val="0"/>
          <c:order val="0"/>
          <c:spPr>
            <a:solidFill>
              <a:srgbClr val="9999FF"/>
            </a:solidFill>
            <a:ln w="25400">
              <a:noFill/>
            </a:ln>
          </c:spPr>
          <c:invertIfNegative val="0"/>
          <c:dLbls>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Exhibits!$GV$564:$GZ$564</c:f>
              <c:numCache>
                <c:formatCode>#,##0_);\(#,##0\)</c:formatCode>
                <c:ptCount val="5"/>
                <c:pt idx="0" formatCode="0_);\(0\)">
                  <c:v>2012</c:v>
                </c:pt>
                <c:pt idx="1">
                  <c:v>2013</c:v>
                </c:pt>
                <c:pt idx="2">
                  <c:v>2014</c:v>
                </c:pt>
                <c:pt idx="3">
                  <c:v>2015</c:v>
                </c:pt>
                <c:pt idx="4">
                  <c:v>2016</c:v>
                </c:pt>
              </c:numCache>
            </c:numRef>
          </c:cat>
          <c:val>
            <c:numRef>
              <c:f>Exhibits!$GV$565:$GZ$565</c:f>
              <c:numCache>
                <c:formatCode>"$"#,##0_);\("$"#,##0\)</c:formatCode>
                <c:ptCount val="5"/>
                <c:pt idx="0">
                  <c:v>112</c:v>
                </c:pt>
                <c:pt idx="1">
                  <c:v>114</c:v>
                </c:pt>
                <c:pt idx="2">
                  <c:v>137</c:v>
                </c:pt>
                <c:pt idx="3">
                  <c:v>148</c:v>
                </c:pt>
                <c:pt idx="4">
                  <c:v>155</c:v>
                </c:pt>
              </c:numCache>
            </c:numRef>
          </c:val>
        </c:ser>
        <c:dLbls>
          <c:showLegendKey val="0"/>
          <c:showVal val="0"/>
          <c:showCatName val="0"/>
          <c:showSerName val="0"/>
          <c:showPercent val="0"/>
          <c:showBubbleSize val="0"/>
        </c:dLbls>
        <c:gapWidth val="150"/>
        <c:axId val="675590144"/>
        <c:axId val="675591680"/>
      </c:barChart>
      <c:catAx>
        <c:axId val="675590144"/>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75591680"/>
        <c:crosses val="autoZero"/>
        <c:auto val="1"/>
        <c:lblAlgn val="ctr"/>
        <c:lblOffset val="100"/>
        <c:tickLblSkip val="1"/>
        <c:tickMarkSkip val="1"/>
        <c:noMultiLvlLbl val="0"/>
      </c:catAx>
      <c:valAx>
        <c:axId val="675591680"/>
        <c:scaling>
          <c:orientation val="minMax"/>
        </c:scaling>
        <c:delete val="0"/>
        <c:axPos val="l"/>
        <c:numFmt formatCode="&quot;$&quot;#,##0_);\(&quot;$&quot;#,##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75590144"/>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164722760111424"/>
          <c:y val="0.1167316284005164"/>
          <c:w val="0.50724702945774336"/>
          <c:h val="0.74902794890331359"/>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00FFFF"/>
              </a:solidFill>
              <a:ln w="12700">
                <a:solidFill>
                  <a:srgbClr val="000000"/>
                </a:solidFill>
                <a:prstDash val="solid"/>
              </a:ln>
            </c:spPr>
          </c:dPt>
          <c:dPt>
            <c:idx val="4"/>
            <c:bubble3D val="0"/>
            <c:spPr>
              <a:solidFill>
                <a:srgbClr val="660066"/>
              </a:solidFill>
              <a:ln w="12700">
                <a:solidFill>
                  <a:srgbClr val="000000"/>
                </a:solidFill>
                <a:prstDash val="solid"/>
              </a:ln>
            </c:spPr>
          </c:dPt>
          <c:dLbls>
            <c:dLbl>
              <c:idx val="4"/>
              <c:layout>
                <c:manualLayout>
                  <c:x val="6.0824445951760529E-2"/>
                  <c:y val="-3.6757440319998267E-3"/>
                </c:manualLayout>
              </c:layout>
              <c:dLblPos val="bestFit"/>
              <c:showLegendKey val="0"/>
              <c:showVal val="0"/>
              <c:showCatName val="1"/>
              <c:showSerName val="0"/>
              <c:showPercent val="1"/>
              <c:showBubbleSize val="0"/>
            </c:dLbl>
            <c:numFmt formatCode="0%"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strRef>
              <c:f>Exhibits!$DR$347:$DR$351</c:f>
              <c:strCache>
                <c:ptCount val="5"/>
                <c:pt idx="0">
                  <c:v>US</c:v>
                </c:pt>
                <c:pt idx="1">
                  <c:v>Europe</c:v>
                </c:pt>
                <c:pt idx="2">
                  <c:v>Asia Pacific</c:v>
                </c:pt>
                <c:pt idx="3">
                  <c:v>Middle East / Africa</c:v>
                </c:pt>
                <c:pt idx="4">
                  <c:v>Other Americas</c:v>
                </c:pt>
              </c:strCache>
            </c:strRef>
          </c:cat>
          <c:val>
            <c:numRef>
              <c:f>Exhibits!$DS$347:$DS$351</c:f>
              <c:numCache>
                <c:formatCode>#,##0_);\(#,##0\)</c:formatCode>
                <c:ptCount val="5"/>
                <c:pt idx="0">
                  <c:v>518374</c:v>
                </c:pt>
                <c:pt idx="1">
                  <c:v>58716</c:v>
                </c:pt>
                <c:pt idx="2">
                  <c:v>39689</c:v>
                </c:pt>
                <c:pt idx="3">
                  <c:v>19514</c:v>
                </c:pt>
                <c:pt idx="4">
                  <c:v>33423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5.3191489361702126E-3"/>
          <c:w val="1"/>
          <c:h val="0.6206666116997156"/>
        </c:manualLayout>
      </c:layout>
      <c:barChart>
        <c:barDir val="col"/>
        <c:grouping val="stacked"/>
        <c:varyColors val="0"/>
        <c:ser>
          <c:idx val="0"/>
          <c:order val="0"/>
          <c:tx>
            <c:strRef>
              <c:f>Bear_to_Bull_Data!$E$5</c:f>
              <c:strCache>
                <c:ptCount val="1"/>
                <c:pt idx="0">
                  <c:v>Invisible</c:v>
                </c:pt>
              </c:strCache>
            </c:strRef>
          </c:tx>
          <c:spPr>
            <a:noFill/>
            <a:ln w="25400">
              <a:noFill/>
            </a:ln>
          </c:spPr>
          <c:invertIfNegative val="0"/>
          <c:cat>
            <c:strRef>
              <c:f>Bear_to_Bull_Data!$A$6:$A$14</c:f>
              <c:strCache>
                <c:ptCount val="9"/>
                <c:pt idx="0">
                  <c:v>Bear
Case</c:v>
                </c:pt>
                <c:pt idx="1">
                  <c:v>RevPAR Down 6%</c:v>
                </c:pt>
                <c:pt idx="2">
                  <c:v>Timeshare Downside</c:v>
                </c:pt>
                <c:pt idx="3">
                  <c:v>Multiple Compression</c:v>
                </c:pt>
                <c:pt idx="4">
                  <c:v>Base
Case</c:v>
                </c:pt>
                <c:pt idx="5">
                  <c:v>4.8% Annual RevPAR</c:v>
                </c:pt>
                <c:pt idx="6">
                  <c:v>Timeshare Upside</c:v>
                </c:pt>
                <c:pt idx="7">
                  <c:v>Multiple Expansion</c:v>
                </c:pt>
                <c:pt idx="8">
                  <c:v>Bull
Case</c:v>
                </c:pt>
              </c:strCache>
            </c:strRef>
          </c:cat>
          <c:val>
            <c:numRef>
              <c:f>Bear_to_Bull_Data!$E$6:$E$14</c:f>
              <c:numCache>
                <c:formatCode>0.00</c:formatCode>
                <c:ptCount val="9"/>
                <c:pt idx="1">
                  <c:v>48.79752943755463</c:v>
                </c:pt>
                <c:pt idx="2">
                  <c:v>54.462749382965427</c:v>
                </c:pt>
                <c:pt idx="3">
                  <c:v>54.170407956878471</c:v>
                </c:pt>
                <c:pt idx="5">
                  <c:v>83.521735746698837</c:v>
                </c:pt>
                <c:pt idx="6">
                  <c:v>88.764689538144225</c:v>
                </c:pt>
                <c:pt idx="7">
                  <c:v>88.472348112057261</c:v>
                </c:pt>
              </c:numCache>
            </c:numRef>
          </c:val>
        </c:ser>
        <c:ser>
          <c:idx val="1"/>
          <c:order val="1"/>
          <c:tx>
            <c:strRef>
              <c:f>Bear_to_Bull_Data!$B$5</c:f>
              <c:strCache>
                <c:ptCount val="1"/>
                <c:pt idx="0">
                  <c:v>Cases</c:v>
                </c:pt>
              </c:strCache>
            </c:strRef>
          </c:tx>
          <c:spPr>
            <a:solidFill>
              <a:srgbClr val="0066CC"/>
            </a:solidFill>
            <a:ln w="25400">
              <a:noFill/>
            </a:ln>
          </c:spPr>
          <c:invertIfNegative val="0"/>
          <c:dLbls>
            <c:numFmt formatCode="\$#,##0;\(\$#,##0\)" sourceLinked="0"/>
            <c:spPr>
              <a:noFill/>
              <a:ln w="25400">
                <a:noFill/>
              </a:ln>
            </c:spPr>
            <c:txPr>
              <a:bodyPr/>
              <a:lstStyle/>
              <a:p>
                <a:pPr>
                  <a:defRPr sz="700" b="1" i="0" u="none" strike="noStrike" baseline="0">
                    <a:solidFill>
                      <a:srgbClr val="FFFFFF"/>
                    </a:solidFill>
                    <a:latin typeface="Arial"/>
                    <a:ea typeface="Arial"/>
                    <a:cs typeface="Arial"/>
                  </a:defRPr>
                </a:pPr>
                <a:endParaRPr lang="en-US"/>
              </a:p>
            </c:txPr>
            <c:dLblPos val="inEnd"/>
            <c:showLegendKey val="0"/>
            <c:showVal val="1"/>
            <c:showCatName val="0"/>
            <c:showSerName val="0"/>
            <c:showPercent val="0"/>
            <c:showBubbleSize val="0"/>
            <c:showLeaderLines val="0"/>
          </c:dLbls>
          <c:cat>
            <c:strRef>
              <c:f>Bear_to_Bull_Data!$A$6:$A$14</c:f>
              <c:strCache>
                <c:ptCount val="9"/>
                <c:pt idx="0">
                  <c:v>Bear
Case</c:v>
                </c:pt>
                <c:pt idx="1">
                  <c:v>RevPAR Down 6%</c:v>
                </c:pt>
                <c:pt idx="2">
                  <c:v>Timeshare Downside</c:v>
                </c:pt>
                <c:pt idx="3">
                  <c:v>Multiple Compression</c:v>
                </c:pt>
                <c:pt idx="4">
                  <c:v>Base
Case</c:v>
                </c:pt>
                <c:pt idx="5">
                  <c:v>4.8% Annual RevPAR</c:v>
                </c:pt>
                <c:pt idx="6">
                  <c:v>Timeshare Upside</c:v>
                </c:pt>
                <c:pt idx="7">
                  <c:v>Multiple Expansion</c:v>
                </c:pt>
                <c:pt idx="8">
                  <c:v>Bull
Case</c:v>
                </c:pt>
              </c:strCache>
            </c:strRef>
          </c:cat>
          <c:val>
            <c:numRef>
              <c:f>Bear_to_Bull_Data!$B$6:$B$14</c:f>
              <c:numCache>
                <c:formatCode>0.00</c:formatCode>
                <c:ptCount val="9"/>
                <c:pt idx="0">
                  <c:v>48.79752943755463</c:v>
                </c:pt>
                <c:pt idx="4">
                  <c:v>83.521735746698837</c:v>
                </c:pt>
                <c:pt idx="8">
                  <c:v>108.08471027810533</c:v>
                </c:pt>
              </c:numCache>
            </c:numRef>
          </c:val>
        </c:ser>
        <c:ser>
          <c:idx val="2"/>
          <c:order val="3"/>
          <c:tx>
            <c:strRef>
              <c:f>Bear_to_Bull_Data!$F$5</c:f>
              <c:strCache>
                <c:ptCount val="1"/>
                <c:pt idx="0">
                  <c:v>Labels</c:v>
                </c:pt>
              </c:strCache>
            </c:strRef>
          </c:tx>
          <c:spPr>
            <a:solidFill>
              <a:srgbClr val="99CCFF"/>
            </a:solidFill>
            <a:ln w="25400">
              <a:noFill/>
            </a:ln>
          </c:spPr>
          <c:invertIfNegative val="0"/>
          <c:cat>
            <c:strRef>
              <c:f>Bear_to_Bull_Data!$A$6:$A$14</c:f>
              <c:strCache>
                <c:ptCount val="9"/>
                <c:pt idx="0">
                  <c:v>Bear
Case</c:v>
                </c:pt>
                <c:pt idx="1">
                  <c:v>RevPAR Down 6%</c:v>
                </c:pt>
                <c:pt idx="2">
                  <c:v>Timeshare Downside</c:v>
                </c:pt>
                <c:pt idx="3">
                  <c:v>Multiple Compression</c:v>
                </c:pt>
                <c:pt idx="4">
                  <c:v>Base
Case</c:v>
                </c:pt>
                <c:pt idx="5">
                  <c:v>4.8% Annual RevPAR</c:v>
                </c:pt>
                <c:pt idx="6">
                  <c:v>Timeshare Upside</c:v>
                </c:pt>
                <c:pt idx="7">
                  <c:v>Multiple Expansion</c:v>
                </c:pt>
                <c:pt idx="8">
                  <c:v>Bull
Case</c:v>
                </c:pt>
              </c:strCache>
            </c:strRef>
          </c:cat>
          <c:val>
            <c:numRef>
              <c:f>Bear_to_Bull_Data!$F$6:$F$14</c:f>
              <c:numCache>
                <c:formatCode>0.00</c:formatCode>
                <c:ptCount val="9"/>
                <c:pt idx="1">
                  <c:v>5.6652199454107937</c:v>
                </c:pt>
                <c:pt idx="2">
                  <c:v>-0.29234142608695651</c:v>
                </c:pt>
                <c:pt idx="3">
                  <c:v>29.351327789820367</c:v>
                </c:pt>
                <c:pt idx="5">
                  <c:v>5.2429537914453936</c:v>
                </c:pt>
                <c:pt idx="6">
                  <c:v>-0.29234142608695651</c:v>
                </c:pt>
                <c:pt idx="7">
                  <c:v>19.612362166048054</c:v>
                </c:pt>
              </c:numCache>
            </c:numRef>
          </c:val>
        </c:ser>
        <c:ser>
          <c:idx val="3"/>
          <c:order val="4"/>
          <c:tx>
            <c:v>Inc Labels</c:v>
          </c:tx>
          <c:spPr>
            <a:noFill/>
            <a:ln w="25400">
              <a:noFill/>
            </a:ln>
          </c:spPr>
          <c:invertIfNegative val="0"/>
          <c:dLbls>
            <c:numFmt formatCode="\$#,##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Bear_to_Bull_Data!$A$6:$A$14</c:f>
              <c:strCache>
                <c:ptCount val="9"/>
                <c:pt idx="0">
                  <c:v>Bear
Case</c:v>
                </c:pt>
                <c:pt idx="1">
                  <c:v>RevPAR Down 6%</c:v>
                </c:pt>
                <c:pt idx="2">
                  <c:v>Timeshare Downside</c:v>
                </c:pt>
                <c:pt idx="3">
                  <c:v>Multiple Compression</c:v>
                </c:pt>
                <c:pt idx="4">
                  <c:v>Base
Case</c:v>
                </c:pt>
                <c:pt idx="5">
                  <c:v>4.8% Annual RevPAR</c:v>
                </c:pt>
                <c:pt idx="6">
                  <c:v>Timeshare Upside</c:v>
                </c:pt>
                <c:pt idx="7">
                  <c:v>Multiple Expansion</c:v>
                </c:pt>
                <c:pt idx="8">
                  <c:v>Bull
Case</c:v>
                </c:pt>
              </c:strCache>
            </c:strRef>
          </c:cat>
          <c:val>
            <c:numRef>
              <c:f>Bear_to_Bull_Data!$F$6:$F$14</c:f>
              <c:numCache>
                <c:formatCode>0.00</c:formatCode>
                <c:ptCount val="9"/>
                <c:pt idx="1">
                  <c:v>5.6652199454107937</c:v>
                </c:pt>
                <c:pt idx="2">
                  <c:v>-0.29234142608695651</c:v>
                </c:pt>
                <c:pt idx="3">
                  <c:v>29.351327789820367</c:v>
                </c:pt>
                <c:pt idx="5">
                  <c:v>5.2429537914453936</c:v>
                </c:pt>
                <c:pt idx="6">
                  <c:v>-0.29234142608695651</c:v>
                </c:pt>
                <c:pt idx="7">
                  <c:v>19.612362166048054</c:v>
                </c:pt>
              </c:numCache>
            </c:numRef>
          </c:val>
        </c:ser>
        <c:dLbls>
          <c:showLegendKey val="0"/>
          <c:showVal val="0"/>
          <c:showCatName val="0"/>
          <c:showSerName val="0"/>
          <c:showPercent val="0"/>
          <c:showBubbleSize val="0"/>
        </c:dLbls>
        <c:gapWidth val="50"/>
        <c:overlap val="100"/>
        <c:axId val="675314304"/>
        <c:axId val="675324288"/>
      </c:barChart>
      <c:lineChart>
        <c:grouping val="standard"/>
        <c:varyColors val="0"/>
        <c:ser>
          <c:idx val="6"/>
          <c:order val="2"/>
          <c:tx>
            <c:v>Price Target: </c:v>
          </c:tx>
          <c:spPr>
            <a:ln w="12700">
              <a:solidFill>
                <a:srgbClr val="969696"/>
              </a:solidFill>
              <a:prstDash val="sysDash"/>
            </a:ln>
          </c:spPr>
          <c:marker>
            <c:symbol val="none"/>
          </c:marker>
          <c:val>
            <c:numRef>
              <c:f>Bear_to_Bull_Data!$D$6:$D$14</c:f>
              <c:numCache>
                <c:formatCode>0.00</c:formatCode>
                <c:ptCount val="9"/>
                <c:pt idx="0">
                  <c:v>83.521735746698837</c:v>
                </c:pt>
                <c:pt idx="1">
                  <c:v>83.521735746698837</c:v>
                </c:pt>
                <c:pt idx="2">
                  <c:v>83.521735746698837</c:v>
                </c:pt>
                <c:pt idx="3">
                  <c:v>83.521735746698837</c:v>
                </c:pt>
                <c:pt idx="4">
                  <c:v>83.521735746698837</c:v>
                </c:pt>
                <c:pt idx="5">
                  <c:v>83.521735746698837</c:v>
                </c:pt>
                <c:pt idx="6">
                  <c:v>83.521735746698837</c:v>
                </c:pt>
                <c:pt idx="7">
                  <c:v>83.521735746698837</c:v>
                </c:pt>
                <c:pt idx="8">
                  <c:v>83.521735746698837</c:v>
                </c:pt>
              </c:numCache>
            </c:numRef>
          </c:val>
          <c:smooth val="0"/>
        </c:ser>
        <c:dLbls>
          <c:showLegendKey val="0"/>
          <c:showVal val="0"/>
          <c:showCatName val="0"/>
          <c:showSerName val="0"/>
          <c:showPercent val="0"/>
          <c:showBubbleSize val="0"/>
        </c:dLbls>
        <c:marker val="1"/>
        <c:smooth val="0"/>
        <c:axId val="675314304"/>
        <c:axId val="675324288"/>
      </c:lineChart>
      <c:catAx>
        <c:axId val="675314304"/>
        <c:scaling>
          <c:orientation val="minMax"/>
        </c:scaling>
        <c:delete val="0"/>
        <c:axPos val="b"/>
        <c:numFmt formatCode="General" sourceLinked="1"/>
        <c:majorTickMark val="none"/>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a:ea typeface="Arial"/>
                <a:cs typeface="Arial"/>
              </a:defRPr>
            </a:pPr>
            <a:endParaRPr lang="en-US"/>
          </a:p>
        </c:txPr>
        <c:crossAx val="675324288"/>
        <c:crosses val="autoZero"/>
        <c:auto val="1"/>
        <c:lblAlgn val="ctr"/>
        <c:lblOffset val="100"/>
        <c:tickLblSkip val="1"/>
        <c:tickMarkSkip val="2"/>
        <c:noMultiLvlLbl val="0"/>
      </c:catAx>
      <c:valAx>
        <c:axId val="675324288"/>
        <c:scaling>
          <c:orientation val="minMax"/>
        </c:scaling>
        <c:delete val="0"/>
        <c:axPos val="l"/>
        <c:numFmt formatCode="0.00" sourceLinked="1"/>
        <c:majorTickMark val="none"/>
        <c:minorTickMark val="none"/>
        <c:tickLblPos val="none"/>
        <c:spPr>
          <a:ln w="9525">
            <a:noFill/>
          </a:ln>
        </c:spPr>
        <c:crossAx val="675314304"/>
        <c:crosses val="autoZero"/>
        <c:crossBetween val="between"/>
      </c:valAx>
      <c:spPr>
        <a:noFill/>
        <a:ln w="25400">
          <a:noFill/>
        </a:ln>
      </c:spPr>
    </c:plotArea>
    <c:plotVisOnly val="1"/>
    <c:dispBlanksAs val="gap"/>
    <c:showDLblsOverMax val="0"/>
  </c:chart>
  <c:spPr>
    <a:noFill/>
    <a:ln w="9525">
      <a:noFill/>
    </a:ln>
  </c:spPr>
  <c:txPr>
    <a:bodyPr/>
    <a:lstStyle/>
    <a:p>
      <a:pPr>
        <a:defRPr sz="500" b="0" i="0" u="none" strike="noStrike" baseline="0">
          <a:solidFill>
            <a:srgbClr val="000000"/>
          </a:solidFill>
          <a:latin typeface="Arial"/>
          <a:ea typeface="Arial"/>
          <a:cs typeface="Arial"/>
        </a:defRPr>
      </a:pPr>
      <a:endParaRPr lang="en-US"/>
    </a:p>
  </c:txPr>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00" b="0" i="0" u="none" strike="noStrike" baseline="0">
                <a:solidFill>
                  <a:srgbClr val="000000"/>
                </a:solidFill>
                <a:latin typeface="Arial"/>
                <a:ea typeface="Arial"/>
                <a:cs typeface="Arial"/>
              </a:defRPr>
            </a:pPr>
            <a:r>
              <a:rPr lang="en-US" sz="800" b="1" i="0" u="none" strike="noStrike" baseline="0">
                <a:solidFill>
                  <a:srgbClr val="000000"/>
                </a:solidFill>
                <a:latin typeface="Arial"/>
                <a:cs typeface="Arial"/>
              </a:rPr>
              <a:t>Live Chart Preview </a:t>
            </a:r>
            <a:r>
              <a:rPr lang="en-US" sz="800" b="1" i="0" u="none" strike="noStrike" baseline="0">
                <a:solidFill>
                  <a:srgbClr val="FF0000"/>
                </a:solidFill>
                <a:latin typeface="Arial"/>
                <a:cs typeface="Arial"/>
              </a:rPr>
              <a:t>(do not copy &amp; paste)</a:t>
            </a:r>
          </a:p>
        </c:rich>
      </c:tx>
      <c:layout>
        <c:manualLayout>
          <c:xMode val="edge"/>
          <c:yMode val="edge"/>
          <c:x val="0.11224525505740354"/>
          <c:y val="4.2452830188679243E-2"/>
        </c:manualLayout>
      </c:layout>
      <c:overlay val="0"/>
      <c:spPr>
        <a:noFill/>
        <a:ln w="25400">
          <a:noFill/>
        </a:ln>
      </c:spPr>
    </c:title>
    <c:autoTitleDeleted val="0"/>
    <c:plotArea>
      <c:layout>
        <c:manualLayout>
          <c:layoutTarget val="inner"/>
          <c:xMode val="edge"/>
          <c:yMode val="edge"/>
          <c:x val="6.8027436847087744E-2"/>
          <c:y val="0.12735849056603774"/>
          <c:w val="0.91837039743568449"/>
          <c:h val="0.73113207547169812"/>
        </c:manualLayout>
      </c:layout>
      <c:barChart>
        <c:barDir val="col"/>
        <c:grouping val="stacked"/>
        <c:varyColors val="0"/>
        <c:ser>
          <c:idx val="0"/>
          <c:order val="0"/>
          <c:tx>
            <c:strRef>
              <c:f>Bear_to_Bull_Data!$E$5</c:f>
              <c:strCache>
                <c:ptCount val="1"/>
                <c:pt idx="0">
                  <c:v>Invisible</c:v>
                </c:pt>
              </c:strCache>
            </c:strRef>
          </c:tx>
          <c:spPr>
            <a:noFill/>
            <a:ln w="25400">
              <a:noFill/>
            </a:ln>
          </c:spPr>
          <c:invertIfNegative val="0"/>
          <c:cat>
            <c:strRef>
              <c:f>Bear_to_Bull_Data!$A$6:$A$14</c:f>
              <c:strCache>
                <c:ptCount val="9"/>
                <c:pt idx="0">
                  <c:v>Bear
Case</c:v>
                </c:pt>
                <c:pt idx="1">
                  <c:v>RevPAR Down 6%</c:v>
                </c:pt>
                <c:pt idx="2">
                  <c:v>Timeshare Downside</c:v>
                </c:pt>
                <c:pt idx="3">
                  <c:v>Multiple Compression</c:v>
                </c:pt>
                <c:pt idx="4">
                  <c:v>Base
Case</c:v>
                </c:pt>
                <c:pt idx="5">
                  <c:v>4.8% Annual RevPAR</c:v>
                </c:pt>
                <c:pt idx="6">
                  <c:v>Timeshare Upside</c:v>
                </c:pt>
                <c:pt idx="7">
                  <c:v>Multiple Expansion</c:v>
                </c:pt>
                <c:pt idx="8">
                  <c:v>Bull
Case</c:v>
                </c:pt>
              </c:strCache>
            </c:strRef>
          </c:cat>
          <c:val>
            <c:numRef>
              <c:f>Bear_to_Bull_Data!$E$6:$E$14</c:f>
              <c:numCache>
                <c:formatCode>0.00</c:formatCode>
                <c:ptCount val="9"/>
                <c:pt idx="1">
                  <c:v>48.79752943755463</c:v>
                </c:pt>
                <c:pt idx="2">
                  <c:v>54.462749382965427</c:v>
                </c:pt>
                <c:pt idx="3">
                  <c:v>54.170407956878471</c:v>
                </c:pt>
                <c:pt idx="5">
                  <c:v>83.521735746698837</c:v>
                </c:pt>
                <c:pt idx="6">
                  <c:v>88.764689538144225</c:v>
                </c:pt>
                <c:pt idx="7">
                  <c:v>88.472348112057261</c:v>
                </c:pt>
              </c:numCache>
            </c:numRef>
          </c:val>
        </c:ser>
        <c:ser>
          <c:idx val="1"/>
          <c:order val="1"/>
          <c:tx>
            <c:strRef>
              <c:f>Bear_to_Bull_Data!$B$5</c:f>
              <c:strCache>
                <c:ptCount val="1"/>
                <c:pt idx="0">
                  <c:v>Cases</c:v>
                </c:pt>
              </c:strCache>
            </c:strRef>
          </c:tx>
          <c:spPr>
            <a:solidFill>
              <a:srgbClr val="808080"/>
            </a:solidFill>
            <a:ln w="25400">
              <a:noFill/>
            </a:ln>
          </c:spPr>
          <c:invertIfNegative val="0"/>
          <c:dLbls>
            <c:numFmt formatCode="\$#,##0;\(\$#,##0\)" sourceLinked="0"/>
            <c:spPr>
              <a:noFill/>
              <a:ln w="25400">
                <a:noFill/>
              </a:ln>
            </c:spPr>
            <c:txPr>
              <a:bodyPr/>
              <a:lstStyle/>
              <a:p>
                <a:pPr>
                  <a:defRPr sz="350" b="1" i="0" u="none" strike="noStrike" baseline="0">
                    <a:solidFill>
                      <a:srgbClr val="FFFFFF"/>
                    </a:solidFill>
                    <a:latin typeface="Arial"/>
                    <a:ea typeface="Arial"/>
                    <a:cs typeface="Arial"/>
                  </a:defRPr>
                </a:pPr>
                <a:endParaRPr lang="en-US"/>
              </a:p>
            </c:txPr>
            <c:dLblPos val="inEnd"/>
            <c:showLegendKey val="0"/>
            <c:showVal val="1"/>
            <c:showCatName val="0"/>
            <c:showSerName val="0"/>
            <c:showPercent val="0"/>
            <c:showBubbleSize val="0"/>
            <c:showLeaderLines val="0"/>
          </c:dLbls>
          <c:cat>
            <c:strRef>
              <c:f>Bear_to_Bull_Data!$A$6:$A$14</c:f>
              <c:strCache>
                <c:ptCount val="9"/>
                <c:pt idx="0">
                  <c:v>Bear
Case</c:v>
                </c:pt>
                <c:pt idx="1">
                  <c:v>RevPAR Down 6%</c:v>
                </c:pt>
                <c:pt idx="2">
                  <c:v>Timeshare Downside</c:v>
                </c:pt>
                <c:pt idx="3">
                  <c:v>Multiple Compression</c:v>
                </c:pt>
                <c:pt idx="4">
                  <c:v>Base
Case</c:v>
                </c:pt>
                <c:pt idx="5">
                  <c:v>4.8% Annual RevPAR</c:v>
                </c:pt>
                <c:pt idx="6">
                  <c:v>Timeshare Upside</c:v>
                </c:pt>
                <c:pt idx="7">
                  <c:v>Multiple Expansion</c:v>
                </c:pt>
                <c:pt idx="8">
                  <c:v>Bull
Case</c:v>
                </c:pt>
              </c:strCache>
            </c:strRef>
          </c:cat>
          <c:val>
            <c:numRef>
              <c:f>Bear_to_Bull_Data!$B$6:$B$14</c:f>
              <c:numCache>
                <c:formatCode>0.00</c:formatCode>
                <c:ptCount val="9"/>
                <c:pt idx="0">
                  <c:v>48.79752943755463</c:v>
                </c:pt>
                <c:pt idx="4">
                  <c:v>83.521735746698837</c:v>
                </c:pt>
                <c:pt idx="8">
                  <c:v>108.08471027810533</c:v>
                </c:pt>
              </c:numCache>
            </c:numRef>
          </c:val>
        </c:ser>
        <c:ser>
          <c:idx val="2"/>
          <c:order val="3"/>
          <c:tx>
            <c:strRef>
              <c:f>Bear_to_Bull_Data!$F$5</c:f>
              <c:strCache>
                <c:ptCount val="1"/>
                <c:pt idx="0">
                  <c:v>Labels</c:v>
                </c:pt>
              </c:strCache>
            </c:strRef>
          </c:tx>
          <c:spPr>
            <a:solidFill>
              <a:srgbClr val="C0C0C0"/>
            </a:solidFill>
            <a:ln w="25400">
              <a:noFill/>
            </a:ln>
          </c:spPr>
          <c:invertIfNegative val="0"/>
          <c:val>
            <c:numRef>
              <c:f>Bear_to_Bull_Data!$F$6:$F$14</c:f>
              <c:numCache>
                <c:formatCode>0.00</c:formatCode>
                <c:ptCount val="9"/>
                <c:pt idx="1">
                  <c:v>5.6652199454107937</c:v>
                </c:pt>
                <c:pt idx="2">
                  <c:v>-0.29234142608695651</c:v>
                </c:pt>
                <c:pt idx="3">
                  <c:v>29.351327789820367</c:v>
                </c:pt>
                <c:pt idx="5">
                  <c:v>5.2429537914453936</c:v>
                </c:pt>
                <c:pt idx="6">
                  <c:v>-0.29234142608695651</c:v>
                </c:pt>
                <c:pt idx="7">
                  <c:v>19.612362166048054</c:v>
                </c:pt>
              </c:numCache>
            </c:numRef>
          </c:val>
        </c:ser>
        <c:ser>
          <c:idx val="3"/>
          <c:order val="4"/>
          <c:tx>
            <c:v>Inc Labels</c:v>
          </c:tx>
          <c:spPr>
            <a:noFill/>
            <a:ln w="25400">
              <a:noFill/>
            </a:ln>
          </c:spPr>
          <c:invertIfNegative val="0"/>
          <c:dLbls>
            <c:numFmt formatCode="\$#,##0;\(\$#,##0\)" sourceLinked="0"/>
            <c:spPr>
              <a:noFill/>
              <a:ln w="25400">
                <a:noFill/>
              </a:ln>
            </c:spPr>
            <c:txPr>
              <a:bodyPr/>
              <a:lstStyle/>
              <a:p>
                <a:pPr>
                  <a:defRPr sz="35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val>
            <c:numRef>
              <c:f>Bear_to_Bull_Data!$F$6:$F$14</c:f>
              <c:numCache>
                <c:formatCode>0.00</c:formatCode>
                <c:ptCount val="9"/>
                <c:pt idx="1">
                  <c:v>5.6652199454107937</c:v>
                </c:pt>
                <c:pt idx="2">
                  <c:v>-0.29234142608695651</c:v>
                </c:pt>
                <c:pt idx="3">
                  <c:v>29.351327789820367</c:v>
                </c:pt>
                <c:pt idx="5">
                  <c:v>5.2429537914453936</c:v>
                </c:pt>
                <c:pt idx="6">
                  <c:v>-0.29234142608695651</c:v>
                </c:pt>
                <c:pt idx="7">
                  <c:v>19.612362166048054</c:v>
                </c:pt>
              </c:numCache>
            </c:numRef>
          </c:val>
        </c:ser>
        <c:dLbls>
          <c:showLegendKey val="0"/>
          <c:showVal val="0"/>
          <c:showCatName val="0"/>
          <c:showSerName val="0"/>
          <c:showPercent val="0"/>
          <c:showBubbleSize val="0"/>
        </c:dLbls>
        <c:gapWidth val="50"/>
        <c:overlap val="100"/>
        <c:axId val="675386496"/>
        <c:axId val="675388032"/>
      </c:barChart>
      <c:lineChart>
        <c:grouping val="standard"/>
        <c:varyColors val="0"/>
        <c:ser>
          <c:idx val="6"/>
          <c:order val="2"/>
          <c:tx>
            <c:v>Price Target: </c:v>
          </c:tx>
          <c:spPr>
            <a:ln w="12700">
              <a:solidFill>
                <a:srgbClr val="969696"/>
              </a:solidFill>
              <a:prstDash val="sysDash"/>
            </a:ln>
          </c:spPr>
          <c:marker>
            <c:symbol val="none"/>
          </c:marker>
          <c:dLbls>
            <c:dLbl>
              <c:idx val="0"/>
              <c:layout>
                <c:manualLayout>
                  <c:x val="-2.1542257576897209E-2"/>
                  <c:y val="-4.1461892735106226E-2"/>
                </c:manualLayout>
              </c:layout>
              <c:dLblPos val="r"/>
              <c:showLegendKey val="0"/>
              <c:showVal val="1"/>
              <c:showCatName val="0"/>
              <c:showSerName val="1"/>
              <c:showPercent val="0"/>
              <c:showBubbleSize val="0"/>
              <c:separator> </c:separator>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dLbl>
              <c:idx val="10"/>
              <c:delete val="1"/>
            </c:dLbl>
            <c:dLbl>
              <c:idx val="11"/>
              <c:delete val="1"/>
            </c:dLbl>
            <c:dLbl>
              <c:idx val="12"/>
              <c:delete val="1"/>
            </c:dLbl>
            <c:dLbl>
              <c:idx val="13"/>
              <c:delete val="1"/>
            </c:dLbl>
            <c:dLbl>
              <c:idx val="14"/>
              <c:delete val="1"/>
            </c:dLbl>
            <c:numFmt formatCode="\$#,##0;\(\$#,##0\)" sourceLinked="0"/>
            <c:spPr>
              <a:noFill/>
              <a:ln w="25400">
                <a:noFill/>
              </a:ln>
            </c:spPr>
            <c:txPr>
              <a:bodyPr/>
              <a:lstStyle/>
              <a:p>
                <a:pPr>
                  <a:defRPr sz="37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eparator> </c:separator>
            <c:showLeaderLines val="0"/>
          </c:dLbls>
          <c:val>
            <c:numRef>
              <c:f>Bear_to_Bull_Data!$D$6:$D$14</c:f>
              <c:numCache>
                <c:formatCode>0.00</c:formatCode>
                <c:ptCount val="9"/>
                <c:pt idx="0">
                  <c:v>83.521735746698837</c:v>
                </c:pt>
                <c:pt idx="1">
                  <c:v>83.521735746698837</c:v>
                </c:pt>
                <c:pt idx="2">
                  <c:v>83.521735746698837</c:v>
                </c:pt>
                <c:pt idx="3">
                  <c:v>83.521735746698837</c:v>
                </c:pt>
                <c:pt idx="4">
                  <c:v>83.521735746698837</c:v>
                </c:pt>
                <c:pt idx="5">
                  <c:v>83.521735746698837</c:v>
                </c:pt>
                <c:pt idx="6">
                  <c:v>83.521735746698837</c:v>
                </c:pt>
                <c:pt idx="7">
                  <c:v>83.521735746698837</c:v>
                </c:pt>
                <c:pt idx="8">
                  <c:v>83.521735746698837</c:v>
                </c:pt>
              </c:numCache>
            </c:numRef>
          </c:val>
          <c:smooth val="0"/>
        </c:ser>
        <c:dLbls>
          <c:showLegendKey val="0"/>
          <c:showVal val="0"/>
          <c:showCatName val="0"/>
          <c:showSerName val="0"/>
          <c:showPercent val="0"/>
          <c:showBubbleSize val="0"/>
        </c:dLbls>
        <c:marker val="1"/>
        <c:smooth val="0"/>
        <c:axId val="675386496"/>
        <c:axId val="675388032"/>
      </c:lineChart>
      <c:catAx>
        <c:axId val="675386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425" b="0" i="0" u="none" strike="noStrike" baseline="0">
                <a:solidFill>
                  <a:srgbClr val="000000"/>
                </a:solidFill>
                <a:latin typeface="Arial"/>
                <a:ea typeface="Arial"/>
                <a:cs typeface="Arial"/>
              </a:defRPr>
            </a:pPr>
            <a:endParaRPr lang="en-US"/>
          </a:p>
        </c:txPr>
        <c:crossAx val="675388032"/>
        <c:crosses val="autoZero"/>
        <c:auto val="1"/>
        <c:lblAlgn val="ctr"/>
        <c:lblOffset val="100"/>
        <c:tickLblSkip val="1"/>
        <c:tickMarkSkip val="1"/>
        <c:noMultiLvlLbl val="0"/>
      </c:catAx>
      <c:valAx>
        <c:axId val="675388032"/>
        <c:scaling>
          <c:orientation val="minMax"/>
        </c:scaling>
        <c:delete val="0"/>
        <c:axPos val="l"/>
        <c:numFmt formatCode="#,##0" sourceLinked="0"/>
        <c:majorTickMark val="none"/>
        <c:minorTickMark val="none"/>
        <c:tickLblPos val="nextTo"/>
        <c:spPr>
          <a:ln w="3175">
            <a:solidFill>
              <a:srgbClr val="000000"/>
            </a:solidFill>
            <a:prstDash val="solid"/>
          </a:ln>
        </c:spPr>
        <c:txPr>
          <a:bodyPr rot="0" vert="horz"/>
          <a:lstStyle/>
          <a:p>
            <a:pPr>
              <a:defRPr sz="425" b="0" i="0" u="none" strike="noStrike" baseline="0">
                <a:solidFill>
                  <a:srgbClr val="000000"/>
                </a:solidFill>
                <a:latin typeface="Arial"/>
                <a:ea typeface="Arial"/>
                <a:cs typeface="Arial"/>
              </a:defRPr>
            </a:pPr>
            <a:endParaRPr lang="en-US"/>
          </a:p>
        </c:txPr>
        <c:crossAx val="67538649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Arial"/>
          <a:ea typeface="Arial"/>
          <a:cs typeface="Arial"/>
        </a:defRPr>
      </a:pPr>
      <a:endParaRPr lang="en-US"/>
    </a:p>
  </c:txPr>
  <c:printSettings>
    <c:headerFooter alignWithMargins="0"/>
    <c:pageMargins b="3.21423604753282" l="3.03229162428114" r="3.03229162428114" t="3.21423604753282" header="0.5" footer="0.5"/>
    <c:pageSetup orientation="landscape" horizontalDpi="1200" verticalDpi="1200"/>
  </c:printSettings>
</c:chartSpace>
</file>

<file path=xl/chartsheets/_rels/sheet1.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drawing27.xml" Type="http://schemas.openxmlformats.org/officeDocument/2006/relationships/drawing"/>
</Relationships>

</file>

<file path=xl/chartsheets/sheet1.xml><?xml version="1.0" encoding="utf-8"?>
<chartsheet xmlns="http://schemas.openxmlformats.org/spreadsheetml/2006/main" xmlns:r="http://schemas.openxmlformats.org/officeDocument/2006/relationships">
  <sheetPr codeName="Chart23">
    <tabColor indexed="24"/>
  </sheetPr>
  <sheetViews>
    <sheetView zoomScale="150" workbookViewId="0"/>
  </sheetViews>
  <pageMargins left="3.03229162428114" right="3.03229162428114" top="3.21423604753282" bottom="3.21423604753282"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11" Target="../charts/chart11.xml" Type="http://schemas.openxmlformats.org/officeDocument/2006/relationships/chart"/>
<Relationship Id="rId12" Target="../charts/chart12.xml" Type="http://schemas.openxmlformats.org/officeDocument/2006/relationships/chart"/>
<Relationship Id="rId13" Target="../charts/chart13.xml" Type="http://schemas.openxmlformats.org/officeDocument/2006/relationships/chart"/>
<Relationship Id="rId14" Target="../charts/chart14.xml" Type="http://schemas.openxmlformats.org/officeDocument/2006/relationships/chart"/>
<Relationship Id="rId15" Target="../charts/chart15.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_rels/drawing11.xml.rels><?xml version="1.0" encoding="UTF-8" standalone="yes"?>
<Relationships xmlns="http://schemas.openxmlformats.org/package/2006/relationships">
<Relationship Id="rId1" Target="../charts/chart16.xml" Type="http://schemas.openxmlformats.org/officeDocument/2006/relationships/chart"/>
<Relationship Id="rId2" Target="../charts/chart17.xml" Type="http://schemas.openxmlformats.org/officeDocument/2006/relationships/chart"/>
<Relationship Id="rId3" Target="../charts/chart18.xml" Type="http://schemas.openxmlformats.org/officeDocument/2006/relationships/chart"/>
<Relationship Id="rId4" Target="../charts/chart19.xml" Type="http://schemas.openxmlformats.org/officeDocument/2006/relationships/chart"/>
<Relationship Id="rId5" Target="../charts/chart20.xml" Type="http://schemas.openxmlformats.org/officeDocument/2006/relationships/chart"/>
</Relationships>

</file>

<file path=xl/drawings/_rels/drawing14.xml.rels><?xml version="1.0" encoding="UTF-8" standalone="yes"?>
<Relationships xmlns="http://schemas.openxmlformats.org/package/2006/relationships">
<Relationship Id="rId1" Target="../charts/chart21.xml" Type="http://schemas.openxmlformats.org/officeDocument/2006/relationships/chart"/>
<Relationship Id="rId2" Target="../charts/chart22.xml" Type="http://schemas.openxmlformats.org/officeDocument/2006/relationships/chart"/>
<Relationship Id="rId3" Target="../media/image4.png" Type="http://schemas.openxmlformats.org/officeDocument/2006/relationships/image"/>
<Relationship Id="rId4" Target="../media/image5.png" Type="http://schemas.openxmlformats.org/officeDocument/2006/relationships/image"/>
</Relationships>

</file>

<file path=xl/drawings/_rels/drawing16.xml.rels><?xml version="1.0" encoding="UTF-8" standalone="yes"?>
<Relationships xmlns="http://schemas.openxmlformats.org/package/2006/relationships">
<Relationship Id="rId1" Target="../media/image6.png" Type="http://schemas.openxmlformats.org/officeDocument/2006/relationships/image"/>
<Relationship Id="rId2" Target="../media/image7.png" Type="http://schemas.openxmlformats.org/officeDocument/2006/relationships/image"/>
<Relationship Id="rId3" Target="../media/image8.png" Type="http://schemas.openxmlformats.org/officeDocument/2006/relationships/image"/>
</Relationships>

</file>

<file path=xl/drawings/_rels/drawing17.xml.rels><?xml version="1.0" encoding="UTF-8" standalone="yes"?>
<Relationships xmlns="http://schemas.openxmlformats.org/package/2006/relationships">
<Relationship Id="rId1" Target="../charts/chart23.xml" Type="http://schemas.openxmlformats.org/officeDocument/2006/relationships/chart"/>
<Relationship Id="rId2" Target="../charts/chart24.xml" Type="http://schemas.openxmlformats.org/officeDocument/2006/relationships/chart"/>
<Relationship Id="rId3" Target="../charts/chart25.xml" Type="http://schemas.openxmlformats.org/officeDocument/2006/relationships/chart"/>
<Relationship Id="rId4" Target="../charts/chart26.xml" Type="http://schemas.openxmlformats.org/officeDocument/2006/relationships/chart"/>
<Relationship Id="rId5" Target="../charts/chart27.xml" Type="http://schemas.openxmlformats.org/officeDocument/2006/relationships/chart"/>
</Relationships>

</file>

<file path=xl/drawings/_rels/drawing20.xml.rels><?xml version="1.0" encoding="UTF-8" standalone="yes"?>
<Relationships xmlns="http://schemas.openxmlformats.org/package/2006/relationships">
<Relationship Id="rId1" Target="../charts/chart28.xml" Type="http://schemas.openxmlformats.org/officeDocument/2006/relationships/chart"/>
<Relationship Id="rId2" Target="../charts/chart29.xml" Type="http://schemas.openxmlformats.org/officeDocument/2006/relationships/chart"/>
<Relationship Id="rId3" Target="../charts/chart30.xml" Type="http://schemas.openxmlformats.org/officeDocument/2006/relationships/chart"/>
<Relationship Id="rId4" Target="../charts/chart31.xml" Type="http://schemas.openxmlformats.org/officeDocument/2006/relationships/chart"/>
<Relationship Id="rId5" Target="../charts/chart32.xml" Type="http://schemas.openxmlformats.org/officeDocument/2006/relationships/chart"/>
</Relationships>

</file>

<file path=xl/drawings/_rels/drawing23.xml.rels><?xml version="1.0" encoding="UTF-8" standalone="yes"?>
<Relationships xmlns="http://schemas.openxmlformats.org/package/2006/relationships">
<Relationship Id="rId1" Target="../charts/chart33.xml" Type="http://schemas.openxmlformats.org/officeDocument/2006/relationships/chart"/>
<Relationship Id="rId10" Target="../charts/chart42.xml" Type="http://schemas.openxmlformats.org/officeDocument/2006/relationships/chart"/>
<Relationship Id="rId11" Target="../charts/chart43.xml" Type="http://schemas.openxmlformats.org/officeDocument/2006/relationships/chart"/>
<Relationship Id="rId12" Target="../charts/chart44.xml" Type="http://schemas.openxmlformats.org/officeDocument/2006/relationships/chart"/>
<Relationship Id="rId13" Target="../charts/chart45.xml" Type="http://schemas.openxmlformats.org/officeDocument/2006/relationships/chart"/>
<Relationship Id="rId2" Target="../charts/chart34.xml" Type="http://schemas.openxmlformats.org/officeDocument/2006/relationships/chart"/>
<Relationship Id="rId3" Target="../charts/chart35.xml" Type="http://schemas.openxmlformats.org/officeDocument/2006/relationships/chart"/>
<Relationship Id="rId4" Target="../charts/chart36.xml" Type="http://schemas.openxmlformats.org/officeDocument/2006/relationships/chart"/>
<Relationship Id="rId5" Target="../charts/chart37.xml" Type="http://schemas.openxmlformats.org/officeDocument/2006/relationships/chart"/>
<Relationship Id="rId6" Target="../charts/chart38.xml" Type="http://schemas.openxmlformats.org/officeDocument/2006/relationships/chart"/>
<Relationship Id="rId7" Target="../charts/chart39.xml" Type="http://schemas.openxmlformats.org/officeDocument/2006/relationships/chart"/>
<Relationship Id="rId8" Target="../charts/chart40.xml" Type="http://schemas.openxmlformats.org/officeDocument/2006/relationships/chart"/>
<Relationship Id="rId9" Target="../charts/chart41.xml" Type="http://schemas.openxmlformats.org/officeDocument/2006/relationships/chart"/>
</Relationships>

</file>

<file path=xl/drawings/_rels/drawing27.xml.rels><?xml version="1.0" encoding="UTF-8" standalone="yes"?>
<Relationships xmlns="http://schemas.openxmlformats.org/package/2006/relationships">
<Relationship Id="rId1" Target="../charts/chart46.xml" Type="http://schemas.openxmlformats.org/officeDocument/2006/relationships/chart"/>
</Relationships>

</file>

<file path=xl/drawings/_rels/drawing28.xml.rels><?xml version="1.0" encoding="UTF-8" standalone="yes"?>
<Relationships xmlns="http://schemas.openxmlformats.org/package/2006/relationships">
<Relationship Id="rId1" Target="../charts/chart47.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181</xdr:row>
      <xdr:rowOff>0</xdr:rowOff>
    </xdr:from>
    <xdr:to>
      <xdr:col>6</xdr:col>
      <xdr:colOff>285750</xdr:colOff>
      <xdr:row>200</xdr:row>
      <xdr:rowOff>28575</xdr:rowOff>
    </xdr:to>
    <xdr:pic>
      <xdr:nvPicPr>
        <xdr:cNvPr id="60086273" name="Picture 1" descr="C:\Users\savinmar\AppData\Local\Temp\MercuryPriceRatingHistoryChart\HLT.N_2018_02_13_18_40_4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94417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60087297" name="Button 1" hidden="1">
              <a:extLst>
                <a:ext uri="{63B3BB69-23CF-44E3-9099-C40C66FF867C}">
                  <a14:compatExt spid="_x0000_s60087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Times New Roman"/>
                  <a:cs typeface="Times New Roman"/>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60087298" name="Button 2" hidden="1">
              <a:extLst>
                <a:ext uri="{63B3BB69-23CF-44E3-9099-C40C66FF867C}">
                  <a14:compatExt spid="_x0000_s60087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Times New Roman"/>
                  <a:cs typeface="Times New Roman"/>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44</xdr:col>
      <xdr:colOff>361950</xdr:colOff>
      <xdr:row>164</xdr:row>
      <xdr:rowOff>247650</xdr:rowOff>
    </xdr:from>
    <xdr:to>
      <xdr:col>52</xdr:col>
      <xdr:colOff>390525</xdr:colOff>
      <xdr:row>182</xdr:row>
      <xdr:rowOff>9525</xdr:rowOff>
    </xdr:to>
    <xdr:graphicFrame macro="">
      <xdr:nvGraphicFramePr>
        <xdr:cNvPr id="672853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55</xdr:col>
      <xdr:colOff>371475</xdr:colOff>
      <xdr:row>184</xdr:row>
      <xdr:rowOff>95250</xdr:rowOff>
    </xdr:from>
    <xdr:to>
      <xdr:col>65</xdr:col>
      <xdr:colOff>438150</xdr:colOff>
      <xdr:row>198</xdr:row>
      <xdr:rowOff>9525</xdr:rowOff>
    </xdr:to>
    <xdr:graphicFrame macro="">
      <xdr:nvGraphicFramePr>
        <xdr:cNvPr id="672853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96</xdr:col>
      <xdr:colOff>485775</xdr:colOff>
      <xdr:row>317</xdr:row>
      <xdr:rowOff>19050</xdr:rowOff>
    </xdr:from>
    <xdr:to>
      <xdr:col>103</xdr:col>
      <xdr:colOff>295275</xdr:colOff>
      <xdr:row>333</xdr:row>
      <xdr:rowOff>142875</xdr:rowOff>
    </xdr:to>
    <xdr:graphicFrame macro="">
      <xdr:nvGraphicFramePr>
        <xdr:cNvPr id="672853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98</xdr:col>
      <xdr:colOff>628650</xdr:colOff>
      <xdr:row>318</xdr:row>
      <xdr:rowOff>0</xdr:rowOff>
    </xdr:from>
    <xdr:to>
      <xdr:col>98</xdr:col>
      <xdr:colOff>638175</xdr:colOff>
      <xdr:row>330</xdr:row>
      <xdr:rowOff>152400</xdr:rowOff>
    </xdr:to>
    <xdr:cxnSp macro="">
      <xdr:nvCxnSpPr>
        <xdr:cNvPr id="6728534" name="Straight Connector 3"/>
        <xdr:cNvCxnSpPr>
          <a:cxnSpLocks noChangeShapeType="1"/>
        </xdr:cNvCxnSpPr>
      </xdr:nvCxnSpPr>
      <xdr:spPr bwMode="auto">
        <a:xfrm>
          <a:off x="76190475" y="51749325"/>
          <a:ext cx="9525" cy="2095500"/>
        </a:xfrm>
        <a:prstGeom prst="line">
          <a:avLst/>
        </a:prstGeom>
        <a:noFill/>
        <a:ln w="15875" algn="ctr">
          <a:solidFill>
            <a:srgbClr val="0070C0"/>
          </a:solidFill>
          <a:prstDash val="sys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101</xdr:col>
      <xdr:colOff>57150</xdr:colOff>
      <xdr:row>318</xdr:row>
      <xdr:rowOff>0</xdr:rowOff>
    </xdr:from>
    <xdr:to>
      <xdr:col>101</xdr:col>
      <xdr:colOff>66675</xdr:colOff>
      <xdr:row>330</xdr:row>
      <xdr:rowOff>152400</xdr:rowOff>
    </xdr:to>
    <xdr:cxnSp macro="">
      <xdr:nvCxnSpPr>
        <xdr:cNvPr id="6728535" name="Straight Connector 6"/>
        <xdr:cNvCxnSpPr>
          <a:cxnSpLocks noChangeShapeType="1"/>
        </xdr:cNvCxnSpPr>
      </xdr:nvCxnSpPr>
      <xdr:spPr bwMode="auto">
        <a:xfrm>
          <a:off x="77676375" y="51749325"/>
          <a:ext cx="9525" cy="2095500"/>
        </a:xfrm>
        <a:prstGeom prst="line">
          <a:avLst/>
        </a:prstGeom>
        <a:noFill/>
        <a:ln w="15875" algn="ctr">
          <a:solidFill>
            <a:srgbClr val="0070C0"/>
          </a:solidFill>
          <a:prstDash val="sys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103</xdr:col>
      <xdr:colOff>638175</xdr:colOff>
      <xdr:row>317</xdr:row>
      <xdr:rowOff>95250</xdr:rowOff>
    </xdr:from>
    <xdr:to>
      <xdr:col>110</xdr:col>
      <xdr:colOff>447675</xdr:colOff>
      <xdr:row>334</xdr:row>
      <xdr:rowOff>66675</xdr:rowOff>
    </xdr:to>
    <xdr:graphicFrame macro="">
      <xdr:nvGraphicFramePr>
        <xdr:cNvPr id="6728536"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97</xdr:col>
      <xdr:colOff>0</xdr:colOff>
      <xdr:row>339</xdr:row>
      <xdr:rowOff>0</xdr:rowOff>
    </xdr:from>
    <xdr:to>
      <xdr:col>103</xdr:col>
      <xdr:colOff>485775</xdr:colOff>
      <xdr:row>355</xdr:row>
      <xdr:rowOff>123825</xdr:rowOff>
    </xdr:to>
    <xdr:graphicFrame macro="">
      <xdr:nvGraphicFramePr>
        <xdr:cNvPr id="6728537"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104</xdr:col>
      <xdr:colOff>352425</xdr:colOff>
      <xdr:row>338</xdr:row>
      <xdr:rowOff>57150</xdr:rowOff>
    </xdr:from>
    <xdr:to>
      <xdr:col>111</xdr:col>
      <xdr:colOff>161925</xdr:colOff>
      <xdr:row>355</xdr:row>
      <xdr:rowOff>28575</xdr:rowOff>
    </xdr:to>
    <xdr:graphicFrame macro="">
      <xdr:nvGraphicFramePr>
        <xdr:cNvPr id="6728538"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106</xdr:col>
      <xdr:colOff>476250</xdr:colOff>
      <xdr:row>339</xdr:row>
      <xdr:rowOff>28575</xdr:rowOff>
    </xdr:from>
    <xdr:to>
      <xdr:col>106</xdr:col>
      <xdr:colOff>485775</xdr:colOff>
      <xdr:row>350</xdr:row>
      <xdr:rowOff>95250</xdr:rowOff>
    </xdr:to>
    <xdr:cxnSp macro="">
      <xdr:nvCxnSpPr>
        <xdr:cNvPr id="6728539" name="Straight Connector 10"/>
        <xdr:cNvCxnSpPr>
          <a:cxnSpLocks noChangeShapeType="1"/>
        </xdr:cNvCxnSpPr>
      </xdr:nvCxnSpPr>
      <xdr:spPr bwMode="auto">
        <a:xfrm>
          <a:off x="81524475" y="55178325"/>
          <a:ext cx="9525" cy="1847850"/>
        </a:xfrm>
        <a:prstGeom prst="line">
          <a:avLst/>
        </a:prstGeom>
        <a:noFill/>
        <a:ln w="15875" algn="ctr">
          <a:solidFill>
            <a:srgbClr val="0070C0"/>
          </a:solidFill>
          <a:prstDash val="sys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108</xdr:col>
      <xdr:colOff>590550</xdr:colOff>
      <xdr:row>339</xdr:row>
      <xdr:rowOff>0</xdr:rowOff>
    </xdr:from>
    <xdr:to>
      <xdr:col>108</xdr:col>
      <xdr:colOff>600075</xdr:colOff>
      <xdr:row>350</xdr:row>
      <xdr:rowOff>66675</xdr:rowOff>
    </xdr:to>
    <xdr:cxnSp macro="">
      <xdr:nvCxnSpPr>
        <xdr:cNvPr id="6728540" name="Straight Connector 10"/>
        <xdr:cNvCxnSpPr>
          <a:cxnSpLocks noChangeShapeType="1"/>
        </xdr:cNvCxnSpPr>
      </xdr:nvCxnSpPr>
      <xdr:spPr bwMode="auto">
        <a:xfrm>
          <a:off x="83010375" y="55149750"/>
          <a:ext cx="9525" cy="1847850"/>
        </a:xfrm>
        <a:prstGeom prst="line">
          <a:avLst/>
        </a:prstGeom>
        <a:noFill/>
        <a:ln w="15875" algn="ctr">
          <a:solidFill>
            <a:srgbClr val="0070C0"/>
          </a:solidFill>
          <a:prstDash val="sys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124</xdr:col>
      <xdr:colOff>552450</xdr:colOff>
      <xdr:row>423</xdr:row>
      <xdr:rowOff>114300</xdr:rowOff>
    </xdr:from>
    <xdr:to>
      <xdr:col>131</xdr:col>
      <xdr:colOff>447675</xdr:colOff>
      <xdr:row>440</xdr:row>
      <xdr:rowOff>104775</xdr:rowOff>
    </xdr:to>
    <xdr:graphicFrame macro="">
      <xdr:nvGraphicFramePr>
        <xdr:cNvPr id="672854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132</xdr:col>
      <xdr:colOff>914400</xdr:colOff>
      <xdr:row>447</xdr:row>
      <xdr:rowOff>66675</xdr:rowOff>
    </xdr:from>
    <xdr:to>
      <xdr:col>140</xdr:col>
      <xdr:colOff>190500</xdr:colOff>
      <xdr:row>464</xdr:row>
      <xdr:rowOff>57150</xdr:rowOff>
    </xdr:to>
    <xdr:graphicFrame macro="">
      <xdr:nvGraphicFramePr>
        <xdr:cNvPr id="6728542"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141</xdr:col>
      <xdr:colOff>0</xdr:colOff>
      <xdr:row>476</xdr:row>
      <xdr:rowOff>0</xdr:rowOff>
    </xdr:from>
    <xdr:to>
      <xdr:col>148</xdr:col>
      <xdr:colOff>247650</xdr:colOff>
      <xdr:row>492</xdr:row>
      <xdr:rowOff>152400</xdr:rowOff>
    </xdr:to>
    <xdr:graphicFrame macro="">
      <xdr:nvGraphicFramePr>
        <xdr:cNvPr id="6728543"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151</xdr:col>
      <xdr:colOff>342900</xdr:colOff>
      <xdr:row>504</xdr:row>
      <xdr:rowOff>47625</xdr:rowOff>
    </xdr:from>
    <xdr:to>
      <xdr:col>158</xdr:col>
      <xdr:colOff>485775</xdr:colOff>
      <xdr:row>525</xdr:row>
      <xdr:rowOff>57150</xdr:rowOff>
    </xdr:to>
    <xdr:graphicFrame macro="">
      <xdr:nvGraphicFramePr>
        <xdr:cNvPr id="672854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193</xdr:col>
      <xdr:colOff>582706</xdr:colOff>
      <xdr:row>611</xdr:row>
      <xdr:rowOff>17929</xdr:rowOff>
    </xdr:from>
    <xdr:to>
      <xdr:col>200</xdr:col>
      <xdr:colOff>369794</xdr:colOff>
      <xdr:row>628</xdr:row>
      <xdr:rowOff>94129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214</xdr:col>
      <xdr:colOff>8804</xdr:colOff>
      <xdr:row>670</xdr:row>
      <xdr:rowOff>105975</xdr:rowOff>
    </xdr:from>
    <xdr:to>
      <xdr:col>220</xdr:col>
      <xdr:colOff>212911</xdr:colOff>
      <xdr:row>687</xdr:row>
      <xdr:rowOff>79722</xdr:rowOff>
    </xdr:to>
    <xdr:graphicFrame macro="">
      <xdr:nvGraphicFramePr>
        <xdr:cNvPr id="2" name="Chart 15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218</xdr:col>
      <xdr:colOff>41622</xdr:colOff>
      <xdr:row>672</xdr:row>
      <xdr:rowOff>123264</xdr:rowOff>
    </xdr:from>
    <xdr:to>
      <xdr:col>219</xdr:col>
      <xdr:colOff>436228</xdr:colOff>
      <xdr:row>676</xdr:row>
      <xdr:rowOff>129667</xdr:rowOff>
    </xdr:to>
    <xdr:sp macro="" textlink="">
      <xdr:nvSpPr>
        <xdr:cNvPr id="18" name="TextBox 1"/>
        <xdr:cNvSpPr txBox="1"/>
      </xdr:nvSpPr>
      <xdr:spPr>
        <a:xfrm>
          <a:off x="171144240" y="103800088"/>
          <a:ext cx="1078164" cy="63393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a:solidFill>
                <a:schemeClr val="bg1"/>
              </a:solidFill>
            </a:rPr>
            <a:t>BULL </a:t>
          </a:r>
        </a:p>
        <a:p>
          <a:pPr algn="ctr"/>
          <a:r>
            <a:rPr lang="en-US" sz="1200" b="1">
              <a:solidFill>
                <a:schemeClr val="bg1"/>
              </a:solidFill>
            </a:rPr>
            <a:t>CASE</a:t>
          </a:r>
        </a:p>
      </xdr:txBody>
    </xdr:sp>
    <xdr:clientData/>
  </xdr:twoCellAnchor>
  <xdr:twoCellAnchor>
    <xdr:from>
      <xdr:col>233</xdr:col>
      <xdr:colOff>353785</xdr:colOff>
      <xdr:row>717</xdr:row>
      <xdr:rowOff>104774</xdr:rowOff>
    </xdr:from>
    <xdr:to>
      <xdr:col>239</xdr:col>
      <xdr:colOff>367392</xdr:colOff>
      <xdr:row>735</xdr:row>
      <xdr:rowOff>126546</xdr:rowOff>
    </xdr:to>
    <xdr:graphicFrame macro="">
      <xdr:nvGraphicFramePr>
        <xdr:cNvPr id="3" name="Chart 25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235</xdr:col>
      <xdr:colOff>163286</xdr:colOff>
      <xdr:row>726</xdr:row>
      <xdr:rowOff>54429</xdr:rowOff>
    </xdr:from>
    <xdr:to>
      <xdr:col>235</xdr:col>
      <xdr:colOff>925286</xdr:colOff>
      <xdr:row>730</xdr:row>
      <xdr:rowOff>108857</xdr:rowOff>
    </xdr:to>
    <xdr:sp macro="" textlink="">
      <xdr:nvSpPr>
        <xdr:cNvPr id="4" name="TextBox 3"/>
        <xdr:cNvSpPr txBox="1"/>
      </xdr:nvSpPr>
      <xdr:spPr>
        <a:xfrm>
          <a:off x="183451500" y="115892036"/>
          <a:ext cx="762000"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BASE </a:t>
          </a:r>
        </a:p>
        <a:p>
          <a:pPr algn="ctr"/>
          <a:r>
            <a:rPr lang="en-US" sz="1100" b="1">
              <a:solidFill>
                <a:schemeClr val="bg1"/>
              </a:solidFill>
            </a:rPr>
            <a:t>CASE</a:t>
          </a:r>
        </a:p>
      </xdr:txBody>
    </xdr:sp>
    <xdr:clientData/>
  </xdr:twoCellAnchor>
  <xdr:twoCellAnchor>
    <xdr:from>
      <xdr:col>237</xdr:col>
      <xdr:colOff>394607</xdr:colOff>
      <xdr:row>720</xdr:row>
      <xdr:rowOff>54428</xdr:rowOff>
    </xdr:from>
    <xdr:to>
      <xdr:col>238</xdr:col>
      <xdr:colOff>476250</xdr:colOff>
      <xdr:row>723</xdr:row>
      <xdr:rowOff>163285</xdr:rowOff>
    </xdr:to>
    <xdr:sp macro="" textlink="">
      <xdr:nvSpPr>
        <xdr:cNvPr id="21" name="TextBox 20"/>
        <xdr:cNvSpPr txBox="1"/>
      </xdr:nvSpPr>
      <xdr:spPr>
        <a:xfrm>
          <a:off x="185383714" y="115021178"/>
          <a:ext cx="762000"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BULL </a:t>
          </a:r>
        </a:p>
        <a:p>
          <a:pPr algn="ctr"/>
          <a:r>
            <a:rPr lang="en-US" sz="1100" b="1">
              <a:solidFill>
                <a:schemeClr val="bg1"/>
              </a:solidFill>
            </a:rPr>
            <a:t>CASE</a:t>
          </a:r>
        </a:p>
      </xdr:txBody>
    </xdr:sp>
    <xdr:clientData/>
  </xdr:twoCellAnchor>
  <xdr:twoCellAnchor>
    <xdr:from>
      <xdr:col>249</xdr:col>
      <xdr:colOff>1</xdr:colOff>
      <xdr:row>773</xdr:row>
      <xdr:rowOff>0</xdr:rowOff>
    </xdr:from>
    <xdr:to>
      <xdr:col>251</xdr:col>
      <xdr:colOff>1714501</xdr:colOff>
      <xdr:row>790</xdr:row>
      <xdr:rowOff>44824</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257</xdr:col>
      <xdr:colOff>224116</xdr:colOff>
      <xdr:row>798</xdr:row>
      <xdr:rowOff>0</xdr:rowOff>
    </xdr:from>
    <xdr:to>
      <xdr:col>259</xdr:col>
      <xdr:colOff>1703293</xdr:colOff>
      <xdr:row>814</xdr:row>
      <xdr:rowOff>134471</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0.27923</cdr:x>
      <cdr:y>0.05237</cdr:y>
    </cdr:from>
    <cdr:to>
      <cdr:x>0.27923</cdr:x>
      <cdr:y>0.84838</cdr:y>
    </cdr:to>
    <cdr:cxnSp macro="">
      <cdr:nvCxnSpPr>
        <cdr:cNvPr id="3" name="Straight Connector 2"/>
        <cdr:cNvCxnSpPr/>
      </cdr:nvCxnSpPr>
      <cdr:spPr bwMode="auto">
        <a:xfrm xmlns:a="http://schemas.openxmlformats.org/drawingml/2006/main" flipV="1">
          <a:off x="1933576" y="190500"/>
          <a:ext cx="0" cy="2895601"/>
        </a:xfrm>
        <a:prstGeom xmlns:a="http://schemas.openxmlformats.org/drawingml/2006/main" prst="lin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19050" cap="flat" cmpd="sng" algn="ctr">
          <a:solidFill>
            <a:srgbClr val="008000"/>
          </a:solidFill>
          <a:prstDash val="sysDash"/>
          <a:round/>
          <a:headEnd type="none" w="med" len="med"/>
          <a:tailEnd type="none" w="med" len="me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0.69464</cdr:x>
      <cdr:y>0.04975</cdr:y>
    </cdr:from>
    <cdr:to>
      <cdr:x>0.69464</cdr:x>
      <cdr:y>0.85362</cdr:y>
    </cdr:to>
    <cdr:cxnSp macro="">
      <cdr:nvCxnSpPr>
        <cdr:cNvPr id="4" name="Straight Connector 3"/>
        <cdr:cNvCxnSpPr/>
      </cdr:nvCxnSpPr>
      <cdr:spPr bwMode="auto">
        <a:xfrm xmlns:a="http://schemas.openxmlformats.org/drawingml/2006/main" flipV="1">
          <a:off x="4810126" y="180975"/>
          <a:ext cx="0" cy="2924176"/>
        </a:xfrm>
        <a:prstGeom xmlns:a="http://schemas.openxmlformats.org/drawingml/2006/main" prst="lin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19050" cap="flat" cmpd="sng" algn="ctr">
          <a:solidFill>
            <a:srgbClr val="008000"/>
          </a:solidFill>
          <a:prstDash val="sysDash"/>
          <a:round/>
          <a:headEnd type="none" w="med" len="med"/>
          <a:tailEnd type="none" w="med" len="me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0.09629</cdr:x>
      <cdr:y>0.0419</cdr:y>
    </cdr:from>
    <cdr:to>
      <cdr:x>0.24347</cdr:x>
      <cdr:y>0.11783</cdr:y>
    </cdr:to>
    <cdr:sp macro="" textlink="">
      <cdr:nvSpPr>
        <cdr:cNvPr id="5" name="TextBox 4"/>
        <cdr:cNvSpPr txBox="1"/>
      </cdr:nvSpPr>
      <cdr:spPr>
        <a:xfrm xmlns:a="http://schemas.openxmlformats.org/drawingml/2006/main">
          <a:off x="666751" y="152400"/>
          <a:ext cx="1019175" cy="276225"/>
        </a:xfrm>
        <a:prstGeom xmlns:a="http://schemas.openxmlformats.org/drawingml/2006/main" prst="rect">
          <a:avLst/>
        </a:prstGeom>
        <a:solidFill xmlns:a="http://schemas.openxmlformats.org/drawingml/2006/main">
          <a:srgbClr val="FFFFFF"/>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en-US" sz="1100">
              <a:solidFill>
                <a:sysClr val="windowText" lastClr="000000"/>
              </a:solidFill>
            </a:rPr>
            <a:t>REIT</a:t>
          </a:r>
        </a:p>
      </cdr:txBody>
    </cdr:sp>
  </cdr:relSizeAnchor>
  <cdr:relSizeAnchor xmlns:cdr="http://schemas.openxmlformats.org/drawingml/2006/chartDrawing">
    <cdr:from>
      <cdr:x>0.40578</cdr:x>
      <cdr:y>0.0419</cdr:y>
    </cdr:from>
    <cdr:to>
      <cdr:x>0.55296</cdr:x>
      <cdr:y>0.11783</cdr:y>
    </cdr:to>
    <cdr:sp macro="" textlink="">
      <cdr:nvSpPr>
        <cdr:cNvPr id="6" name="TextBox 5"/>
        <cdr:cNvSpPr txBox="1"/>
      </cdr:nvSpPr>
      <cdr:spPr>
        <a:xfrm xmlns:a="http://schemas.openxmlformats.org/drawingml/2006/main">
          <a:off x="2809876" y="152400"/>
          <a:ext cx="1019175" cy="276225"/>
        </a:xfrm>
        <a:prstGeom xmlns:a="http://schemas.openxmlformats.org/drawingml/2006/main" prst="rect">
          <a:avLst/>
        </a:prstGeom>
        <a:solidFill xmlns:a="http://schemas.openxmlformats.org/drawingml/2006/main">
          <a:srgbClr val="FFFFFF"/>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en-US" sz="1100">
              <a:solidFill>
                <a:sysClr val="windowText" lastClr="000000"/>
              </a:solidFill>
            </a:rPr>
            <a:t>Timeshare</a:t>
          </a:r>
        </a:p>
      </cdr:txBody>
    </cdr:sp>
  </cdr:relSizeAnchor>
  <cdr:relSizeAnchor xmlns:cdr="http://schemas.openxmlformats.org/drawingml/2006/chartDrawing">
    <cdr:from>
      <cdr:x>0.75928</cdr:x>
      <cdr:y>0.0419</cdr:y>
    </cdr:from>
    <cdr:to>
      <cdr:x>0.95323</cdr:x>
      <cdr:y>0.11783</cdr:y>
    </cdr:to>
    <cdr:sp macro="" textlink="">
      <cdr:nvSpPr>
        <cdr:cNvPr id="7" name="TextBox 6"/>
        <cdr:cNvSpPr txBox="1"/>
      </cdr:nvSpPr>
      <cdr:spPr>
        <a:xfrm xmlns:a="http://schemas.openxmlformats.org/drawingml/2006/main">
          <a:off x="5257801" y="152400"/>
          <a:ext cx="1343025" cy="276225"/>
        </a:xfrm>
        <a:prstGeom xmlns:a="http://schemas.openxmlformats.org/drawingml/2006/main" prst="rect">
          <a:avLst/>
        </a:prstGeom>
        <a:solidFill xmlns:a="http://schemas.openxmlformats.org/drawingml/2006/main">
          <a:srgbClr val="FFFFFF"/>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en-US" sz="1100">
              <a:solidFill>
                <a:sysClr val="windowText" lastClr="000000"/>
              </a:solidFill>
            </a:rPr>
            <a:t>M&amp;F FeeBusiness</a:t>
          </a:r>
        </a:p>
      </cdr:txBody>
    </cdr:sp>
  </cdr:relSizeAnchor>
</c:userShapes>
</file>

<file path=xl/drawings/drawing5.xml><?xml version="1.0" encoding="utf-8"?>
<c:userShapes xmlns:c="http://schemas.openxmlformats.org/drawingml/2006/chart">
  <cdr:relSizeAnchor xmlns:cdr="http://schemas.openxmlformats.org/drawingml/2006/chartDrawing">
    <cdr:from>
      <cdr:x>0.31171</cdr:x>
      <cdr:y>0.05811</cdr:y>
    </cdr:from>
    <cdr:to>
      <cdr:x>0.31379</cdr:x>
      <cdr:y>0.82384</cdr:y>
    </cdr:to>
    <cdr:cxnSp macro="">
      <cdr:nvCxnSpPr>
        <cdr:cNvPr id="2" name="Straight Connector 1"/>
        <cdr:cNvCxnSpPr>
          <a:cxnSpLocks xmlns:a="http://schemas.openxmlformats.org/drawingml/2006/main" noChangeShapeType="1"/>
        </cdr:cNvCxnSpPr>
      </cdr:nvCxnSpPr>
      <cdr:spPr bwMode="auto">
        <a:xfrm xmlns:a="http://schemas.openxmlformats.org/drawingml/2006/main">
          <a:off x="1425121" y="159657"/>
          <a:ext cx="9525" cy="2103664"/>
        </a:xfrm>
        <a:prstGeom xmlns:a="http://schemas.openxmlformats.org/drawingml/2006/main" prst="line">
          <a:avLst/>
        </a:prstGeom>
        <a:noFill xmlns:a="http://schemas.openxmlformats.org/drawingml/2006/main"/>
        <a:ln xmlns:a="http://schemas.openxmlformats.org/drawingml/2006/main" w="15875" algn="ctr">
          <a:solidFill>
            <a:srgbClr val="0070C0"/>
          </a:solidFill>
          <a:prstDash val="sysDash"/>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0.63968</cdr:x>
      <cdr:y>0.05316</cdr:y>
    </cdr:from>
    <cdr:to>
      <cdr:x>0.64177</cdr:x>
      <cdr:y>0.81889</cdr:y>
    </cdr:to>
    <cdr:cxnSp macro="">
      <cdr:nvCxnSpPr>
        <cdr:cNvPr id="3" name="Straight Connector 2"/>
        <cdr:cNvCxnSpPr>
          <a:cxnSpLocks xmlns:a="http://schemas.openxmlformats.org/drawingml/2006/main" noChangeShapeType="1"/>
        </cdr:cNvCxnSpPr>
      </cdr:nvCxnSpPr>
      <cdr:spPr bwMode="auto">
        <a:xfrm xmlns:a="http://schemas.openxmlformats.org/drawingml/2006/main">
          <a:off x="2924629" y="146050"/>
          <a:ext cx="9525" cy="2103664"/>
        </a:xfrm>
        <a:prstGeom xmlns:a="http://schemas.openxmlformats.org/drawingml/2006/main" prst="line">
          <a:avLst/>
        </a:prstGeom>
        <a:noFill xmlns:a="http://schemas.openxmlformats.org/drawingml/2006/main"/>
        <a:ln xmlns:a="http://schemas.openxmlformats.org/drawingml/2006/main" w="15875" algn="ctr">
          <a:solidFill>
            <a:srgbClr val="0070C0"/>
          </a:solidFill>
          <a:prstDash val="sysDash"/>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6.xml><?xml version="1.0" encoding="utf-8"?>
<c:userShapes xmlns:c="http://schemas.openxmlformats.org/drawingml/2006/chart">
  <cdr:relSizeAnchor xmlns:cdr="http://schemas.openxmlformats.org/drawingml/2006/chartDrawing">
    <cdr:from>
      <cdr:x>0.309</cdr:x>
      <cdr:y>0.03696</cdr:y>
    </cdr:from>
    <cdr:to>
      <cdr:x>0.31109</cdr:x>
      <cdr:y>0.80922</cdr:y>
    </cdr:to>
    <cdr:cxnSp macro="">
      <cdr:nvCxnSpPr>
        <cdr:cNvPr id="2" name="Straight Connector 1"/>
        <cdr:cNvCxnSpPr>
          <a:cxnSpLocks xmlns:a="http://schemas.openxmlformats.org/drawingml/2006/main" noChangeShapeType="1"/>
        </cdr:cNvCxnSpPr>
      </cdr:nvCxnSpPr>
      <cdr:spPr bwMode="auto">
        <a:xfrm xmlns:a="http://schemas.openxmlformats.org/drawingml/2006/main">
          <a:off x="1411492" y="101135"/>
          <a:ext cx="9547" cy="2113209"/>
        </a:xfrm>
        <a:prstGeom xmlns:a="http://schemas.openxmlformats.org/drawingml/2006/main" prst="line">
          <a:avLst/>
        </a:prstGeom>
        <a:noFill xmlns:a="http://schemas.openxmlformats.org/drawingml/2006/main"/>
        <a:ln xmlns:a="http://schemas.openxmlformats.org/drawingml/2006/main" w="15875" algn="ctr">
          <a:solidFill>
            <a:srgbClr val="0070C0"/>
          </a:solidFill>
          <a:prstDash val="sysDash"/>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dr:relSizeAnchor xmlns:cdr="http://schemas.openxmlformats.org/drawingml/2006/chartDrawing">
    <cdr:from>
      <cdr:x>0.63817</cdr:x>
      <cdr:y>0.0484</cdr:y>
    </cdr:from>
    <cdr:to>
      <cdr:x>0.64025</cdr:x>
      <cdr:y>0.82016</cdr:y>
    </cdr:to>
    <cdr:cxnSp macro="">
      <cdr:nvCxnSpPr>
        <cdr:cNvPr id="3" name="Straight Connector 2"/>
        <cdr:cNvCxnSpPr>
          <a:cxnSpLocks xmlns:a="http://schemas.openxmlformats.org/drawingml/2006/main" noChangeShapeType="1"/>
        </cdr:cNvCxnSpPr>
      </cdr:nvCxnSpPr>
      <cdr:spPr bwMode="auto">
        <a:xfrm xmlns:a="http://schemas.openxmlformats.org/drawingml/2006/main">
          <a:off x="2915103" y="132443"/>
          <a:ext cx="9525" cy="2111828"/>
        </a:xfrm>
        <a:prstGeom xmlns:a="http://schemas.openxmlformats.org/drawingml/2006/main" prst="line">
          <a:avLst/>
        </a:prstGeom>
        <a:noFill xmlns:a="http://schemas.openxmlformats.org/drawingml/2006/main"/>
        <a:ln xmlns:a="http://schemas.openxmlformats.org/drawingml/2006/main" w="15875" algn="ctr">
          <a:solidFill>
            <a:srgbClr val="0070C0"/>
          </a:solidFill>
          <a:prstDash val="sysDash"/>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7.xml><?xml version="1.0" encoding="utf-8"?>
<c:userShapes xmlns:c="http://schemas.openxmlformats.org/drawingml/2006/chart">
  <cdr:relSizeAnchor xmlns:cdr="http://schemas.openxmlformats.org/drawingml/2006/chartDrawing">
    <cdr:from>
      <cdr:x>0.17857</cdr:x>
      <cdr:y>0.08829</cdr:y>
    </cdr:from>
    <cdr:to>
      <cdr:x>0.31548</cdr:x>
      <cdr:y>0.17758</cdr:y>
    </cdr:to>
    <cdr:sp macro="" textlink="">
      <cdr:nvSpPr>
        <cdr:cNvPr id="2" name="TextBox 1"/>
        <cdr:cNvSpPr txBox="1"/>
      </cdr:nvSpPr>
      <cdr:spPr>
        <a:xfrm xmlns:a="http://schemas.openxmlformats.org/drawingml/2006/main">
          <a:off x="816427" y="242206"/>
          <a:ext cx="625929" cy="24492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t>$2,905</a:t>
          </a:r>
        </a:p>
      </cdr:txBody>
    </cdr:sp>
  </cdr:relSizeAnchor>
  <cdr:relSizeAnchor xmlns:cdr="http://schemas.openxmlformats.org/drawingml/2006/chartDrawing">
    <cdr:from>
      <cdr:x>0.82361</cdr:x>
      <cdr:y>0.01359</cdr:y>
    </cdr:from>
    <cdr:to>
      <cdr:x>0.96052</cdr:x>
      <cdr:y>0.10288</cdr:y>
    </cdr:to>
    <cdr:sp macro="" textlink="">
      <cdr:nvSpPr>
        <cdr:cNvPr id="3" name="TextBox 1"/>
        <cdr:cNvSpPr txBox="1"/>
      </cdr:nvSpPr>
      <cdr:spPr>
        <a:xfrm xmlns:a="http://schemas.openxmlformats.org/drawingml/2006/main">
          <a:off x="3765545" y="37330"/>
          <a:ext cx="625952" cy="24530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t>$3,193</a:t>
          </a:r>
        </a:p>
      </cdr:txBody>
    </cdr:sp>
  </cdr:relSizeAnchor>
  <cdr:relSizeAnchor xmlns:cdr="http://schemas.openxmlformats.org/drawingml/2006/chartDrawing">
    <cdr:from>
      <cdr:x>0.50218</cdr:x>
      <cdr:y>0.04828</cdr:y>
    </cdr:from>
    <cdr:to>
      <cdr:x>0.63909</cdr:x>
      <cdr:y>0.13757</cdr:y>
    </cdr:to>
    <cdr:sp macro="" textlink="">
      <cdr:nvSpPr>
        <cdr:cNvPr id="4" name="TextBox 1"/>
        <cdr:cNvSpPr txBox="1"/>
      </cdr:nvSpPr>
      <cdr:spPr>
        <a:xfrm xmlns:a="http://schemas.openxmlformats.org/drawingml/2006/main">
          <a:off x="2295979" y="132443"/>
          <a:ext cx="625929" cy="24492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t>$3,081</a:t>
          </a:r>
        </a:p>
      </cdr:txBody>
    </cdr:sp>
  </cdr:relSizeAnchor>
  <cdr:relSizeAnchor xmlns:cdr="http://schemas.openxmlformats.org/drawingml/2006/chartDrawing">
    <cdr:from>
      <cdr:x>0.35337</cdr:x>
      <cdr:y>0.04828</cdr:y>
    </cdr:from>
    <cdr:to>
      <cdr:x>0.49028</cdr:x>
      <cdr:y>0.13757</cdr:y>
    </cdr:to>
    <cdr:sp macro="" textlink="">
      <cdr:nvSpPr>
        <cdr:cNvPr id="5" name="TextBox 1"/>
        <cdr:cNvSpPr txBox="1"/>
      </cdr:nvSpPr>
      <cdr:spPr>
        <a:xfrm xmlns:a="http://schemas.openxmlformats.org/drawingml/2006/main">
          <a:off x="1615621" y="132443"/>
          <a:ext cx="625929" cy="24492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t>$3,072</a:t>
          </a:r>
        </a:p>
      </cdr:txBody>
    </cdr:sp>
  </cdr:relSizeAnchor>
  <cdr:relSizeAnchor xmlns:cdr="http://schemas.openxmlformats.org/drawingml/2006/chartDrawing">
    <cdr:from>
      <cdr:x>0.67183</cdr:x>
      <cdr:y>0.03339</cdr:y>
    </cdr:from>
    <cdr:to>
      <cdr:x>0.80873</cdr:x>
      <cdr:y>0.12268</cdr:y>
    </cdr:to>
    <cdr:sp macro="" textlink="">
      <cdr:nvSpPr>
        <cdr:cNvPr id="6" name="TextBox 1"/>
        <cdr:cNvSpPr txBox="1"/>
      </cdr:nvSpPr>
      <cdr:spPr>
        <a:xfrm xmlns:a="http://schemas.openxmlformats.org/drawingml/2006/main">
          <a:off x="3071607" y="91720"/>
          <a:ext cx="625907" cy="24530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t>$3,162</a:t>
          </a:r>
        </a:p>
      </cdr:txBody>
    </cdr:sp>
  </cdr:relSizeAnchor>
</c:userShapes>
</file>

<file path=xl/drawings/drawing8.xml><?xml version="1.0" encoding="utf-8"?>
<c:userShapes xmlns:c="http://schemas.openxmlformats.org/drawingml/2006/chart">
  <cdr:relSizeAnchor xmlns:cdr="http://schemas.openxmlformats.org/drawingml/2006/chartDrawing">
    <cdr:from>
      <cdr:x>0.23512</cdr:x>
      <cdr:y>0.4256</cdr:y>
    </cdr:from>
    <cdr:to>
      <cdr:x>0.47024</cdr:x>
      <cdr:y>0.66369</cdr:y>
    </cdr:to>
    <cdr:sp macro="" textlink="">
      <cdr:nvSpPr>
        <cdr:cNvPr id="2" name="TextBox 1"/>
        <cdr:cNvSpPr txBox="1"/>
      </cdr:nvSpPr>
      <cdr:spPr>
        <a:xfrm xmlns:a="http://schemas.openxmlformats.org/drawingml/2006/main">
          <a:off x="1074951" y="1167502"/>
          <a:ext cx="1074969" cy="6531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b="1">
              <a:solidFill>
                <a:schemeClr val="bg1"/>
              </a:solidFill>
            </a:rPr>
            <a:t>BASE </a:t>
          </a:r>
        </a:p>
        <a:p xmlns:a="http://schemas.openxmlformats.org/drawingml/2006/main">
          <a:pPr algn="ctr"/>
          <a:r>
            <a:rPr lang="en-US" sz="1200" b="1">
              <a:solidFill>
                <a:schemeClr val="bg1"/>
              </a:solidFill>
            </a:rPr>
            <a:t>CASE</a:t>
          </a:r>
        </a:p>
      </cdr:txBody>
    </cdr:sp>
  </cdr:relSizeAnchor>
</c:userShapes>
</file>

<file path=xl/drawings/drawing9.xml><?xml version="1.0" encoding="utf-8"?>
<c:userShapes xmlns:c="http://schemas.openxmlformats.org/drawingml/2006/chart">
  <cdr:relSizeAnchor xmlns:cdr="http://schemas.openxmlformats.org/drawingml/2006/chartDrawing">
    <cdr:from>
      <cdr:x>0.29706</cdr:x>
      <cdr:y>0.05341</cdr:y>
    </cdr:from>
    <cdr:to>
      <cdr:x>0.45331</cdr:x>
      <cdr:y>0.14716</cdr:y>
    </cdr:to>
    <cdr:sp macro="" textlink="">
      <cdr:nvSpPr>
        <cdr:cNvPr id="2" name="TextBox 1"/>
        <cdr:cNvSpPr txBox="1"/>
      </cdr:nvSpPr>
      <cdr:spPr>
        <a:xfrm xmlns:a="http://schemas.openxmlformats.org/drawingml/2006/main">
          <a:off x="1358168" y="146527"/>
          <a:ext cx="714375" cy="2571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50" b="1"/>
            <a:t>$481m</a:t>
          </a:r>
        </a:p>
      </cdr:txBody>
    </cdr:sp>
  </cdr:relSizeAnchor>
  <cdr:relSizeAnchor xmlns:cdr="http://schemas.openxmlformats.org/drawingml/2006/chartDrawing">
    <cdr:from>
      <cdr:x>0.69567</cdr:x>
      <cdr:y>0.60153</cdr:y>
    </cdr:from>
    <cdr:to>
      <cdr:x>0.85192</cdr:x>
      <cdr:y>0.69528</cdr:y>
    </cdr:to>
    <cdr:sp macro="" textlink="">
      <cdr:nvSpPr>
        <cdr:cNvPr id="3" name="TextBox 1"/>
        <cdr:cNvSpPr txBox="1"/>
      </cdr:nvSpPr>
      <cdr:spPr>
        <a:xfrm xmlns:a="http://schemas.openxmlformats.org/drawingml/2006/main">
          <a:off x="3386002" y="1682800"/>
          <a:ext cx="760512" cy="2622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50" b="1"/>
            <a:t>$96m</a:t>
          </a:r>
        </a:p>
      </cdr:txBody>
    </cdr:sp>
  </cdr:relSizeAnchor>
</c:userShapes>
</file>

<file path=xl/drawings/drawing10.xml><?xml version="1.0" encoding="utf-8"?>
<c:userShapes xmlns:c="http://schemas.openxmlformats.org/drawingml/2006/chart">
  <cdr:relSizeAnchor xmlns:cdr="http://schemas.openxmlformats.org/drawingml/2006/chartDrawing">
    <cdr:from>
      <cdr:x>0.29706</cdr:x>
      <cdr:y>0.05341</cdr:y>
    </cdr:from>
    <cdr:to>
      <cdr:x>0.45331</cdr:x>
      <cdr:y>0.14716</cdr:y>
    </cdr:to>
    <cdr:sp macro="" textlink="">
      <cdr:nvSpPr>
        <cdr:cNvPr id="2" name="TextBox 1"/>
        <cdr:cNvSpPr txBox="1"/>
      </cdr:nvSpPr>
      <cdr:spPr>
        <a:xfrm xmlns:a="http://schemas.openxmlformats.org/drawingml/2006/main">
          <a:off x="1358168" y="146527"/>
          <a:ext cx="714375" cy="2571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50" b="1"/>
            <a:t>$613m</a:t>
          </a:r>
        </a:p>
      </cdr:txBody>
    </cdr:sp>
  </cdr:relSizeAnchor>
  <cdr:relSizeAnchor xmlns:cdr="http://schemas.openxmlformats.org/drawingml/2006/chartDrawing">
    <cdr:from>
      <cdr:x>0.68636</cdr:x>
      <cdr:y>0.65181</cdr:y>
    </cdr:from>
    <cdr:to>
      <cdr:x>0.84261</cdr:x>
      <cdr:y>0.74556</cdr:y>
    </cdr:to>
    <cdr:sp macro="" textlink="">
      <cdr:nvSpPr>
        <cdr:cNvPr id="3" name="TextBox 1"/>
        <cdr:cNvSpPr txBox="1"/>
      </cdr:nvSpPr>
      <cdr:spPr>
        <a:xfrm xmlns:a="http://schemas.openxmlformats.org/drawingml/2006/main">
          <a:off x="3107273" y="1776361"/>
          <a:ext cx="707372" cy="25549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50" b="1"/>
            <a:t>$123m</a:t>
          </a:r>
        </a:p>
      </cdr:txBody>
    </cdr:sp>
  </cdr:relSizeAnchor>
</c:userShapes>
</file>

<file path=xl/drawings/drawing11.xml><?xml version="1.0" encoding="utf-8"?>
<xdr:wsDr xmlns:xdr="http://schemas.openxmlformats.org/drawingml/2006/spreadsheetDrawing" xmlns:a="http://schemas.openxmlformats.org/drawingml/2006/main">
  <xdr:twoCellAnchor>
    <xdr:from>
      <xdr:col>20</xdr:col>
      <xdr:colOff>0</xdr:colOff>
      <xdr:row>188</xdr:row>
      <xdr:rowOff>0</xdr:rowOff>
    </xdr:from>
    <xdr:to>
      <xdr:col>41</xdr:col>
      <xdr:colOff>19050</xdr:colOff>
      <xdr:row>208</xdr:row>
      <xdr:rowOff>104775</xdr:rowOff>
    </xdr:to>
    <xdr:graphicFrame macro="">
      <xdr:nvGraphicFramePr>
        <xdr:cNvPr id="677612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46</xdr:col>
      <xdr:colOff>428625</xdr:colOff>
      <xdr:row>212</xdr:row>
      <xdr:rowOff>9525</xdr:rowOff>
    </xdr:from>
    <xdr:to>
      <xdr:col>53</xdr:col>
      <xdr:colOff>676275</xdr:colOff>
      <xdr:row>231</xdr:row>
      <xdr:rowOff>104775</xdr:rowOff>
    </xdr:to>
    <xdr:graphicFrame macro="">
      <xdr:nvGraphicFramePr>
        <xdr:cNvPr id="677612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19050</xdr:colOff>
      <xdr:row>216</xdr:row>
      <xdr:rowOff>104775</xdr:rowOff>
    </xdr:from>
    <xdr:to>
      <xdr:col>40</xdr:col>
      <xdr:colOff>466725</xdr:colOff>
      <xdr:row>235</xdr:row>
      <xdr:rowOff>66675</xdr:rowOff>
    </xdr:to>
    <xdr:graphicFrame macro="">
      <xdr:nvGraphicFramePr>
        <xdr:cNvPr id="677612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323850</xdr:colOff>
      <xdr:row>241</xdr:row>
      <xdr:rowOff>0</xdr:rowOff>
    </xdr:from>
    <xdr:to>
      <xdr:col>41</xdr:col>
      <xdr:colOff>228600</xdr:colOff>
      <xdr:row>261</xdr:row>
      <xdr:rowOff>85725</xdr:rowOff>
    </xdr:to>
    <xdr:graphicFrame macro="">
      <xdr:nvGraphicFramePr>
        <xdr:cNvPr id="677612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61</xdr:col>
      <xdr:colOff>142875</xdr:colOff>
      <xdr:row>286</xdr:row>
      <xdr:rowOff>38100</xdr:rowOff>
    </xdr:from>
    <xdr:to>
      <xdr:col>67</xdr:col>
      <xdr:colOff>123825</xdr:colOff>
      <xdr:row>304</xdr:row>
      <xdr:rowOff>133350</xdr:rowOff>
    </xdr:to>
    <xdr:graphicFrame macro="">
      <xdr:nvGraphicFramePr>
        <xdr:cNvPr id="677612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0.06851</cdr:x>
      <cdr:y>0.39563</cdr:y>
    </cdr:from>
    <cdr:to>
      <cdr:x>0.98707</cdr:x>
      <cdr:y>0.39563</cdr:y>
    </cdr:to>
    <cdr:sp macro="" textlink="">
      <cdr:nvSpPr>
        <cdr:cNvPr id="215041" name="Line 1"/>
        <cdr:cNvSpPr>
          <a:spLocks xmlns:a="http://schemas.openxmlformats.org/drawingml/2006/main" noChangeShapeType="1"/>
        </cdr:cNvSpPr>
      </cdr:nvSpPr>
      <cdr:spPr bwMode="auto">
        <a:xfrm xmlns:a="http://schemas.openxmlformats.org/drawingml/2006/main">
          <a:off x="873674" y="1405022"/>
          <a:ext cx="11671573"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0.06901</cdr:x>
      <cdr:y>0.6321</cdr:y>
    </cdr:from>
    <cdr:to>
      <cdr:x>0.98707</cdr:x>
      <cdr:y>0.6321</cdr:y>
    </cdr:to>
    <cdr:sp macro="" textlink="">
      <cdr:nvSpPr>
        <cdr:cNvPr id="215042" name="Line 2"/>
        <cdr:cNvSpPr>
          <a:spLocks xmlns:a="http://schemas.openxmlformats.org/drawingml/2006/main" noChangeShapeType="1"/>
        </cdr:cNvSpPr>
      </cdr:nvSpPr>
      <cdr:spPr bwMode="auto">
        <a:xfrm xmlns:a="http://schemas.openxmlformats.org/drawingml/2006/main">
          <a:off x="879980" y="2242898"/>
          <a:ext cx="11665267"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13.xml><?xml version="1.0" encoding="utf-8"?>
<c:userShapes xmlns:c="http://schemas.openxmlformats.org/drawingml/2006/chart">
  <cdr:relSizeAnchor xmlns:cdr="http://schemas.openxmlformats.org/drawingml/2006/chartDrawing">
    <cdr:from>
      <cdr:x>0.83044</cdr:x>
      <cdr:y>0.24015</cdr:y>
    </cdr:from>
    <cdr:to>
      <cdr:x>0.91206</cdr:x>
      <cdr:y>0.31294</cdr:y>
    </cdr:to>
    <cdr:sp macro="" textlink="">
      <cdr:nvSpPr>
        <cdr:cNvPr id="216065" name="Text Box 1"/>
        <cdr:cNvSpPr txBox="1">
          <a:spLocks xmlns:a="http://schemas.openxmlformats.org/drawingml/2006/main" noChangeArrowheads="1"/>
        </cdr:cNvSpPr>
      </cdr:nvSpPr>
      <cdr:spPr bwMode="auto">
        <a:xfrm xmlns:a="http://schemas.openxmlformats.org/drawingml/2006/main">
          <a:off x="10301948" y="778608"/>
          <a:ext cx="1012193" cy="23502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VIP</a:t>
          </a:r>
        </a:p>
      </cdr:txBody>
    </cdr:sp>
  </cdr:relSizeAnchor>
  <cdr:relSizeAnchor xmlns:cdr="http://schemas.openxmlformats.org/drawingml/2006/chartDrawing">
    <cdr:from>
      <cdr:x>0.84409</cdr:x>
      <cdr:y>0.80789</cdr:y>
    </cdr:from>
    <cdr:to>
      <cdr:x>0.92695</cdr:x>
      <cdr:y>0.87728</cdr:y>
    </cdr:to>
    <cdr:sp macro="" textlink="">
      <cdr:nvSpPr>
        <cdr:cNvPr id="216066" name="Text Box 2"/>
        <cdr:cNvSpPr txBox="1">
          <a:spLocks xmlns:a="http://schemas.openxmlformats.org/drawingml/2006/main" noChangeArrowheads="1"/>
        </cdr:cNvSpPr>
      </cdr:nvSpPr>
      <cdr:spPr bwMode="auto">
        <a:xfrm xmlns:a="http://schemas.openxmlformats.org/drawingml/2006/main">
          <a:off x="10471160" y="2611837"/>
          <a:ext cx="1027576" cy="22406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Mass</a:t>
          </a:r>
        </a:p>
      </cdr:txBody>
    </cdr:sp>
  </cdr:relSizeAnchor>
</c:userShapes>
</file>

<file path=xl/drawings/drawing14.xml><?xml version="1.0" encoding="utf-8"?>
<xdr:wsDr xmlns:xdr="http://schemas.openxmlformats.org/drawingml/2006/spreadsheetDrawing" xmlns:a="http://schemas.openxmlformats.org/drawingml/2006/main">
  <xdr:twoCellAnchor>
    <xdr:from>
      <xdr:col>15</xdr:col>
      <xdr:colOff>676275</xdr:colOff>
      <xdr:row>16</xdr:row>
      <xdr:rowOff>0</xdr:rowOff>
    </xdr:from>
    <xdr:to>
      <xdr:col>26</xdr:col>
      <xdr:colOff>76200</xdr:colOff>
      <xdr:row>41</xdr:row>
      <xdr:rowOff>85725</xdr:rowOff>
    </xdr:to>
    <xdr:graphicFrame macro="">
      <xdr:nvGraphicFramePr>
        <xdr:cNvPr id="6004392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71</xdr:col>
      <xdr:colOff>0</xdr:colOff>
      <xdr:row>146</xdr:row>
      <xdr:rowOff>76200</xdr:rowOff>
    </xdr:from>
    <xdr:to>
      <xdr:col>77</xdr:col>
      <xdr:colOff>466725</xdr:colOff>
      <xdr:row>163</xdr:row>
      <xdr:rowOff>152400</xdr:rowOff>
    </xdr:to>
    <xdr:graphicFrame macro="">
      <xdr:nvGraphicFramePr>
        <xdr:cNvPr id="6004392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196</xdr:col>
      <xdr:colOff>0</xdr:colOff>
      <xdr:row>444</xdr:row>
      <xdr:rowOff>0</xdr:rowOff>
    </xdr:from>
    <xdr:to>
      <xdr:col>208</xdr:col>
      <xdr:colOff>152400</xdr:colOff>
      <xdr:row>471</xdr:row>
      <xdr:rowOff>133350</xdr:rowOff>
    </xdr:to>
    <xdr:pic>
      <xdr:nvPicPr>
        <xdr:cNvPr id="60043926"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6113500" y="75076050"/>
          <a:ext cx="8382000" cy="45053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209</xdr:col>
      <xdr:colOff>0</xdr:colOff>
      <xdr:row>475</xdr:row>
      <xdr:rowOff>0</xdr:rowOff>
    </xdr:from>
    <xdr:to>
      <xdr:col>220</xdr:col>
      <xdr:colOff>219075</xdr:colOff>
      <xdr:row>498</xdr:row>
      <xdr:rowOff>133350</xdr:rowOff>
    </xdr:to>
    <xdr:pic>
      <xdr:nvPicPr>
        <xdr:cNvPr id="60043927" name="Picture 2"/>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5028900" y="80095725"/>
          <a:ext cx="7762875" cy="3857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c:userShapes xmlns:c="http://schemas.openxmlformats.org/drawingml/2006/chart">
  <cdr:relSizeAnchor xmlns:cdr="http://schemas.openxmlformats.org/drawingml/2006/chartDrawing">
    <cdr:from>
      <cdr:x>0.47261</cdr:x>
      <cdr:y>0.32391</cdr:y>
    </cdr:from>
    <cdr:to>
      <cdr:x>0.53796</cdr:x>
      <cdr:y>0.3796</cdr:y>
    </cdr:to>
    <cdr:sp macro="" textlink="">
      <cdr:nvSpPr>
        <cdr:cNvPr id="234497" name="Line 1"/>
        <cdr:cNvSpPr>
          <a:spLocks xmlns:a="http://schemas.openxmlformats.org/drawingml/2006/main" noChangeShapeType="1"/>
        </cdr:cNvSpPr>
      </cdr:nvSpPr>
      <cdr:spPr bwMode="auto">
        <a:xfrm xmlns:a="http://schemas.openxmlformats.org/drawingml/2006/main" flipV="1">
          <a:off x="2651333" y="1309881"/>
          <a:ext cx="535744" cy="22319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triangle" w="med"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0.6582</cdr:x>
      <cdr:y>0.3041</cdr:y>
    </cdr:from>
    <cdr:to>
      <cdr:x>0.72601</cdr:x>
      <cdr:y>0.35955</cdr:y>
    </cdr:to>
    <cdr:sp macro="" textlink="">
      <cdr:nvSpPr>
        <cdr:cNvPr id="234498" name="Line 2"/>
        <cdr:cNvSpPr>
          <a:spLocks xmlns:a="http://schemas.openxmlformats.org/drawingml/2006/main" noChangeShapeType="1"/>
        </cdr:cNvSpPr>
      </cdr:nvSpPr>
      <cdr:spPr bwMode="auto">
        <a:xfrm xmlns:a="http://schemas.openxmlformats.org/drawingml/2006/main" flipV="1">
          <a:off x="4168959" y="1231456"/>
          <a:ext cx="540795" cy="22123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triangle" w="med"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0.8443</cdr:x>
      <cdr:y>0.17661</cdr:y>
    </cdr:from>
    <cdr:to>
      <cdr:x>0.91285</cdr:x>
      <cdr:y>0.23278</cdr:y>
    </cdr:to>
    <cdr:sp macro="" textlink="">
      <cdr:nvSpPr>
        <cdr:cNvPr id="234499" name="Line 3"/>
        <cdr:cNvSpPr>
          <a:spLocks xmlns:a="http://schemas.openxmlformats.org/drawingml/2006/main" noChangeShapeType="1"/>
        </cdr:cNvSpPr>
      </cdr:nvSpPr>
      <cdr:spPr bwMode="auto">
        <a:xfrm xmlns:a="http://schemas.openxmlformats.org/drawingml/2006/main" flipV="1">
          <a:off x="5684899" y="724391"/>
          <a:ext cx="547644" cy="224156"/>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triangle" w="med"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0.47747</cdr:x>
      <cdr:y>0.28132</cdr:y>
    </cdr:from>
    <cdr:to>
      <cdr:x>0.52661</cdr:x>
      <cdr:y>0.3324</cdr:y>
    </cdr:to>
    <cdr:sp macro="" textlink="">
      <cdr:nvSpPr>
        <cdr:cNvPr id="234500" name="Text Box 4"/>
        <cdr:cNvSpPr txBox="1">
          <a:spLocks xmlns:a="http://schemas.openxmlformats.org/drawingml/2006/main" noChangeArrowheads="1"/>
        </cdr:cNvSpPr>
      </cdr:nvSpPr>
      <cdr:spPr bwMode="auto">
        <a:xfrm xmlns:a="http://schemas.openxmlformats.org/drawingml/2006/main">
          <a:off x="3303618" y="1134323"/>
          <a:ext cx="340029" cy="20473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27432" tIns="27432" rIns="0" bIns="0" anchor="t" upright="1">
          <a:spAutoFit/>
        </a:bodyPr>
        <a:lstStyle xmlns:a="http://schemas.openxmlformats.org/drawingml/2006/main"/>
        <a:p xmlns:a="http://schemas.openxmlformats.org/drawingml/2006/main">
          <a:pPr algn="l" rtl="0">
            <a:defRPr sz="1000"/>
          </a:pPr>
          <a:r>
            <a:rPr lang="en-US" sz="1200" b="1" i="0" u="none" strike="noStrike" baseline="0">
              <a:solidFill>
                <a:srgbClr val="000000"/>
              </a:solidFill>
              <a:latin typeface="Arial"/>
              <a:cs typeface="Arial"/>
            </a:rPr>
            <a:t>+6%</a:t>
          </a:r>
        </a:p>
      </cdr:txBody>
    </cdr:sp>
  </cdr:relSizeAnchor>
  <cdr:relSizeAnchor xmlns:cdr="http://schemas.openxmlformats.org/drawingml/2006/chartDrawing">
    <cdr:from>
      <cdr:x>0.57435</cdr:x>
      <cdr:y>0.14585</cdr:y>
    </cdr:from>
    <cdr:to>
      <cdr:x>0.77191</cdr:x>
      <cdr:y>0.28921</cdr:y>
    </cdr:to>
    <cdr:sp macro="" textlink="">
      <cdr:nvSpPr>
        <cdr:cNvPr id="234501" name="Text Box 5"/>
        <cdr:cNvSpPr txBox="1">
          <a:spLocks xmlns:a="http://schemas.openxmlformats.org/drawingml/2006/main" noChangeArrowheads="1"/>
        </cdr:cNvSpPr>
      </cdr:nvSpPr>
      <cdr:spPr bwMode="auto">
        <a:xfrm xmlns:a="http://schemas.openxmlformats.org/drawingml/2006/main">
          <a:off x="3481391" y="601126"/>
          <a:ext cx="1600382" cy="57167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7432" rIns="36576" bIns="0" anchor="t" upright="1"/>
        <a:lstStyle xmlns:a="http://schemas.openxmlformats.org/drawingml/2006/main"/>
        <a:p xmlns:a="http://schemas.openxmlformats.org/drawingml/2006/main">
          <a:pPr algn="ctr" rtl="0">
            <a:lnSpc>
              <a:spcPts val="1100"/>
            </a:lnSpc>
            <a:defRPr sz="1000"/>
          </a:pPr>
          <a:r>
            <a:rPr lang="en-US" sz="1200" b="1" i="0" u="none" strike="noStrike" baseline="0">
              <a:solidFill>
                <a:srgbClr val="000000"/>
              </a:solidFill>
              <a:latin typeface="Arial"/>
              <a:cs typeface="Arial"/>
            </a:rPr>
            <a:t>+9% but has sold properties as shift to asset-light</a:t>
          </a:r>
        </a:p>
      </cdr:txBody>
    </cdr:sp>
  </cdr:relSizeAnchor>
  <cdr:relSizeAnchor xmlns:cdr="http://schemas.openxmlformats.org/drawingml/2006/chartDrawing">
    <cdr:from>
      <cdr:x>0.8443</cdr:x>
      <cdr:y>0.13136</cdr:y>
    </cdr:from>
    <cdr:to>
      <cdr:x>0.8919</cdr:x>
      <cdr:y>0.19193</cdr:y>
    </cdr:to>
    <cdr:sp macro="" textlink="">
      <cdr:nvSpPr>
        <cdr:cNvPr id="234502" name="Text Box 6"/>
        <cdr:cNvSpPr txBox="1">
          <a:spLocks xmlns:a="http://schemas.openxmlformats.org/drawingml/2006/main" noChangeArrowheads="1"/>
        </cdr:cNvSpPr>
      </cdr:nvSpPr>
      <cdr:spPr bwMode="auto">
        <a:xfrm xmlns:a="http://schemas.openxmlformats.org/drawingml/2006/main">
          <a:off x="5684899" y="545003"/>
          <a:ext cx="377089" cy="23982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200" b="1" i="0" u="none" strike="noStrike" baseline="0">
              <a:solidFill>
                <a:srgbClr val="000000"/>
              </a:solidFill>
              <a:latin typeface="Arial"/>
              <a:cs typeface="Arial"/>
            </a:rPr>
            <a:t>+3%</a:t>
          </a:r>
        </a:p>
      </cdr:txBody>
    </cdr:sp>
  </cdr:relSizeAnchor>
  <cdr:relSizeAnchor xmlns:cdr="http://schemas.openxmlformats.org/drawingml/2006/chartDrawing">
    <cdr:from>
      <cdr:x>0.28525</cdr:x>
      <cdr:y>0.40448</cdr:y>
    </cdr:from>
    <cdr:to>
      <cdr:x>0.35134</cdr:x>
      <cdr:y>0.46042</cdr:y>
    </cdr:to>
    <cdr:sp macro="" textlink="">
      <cdr:nvSpPr>
        <cdr:cNvPr id="8" name="Line 1"/>
        <cdr:cNvSpPr>
          <a:spLocks xmlns:a="http://schemas.openxmlformats.org/drawingml/2006/main" noChangeShapeType="1"/>
        </cdr:cNvSpPr>
      </cdr:nvSpPr>
      <cdr:spPr bwMode="auto">
        <a:xfrm xmlns:a="http://schemas.openxmlformats.org/drawingml/2006/main" flipV="1">
          <a:off x="1126565" y="1630830"/>
          <a:ext cx="535744" cy="22319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triangle" w="med"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0.29398</cdr:x>
      <cdr:y>0.36229</cdr:y>
    </cdr:from>
    <cdr:to>
      <cdr:x>0.34313</cdr:x>
      <cdr:y>0.41361</cdr:y>
    </cdr:to>
    <cdr:sp macro="" textlink="">
      <cdr:nvSpPr>
        <cdr:cNvPr id="9" name="Text Box 4"/>
        <cdr:cNvSpPr txBox="1">
          <a:spLocks xmlns:a="http://schemas.openxmlformats.org/drawingml/2006/main" noChangeArrowheads="1"/>
        </cdr:cNvSpPr>
      </cdr:nvSpPr>
      <cdr:spPr bwMode="auto">
        <a:xfrm xmlns:a="http://schemas.openxmlformats.org/drawingml/2006/main">
          <a:off x="2034095" y="1457831"/>
          <a:ext cx="340029" cy="20473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27432" tIns="27432"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200" b="1" i="0" u="none" strike="noStrike" baseline="0">
              <a:solidFill>
                <a:srgbClr val="000000"/>
              </a:solidFill>
              <a:latin typeface="Arial"/>
              <a:cs typeface="Arial"/>
            </a:rPr>
            <a:t>+5%</a:t>
          </a:r>
        </a:p>
      </cdr:txBody>
    </cdr:sp>
  </cdr:relSizeAnchor>
</c:userShapes>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9525</xdr:colOff>
      <xdr:row>0</xdr:row>
      <xdr:rowOff>9525</xdr:rowOff>
    </xdr:to>
    <xdr:pic>
      <xdr:nvPicPr>
        <xdr:cNvPr id="38057273" name="Picture 1" descr="http://d.adroll.com/cm/w/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9525</xdr:colOff>
      <xdr:row>0</xdr:row>
      <xdr:rowOff>9525</xdr:rowOff>
    </xdr:to>
    <xdr:sp macro="" textlink="">
      <xdr:nvSpPr>
        <xdr:cNvPr id="38057274" name="AutoShape 2" descr="http://d.adroll.com/cm/x/out"/>
        <xdr:cNvSpPr>
          <a:spLocks noChangeAspect="1" noChangeArrowheads="1"/>
        </xdr:cNvSpPr>
      </xdr:nvSpPr>
      <xdr:spPr bwMode="auto">
        <a:xfrm>
          <a:off x="0"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0</xdr:col>
      <xdr:colOff>9525</xdr:colOff>
      <xdr:row>0</xdr:row>
      <xdr:rowOff>9525</xdr:rowOff>
    </xdr:to>
    <xdr:pic>
      <xdr:nvPicPr>
        <xdr:cNvPr id="38057275" name="Picture 3" descr="http://www.googleadservices.com/pagead/conversion/1011350631/?label=54OPCIn1hAkQ5_if4gM&amp;guid=ON&amp;script=0&amp;ord=9557103676986048"/>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9525</xdr:colOff>
      <xdr:row>0</xdr:row>
      <xdr:rowOff>9525</xdr:rowOff>
    </xdr:to>
    <xdr:pic>
      <xdr:nvPicPr>
        <xdr:cNvPr id="38057276" name="Picture 4" descr="http://d.adroll.com/cm/g/out?google_nid=adroll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9525</xdr:colOff>
      <xdr:row>0</xdr:row>
      <xdr:rowOff>9525</xdr:rowOff>
    </xdr:to>
    <xdr:sp macro="" textlink="">
      <xdr:nvSpPr>
        <xdr:cNvPr id="38057277" name="AutoShape 5" descr="http://ib.adnxs.com/seg?add=653001&amp;t=2"/>
        <xdr:cNvSpPr>
          <a:spLocks noChangeAspect="1" noChangeArrowheads="1"/>
        </xdr:cNvSpPr>
      </xdr:nvSpPr>
      <xdr:spPr bwMode="auto">
        <a:xfrm>
          <a:off x="0"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7.xml><?xml version="1.0" encoding="utf-8"?>
<xdr:wsDr xmlns:xdr="http://schemas.openxmlformats.org/drawingml/2006/spreadsheetDrawing" xmlns:a="http://schemas.openxmlformats.org/drawingml/2006/main">
  <xdr:twoCellAnchor>
    <xdr:from>
      <xdr:col>20</xdr:col>
      <xdr:colOff>0</xdr:colOff>
      <xdr:row>188</xdr:row>
      <xdr:rowOff>0</xdr:rowOff>
    </xdr:from>
    <xdr:to>
      <xdr:col>41</xdr:col>
      <xdr:colOff>19050</xdr:colOff>
      <xdr:row>208</xdr:row>
      <xdr:rowOff>104775</xdr:rowOff>
    </xdr:to>
    <xdr:graphicFrame macro="">
      <xdr:nvGraphicFramePr>
        <xdr:cNvPr id="5610732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46</xdr:col>
      <xdr:colOff>428625</xdr:colOff>
      <xdr:row>212</xdr:row>
      <xdr:rowOff>9525</xdr:rowOff>
    </xdr:from>
    <xdr:to>
      <xdr:col>53</xdr:col>
      <xdr:colOff>676275</xdr:colOff>
      <xdr:row>231</xdr:row>
      <xdr:rowOff>104775</xdr:rowOff>
    </xdr:to>
    <xdr:graphicFrame macro="">
      <xdr:nvGraphicFramePr>
        <xdr:cNvPr id="5610732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19050</xdr:colOff>
      <xdr:row>216</xdr:row>
      <xdr:rowOff>104775</xdr:rowOff>
    </xdr:from>
    <xdr:to>
      <xdr:col>40</xdr:col>
      <xdr:colOff>466725</xdr:colOff>
      <xdr:row>235</xdr:row>
      <xdr:rowOff>66675</xdr:rowOff>
    </xdr:to>
    <xdr:graphicFrame macro="">
      <xdr:nvGraphicFramePr>
        <xdr:cNvPr id="5610732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323850</xdr:colOff>
      <xdr:row>241</xdr:row>
      <xdr:rowOff>0</xdr:rowOff>
    </xdr:from>
    <xdr:to>
      <xdr:col>41</xdr:col>
      <xdr:colOff>228600</xdr:colOff>
      <xdr:row>261</xdr:row>
      <xdr:rowOff>85725</xdr:rowOff>
    </xdr:to>
    <xdr:graphicFrame macro="">
      <xdr:nvGraphicFramePr>
        <xdr:cNvPr id="5610732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61</xdr:col>
      <xdr:colOff>142875</xdr:colOff>
      <xdr:row>286</xdr:row>
      <xdr:rowOff>38100</xdr:rowOff>
    </xdr:from>
    <xdr:to>
      <xdr:col>67</xdr:col>
      <xdr:colOff>123825</xdr:colOff>
      <xdr:row>304</xdr:row>
      <xdr:rowOff>133350</xdr:rowOff>
    </xdr:to>
    <xdr:graphicFrame macro="">
      <xdr:nvGraphicFramePr>
        <xdr:cNvPr id="5610732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8.xml><?xml version="1.0" encoding="utf-8"?>
<c:userShapes xmlns:c="http://schemas.openxmlformats.org/drawingml/2006/chart">
  <cdr:relSizeAnchor xmlns:cdr="http://schemas.openxmlformats.org/drawingml/2006/chartDrawing">
    <cdr:from>
      <cdr:x>0.06851</cdr:x>
      <cdr:y>0.39563</cdr:y>
    </cdr:from>
    <cdr:to>
      <cdr:x>0.98707</cdr:x>
      <cdr:y>0.39563</cdr:y>
    </cdr:to>
    <cdr:sp macro="" textlink="">
      <cdr:nvSpPr>
        <cdr:cNvPr id="215041" name="Line 1"/>
        <cdr:cNvSpPr>
          <a:spLocks xmlns:a="http://schemas.openxmlformats.org/drawingml/2006/main" noChangeShapeType="1"/>
        </cdr:cNvSpPr>
      </cdr:nvSpPr>
      <cdr:spPr bwMode="auto">
        <a:xfrm xmlns:a="http://schemas.openxmlformats.org/drawingml/2006/main">
          <a:off x="873674" y="1405022"/>
          <a:ext cx="11671573"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0.06901</cdr:x>
      <cdr:y>0.6321</cdr:y>
    </cdr:from>
    <cdr:to>
      <cdr:x>0.98707</cdr:x>
      <cdr:y>0.6321</cdr:y>
    </cdr:to>
    <cdr:sp macro="" textlink="">
      <cdr:nvSpPr>
        <cdr:cNvPr id="215042" name="Line 2"/>
        <cdr:cNvSpPr>
          <a:spLocks xmlns:a="http://schemas.openxmlformats.org/drawingml/2006/main" noChangeShapeType="1"/>
        </cdr:cNvSpPr>
      </cdr:nvSpPr>
      <cdr:spPr bwMode="auto">
        <a:xfrm xmlns:a="http://schemas.openxmlformats.org/drawingml/2006/main">
          <a:off x="879980" y="2242898"/>
          <a:ext cx="11665267"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19.xml><?xml version="1.0" encoding="utf-8"?>
<c:userShapes xmlns:c="http://schemas.openxmlformats.org/drawingml/2006/chart">
  <cdr:relSizeAnchor xmlns:cdr="http://schemas.openxmlformats.org/drawingml/2006/chartDrawing">
    <cdr:from>
      <cdr:x>0.83044</cdr:x>
      <cdr:y>0.24015</cdr:y>
    </cdr:from>
    <cdr:to>
      <cdr:x>0.91206</cdr:x>
      <cdr:y>0.31294</cdr:y>
    </cdr:to>
    <cdr:sp macro="" textlink="">
      <cdr:nvSpPr>
        <cdr:cNvPr id="216065" name="Text Box 1"/>
        <cdr:cNvSpPr txBox="1">
          <a:spLocks xmlns:a="http://schemas.openxmlformats.org/drawingml/2006/main" noChangeArrowheads="1"/>
        </cdr:cNvSpPr>
      </cdr:nvSpPr>
      <cdr:spPr bwMode="auto">
        <a:xfrm xmlns:a="http://schemas.openxmlformats.org/drawingml/2006/main">
          <a:off x="10301948" y="778608"/>
          <a:ext cx="1012193" cy="23502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VIP</a:t>
          </a:r>
        </a:p>
      </cdr:txBody>
    </cdr:sp>
  </cdr:relSizeAnchor>
  <cdr:relSizeAnchor xmlns:cdr="http://schemas.openxmlformats.org/drawingml/2006/chartDrawing">
    <cdr:from>
      <cdr:x>0.84409</cdr:x>
      <cdr:y>0.80789</cdr:y>
    </cdr:from>
    <cdr:to>
      <cdr:x>0.92695</cdr:x>
      <cdr:y>0.87728</cdr:y>
    </cdr:to>
    <cdr:sp macro="" textlink="">
      <cdr:nvSpPr>
        <cdr:cNvPr id="216066" name="Text Box 2"/>
        <cdr:cNvSpPr txBox="1">
          <a:spLocks xmlns:a="http://schemas.openxmlformats.org/drawingml/2006/main" noChangeArrowheads="1"/>
        </cdr:cNvSpPr>
      </cdr:nvSpPr>
      <cdr:spPr bwMode="auto">
        <a:xfrm xmlns:a="http://schemas.openxmlformats.org/drawingml/2006/main">
          <a:off x="10471160" y="2611837"/>
          <a:ext cx="1027576" cy="22406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Mass</a:t>
          </a: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0</xdr:colOff>
      <xdr:row>188</xdr:row>
      <xdr:rowOff>0</xdr:rowOff>
    </xdr:from>
    <xdr:to>
      <xdr:col>41</xdr:col>
      <xdr:colOff>19050</xdr:colOff>
      <xdr:row>208</xdr:row>
      <xdr:rowOff>104775</xdr:rowOff>
    </xdr:to>
    <xdr:graphicFrame macro="">
      <xdr:nvGraphicFramePr>
        <xdr:cNvPr id="5333535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46</xdr:col>
      <xdr:colOff>428625</xdr:colOff>
      <xdr:row>212</xdr:row>
      <xdr:rowOff>9525</xdr:rowOff>
    </xdr:from>
    <xdr:to>
      <xdr:col>53</xdr:col>
      <xdr:colOff>676275</xdr:colOff>
      <xdr:row>231</xdr:row>
      <xdr:rowOff>104775</xdr:rowOff>
    </xdr:to>
    <xdr:graphicFrame macro="">
      <xdr:nvGraphicFramePr>
        <xdr:cNvPr id="5333535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19050</xdr:colOff>
      <xdr:row>216</xdr:row>
      <xdr:rowOff>104775</xdr:rowOff>
    </xdr:from>
    <xdr:to>
      <xdr:col>40</xdr:col>
      <xdr:colOff>466725</xdr:colOff>
      <xdr:row>235</xdr:row>
      <xdr:rowOff>66675</xdr:rowOff>
    </xdr:to>
    <xdr:graphicFrame macro="">
      <xdr:nvGraphicFramePr>
        <xdr:cNvPr id="5333535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323850</xdr:colOff>
      <xdr:row>241</xdr:row>
      <xdr:rowOff>0</xdr:rowOff>
    </xdr:from>
    <xdr:to>
      <xdr:col>41</xdr:col>
      <xdr:colOff>228600</xdr:colOff>
      <xdr:row>261</xdr:row>
      <xdr:rowOff>85725</xdr:rowOff>
    </xdr:to>
    <xdr:graphicFrame macro="">
      <xdr:nvGraphicFramePr>
        <xdr:cNvPr id="5333535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61</xdr:col>
      <xdr:colOff>142875</xdr:colOff>
      <xdr:row>286</xdr:row>
      <xdr:rowOff>38100</xdr:rowOff>
    </xdr:from>
    <xdr:to>
      <xdr:col>67</xdr:col>
      <xdr:colOff>123825</xdr:colOff>
      <xdr:row>304</xdr:row>
      <xdr:rowOff>133350</xdr:rowOff>
    </xdr:to>
    <xdr:graphicFrame macro="">
      <xdr:nvGraphicFramePr>
        <xdr:cNvPr id="5333535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1.xml><?xml version="1.0" encoding="utf-8"?>
<c:userShapes xmlns:c="http://schemas.openxmlformats.org/drawingml/2006/chart">
  <cdr:relSizeAnchor xmlns:cdr="http://schemas.openxmlformats.org/drawingml/2006/chartDrawing">
    <cdr:from>
      <cdr:x>0.06851</cdr:x>
      <cdr:y>0.39563</cdr:y>
    </cdr:from>
    <cdr:to>
      <cdr:x>0.98707</cdr:x>
      <cdr:y>0.39563</cdr:y>
    </cdr:to>
    <cdr:sp macro="" textlink="">
      <cdr:nvSpPr>
        <cdr:cNvPr id="215041" name="Line 1"/>
        <cdr:cNvSpPr>
          <a:spLocks xmlns:a="http://schemas.openxmlformats.org/drawingml/2006/main" noChangeShapeType="1"/>
        </cdr:cNvSpPr>
      </cdr:nvSpPr>
      <cdr:spPr bwMode="auto">
        <a:xfrm xmlns:a="http://schemas.openxmlformats.org/drawingml/2006/main">
          <a:off x="873674" y="1405022"/>
          <a:ext cx="11671573"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0.06901</cdr:x>
      <cdr:y>0.6321</cdr:y>
    </cdr:from>
    <cdr:to>
      <cdr:x>0.98707</cdr:x>
      <cdr:y>0.6321</cdr:y>
    </cdr:to>
    <cdr:sp macro="" textlink="">
      <cdr:nvSpPr>
        <cdr:cNvPr id="215042" name="Line 2"/>
        <cdr:cNvSpPr>
          <a:spLocks xmlns:a="http://schemas.openxmlformats.org/drawingml/2006/main" noChangeShapeType="1"/>
        </cdr:cNvSpPr>
      </cdr:nvSpPr>
      <cdr:spPr bwMode="auto">
        <a:xfrm xmlns:a="http://schemas.openxmlformats.org/drawingml/2006/main">
          <a:off x="879980" y="2242898"/>
          <a:ext cx="11665267"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22.xml><?xml version="1.0" encoding="utf-8"?>
<c:userShapes xmlns:c="http://schemas.openxmlformats.org/drawingml/2006/chart">
  <cdr:relSizeAnchor xmlns:cdr="http://schemas.openxmlformats.org/drawingml/2006/chartDrawing">
    <cdr:from>
      <cdr:x>0.83044</cdr:x>
      <cdr:y>0.24015</cdr:y>
    </cdr:from>
    <cdr:to>
      <cdr:x>0.91206</cdr:x>
      <cdr:y>0.31294</cdr:y>
    </cdr:to>
    <cdr:sp macro="" textlink="">
      <cdr:nvSpPr>
        <cdr:cNvPr id="216065" name="Text Box 1"/>
        <cdr:cNvSpPr txBox="1">
          <a:spLocks xmlns:a="http://schemas.openxmlformats.org/drawingml/2006/main" noChangeArrowheads="1"/>
        </cdr:cNvSpPr>
      </cdr:nvSpPr>
      <cdr:spPr bwMode="auto">
        <a:xfrm xmlns:a="http://schemas.openxmlformats.org/drawingml/2006/main">
          <a:off x="10301948" y="778608"/>
          <a:ext cx="1012193" cy="23502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VIP</a:t>
          </a:r>
        </a:p>
      </cdr:txBody>
    </cdr:sp>
  </cdr:relSizeAnchor>
  <cdr:relSizeAnchor xmlns:cdr="http://schemas.openxmlformats.org/drawingml/2006/chartDrawing">
    <cdr:from>
      <cdr:x>0.84409</cdr:x>
      <cdr:y>0.80789</cdr:y>
    </cdr:from>
    <cdr:to>
      <cdr:x>0.92695</cdr:x>
      <cdr:y>0.87728</cdr:y>
    </cdr:to>
    <cdr:sp macro="" textlink="">
      <cdr:nvSpPr>
        <cdr:cNvPr id="216066" name="Text Box 2"/>
        <cdr:cNvSpPr txBox="1">
          <a:spLocks xmlns:a="http://schemas.openxmlformats.org/drawingml/2006/main" noChangeArrowheads="1"/>
        </cdr:cNvSpPr>
      </cdr:nvSpPr>
      <cdr:spPr bwMode="auto">
        <a:xfrm xmlns:a="http://schemas.openxmlformats.org/drawingml/2006/main">
          <a:off x="10471160" y="2611837"/>
          <a:ext cx="1027576" cy="22406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Mass</a:t>
          </a:r>
        </a:p>
      </cdr:txBody>
    </cdr:sp>
  </cdr:relSizeAnchor>
</c:userShapes>
</file>

<file path=xl/drawings/drawing23.xml><?xml version="1.0" encoding="utf-8"?>
<xdr:wsDr xmlns:xdr="http://schemas.openxmlformats.org/drawingml/2006/spreadsheetDrawing" xmlns:a="http://schemas.openxmlformats.org/drawingml/2006/main">
  <xdr:twoCellAnchor>
    <xdr:from>
      <xdr:col>4</xdr:col>
      <xdr:colOff>76200</xdr:colOff>
      <xdr:row>20</xdr:row>
      <xdr:rowOff>0</xdr:rowOff>
    </xdr:from>
    <xdr:to>
      <xdr:col>14</xdr:col>
      <xdr:colOff>171450</xdr:colOff>
      <xdr:row>48</xdr:row>
      <xdr:rowOff>47625</xdr:rowOff>
    </xdr:to>
    <xdr:graphicFrame macro="">
      <xdr:nvGraphicFramePr>
        <xdr:cNvPr id="2894829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68</xdr:row>
      <xdr:rowOff>0</xdr:rowOff>
    </xdr:from>
    <xdr:to>
      <xdr:col>30</xdr:col>
      <xdr:colOff>9525</xdr:colOff>
      <xdr:row>95</xdr:row>
      <xdr:rowOff>123825</xdr:rowOff>
    </xdr:to>
    <xdr:graphicFrame macro="">
      <xdr:nvGraphicFramePr>
        <xdr:cNvPr id="2894829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66675</xdr:colOff>
      <xdr:row>114</xdr:row>
      <xdr:rowOff>38100</xdr:rowOff>
    </xdr:from>
    <xdr:to>
      <xdr:col>44</xdr:col>
      <xdr:colOff>657225</xdr:colOff>
      <xdr:row>138</xdr:row>
      <xdr:rowOff>142875</xdr:rowOff>
    </xdr:to>
    <xdr:graphicFrame macro="">
      <xdr:nvGraphicFramePr>
        <xdr:cNvPr id="2894829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45</xdr:col>
      <xdr:colOff>104775</xdr:colOff>
      <xdr:row>140</xdr:row>
      <xdr:rowOff>38100</xdr:rowOff>
    </xdr:from>
    <xdr:to>
      <xdr:col>54</xdr:col>
      <xdr:colOff>152400</xdr:colOff>
      <xdr:row>165</xdr:row>
      <xdr:rowOff>0</xdr:rowOff>
    </xdr:to>
    <xdr:graphicFrame macro="">
      <xdr:nvGraphicFramePr>
        <xdr:cNvPr id="2894829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67</xdr:col>
      <xdr:colOff>19050</xdr:colOff>
      <xdr:row>199</xdr:row>
      <xdr:rowOff>47625</xdr:rowOff>
    </xdr:from>
    <xdr:to>
      <xdr:col>78</xdr:col>
      <xdr:colOff>104775</xdr:colOff>
      <xdr:row>227</xdr:row>
      <xdr:rowOff>95250</xdr:rowOff>
    </xdr:to>
    <xdr:graphicFrame macro="">
      <xdr:nvGraphicFramePr>
        <xdr:cNvPr id="28948297"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97</xdr:col>
      <xdr:colOff>38100</xdr:colOff>
      <xdr:row>269</xdr:row>
      <xdr:rowOff>47625</xdr:rowOff>
    </xdr:from>
    <xdr:to>
      <xdr:col>105</xdr:col>
      <xdr:colOff>590550</xdr:colOff>
      <xdr:row>296</xdr:row>
      <xdr:rowOff>104775</xdr:rowOff>
    </xdr:to>
    <xdr:graphicFrame macro="">
      <xdr:nvGraphicFramePr>
        <xdr:cNvPr id="28948298"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108</xdr:col>
      <xdr:colOff>0</xdr:colOff>
      <xdr:row>305</xdr:row>
      <xdr:rowOff>0</xdr:rowOff>
    </xdr:from>
    <xdr:to>
      <xdr:col>116</xdr:col>
      <xdr:colOff>409575</xdr:colOff>
      <xdr:row>327</xdr:row>
      <xdr:rowOff>95250</xdr:rowOff>
    </xdr:to>
    <xdr:graphicFrame macro="">
      <xdr:nvGraphicFramePr>
        <xdr:cNvPr id="28948299"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160</xdr:col>
      <xdr:colOff>0</xdr:colOff>
      <xdr:row>462</xdr:row>
      <xdr:rowOff>104775</xdr:rowOff>
    </xdr:from>
    <xdr:to>
      <xdr:col>160</xdr:col>
      <xdr:colOff>171450</xdr:colOff>
      <xdr:row>462</xdr:row>
      <xdr:rowOff>104775</xdr:rowOff>
    </xdr:to>
    <xdr:sp macro="" textlink="">
      <xdr:nvSpPr>
        <xdr:cNvPr id="28948300" name="Line 20"/>
        <xdr:cNvSpPr>
          <a:spLocks noChangeShapeType="1"/>
        </xdr:cNvSpPr>
      </xdr:nvSpPr>
      <xdr:spPr bwMode="auto">
        <a:xfrm>
          <a:off x="121462800" y="74552175"/>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160</xdr:col>
      <xdr:colOff>171450</xdr:colOff>
      <xdr:row>461</xdr:row>
      <xdr:rowOff>57150</xdr:rowOff>
    </xdr:from>
    <xdr:to>
      <xdr:col>160</xdr:col>
      <xdr:colOff>1866900</xdr:colOff>
      <xdr:row>463</xdr:row>
      <xdr:rowOff>76200</xdr:rowOff>
    </xdr:to>
    <xdr:sp macro="" textlink="">
      <xdr:nvSpPr>
        <xdr:cNvPr id="227349" name="Text Box 21"/>
        <xdr:cNvSpPr txBox="1">
          <a:spLocks noChangeArrowheads="1"/>
        </xdr:cNvSpPr>
      </xdr:nvSpPr>
      <xdr:spPr bwMode="auto">
        <a:xfrm>
          <a:off x="122405775" y="74180700"/>
          <a:ext cx="1695450" cy="342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+35% room growth vs. </a:t>
          </a:r>
        </a:p>
        <a:p>
          <a:pPr algn="ctr" rtl="0">
            <a:defRPr sz="1000"/>
          </a:pPr>
          <a:r>
            <a:rPr lang="en-US" sz="1000" b="0" i="0" u="none" strike="noStrike" baseline="0">
              <a:solidFill>
                <a:srgbClr val="000000"/>
              </a:solidFill>
              <a:latin typeface="Arial"/>
              <a:cs typeface="Arial"/>
            </a:rPr>
            <a:t>MAR +29% and HOT +24%</a:t>
          </a:r>
        </a:p>
      </xdr:txBody>
    </xdr:sp>
    <xdr:clientData/>
  </xdr:twoCellAnchor>
  <xdr:twoCellAnchor>
    <xdr:from>
      <xdr:col>160</xdr:col>
      <xdr:colOff>9525</xdr:colOff>
      <xdr:row>476</xdr:row>
      <xdr:rowOff>123825</xdr:rowOff>
    </xdr:from>
    <xdr:to>
      <xdr:col>160</xdr:col>
      <xdr:colOff>180975</xdr:colOff>
      <xdr:row>477</xdr:row>
      <xdr:rowOff>104775</xdr:rowOff>
    </xdr:to>
    <xdr:sp macro="" textlink="">
      <xdr:nvSpPr>
        <xdr:cNvPr id="28948302" name="Line 22"/>
        <xdr:cNvSpPr>
          <a:spLocks noChangeShapeType="1"/>
        </xdr:cNvSpPr>
      </xdr:nvSpPr>
      <xdr:spPr bwMode="auto">
        <a:xfrm flipV="1">
          <a:off x="121472325" y="76838175"/>
          <a:ext cx="17145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160</xdr:col>
      <xdr:colOff>180975</xdr:colOff>
      <xdr:row>475</xdr:row>
      <xdr:rowOff>0</xdr:rowOff>
    </xdr:from>
    <xdr:to>
      <xdr:col>160</xdr:col>
      <xdr:colOff>1866900</xdr:colOff>
      <xdr:row>478</xdr:row>
      <xdr:rowOff>19050</xdr:rowOff>
    </xdr:to>
    <xdr:sp macro="" textlink="">
      <xdr:nvSpPr>
        <xdr:cNvPr id="227351" name="Text Box 23"/>
        <xdr:cNvSpPr txBox="1">
          <a:spLocks noChangeArrowheads="1"/>
        </xdr:cNvSpPr>
      </xdr:nvSpPr>
      <xdr:spPr bwMode="auto">
        <a:xfrm>
          <a:off x="122415300" y="76390500"/>
          <a:ext cx="1685925" cy="5048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+21% adj EBITDA growth vs. MAR -25% / HOT -16% (/ share MAR -4%/HOT -9%)</a:t>
          </a:r>
        </a:p>
      </xdr:txBody>
    </xdr:sp>
    <xdr:clientData/>
  </xdr:twoCellAnchor>
  <xdr:twoCellAnchor>
    <xdr:from>
      <xdr:col>160</xdr:col>
      <xdr:colOff>0</xdr:colOff>
      <xdr:row>464</xdr:row>
      <xdr:rowOff>133350</xdr:rowOff>
    </xdr:from>
    <xdr:to>
      <xdr:col>160</xdr:col>
      <xdr:colOff>171450</xdr:colOff>
      <xdr:row>465</xdr:row>
      <xdr:rowOff>104775</xdr:rowOff>
    </xdr:to>
    <xdr:sp macro="" textlink="">
      <xdr:nvSpPr>
        <xdr:cNvPr id="28948304" name="Line 24"/>
        <xdr:cNvSpPr>
          <a:spLocks noChangeShapeType="1"/>
        </xdr:cNvSpPr>
      </xdr:nvSpPr>
      <xdr:spPr bwMode="auto">
        <a:xfrm>
          <a:off x="121462800" y="74904600"/>
          <a:ext cx="1714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160</xdr:col>
      <xdr:colOff>171450</xdr:colOff>
      <xdr:row>464</xdr:row>
      <xdr:rowOff>57150</xdr:rowOff>
    </xdr:from>
    <xdr:to>
      <xdr:col>160</xdr:col>
      <xdr:colOff>1866900</xdr:colOff>
      <xdr:row>469</xdr:row>
      <xdr:rowOff>76200</xdr:rowOff>
    </xdr:to>
    <xdr:sp macro="" textlink="">
      <xdr:nvSpPr>
        <xdr:cNvPr id="227353" name="Text Box 25"/>
        <xdr:cNvSpPr txBox="1">
          <a:spLocks noChangeArrowheads="1"/>
        </xdr:cNvSpPr>
      </xdr:nvSpPr>
      <xdr:spPr bwMode="auto">
        <a:xfrm>
          <a:off x="122405775" y="74666475"/>
          <a:ext cx="1695450" cy="8286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Strong pipeline growth driven by 115% RevPAR Index premium, 5% RevPAR growth since acq. vs. +2% for MAR / HOT over period</a:t>
          </a:r>
        </a:p>
      </xdr:txBody>
    </xdr:sp>
    <xdr:clientData/>
  </xdr:twoCellAnchor>
  <xdr:twoCellAnchor>
    <xdr:from>
      <xdr:col>160</xdr:col>
      <xdr:colOff>0</xdr:colOff>
      <xdr:row>465</xdr:row>
      <xdr:rowOff>104775</xdr:rowOff>
    </xdr:from>
    <xdr:to>
      <xdr:col>160</xdr:col>
      <xdr:colOff>171450</xdr:colOff>
      <xdr:row>466</xdr:row>
      <xdr:rowOff>76200</xdr:rowOff>
    </xdr:to>
    <xdr:sp macro="" textlink="">
      <xdr:nvSpPr>
        <xdr:cNvPr id="28948306" name="Line 26"/>
        <xdr:cNvSpPr>
          <a:spLocks noChangeShapeType="1"/>
        </xdr:cNvSpPr>
      </xdr:nvSpPr>
      <xdr:spPr bwMode="auto">
        <a:xfrm flipV="1">
          <a:off x="121462800" y="75037950"/>
          <a:ext cx="1714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160</xdr:col>
      <xdr:colOff>0</xdr:colOff>
      <xdr:row>471</xdr:row>
      <xdr:rowOff>123825</xdr:rowOff>
    </xdr:from>
    <xdr:to>
      <xdr:col>160</xdr:col>
      <xdr:colOff>180975</xdr:colOff>
      <xdr:row>473</xdr:row>
      <xdr:rowOff>85725</xdr:rowOff>
    </xdr:to>
    <xdr:sp macro="" textlink="">
      <xdr:nvSpPr>
        <xdr:cNvPr id="28948307" name="Line 27"/>
        <xdr:cNvSpPr>
          <a:spLocks noChangeShapeType="1"/>
        </xdr:cNvSpPr>
      </xdr:nvSpPr>
      <xdr:spPr bwMode="auto">
        <a:xfrm flipV="1">
          <a:off x="121462800" y="76028550"/>
          <a:ext cx="180975"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160</xdr:col>
      <xdr:colOff>171450</xdr:colOff>
      <xdr:row>469</xdr:row>
      <xdr:rowOff>142875</xdr:rowOff>
    </xdr:from>
    <xdr:to>
      <xdr:col>160</xdr:col>
      <xdr:colOff>1866900</xdr:colOff>
      <xdr:row>472</xdr:row>
      <xdr:rowOff>38100</xdr:rowOff>
    </xdr:to>
    <xdr:sp macro="" textlink="">
      <xdr:nvSpPr>
        <xdr:cNvPr id="227356" name="Text Box 28"/>
        <xdr:cNvSpPr txBox="1">
          <a:spLocks noChangeArrowheads="1"/>
        </xdr:cNvSpPr>
      </xdr:nvSpPr>
      <xdr:spPr bwMode="auto">
        <a:xfrm>
          <a:off x="122405775" y="75561825"/>
          <a:ext cx="1695450" cy="381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Published rate currently 5.4%</a:t>
          </a:r>
        </a:p>
      </xdr:txBody>
    </xdr:sp>
    <xdr:clientData/>
  </xdr:twoCellAnchor>
  <xdr:twoCellAnchor>
    <xdr:from>
      <xdr:col>160</xdr:col>
      <xdr:colOff>0</xdr:colOff>
      <xdr:row>478</xdr:row>
      <xdr:rowOff>123825</xdr:rowOff>
    </xdr:from>
    <xdr:to>
      <xdr:col>160</xdr:col>
      <xdr:colOff>152400</xdr:colOff>
      <xdr:row>479</xdr:row>
      <xdr:rowOff>47625</xdr:rowOff>
    </xdr:to>
    <xdr:sp macro="" textlink="">
      <xdr:nvSpPr>
        <xdr:cNvPr id="28948309" name="Line 31"/>
        <xdr:cNvSpPr>
          <a:spLocks noChangeShapeType="1"/>
        </xdr:cNvSpPr>
      </xdr:nvSpPr>
      <xdr:spPr bwMode="auto">
        <a:xfrm>
          <a:off x="121462800" y="77162025"/>
          <a:ext cx="1524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160</xdr:col>
      <xdr:colOff>180975</xdr:colOff>
      <xdr:row>478</xdr:row>
      <xdr:rowOff>104775</xdr:rowOff>
    </xdr:from>
    <xdr:to>
      <xdr:col>160</xdr:col>
      <xdr:colOff>1866900</xdr:colOff>
      <xdr:row>479</xdr:row>
      <xdr:rowOff>142874</xdr:rowOff>
    </xdr:to>
    <xdr:sp macro="" textlink="">
      <xdr:nvSpPr>
        <xdr:cNvPr id="227360" name="Text Box 32"/>
        <xdr:cNvSpPr txBox="1">
          <a:spLocks noChangeArrowheads="1"/>
        </xdr:cNvSpPr>
      </xdr:nvSpPr>
      <xdr:spPr bwMode="auto">
        <a:xfrm>
          <a:off x="122415300" y="76981050"/>
          <a:ext cx="1685925" cy="2000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vs. MAR +0.5%, HOT +3.2%</a:t>
          </a:r>
        </a:p>
      </xdr:txBody>
    </xdr:sp>
    <xdr:clientData/>
  </xdr:twoCellAnchor>
  <xdr:twoCellAnchor>
    <xdr:from>
      <xdr:col>160</xdr:col>
      <xdr:colOff>9525</xdr:colOff>
      <xdr:row>474</xdr:row>
      <xdr:rowOff>76200</xdr:rowOff>
    </xdr:from>
    <xdr:to>
      <xdr:col>160</xdr:col>
      <xdr:colOff>180975</xdr:colOff>
      <xdr:row>475</xdr:row>
      <xdr:rowOff>57150</xdr:rowOff>
    </xdr:to>
    <xdr:sp macro="" textlink="">
      <xdr:nvSpPr>
        <xdr:cNvPr id="28948311" name="Line 40"/>
        <xdr:cNvSpPr>
          <a:spLocks noChangeShapeType="1"/>
        </xdr:cNvSpPr>
      </xdr:nvSpPr>
      <xdr:spPr bwMode="auto">
        <a:xfrm flipV="1">
          <a:off x="121472325" y="76466700"/>
          <a:ext cx="17145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160</xdr:col>
      <xdr:colOff>180975</xdr:colOff>
      <xdr:row>472</xdr:row>
      <xdr:rowOff>66675</xdr:rowOff>
    </xdr:from>
    <xdr:to>
      <xdr:col>160</xdr:col>
      <xdr:colOff>1866900</xdr:colOff>
      <xdr:row>474</xdr:row>
      <xdr:rowOff>85724</xdr:rowOff>
    </xdr:to>
    <xdr:sp macro="" textlink="">
      <xdr:nvSpPr>
        <xdr:cNvPr id="227369" name="Text Box 41"/>
        <xdr:cNvSpPr txBox="1">
          <a:spLocks noChangeArrowheads="1"/>
        </xdr:cNvSpPr>
      </xdr:nvSpPr>
      <xdr:spPr bwMode="auto">
        <a:xfrm>
          <a:off x="122415300" y="75971400"/>
          <a:ext cx="1685925" cy="342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+86% HHonors growth vs. </a:t>
          </a:r>
        </a:p>
        <a:p>
          <a:pPr algn="ctr" rtl="0">
            <a:defRPr sz="1000"/>
          </a:pPr>
          <a:r>
            <a:rPr lang="en-US" sz="1000" b="0" i="0" u="none" strike="noStrike" baseline="0">
              <a:solidFill>
                <a:srgbClr val="000000"/>
              </a:solidFill>
              <a:latin typeface="Arial"/>
              <a:cs typeface="Arial"/>
            </a:rPr>
            <a:t>MAR +41% and HOT +54%</a:t>
          </a:r>
        </a:p>
      </xdr:txBody>
    </xdr:sp>
    <xdr:clientData/>
  </xdr:twoCellAnchor>
  <xdr:twoCellAnchor>
    <xdr:from>
      <xdr:col>160</xdr:col>
      <xdr:colOff>9525</xdr:colOff>
      <xdr:row>465</xdr:row>
      <xdr:rowOff>76200</xdr:rowOff>
    </xdr:from>
    <xdr:to>
      <xdr:col>160</xdr:col>
      <xdr:colOff>171450</xdr:colOff>
      <xdr:row>470</xdr:row>
      <xdr:rowOff>76200</xdr:rowOff>
    </xdr:to>
    <xdr:sp macro="" textlink="">
      <xdr:nvSpPr>
        <xdr:cNvPr id="28948313" name="Line 42"/>
        <xdr:cNvSpPr>
          <a:spLocks noChangeShapeType="1"/>
        </xdr:cNvSpPr>
      </xdr:nvSpPr>
      <xdr:spPr bwMode="auto">
        <a:xfrm flipV="1">
          <a:off x="121472325" y="75009375"/>
          <a:ext cx="161925"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132</xdr:col>
      <xdr:colOff>228600</xdr:colOff>
      <xdr:row>389</xdr:row>
      <xdr:rowOff>9525</xdr:rowOff>
    </xdr:from>
    <xdr:to>
      <xdr:col>142</xdr:col>
      <xdr:colOff>0</xdr:colOff>
      <xdr:row>416</xdr:row>
      <xdr:rowOff>66675</xdr:rowOff>
    </xdr:to>
    <xdr:graphicFrame macro="">
      <xdr:nvGraphicFramePr>
        <xdr:cNvPr id="28948314"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144</xdr:col>
      <xdr:colOff>114300</xdr:colOff>
      <xdr:row>428</xdr:row>
      <xdr:rowOff>114300</xdr:rowOff>
    </xdr:from>
    <xdr:to>
      <xdr:col>154</xdr:col>
      <xdr:colOff>200025</xdr:colOff>
      <xdr:row>456</xdr:row>
      <xdr:rowOff>9525</xdr:rowOff>
    </xdr:to>
    <xdr:graphicFrame macro="">
      <xdr:nvGraphicFramePr>
        <xdr:cNvPr id="28948315"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173</xdr:col>
      <xdr:colOff>38100</xdr:colOff>
      <xdr:row>496</xdr:row>
      <xdr:rowOff>133350</xdr:rowOff>
    </xdr:from>
    <xdr:to>
      <xdr:col>183</xdr:col>
      <xdr:colOff>133350</xdr:colOff>
      <xdr:row>524</xdr:row>
      <xdr:rowOff>28575</xdr:rowOff>
    </xdr:to>
    <xdr:graphicFrame macro="">
      <xdr:nvGraphicFramePr>
        <xdr:cNvPr id="28948316"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191</xdr:col>
      <xdr:colOff>257175</xdr:colOff>
      <xdr:row>532</xdr:row>
      <xdr:rowOff>85725</xdr:rowOff>
    </xdr:from>
    <xdr:to>
      <xdr:col>201</xdr:col>
      <xdr:colOff>352425</xdr:colOff>
      <xdr:row>559</xdr:row>
      <xdr:rowOff>142875</xdr:rowOff>
    </xdr:to>
    <xdr:graphicFrame macro="">
      <xdr:nvGraphicFramePr>
        <xdr:cNvPr id="28948317"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208</xdr:col>
      <xdr:colOff>57150</xdr:colOff>
      <xdr:row>568</xdr:row>
      <xdr:rowOff>85725</xdr:rowOff>
    </xdr:from>
    <xdr:to>
      <xdr:col>218</xdr:col>
      <xdr:colOff>142875</xdr:colOff>
      <xdr:row>595</xdr:row>
      <xdr:rowOff>142875</xdr:rowOff>
    </xdr:to>
    <xdr:graphicFrame macro="">
      <xdr:nvGraphicFramePr>
        <xdr:cNvPr id="2894831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121</xdr:col>
      <xdr:colOff>114300</xdr:colOff>
      <xdr:row>351</xdr:row>
      <xdr:rowOff>104775</xdr:rowOff>
    </xdr:from>
    <xdr:to>
      <xdr:col>129</xdr:col>
      <xdr:colOff>590550</xdr:colOff>
      <xdr:row>381</xdr:row>
      <xdr:rowOff>142875</xdr:rowOff>
    </xdr:to>
    <xdr:graphicFrame macro="">
      <xdr:nvGraphicFramePr>
        <xdr:cNvPr id="28948319"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238</xdr:col>
      <xdr:colOff>114300</xdr:colOff>
      <xdr:row>662</xdr:row>
      <xdr:rowOff>0</xdr:rowOff>
    </xdr:from>
    <xdr:to>
      <xdr:col>240</xdr:col>
      <xdr:colOff>38100</xdr:colOff>
      <xdr:row>663</xdr:row>
      <xdr:rowOff>9525</xdr:rowOff>
    </xdr:to>
    <xdr:sp macro="" textlink="">
      <xdr:nvSpPr>
        <xdr:cNvPr id="28948320" name="AutoShape 54"/>
        <xdr:cNvSpPr>
          <a:spLocks noChangeArrowheads="1"/>
        </xdr:cNvSpPr>
      </xdr:nvSpPr>
      <xdr:spPr bwMode="auto">
        <a:xfrm>
          <a:off x="182194200" y="105918000"/>
          <a:ext cx="1162050" cy="171450"/>
        </a:xfrm>
        <a:prstGeom prst="roundRect">
          <a:avLst>
            <a:gd name="adj"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oneCellAnchor>
    <xdr:from>
      <xdr:col>238</xdr:col>
      <xdr:colOff>266700</xdr:colOff>
      <xdr:row>666</xdr:row>
      <xdr:rowOff>38100</xdr:rowOff>
    </xdr:from>
    <xdr:ext cx="952056" cy="170560"/>
    <xdr:sp macro="" textlink="">
      <xdr:nvSpPr>
        <xdr:cNvPr id="227383" name="Text Box 55"/>
        <xdr:cNvSpPr txBox="1">
          <a:spLocks noChangeArrowheads="1"/>
        </xdr:cNvSpPr>
      </xdr:nvSpPr>
      <xdr:spPr bwMode="auto">
        <a:xfrm>
          <a:off x="181880435" y="103177041"/>
          <a:ext cx="952056" cy="170560"/>
        </a:xfrm>
        <a:prstGeom prst="rect">
          <a:avLst/>
        </a:prstGeom>
        <a:solidFill>
          <a:srgbClr xmlns:mc="http://schemas.openxmlformats.org/markup-compatibility/2006" xmlns:a14="http://schemas.microsoft.com/office/drawing/2010/main" val="F0F0F0"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$60m FX impact</a:t>
          </a:r>
        </a:p>
      </xdr:txBody>
    </xdr:sp>
    <xdr:clientData/>
  </xdr:oneCellAnchor>
  <xdr:twoCellAnchor>
    <xdr:from>
      <xdr:col>239</xdr:col>
      <xdr:colOff>85725</xdr:colOff>
      <xdr:row>663</xdr:row>
      <xdr:rowOff>0</xdr:rowOff>
    </xdr:from>
    <xdr:to>
      <xdr:col>239</xdr:col>
      <xdr:colOff>104775</xdr:colOff>
      <xdr:row>666</xdr:row>
      <xdr:rowOff>85725</xdr:rowOff>
    </xdr:to>
    <xdr:sp macro="" textlink="">
      <xdr:nvSpPr>
        <xdr:cNvPr id="28948322" name="Line 57"/>
        <xdr:cNvSpPr>
          <a:spLocks noChangeShapeType="1"/>
        </xdr:cNvSpPr>
      </xdr:nvSpPr>
      <xdr:spPr bwMode="auto">
        <a:xfrm flipH="1">
          <a:off x="182784750" y="106079925"/>
          <a:ext cx="19050"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94</xdr:col>
      <xdr:colOff>180975</xdr:colOff>
      <xdr:row>252</xdr:row>
      <xdr:rowOff>104775</xdr:rowOff>
    </xdr:from>
    <xdr:to>
      <xdr:col>95</xdr:col>
      <xdr:colOff>76200</xdr:colOff>
      <xdr:row>255</xdr:row>
      <xdr:rowOff>76200</xdr:rowOff>
    </xdr:to>
    <xdr:sp macro="" textlink="">
      <xdr:nvSpPr>
        <xdr:cNvPr id="28948323" name="AutoShape 64"/>
        <xdr:cNvSpPr>
          <a:spLocks noChangeArrowheads="1"/>
        </xdr:cNvSpPr>
      </xdr:nvSpPr>
      <xdr:spPr bwMode="auto">
        <a:xfrm>
          <a:off x="68084700" y="40386000"/>
          <a:ext cx="581025" cy="457200"/>
        </a:xfrm>
        <a:prstGeom prst="roundRect">
          <a:avLst>
            <a:gd name="adj"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94</xdr:col>
      <xdr:colOff>104775</xdr:colOff>
      <xdr:row>255</xdr:row>
      <xdr:rowOff>47625</xdr:rowOff>
    </xdr:from>
    <xdr:to>
      <xdr:col>94</xdr:col>
      <xdr:colOff>180975</xdr:colOff>
      <xdr:row>260</xdr:row>
      <xdr:rowOff>76200</xdr:rowOff>
    </xdr:to>
    <xdr:sp macro="" textlink="">
      <xdr:nvSpPr>
        <xdr:cNvPr id="28948324" name="Line 65"/>
        <xdr:cNvSpPr>
          <a:spLocks noChangeShapeType="1"/>
        </xdr:cNvSpPr>
      </xdr:nvSpPr>
      <xdr:spPr bwMode="auto">
        <a:xfrm flipH="1">
          <a:off x="68008500" y="40814625"/>
          <a:ext cx="76200" cy="838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92</xdr:col>
      <xdr:colOff>19050</xdr:colOff>
      <xdr:row>260</xdr:row>
      <xdr:rowOff>76200</xdr:rowOff>
    </xdr:from>
    <xdr:to>
      <xdr:col>96</xdr:col>
      <xdr:colOff>0</xdr:colOff>
      <xdr:row>262</xdr:row>
      <xdr:rowOff>104774</xdr:rowOff>
    </xdr:to>
    <xdr:sp macro="" textlink="">
      <xdr:nvSpPr>
        <xdr:cNvPr id="227394" name="Text Box 66"/>
        <xdr:cNvSpPr txBox="1">
          <a:spLocks noChangeArrowheads="1"/>
        </xdr:cNvSpPr>
      </xdr:nvSpPr>
      <xdr:spPr bwMode="auto">
        <a:xfrm>
          <a:off x="65770125" y="41490900"/>
          <a:ext cx="3505200" cy="3524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$70m amortization of financing costs is why interest expense rises y/y despite de-levering (ex implies $20m y/y savings)</a:t>
          </a:r>
        </a:p>
      </xdr:txBody>
    </xdr:sp>
    <xdr:clientData/>
  </xdr:twoCellAnchor>
</xdr:wsDr>
</file>

<file path=xl/drawings/drawing24.xml><?xml version="1.0" encoding="utf-8"?>
<c:userShapes xmlns:c="http://schemas.openxmlformats.org/drawingml/2006/chart">
  <cdr:relSizeAnchor xmlns:cdr="http://schemas.openxmlformats.org/drawingml/2006/chartDrawing">
    <cdr:from>
      <cdr:x>0.26436</cdr:x>
      <cdr:y>0.10638</cdr:y>
    </cdr:from>
    <cdr:to>
      <cdr:x>0.39322</cdr:x>
      <cdr:y>0.14465</cdr:y>
    </cdr:to>
    <cdr:sp macro="" textlink="">
      <cdr:nvSpPr>
        <cdr:cNvPr id="229377" name="Text Box 1"/>
        <cdr:cNvSpPr txBox="1">
          <a:spLocks xmlns:a="http://schemas.openxmlformats.org/drawingml/2006/main" noChangeArrowheads="1"/>
        </cdr:cNvSpPr>
      </cdr:nvSpPr>
      <cdr:spPr bwMode="auto">
        <a:xfrm xmlns:a="http://schemas.openxmlformats.org/drawingml/2006/main">
          <a:off x="1779272" y="463779"/>
          <a:ext cx="887102" cy="1668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679,000 rooms</a:t>
          </a:r>
        </a:p>
      </cdr:txBody>
    </cdr:sp>
  </cdr:relSizeAnchor>
  <cdr:relSizeAnchor xmlns:cdr="http://schemas.openxmlformats.org/drawingml/2006/chartDrawing">
    <cdr:from>
      <cdr:x>0.4053</cdr:x>
      <cdr:y>0.11152</cdr:y>
    </cdr:from>
    <cdr:to>
      <cdr:x>0.52347</cdr:x>
      <cdr:y>0.15581</cdr:y>
    </cdr:to>
    <cdr:sp macro="" textlink="">
      <cdr:nvSpPr>
        <cdr:cNvPr id="229378" name="Text Box 2"/>
        <cdr:cNvSpPr txBox="1">
          <a:spLocks xmlns:a="http://schemas.openxmlformats.org/drawingml/2006/main" noChangeArrowheads="1"/>
        </cdr:cNvSpPr>
      </cdr:nvSpPr>
      <cdr:spPr bwMode="auto">
        <a:xfrm xmlns:a="http://schemas.openxmlformats.org/drawingml/2006/main">
          <a:off x="2026060" y="486190"/>
          <a:ext cx="966940" cy="1930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672,000 rooms</a:t>
          </a:r>
        </a:p>
      </cdr:txBody>
    </cdr:sp>
  </cdr:relSizeAnchor>
  <cdr:relSizeAnchor xmlns:cdr="http://schemas.openxmlformats.org/drawingml/2006/chartDrawing">
    <cdr:from>
      <cdr:x>0.55558</cdr:x>
      <cdr:y>0.15801</cdr:y>
    </cdr:from>
    <cdr:to>
      <cdr:x>0.68469</cdr:x>
      <cdr:y>0.19628</cdr:y>
    </cdr:to>
    <cdr:sp macro="" textlink="">
      <cdr:nvSpPr>
        <cdr:cNvPr id="229379" name="Text Box 3"/>
        <cdr:cNvSpPr txBox="1">
          <a:spLocks xmlns:a="http://schemas.openxmlformats.org/drawingml/2006/main" noChangeArrowheads="1"/>
        </cdr:cNvSpPr>
      </cdr:nvSpPr>
      <cdr:spPr bwMode="auto">
        <a:xfrm xmlns:a="http://schemas.openxmlformats.org/drawingml/2006/main">
          <a:off x="3786163" y="688868"/>
          <a:ext cx="887102" cy="1668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645,000 rooms</a:t>
          </a:r>
        </a:p>
      </cdr:txBody>
    </cdr:sp>
  </cdr:relSizeAnchor>
  <cdr:relSizeAnchor xmlns:cdr="http://schemas.openxmlformats.org/drawingml/2006/chartDrawing">
    <cdr:from>
      <cdr:x>0.70258</cdr:x>
      <cdr:y>0.4502</cdr:y>
    </cdr:from>
    <cdr:to>
      <cdr:x>0.83218</cdr:x>
      <cdr:y>0.48847</cdr:y>
    </cdr:to>
    <cdr:sp macro="" textlink="">
      <cdr:nvSpPr>
        <cdr:cNvPr id="229380" name="Text Box 4"/>
        <cdr:cNvSpPr txBox="1">
          <a:spLocks xmlns:a="http://schemas.openxmlformats.org/drawingml/2006/main" noChangeArrowheads="1"/>
        </cdr:cNvSpPr>
      </cdr:nvSpPr>
      <cdr:spPr bwMode="auto">
        <a:xfrm xmlns:a="http://schemas.openxmlformats.org/drawingml/2006/main">
          <a:off x="4809267" y="1962714"/>
          <a:ext cx="887102" cy="1668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975" b="1" i="0" u="none" strike="noStrike" baseline="0">
              <a:solidFill>
                <a:srgbClr val="000000"/>
              </a:solidFill>
              <a:latin typeface="Arial"/>
              <a:cs typeface="Arial"/>
            </a:rPr>
            <a:t>346,000 rooms</a:t>
          </a:r>
        </a:p>
      </cdr:txBody>
    </cdr:sp>
  </cdr:relSizeAnchor>
  <cdr:relSizeAnchor xmlns:cdr="http://schemas.openxmlformats.org/drawingml/2006/chartDrawing">
    <cdr:from>
      <cdr:x>0.81777</cdr:x>
      <cdr:y>0.64653</cdr:y>
    </cdr:from>
    <cdr:to>
      <cdr:x>0.94736</cdr:x>
      <cdr:y>0.6848</cdr:y>
    </cdr:to>
    <cdr:sp macro="" textlink="">
      <cdr:nvSpPr>
        <cdr:cNvPr id="6" name="Text Box 4"/>
        <cdr:cNvSpPr txBox="1">
          <a:spLocks xmlns:a="http://schemas.openxmlformats.org/drawingml/2006/main" noChangeArrowheads="1"/>
        </cdr:cNvSpPr>
      </cdr:nvSpPr>
      <cdr:spPr bwMode="auto">
        <a:xfrm xmlns:a="http://schemas.openxmlformats.org/drawingml/2006/main">
          <a:off x="5597711" y="2818653"/>
          <a:ext cx="887102" cy="1668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22860"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975" b="1" i="0" u="none" strike="noStrike" baseline="0">
              <a:solidFill>
                <a:srgbClr val="000000"/>
              </a:solidFill>
              <a:latin typeface="Arial"/>
              <a:cs typeface="Arial"/>
            </a:rPr>
            <a:t>143,000 rooms</a:t>
          </a:r>
        </a:p>
      </cdr:txBody>
    </cdr:sp>
  </cdr:relSizeAnchor>
</c:userShapes>
</file>

<file path=xl/drawings/drawing25.xml><?xml version="1.0" encoding="utf-8"?>
<c:userShapes xmlns:c="http://schemas.openxmlformats.org/drawingml/2006/chart">
  <cdr:relSizeAnchor xmlns:cdr="http://schemas.openxmlformats.org/drawingml/2006/chartDrawing">
    <cdr:from>
      <cdr:x>0.6117</cdr:x>
      <cdr:y>0.09704</cdr:y>
    </cdr:from>
    <cdr:to>
      <cdr:x>0.96973</cdr:x>
      <cdr:y>0.20892</cdr:y>
    </cdr:to>
    <cdr:sp macro="" textlink="">
      <cdr:nvSpPr>
        <cdr:cNvPr id="228353" name="Text Box 1"/>
        <cdr:cNvSpPr txBox="1">
          <a:spLocks xmlns:a="http://schemas.openxmlformats.org/drawingml/2006/main" noChangeArrowheads="1"/>
        </cdr:cNvSpPr>
      </cdr:nvSpPr>
      <cdr:spPr bwMode="auto">
        <a:xfrm xmlns:a="http://schemas.openxmlformats.org/drawingml/2006/main">
          <a:off x="4256469" y="448678"/>
          <a:ext cx="2489454" cy="513645"/>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Arial"/>
              <a:cs typeface="Arial"/>
            </a:rPr>
            <a:t>HLT is now tracking inline with its STR chain scale weighted implied average </a:t>
          </a:r>
        </a:p>
      </cdr:txBody>
    </cdr:sp>
  </cdr:relSizeAnchor>
  <cdr:relSizeAnchor xmlns:cdr="http://schemas.openxmlformats.org/drawingml/2006/chartDrawing">
    <cdr:from>
      <cdr:x>0.64425</cdr:x>
      <cdr:y>0.23438</cdr:y>
    </cdr:from>
    <cdr:to>
      <cdr:x>0.95789</cdr:x>
      <cdr:y>0.3208</cdr:y>
    </cdr:to>
    <cdr:sp macro="" textlink="">
      <cdr:nvSpPr>
        <cdr:cNvPr id="228354" name="AutoShape 2"/>
        <cdr:cNvSpPr>
          <a:spLocks xmlns:a="http://schemas.openxmlformats.org/drawingml/2006/main"/>
        </cdr:cNvSpPr>
      </cdr:nvSpPr>
      <cdr:spPr bwMode="auto">
        <a:xfrm xmlns:a="http://schemas.openxmlformats.org/drawingml/2006/main" rot="5400000">
          <a:off x="5374827" y="187170"/>
          <a:ext cx="396755" cy="2180844"/>
        </a:xfrm>
        <a:prstGeom xmlns:a="http://schemas.openxmlformats.org/drawingml/2006/main" prst="leftBrace">
          <a:avLst>
            <a:gd name="adj1" fmla="val 45806"/>
            <a:gd name="adj2" fmla="val 50000"/>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0.19449</cdr:x>
      <cdr:y>0.09704</cdr:y>
    </cdr:from>
    <cdr:to>
      <cdr:x>0.55227</cdr:x>
      <cdr:y>0.20892</cdr:y>
    </cdr:to>
    <cdr:sp macro="" textlink="">
      <cdr:nvSpPr>
        <cdr:cNvPr id="228355" name="Text Box 3"/>
        <cdr:cNvSpPr txBox="1">
          <a:spLocks xmlns:a="http://schemas.openxmlformats.org/drawingml/2006/main" noChangeArrowheads="1"/>
        </cdr:cNvSpPr>
      </cdr:nvSpPr>
      <cdr:spPr bwMode="auto">
        <a:xfrm xmlns:a="http://schemas.openxmlformats.org/drawingml/2006/main">
          <a:off x="1355535" y="448678"/>
          <a:ext cx="2487739" cy="513645"/>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Arial"/>
              <a:cs typeface="Arial"/>
            </a:rPr>
            <a:t>HLT +6.7% in 2011 similar performance to MAR (+6.5%) on account of less luxury exposure</a:t>
          </a:r>
        </a:p>
      </cdr:txBody>
    </cdr:sp>
  </cdr:relSizeAnchor>
  <cdr:relSizeAnchor xmlns:cdr="http://schemas.openxmlformats.org/drawingml/2006/chartDrawing">
    <cdr:from>
      <cdr:x>0.08625</cdr:x>
      <cdr:y>0.09704</cdr:y>
    </cdr:from>
    <cdr:to>
      <cdr:x>0.18364</cdr:x>
      <cdr:y>0.39498</cdr:y>
    </cdr:to>
    <cdr:sp macro="" textlink="">
      <cdr:nvSpPr>
        <cdr:cNvPr id="228356" name="AutoShape 4"/>
        <cdr:cNvSpPr>
          <a:spLocks xmlns:a="http://schemas.openxmlformats.org/drawingml/2006/main" noChangeArrowheads="1"/>
        </cdr:cNvSpPr>
      </cdr:nvSpPr>
      <cdr:spPr bwMode="auto">
        <a:xfrm xmlns:a="http://schemas.openxmlformats.org/drawingml/2006/main">
          <a:off x="602869" y="448678"/>
          <a:ext cx="677228" cy="1367847"/>
        </a:xfrm>
        <a:prstGeom xmlns:a="http://schemas.openxmlformats.org/drawingml/2006/main" prst="roundRect">
          <a:avLst>
            <a:gd name="adj" fmla="val 16667"/>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26.xml><?xml version="1.0" encoding="utf-8"?>
<c:userShapes xmlns:c="http://schemas.openxmlformats.org/drawingml/2006/chart">
  <cdr:relSizeAnchor xmlns:cdr="http://schemas.openxmlformats.org/drawingml/2006/chartDrawing">
    <cdr:from>
      <cdr:x>0.35572</cdr:x>
      <cdr:y>0.15708</cdr:y>
    </cdr:from>
    <cdr:to>
      <cdr:x>0.81386</cdr:x>
      <cdr:y>0.30263</cdr:y>
    </cdr:to>
    <cdr:sp macro="" textlink="">
      <cdr:nvSpPr>
        <cdr:cNvPr id="232449" name="Line 1"/>
        <cdr:cNvSpPr>
          <a:spLocks xmlns:a="http://schemas.openxmlformats.org/drawingml/2006/main" noChangeShapeType="1"/>
        </cdr:cNvSpPr>
      </cdr:nvSpPr>
      <cdr:spPr bwMode="auto">
        <a:xfrm xmlns:a="http://schemas.openxmlformats.org/drawingml/2006/main" flipV="1">
          <a:off x="2462057" y="637623"/>
          <a:ext cx="3170930" cy="63433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triangle" w="med"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0.45391</cdr:x>
      <cdr:y>0.14143</cdr:y>
    </cdr:from>
    <cdr:to>
      <cdr:x>0.61277</cdr:x>
      <cdr:y>0.20367</cdr:y>
    </cdr:to>
    <cdr:sp macro="" textlink="">
      <cdr:nvSpPr>
        <cdr:cNvPr id="232450" name="Text Box 2"/>
        <cdr:cNvSpPr txBox="1">
          <a:spLocks xmlns:a="http://schemas.openxmlformats.org/drawingml/2006/main" noChangeArrowheads="1"/>
        </cdr:cNvSpPr>
      </cdr:nvSpPr>
      <cdr:spPr bwMode="auto">
        <a:xfrm xmlns:a="http://schemas.openxmlformats.org/drawingml/2006/main">
          <a:off x="3141653" y="590356"/>
          <a:ext cx="1099532" cy="26827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27432" tIns="32004" rIns="0" bIns="0" anchor="t" upright="1">
          <a:spAutoFit/>
        </a:bodyPr>
        <a:lstStyle xmlns:a="http://schemas.openxmlformats.org/drawingml/2006/main"/>
        <a:p xmlns:a="http://schemas.openxmlformats.org/drawingml/2006/main">
          <a:pPr algn="l" rtl="0">
            <a:defRPr sz="1000"/>
          </a:pPr>
          <a:r>
            <a:rPr lang="en-US" sz="1600" b="1" i="0" u="none" strike="noStrike" baseline="0">
              <a:solidFill>
                <a:srgbClr val="000000"/>
              </a:solidFill>
              <a:latin typeface="Arial"/>
              <a:cs typeface="Arial"/>
            </a:rPr>
            <a:t>13% CAGR</a:t>
          </a:r>
        </a:p>
      </cdr:txBody>
    </cdr:sp>
  </cdr:relSizeAnchor>
</c:userShapes>
</file>

<file path=xl/drawings/drawing27.xml><?xml version="1.0" encoding="utf-8"?>
<xdr:wsDr xmlns:xdr="http://schemas.openxmlformats.org/drawingml/2006/spreadsheetDrawing" xmlns:a="http://schemas.openxmlformats.org/drawingml/2006/main">
  <xdr:absoluteAnchor>
    <xdr:pos x="0" y="0"/>
    <xdr:ext cx="4394200" cy="17780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oneCellAnchor>
    <xdr:from>
      <xdr:col>3</xdr:col>
      <xdr:colOff>104775</xdr:colOff>
      <xdr:row>0</xdr:row>
      <xdr:rowOff>38100</xdr:rowOff>
    </xdr:from>
    <xdr:ext cx="2493503" cy="461921"/>
    <xdr:sp macro="" textlink="">
      <xdr:nvSpPr>
        <xdr:cNvPr id="2" name="Text Box 1"/>
        <xdr:cNvSpPr txBox="1">
          <a:spLocks noChangeArrowheads="1"/>
        </xdr:cNvSpPr>
      </xdr:nvSpPr>
      <xdr:spPr bwMode="auto">
        <a:xfrm>
          <a:off x="3286125" y="38100"/>
          <a:ext cx="2493503" cy="461921"/>
        </a:xfrm>
        <a:prstGeom prst="rect">
          <a:avLst/>
        </a:prstGeom>
        <a:solidFill>
          <a:srgbClr xmlns:mc="http://schemas.openxmlformats.org/markup-compatibility/2006" xmlns:a14="http://schemas.microsoft.com/office/drawing/2010/main" val="F0F0F0"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wrap="none" lIns="27432" tIns="32004" rIns="0" bIns="0" anchor="t" upright="1">
          <a:spAutoFit/>
        </a:bodyPr>
        <a:lstStyle/>
        <a:p>
          <a:pPr algn="l" rtl="0">
            <a:lnSpc>
              <a:spcPts val="1100"/>
            </a:lnSpc>
            <a:defRPr sz="1000"/>
          </a:pPr>
          <a:r>
            <a:rPr lang="en-US" sz="1000" b="1" i="0" u="none" strike="noStrike" baseline="0">
              <a:solidFill>
                <a:srgbClr val="008000"/>
              </a:solidFill>
              <a:latin typeface="Arial"/>
              <a:cs typeface="Arial"/>
            </a:rPr>
            <a:t>Change only those values in Green</a:t>
          </a: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FF0000"/>
              </a:solidFill>
              <a:latin typeface="Arial"/>
              <a:cs typeface="Arial"/>
            </a:rPr>
            <a:t>Do not change values in Red (formulas)</a:t>
          </a: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Yellow Rows may be deleted if not used </a:t>
          </a:r>
        </a:p>
      </xdr:txBody>
    </xdr:sp>
    <xdr:clientData/>
  </xdr:oneCellAnchor>
  <xdr:twoCellAnchor>
    <xdr:from>
      <xdr:col>2</xdr:col>
      <xdr:colOff>581025</xdr:colOff>
      <xdr:row>14</xdr:row>
      <xdr:rowOff>85725</xdr:rowOff>
    </xdr:from>
    <xdr:to>
      <xdr:col>5</xdr:col>
      <xdr:colOff>838200</xdr:colOff>
      <xdr:row>24</xdr:row>
      <xdr:rowOff>104775</xdr:rowOff>
    </xdr:to>
    <xdr:graphicFrame macro="">
      <xdr:nvGraphicFramePr>
        <xdr:cNvPr id="29623627" name="Chart 2 (1)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0F0F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7.vml" Type="http://schemas.openxmlformats.org/officeDocument/2006/relationships/vmlDrawing"/>
<Relationship Id="rId3"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3.xml" Type="http://schemas.openxmlformats.org/officeDocument/2006/relationships/drawing"/>
<Relationship Id="rId3" Target="../drawings/vmlDrawing8.vml" Type="http://schemas.openxmlformats.org/officeDocument/2006/relationships/vmlDrawing"/>
<Relationship Id="rId4"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11.xml" Type="http://schemas.openxmlformats.org/officeDocument/2006/relationships/drawing"/>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14.xml" Type="http://schemas.openxmlformats.org/officeDocument/2006/relationships/drawing"/>
<Relationship Id="rId3" Target="../drawings/vmlDrawing9.vml" Type="http://schemas.openxmlformats.org/officeDocument/2006/relationships/vmlDrawing"/>
<Relationship Id="rId4" Target="../comments8.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0.vml" Type="http://schemas.openxmlformats.org/officeDocument/2006/relationships/vmlDrawing"/>
<Relationship Id="rId3" Target="../comments9.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1.vml" Type="http://schemas.openxmlformats.org/officeDocument/2006/relationships/vmlDrawing"/>
<Relationship Id="rId3" Target="../comments10.xml" Type="http://schemas.openxmlformats.org/officeDocument/2006/relationships/comments"/>
</Relationships>

</file>

<file path=xl/worksheets/_rels/sheet18.xml.rels><?xml version="1.0" encoding="UTF-8" standalone="yes"?>
<Relationships xmlns="http://schemas.openxmlformats.org/package/2006/relationships">
<Relationship Id="rId1" Target="http://streeteasy.com/property/6830614-waldorf-astoria-hotel-42rr2" TargetMode="External" Type="http://schemas.openxmlformats.org/officeDocument/2006/relationships/hyperlink"/>
<Relationship Id="rId10" Target="http://streeteasy.com/rental/1022457-rental-100-east-50th-street-midtown-new-york" TargetMode="External" Type="http://schemas.openxmlformats.org/officeDocument/2006/relationships/hyperlink"/>
<Relationship Id="rId100" Target="http://streeteasy.com/rental/678069-coop-100-east-50th-street-midtown-new-york" TargetMode="External" Type="http://schemas.openxmlformats.org/officeDocument/2006/relationships/hyperlink"/>
<Relationship Id="rId101" Target="http://streeteasy.com/property/1324157-waldorf-astoria-hotel-38mm2" TargetMode="External" Type="http://schemas.openxmlformats.org/officeDocument/2006/relationships/hyperlink"/>
<Relationship Id="rId102" Target="http://streeteasy.com/rental/680415-rental-100-east-50th-street-midtown-new-york" TargetMode="External" Type="http://schemas.openxmlformats.org/officeDocument/2006/relationships/hyperlink"/>
<Relationship Id="rId103" Target="http://streeteasy.com/property/1325532-waldorf-astoria-hotel-38m2" TargetMode="External" Type="http://schemas.openxmlformats.org/officeDocument/2006/relationships/hyperlink"/>
<Relationship Id="rId104" Target="http://streeteasy.com/rental/467535-coop-100-east-50th-street-midtown-new-york" TargetMode="External" Type="http://schemas.openxmlformats.org/officeDocument/2006/relationships/hyperlink"/>
<Relationship Id="rId105" Target="http://streeteasy.com/property/1316365-waldorf-astoria-hotel-40a" TargetMode="External" Type="http://schemas.openxmlformats.org/officeDocument/2006/relationships/hyperlink"/>
<Relationship Id="rId106" Target="http://streeteasy.com/rental/608701-rental-100-east-50th-street-midtown-new-york" TargetMode="External" Type="http://schemas.openxmlformats.org/officeDocument/2006/relationships/hyperlink"/>
<Relationship Id="rId107" Target="http://streeteasy.com/property/1316712-waldorf-astoria-hotel-42h" TargetMode="External" Type="http://schemas.openxmlformats.org/officeDocument/2006/relationships/hyperlink"/>
<Relationship Id="rId108" Target="http://streeteasy.com/rental/389903-rental-100-east-50th-street-midtown-new-york" TargetMode="External" Type="http://schemas.openxmlformats.org/officeDocument/2006/relationships/hyperlink"/>
<Relationship Id="rId109" Target="http://streeteasy.com/property/1314838-waldorf-astoria-hotel-3310" TargetMode="External" Type="http://schemas.openxmlformats.org/officeDocument/2006/relationships/hyperlink"/>
<Relationship Id="rId11" Target="http://streeteasy.com/property/4301830-waldorf-astoria-hotel-37rr2" TargetMode="External" Type="http://schemas.openxmlformats.org/officeDocument/2006/relationships/hyperlink"/>
<Relationship Id="rId110" Target="http://streeteasy.com/rental/569414-rental-100-east-50th-street-midtown-new-york" TargetMode="External" Type="http://schemas.openxmlformats.org/officeDocument/2006/relationships/hyperlink"/>
<Relationship Id="rId111" Target="http://streeteasy.com/property/1314940-waldorf-astoria-hotel-37y" TargetMode="External" Type="http://schemas.openxmlformats.org/officeDocument/2006/relationships/hyperlink"/>
<Relationship Id="rId112" Target="http://streeteasy.com/rental/569413-rental-100-east-50th-street-midtown-new-york" TargetMode="External" Type="http://schemas.openxmlformats.org/officeDocument/2006/relationships/hyperlink"/>
<Relationship Id="rId113" Target="http://streeteasy.com/property/1317451-waldorf-astoria-hotel-28ff2" TargetMode="External" Type="http://schemas.openxmlformats.org/officeDocument/2006/relationships/hyperlink"/>
<Relationship Id="rId114" Target="http://streeteasy.com/rental/449222-rental-100-east-50th-street-midtown-new-york" TargetMode="External" Type="http://schemas.openxmlformats.org/officeDocument/2006/relationships/hyperlink"/>
<Relationship Id="rId115" Target="http://streeteasy.com/property/1353153-waldorf-astoria-hotel-39h" TargetMode="External" Type="http://schemas.openxmlformats.org/officeDocument/2006/relationships/hyperlink"/>
<Relationship Id="rId116" Target="http://streeteasy.com/rental/608010-rental-100-east-50th-street-midtown-new-york" TargetMode="External" Type="http://schemas.openxmlformats.org/officeDocument/2006/relationships/hyperlink"/>
<Relationship Id="rId117" Target="http://streeteasy.com/property/1314834-waldorf-astoria-hotel-41a" TargetMode="External" Type="http://schemas.openxmlformats.org/officeDocument/2006/relationships/hyperlink"/>
<Relationship Id="rId118" Target="http://streeteasy.com/rental/556239-rental-100-east-50th-street-midtown-new-york" TargetMode="External" Type="http://schemas.openxmlformats.org/officeDocument/2006/relationships/hyperlink"/>
<Relationship Id="rId119" Target="http://streeteasy.com/property/1314939-waldorf-astoria-hotel-37t" TargetMode="External" Type="http://schemas.openxmlformats.org/officeDocument/2006/relationships/hyperlink"/>
<Relationship Id="rId12" Target="http://streeteasy.com/rental/1013168-rental-100-east-50th-street-midtown-new-york" TargetMode="External" Type="http://schemas.openxmlformats.org/officeDocument/2006/relationships/hyperlink"/>
<Relationship Id="rId120" Target="http://streeteasy.com/rental/569412-rental-100-east-50th-street-midtown-new-york" TargetMode="External" Type="http://schemas.openxmlformats.org/officeDocument/2006/relationships/hyperlink"/>
<Relationship Id="rId121" Target="http://streeteasy.com/property/1325287-waldorf-astoria-hotel-30h" TargetMode="External" Type="http://schemas.openxmlformats.org/officeDocument/2006/relationships/hyperlink"/>
<Relationship Id="rId122" Target="http://streeteasy.com/rental/465717-rental-100-east-50th-street-midtown-new-york" TargetMode="External" Type="http://schemas.openxmlformats.org/officeDocument/2006/relationships/hyperlink"/>
<Relationship Id="rId123" Target="http://streeteasy.com/property/1321758-waldorf-astoria-hotel-37hh2" TargetMode="External" Type="http://schemas.openxmlformats.org/officeDocument/2006/relationships/hyperlink"/>
<Relationship Id="rId124" Target="http://streeteasy.com/rental/449224-rental-100-east-50th-street-midtown-new-york" TargetMode="External" Type="http://schemas.openxmlformats.org/officeDocument/2006/relationships/hyperlink"/>
<Relationship Id="rId125" Target="http://streeteasy.com/property/1353152-waldorf-astoria-hotel-40h" TargetMode="External" Type="http://schemas.openxmlformats.org/officeDocument/2006/relationships/hyperlink"/>
<Relationship Id="rId126" Target="http://streeteasy.com/rental/608009-rental-100-east-50th-street-midtown-new-york" TargetMode="External" Type="http://schemas.openxmlformats.org/officeDocument/2006/relationships/hyperlink"/>
<Relationship Id="rId127" Target="http://streeteasy.com/property/1353154-waldorf-astoria-hotel-41h" TargetMode="External" Type="http://schemas.openxmlformats.org/officeDocument/2006/relationships/hyperlink"/>
<Relationship Id="rId128" Target="http://streeteasy.com/rental/608011-rental-100-east-50th-street-midtown-new-york" TargetMode="External" Type="http://schemas.openxmlformats.org/officeDocument/2006/relationships/hyperlink"/>
<Relationship Id="rId129" Target="http://streeteasy.com/property/1324157-waldorf-astoria-hotel-38mm2" TargetMode="External" Type="http://schemas.openxmlformats.org/officeDocument/2006/relationships/hyperlink"/>
<Relationship Id="rId13" Target="http://streeteasy.com/property/1408144-waldorf-astoria-hotel-39f" TargetMode="External" Type="http://schemas.openxmlformats.org/officeDocument/2006/relationships/hyperlink"/>
<Relationship Id="rId130" Target="http://streeteasy.com/rental/455685-rental-100-east-50th-street-midtown-new-york" TargetMode="External" Type="http://schemas.openxmlformats.org/officeDocument/2006/relationships/hyperlink"/>
<Relationship Id="rId131" Target="http://streeteasy.com/property/1321758-waldorf-astoria-hotel-37hh2" TargetMode="External" Type="http://schemas.openxmlformats.org/officeDocument/2006/relationships/hyperlink"/>
<Relationship Id="rId132" Target="http://streeteasy.com/rental/436509-rental-100-east-50th-street-midtown-new-york" TargetMode="External" Type="http://schemas.openxmlformats.org/officeDocument/2006/relationships/hyperlink"/>
<Relationship Id="rId133" Target="http://streeteasy.com/property/1317451-waldorf-astoria-hotel-28ff2" TargetMode="External" Type="http://schemas.openxmlformats.org/officeDocument/2006/relationships/hyperlink"/>
<Relationship Id="rId134" Target="http://streeteasy.com/rental/401749-rental-100-east-50th-street-midtown-new-york" TargetMode="External" Type="http://schemas.openxmlformats.org/officeDocument/2006/relationships/hyperlink"/>
<Relationship Id="rId135" Target="http://streeteasy.com/property/1316366-waldorf-astoria-hotel-31h" TargetMode="External" Type="http://schemas.openxmlformats.org/officeDocument/2006/relationships/hyperlink"/>
<Relationship Id="rId136" Target="http://streeteasy.com/rental/388353-rental-100-east-50th-street-midtown-new-york" TargetMode="External" Type="http://schemas.openxmlformats.org/officeDocument/2006/relationships/hyperlink"/>
<Relationship Id="rId137" Target="http://streeteasy.com/property/1314940-waldorf-astoria-hotel-37y" TargetMode="External" Type="http://schemas.openxmlformats.org/officeDocument/2006/relationships/hyperlink"/>
<Relationship Id="rId138" Target="http://streeteasy.com/rental/369716-rental-100-east-50th-street-midtown-new-york" TargetMode="External" Type="http://schemas.openxmlformats.org/officeDocument/2006/relationships/hyperlink"/>
<Relationship Id="rId139" Target="http://streeteasy.com/property/1314939-waldorf-astoria-hotel-37t" TargetMode="External" Type="http://schemas.openxmlformats.org/officeDocument/2006/relationships/hyperlink"/>
<Relationship Id="rId14" Target="http://streeteasy.com/rental/1013169-rental-100-east-50th-street-midtown-new-york" TargetMode="External" Type="http://schemas.openxmlformats.org/officeDocument/2006/relationships/hyperlink"/>
<Relationship Id="rId140" Target="http://streeteasy.com/rental/369715-rental-100-east-50th-street-midtown-new-york" TargetMode="External" Type="http://schemas.openxmlformats.org/officeDocument/2006/relationships/hyperlink"/>
<Relationship Id="rId141" Target="http://streeteasy.com/property/1314839-waldorf-astoria-hotel-28h" TargetMode="External" Type="http://schemas.openxmlformats.org/officeDocument/2006/relationships/hyperlink"/>
<Relationship Id="rId142" Target="http://streeteasy.com/rental/367675-rental-100-east-50th-street-midtown-new-york" TargetMode="External" Type="http://schemas.openxmlformats.org/officeDocument/2006/relationships/hyperlink"/>
<Relationship Id="rId143" Target="http://streeteasy.com/property/1314838-waldorf-astoria-hotel-3310" TargetMode="External" Type="http://schemas.openxmlformats.org/officeDocument/2006/relationships/hyperlink"/>
<Relationship Id="rId144" Target="http://streeteasy.com/rental/367674-rental-100-east-50th-street-midtown-new-york" TargetMode="External" Type="http://schemas.openxmlformats.org/officeDocument/2006/relationships/hyperlink"/>
<Relationship Id="rId145" Target="http://streeteasy.com/property/1319204-waldorf-astoria-hotel-30a" TargetMode="External" Type="http://schemas.openxmlformats.org/officeDocument/2006/relationships/hyperlink"/>
<Relationship Id="rId146" Target="http://streeteasy.com/rental/416838-coop-100-east-50th-street-midtown-new-york" TargetMode="External" Type="http://schemas.openxmlformats.org/officeDocument/2006/relationships/hyperlink"/>
<Relationship Id="rId147" Target="http://streeteasy.com/property/1316366-waldorf-astoria-hotel-31h" TargetMode="External" Type="http://schemas.openxmlformats.org/officeDocument/2006/relationships/hyperlink"/>
<Relationship Id="rId148" Target="http://streeteasy.com/rental/593002-rental-100-east-50th-street-midtown-new-york" TargetMode="External" Type="http://schemas.openxmlformats.org/officeDocument/2006/relationships/hyperlink"/>
<Relationship Id="rId149" Target="http://streeteasy.com/property/1324355-waldorf-astoria-hotel-33a" TargetMode="External" Type="http://schemas.openxmlformats.org/officeDocument/2006/relationships/hyperlink"/>
<Relationship Id="rId15" Target="http://streeteasy.com/property/1341971-waldorf-astoria-hotel-36a" TargetMode="External" Type="http://schemas.openxmlformats.org/officeDocument/2006/relationships/hyperlink"/>
<Relationship Id="rId150" Target="http://streeteasy.com/rental/594244-rental-100-east-50th-street-midtown-new-york" TargetMode="External" Type="http://schemas.openxmlformats.org/officeDocument/2006/relationships/hyperlink"/>
<Relationship Id="rId151" Target="http://streeteasy.com/property/1316366-waldorf-astoria-hotel-31h" TargetMode="External" Type="http://schemas.openxmlformats.org/officeDocument/2006/relationships/hyperlink"/>
<Relationship Id="rId152" Target="http://streeteasy.com/rental/449223-rental-100-east-50th-street-midtown-new-york" TargetMode="External" Type="http://schemas.openxmlformats.org/officeDocument/2006/relationships/hyperlink"/>
<Relationship Id="rId153" Target="http://streeteasy.com/property/1324355-waldorf-astoria-hotel-33a" TargetMode="External" Type="http://schemas.openxmlformats.org/officeDocument/2006/relationships/hyperlink"/>
<Relationship Id="rId154" Target="http://streeteasy.com/rental/457508-rental-100-east-50th-street-midtown-new-york" TargetMode="External" Type="http://schemas.openxmlformats.org/officeDocument/2006/relationships/hyperlink"/>
<Relationship Id="rId155" Target="http://streeteasy.com/property/1341971-waldorf-astoria-hotel-36a" TargetMode="External" Type="http://schemas.openxmlformats.org/officeDocument/2006/relationships/hyperlink"/>
<Relationship Id="rId156" Target="http://streeteasy.com/rental/569409-rental-100-east-50th-street-midtown-new-york" TargetMode="External" Type="http://schemas.openxmlformats.org/officeDocument/2006/relationships/hyperlink"/>
<Relationship Id="rId157" Target="http://streeteasy.com/property/1314837-waldorf-astoria-hotel-33h" TargetMode="External" Type="http://schemas.openxmlformats.org/officeDocument/2006/relationships/hyperlink"/>
<Relationship Id="rId158" Target="http://streeteasy.com/rental/367672-rental-100-east-50th-street-midtown-new-york" TargetMode="External" Type="http://schemas.openxmlformats.org/officeDocument/2006/relationships/hyperlink"/>
<Relationship Id="rId159" Target="http://streeteasy.com/property/1319980-waldorf-astoria-hotel-2812" TargetMode="External" Type="http://schemas.openxmlformats.org/officeDocument/2006/relationships/hyperlink"/>
<Relationship Id="rId16" Target="http://streeteasy.com/rental/990286-rental-100-east-50th-street-midtown-new-york" TargetMode="External" Type="http://schemas.openxmlformats.org/officeDocument/2006/relationships/hyperlink"/>
<Relationship Id="rId160" Target="http://streeteasy.com/rental/422977-rental-100-east-50th-street-midtown-new-york" TargetMode="External" Type="http://schemas.openxmlformats.org/officeDocument/2006/relationships/hyperlink"/>
<Relationship Id="rId161" Target="http://streeteasy.com/property/1316365-waldorf-astoria-hotel-40a" TargetMode="External" Type="http://schemas.openxmlformats.org/officeDocument/2006/relationships/hyperlink"/>
<Relationship Id="rId162" Target="http://streeteasy.com/rental/388352-rental-100-east-50th-street-midtown-new-york" TargetMode="External" Type="http://schemas.openxmlformats.org/officeDocument/2006/relationships/hyperlink"/>
<Relationship Id="rId163" Target="http://streeteasy.com/property/1314834-waldorf-astoria-hotel-41a" TargetMode="External" Type="http://schemas.openxmlformats.org/officeDocument/2006/relationships/hyperlink"/>
<Relationship Id="rId164" Target="http://streeteasy.com/rental/367665-rental-100-east-50th-street-midtown-new-york" TargetMode="External" Type="http://schemas.openxmlformats.org/officeDocument/2006/relationships/hyperlink"/>
<Relationship Id="rId165" Target="http://streeteasy.com/building/737-park-avenue-new_york/20a" TargetMode="External" Type="http://schemas.openxmlformats.org/officeDocument/2006/relationships/hyperlink"/>
<Relationship Id="rId166" Target="http://streeteasy.com/building/737-park-avenue-new_york/10c" TargetMode="External" Type="http://schemas.openxmlformats.org/officeDocument/2006/relationships/hyperlink"/>
<Relationship Id="rId167" Target="http://streeteasy.com/building/737-park-avenue-new_york/6c" TargetMode="External" Type="http://schemas.openxmlformats.org/officeDocument/2006/relationships/hyperlink"/>
<Relationship Id="rId168" Target="http://streeteasy.com/building/737-park-avenue-new_york/14e" TargetMode="External" Type="http://schemas.openxmlformats.org/officeDocument/2006/relationships/hyperlink"/>
<Relationship Id="rId169" Target="http://streeteasy.com/building/737-park-avenue-new_york/17e" TargetMode="External" Type="http://schemas.openxmlformats.org/officeDocument/2006/relationships/hyperlink"/>
<Relationship Id="rId17" Target="http://streeteasy.com/property/3268207-waldorf-astoria-hotel-31ff2" TargetMode="External" Type="http://schemas.openxmlformats.org/officeDocument/2006/relationships/hyperlink"/>
<Relationship Id="rId170" Target="http://streeteasy.com/building/737-park-avenue-new_york/8a" TargetMode="External" Type="http://schemas.openxmlformats.org/officeDocument/2006/relationships/hyperlink"/>
<Relationship Id="rId171" Target="http://streeteasy.com/building/737-park-avenue-new_york/18-a" TargetMode="External" Type="http://schemas.openxmlformats.org/officeDocument/2006/relationships/hyperlink"/>
<Relationship Id="rId172" Target="http://streeteasy.com/building/737-park-avenue-new_york/5a" TargetMode="External" Type="http://schemas.openxmlformats.org/officeDocument/2006/relationships/hyperlink"/>
<Relationship Id="rId173" Target="http://streeteasy.com/building/737-park-avenue-new_york/6a" TargetMode="External" Type="http://schemas.openxmlformats.org/officeDocument/2006/relationships/hyperlink"/>
<Relationship Id="rId174" Target="http://streeteasy.com/building/737-park-avenue-new_york/3c" TargetMode="External" Type="http://schemas.openxmlformats.org/officeDocument/2006/relationships/hyperlink"/>
<Relationship Id="rId175" Target="http://streeteasy.com/building/737-park-avenue-new_york/4c" TargetMode="External" Type="http://schemas.openxmlformats.org/officeDocument/2006/relationships/hyperlink"/>
<Relationship Id="rId176" Target="http://streeteasy.com/building/737-park-avenue-new_york/5e" TargetMode="External" Type="http://schemas.openxmlformats.org/officeDocument/2006/relationships/hyperlink"/>
<Relationship Id="rId177" Target="http://streeteasy.com/building/737-park-avenue-new_york/3e" TargetMode="External" Type="http://schemas.openxmlformats.org/officeDocument/2006/relationships/hyperlink"/>
<Relationship Id="rId178" Target="http://streeteasy.com/building/737-park-avenue-new_york/2b" TargetMode="External" Type="http://schemas.openxmlformats.org/officeDocument/2006/relationships/hyperlink"/>
<Relationship Id="rId179" Target="http://streeteasy.com/building/737-park-avenue-new_york/6f" TargetMode="External" Type="http://schemas.openxmlformats.org/officeDocument/2006/relationships/hyperlink"/>
<Relationship Id="rId18" Target="http://streeteasy.com/rental/999107-rental-100-east-50th-street-midtown-new-york" TargetMode="External" Type="http://schemas.openxmlformats.org/officeDocument/2006/relationships/hyperlink"/>
<Relationship Id="rId180" Target="http://streeteasy.com/building/737-park-avenue-new_york/2e" TargetMode="External" Type="http://schemas.openxmlformats.org/officeDocument/2006/relationships/hyperlink"/>
<Relationship Id="rId181" Target="http://streeteasy.com/building/737-park-avenue-new_york/7e" TargetMode="External" Type="http://schemas.openxmlformats.org/officeDocument/2006/relationships/hyperlink"/>
<Relationship Id="rId182" Target="http://streeteasy.com/building/737-park-avenue-new_york/7g" TargetMode="External" Type="http://schemas.openxmlformats.org/officeDocument/2006/relationships/hyperlink"/>
<Relationship Id="rId183" Target="http://streeteasy.com/building/carlton-house/ph" TargetMode="External" Type="http://schemas.openxmlformats.org/officeDocument/2006/relationships/hyperlink"/>
<Relationship Id="rId184" Target="http://streeteasy.com/building/carlton-house/th" TargetMode="External" Type="http://schemas.openxmlformats.org/officeDocument/2006/relationships/hyperlink"/>
<Relationship Id="rId185" Target="http://streeteasy.com/building/carlton-house/14b" TargetMode="External" Type="http://schemas.openxmlformats.org/officeDocument/2006/relationships/hyperlink"/>
<Relationship Id="rId186" Target="http://streeteasy.com/building/carlton-house/16b" TargetMode="External" Type="http://schemas.openxmlformats.org/officeDocument/2006/relationships/hyperlink"/>
<Relationship Id="rId187" Target="http://streeteasy.com/building/carlton-house/14a" TargetMode="External" Type="http://schemas.openxmlformats.org/officeDocument/2006/relationships/hyperlink"/>
<Relationship Id="rId188" Target="http://streeteasy.com/building/carlton-house/15a" TargetMode="External" Type="http://schemas.openxmlformats.org/officeDocument/2006/relationships/hyperlink"/>
<Relationship Id="rId189" Target="http://streeteasy.com/building/carlton-house/6e" TargetMode="External" Type="http://schemas.openxmlformats.org/officeDocument/2006/relationships/hyperlink"/>
<Relationship Id="rId19" Target="http://streeteasy.com/property/1321758-waldorf-astoria-hotel-37hh2" TargetMode="External" Type="http://schemas.openxmlformats.org/officeDocument/2006/relationships/hyperlink"/>
<Relationship Id="rId190" Target="http://streeteasy.com/building/carlton-house/5b" TargetMode="External" Type="http://schemas.openxmlformats.org/officeDocument/2006/relationships/hyperlink"/>
<Relationship Id="rId191" Target="http://streeteasy.com/building/carlton-house/12e" TargetMode="External" Type="http://schemas.openxmlformats.org/officeDocument/2006/relationships/hyperlink"/>
<Relationship Id="rId192" Target="http://streeteasy.com/building/carlton-house/3e" TargetMode="External" Type="http://schemas.openxmlformats.org/officeDocument/2006/relationships/hyperlink"/>
<Relationship Id="rId193" Target="http://streeteasy.com/building/carlton-house/11e" TargetMode="External" Type="http://schemas.openxmlformats.org/officeDocument/2006/relationships/hyperlink"/>
<Relationship Id="rId194" Target="http://streeteasy.com/building/carlton-house/11a" TargetMode="External" Type="http://schemas.openxmlformats.org/officeDocument/2006/relationships/hyperlink"/>
<Relationship Id="rId195" Target="http://streeteasy.com/building/carlton-house/12a" TargetMode="External" Type="http://schemas.openxmlformats.org/officeDocument/2006/relationships/hyperlink"/>
<Relationship Id="rId196" Target="http://streeteasy.com/building/carlton-house/12f" TargetMode="External" Type="http://schemas.openxmlformats.org/officeDocument/2006/relationships/hyperlink"/>
<Relationship Id="rId197" Target="http://streeteasy.com/building/carlton-house/10f" TargetMode="External" Type="http://schemas.openxmlformats.org/officeDocument/2006/relationships/hyperlink"/>
<Relationship Id="rId198" Target="http://streeteasy.com/building/carlton-house/12b" TargetMode="External" Type="http://schemas.openxmlformats.org/officeDocument/2006/relationships/hyperlink"/>
<Relationship Id="rId199" Target="http://streeteasy.com/building/carlton-house/10b" TargetMode="External" Type="http://schemas.openxmlformats.org/officeDocument/2006/relationships/hyperlink"/>
<Relationship Id="rId2" Target="http://streeteasy.com/rental/1041760-rental-100-east-50th-street-midtown-new-york" TargetMode="External" Type="http://schemas.openxmlformats.org/officeDocument/2006/relationships/hyperlink"/>
<Relationship Id="rId20" Target="http://streeteasy.com/rental/1004703-rental-100-east-50th-street-midtown-new-york" TargetMode="External" Type="http://schemas.openxmlformats.org/officeDocument/2006/relationships/hyperlink"/>
<Relationship Id="rId200" Target="http://streeteasy.com/building/carlton-house/11f" TargetMode="External" Type="http://schemas.openxmlformats.org/officeDocument/2006/relationships/hyperlink"/>
<Relationship Id="rId201" Target="http://streeteasy.com/building/carlton-house/8f" TargetMode="External" Type="http://schemas.openxmlformats.org/officeDocument/2006/relationships/hyperlink"/>
<Relationship Id="rId202" Target="http://streeteasy.com/building/carlton-house/7f" TargetMode="External" Type="http://schemas.openxmlformats.org/officeDocument/2006/relationships/hyperlink"/>
<Relationship Id="rId203" Target="http://streeteasy.com/building/carlton-house/8a" TargetMode="External" Type="http://schemas.openxmlformats.org/officeDocument/2006/relationships/hyperlink"/>
<Relationship Id="rId204" Target="http://streeteasy.com/building/carlton-house/11b" TargetMode="External" Type="http://schemas.openxmlformats.org/officeDocument/2006/relationships/hyperlink"/>
<Relationship Id="rId205" Target="http://streeteasy.com/building/carlton-house/7b" TargetMode="External" Type="http://schemas.openxmlformats.org/officeDocument/2006/relationships/hyperlink"/>
<Relationship Id="rId206" Target="http://streeteasy.com/building/carlton-house/9f" TargetMode="External" Type="http://schemas.openxmlformats.org/officeDocument/2006/relationships/hyperlink"/>
<Relationship Id="rId207" Target="http://streeteasy.com/building/carlton-house/10e" TargetMode="External" Type="http://schemas.openxmlformats.org/officeDocument/2006/relationships/hyperlink"/>
<Relationship Id="rId208" Target="http://streeteasy.com/building/carlton-house/3a" TargetMode="External" Type="http://schemas.openxmlformats.org/officeDocument/2006/relationships/hyperlink"/>
<Relationship Id="rId209" Target="http://streeteasy.com/building/carlton-house/3f" TargetMode="External" Type="http://schemas.openxmlformats.org/officeDocument/2006/relationships/hyperlink"/>
<Relationship Id="rId21" Target="http://streeteasy.com/property/1398770-waldorf-astoria-hotel-28ff2" TargetMode="External" Type="http://schemas.openxmlformats.org/officeDocument/2006/relationships/hyperlink"/>
<Relationship Id="rId210" Target="http://streeteasy.com/building/carlton-house/12c" TargetMode="External" Type="http://schemas.openxmlformats.org/officeDocument/2006/relationships/hyperlink"/>
<Relationship Id="rId211" Target="http://streeteasy.com/building/carlton-house/12d" TargetMode="External" Type="http://schemas.openxmlformats.org/officeDocument/2006/relationships/hyperlink"/>
<Relationship Id="rId212" Target="http://streeteasy.com/building/carlton-house/11c" TargetMode="External" Type="http://schemas.openxmlformats.org/officeDocument/2006/relationships/hyperlink"/>
<Relationship Id="rId213" Target="http://streeteasy.com/building/carlton-house/10d" TargetMode="External" Type="http://schemas.openxmlformats.org/officeDocument/2006/relationships/hyperlink"/>
<Relationship Id="rId214" Target="http://streeteasy.com/building/carlton-house/8d" TargetMode="External" Type="http://schemas.openxmlformats.org/officeDocument/2006/relationships/hyperlink"/>
<Relationship Id="rId215" Target="http://streeteasy.com/building/carlton-house/11d" TargetMode="External" Type="http://schemas.openxmlformats.org/officeDocument/2006/relationships/hyperlink"/>
<Relationship Id="rId216" Target="http://streeteasy.com/building/carlton-house/9c" TargetMode="External" Type="http://schemas.openxmlformats.org/officeDocument/2006/relationships/hyperlink"/>
<Relationship Id="rId217" Target="http://streeteasy.com/building/carlton-house/10c" TargetMode="External" Type="http://schemas.openxmlformats.org/officeDocument/2006/relationships/hyperlink"/>
<Relationship Id="rId218" Target="http://streeteasy.com/building/carlton-house/8c" TargetMode="External" Type="http://schemas.openxmlformats.org/officeDocument/2006/relationships/hyperlink"/>
<Relationship Id="rId219" Target="http://streeteasy.com/building/carlton-house/9d" TargetMode="External" Type="http://schemas.openxmlformats.org/officeDocument/2006/relationships/hyperlink"/>
<Relationship Id="rId22" Target="http://streeteasy.com/rental/1004426-rental-100-east-50th-street-midtown-new-york" TargetMode="External" Type="http://schemas.openxmlformats.org/officeDocument/2006/relationships/hyperlink"/>
<Relationship Id="rId220" Target="http://streeteasy.com/building/carlton-house/7d" TargetMode="External" Type="http://schemas.openxmlformats.org/officeDocument/2006/relationships/hyperlink"/>
<Relationship Id="rId221" Target="http://streeteasy.com/building/carlton-house/5d" TargetMode="External" Type="http://schemas.openxmlformats.org/officeDocument/2006/relationships/hyperlink"/>
<Relationship Id="rId222" Target="http://streeteasy.com/building/carlton-house/7c" TargetMode="External" Type="http://schemas.openxmlformats.org/officeDocument/2006/relationships/hyperlink"/>
<Relationship Id="rId223" Target="http://streeteasy.com/building/carlton-house/6c" TargetMode="External" Type="http://schemas.openxmlformats.org/officeDocument/2006/relationships/hyperlink"/>
<Relationship Id="rId224" Target="http://streeteasy.com/building/carlton-house/4d" TargetMode="External" Type="http://schemas.openxmlformats.org/officeDocument/2006/relationships/hyperlink"/>
<Relationship Id="rId225" Target="http://streeteasy.com/building/carlton-house/5c" TargetMode="External" Type="http://schemas.openxmlformats.org/officeDocument/2006/relationships/hyperlink"/>
<Relationship Id="rId226" Target="http://streeteasy.com/building/carlton-house/6d" TargetMode="External" Type="http://schemas.openxmlformats.org/officeDocument/2006/relationships/hyperlink"/>
<Relationship Id="rId227" Target="http://streeteasy.com/building/carlton-house/4c" TargetMode="External" Type="http://schemas.openxmlformats.org/officeDocument/2006/relationships/hyperlink"/>
<Relationship Id="rId228" Target="http://streeteasy.com/building/carlton-house/6f" TargetMode="External" Type="http://schemas.openxmlformats.org/officeDocument/2006/relationships/hyperlink"/>
<Relationship Id="rId229" Target="http://streeteasy.com/building/carlton-house/5f" TargetMode="External" Type="http://schemas.openxmlformats.org/officeDocument/2006/relationships/hyperlink"/>
<Relationship Id="rId23" Target="http://streeteasy.com/property/1324355-waldorf-astoria-hotel-33a" TargetMode="External" Type="http://schemas.openxmlformats.org/officeDocument/2006/relationships/hyperlink"/>
<Relationship Id="rId230" Target="http://streeteasy.com/building/carlton-house/4f" TargetMode="External" Type="http://schemas.openxmlformats.org/officeDocument/2006/relationships/hyperlink"/>
<Relationship Id="rId231" Target="http://streeteasy.com/building/carlton-house/6a" TargetMode="External" Type="http://schemas.openxmlformats.org/officeDocument/2006/relationships/hyperlink"/>
<Relationship Id="rId232" Target="http://streeteasy.com/building/carlton-house/5a" TargetMode="External" Type="http://schemas.openxmlformats.org/officeDocument/2006/relationships/hyperlink"/>
<Relationship Id="rId233" Target="http://streeteasy.com/sale/913321-condo-641-fifth-avenue-midtown-new-york" TargetMode="External" Type="http://schemas.openxmlformats.org/officeDocument/2006/relationships/hyperlink"/>
<Relationship Id="rId234" Target="http://streeteasy.com/building/olympic-tower/48gh" TargetMode="External" Type="http://schemas.openxmlformats.org/officeDocument/2006/relationships/hyperlink"/>
<Relationship Id="rId235" Target="http://streeteasy.com/building/olympic-tower/28g" TargetMode="External" Type="http://schemas.openxmlformats.org/officeDocument/2006/relationships/hyperlink"/>
<Relationship Id="rId236" Target="http://streeteasy.com/building/olympic-tower/48b" TargetMode="External" Type="http://schemas.openxmlformats.org/officeDocument/2006/relationships/hyperlink"/>
<Relationship Id="rId237" Target="http://streeteasy.com/building/olympic-tower/27b" TargetMode="External" Type="http://schemas.openxmlformats.org/officeDocument/2006/relationships/hyperlink"/>
<Relationship Id="rId238" Target="http://streeteasy.com/building/olympic-tower/28b" TargetMode="External" Type="http://schemas.openxmlformats.org/officeDocument/2006/relationships/hyperlink"/>
<Relationship Id="rId239" Target="http://streeteasy.com/building/olympic-tower/22n" TargetMode="External" Type="http://schemas.openxmlformats.org/officeDocument/2006/relationships/hyperlink"/>
<Relationship Id="rId24" Target="http://streeteasy.com/rental/672008-rental-100-east-50th-street-midtown-new-york" TargetMode="External" Type="http://schemas.openxmlformats.org/officeDocument/2006/relationships/hyperlink"/>
<Relationship Id="rId240" Target="https://streeteasy.com/building/135-east-79-street-new_york/ph-17e" TargetMode="External" Type="http://schemas.openxmlformats.org/officeDocument/2006/relationships/hyperlink"/>
<Relationship Id="rId241" Target="https://streeteasy.com/building/135-east-79-street-new_york/mw" TargetMode="External" Type="http://schemas.openxmlformats.org/officeDocument/2006/relationships/hyperlink"/>
<Relationship Id="rId242" Target="https://streeteasy.com/building/135-east-79-street-new_york/ph-19e" TargetMode="External" Type="http://schemas.openxmlformats.org/officeDocument/2006/relationships/hyperlink"/>
<Relationship Id="rId243" Target="https://streeteasy.com/building/135-east-79-street-new_york/mais-e" TargetMode="External" Type="http://schemas.openxmlformats.org/officeDocument/2006/relationships/hyperlink"/>
<Relationship Id="rId244" Target="https://streeteasy.com/building/432-park-avenue/ph92" TargetMode="External" Type="http://schemas.openxmlformats.org/officeDocument/2006/relationships/hyperlink"/>
<Relationship Id="rId245" Target="https://streeteasy.com/building/432-park-avenue/ph86" TargetMode="External" Type="http://schemas.openxmlformats.org/officeDocument/2006/relationships/hyperlink"/>
<Relationship Id="rId246" Target="https://streeteasy.com/building/432-park-avenue/80b" TargetMode="External" Type="http://schemas.openxmlformats.org/officeDocument/2006/relationships/hyperlink"/>
<Relationship Id="rId247" Target="https://streeteasy.com/building/432-park-avenue/64b" TargetMode="External" Type="http://schemas.openxmlformats.org/officeDocument/2006/relationships/hyperlink"/>
<Relationship Id="rId248" Target="https://streeteasy.com/building/432-park-avenue/83a" TargetMode="External" Type="http://schemas.openxmlformats.org/officeDocument/2006/relationships/hyperlink"/>
<Relationship Id="rId249" Target="https://streeteasy.com/building/432-park-avenue/42c" TargetMode="External" Type="http://schemas.openxmlformats.org/officeDocument/2006/relationships/hyperlink"/>
<Relationship Id="rId25" Target="http://streeteasy.com/property/1316365-waldorf-astoria-hotel-40a" TargetMode="External" Type="http://schemas.openxmlformats.org/officeDocument/2006/relationships/hyperlink"/>
<Relationship Id="rId250" Target="https://streeteasy.com/building/one57-condominium/53b" TargetMode="External" Type="http://schemas.openxmlformats.org/officeDocument/2006/relationships/hyperlink"/>
<Relationship Id="rId251" Target="https://streeteasy.com/building/one57-condominium/58b" TargetMode="External" Type="http://schemas.openxmlformats.org/officeDocument/2006/relationships/hyperlink"/>
<Relationship Id="rId252" Target="https://streeteasy.com/building/one57-condominium/49c" TargetMode="External" Type="http://schemas.openxmlformats.org/officeDocument/2006/relationships/hyperlink"/>
<Relationship Id="rId253" Target="https://streeteasy.com/building/one57-condominium/43a" TargetMode="External" Type="http://schemas.openxmlformats.org/officeDocument/2006/relationships/hyperlink"/>
<Relationship Id="rId254" Target="https://streeteasy.com/building/one57-condominium/39a" TargetMode="External" Type="http://schemas.openxmlformats.org/officeDocument/2006/relationships/hyperlink"/>
<Relationship Id="rId255" Target="https://streeteasy.com/building/432-park-avenue/ph92" TargetMode="External" Type="http://schemas.openxmlformats.org/officeDocument/2006/relationships/hyperlink"/>
<Relationship Id="rId256" Target="https://streeteasy.com/building/432-park-avenue/ph86" TargetMode="External" Type="http://schemas.openxmlformats.org/officeDocument/2006/relationships/hyperlink"/>
<Relationship Id="rId257" Target="https://streeteasy.com/building/432-park-avenue/80b" TargetMode="External" Type="http://schemas.openxmlformats.org/officeDocument/2006/relationships/hyperlink"/>
<Relationship Id="rId258" Target="https://streeteasy.com/building/432-park-avenue/64b" TargetMode="External" Type="http://schemas.openxmlformats.org/officeDocument/2006/relationships/hyperlink"/>
<Relationship Id="rId259" Target="https://streeteasy.com/building/432-park-avenue/83a" TargetMode="External" Type="http://schemas.openxmlformats.org/officeDocument/2006/relationships/hyperlink"/>
<Relationship Id="rId26" Target="http://streeteasy.com/rental/747863-rental-100-east-50th-street-midtown-new-york" TargetMode="External" Type="http://schemas.openxmlformats.org/officeDocument/2006/relationships/hyperlink"/>
<Relationship Id="rId260" Target="https://streeteasy.com/building/432-park-avenue/42c" TargetMode="External" Type="http://schemas.openxmlformats.org/officeDocument/2006/relationships/hyperlink"/>
<Relationship Id="rId261" Target="https://streeteasy.com/building/the-plaza/17071807" TargetMode="External" Type="http://schemas.openxmlformats.org/officeDocument/2006/relationships/hyperlink"/>
<Relationship Id="rId262" Target="https://streeteasy.com/building/the-plaza/1707" TargetMode="External" Type="http://schemas.openxmlformats.org/officeDocument/2006/relationships/hyperlink"/>
<Relationship Id="rId263" Target="https://streeteasy.com/building/the-plaza/607" TargetMode="External" Type="http://schemas.openxmlformats.org/officeDocument/2006/relationships/hyperlink"/>
<Relationship Id="rId264" Target="https://streeteasy.com/building/the-plaza/1811" TargetMode="External" Type="http://schemas.openxmlformats.org/officeDocument/2006/relationships/hyperlink"/>
<Relationship Id="rId265" Target="https://streeteasy.com/building/the-plaza/1711" TargetMode="External" Type="http://schemas.openxmlformats.org/officeDocument/2006/relationships/hyperlink"/>
<Relationship Id="rId266" Target="https://streeteasy.com/building/the-plaza/810" TargetMode="External" Type="http://schemas.openxmlformats.org/officeDocument/2006/relationships/hyperlink"/>
<Relationship Id="rId267" Target="https://streeteasy.com/building/the-plaza/1806" TargetMode="External" Type="http://schemas.openxmlformats.org/officeDocument/2006/relationships/hyperlink"/>
<Relationship Id="rId268" Target="https://streeteasy.com/building/the-plaza/1608" TargetMode="External" Type="http://schemas.openxmlformats.org/officeDocument/2006/relationships/hyperlink"/>
<Relationship Id="rId269" Target="https://streeteasy.com/building/the-plaza/1427" TargetMode="External" Type="http://schemas.openxmlformats.org/officeDocument/2006/relationships/hyperlink"/>
<Relationship Id="rId27" Target="http://streeteasy.com/property/1325287-waldorf-astoria-hotel-30h" TargetMode="External" Type="http://schemas.openxmlformats.org/officeDocument/2006/relationships/hyperlink"/>
<Relationship Id="rId270" Target="https://streeteasy.com/sale/699178-condo-768-fifth-avenue-central-park-south-new-york" TargetMode="External" Type="http://schemas.openxmlformats.org/officeDocument/2006/relationships/hyperlink"/>
<Relationship Id="rId271" Target="https://streeteasy.com/sale/1031137-condo-768-fifth-avenue-central-park-south-new-york" TargetMode="External" Type="http://schemas.openxmlformats.org/officeDocument/2006/relationships/hyperlink"/>
<Relationship Id="rId272" Target="https://streeteasy.com/building/the-plaza/1238" TargetMode="External" Type="http://schemas.openxmlformats.org/officeDocument/2006/relationships/hyperlink"/>
<Relationship Id="rId273" Target="https://streeteasy.com/building/the-plaza/1136" TargetMode="External" Type="http://schemas.openxmlformats.org/officeDocument/2006/relationships/hyperlink"/>
<Relationship Id="rId274" Target="../printerSettings/printerSettings17.bin" Type="http://schemas.openxmlformats.org/officeDocument/2006/relationships/printerSettings"/>
<Relationship Id="rId275" Target="../drawings/drawing16.xml" Type="http://schemas.openxmlformats.org/officeDocument/2006/relationships/drawing"/>
<Relationship Id="rId276" Target="../drawings/vmlDrawing12.vml" Type="http://schemas.openxmlformats.org/officeDocument/2006/relationships/vmlDrawing"/>
<Relationship Id="rId277" Target="../comments11.xml" Type="http://schemas.openxmlformats.org/officeDocument/2006/relationships/comments"/>
<Relationship Id="rId28" Target="http://streeteasy.com/rental/673391-rental-100-east-50th-street-midtown-new-york" TargetMode="External" Type="http://schemas.openxmlformats.org/officeDocument/2006/relationships/hyperlink"/>
<Relationship Id="rId29" Target="http://streeteasy.com/property/1314837-waldorf-astoria-hotel-33h" TargetMode="External" Type="http://schemas.openxmlformats.org/officeDocument/2006/relationships/hyperlink"/>
<Relationship Id="rId3" Target="http://streeteasy.com/property/6829892-waldorf-astoria-hotel-36h" TargetMode="External" Type="http://schemas.openxmlformats.org/officeDocument/2006/relationships/hyperlink"/>
<Relationship Id="rId30" Target="http://streeteasy.com/rental/632219-rental-100-east-50th-street-midtown-new-york" TargetMode="External" Type="http://schemas.openxmlformats.org/officeDocument/2006/relationships/hyperlink"/>
<Relationship Id="rId31" Target="http://streeteasy.com/property/1298795-waldorf-astoria-hotel-32h" TargetMode="External" Type="http://schemas.openxmlformats.org/officeDocument/2006/relationships/hyperlink"/>
<Relationship Id="rId32" Target="http://streeteasy.com/rental/999106-rental-100-east-50th-street-midtown-new-york" TargetMode="External" Type="http://schemas.openxmlformats.org/officeDocument/2006/relationships/hyperlink"/>
<Relationship Id="rId33" Target="http://streeteasy.com/property/1316366-waldorf-astoria-hotel-31h" TargetMode="External" Type="http://schemas.openxmlformats.org/officeDocument/2006/relationships/hyperlink"/>
<Relationship Id="rId34" Target="http://streeteasy.com/rental/920923-rental-100-east-50th-street-midtown-new-york" TargetMode="External" Type="http://schemas.openxmlformats.org/officeDocument/2006/relationships/hyperlink"/>
<Relationship Id="rId35" Target="http://streeteasy.com/property/1365509-waldorf-astoria-hotel-3308" TargetMode="External" Type="http://schemas.openxmlformats.org/officeDocument/2006/relationships/hyperlink"/>
<Relationship Id="rId36" Target="http://streeteasy.com/rental/976090-rental-100-east-50th-street-midtown-new-york" TargetMode="External" Type="http://schemas.openxmlformats.org/officeDocument/2006/relationships/hyperlink"/>
<Relationship Id="rId37" Target="http://streeteasy.com/property/1373431-waldorf-astoria-hotel-37hh2" TargetMode="External" Type="http://schemas.openxmlformats.org/officeDocument/2006/relationships/hyperlink"/>
<Relationship Id="rId38" Target="http://streeteasy.com/rental/673389-rental-100-east-50th-street-midtown-new-york" TargetMode="External" Type="http://schemas.openxmlformats.org/officeDocument/2006/relationships/hyperlink"/>
<Relationship Id="rId39" Target="http://streeteasy.com/property/4154950-waldorf-astoria-hotel-31t" TargetMode="External" Type="http://schemas.openxmlformats.org/officeDocument/2006/relationships/hyperlink"/>
<Relationship Id="rId4" Target="http://streeteasy.com/rental/1040062-rental-100-east-50th-street-midtown-new-york" TargetMode="External" Type="http://schemas.openxmlformats.org/officeDocument/2006/relationships/hyperlink"/>
<Relationship Id="rId40" Target="http://streeteasy.com/rental/973347-rental-100-east-50th-street-midtown-new-york" TargetMode="External" Type="http://schemas.openxmlformats.org/officeDocument/2006/relationships/hyperlink"/>
<Relationship Id="rId41" Target="http://streeteasy.com/property/1314939-waldorf-astoria-hotel-37t" TargetMode="External" Type="http://schemas.openxmlformats.org/officeDocument/2006/relationships/hyperlink"/>
<Relationship Id="rId42" Target="http://streeteasy.com/rental/962814-rental-100-east-50th-street-midtown-new-york" TargetMode="External" Type="http://schemas.openxmlformats.org/officeDocument/2006/relationships/hyperlink"/>
<Relationship Id="rId43" Target="http://streeteasy.com/property/1298795-waldorf-astoria-hotel-32h" TargetMode="External" Type="http://schemas.openxmlformats.org/officeDocument/2006/relationships/hyperlink"/>
<Relationship Id="rId44" Target="http://streeteasy.com/rental/921896-rental-100-east-50th-street-midtown-new-york" TargetMode="External" Type="http://schemas.openxmlformats.org/officeDocument/2006/relationships/hyperlink"/>
<Relationship Id="rId45" Target="http://streeteasy.com/property/3268207-waldorf-astoria-hotel-31ff2" TargetMode="External" Type="http://schemas.openxmlformats.org/officeDocument/2006/relationships/hyperlink"/>
<Relationship Id="rId46" Target="http://streeteasy.com/rental/920924-rental-100-east-50th-street-midtown-new-york" TargetMode="External" Type="http://schemas.openxmlformats.org/officeDocument/2006/relationships/hyperlink"/>
<Relationship Id="rId47" Target="http://streeteasy.com/property/1341971-waldorf-astoria-hotel-36a" TargetMode="External" Type="http://schemas.openxmlformats.org/officeDocument/2006/relationships/hyperlink"/>
<Relationship Id="rId48" Target="http://streeteasy.com/rental/936849-rental-100-east-50th-street-midtown-new-york" TargetMode="External" Type="http://schemas.openxmlformats.org/officeDocument/2006/relationships/hyperlink"/>
<Relationship Id="rId49" Target="http://streeteasy.com/property/1365509-waldorf-astoria-hotel-3308" TargetMode="External" Type="http://schemas.openxmlformats.org/officeDocument/2006/relationships/hyperlink"/>
<Relationship Id="rId5" Target="http://streeteasy.com/property/6718539-waldorf-astoria-hotel-39y" TargetMode="External" Type="http://schemas.openxmlformats.org/officeDocument/2006/relationships/hyperlink"/>
<Relationship Id="rId50" Target="http://streeteasy.com/rental/882022-rental-100-east-50th-street-midtown-new-york" TargetMode="External" Type="http://schemas.openxmlformats.org/officeDocument/2006/relationships/hyperlink"/>
<Relationship Id="rId51" Target="http://streeteasy.com/property/1624287-waldorf-astoria-hotel-38mm2" TargetMode="External" Type="http://schemas.openxmlformats.org/officeDocument/2006/relationships/hyperlink"/>
<Relationship Id="rId52" Target="http://streeteasy.com/rental/884855-rental-100-east-50th-street-midtown-new-york" TargetMode="External" Type="http://schemas.openxmlformats.org/officeDocument/2006/relationships/hyperlink"/>
<Relationship Id="rId53" Target="http://streeteasy.com/property/1314939-waldorf-astoria-hotel-37t" TargetMode="External" Type="http://schemas.openxmlformats.org/officeDocument/2006/relationships/hyperlink"/>
<Relationship Id="rId54" Target="http://streeteasy.com/rental/908775-rental-100-east-50th-street-midtown-new-york" TargetMode="External" Type="http://schemas.openxmlformats.org/officeDocument/2006/relationships/hyperlink"/>
<Relationship Id="rId55" Target="http://streeteasy.com/property/1408144-waldorf-astoria-hotel-39f" TargetMode="External" Type="http://schemas.openxmlformats.org/officeDocument/2006/relationships/hyperlink"/>
<Relationship Id="rId56" Target="http://streeteasy.com/rental/779346-rental-100-east-50th-street-midtown-new-york" TargetMode="External" Type="http://schemas.openxmlformats.org/officeDocument/2006/relationships/hyperlink"/>
<Relationship Id="rId57" Target="http://streeteasy.com/property/1314940-waldorf-astoria-hotel-37y" TargetMode="External" Type="http://schemas.openxmlformats.org/officeDocument/2006/relationships/hyperlink"/>
<Relationship Id="rId58" Target="http://streeteasy.com/rental/755612-rental-100-east-50th-street-midtown-new-york" TargetMode="External" Type="http://schemas.openxmlformats.org/officeDocument/2006/relationships/hyperlink"/>
<Relationship Id="rId59" Target="http://streeteasy.com/property/1319327-waldorf-astoria-hotel-37rr2" TargetMode="External" Type="http://schemas.openxmlformats.org/officeDocument/2006/relationships/hyperlink"/>
<Relationship Id="rId6" Target="http://streeteasy.com/rental/1033011-rental-100-east-50th-street-midtown-new-york" TargetMode="External" Type="http://schemas.openxmlformats.org/officeDocument/2006/relationships/hyperlink"/>
<Relationship Id="rId60" Target="http://streeteasy.com/rental/417567-rental-100-east-50th-street-midtown-new-york" TargetMode="External" Type="http://schemas.openxmlformats.org/officeDocument/2006/relationships/hyperlink"/>
<Relationship Id="rId61" Target="http://streeteasy.com/property/1341971-waldorf-astoria-hotel-36a" TargetMode="External" Type="http://schemas.openxmlformats.org/officeDocument/2006/relationships/hyperlink"/>
<Relationship Id="rId62" Target="http://streeteasy.com/rental/830528-rental-100-east-50th-street-midtown-new-york" TargetMode="External" Type="http://schemas.openxmlformats.org/officeDocument/2006/relationships/hyperlink"/>
<Relationship Id="rId63" Target="http://streeteasy.com/property/1341971-waldorf-astoria-hotel-36a" TargetMode="External" Type="http://schemas.openxmlformats.org/officeDocument/2006/relationships/hyperlink"/>
<Relationship Id="rId64" Target="http://streeteasy.com/rental/608303-rental-100-east-50th-street-midtown-new-york" TargetMode="External" Type="http://schemas.openxmlformats.org/officeDocument/2006/relationships/hyperlink"/>
<Relationship Id="rId65" Target="http://streeteasy.com/property/1316366-waldorf-astoria-hotel-31h" TargetMode="External" Type="http://schemas.openxmlformats.org/officeDocument/2006/relationships/hyperlink"/>
<Relationship Id="rId66" Target="http://streeteasy.com/rental/786045-rental-100-east-50th-street-midtown-new-york" TargetMode="External" Type="http://schemas.openxmlformats.org/officeDocument/2006/relationships/hyperlink"/>
<Relationship Id="rId67" Target="http://streeteasy.com/property/1316712-waldorf-astoria-hotel-42h" TargetMode="External" Type="http://schemas.openxmlformats.org/officeDocument/2006/relationships/hyperlink"/>
<Relationship Id="rId68" Target="http://streeteasy.com/rental/815651-rental-100-east-50th-street-midtown-new-york" TargetMode="External" Type="http://schemas.openxmlformats.org/officeDocument/2006/relationships/hyperlink"/>
<Relationship Id="rId69" Target="http://streeteasy.com/property/1398770-waldorf-astoria-hotel-28ff2" TargetMode="External" Type="http://schemas.openxmlformats.org/officeDocument/2006/relationships/hyperlink"/>
<Relationship Id="rId7" Target="http://streeteasy.com/property/4154950-waldorf-astoria-hotel-31t" TargetMode="External" Type="http://schemas.openxmlformats.org/officeDocument/2006/relationships/hyperlink"/>
<Relationship Id="rId70" Target="http://streeteasy.com/rental/755611-rental-100-east-50th-street-midtown-new-york" TargetMode="External" Type="http://schemas.openxmlformats.org/officeDocument/2006/relationships/hyperlink"/>
<Relationship Id="rId71" Target="http://streeteasy.com/property/1628603-waldorf-astoria-hotel-30ff2" TargetMode="External" Type="http://schemas.openxmlformats.org/officeDocument/2006/relationships/hyperlink"/>
<Relationship Id="rId72" Target="http://streeteasy.com/rental/890689-rental-100-east-50th-street-midtown-new-york" TargetMode="External" Type="http://schemas.openxmlformats.org/officeDocument/2006/relationships/hyperlink"/>
<Relationship Id="rId73" Target="http://streeteasy.com/property/1341972-waldorf-astoria-hotel-37j" TargetMode="External" Type="http://schemas.openxmlformats.org/officeDocument/2006/relationships/hyperlink"/>
<Relationship Id="rId74" Target="http://streeteasy.com/rental/569410-rental-100-east-50th-street-midtown-new-york" TargetMode="External" Type="http://schemas.openxmlformats.org/officeDocument/2006/relationships/hyperlink"/>
<Relationship Id="rId75" Target="http://streeteasy.com/property/1298795-waldorf-astoria-hotel-32h" TargetMode="External" Type="http://schemas.openxmlformats.org/officeDocument/2006/relationships/hyperlink"/>
<Relationship Id="rId76" Target="http://streeteasy.com/rental/115179-rental-100-east-50th-street-midtown-new-york" TargetMode="External" Type="http://schemas.openxmlformats.org/officeDocument/2006/relationships/hyperlink"/>
<Relationship Id="rId77" Target="http://streeteasy.com/property/1316366-waldorf-astoria-hotel-31h" TargetMode="External" Type="http://schemas.openxmlformats.org/officeDocument/2006/relationships/hyperlink"/>
<Relationship Id="rId78" Target="http://streeteasy.com/rental/844566-rental-100-east-50th-street-midtown-new-york" TargetMode="External" Type="http://schemas.openxmlformats.org/officeDocument/2006/relationships/hyperlink"/>
<Relationship Id="rId79" Target="http://streeteasy.com/property/1314939-waldorf-astoria-hotel-37t" TargetMode="External" Type="http://schemas.openxmlformats.org/officeDocument/2006/relationships/hyperlink"/>
<Relationship Id="rId8" Target="http://streeteasy.com/rental/1035717-rental-100-east-50th-street-midtown-new-york" TargetMode="External" Type="http://schemas.openxmlformats.org/officeDocument/2006/relationships/hyperlink"/>
<Relationship Id="rId80" Target="http://streeteasy.com/rental/745751-rental-100-east-50th-street-midtown-new-york" TargetMode="External" Type="http://schemas.openxmlformats.org/officeDocument/2006/relationships/hyperlink"/>
<Relationship Id="rId81" Target="http://streeteasy.com/property/1366388-waldorf-astoria-hotel-32t" TargetMode="External" Type="http://schemas.openxmlformats.org/officeDocument/2006/relationships/hyperlink"/>
<Relationship Id="rId82" Target="http://streeteasy.com/rental/654784-rental-100-east-50th-street-midtown-new-york" TargetMode="External" Type="http://schemas.openxmlformats.org/officeDocument/2006/relationships/hyperlink"/>
<Relationship Id="rId83" Target="http://streeteasy.com/property/1391270-waldorf-astoria-hotel-37h" TargetMode="External" Type="http://schemas.openxmlformats.org/officeDocument/2006/relationships/hyperlink"/>
<Relationship Id="rId84" Target="http://streeteasy.com/rental/736040-coop-100-east-50th-street-midtown-new-york" TargetMode="External" Type="http://schemas.openxmlformats.org/officeDocument/2006/relationships/hyperlink"/>
<Relationship Id="rId85" Target="http://streeteasy.com/property/1314838-waldorf-astoria-hotel-3310" TargetMode="External" Type="http://schemas.openxmlformats.org/officeDocument/2006/relationships/hyperlink"/>
<Relationship Id="rId86" Target="http://streeteasy.com/rental/755613-rental-100-east-50th-street-midtown-new-york" TargetMode="External" Type="http://schemas.openxmlformats.org/officeDocument/2006/relationships/hyperlink"/>
<Relationship Id="rId87" Target="http://streeteasy.com/property/1316712-waldorf-astoria-hotel-42h" TargetMode="External" Type="http://schemas.openxmlformats.org/officeDocument/2006/relationships/hyperlink"/>
<Relationship Id="rId88" Target="http://streeteasy.com/rental/755343-coop-100-east-50th-street-midtown-new-york" TargetMode="External" Type="http://schemas.openxmlformats.org/officeDocument/2006/relationships/hyperlink"/>
<Relationship Id="rId89" Target="http://streeteasy.com/property/1393711-waldorf-astoria-hotel-331b" TargetMode="External" Type="http://schemas.openxmlformats.org/officeDocument/2006/relationships/hyperlink"/>
<Relationship Id="rId9" Target="http://streeteasy.com/property/1314939-waldorf-astoria-hotel-37t" TargetMode="External" Type="http://schemas.openxmlformats.org/officeDocument/2006/relationships/hyperlink"/>
<Relationship Id="rId90" Target="http://streeteasy.com/rental/742135-rental-100-east-50th-street-midtown-new-york" TargetMode="External" Type="http://schemas.openxmlformats.org/officeDocument/2006/relationships/hyperlink"/>
<Relationship Id="rId91" Target="http://streeteasy.com/property/1324157-waldorf-astoria-hotel-38mm2" TargetMode="External" Type="http://schemas.openxmlformats.org/officeDocument/2006/relationships/hyperlink"/>
<Relationship Id="rId92" Target="http://streeteasy.com/rental/740247-coop-100-east-50th-street-midtown-new-york" TargetMode="External" Type="http://schemas.openxmlformats.org/officeDocument/2006/relationships/hyperlink"/>
<Relationship Id="rId93" Target="http://streeteasy.com/property/1365509-waldorf-astoria-hotel-3308" TargetMode="External" Type="http://schemas.openxmlformats.org/officeDocument/2006/relationships/hyperlink"/>
<Relationship Id="rId94" Target="http://streeteasy.com/rental/652395-coop-100-east-50th-street-midtown-new-york" TargetMode="External" Type="http://schemas.openxmlformats.org/officeDocument/2006/relationships/hyperlink"/>
<Relationship Id="rId95" Target="http://streeteasy.com/property/1316366-waldorf-astoria-hotel-31h" TargetMode="External" Type="http://schemas.openxmlformats.org/officeDocument/2006/relationships/hyperlink"/>
<Relationship Id="rId96" Target="http://streeteasy.com/rental/632220-coop-100-east-50th-street-midtown-new-york" TargetMode="External" Type="http://schemas.openxmlformats.org/officeDocument/2006/relationships/hyperlink"/>
<Relationship Id="rId97" Target="http://streeteasy.com/property/1314839-waldorf-astoria-hotel-28h" TargetMode="External" Type="http://schemas.openxmlformats.org/officeDocument/2006/relationships/hyperlink"/>
<Relationship Id="rId98" Target="http://streeteasy.com/rental/569411-coop-100-east-50th-street-midtown-new-york" TargetMode="External" Type="http://schemas.openxmlformats.org/officeDocument/2006/relationships/hyperlink"/>
<Relationship Id="rId99" Target="http://streeteasy.com/property/1353154-waldorf-astoria-hotel-41h" TargetMode="External" Type="http://schemas.openxmlformats.org/officeDocument/2006/relationships/hyperlink"/>
</Relationships>

</file>

<file path=xl/worksheets/_rels/sheet19.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drawing17.xml" Type="http://schemas.openxmlformats.org/officeDocument/2006/relationships/drawing"/>
</Relationships>

</file>

<file path=xl/worksheets/_rels/sheet20.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drawing20.xml" Type="http://schemas.openxmlformats.org/officeDocument/2006/relationships/drawing"/>
</Relationships>

</file>

<file path=xl/worksheets/_rels/sheet21.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vmlDrawing13.vml" Type="http://schemas.openxmlformats.org/officeDocument/2006/relationships/vmlDrawing"/>
<Relationship Id="rId3" Target="../comments12.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drawing23.xml" Type="http://schemas.openxmlformats.org/officeDocument/2006/relationships/drawing"/>
<Relationship Id="rId3" Target="../drawings/vmlDrawing14.vml" Type="http://schemas.openxmlformats.org/officeDocument/2006/relationships/vmlDrawing"/>
<Relationship Id="rId4" Target="../comments13.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drawing28.xml" Type="http://schemas.openxmlformats.org/officeDocument/2006/relationships/drawing"/>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 Id="rId2" Target="../drawings/vmlDrawing15.vml" Type="http://schemas.openxmlformats.org/officeDocument/2006/relationships/vmlDrawing"/>
<Relationship Id="rId3" Target="../comments14.xml" Type="http://schemas.openxmlformats.org/officeDocument/2006/relationships/comment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28.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printerSettings/printerSettings29.bin" Type="http://schemas.openxmlformats.org/officeDocument/2006/relationships/printerSettings"/>
<Relationship Id="rId2" Target="../drawings/vmlDrawing16.vml" Type="http://schemas.openxmlformats.org/officeDocument/2006/relationships/vmlDrawing"/>
<Relationship Id="rId3" Target="../comments15.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heetViews>
  <sheetFormatPr defaultRowHeight="15.75"/>
  <sheetData/>
  <phoneticPr fontId="12"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5"/>
  <sheetViews>
    <sheetView showGridLines="0" tabSelected="1" workbookViewId="0">
      <selection activeCell="Z1" sqref="Z1"/>
    </sheetView>
  </sheetViews>
  <sheetFormatPr defaultRowHeight="12.75"/>
  <cols>
    <col min="1" max="1" width="25.625" style="4155" customWidth="1"/>
    <col min="2" max="5" width="9" style="4155"/>
    <col min="6" max="6" width="18.625" style="4155" customWidth="1"/>
    <col min="7" max="256" width="9" style="4155"/>
    <col min="257" max="257" width="88.125" style="4155" customWidth="1"/>
    <col min="258" max="512" width="9" style="4155"/>
    <col min="513" max="513" width="88.125" style="4155" customWidth="1"/>
    <col min="514" max="768" width="9" style="4155"/>
    <col min="769" max="769" width="88.125" style="4155" customWidth="1"/>
    <col min="770" max="1024" width="9" style="4155"/>
    <col min="1025" max="1025" width="88.125" style="4155" customWidth="1"/>
    <col min="1026" max="1280" width="9" style="4155"/>
    <col min="1281" max="1281" width="88.125" style="4155" customWidth="1"/>
    <col min="1282" max="1536" width="9" style="4155"/>
    <col min="1537" max="1537" width="88.125" style="4155" customWidth="1"/>
    <col min="1538" max="1792" width="9" style="4155"/>
    <col min="1793" max="1793" width="88.125" style="4155" customWidth="1"/>
    <col min="1794" max="2048" width="9" style="4155"/>
    <col min="2049" max="2049" width="88.125" style="4155" customWidth="1"/>
    <col min="2050" max="2304" width="9" style="4155"/>
    <col min="2305" max="2305" width="88.125" style="4155" customWidth="1"/>
    <col min="2306" max="2560" width="9" style="4155"/>
    <col min="2561" max="2561" width="88.125" style="4155" customWidth="1"/>
    <col min="2562" max="2816" width="9" style="4155"/>
    <col min="2817" max="2817" width="88.125" style="4155" customWidth="1"/>
    <col min="2818" max="3072" width="9" style="4155"/>
    <col min="3073" max="3073" width="88.125" style="4155" customWidth="1"/>
    <col min="3074" max="3328" width="9" style="4155"/>
    <col min="3329" max="3329" width="88.125" style="4155" customWidth="1"/>
    <col min="3330" max="3584" width="9" style="4155"/>
    <col min="3585" max="3585" width="88.125" style="4155" customWidth="1"/>
    <col min="3586" max="3840" width="9" style="4155"/>
    <col min="3841" max="3841" width="88.125" style="4155" customWidth="1"/>
    <col min="3842" max="4096" width="9" style="4155"/>
    <col min="4097" max="4097" width="88.125" style="4155" customWidth="1"/>
    <col min="4098" max="4352" width="9" style="4155"/>
    <col min="4353" max="4353" width="88.125" style="4155" customWidth="1"/>
    <col min="4354" max="4608" width="9" style="4155"/>
    <col min="4609" max="4609" width="88.125" style="4155" customWidth="1"/>
    <col min="4610" max="4864" width="9" style="4155"/>
    <col min="4865" max="4865" width="88.125" style="4155" customWidth="1"/>
    <col min="4866" max="5120" width="9" style="4155"/>
    <col min="5121" max="5121" width="88.125" style="4155" customWidth="1"/>
    <col min="5122" max="5376" width="9" style="4155"/>
    <col min="5377" max="5377" width="88.125" style="4155" customWidth="1"/>
    <col min="5378" max="5632" width="9" style="4155"/>
    <col min="5633" max="5633" width="88.125" style="4155" customWidth="1"/>
    <col min="5634" max="5888" width="9" style="4155"/>
    <col min="5889" max="5889" width="88.125" style="4155" customWidth="1"/>
    <col min="5890" max="6144" width="9" style="4155"/>
    <col min="6145" max="6145" width="88.125" style="4155" customWidth="1"/>
    <col min="6146" max="6400" width="9" style="4155"/>
    <col min="6401" max="6401" width="88.125" style="4155" customWidth="1"/>
    <col min="6402" max="6656" width="9" style="4155"/>
    <col min="6657" max="6657" width="88.125" style="4155" customWidth="1"/>
    <col min="6658" max="6912" width="9" style="4155"/>
    <col min="6913" max="6913" width="88.125" style="4155" customWidth="1"/>
    <col min="6914" max="7168" width="9" style="4155"/>
    <col min="7169" max="7169" width="88.125" style="4155" customWidth="1"/>
    <col min="7170" max="7424" width="9" style="4155"/>
    <col min="7425" max="7425" width="88.125" style="4155" customWidth="1"/>
    <col min="7426" max="7680" width="9" style="4155"/>
    <col min="7681" max="7681" width="88.125" style="4155" customWidth="1"/>
    <col min="7682" max="7936" width="9" style="4155"/>
    <col min="7937" max="7937" width="88.125" style="4155" customWidth="1"/>
    <col min="7938" max="8192" width="9" style="4155"/>
    <col min="8193" max="8193" width="88.125" style="4155" customWidth="1"/>
    <col min="8194" max="8448" width="9" style="4155"/>
    <col min="8449" max="8449" width="88.125" style="4155" customWidth="1"/>
    <col min="8450" max="8704" width="9" style="4155"/>
    <col min="8705" max="8705" width="88.125" style="4155" customWidth="1"/>
    <col min="8706" max="8960" width="9" style="4155"/>
    <col min="8961" max="8961" width="88.125" style="4155" customWidth="1"/>
    <col min="8962" max="9216" width="9" style="4155"/>
    <col min="9217" max="9217" width="88.125" style="4155" customWidth="1"/>
    <col min="9218" max="9472" width="9" style="4155"/>
    <col min="9473" max="9473" width="88.125" style="4155" customWidth="1"/>
    <col min="9474" max="9728" width="9" style="4155"/>
    <col min="9729" max="9729" width="88.125" style="4155" customWidth="1"/>
    <col min="9730" max="9984" width="9" style="4155"/>
    <col min="9985" max="9985" width="88.125" style="4155" customWidth="1"/>
    <col min="9986" max="10240" width="9" style="4155"/>
    <col min="10241" max="10241" width="88.125" style="4155" customWidth="1"/>
    <col min="10242" max="10496" width="9" style="4155"/>
    <col min="10497" max="10497" width="88.125" style="4155" customWidth="1"/>
    <col min="10498" max="10752" width="9" style="4155"/>
    <col min="10753" max="10753" width="88.125" style="4155" customWidth="1"/>
    <col min="10754" max="11008" width="9" style="4155"/>
    <col min="11009" max="11009" width="88.125" style="4155" customWidth="1"/>
    <col min="11010" max="11264" width="9" style="4155"/>
    <col min="11265" max="11265" width="88.125" style="4155" customWidth="1"/>
    <col min="11266" max="11520" width="9" style="4155"/>
    <col min="11521" max="11521" width="88.125" style="4155" customWidth="1"/>
    <col min="11522" max="11776" width="9" style="4155"/>
    <col min="11777" max="11777" width="88.125" style="4155" customWidth="1"/>
    <col min="11778" max="12032" width="9" style="4155"/>
    <col min="12033" max="12033" width="88.125" style="4155" customWidth="1"/>
    <col min="12034" max="12288" width="9" style="4155"/>
    <col min="12289" max="12289" width="88.125" style="4155" customWidth="1"/>
    <col min="12290" max="12544" width="9" style="4155"/>
    <col min="12545" max="12545" width="88.125" style="4155" customWidth="1"/>
    <col min="12546" max="12800" width="9" style="4155"/>
    <col min="12801" max="12801" width="88.125" style="4155" customWidth="1"/>
    <col min="12802" max="13056" width="9" style="4155"/>
    <col min="13057" max="13057" width="88.125" style="4155" customWidth="1"/>
    <col min="13058" max="13312" width="9" style="4155"/>
    <col min="13313" max="13313" width="88.125" style="4155" customWidth="1"/>
    <col min="13314" max="13568" width="9" style="4155"/>
    <col min="13569" max="13569" width="88.125" style="4155" customWidth="1"/>
    <col min="13570" max="13824" width="9" style="4155"/>
    <col min="13825" max="13825" width="88.125" style="4155" customWidth="1"/>
    <col min="13826" max="14080" width="9" style="4155"/>
    <col min="14081" max="14081" width="88.125" style="4155" customWidth="1"/>
    <col min="14082" max="14336" width="9" style="4155"/>
    <col min="14337" max="14337" width="88.125" style="4155" customWidth="1"/>
    <col min="14338" max="14592" width="9" style="4155"/>
    <col min="14593" max="14593" width="88.125" style="4155" customWidth="1"/>
    <col min="14594" max="14848" width="9" style="4155"/>
    <col min="14849" max="14849" width="88.125" style="4155" customWidth="1"/>
    <col min="14850" max="15104" width="9" style="4155"/>
    <col min="15105" max="15105" width="88.125" style="4155" customWidth="1"/>
    <col min="15106" max="15360" width="9" style="4155"/>
    <col min="15361" max="15361" width="88.125" style="4155" customWidth="1"/>
    <col min="15362" max="15616" width="9" style="4155"/>
    <col min="15617" max="15617" width="88.125" style="4155" customWidth="1"/>
    <col min="15618" max="15872" width="9" style="4155"/>
    <col min="15873" max="15873" width="88.125" style="4155" customWidth="1"/>
    <col min="15874" max="16128" width="9" style="4155"/>
    <col min="16129" max="16129" width="88.125" style="4155" customWidth="1"/>
    <col min="16130" max="16384" width="9" style="4155"/>
  </cols>
  <sheetData>
    <row r="1" spans="1:8" ht="30" customHeight="1">
      <c r="A1" s="4153"/>
      <c r="B1" s="4154"/>
      <c r="C1" s="4154"/>
      <c r="D1" s="4154"/>
      <c r="E1" s="4154"/>
      <c r="F1" s="4154"/>
      <c r="G1" s="4154"/>
      <c r="H1" s="4154"/>
    </row>
    <row r="2" spans="1:8" ht="14.25">
      <c r="A2" s="4156" t="s">
        <v>3221</v>
      </c>
      <c r="B2" s="4154"/>
      <c r="C2" s="4154"/>
      <c r="D2" s="4154"/>
      <c r="E2" s="4154"/>
      <c r="F2" s="4154"/>
      <c r="G2" s="4154"/>
      <c r="H2" s="4154"/>
    </row>
    <row r="3" spans="1:8" ht="14.25">
      <c r="A3" s="4156" t="s">
        <v>3222</v>
      </c>
      <c r="B3" s="4154"/>
      <c r="C3" s="4154"/>
      <c r="D3" s="4154"/>
      <c r="E3" s="4154"/>
      <c r="F3" s="4154"/>
      <c r="G3" s="4154"/>
      <c r="H3" s="4154"/>
    </row>
    <row r="4" spans="1:8" ht="14.25">
      <c r="A4" s="4156" t="s">
        <v>596</v>
      </c>
      <c r="B4" s="4154"/>
      <c r="C4" s="4154"/>
      <c r="D4" s="4154"/>
      <c r="E4" s="4154"/>
      <c r="F4" s="4154"/>
      <c r="G4" s="4154"/>
      <c r="H4" s="4154"/>
    </row>
    <row r="5" spans="1:8" ht="14.25">
      <c r="A5" s="4156" t="s">
        <v>3223</v>
      </c>
      <c r="B5" s="4154"/>
      <c r="C5" s="4154"/>
      <c r="D5" s="4154"/>
      <c r="E5" s="4154"/>
      <c r="F5" s="4154"/>
      <c r="G5" s="4154"/>
      <c r="H5" s="4154"/>
    </row>
    <row r="6" spans="1:8" ht="14.25">
      <c r="A6" s="4156"/>
      <c r="B6" s="4154"/>
      <c r="C6" s="4154"/>
      <c r="D6" s="4154"/>
      <c r="E6" s="4154"/>
      <c r="F6" s="4154"/>
      <c r="G6" s="4154"/>
      <c r="H6" s="4154"/>
    </row>
    <row r="7" spans="1:8">
      <c r="A7" s="4153" t="s">
        <v>3224</v>
      </c>
      <c r="B7" s="4154"/>
      <c r="C7" s="4154"/>
      <c r="D7" s="4154"/>
      <c r="E7" s="4154"/>
      <c r="F7" s="4154"/>
      <c r="G7" s="4154"/>
      <c r="H7" s="4154"/>
    </row>
    <row r="8" spans="1:8">
      <c r="A8" s="4153" t="s">
        <v>3225</v>
      </c>
      <c r="B8" s="4154"/>
      <c r="C8" s="4154"/>
      <c r="D8" s="4154"/>
      <c r="E8" s="4154"/>
      <c r="F8" s="4154"/>
      <c r="G8" s="4154"/>
      <c r="H8" s="4154"/>
    </row>
    <row r="9" spans="1:8">
      <c r="A9" s="4153"/>
      <c r="B9" s="4154"/>
      <c r="C9" s="4154"/>
      <c r="D9" s="4154"/>
      <c r="E9" s="4154"/>
      <c r="F9" s="4154"/>
      <c r="G9" s="4154"/>
      <c r="H9" s="4154"/>
    </row>
    <row r="10" spans="1:8">
      <c r="A10" s="4157" t="s">
        <v>3226</v>
      </c>
      <c r="B10" s="4154"/>
      <c r="C10" s="4154"/>
      <c r="D10" s="4154"/>
      <c r="E10" s="4154"/>
      <c r="F10" s="4154"/>
      <c r="G10" s="4154"/>
      <c r="H10" s="4154"/>
    </row>
    <row r="11" spans="1:8">
      <c r="A11" s="4157" t="s">
        <v>3227</v>
      </c>
      <c r="B11" s="4154"/>
      <c r="C11" s="4154"/>
      <c r="D11" s="4154"/>
      <c r="E11" s="4154"/>
      <c r="F11" s="4154"/>
      <c r="G11" s="4154"/>
      <c r="H11" s="4154"/>
    </row>
    <row r="12" spans="1:8">
      <c r="A12" s="4157" t="s">
        <v>3228</v>
      </c>
      <c r="B12" s="4154"/>
      <c r="C12" s="4154"/>
      <c r="D12" s="4154"/>
      <c r="E12" s="4154"/>
      <c r="F12" s="4154"/>
      <c r="G12" s="4154"/>
      <c r="H12" s="4154"/>
    </row>
    <row r="13" spans="1:8">
      <c r="A13" s="4157" t="s">
        <v>3229</v>
      </c>
      <c r="B13" s="4154"/>
      <c r="C13" s="4154"/>
      <c r="D13" s="4154"/>
      <c r="E13" s="4154"/>
      <c r="F13" s="4154"/>
      <c r="G13" s="4154"/>
      <c r="H13" s="4154"/>
    </row>
    <row r="14" spans="1:8">
      <c r="A14" s="4157" t="s">
        <v>3230</v>
      </c>
      <c r="B14" s="4154"/>
      <c r="C14" s="4154"/>
      <c r="D14" s="4154"/>
      <c r="E14" s="4154"/>
      <c r="F14" s="4154"/>
      <c r="G14" s="4154"/>
      <c r="H14" s="4154"/>
    </row>
    <row r="15" spans="1:8">
      <c r="A15" s="4157" t="s">
        <v>3231</v>
      </c>
      <c r="B15" s="4154"/>
      <c r="C15" s="4154"/>
      <c r="D15" s="4154"/>
      <c r="E15" s="4154"/>
      <c r="F15" s="4154"/>
      <c r="G15" s="4154"/>
      <c r="H15" s="4154"/>
    </row>
    <row r="16" spans="1:8">
      <c r="A16" s="4157"/>
      <c r="B16" s="4154"/>
      <c r="C16" s="4154"/>
      <c r="D16" s="4154"/>
      <c r="E16" s="4154"/>
      <c r="F16" s="4154"/>
      <c r="G16" s="4154"/>
      <c r="H16" s="4154"/>
    </row>
    <row r="17" spans="1:8">
      <c r="A17" s="4157" t="s">
        <v>3218</v>
      </c>
      <c r="B17" s="4154"/>
      <c r="C17" s="4154"/>
      <c r="D17" s="4154"/>
      <c r="E17" s="4154"/>
      <c r="F17" s="4154"/>
      <c r="G17" s="4154"/>
      <c r="H17" s="4154"/>
    </row>
    <row r="18" spans="1:8">
      <c r="A18" s="4157"/>
      <c r="B18" s="4154"/>
      <c r="C18" s="4154"/>
      <c r="D18" s="4154"/>
      <c r="E18" s="4154"/>
      <c r="F18" s="4154"/>
      <c r="G18" s="4154"/>
      <c r="H18" s="4154"/>
    </row>
    <row r="19" spans="1:8">
      <c r="A19" s="4157" t="s">
        <v>3219</v>
      </c>
      <c r="B19" s="4154"/>
      <c r="C19" s="4154"/>
      <c r="D19" s="4154"/>
      <c r="E19" s="4154"/>
      <c r="F19" s="4154"/>
      <c r="G19" s="4154"/>
      <c r="H19" s="4154"/>
    </row>
    <row r="20" spans="1:8">
      <c r="A20" s="4153"/>
      <c r="B20" s="4154"/>
      <c r="C20" s="4154"/>
      <c r="D20" s="4154"/>
      <c r="E20" s="4154"/>
      <c r="F20" s="4154"/>
      <c r="G20" s="4154"/>
      <c r="H20" s="4154"/>
    </row>
    <row r="21" spans="1:8">
      <c r="A21" s="4158" t="s">
        <v>3220</v>
      </c>
      <c r="B21" s="4154"/>
      <c r="C21" s="4154"/>
      <c r="D21" s="4154"/>
      <c r="E21" s="4154"/>
      <c r="F21" s="4154"/>
      <c r="G21" s="4154"/>
      <c r="H21" s="4154"/>
    </row>
    <row r="22" spans="1:8" ht="15.75">
      <c r="A22" s="4159"/>
      <c r="B22" s="4159"/>
      <c r="C22" s="4159"/>
      <c r="D22" s="4159"/>
      <c r="E22" s="4159"/>
      <c r="F22" s="4159"/>
      <c r="G22" s="4159"/>
      <c r="H22" s="4159"/>
    </row>
    <row r="23" spans="1:8" ht="15.75">
      <c r="A23" s="4160" t="s">
        <v>3511</v>
      </c>
      <c r="B23" s="4159"/>
      <c r="C23" s="4159"/>
      <c r="D23" s="4159"/>
      <c r="E23" s="4159"/>
      <c r="F23" s="4159"/>
      <c r="G23" s="4159"/>
      <c r="H23" s="4159"/>
    </row>
    <row r="24" spans="1:8" ht="15.75">
      <c r="A24" s="4160" t="s">
        <v>3512</v>
      </c>
      <c r="B24" s="4159"/>
      <c r="C24" s="4159"/>
      <c r="D24" s="4159"/>
      <c r="E24" s="4159"/>
      <c r="F24" s="4159"/>
      <c r="G24" s="4159"/>
      <c r="H24" s="4159"/>
    </row>
    <row r="25" spans="1:8" ht="15.75">
      <c r="A25" s="4160" t="s">
        <v>3513</v>
      </c>
      <c r="B25" s="4159"/>
      <c r="C25" s="4159"/>
      <c r="D25" s="4159"/>
      <c r="E25" s="4159"/>
      <c r="F25" s="4159"/>
      <c r="G25" s="4159"/>
      <c r="H25" s="4159"/>
    </row>
    <row r="26" spans="1:8" ht="15.75">
      <c r="A26" s="4160" t="s">
        <v>3514</v>
      </c>
      <c r="B26" s="4159"/>
      <c r="C26" s="4159"/>
      <c r="D26" s="4159"/>
      <c r="E26" s="4159"/>
      <c r="F26" s="4159"/>
      <c r="G26" s="4159"/>
      <c r="H26" s="4159"/>
    </row>
    <row r="27" spans="1:8" ht="15.75">
      <c r="A27" s="4159"/>
      <c r="B27" s="4159"/>
      <c r="C27" s="4159"/>
      <c r="D27" s="4159"/>
      <c r="E27" s="4159"/>
      <c r="F27" s="4159"/>
      <c r="G27" s="4159"/>
      <c r="H27" s="4159"/>
    </row>
    <row r="28" spans="1:8" ht="15.75">
      <c r="A28" s="4159"/>
      <c r="B28" s="4159"/>
      <c r="C28" s="4159"/>
      <c r="D28" s="4159"/>
      <c r="E28" s="4159"/>
      <c r="F28" s="4159"/>
      <c r="G28" s="4159"/>
      <c r="H28" s="4159"/>
    </row>
    <row r="29" spans="1:8" ht="15.75">
      <c r="A29" s="4160" t="s">
        <v>3506</v>
      </c>
      <c r="B29" s="4159"/>
      <c r="C29" s="4159"/>
      <c r="D29" s="4159"/>
      <c r="E29" s="4159"/>
      <c r="F29" s="4159"/>
      <c r="G29" s="4159"/>
      <c r="H29" s="4159"/>
    </row>
    <row r="30" spans="1:8" ht="15.75">
      <c r="A30" s="4160" t="s">
        <v>3507</v>
      </c>
      <c r="B30" s="4159"/>
      <c r="C30" s="4159"/>
      <c r="D30" s="4159"/>
      <c r="E30" s="4159"/>
      <c r="F30" s="4159"/>
      <c r="G30" s="4159"/>
      <c r="H30" s="4159"/>
    </row>
    <row r="31" spans="1:8" ht="15.75">
      <c r="A31" s="4160" t="s">
        <v>3508</v>
      </c>
      <c r="B31" s="4159"/>
      <c r="C31" s="4159"/>
      <c r="D31" s="4159"/>
      <c r="E31" s="4159"/>
      <c r="F31" s="4159"/>
      <c r="G31" s="4159"/>
      <c r="H31" s="4159"/>
    </row>
    <row r="32" spans="1:8" ht="15.75">
      <c r="A32" s="4160" t="s">
        <v>3509</v>
      </c>
      <c r="B32" s="4159"/>
      <c r="C32" s="4159"/>
      <c r="D32" s="4159"/>
      <c r="E32" s="4159"/>
      <c r="F32" s="4159"/>
      <c r="G32" s="4159"/>
      <c r="H32" s="4159"/>
    </row>
    <row r="33" spans="1:8" ht="15.75">
      <c r="A33" s="4160" t="s">
        <v>3510</v>
      </c>
      <c r="B33" s="4159"/>
      <c r="C33" s="4159"/>
      <c r="D33" s="4159"/>
      <c r="E33" s="4159"/>
      <c r="F33" s="4159"/>
      <c r="G33" s="4159"/>
      <c r="H33" s="4159"/>
    </row>
    <row r="34" spans="1:8" ht="15.75">
      <c r="A34" s="4159"/>
      <c r="B34" s="4159"/>
      <c r="C34" s="4159"/>
      <c r="D34" s="4159"/>
      <c r="E34" s="4159"/>
      <c r="F34" s="4159"/>
      <c r="G34" s="4159"/>
      <c r="H34" s="4159"/>
    </row>
    <row r="35" spans="1:8" ht="15.75">
      <c r="A35" s="4160" t="s">
        <v>3502</v>
      </c>
      <c r="B35" s="4159"/>
      <c r="C35" s="4159"/>
      <c r="D35" s="4159"/>
      <c r="E35" s="4159"/>
      <c r="F35" s="4159"/>
      <c r="G35" s="4159"/>
      <c r="H35" s="4159"/>
    </row>
    <row r="36" spans="1:8" ht="15.75">
      <c r="A36" s="4160" t="s">
        <v>3503</v>
      </c>
      <c r="B36" s="4159"/>
      <c r="C36" s="4159"/>
      <c r="D36" s="4159"/>
      <c r="E36" s="4159"/>
      <c r="F36" s="4159"/>
      <c r="G36" s="4159"/>
      <c r="H36" s="4159"/>
    </row>
    <row r="37" spans="1:8" ht="15.75">
      <c r="A37" s="4160" t="s">
        <v>3504</v>
      </c>
      <c r="B37" s="4159"/>
      <c r="C37" s="4159"/>
      <c r="D37" s="4159"/>
      <c r="E37" s="4159"/>
      <c r="F37" s="4159"/>
      <c r="G37" s="4159"/>
      <c r="H37" s="4159"/>
    </row>
    <row r="38" spans="1:8" ht="15.75">
      <c r="A38" s="4160" t="s">
        <v>3505</v>
      </c>
      <c r="B38" s="4159"/>
      <c r="C38" s="4159"/>
      <c r="D38" s="4159"/>
      <c r="E38" s="4159"/>
      <c r="F38" s="4159"/>
      <c r="G38" s="4159"/>
      <c r="H38" s="4159"/>
    </row>
    <row r="39" spans="1:8" ht="15.75">
      <c r="A39" s="4159"/>
      <c r="B39" s="4159"/>
      <c r="C39" s="4159"/>
      <c r="D39" s="4159"/>
      <c r="E39" s="4159"/>
      <c r="F39" s="4159"/>
      <c r="G39" s="4159"/>
      <c r="H39" s="4159"/>
    </row>
    <row r="40" spans="1:8" ht="15.75">
      <c r="A40" s="4160" t="s">
        <v>3496</v>
      </c>
      <c r="B40" s="4159"/>
      <c r="C40" s="4159"/>
      <c r="D40" s="4159"/>
      <c r="E40" s="4159"/>
      <c r="F40" s="4159"/>
      <c r="G40" s="4159"/>
      <c r="H40" s="4159"/>
    </row>
    <row r="41" spans="1:8" ht="15.75">
      <c r="A41" s="4160" t="s">
        <v>3497</v>
      </c>
      <c r="B41" s="4159"/>
      <c r="C41" s="4159"/>
      <c r="D41" s="4159"/>
      <c r="E41" s="4159"/>
      <c r="F41" s="4159"/>
      <c r="G41" s="4159"/>
      <c r="H41" s="4159"/>
    </row>
    <row r="42" spans="1:8" ht="15.75">
      <c r="A42" s="4160" t="s">
        <v>3498</v>
      </c>
      <c r="B42" s="4159"/>
      <c r="C42" s="4159"/>
      <c r="D42" s="4159"/>
      <c r="E42" s="4159"/>
      <c r="F42" s="4159"/>
      <c r="G42" s="4159"/>
      <c r="H42" s="4159"/>
    </row>
    <row r="43" spans="1:8" ht="15.75">
      <c r="A43" s="4160" t="s">
        <v>3499</v>
      </c>
      <c r="B43" s="4159"/>
      <c r="C43" s="4159"/>
      <c r="D43" s="4159"/>
      <c r="E43" s="4159"/>
      <c r="F43" s="4159"/>
      <c r="G43" s="4159"/>
      <c r="H43" s="4159"/>
    </row>
    <row r="44" spans="1:8" ht="15.75">
      <c r="A44" s="4160" t="s">
        <v>3500</v>
      </c>
      <c r="B44" s="4159"/>
      <c r="C44" s="4159"/>
      <c r="D44" s="4159"/>
      <c r="E44" s="4159"/>
      <c r="F44" s="4159"/>
      <c r="G44" s="4159"/>
      <c r="H44" s="4159"/>
    </row>
    <row r="45" spans="1:8" ht="15.75">
      <c r="A45" s="4160" t="s">
        <v>3501</v>
      </c>
      <c r="B45" s="4159"/>
      <c r="C45" s="4159"/>
      <c r="D45" s="4159"/>
      <c r="E45" s="4159"/>
      <c r="F45" s="4159"/>
      <c r="G45" s="4159"/>
      <c r="H45" s="4159"/>
    </row>
    <row r="46" spans="1:8" ht="15.75">
      <c r="A46" s="4159"/>
      <c r="B46" s="4159"/>
      <c r="C46" s="4159"/>
      <c r="D46" s="4159"/>
      <c r="E46" s="4159"/>
      <c r="F46" s="4159"/>
      <c r="G46" s="4159"/>
      <c r="H46" s="4159"/>
    </row>
    <row r="47" spans="1:8" ht="15.75">
      <c r="A47" s="4161" t="s">
        <v>3232</v>
      </c>
      <c r="B47" s="4159"/>
      <c r="C47" s="4159"/>
      <c r="D47" s="4159"/>
      <c r="E47" s="4159"/>
      <c r="F47" s="4159"/>
      <c r="G47" s="4159"/>
      <c r="H47" s="4159"/>
    </row>
    <row r="48" spans="1:8" ht="15.75">
      <c r="A48" s="4159"/>
      <c r="B48" s="4159"/>
      <c r="C48" s="4159"/>
      <c r="D48" s="4159"/>
      <c r="E48" s="4159"/>
      <c r="F48" s="4159"/>
      <c r="G48" s="4159"/>
      <c r="H48" s="4159"/>
    </row>
    <row r="49" spans="1:8" ht="15.75">
      <c r="A49" s="4160" t="s">
        <v>3492</v>
      </c>
      <c r="B49" s="4159"/>
      <c r="C49" s="4159"/>
      <c r="D49" s="4159"/>
      <c r="E49" s="4159"/>
      <c r="F49" s="4159"/>
      <c r="G49" s="4159"/>
      <c r="H49" s="4159"/>
    </row>
    <row r="50" spans="1:8" ht="15.75">
      <c r="A50" s="4160" t="s">
        <v>3493</v>
      </c>
      <c r="B50" s="4159"/>
      <c r="C50" s="4159"/>
      <c r="D50" s="4159"/>
      <c r="E50" s="4159"/>
      <c r="F50" s="4159"/>
      <c r="G50" s="4159"/>
      <c r="H50" s="4159"/>
    </row>
    <row r="51" spans="1:8" ht="15.75">
      <c r="A51" s="4160" t="s">
        <v>3494</v>
      </c>
      <c r="B51" s="4159"/>
      <c r="C51" s="4159"/>
      <c r="D51" s="4159"/>
      <c r="E51" s="4159"/>
      <c r="F51" s="4159"/>
      <c r="G51" s="4159"/>
      <c r="H51" s="4159"/>
    </row>
    <row r="52" spans="1:8" ht="15.75">
      <c r="A52" s="4160" t="s">
        <v>3495</v>
      </c>
      <c r="B52" s="4159"/>
      <c r="C52" s="4159"/>
      <c r="D52" s="4159"/>
      <c r="E52" s="4159"/>
      <c r="F52" s="4159"/>
      <c r="G52" s="4159"/>
      <c r="H52" s="4159"/>
    </row>
    <row r="53" spans="1:8" ht="15.75">
      <c r="A53" s="4159"/>
      <c r="B53" s="4159"/>
      <c r="C53" s="4159"/>
      <c r="D53" s="4159"/>
      <c r="E53" s="4159"/>
      <c r="F53" s="4159"/>
      <c r="G53" s="4159"/>
      <c r="H53" s="4159"/>
    </row>
    <row r="54" spans="1:8" ht="15.75">
      <c r="A54" s="4160" t="s">
        <v>3233</v>
      </c>
      <c r="B54" s="4159"/>
      <c r="C54" s="4159"/>
      <c r="D54" s="4159"/>
      <c r="E54" s="4159"/>
      <c r="F54" s="4159"/>
      <c r="G54" s="4159"/>
      <c r="H54" s="4159"/>
    </row>
    <row r="55" spans="1:8" ht="15.75">
      <c r="A55" s="4159"/>
      <c r="B55" s="4159"/>
      <c r="C55" s="4159"/>
      <c r="D55" s="4159"/>
      <c r="E55" s="4159"/>
      <c r="F55" s="4159"/>
      <c r="G55" s="4159"/>
      <c r="H55" s="4159"/>
    </row>
    <row r="56" spans="1:8" ht="15.75">
      <c r="A56" s="4161" t="s">
        <v>3234</v>
      </c>
      <c r="B56" s="4159"/>
      <c r="C56" s="4159"/>
      <c r="D56" s="4159"/>
      <c r="E56" s="4159"/>
      <c r="F56" s="4159"/>
      <c r="G56" s="4159"/>
      <c r="H56" s="4159"/>
    </row>
    <row r="57" spans="1:8" ht="15.75">
      <c r="A57" s="4159"/>
      <c r="B57" s="4159"/>
      <c r="C57" s="4159"/>
      <c r="D57" s="4159"/>
      <c r="E57" s="4159"/>
      <c r="F57" s="4159"/>
      <c r="G57" s="4159"/>
      <c r="H57" s="4159"/>
    </row>
    <row r="58" spans="1:8" ht="15.75">
      <c r="A58" s="4160" t="s">
        <v>3490</v>
      </c>
      <c r="B58" s="4159"/>
      <c r="C58" s="4159"/>
      <c r="D58" s="4159"/>
      <c r="E58" s="4159"/>
      <c r="F58" s="4159"/>
      <c r="G58" s="4159"/>
      <c r="H58" s="4159"/>
    </row>
    <row r="59" spans="1:8" ht="15.75">
      <c r="A59" s="4160" t="s">
        <v>3491</v>
      </c>
      <c r="B59" s="4159"/>
      <c r="C59" s="4159"/>
      <c r="D59" s="4159"/>
      <c r="E59" s="4159"/>
      <c r="F59" s="4159"/>
      <c r="G59" s="4159"/>
      <c r="H59" s="4159"/>
    </row>
    <row r="60" spans="1:8" ht="15.75">
      <c r="A60" s="4159"/>
      <c r="B60" s="4159"/>
      <c r="C60" s="4159"/>
      <c r="D60" s="4159"/>
      <c r="E60" s="4159"/>
      <c r="F60" s="4159"/>
      <c r="G60" s="4159"/>
      <c r="H60" s="4159"/>
    </row>
    <row r="61" spans="1:8" ht="15.75">
      <c r="A61" s="4161" t="s">
        <v>3235</v>
      </c>
      <c r="B61" s="4159"/>
      <c r="C61" s="4159"/>
      <c r="D61" s="4159"/>
      <c r="E61" s="4159"/>
      <c r="F61" s="4159"/>
      <c r="G61" s="4159"/>
      <c r="H61" s="4159"/>
    </row>
    <row r="62" spans="1:8" ht="15.75">
      <c r="A62" s="4159"/>
      <c r="B62" s="4159"/>
      <c r="C62" s="4159"/>
      <c r="D62" s="4159"/>
      <c r="E62" s="4159"/>
      <c r="F62" s="4159"/>
      <c r="G62" s="4159"/>
      <c r="H62" s="4159"/>
    </row>
    <row r="63" spans="1:8" ht="15.75">
      <c r="A63" s="4160" t="s">
        <v>3488</v>
      </c>
      <c r="B63" s="4159"/>
      <c r="C63" s="4159"/>
      <c r="D63" s="4159"/>
      <c r="E63" s="4159"/>
      <c r="F63" s="4159"/>
      <c r="G63" s="4159"/>
      <c r="H63" s="4159"/>
    </row>
    <row r="64" spans="1:8" ht="15.75">
      <c r="A64" s="4160" t="s">
        <v>3489</v>
      </c>
      <c r="B64" s="4159"/>
      <c r="C64" s="4159"/>
      <c r="D64" s="4159"/>
      <c r="E64" s="4159"/>
      <c r="F64" s="4159"/>
      <c r="G64" s="4159"/>
      <c r="H64" s="4159"/>
    </row>
    <row r="65" spans="1:8" ht="15.75">
      <c r="A65" s="4159"/>
      <c r="B65" s="4159"/>
      <c r="C65" s="4159"/>
      <c r="D65" s="4159"/>
      <c r="E65" s="4159"/>
      <c r="F65" s="4159"/>
      <c r="G65" s="4159"/>
      <c r="H65" s="4159"/>
    </row>
    <row r="66" spans="1:8" ht="15.75">
      <c r="A66" s="4160" t="s">
        <v>3486</v>
      </c>
      <c r="B66" s="4159"/>
      <c r="C66" s="4159"/>
      <c r="D66" s="4159"/>
      <c r="E66" s="4159"/>
      <c r="F66" s="4159"/>
      <c r="G66" s="4159"/>
      <c r="H66" s="4159"/>
    </row>
    <row r="67" spans="1:8" ht="15.75">
      <c r="A67" s="4160" t="s">
        <v>3487</v>
      </c>
      <c r="B67" s="4159"/>
      <c r="C67" s="4159"/>
      <c r="D67" s="4159"/>
      <c r="E67" s="4159"/>
      <c r="F67" s="4159"/>
      <c r="G67" s="4159"/>
      <c r="H67" s="4159"/>
    </row>
    <row r="68" spans="1:8" ht="15.75">
      <c r="A68" s="4159"/>
      <c r="B68" s="4159"/>
      <c r="C68" s="4159"/>
      <c r="D68" s="4159"/>
      <c r="E68" s="4159"/>
      <c r="F68" s="4159"/>
      <c r="G68" s="4159"/>
      <c r="H68" s="4159"/>
    </row>
    <row r="69" spans="1:8" ht="15.75">
      <c r="A69" s="4160" t="s">
        <v>3484</v>
      </c>
      <c r="B69" s="4159"/>
      <c r="C69" s="4159"/>
      <c r="D69" s="4159"/>
      <c r="E69" s="4159"/>
      <c r="F69" s="4159"/>
      <c r="G69" s="4159"/>
      <c r="H69" s="4159"/>
    </row>
    <row r="70" spans="1:8" ht="15.75">
      <c r="A70" s="4160" t="s">
        <v>3485</v>
      </c>
      <c r="B70" s="4159"/>
      <c r="C70" s="4159"/>
      <c r="D70" s="4159"/>
      <c r="E70" s="4159"/>
      <c r="F70" s="4159"/>
      <c r="G70" s="4159"/>
      <c r="H70" s="4159"/>
    </row>
    <row r="71" spans="1:8" ht="15.75">
      <c r="A71" s="4159"/>
      <c r="B71" s="4159"/>
      <c r="C71" s="4159"/>
      <c r="D71" s="4159"/>
      <c r="E71" s="4159"/>
      <c r="F71" s="4159"/>
      <c r="G71" s="4159"/>
      <c r="H71" s="4159"/>
    </row>
    <row r="72" spans="1:8" ht="15.75">
      <c r="A72" s="4160" t="s">
        <v>3482</v>
      </c>
      <c r="B72" s="4159"/>
      <c r="C72" s="4159"/>
      <c r="D72" s="4159"/>
      <c r="E72" s="4159"/>
      <c r="F72" s="4159"/>
      <c r="G72" s="4159"/>
      <c r="H72" s="4159"/>
    </row>
    <row r="73" spans="1:8" ht="15.75">
      <c r="A73" s="4160" t="s">
        <v>3483</v>
      </c>
      <c r="B73" s="4159"/>
      <c r="C73" s="4159"/>
      <c r="D73" s="4159"/>
      <c r="E73" s="4159"/>
      <c r="F73" s="4159"/>
      <c r="G73" s="4159"/>
      <c r="H73" s="4159"/>
    </row>
    <row r="74" spans="1:8" ht="15.75">
      <c r="A74" s="4159"/>
      <c r="B74" s="4159"/>
      <c r="C74" s="4159"/>
      <c r="D74" s="4159"/>
      <c r="E74" s="4159"/>
      <c r="F74" s="4159"/>
      <c r="G74" s="4159"/>
      <c r="H74" s="4159"/>
    </row>
    <row r="75" spans="1:8" ht="15.75">
      <c r="A75" s="4160" t="s">
        <v>3479</v>
      </c>
      <c r="B75" s="4159"/>
      <c r="C75" s="4159"/>
      <c r="D75" s="4159"/>
      <c r="E75" s="4159"/>
      <c r="F75" s="4159"/>
      <c r="G75" s="4159"/>
      <c r="H75" s="4159"/>
    </row>
    <row r="76" spans="1:8" ht="15.75">
      <c r="A76" s="4160" t="s">
        <v>3480</v>
      </c>
      <c r="B76" s="4159"/>
      <c r="C76" s="4159"/>
      <c r="D76" s="4159"/>
      <c r="E76" s="4159"/>
      <c r="F76" s="4159"/>
      <c r="G76" s="4159"/>
      <c r="H76" s="4159"/>
    </row>
    <row r="77" spans="1:8" ht="15.75">
      <c r="A77" s="4160" t="s">
        <v>3481</v>
      </c>
      <c r="B77" s="4159"/>
      <c r="C77" s="4159"/>
      <c r="D77" s="4159"/>
      <c r="E77" s="4159"/>
      <c r="F77" s="4159"/>
      <c r="G77" s="4159"/>
      <c r="H77" s="4159"/>
    </row>
    <row r="78" spans="1:8" ht="15.75">
      <c r="A78" s="4159"/>
      <c r="B78" s="4159"/>
      <c r="C78" s="4159"/>
      <c r="D78" s="4159"/>
      <c r="E78" s="4159"/>
      <c r="F78" s="4159"/>
      <c r="G78" s="4159"/>
      <c r="H78" s="4159"/>
    </row>
    <row r="79" spans="1:8" ht="15.75">
      <c r="A79" s="4160" t="s">
        <v>3476</v>
      </c>
      <c r="B79" s="4159"/>
      <c r="C79" s="4159"/>
      <c r="D79" s="4159"/>
      <c r="E79" s="4159"/>
      <c r="F79" s="4159"/>
      <c r="G79" s="4159"/>
      <c r="H79" s="4159"/>
    </row>
    <row r="80" spans="1:8" ht="15.75">
      <c r="A80" s="4160" t="s">
        <v>3477</v>
      </c>
      <c r="B80" s="4159"/>
      <c r="C80" s="4159"/>
      <c r="D80" s="4159"/>
      <c r="E80" s="4159"/>
      <c r="F80" s="4159"/>
      <c r="G80" s="4159"/>
      <c r="H80" s="4159"/>
    </row>
    <row r="81" spans="1:8" ht="15.75">
      <c r="A81" s="4160" t="s">
        <v>3478</v>
      </c>
      <c r="B81" s="4159"/>
      <c r="C81" s="4159"/>
      <c r="D81" s="4159"/>
      <c r="E81" s="4159"/>
      <c r="F81" s="4159"/>
      <c r="G81" s="4159"/>
      <c r="H81" s="4159"/>
    </row>
    <row r="82" spans="1:8" ht="15.75">
      <c r="A82" s="4159"/>
      <c r="B82" s="4159"/>
      <c r="C82" s="4159"/>
      <c r="D82" s="4159"/>
      <c r="E82" s="4159"/>
      <c r="F82" s="4159"/>
      <c r="G82" s="4159"/>
      <c r="H82" s="4159"/>
    </row>
    <row r="83" spans="1:8" ht="15.75">
      <c r="A83" s="4160" t="s">
        <v>3236</v>
      </c>
      <c r="B83" s="4159"/>
      <c r="C83" s="4159"/>
      <c r="D83" s="4159"/>
      <c r="E83" s="4159"/>
      <c r="F83" s="4159"/>
      <c r="G83" s="4159"/>
      <c r="H83" s="4159"/>
    </row>
    <row r="84" spans="1:8" ht="15.75">
      <c r="A84" s="4159"/>
      <c r="B84" s="4159"/>
      <c r="C84" s="4159"/>
      <c r="D84" s="4159"/>
      <c r="E84" s="4159"/>
      <c r="F84" s="4159"/>
      <c r="G84" s="4159"/>
      <c r="H84" s="4159"/>
    </row>
    <row r="85" spans="1:8" ht="15.75">
      <c r="A85" s="4160" t="s">
        <v>3471</v>
      </c>
      <c r="B85" s="4159"/>
      <c r="C85" s="4159"/>
      <c r="D85" s="4159"/>
      <c r="E85" s="4159"/>
      <c r="F85" s="4159"/>
      <c r="G85" s="4159"/>
      <c r="H85" s="4159"/>
    </row>
    <row r="86" spans="1:8" ht="15.75">
      <c r="A86" s="4160" t="s">
        <v>3472</v>
      </c>
      <c r="B86" s="4159"/>
      <c r="C86" s="4159"/>
      <c r="D86" s="4159"/>
      <c r="E86" s="4159"/>
      <c r="F86" s="4159"/>
      <c r="G86" s="4159"/>
      <c r="H86" s="4159"/>
    </row>
    <row r="87" spans="1:8" ht="15.75">
      <c r="A87" s="4160" t="s">
        <v>3473</v>
      </c>
      <c r="B87" s="4159"/>
      <c r="C87" s="4159"/>
      <c r="D87" s="4159"/>
      <c r="E87" s="4159"/>
      <c r="F87" s="4159"/>
      <c r="G87" s="4159"/>
      <c r="H87" s="4159"/>
    </row>
    <row r="88" spans="1:8" ht="15.75">
      <c r="A88" s="4160" t="s">
        <v>3474</v>
      </c>
      <c r="B88" s="4159"/>
      <c r="C88" s="4159"/>
      <c r="D88" s="4159"/>
      <c r="E88" s="4159"/>
      <c r="F88" s="4159"/>
      <c r="G88" s="4159"/>
      <c r="H88" s="4159"/>
    </row>
    <row r="89" spans="1:8" ht="15.75">
      <c r="A89" s="4160" t="s">
        <v>3475</v>
      </c>
      <c r="B89" s="4159"/>
      <c r="C89" s="4159"/>
      <c r="D89" s="4159"/>
      <c r="E89" s="4159"/>
      <c r="F89" s="4159"/>
      <c r="G89" s="4159"/>
      <c r="H89" s="4159"/>
    </row>
    <row r="90" spans="1:8" ht="15.75">
      <c r="A90" s="4160" t="s">
        <v>3360</v>
      </c>
      <c r="B90" s="4159"/>
      <c r="C90" s="4159"/>
      <c r="D90" s="4159"/>
      <c r="E90" s="4159"/>
      <c r="F90" s="4159"/>
      <c r="G90" s="4159"/>
      <c r="H90" s="4159"/>
    </row>
    <row r="91" spans="1:8" ht="15.75">
      <c r="A91" s="4159"/>
      <c r="B91" s="4159"/>
      <c r="C91" s="4159"/>
      <c r="D91" s="4159"/>
      <c r="E91" s="4159"/>
      <c r="F91" s="4159"/>
      <c r="G91" s="4159"/>
      <c r="H91" s="4159"/>
    </row>
    <row r="92" spans="1:8" ht="15.75">
      <c r="A92" s="4160" t="s">
        <v>3464</v>
      </c>
      <c r="B92" s="4159"/>
      <c r="C92" s="4159"/>
      <c r="D92" s="4159"/>
      <c r="E92" s="4159"/>
      <c r="F92" s="4159"/>
      <c r="G92" s="4159"/>
      <c r="H92" s="4159"/>
    </row>
    <row r="93" spans="1:8" ht="15.75">
      <c r="A93" s="4160" t="s">
        <v>3465</v>
      </c>
      <c r="B93" s="4159"/>
      <c r="C93" s="4159"/>
      <c r="D93" s="4159"/>
      <c r="E93" s="4159"/>
      <c r="F93" s="4159"/>
      <c r="G93" s="4159"/>
      <c r="H93" s="4159"/>
    </row>
    <row r="94" spans="1:8" ht="15.75">
      <c r="A94" s="4160" t="s">
        <v>3466</v>
      </c>
      <c r="B94" s="4159"/>
      <c r="C94" s="4159"/>
      <c r="D94" s="4159"/>
      <c r="E94" s="4159"/>
      <c r="F94" s="4159"/>
      <c r="G94" s="4159"/>
      <c r="H94" s="4159"/>
    </row>
    <row r="95" spans="1:8" ht="15.75">
      <c r="A95" s="4160" t="s">
        <v>3467</v>
      </c>
      <c r="B95" s="4159"/>
      <c r="C95" s="4159"/>
      <c r="D95" s="4159"/>
      <c r="E95" s="4159"/>
      <c r="F95" s="4159"/>
      <c r="G95" s="4159"/>
      <c r="H95" s="4159"/>
    </row>
    <row r="96" spans="1:8" ht="15.75">
      <c r="A96" s="4160" t="s">
        <v>3468</v>
      </c>
      <c r="B96" s="4159"/>
      <c r="C96" s="4159"/>
      <c r="D96" s="4159"/>
      <c r="E96" s="4159"/>
      <c r="F96" s="4159"/>
      <c r="G96" s="4159"/>
      <c r="H96" s="4159"/>
    </row>
    <row r="97" spans="1:8" ht="15.75">
      <c r="A97" s="4160" t="s">
        <v>3469</v>
      </c>
      <c r="B97" s="4159"/>
      <c r="C97" s="4159"/>
      <c r="D97" s="4159"/>
      <c r="E97" s="4159"/>
      <c r="F97" s="4159"/>
      <c r="G97" s="4159"/>
      <c r="H97" s="4159"/>
    </row>
    <row r="98" spans="1:8" ht="15.75">
      <c r="A98" s="4160" t="s">
        <v>3470</v>
      </c>
      <c r="B98" s="4159"/>
      <c r="C98" s="4159"/>
      <c r="D98" s="4159"/>
      <c r="E98" s="4159"/>
      <c r="F98" s="4159"/>
      <c r="G98" s="4159"/>
      <c r="H98" s="4159"/>
    </row>
    <row r="99" spans="1:8" ht="15.75">
      <c r="A99" s="4159"/>
      <c r="B99" s="4159"/>
      <c r="C99" s="4159"/>
      <c r="D99" s="4159"/>
      <c r="E99" s="4159"/>
      <c r="F99" s="4159"/>
      <c r="G99" s="4159"/>
      <c r="H99" s="4159"/>
    </row>
    <row r="100" spans="1:8" ht="15.75">
      <c r="A100" s="4160" t="s">
        <v>3462</v>
      </c>
      <c r="B100" s="4159"/>
      <c r="C100" s="4159"/>
      <c r="D100" s="4159"/>
      <c r="E100" s="4159"/>
      <c r="F100" s="4159"/>
      <c r="G100" s="4159"/>
      <c r="H100" s="4159"/>
    </row>
    <row r="101" spans="1:8" ht="15.75">
      <c r="A101" s="4160" t="s">
        <v>3463</v>
      </c>
      <c r="B101" s="4159"/>
      <c r="C101" s="4159"/>
      <c r="D101" s="4159"/>
      <c r="E101" s="4159"/>
      <c r="F101" s="4159"/>
      <c r="G101" s="4159"/>
      <c r="H101" s="4159"/>
    </row>
    <row r="102" spans="1:8" ht="15.75">
      <c r="A102" s="4159"/>
      <c r="B102" s="4159"/>
      <c r="C102" s="4159"/>
      <c r="D102" s="4159"/>
      <c r="E102" s="4159"/>
      <c r="F102" s="4159"/>
      <c r="G102" s="4159"/>
      <c r="H102" s="4159"/>
    </row>
    <row r="103" spans="1:8" ht="15.75">
      <c r="A103" s="4161" t="s">
        <v>3237</v>
      </c>
      <c r="B103" s="4159"/>
      <c r="C103" s="4159"/>
      <c r="D103" s="4159"/>
      <c r="E103" s="4159"/>
      <c r="F103" s="4159"/>
      <c r="G103" s="4159"/>
      <c r="H103" s="4159"/>
    </row>
    <row r="104" spans="1:8" ht="15.75">
      <c r="A104" s="4159"/>
      <c r="B104" s="4159"/>
      <c r="C104" s="4159"/>
      <c r="D104" s="4159"/>
      <c r="E104" s="4159"/>
      <c r="F104" s="4159"/>
      <c r="G104" s="4159"/>
      <c r="H104" s="4159"/>
    </row>
    <row r="105" spans="1:8" ht="15.75">
      <c r="A105" s="4160" t="s">
        <v>3453</v>
      </c>
      <c r="B105" s="4159"/>
      <c r="C105" s="4159"/>
      <c r="D105" s="4159"/>
      <c r="E105" s="4159"/>
      <c r="F105" s="4159"/>
      <c r="G105" s="4159"/>
      <c r="H105" s="4159"/>
    </row>
    <row r="106" spans="1:8" ht="15.75">
      <c r="A106" s="4160" t="s">
        <v>3454</v>
      </c>
      <c r="B106" s="4159"/>
      <c r="C106" s="4159"/>
      <c r="D106" s="4159"/>
      <c r="E106" s="4159"/>
      <c r="F106" s="4159"/>
      <c r="G106" s="4159"/>
      <c r="H106" s="4159"/>
    </row>
    <row r="107" spans="1:8" ht="15.75">
      <c r="A107" s="4160" t="s">
        <v>3455</v>
      </c>
      <c r="B107" s="4159"/>
      <c r="C107" s="4159"/>
      <c r="D107" s="4159"/>
      <c r="E107" s="4159"/>
      <c r="F107" s="4159"/>
      <c r="G107" s="4159"/>
      <c r="H107" s="4159"/>
    </row>
    <row r="108" spans="1:8" ht="15.75">
      <c r="A108" s="4160" t="s">
        <v>3456</v>
      </c>
      <c r="B108" s="4159"/>
      <c r="C108" s="4159"/>
      <c r="D108" s="4159"/>
      <c r="E108" s="4159"/>
      <c r="F108" s="4159"/>
      <c r="G108" s="4159"/>
      <c r="H108" s="4159"/>
    </row>
    <row r="109" spans="1:8" ht="15.75">
      <c r="A109" s="4160" t="s">
        <v>3457</v>
      </c>
      <c r="B109" s="4159"/>
      <c r="C109" s="4159"/>
      <c r="D109" s="4159"/>
      <c r="E109" s="4159"/>
      <c r="F109" s="4159"/>
      <c r="G109" s="4159"/>
      <c r="H109" s="4159"/>
    </row>
    <row r="110" spans="1:8" ht="15.75">
      <c r="A110" s="4160" t="s">
        <v>3458</v>
      </c>
      <c r="B110" s="4159"/>
      <c r="C110" s="4159"/>
      <c r="D110" s="4159"/>
      <c r="E110" s="4159"/>
      <c r="F110" s="4159"/>
      <c r="G110" s="4159"/>
      <c r="H110" s="4159"/>
    </row>
    <row r="111" spans="1:8" ht="15.75">
      <c r="A111" s="4160" t="s">
        <v>3459</v>
      </c>
      <c r="B111" s="4159"/>
      <c r="C111" s="4159"/>
      <c r="D111" s="4159"/>
      <c r="E111" s="4159"/>
      <c r="F111" s="4159"/>
      <c r="G111" s="4159"/>
      <c r="H111" s="4159"/>
    </row>
    <row r="112" spans="1:8" ht="15.75">
      <c r="A112" s="4160" t="s">
        <v>3460</v>
      </c>
      <c r="B112" s="4159"/>
      <c r="C112" s="4159"/>
      <c r="D112" s="4159"/>
      <c r="E112" s="4159"/>
      <c r="F112" s="4159"/>
      <c r="G112" s="4159"/>
      <c r="H112" s="4159"/>
    </row>
    <row r="113" spans="1:8" ht="15.75">
      <c r="A113" s="4160" t="s">
        <v>3461</v>
      </c>
      <c r="B113" s="4159"/>
      <c r="C113" s="4159"/>
      <c r="D113" s="4159"/>
      <c r="E113" s="4159"/>
      <c r="F113" s="4159"/>
      <c r="G113" s="4159"/>
      <c r="H113" s="4159"/>
    </row>
    <row r="114" spans="1:8" ht="15.75">
      <c r="A114" s="4159"/>
      <c r="B114" s="4159"/>
      <c r="C114" s="4159"/>
      <c r="D114" s="4159"/>
      <c r="E114" s="4159"/>
      <c r="F114" s="4159"/>
      <c r="G114" s="4159"/>
      <c r="H114" s="4159"/>
    </row>
    <row r="115" spans="1:8" ht="15.75">
      <c r="A115" s="4162" t="s">
        <v>3238</v>
      </c>
      <c r="B115" s="4162"/>
      <c r="C115" s="4162"/>
      <c r="D115" s="4162"/>
      <c r="E115" s="4162"/>
      <c r="F115" s="4162"/>
      <c r="G115" s="4162"/>
      <c r="H115" s="4162"/>
    </row>
    <row r="116" spans="1:8">
      <c r="A116" s="4163" t="s">
        <v>3239</v>
      </c>
      <c r="B116" s="4163"/>
      <c r="C116" s="4163"/>
      <c r="D116" s="4163"/>
      <c r="E116" s="4163"/>
      <c r="F116" s="4163"/>
      <c r="G116" s="4163"/>
      <c r="H116" s="4163"/>
    </row>
    <row r="117" spans="1:8" ht="15.75">
      <c r="A117" s="4164"/>
      <c r="B117" s="4164"/>
      <c r="C117" s="4164"/>
      <c r="D117" s="4164"/>
      <c r="E117" s="4164"/>
      <c r="F117" s="4164"/>
      <c r="G117" s="4164"/>
      <c r="H117" s="4164"/>
    </row>
    <row r="118" spans="1:8">
      <c r="A118" s="4163" t="s">
        <v>3451</v>
      </c>
      <c r="B118" s="4163"/>
      <c r="C118" s="4163"/>
      <c r="D118" s="4163"/>
      <c r="E118" s="4163"/>
      <c r="F118" s="4163"/>
      <c r="G118" s="4163"/>
      <c r="H118" s="4163"/>
    </row>
    <row r="119" spans="1:8">
      <c r="A119" s="4160" t="s">
        <v>3452</v>
      </c>
      <c r="B119" s="4160"/>
      <c r="C119" s="4160"/>
      <c r="D119" s="4160"/>
      <c r="E119" s="4160"/>
      <c r="F119" s="4160"/>
      <c r="G119" s="4160"/>
      <c r="H119" s="4160"/>
    </row>
    <row r="120" spans="1:8" ht="15.75">
      <c r="A120" s="4164"/>
      <c r="B120" s="4164"/>
      <c r="C120" s="4164"/>
      <c r="D120" s="4164"/>
      <c r="E120" s="4164"/>
      <c r="F120" s="4164"/>
      <c r="G120" s="4164"/>
      <c r="H120" s="4164"/>
    </row>
    <row r="121" spans="1:8">
      <c r="A121" s="4163" t="s">
        <v>3444</v>
      </c>
      <c r="B121" s="4163"/>
      <c r="C121" s="4163"/>
      <c r="D121" s="4163"/>
      <c r="E121" s="4163"/>
      <c r="F121" s="4163"/>
      <c r="G121" s="4163"/>
      <c r="H121" s="4163"/>
    </row>
    <row r="122" spans="1:8">
      <c r="A122" s="4160" t="s">
        <v>3445</v>
      </c>
      <c r="B122" s="4160"/>
      <c r="C122" s="4160"/>
      <c r="D122" s="4160"/>
      <c r="E122" s="4160"/>
      <c r="F122" s="4160"/>
      <c r="G122" s="4160"/>
      <c r="H122" s="4160"/>
    </row>
    <row r="123" spans="1:8">
      <c r="A123" s="4160" t="s">
        <v>3446</v>
      </c>
      <c r="B123" s="4160"/>
      <c r="C123" s="4160"/>
      <c r="D123" s="4160"/>
      <c r="E123" s="4160"/>
      <c r="F123" s="4160"/>
      <c r="G123" s="4160"/>
      <c r="H123" s="4160"/>
    </row>
    <row r="124" spans="1:8">
      <c r="A124" s="4160" t="s">
        <v>3447</v>
      </c>
      <c r="B124" s="4160"/>
      <c r="C124" s="4160"/>
      <c r="D124" s="4160"/>
      <c r="E124" s="4160"/>
      <c r="F124" s="4160"/>
      <c r="G124" s="4160"/>
      <c r="H124" s="4160"/>
    </row>
    <row r="125" spans="1:8">
      <c r="A125" s="4160" t="s">
        <v>3448</v>
      </c>
      <c r="B125" s="4160"/>
      <c r="C125" s="4160"/>
      <c r="D125" s="4160"/>
      <c r="E125" s="4160"/>
      <c r="F125" s="4160"/>
      <c r="G125" s="4160"/>
      <c r="H125" s="4160"/>
    </row>
    <row r="126" spans="1:8">
      <c r="A126" s="4160" t="s">
        <v>3449</v>
      </c>
      <c r="B126" s="4160"/>
      <c r="C126" s="4160"/>
      <c r="D126" s="4160"/>
      <c r="E126" s="4160"/>
      <c r="F126" s="4160"/>
      <c r="G126" s="4160"/>
      <c r="H126" s="4160"/>
    </row>
    <row r="127" spans="1:8">
      <c r="A127" s="4160" t="s">
        <v>3450</v>
      </c>
      <c r="B127" s="4160"/>
      <c r="C127" s="4160"/>
      <c r="D127" s="4160"/>
      <c r="E127" s="4160"/>
      <c r="F127" s="4160"/>
      <c r="G127" s="4160"/>
      <c r="H127" s="4160"/>
    </row>
    <row r="128" spans="1:8" ht="15.75">
      <c r="A128" s="4165"/>
      <c r="B128" s="4165"/>
      <c r="C128" s="4165"/>
      <c r="D128" s="4165"/>
      <c r="E128" s="4165"/>
      <c r="F128" s="4165"/>
      <c r="G128" s="4165"/>
      <c r="H128" s="4165"/>
    </row>
    <row r="129" spans="1:8">
      <c r="A129" s="4166"/>
      <c r="B129" s="4167" t="s">
        <v>3240</v>
      </c>
      <c r="C129" s="4168"/>
      <c r="D129" s="4167" t="s">
        <v>3241</v>
      </c>
      <c r="E129" s="4169"/>
      <c r="F129" s="4168"/>
      <c r="G129" s="4167" t="s">
        <v>3242</v>
      </c>
      <c r="H129" s="4168"/>
    </row>
    <row r="130" spans="1:8">
      <c r="A130" s="4166" t="s">
        <v>3243</v>
      </c>
      <c r="B130" s="4166" t="s">
        <v>2549</v>
      </c>
      <c r="C130" s="4166" t="s">
        <v>1172</v>
      </c>
      <c r="D130" s="4166" t="s">
        <v>2549</v>
      </c>
      <c r="E130" s="4166" t="s">
        <v>3244</v>
      </c>
      <c r="F130" s="4166" t="s">
        <v>3245</v>
      </c>
      <c r="G130" s="4166" t="s">
        <v>2549</v>
      </c>
      <c r="H130" s="4166" t="s">
        <v>3246</v>
      </c>
    </row>
    <row r="131" spans="1:8">
      <c r="A131" s="4166" t="s">
        <v>3247</v>
      </c>
      <c r="B131" s="4166">
        <v>1173</v>
      </c>
      <c r="C131" s="4166">
        <v>0.37</v>
      </c>
      <c r="D131" s="4166">
        <v>318</v>
      </c>
      <c r="E131" s="4166">
        <v>0.41</v>
      </c>
      <c r="F131" s="4166">
        <v>0.27</v>
      </c>
      <c r="G131" s="4166">
        <v>571</v>
      </c>
      <c r="H131" s="4166">
        <v>0.39</v>
      </c>
    </row>
    <row r="132" spans="1:8">
      <c r="A132" s="4166" t="s">
        <v>3248</v>
      </c>
      <c r="B132" s="4166">
        <v>1390</v>
      </c>
      <c r="C132" s="4166">
        <v>0.44</v>
      </c>
      <c r="D132" s="4166">
        <v>359</v>
      </c>
      <c r="E132" s="4166">
        <v>0.47</v>
      </c>
      <c r="F132" s="4166">
        <v>0.26</v>
      </c>
      <c r="G132" s="4166">
        <v>653</v>
      </c>
      <c r="H132" s="4166">
        <v>0.45</v>
      </c>
    </row>
    <row r="133" spans="1:8">
      <c r="A133" s="4166" t="s">
        <v>3249</v>
      </c>
      <c r="B133" s="4166">
        <v>53</v>
      </c>
      <c r="C133" s="4166">
        <v>0.02</v>
      </c>
      <c r="D133" s="4166">
        <v>5</v>
      </c>
      <c r="E133" s="4166">
        <v>0.01</v>
      </c>
      <c r="F133" s="4166">
        <v>0.09</v>
      </c>
      <c r="G133" s="4166">
        <v>8</v>
      </c>
      <c r="H133" s="4166">
        <v>0.01</v>
      </c>
    </row>
    <row r="134" spans="1:8">
      <c r="A134" s="4166" t="s">
        <v>3250</v>
      </c>
      <c r="B134" s="4166">
        <v>564</v>
      </c>
      <c r="C134" s="4166">
        <v>0.18</v>
      </c>
      <c r="D134" s="4166">
        <v>90</v>
      </c>
      <c r="E134" s="4166">
        <v>0.12</v>
      </c>
      <c r="F134" s="4166">
        <v>0.16</v>
      </c>
      <c r="G134" s="4166">
        <v>219</v>
      </c>
      <c r="H134" s="4166">
        <v>0.15</v>
      </c>
    </row>
    <row r="135" spans="1:8">
      <c r="A135" s="4166" t="s">
        <v>1687</v>
      </c>
      <c r="B135" s="4166">
        <v>3180</v>
      </c>
      <c r="C135" s="4166"/>
      <c r="D135" s="4166">
        <v>772</v>
      </c>
      <c r="E135" s="4166"/>
      <c r="F135" s="4166"/>
      <c r="G135" s="4166">
        <v>1451</v>
      </c>
      <c r="H135" s="4166"/>
    </row>
    <row r="136" spans="1:8" ht="15.75">
      <c r="A136" s="4170"/>
      <c r="B136" s="4170"/>
      <c r="C136" s="4170"/>
      <c r="D136" s="4170"/>
      <c r="E136" s="4170"/>
      <c r="F136" s="4170"/>
      <c r="G136" s="4170"/>
      <c r="H136" s="4170"/>
    </row>
    <row r="137" spans="1:8">
      <c r="A137" s="4163" t="s">
        <v>3440</v>
      </c>
      <c r="B137" s="4163"/>
      <c r="C137" s="4163"/>
      <c r="D137" s="4163"/>
      <c r="E137" s="4163"/>
      <c r="F137" s="4163"/>
      <c r="G137" s="4163"/>
      <c r="H137" s="4163"/>
    </row>
    <row r="138" spans="1:8">
      <c r="A138" s="4160" t="s">
        <v>3441</v>
      </c>
      <c r="B138" s="4160"/>
      <c r="C138" s="4160"/>
      <c r="D138" s="4160"/>
      <c r="E138" s="4160"/>
      <c r="F138" s="4160"/>
      <c r="G138" s="4160"/>
      <c r="H138" s="4160"/>
    </row>
    <row r="139" spans="1:8">
      <c r="A139" s="4160" t="s">
        <v>3442</v>
      </c>
      <c r="B139" s="4160"/>
      <c r="C139" s="4160"/>
      <c r="D139" s="4160"/>
      <c r="E139" s="4160"/>
      <c r="F139" s="4160"/>
      <c r="G139" s="4160"/>
      <c r="H139" s="4160"/>
    </row>
    <row r="140" spans="1:8">
      <c r="A140" s="4160" t="s">
        <v>3443</v>
      </c>
      <c r="B140" s="4160"/>
      <c r="C140" s="4160"/>
      <c r="D140" s="4160"/>
      <c r="E140" s="4160"/>
      <c r="F140" s="4160"/>
      <c r="G140" s="4160"/>
      <c r="H140" s="4160"/>
    </row>
    <row r="141" spans="1:8" ht="15.75">
      <c r="A141" s="4159"/>
      <c r="B141" s="4159"/>
      <c r="C141" s="4159"/>
      <c r="D141" s="4159"/>
      <c r="E141" s="4159"/>
      <c r="F141" s="4159"/>
      <c r="G141" s="4159"/>
      <c r="H141" s="4159"/>
    </row>
    <row r="142" spans="1:8" ht="15.75">
      <c r="A142" s="4161" t="s">
        <v>3251</v>
      </c>
      <c r="B142" s="4159"/>
      <c r="C142" s="4159"/>
      <c r="D142" s="4159"/>
      <c r="E142" s="4159"/>
      <c r="F142" s="4159"/>
      <c r="G142" s="4159"/>
      <c r="H142" s="4159"/>
    </row>
    <row r="143" spans="1:8" ht="15.75">
      <c r="A143" s="4159"/>
      <c r="B143" s="4159"/>
      <c r="C143" s="4159"/>
      <c r="D143" s="4159"/>
      <c r="E143" s="4159"/>
      <c r="F143" s="4159"/>
      <c r="G143" s="4159"/>
      <c r="H143" s="4159"/>
    </row>
    <row r="144" spans="1:8" ht="15.75">
      <c r="A144" s="4160" t="s">
        <v>3438</v>
      </c>
      <c r="B144" s="4159"/>
      <c r="C144" s="4159"/>
      <c r="D144" s="4159"/>
      <c r="E144" s="4159"/>
      <c r="F144" s="4159"/>
      <c r="G144" s="4159"/>
      <c r="H144" s="4159"/>
    </row>
    <row r="145" spans="1:8" ht="15.75">
      <c r="A145" s="4160" t="s">
        <v>3439</v>
      </c>
      <c r="B145" s="4159"/>
      <c r="C145" s="4159"/>
      <c r="D145" s="4159"/>
      <c r="E145" s="4159"/>
      <c r="F145" s="4159"/>
      <c r="G145" s="4159"/>
      <c r="H145" s="4159"/>
    </row>
    <row r="146" spans="1:8" ht="15.75">
      <c r="A146" s="4159"/>
      <c r="B146" s="4159"/>
      <c r="C146" s="4159"/>
      <c r="D146" s="4159"/>
      <c r="E146" s="4159"/>
      <c r="F146" s="4159"/>
      <c r="G146" s="4159"/>
      <c r="H146" s="4159"/>
    </row>
    <row r="147" spans="1:8" ht="15.75">
      <c r="A147" s="4160" t="s">
        <v>3435</v>
      </c>
      <c r="B147" s="4159"/>
      <c r="C147" s="4159"/>
      <c r="D147" s="4159"/>
      <c r="E147" s="4159"/>
      <c r="F147" s="4159"/>
      <c r="G147" s="4159"/>
      <c r="H147" s="4159"/>
    </row>
    <row r="148" spans="1:8" ht="15.75">
      <c r="A148" s="4160" t="s">
        <v>3436</v>
      </c>
      <c r="B148" s="4159"/>
      <c r="C148" s="4159"/>
      <c r="D148" s="4159"/>
      <c r="E148" s="4159"/>
      <c r="F148" s="4159"/>
      <c r="G148" s="4159"/>
      <c r="H148" s="4159"/>
    </row>
    <row r="149" spans="1:8" ht="15.75">
      <c r="A149" s="4160" t="s">
        <v>3437</v>
      </c>
      <c r="B149" s="4159"/>
      <c r="C149" s="4159"/>
      <c r="D149" s="4159"/>
      <c r="E149" s="4159"/>
      <c r="F149" s="4159"/>
      <c r="G149" s="4159"/>
      <c r="H149" s="4159"/>
    </row>
    <row r="150" spans="1:8" ht="15.75">
      <c r="A150" s="4159"/>
      <c r="B150" s="4159"/>
      <c r="C150" s="4159"/>
      <c r="D150" s="4159"/>
      <c r="E150" s="4159"/>
      <c r="F150" s="4159"/>
      <c r="G150" s="4159"/>
      <c r="H150" s="4159"/>
    </row>
    <row r="151" spans="1:8" ht="15.75">
      <c r="A151" s="4160" t="s">
        <v>3432</v>
      </c>
      <c r="B151" s="4159"/>
      <c r="C151" s="4159"/>
      <c r="D151" s="4159"/>
      <c r="E151" s="4159"/>
      <c r="F151" s="4159"/>
      <c r="G151" s="4159"/>
      <c r="H151" s="4159"/>
    </row>
    <row r="152" spans="1:8" ht="15.75">
      <c r="A152" s="4160" t="s">
        <v>3433</v>
      </c>
      <c r="B152" s="4159"/>
      <c r="C152" s="4159"/>
      <c r="D152" s="4159"/>
      <c r="E152" s="4159"/>
      <c r="F152" s="4159"/>
      <c r="G152" s="4159"/>
      <c r="H152" s="4159"/>
    </row>
    <row r="153" spans="1:8" ht="15.75">
      <c r="A153" s="4160" t="s">
        <v>3434</v>
      </c>
      <c r="B153" s="4159"/>
      <c r="C153" s="4159"/>
      <c r="D153" s="4159"/>
      <c r="E153" s="4159"/>
      <c r="F153" s="4159"/>
      <c r="G153" s="4159"/>
      <c r="H153" s="4159"/>
    </row>
    <row r="154" spans="1:8" ht="15.75">
      <c r="A154" s="4159"/>
      <c r="B154" s="4159"/>
      <c r="C154" s="4159"/>
      <c r="D154" s="4159"/>
      <c r="E154" s="4159"/>
      <c r="F154" s="4159"/>
      <c r="G154" s="4159"/>
      <c r="H154" s="4159"/>
    </row>
    <row r="155" spans="1:8" ht="15.75">
      <c r="A155" s="4160" t="s">
        <v>3429</v>
      </c>
      <c r="B155" s="4159"/>
      <c r="C155" s="4159"/>
      <c r="D155" s="4159"/>
      <c r="E155" s="4159"/>
      <c r="F155" s="4159"/>
      <c r="G155" s="4159"/>
      <c r="H155" s="4159"/>
    </row>
    <row r="156" spans="1:8" ht="15.75">
      <c r="A156" s="4160" t="s">
        <v>3430</v>
      </c>
      <c r="B156" s="4159"/>
      <c r="C156" s="4159"/>
      <c r="D156" s="4159"/>
      <c r="E156" s="4159"/>
      <c r="F156" s="4159"/>
      <c r="G156" s="4159"/>
      <c r="H156" s="4159"/>
    </row>
    <row r="157" spans="1:8" ht="15.75">
      <c r="A157" s="4160" t="s">
        <v>3431</v>
      </c>
      <c r="B157" s="4159"/>
      <c r="C157" s="4159"/>
      <c r="D157" s="4159"/>
      <c r="E157" s="4159"/>
      <c r="F157" s="4159"/>
      <c r="G157" s="4159"/>
      <c r="H157" s="4159"/>
    </row>
    <row r="158" spans="1:8" ht="15.75">
      <c r="A158" s="4159"/>
      <c r="B158" s="4159"/>
      <c r="C158" s="4159"/>
      <c r="D158" s="4159"/>
      <c r="E158" s="4159"/>
      <c r="F158" s="4159"/>
      <c r="G158" s="4159"/>
      <c r="H158" s="4159"/>
    </row>
    <row r="159" spans="1:8" ht="15.75">
      <c r="A159" s="4160" t="s">
        <v>3427</v>
      </c>
      <c r="B159" s="4159"/>
      <c r="C159" s="4159"/>
      <c r="D159" s="4159"/>
      <c r="E159" s="4159"/>
      <c r="F159" s="4159"/>
      <c r="G159" s="4159"/>
      <c r="H159" s="4159"/>
    </row>
    <row r="160" spans="1:8" ht="15.75">
      <c r="A160" s="4160" t="s">
        <v>3428</v>
      </c>
      <c r="B160" s="4159"/>
      <c r="C160" s="4159"/>
      <c r="D160" s="4159"/>
      <c r="E160" s="4159"/>
      <c r="F160" s="4159"/>
      <c r="G160" s="4159"/>
      <c r="H160" s="4159"/>
    </row>
    <row r="161" spans="1:8" ht="15.75">
      <c r="A161" s="4159"/>
      <c r="B161" s="4159"/>
      <c r="C161" s="4159"/>
      <c r="D161" s="4159"/>
      <c r="E161" s="4159"/>
      <c r="F161" s="4159"/>
      <c r="G161" s="4159"/>
      <c r="H161" s="4159"/>
    </row>
    <row r="162" spans="1:8" ht="15.75">
      <c r="A162" s="4161" t="s">
        <v>3252</v>
      </c>
      <c r="B162" s="4159"/>
      <c r="C162" s="4159"/>
      <c r="D162" s="4159"/>
      <c r="E162" s="4159"/>
      <c r="F162" s="4159"/>
      <c r="G162" s="4159"/>
      <c r="H162" s="4159"/>
    </row>
    <row r="163" spans="1:8" ht="15.75">
      <c r="A163" s="4159"/>
      <c r="B163" s="4159"/>
      <c r="C163" s="4159"/>
      <c r="D163" s="4159"/>
      <c r="E163" s="4159"/>
      <c r="F163" s="4159"/>
      <c r="G163" s="4159"/>
      <c r="H163" s="4159"/>
    </row>
    <row r="164" spans="1:8" ht="15.75">
      <c r="A164" s="4160" t="s">
        <v>3425</v>
      </c>
      <c r="B164" s="4159"/>
      <c r="C164" s="4159"/>
      <c r="D164" s="4159"/>
      <c r="E164" s="4159"/>
      <c r="F164" s="4159"/>
      <c r="G164" s="4159"/>
      <c r="H164" s="4159"/>
    </row>
    <row r="165" spans="1:8" ht="15.75">
      <c r="A165" s="4160" t="s">
        <v>3426</v>
      </c>
      <c r="B165" s="4159"/>
      <c r="C165" s="4159"/>
      <c r="D165" s="4159"/>
      <c r="E165" s="4159"/>
      <c r="F165" s="4159"/>
      <c r="G165" s="4159"/>
      <c r="H165" s="4159"/>
    </row>
    <row r="166" spans="1:8" ht="15.75">
      <c r="A166" s="4159"/>
      <c r="B166" s="4159"/>
      <c r="C166" s="4159"/>
      <c r="D166" s="4159"/>
      <c r="E166" s="4159"/>
      <c r="F166" s="4159"/>
      <c r="G166" s="4159"/>
      <c r="H166" s="4159"/>
    </row>
    <row r="167" spans="1:8" ht="15.75">
      <c r="A167" s="4160" t="s">
        <v>3423</v>
      </c>
      <c r="B167" s="4159"/>
      <c r="C167" s="4159"/>
      <c r="D167" s="4159"/>
      <c r="E167" s="4159"/>
      <c r="F167" s="4159"/>
      <c r="G167" s="4159"/>
      <c r="H167" s="4159"/>
    </row>
    <row r="168" spans="1:8" ht="15.75">
      <c r="A168" s="4160" t="s">
        <v>3424</v>
      </c>
      <c r="B168" s="4159"/>
      <c r="C168" s="4159"/>
      <c r="D168" s="4159"/>
      <c r="E168" s="4159"/>
      <c r="F168" s="4159"/>
      <c r="G168" s="4159"/>
      <c r="H168" s="4159"/>
    </row>
    <row r="169" spans="1:8" ht="15.75">
      <c r="A169" s="4159"/>
      <c r="B169" s="4159"/>
      <c r="C169" s="4159"/>
      <c r="D169" s="4159"/>
      <c r="E169" s="4159"/>
      <c r="F169" s="4159"/>
      <c r="G169" s="4159"/>
      <c r="H169" s="4159"/>
    </row>
    <row r="170" spans="1:8" ht="15.75">
      <c r="A170" s="4160" t="s">
        <v>3421</v>
      </c>
      <c r="B170" s="4159"/>
      <c r="C170" s="4159"/>
      <c r="D170" s="4159"/>
      <c r="E170" s="4159"/>
      <c r="F170" s="4159"/>
      <c r="G170" s="4159"/>
      <c r="H170" s="4159"/>
    </row>
    <row r="171" spans="1:8" ht="15.75">
      <c r="A171" s="4160" t="s">
        <v>3422</v>
      </c>
      <c r="B171" s="4159"/>
      <c r="C171" s="4159"/>
      <c r="D171" s="4159"/>
      <c r="E171" s="4159"/>
      <c r="F171" s="4159"/>
      <c r="G171" s="4159"/>
      <c r="H171" s="4159"/>
    </row>
    <row r="172" spans="1:8" ht="15.75">
      <c r="A172" s="4159"/>
      <c r="B172" s="4159"/>
      <c r="C172" s="4159"/>
      <c r="D172" s="4159"/>
      <c r="E172" s="4159"/>
      <c r="F172" s="4159"/>
      <c r="G172" s="4159"/>
      <c r="H172" s="4159"/>
    </row>
    <row r="173" spans="1:8" ht="15.75">
      <c r="A173" s="4160" t="s">
        <v>3418</v>
      </c>
      <c r="B173" s="4159"/>
      <c r="C173" s="4159"/>
      <c r="D173" s="4159"/>
      <c r="E173" s="4159"/>
      <c r="F173" s="4159"/>
      <c r="G173" s="4159"/>
      <c r="H173" s="4159"/>
    </row>
    <row r="174" spans="1:8" ht="15.75">
      <c r="A174" s="4160" t="s">
        <v>3419</v>
      </c>
      <c r="B174" s="4159"/>
      <c r="C174" s="4159"/>
      <c r="D174" s="4159"/>
      <c r="E174" s="4159"/>
      <c r="F174" s="4159"/>
      <c r="G174" s="4159"/>
      <c r="H174" s="4159"/>
    </row>
    <row r="175" spans="1:8" ht="15.75">
      <c r="A175" s="4160" t="s">
        <v>3420</v>
      </c>
      <c r="B175" s="4159"/>
      <c r="C175" s="4159"/>
      <c r="D175" s="4159"/>
      <c r="E175" s="4159"/>
      <c r="F175" s="4159"/>
      <c r="G175" s="4159"/>
      <c r="H175" s="4159"/>
    </row>
    <row r="176" spans="1:8" ht="15.75">
      <c r="A176" s="4159"/>
      <c r="B176" s="4159"/>
      <c r="C176" s="4159"/>
      <c r="D176" s="4159"/>
      <c r="E176" s="4159"/>
      <c r="F176" s="4159"/>
      <c r="G176" s="4159"/>
      <c r="H176" s="4159"/>
    </row>
    <row r="177" spans="1:8" ht="15.75">
      <c r="A177" s="4159"/>
      <c r="B177" s="4159"/>
      <c r="C177" s="4159"/>
      <c r="D177" s="4159"/>
      <c r="E177" s="4159"/>
      <c r="F177" s="4159"/>
      <c r="G177" s="4159"/>
      <c r="H177" s="4159"/>
    </row>
    <row r="178" spans="1:8" ht="15.75">
      <c r="A178" s="4160" t="s">
        <v>2628</v>
      </c>
      <c r="B178" s="4159"/>
      <c r="C178" s="4159"/>
      <c r="D178" s="4159"/>
      <c r="E178" s="4159"/>
      <c r="F178" s="4159"/>
      <c r="G178" s="4159"/>
      <c r="H178" s="4159"/>
    </row>
    <row r="179" spans="1:8" ht="15.75">
      <c r="A179" s="4159"/>
      <c r="B179" s="4159"/>
      <c r="C179" s="4159"/>
      <c r="D179" s="4159"/>
      <c r="E179" s="4159"/>
      <c r="F179" s="4159"/>
      <c r="G179" s="4159"/>
      <c r="H179" s="4159"/>
    </row>
    <row r="180" spans="1:8" ht="15.75">
      <c r="A180" s="4161" t="s">
        <v>3253</v>
      </c>
      <c r="B180" s="4159"/>
      <c r="C180" s="4159"/>
      <c r="D180" s="4159"/>
      <c r="E180" s="4159"/>
      <c r="F180" s="4159"/>
      <c r="G180" s="4159"/>
      <c r="H180" s="4159"/>
    </row>
    <row r="181" spans="1:8" ht="15.75">
      <c r="A181" s="4159"/>
      <c r="B181" s="4159"/>
      <c r="C181" s="4159"/>
      <c r="D181" s="4159"/>
      <c r="E181" s="4159"/>
      <c r="F181" s="4159"/>
      <c r="G181" s="4159"/>
      <c r="H181" s="4159"/>
    </row>
    <row r="182" spans="1:8" ht="15.75">
      <c r="A182" s="4159"/>
      <c r="B182" s="4159"/>
      <c r="C182" s="4159"/>
      <c r="D182" s="4159"/>
      <c r="E182" s="4159"/>
      <c r="F182" s="4159"/>
      <c r="G182" s="4159"/>
      <c r="H182" s="4159"/>
    </row>
    <row r="183" spans="1:8" ht="15.75">
      <c r="A183" s="4159"/>
      <c r="B183" s="4159"/>
      <c r="C183" s="4159"/>
      <c r="D183" s="4159"/>
      <c r="E183" s="4159"/>
      <c r="F183" s="4159"/>
      <c r="G183" s="4159"/>
      <c r="H183" s="4159"/>
    </row>
    <row r="184" spans="1:8" ht="15.75">
      <c r="A184" s="4159"/>
      <c r="B184" s="4159"/>
      <c r="C184" s="4159"/>
      <c r="D184" s="4159"/>
      <c r="E184" s="4159"/>
      <c r="F184" s="4159"/>
      <c r="G184" s="4159"/>
      <c r="H184" s="4159"/>
    </row>
    <row r="185" spans="1:8" ht="15.75">
      <c r="A185" s="4159"/>
      <c r="B185" s="4159"/>
      <c r="C185" s="4159"/>
      <c r="D185" s="4159"/>
      <c r="E185" s="4159"/>
      <c r="F185" s="4159"/>
      <c r="G185" s="4159"/>
      <c r="H185" s="4159"/>
    </row>
    <row r="186" spans="1:8" ht="15.75">
      <c r="A186" s="4159"/>
      <c r="B186" s="4159"/>
      <c r="C186" s="4159"/>
      <c r="D186" s="4159"/>
      <c r="E186" s="4159"/>
      <c r="F186" s="4159"/>
      <c r="G186" s="4159"/>
      <c r="H186" s="4159"/>
    </row>
    <row r="187" spans="1:8" ht="15.75">
      <c r="A187" s="4159"/>
      <c r="B187" s="4159"/>
      <c r="C187" s="4159"/>
      <c r="D187" s="4159"/>
      <c r="E187" s="4159"/>
      <c r="F187" s="4159"/>
      <c r="G187" s="4159"/>
      <c r="H187" s="4159"/>
    </row>
    <row r="188" spans="1:8" ht="15.75">
      <c r="A188" s="4159"/>
      <c r="B188" s="4159"/>
      <c r="C188" s="4159"/>
      <c r="D188" s="4159"/>
      <c r="E188" s="4159"/>
      <c r="F188" s="4159"/>
      <c r="G188" s="4159"/>
      <c r="H188" s="4159"/>
    </row>
    <row r="189" spans="1:8" ht="15.75">
      <c r="A189" s="4159"/>
      <c r="B189" s="4159"/>
      <c r="C189" s="4159"/>
      <c r="D189" s="4159"/>
      <c r="E189" s="4159"/>
      <c r="F189" s="4159"/>
      <c r="G189" s="4159"/>
      <c r="H189" s="4159"/>
    </row>
    <row r="190" spans="1:8" ht="15.75">
      <c r="A190" s="4159"/>
      <c r="B190" s="4159"/>
      <c r="C190" s="4159"/>
      <c r="D190" s="4159"/>
      <c r="E190" s="4159"/>
      <c r="F190" s="4159"/>
      <c r="G190" s="4159"/>
      <c r="H190" s="4159"/>
    </row>
    <row r="191" spans="1:8" ht="15.75">
      <c r="A191" s="4159"/>
      <c r="B191" s="4159"/>
      <c r="C191" s="4159"/>
      <c r="D191" s="4159"/>
      <c r="E191" s="4159"/>
      <c r="F191" s="4159"/>
      <c r="G191" s="4159"/>
      <c r="H191" s="4159"/>
    </row>
    <row r="192" spans="1:8" ht="15.75">
      <c r="A192" s="4159"/>
      <c r="B192" s="4159"/>
      <c r="C192" s="4159"/>
      <c r="D192" s="4159"/>
      <c r="E192" s="4159"/>
      <c r="F192" s="4159"/>
      <c r="G192" s="4159"/>
      <c r="H192" s="4159"/>
    </row>
    <row r="193" spans="1:8" ht="15.75">
      <c r="A193" s="4159"/>
      <c r="B193" s="4159"/>
      <c r="C193" s="4159"/>
      <c r="D193" s="4159"/>
      <c r="E193" s="4159"/>
      <c r="F193" s="4159"/>
      <c r="G193" s="4159"/>
      <c r="H193" s="4159"/>
    </row>
    <row r="194" spans="1:8" ht="15.75">
      <c r="A194" s="4159"/>
      <c r="B194" s="4159"/>
      <c r="C194" s="4159"/>
      <c r="D194" s="4159"/>
      <c r="E194" s="4159"/>
      <c r="F194" s="4159"/>
      <c r="G194" s="4159"/>
      <c r="H194" s="4159"/>
    </row>
    <row r="195" spans="1:8" ht="15.75">
      <c r="A195" s="4159"/>
      <c r="B195" s="4159"/>
      <c r="C195" s="4159"/>
      <c r="D195" s="4159"/>
      <c r="E195" s="4159"/>
      <c r="F195" s="4159"/>
      <c r="G195" s="4159"/>
      <c r="H195" s="4159"/>
    </row>
    <row r="196" spans="1:8" ht="15.75">
      <c r="A196" s="4159"/>
      <c r="B196" s="4159"/>
      <c r="C196" s="4159"/>
      <c r="D196" s="4159"/>
      <c r="E196" s="4159"/>
      <c r="F196" s="4159"/>
      <c r="G196" s="4159"/>
      <c r="H196" s="4159"/>
    </row>
    <row r="197" spans="1:8" ht="15.75">
      <c r="A197" s="4159"/>
      <c r="B197" s="4159"/>
      <c r="C197" s="4159"/>
      <c r="D197" s="4159"/>
      <c r="E197" s="4159"/>
      <c r="F197" s="4159"/>
      <c r="G197" s="4159"/>
      <c r="H197" s="4159"/>
    </row>
    <row r="198" spans="1:8" ht="15.75">
      <c r="A198" s="4159"/>
      <c r="B198" s="4159"/>
      <c r="C198" s="4159"/>
      <c r="D198" s="4159"/>
      <c r="E198" s="4159"/>
      <c r="F198" s="4159"/>
      <c r="G198" s="4159"/>
      <c r="H198" s="4159"/>
    </row>
    <row r="199" spans="1:8" ht="15.75">
      <c r="A199" s="4159"/>
      <c r="B199" s="4159"/>
      <c r="C199" s="4159"/>
      <c r="D199" s="4159"/>
      <c r="E199" s="4159"/>
      <c r="F199" s="4159"/>
      <c r="G199" s="4159"/>
      <c r="H199" s="4159"/>
    </row>
    <row r="200" spans="1:8" ht="15.75">
      <c r="A200" s="4159"/>
      <c r="B200" s="4159"/>
      <c r="C200" s="4159"/>
      <c r="D200" s="4159"/>
      <c r="E200" s="4159"/>
      <c r="F200" s="4159"/>
      <c r="G200" s="4159"/>
      <c r="H200" s="4159"/>
    </row>
    <row r="201" spans="1:8" ht="15.75">
      <c r="A201" s="4159"/>
      <c r="B201" s="4159"/>
      <c r="C201" s="4159"/>
      <c r="D201" s="4159"/>
      <c r="E201" s="4159"/>
      <c r="F201" s="4159"/>
      <c r="G201" s="4159"/>
      <c r="H201" s="4159"/>
    </row>
    <row r="202" spans="1:8" ht="15.75">
      <c r="A202" s="4159"/>
      <c r="B202" s="4159"/>
      <c r="C202" s="4159"/>
      <c r="D202" s="4159"/>
      <c r="E202" s="4159"/>
      <c r="F202" s="4159"/>
      <c r="G202" s="4159"/>
      <c r="H202" s="4159"/>
    </row>
    <row r="203" spans="1:8" ht="15.75">
      <c r="A203" s="4159"/>
      <c r="B203" s="4159"/>
      <c r="C203" s="4159"/>
      <c r="D203" s="4159"/>
      <c r="E203" s="4159"/>
      <c r="F203" s="4159"/>
      <c r="G203" s="4159"/>
      <c r="H203" s="4159"/>
    </row>
    <row r="204" spans="1:8" ht="15.75">
      <c r="A204" s="4159"/>
      <c r="B204" s="4159"/>
      <c r="C204" s="4159"/>
      <c r="D204" s="4159"/>
      <c r="E204" s="4159"/>
      <c r="F204" s="4159"/>
      <c r="G204" s="4159"/>
      <c r="H204" s="4159"/>
    </row>
    <row r="205" spans="1:8" ht="15.75">
      <c r="A205" s="4159"/>
      <c r="B205" s="4159"/>
      <c r="C205" s="4159"/>
      <c r="D205" s="4159"/>
      <c r="E205" s="4159"/>
      <c r="F205" s="4159"/>
      <c r="G205" s="4159"/>
      <c r="H205" s="4159"/>
    </row>
    <row r="206" spans="1:8" ht="15.75">
      <c r="A206" s="4159"/>
      <c r="B206" s="4159"/>
      <c r="C206" s="4159"/>
      <c r="D206" s="4159"/>
      <c r="E206" s="4159"/>
      <c r="F206" s="4159"/>
      <c r="G206" s="4159"/>
      <c r="H206" s="4159"/>
    </row>
    <row r="207" spans="1:8" ht="15.75">
      <c r="A207" s="4161" t="s">
        <v>3254</v>
      </c>
      <c r="B207" s="4159"/>
      <c r="C207" s="4159"/>
      <c r="D207" s="4159"/>
      <c r="E207" s="4159"/>
      <c r="F207" s="4159"/>
      <c r="G207" s="4159"/>
      <c r="H207" s="4159"/>
    </row>
    <row r="208" spans="1:8" ht="15.75">
      <c r="A208" s="4159"/>
      <c r="B208" s="4159"/>
      <c r="C208" s="4159"/>
      <c r="D208" s="4159"/>
      <c r="E208" s="4159"/>
      <c r="F208" s="4159"/>
      <c r="G208" s="4159"/>
      <c r="H208" s="4159"/>
    </row>
    <row r="209" spans="1:8" ht="15.75">
      <c r="A209" s="4160" t="s">
        <v>3413</v>
      </c>
      <c r="B209" s="4159"/>
      <c r="C209" s="4159"/>
      <c r="D209" s="4159"/>
      <c r="E209" s="4159"/>
      <c r="F209" s="4159"/>
      <c r="G209" s="4159"/>
      <c r="H209" s="4159"/>
    </row>
    <row r="210" spans="1:8" ht="15.75">
      <c r="A210" s="4160" t="s">
        <v>3414</v>
      </c>
      <c r="B210" s="4159"/>
      <c r="C210" s="4159"/>
      <c r="D210" s="4159"/>
      <c r="E210" s="4159"/>
      <c r="F210" s="4159"/>
      <c r="G210" s="4159"/>
      <c r="H210" s="4159"/>
    </row>
    <row r="211" spans="1:8" ht="15.75">
      <c r="A211" s="4160" t="s">
        <v>3415</v>
      </c>
      <c r="B211" s="4159"/>
      <c r="C211" s="4159"/>
      <c r="D211" s="4159"/>
      <c r="E211" s="4159"/>
      <c r="F211" s="4159"/>
      <c r="G211" s="4159"/>
      <c r="H211" s="4159"/>
    </row>
    <row r="212" spans="1:8" ht="15.75">
      <c r="A212" s="4160" t="s">
        <v>3416</v>
      </c>
      <c r="B212" s="4159"/>
      <c r="C212" s="4159"/>
      <c r="D212" s="4159"/>
      <c r="E212" s="4159"/>
      <c r="F212" s="4159"/>
      <c r="G212" s="4159"/>
      <c r="H212" s="4159"/>
    </row>
    <row r="213" spans="1:8" ht="15.75">
      <c r="A213" s="4160" t="s">
        <v>3417</v>
      </c>
      <c r="B213" s="4159"/>
      <c r="C213" s="4159"/>
      <c r="D213" s="4159"/>
      <c r="E213" s="4159"/>
      <c r="F213" s="4159"/>
      <c r="G213" s="4159"/>
      <c r="H213" s="4159"/>
    </row>
    <row r="214" spans="1:8" ht="15.75">
      <c r="A214" s="4159"/>
      <c r="B214" s="4159"/>
      <c r="C214" s="4159"/>
      <c r="D214" s="4159"/>
      <c r="E214" s="4159"/>
      <c r="F214" s="4159"/>
      <c r="G214" s="4159"/>
      <c r="H214" s="4159"/>
    </row>
    <row r="215" spans="1:8" ht="15.75">
      <c r="A215" s="4160" t="s">
        <v>3410</v>
      </c>
      <c r="B215" s="4159"/>
      <c r="C215" s="4159"/>
      <c r="D215" s="4159"/>
      <c r="E215" s="4159"/>
      <c r="F215" s="4159"/>
      <c r="G215" s="4159"/>
      <c r="H215" s="4159"/>
    </row>
    <row r="216" spans="1:8" ht="15.75">
      <c r="A216" s="4160" t="s">
        <v>3411</v>
      </c>
      <c r="B216" s="4159"/>
      <c r="C216" s="4159"/>
      <c r="D216" s="4159"/>
      <c r="E216" s="4159"/>
      <c r="F216" s="4159"/>
      <c r="G216" s="4159"/>
      <c r="H216" s="4159"/>
    </row>
    <row r="217" spans="1:8" ht="15.75">
      <c r="A217" s="4160" t="s">
        <v>3412</v>
      </c>
      <c r="B217" s="4159"/>
      <c r="C217" s="4159"/>
      <c r="D217" s="4159"/>
      <c r="E217" s="4159"/>
      <c r="F217" s="4159"/>
      <c r="G217" s="4159"/>
      <c r="H217" s="4159"/>
    </row>
    <row r="218" spans="1:8" ht="15.75">
      <c r="A218" s="4161" t="s">
        <v>3255</v>
      </c>
      <c r="B218" s="4159"/>
      <c r="C218" s="4159"/>
      <c r="D218" s="4159"/>
      <c r="E218" s="4159"/>
      <c r="F218" s="4159"/>
      <c r="G218" s="4159"/>
      <c r="H218" s="4159"/>
    </row>
    <row r="219" spans="1:8" ht="15.75">
      <c r="A219" s="4159"/>
      <c r="B219" s="4159"/>
      <c r="C219" s="4159"/>
      <c r="D219" s="4159"/>
      <c r="E219" s="4159"/>
      <c r="F219" s="4159"/>
      <c r="G219" s="4159"/>
      <c r="H219" s="4159"/>
    </row>
    <row r="220" spans="1:8" ht="15.75">
      <c r="A220" s="4160" t="s">
        <v>3403</v>
      </c>
      <c r="B220" s="4159"/>
      <c r="C220" s="4159"/>
      <c r="D220" s="4159"/>
      <c r="E220" s="4159"/>
      <c r="F220" s="4159"/>
      <c r="G220" s="4159"/>
      <c r="H220" s="4159"/>
    </row>
    <row r="221" spans="1:8" ht="15.75">
      <c r="A221" s="4160" t="s">
        <v>3404</v>
      </c>
      <c r="B221" s="4159"/>
      <c r="C221" s="4159"/>
      <c r="D221" s="4159"/>
      <c r="E221" s="4159"/>
      <c r="F221" s="4159"/>
      <c r="G221" s="4159"/>
      <c r="H221" s="4159"/>
    </row>
    <row r="222" spans="1:8" ht="15.75">
      <c r="A222" s="4160" t="s">
        <v>3405</v>
      </c>
      <c r="B222" s="4159"/>
      <c r="C222" s="4159"/>
      <c r="D222" s="4159"/>
      <c r="E222" s="4159"/>
      <c r="F222" s="4159"/>
      <c r="G222" s="4159"/>
      <c r="H222" s="4159"/>
    </row>
    <row r="223" spans="1:8" ht="15.75">
      <c r="A223" s="4160" t="s">
        <v>3406</v>
      </c>
      <c r="B223" s="4159"/>
      <c r="C223" s="4159"/>
      <c r="D223" s="4159"/>
      <c r="E223" s="4159"/>
      <c r="F223" s="4159"/>
      <c r="G223" s="4159"/>
      <c r="H223" s="4159"/>
    </row>
    <row r="224" spans="1:8" ht="15.75">
      <c r="A224" s="4160" t="s">
        <v>3407</v>
      </c>
      <c r="B224" s="4159"/>
      <c r="C224" s="4159"/>
      <c r="D224" s="4159"/>
      <c r="E224" s="4159"/>
      <c r="F224" s="4159"/>
      <c r="G224" s="4159"/>
      <c r="H224" s="4159"/>
    </row>
    <row r="225" spans="1:8" ht="15.75">
      <c r="A225" s="4160" t="s">
        <v>3408</v>
      </c>
      <c r="B225" s="4159"/>
      <c r="C225" s="4159"/>
      <c r="D225" s="4159"/>
      <c r="E225" s="4159"/>
      <c r="F225" s="4159"/>
      <c r="G225" s="4159"/>
      <c r="H225" s="4159"/>
    </row>
    <row r="226" spans="1:8" ht="15.75">
      <c r="A226" s="4160" t="s">
        <v>3409</v>
      </c>
      <c r="B226" s="4159"/>
      <c r="C226" s="4159"/>
      <c r="D226" s="4159"/>
      <c r="E226" s="4159"/>
      <c r="F226" s="4159"/>
      <c r="G226" s="4159"/>
      <c r="H226" s="4159"/>
    </row>
    <row r="227" spans="1:8" ht="15.75">
      <c r="A227" s="4159"/>
      <c r="B227" s="4159"/>
      <c r="C227" s="4159"/>
      <c r="D227" s="4159"/>
      <c r="E227" s="4159"/>
      <c r="F227" s="4159"/>
      <c r="G227" s="4159"/>
      <c r="H227" s="4159"/>
    </row>
    <row r="228" spans="1:8" ht="15.75">
      <c r="A228" s="4160" t="s">
        <v>3400</v>
      </c>
      <c r="B228" s="4159"/>
      <c r="C228" s="4159"/>
      <c r="D228" s="4159"/>
      <c r="E228" s="4159"/>
      <c r="F228" s="4159"/>
      <c r="G228" s="4159"/>
      <c r="H228" s="4159"/>
    </row>
    <row r="229" spans="1:8" ht="15.75">
      <c r="A229" s="4160" t="s">
        <v>3401</v>
      </c>
      <c r="B229" s="4159"/>
      <c r="C229" s="4159"/>
      <c r="D229" s="4159"/>
      <c r="E229" s="4159"/>
      <c r="F229" s="4159"/>
      <c r="G229" s="4159"/>
      <c r="H229" s="4159"/>
    </row>
    <row r="230" spans="1:8" ht="15.75">
      <c r="A230" s="4160" t="s">
        <v>3402</v>
      </c>
      <c r="B230" s="4159"/>
      <c r="C230" s="4159"/>
      <c r="D230" s="4159"/>
      <c r="E230" s="4159"/>
      <c r="F230" s="4159"/>
      <c r="G230" s="4159"/>
      <c r="H230" s="4159"/>
    </row>
    <row r="231" spans="1:8" ht="15.75">
      <c r="A231" s="4159"/>
      <c r="B231" s="4159"/>
      <c r="C231" s="4159"/>
      <c r="D231" s="4159"/>
      <c r="E231" s="4159"/>
      <c r="F231" s="4159"/>
      <c r="G231" s="4159"/>
      <c r="H231" s="4159"/>
    </row>
    <row r="232" spans="1:8" ht="15.75">
      <c r="A232" s="4160" t="s">
        <v>3395</v>
      </c>
      <c r="B232" s="4159"/>
      <c r="C232" s="4159"/>
      <c r="D232" s="4159"/>
      <c r="E232" s="4159"/>
      <c r="F232" s="4159"/>
      <c r="G232" s="4159"/>
      <c r="H232" s="4159"/>
    </row>
    <row r="233" spans="1:8" ht="15.75">
      <c r="A233" s="4160" t="s">
        <v>3396</v>
      </c>
      <c r="B233" s="4159"/>
      <c r="C233" s="4159"/>
      <c r="D233" s="4159"/>
      <c r="E233" s="4159"/>
      <c r="F233" s="4159"/>
      <c r="G233" s="4159"/>
      <c r="H233" s="4159"/>
    </row>
    <row r="234" spans="1:8" ht="15.75">
      <c r="A234" s="4160" t="s">
        <v>3397</v>
      </c>
      <c r="B234" s="4159"/>
      <c r="C234" s="4159"/>
      <c r="D234" s="4159"/>
      <c r="E234" s="4159"/>
      <c r="F234" s="4159"/>
      <c r="G234" s="4159"/>
      <c r="H234" s="4159"/>
    </row>
    <row r="235" spans="1:8" ht="15.75">
      <c r="A235" s="4160" t="s">
        <v>3398</v>
      </c>
      <c r="B235" s="4159"/>
      <c r="C235" s="4159"/>
      <c r="D235" s="4159"/>
      <c r="E235" s="4159"/>
      <c r="F235" s="4159"/>
      <c r="G235" s="4159"/>
      <c r="H235" s="4159"/>
    </row>
    <row r="236" spans="1:8" ht="15.75">
      <c r="A236" s="4160" t="s">
        <v>3399</v>
      </c>
      <c r="B236" s="4159"/>
      <c r="C236" s="4159"/>
      <c r="D236" s="4159"/>
      <c r="E236" s="4159"/>
      <c r="F236" s="4159"/>
      <c r="G236" s="4159"/>
      <c r="H236" s="4159"/>
    </row>
    <row r="237" spans="1:8" ht="15.75">
      <c r="A237" s="4159"/>
      <c r="B237" s="4159"/>
      <c r="C237" s="4159"/>
      <c r="D237" s="4159"/>
      <c r="E237" s="4159"/>
      <c r="F237" s="4159"/>
      <c r="G237" s="4159"/>
      <c r="H237" s="4159"/>
    </row>
    <row r="238" spans="1:8" ht="15.75">
      <c r="A238" s="4160" t="s">
        <v>3389</v>
      </c>
      <c r="B238" s="4159"/>
      <c r="C238" s="4159"/>
      <c r="D238" s="4159"/>
      <c r="E238" s="4159"/>
      <c r="F238" s="4159"/>
      <c r="G238" s="4159"/>
      <c r="H238" s="4159"/>
    </row>
    <row r="239" spans="1:8" ht="15.75">
      <c r="A239" s="4160" t="s">
        <v>3390</v>
      </c>
      <c r="B239" s="4159"/>
      <c r="C239" s="4159"/>
      <c r="D239" s="4159"/>
      <c r="E239" s="4159"/>
      <c r="F239" s="4159"/>
      <c r="G239" s="4159"/>
      <c r="H239" s="4159"/>
    </row>
    <row r="240" spans="1:8" ht="15.75">
      <c r="A240" s="4160" t="s">
        <v>3391</v>
      </c>
      <c r="B240" s="4159"/>
      <c r="C240" s="4159"/>
      <c r="D240" s="4159"/>
      <c r="E240" s="4159"/>
      <c r="F240" s="4159"/>
      <c r="G240" s="4159"/>
      <c r="H240" s="4159"/>
    </row>
    <row r="241" spans="1:8" ht="15.75">
      <c r="A241" s="4160" t="s">
        <v>3392</v>
      </c>
      <c r="B241" s="4159"/>
      <c r="C241" s="4159"/>
      <c r="D241" s="4159"/>
      <c r="E241" s="4159"/>
      <c r="F241" s="4159"/>
      <c r="G241" s="4159"/>
      <c r="H241" s="4159"/>
    </row>
    <row r="242" spans="1:8" ht="15.75">
      <c r="A242" s="4160" t="s">
        <v>3393</v>
      </c>
      <c r="B242" s="4159"/>
      <c r="C242" s="4159"/>
      <c r="D242" s="4159"/>
      <c r="E242" s="4159"/>
      <c r="F242" s="4159"/>
      <c r="G242" s="4159"/>
      <c r="H242" s="4159"/>
    </row>
    <row r="243" spans="1:8" ht="15.75">
      <c r="A243" s="4160" t="s">
        <v>3394</v>
      </c>
      <c r="B243" s="4159"/>
      <c r="C243" s="4159"/>
      <c r="D243" s="4159"/>
      <c r="E243" s="4159"/>
      <c r="F243" s="4159"/>
      <c r="G243" s="4159"/>
      <c r="H243" s="4159"/>
    </row>
    <row r="244" spans="1:8" ht="15.75">
      <c r="A244" s="4159"/>
      <c r="B244" s="4159"/>
      <c r="C244" s="4159"/>
      <c r="D244" s="4159"/>
      <c r="E244" s="4159"/>
      <c r="F244" s="4159"/>
      <c r="G244" s="4159"/>
      <c r="H244" s="4159"/>
    </row>
    <row r="245" spans="1:8" ht="15.75">
      <c r="A245" s="4160" t="s">
        <v>3379</v>
      </c>
      <c r="B245" s="4159"/>
      <c r="C245" s="4159"/>
      <c r="D245" s="4159"/>
      <c r="E245" s="4159"/>
      <c r="F245" s="4159"/>
      <c r="G245" s="4159"/>
      <c r="H245" s="4159"/>
    </row>
    <row r="246" spans="1:8" ht="15.75">
      <c r="A246" s="4160" t="s">
        <v>3380</v>
      </c>
      <c r="B246" s="4159"/>
      <c r="C246" s="4159"/>
      <c r="D246" s="4159"/>
      <c r="E246" s="4159"/>
      <c r="F246" s="4159"/>
      <c r="G246" s="4159"/>
      <c r="H246" s="4159"/>
    </row>
    <row r="247" spans="1:8" ht="15.75">
      <c r="A247" s="4160" t="s">
        <v>3381</v>
      </c>
      <c r="B247" s="4159"/>
      <c r="C247" s="4159"/>
      <c r="D247" s="4159"/>
      <c r="E247" s="4159"/>
      <c r="F247" s="4159"/>
      <c r="G247" s="4159"/>
      <c r="H247" s="4159"/>
    </row>
    <row r="248" spans="1:8" ht="15.75">
      <c r="A248" s="4160" t="s">
        <v>3382</v>
      </c>
      <c r="B248" s="4159"/>
      <c r="C248" s="4159"/>
      <c r="D248" s="4159"/>
      <c r="E248" s="4159"/>
      <c r="F248" s="4159"/>
      <c r="G248" s="4159"/>
      <c r="H248" s="4159"/>
    </row>
    <row r="249" spans="1:8" ht="15.75">
      <c r="A249" s="4160" t="s">
        <v>3383</v>
      </c>
      <c r="B249" s="4159"/>
      <c r="C249" s="4159"/>
      <c r="D249" s="4159"/>
      <c r="E249" s="4159"/>
      <c r="F249" s="4159"/>
      <c r="G249" s="4159"/>
      <c r="H249" s="4159"/>
    </row>
    <row r="250" spans="1:8" ht="15.75">
      <c r="A250" s="4160" t="s">
        <v>3384</v>
      </c>
      <c r="B250" s="4159"/>
      <c r="C250" s="4159"/>
      <c r="D250" s="4159"/>
      <c r="E250" s="4159"/>
      <c r="F250" s="4159"/>
      <c r="G250" s="4159"/>
      <c r="H250" s="4159"/>
    </row>
    <row r="251" spans="1:8" ht="15.75">
      <c r="A251" s="4160" t="s">
        <v>3385</v>
      </c>
      <c r="B251" s="4159"/>
      <c r="C251" s="4159"/>
      <c r="D251" s="4159"/>
      <c r="E251" s="4159"/>
      <c r="F251" s="4159"/>
      <c r="G251" s="4159"/>
      <c r="H251" s="4159"/>
    </row>
    <row r="252" spans="1:8" ht="15.75">
      <c r="A252" s="4160" t="s">
        <v>3386</v>
      </c>
      <c r="B252" s="4159"/>
      <c r="C252" s="4159"/>
      <c r="D252" s="4159"/>
      <c r="E252" s="4159"/>
      <c r="F252" s="4159"/>
      <c r="G252" s="4159"/>
      <c r="H252" s="4159"/>
    </row>
    <row r="253" spans="1:8" ht="15.75">
      <c r="A253" s="4160" t="s">
        <v>3387</v>
      </c>
      <c r="B253" s="4159"/>
      <c r="C253" s="4159"/>
      <c r="D253" s="4159"/>
      <c r="E253" s="4159"/>
      <c r="F253" s="4159"/>
      <c r="G253" s="4159"/>
      <c r="H253" s="4159"/>
    </row>
    <row r="254" spans="1:8" ht="15.75">
      <c r="A254" s="4160" t="s">
        <v>3388</v>
      </c>
      <c r="B254" s="4159"/>
      <c r="C254" s="4159"/>
      <c r="D254" s="4159"/>
      <c r="E254" s="4159"/>
      <c r="F254" s="4159"/>
      <c r="G254" s="4159"/>
      <c r="H254" s="4159"/>
    </row>
    <row r="255" spans="1:8" ht="15.75">
      <c r="A255" s="4159"/>
      <c r="B255" s="4159"/>
      <c r="C255" s="4159"/>
      <c r="D255" s="4159"/>
      <c r="E255" s="4159"/>
      <c r="F255" s="4159"/>
      <c r="G255" s="4159"/>
      <c r="H255" s="4159"/>
    </row>
    <row r="256" spans="1:8" ht="15.75">
      <c r="A256" s="4160" t="s">
        <v>3377</v>
      </c>
      <c r="B256" s="4159"/>
      <c r="C256" s="4159"/>
      <c r="D256" s="4159"/>
      <c r="E256" s="4159"/>
      <c r="F256" s="4159"/>
      <c r="G256" s="4159"/>
      <c r="H256" s="4159"/>
    </row>
    <row r="257" spans="1:8" ht="15.75">
      <c r="A257" s="4160" t="s">
        <v>3378</v>
      </c>
      <c r="B257" s="4159"/>
      <c r="C257" s="4159"/>
      <c r="D257" s="4159"/>
      <c r="E257" s="4159"/>
      <c r="F257" s="4159"/>
      <c r="G257" s="4159"/>
      <c r="H257" s="4159"/>
    </row>
    <row r="258" spans="1:8" ht="15.75">
      <c r="A258" s="4159"/>
      <c r="B258" s="4159"/>
      <c r="C258" s="4159"/>
      <c r="D258" s="4159"/>
      <c r="E258" s="4159"/>
      <c r="F258" s="4159"/>
      <c r="G258" s="4159"/>
      <c r="H258" s="4159"/>
    </row>
    <row r="259" spans="1:8" ht="15.75">
      <c r="A259" s="4160" t="s">
        <v>3361</v>
      </c>
      <c r="B259" s="4159"/>
      <c r="C259" s="4159"/>
      <c r="D259" s="4159"/>
      <c r="E259" s="4159"/>
      <c r="F259" s="4159"/>
      <c r="G259" s="4159"/>
      <c r="H259" s="4159"/>
    </row>
    <row r="260" spans="1:8" ht="15.75">
      <c r="A260" s="4160" t="s">
        <v>3362</v>
      </c>
      <c r="B260" s="4159"/>
      <c r="C260" s="4159"/>
      <c r="D260" s="4159"/>
      <c r="E260" s="4159"/>
      <c r="F260" s="4159"/>
      <c r="G260" s="4159"/>
      <c r="H260" s="4159"/>
    </row>
    <row r="261" spans="1:8" ht="15.75">
      <c r="A261" s="4160" t="s">
        <v>3363</v>
      </c>
      <c r="B261" s="4159"/>
      <c r="C261" s="4159"/>
      <c r="D261" s="4159"/>
      <c r="E261" s="4159"/>
      <c r="F261" s="4159"/>
      <c r="G261" s="4159"/>
      <c r="H261" s="4159"/>
    </row>
    <row r="262" spans="1:8" ht="15.75">
      <c r="A262" s="4160" t="s">
        <v>3364</v>
      </c>
      <c r="B262" s="4159"/>
      <c r="C262" s="4159"/>
      <c r="D262" s="4159"/>
      <c r="E262" s="4159"/>
      <c r="F262" s="4159"/>
      <c r="G262" s="4159"/>
      <c r="H262" s="4159"/>
    </row>
    <row r="263" spans="1:8" ht="15.75">
      <c r="A263" s="4160" t="s">
        <v>3365</v>
      </c>
      <c r="B263" s="4159"/>
      <c r="C263" s="4159"/>
      <c r="D263" s="4159"/>
      <c r="E263" s="4159"/>
      <c r="F263" s="4159"/>
      <c r="G263" s="4159"/>
      <c r="H263" s="4159"/>
    </row>
    <row r="264" spans="1:8" ht="15.75">
      <c r="A264" s="4160" t="s">
        <v>3366</v>
      </c>
      <c r="B264" s="4159"/>
      <c r="C264" s="4159"/>
      <c r="D264" s="4159"/>
      <c r="E264" s="4159"/>
      <c r="F264" s="4159"/>
      <c r="G264" s="4159"/>
      <c r="H264" s="4159"/>
    </row>
    <row r="265" spans="1:8" ht="15.75">
      <c r="A265" s="4160" t="s">
        <v>3367</v>
      </c>
      <c r="B265" s="4159"/>
      <c r="C265" s="4159"/>
      <c r="D265" s="4159"/>
      <c r="E265" s="4159"/>
      <c r="F265" s="4159"/>
      <c r="G265" s="4159"/>
      <c r="H265" s="4159"/>
    </row>
    <row r="266" spans="1:8" ht="15.75">
      <c r="A266" s="4160" t="s">
        <v>3368</v>
      </c>
      <c r="B266" s="4159"/>
      <c r="C266" s="4159"/>
      <c r="D266" s="4159"/>
      <c r="E266" s="4159"/>
      <c r="F266" s="4159"/>
      <c r="G266" s="4159"/>
      <c r="H266" s="4159"/>
    </row>
    <row r="267" spans="1:8" ht="15.75">
      <c r="A267" s="4160" t="s">
        <v>3369</v>
      </c>
      <c r="B267" s="4159"/>
      <c r="C267" s="4159"/>
      <c r="D267" s="4159"/>
      <c r="E267" s="4159"/>
      <c r="F267" s="4159"/>
      <c r="G267" s="4159"/>
      <c r="H267" s="4159"/>
    </row>
    <row r="268" spans="1:8" ht="15.75">
      <c r="A268" s="4160" t="s">
        <v>3370</v>
      </c>
      <c r="B268" s="4159"/>
      <c r="C268" s="4159"/>
      <c r="D268" s="4159"/>
      <c r="E268" s="4159"/>
      <c r="F268" s="4159"/>
      <c r="G268" s="4159"/>
      <c r="H268" s="4159"/>
    </row>
    <row r="269" spans="1:8" ht="15.75">
      <c r="A269" s="4160" t="s">
        <v>3371</v>
      </c>
      <c r="B269" s="4159"/>
      <c r="C269" s="4159"/>
      <c r="D269" s="4159"/>
      <c r="E269" s="4159"/>
      <c r="F269" s="4159"/>
      <c r="G269" s="4159"/>
      <c r="H269" s="4159"/>
    </row>
    <row r="270" spans="1:8" ht="15.75">
      <c r="A270" s="4160" t="s">
        <v>3372</v>
      </c>
      <c r="B270" s="4159"/>
      <c r="C270" s="4159"/>
      <c r="D270" s="4159"/>
      <c r="E270" s="4159"/>
      <c r="F270" s="4159"/>
      <c r="G270" s="4159"/>
      <c r="H270" s="4159"/>
    </row>
    <row r="271" spans="1:8" ht="15.75">
      <c r="A271" s="4160" t="s">
        <v>3373</v>
      </c>
      <c r="B271" s="4159"/>
      <c r="C271" s="4159"/>
      <c r="D271" s="4159"/>
      <c r="E271" s="4159"/>
      <c r="F271" s="4159"/>
      <c r="G271" s="4159"/>
      <c r="H271" s="4159"/>
    </row>
    <row r="272" spans="1:8" ht="15.75">
      <c r="A272" s="4160" t="s">
        <v>3374</v>
      </c>
      <c r="B272" s="4159"/>
      <c r="C272" s="4159"/>
      <c r="D272" s="4159"/>
      <c r="E272" s="4159"/>
      <c r="F272" s="4159"/>
      <c r="G272" s="4159"/>
      <c r="H272" s="4159"/>
    </row>
    <row r="273" spans="1:8" ht="15.75">
      <c r="A273" s="4160" t="s">
        <v>3375</v>
      </c>
      <c r="B273" s="4159"/>
      <c r="C273" s="4159"/>
      <c r="D273" s="4159"/>
      <c r="E273" s="4159"/>
      <c r="F273" s="4159"/>
      <c r="G273" s="4159"/>
      <c r="H273" s="4159"/>
    </row>
    <row r="274" spans="1:8" ht="15.75">
      <c r="A274" s="4160" t="s">
        <v>3376</v>
      </c>
      <c r="B274" s="4159"/>
      <c r="C274" s="4159"/>
      <c r="D274" s="4159"/>
      <c r="E274" s="4159"/>
      <c r="F274" s="4159"/>
      <c r="G274" s="4159"/>
      <c r="H274" s="4159"/>
    </row>
    <row r="275" spans="1:8" ht="15.75">
      <c r="A275" s="4159"/>
      <c r="B275" s="4159"/>
      <c r="C275" s="4159"/>
      <c r="D275" s="4159"/>
      <c r="E275" s="4159"/>
      <c r="F275" s="4159"/>
      <c r="G275" s="4159"/>
      <c r="H275" s="4159"/>
    </row>
    <row r="276" spans="1:8" ht="15.75">
      <c r="A276" s="4160" t="s">
        <v>3354</v>
      </c>
      <c r="B276" s="4159"/>
      <c r="C276" s="4159"/>
      <c r="D276" s="4159"/>
      <c r="E276" s="4159"/>
      <c r="F276" s="4159"/>
      <c r="G276" s="4159"/>
      <c r="H276" s="4159"/>
    </row>
    <row r="277" spans="1:8" ht="15.75">
      <c r="A277" s="4160" t="s">
        <v>3355</v>
      </c>
      <c r="B277" s="4159"/>
      <c r="C277" s="4159"/>
      <c r="D277" s="4159"/>
      <c r="E277" s="4159"/>
      <c r="F277" s="4159"/>
      <c r="G277" s="4159"/>
      <c r="H277" s="4159"/>
    </row>
    <row r="278" spans="1:8" ht="15.75">
      <c r="A278" s="4160" t="s">
        <v>3356</v>
      </c>
      <c r="B278" s="4159"/>
      <c r="C278" s="4159"/>
      <c r="D278" s="4159"/>
      <c r="E278" s="4159"/>
      <c r="F278" s="4159"/>
      <c r="G278" s="4159"/>
      <c r="H278" s="4159"/>
    </row>
    <row r="279" spans="1:8" ht="15.75">
      <c r="A279" s="4160" t="s">
        <v>3357</v>
      </c>
      <c r="B279" s="4159"/>
      <c r="C279" s="4159"/>
      <c r="D279" s="4159"/>
      <c r="E279" s="4159"/>
      <c r="F279" s="4159"/>
      <c r="G279" s="4159"/>
      <c r="H279" s="4159"/>
    </row>
    <row r="280" spans="1:8" ht="15.75">
      <c r="A280" s="4160" t="s">
        <v>3358</v>
      </c>
      <c r="B280" s="4159"/>
      <c r="C280" s="4159"/>
      <c r="D280" s="4159"/>
      <c r="E280" s="4159"/>
      <c r="F280" s="4159"/>
      <c r="G280" s="4159"/>
      <c r="H280" s="4159"/>
    </row>
    <row r="281" spans="1:8" ht="15.75">
      <c r="A281" s="4160" t="s">
        <v>3359</v>
      </c>
      <c r="B281" s="4159"/>
      <c r="C281" s="4159"/>
      <c r="D281" s="4159"/>
      <c r="E281" s="4159"/>
      <c r="F281" s="4159"/>
      <c r="G281" s="4159"/>
      <c r="H281" s="4159"/>
    </row>
    <row r="282" spans="1:8" ht="15.75">
      <c r="A282" s="4160" t="s">
        <v>3360</v>
      </c>
      <c r="B282" s="4159"/>
      <c r="C282" s="4159"/>
      <c r="D282" s="4159"/>
      <c r="E282" s="4159"/>
      <c r="F282" s="4159"/>
      <c r="G282" s="4159"/>
      <c r="H282" s="4159"/>
    </row>
    <row r="283" spans="1:8" ht="15.75">
      <c r="A283" s="4159"/>
      <c r="B283" s="4159"/>
      <c r="C283" s="4159"/>
      <c r="D283" s="4159"/>
      <c r="E283" s="4159"/>
      <c r="F283" s="4159"/>
      <c r="G283" s="4159"/>
      <c r="H283" s="4159"/>
    </row>
    <row r="284" spans="1:8" ht="15.75">
      <c r="A284" s="4160" t="s">
        <v>3345</v>
      </c>
      <c r="B284" s="4159"/>
      <c r="C284" s="4159"/>
      <c r="D284" s="4159"/>
      <c r="E284" s="4159"/>
      <c r="F284" s="4159"/>
      <c r="G284" s="4159"/>
      <c r="H284" s="4159"/>
    </row>
    <row r="285" spans="1:8" ht="15.75">
      <c r="A285" s="4160" t="s">
        <v>3346</v>
      </c>
      <c r="B285" s="4159"/>
      <c r="C285" s="4159"/>
      <c r="D285" s="4159"/>
      <c r="E285" s="4159"/>
      <c r="F285" s="4159"/>
      <c r="G285" s="4159"/>
      <c r="H285" s="4159"/>
    </row>
    <row r="286" spans="1:8" ht="15.75">
      <c r="A286" s="4160" t="s">
        <v>3347</v>
      </c>
      <c r="B286" s="4159"/>
      <c r="C286" s="4159"/>
      <c r="D286" s="4159"/>
      <c r="E286" s="4159"/>
      <c r="F286" s="4159"/>
      <c r="G286" s="4159"/>
      <c r="H286" s="4159"/>
    </row>
    <row r="287" spans="1:8" ht="15.75">
      <c r="A287" s="4160" t="s">
        <v>3348</v>
      </c>
      <c r="B287" s="4159"/>
      <c r="C287" s="4159"/>
      <c r="D287" s="4159"/>
      <c r="E287" s="4159"/>
      <c r="F287" s="4159"/>
      <c r="G287" s="4159"/>
      <c r="H287" s="4159"/>
    </row>
    <row r="288" spans="1:8" ht="15.75">
      <c r="A288" s="4160" t="s">
        <v>3349</v>
      </c>
      <c r="B288" s="4159"/>
      <c r="C288" s="4159"/>
      <c r="D288" s="4159"/>
      <c r="E288" s="4159"/>
      <c r="F288" s="4159"/>
      <c r="G288" s="4159"/>
      <c r="H288" s="4159"/>
    </row>
    <row r="289" spans="1:8" ht="15.75">
      <c r="A289" s="4160" t="s">
        <v>3350</v>
      </c>
      <c r="B289" s="4159"/>
      <c r="C289" s="4159"/>
      <c r="D289" s="4159"/>
      <c r="E289" s="4159"/>
      <c r="F289" s="4159"/>
      <c r="G289" s="4159"/>
      <c r="H289" s="4159"/>
    </row>
    <row r="290" spans="1:8" ht="15.75">
      <c r="A290" s="4160" t="s">
        <v>3351</v>
      </c>
      <c r="B290" s="4159"/>
      <c r="C290" s="4159"/>
      <c r="D290" s="4159"/>
      <c r="E290" s="4159"/>
      <c r="F290" s="4159"/>
      <c r="G290" s="4159"/>
      <c r="H290" s="4159"/>
    </row>
    <row r="291" spans="1:8" ht="15.75">
      <c r="A291" s="4160" t="s">
        <v>3352</v>
      </c>
      <c r="B291" s="4159"/>
      <c r="C291" s="4159"/>
      <c r="D291" s="4159"/>
      <c r="E291" s="4159"/>
      <c r="F291" s="4159"/>
      <c r="G291" s="4159"/>
      <c r="H291" s="4159"/>
    </row>
    <row r="292" spans="1:8" ht="15.75">
      <c r="A292" s="4160" t="s">
        <v>3353</v>
      </c>
      <c r="B292" s="4159"/>
      <c r="C292" s="4159"/>
      <c r="D292" s="4159"/>
      <c r="E292" s="4159"/>
      <c r="F292" s="4159"/>
      <c r="G292" s="4159"/>
      <c r="H292" s="4159"/>
    </row>
    <row r="293" spans="1:8" ht="15.75">
      <c r="A293" s="4159"/>
      <c r="B293" s="4159"/>
      <c r="C293" s="4159"/>
      <c r="D293" s="4159"/>
      <c r="E293" s="4159"/>
      <c r="F293" s="4159"/>
      <c r="G293" s="4159"/>
      <c r="H293" s="4159"/>
    </row>
    <row r="294" spans="1:8" ht="15.75">
      <c r="A294" s="4160" t="s">
        <v>3338</v>
      </c>
      <c r="B294" s="4159"/>
      <c r="C294" s="4159"/>
      <c r="D294" s="4159"/>
      <c r="E294" s="4159"/>
      <c r="F294" s="4159"/>
      <c r="G294" s="4159"/>
      <c r="H294" s="4159"/>
    </row>
    <row r="295" spans="1:8" ht="15.75">
      <c r="A295" s="4160" t="s">
        <v>3339</v>
      </c>
      <c r="B295" s="4159"/>
      <c r="C295" s="4159"/>
      <c r="D295" s="4159"/>
      <c r="E295" s="4159"/>
      <c r="F295" s="4159"/>
      <c r="G295" s="4159"/>
      <c r="H295" s="4159"/>
    </row>
    <row r="296" spans="1:8" ht="15.75">
      <c r="A296" s="4160" t="s">
        <v>3340</v>
      </c>
      <c r="B296" s="4159"/>
      <c r="C296" s="4159"/>
      <c r="D296" s="4159"/>
      <c r="E296" s="4159"/>
      <c r="F296" s="4159"/>
      <c r="G296" s="4159"/>
      <c r="H296" s="4159"/>
    </row>
    <row r="297" spans="1:8" ht="15.75">
      <c r="A297" s="4160" t="s">
        <v>3341</v>
      </c>
      <c r="B297" s="4159"/>
      <c r="C297" s="4159"/>
      <c r="D297" s="4159"/>
      <c r="E297" s="4159"/>
      <c r="F297" s="4159"/>
      <c r="G297" s="4159"/>
      <c r="H297" s="4159"/>
    </row>
    <row r="298" spans="1:8" ht="15.75">
      <c r="A298" s="4160" t="s">
        <v>3342</v>
      </c>
      <c r="B298" s="4159"/>
      <c r="C298" s="4159"/>
      <c r="D298" s="4159"/>
      <c r="E298" s="4159"/>
      <c r="F298" s="4159"/>
      <c r="G298" s="4159"/>
      <c r="H298" s="4159"/>
    </row>
    <row r="299" spans="1:8" ht="15.75">
      <c r="A299" s="4160" t="s">
        <v>3343</v>
      </c>
      <c r="B299" s="4159"/>
      <c r="C299" s="4159"/>
      <c r="D299" s="4159"/>
      <c r="E299" s="4159"/>
      <c r="F299" s="4159"/>
      <c r="G299" s="4159"/>
      <c r="H299" s="4159"/>
    </row>
    <row r="300" spans="1:8" ht="15.75">
      <c r="A300" s="4160" t="s">
        <v>3344</v>
      </c>
      <c r="B300" s="4159"/>
      <c r="C300" s="4159"/>
      <c r="D300" s="4159"/>
      <c r="E300" s="4159"/>
      <c r="F300" s="4159"/>
      <c r="G300" s="4159"/>
      <c r="H300" s="4159"/>
    </row>
    <row r="301" spans="1:8" ht="15.75">
      <c r="A301" s="4159"/>
      <c r="B301" s="4159"/>
      <c r="C301" s="4159"/>
      <c r="D301" s="4159"/>
      <c r="E301" s="4159"/>
      <c r="F301" s="4159"/>
      <c r="G301" s="4159"/>
      <c r="H301" s="4159"/>
    </row>
    <row r="302" spans="1:8" ht="15.75">
      <c r="A302" s="4160" t="s">
        <v>3335</v>
      </c>
      <c r="B302" s="4159"/>
      <c r="C302" s="4159"/>
      <c r="D302" s="4159"/>
      <c r="E302" s="4159"/>
      <c r="F302" s="4159"/>
      <c r="G302" s="4159"/>
      <c r="H302" s="4159"/>
    </row>
    <row r="303" spans="1:8" ht="15.75">
      <c r="A303" s="4160" t="s">
        <v>3336</v>
      </c>
      <c r="B303" s="4159"/>
      <c r="C303" s="4159"/>
      <c r="D303" s="4159"/>
      <c r="E303" s="4159"/>
      <c r="F303" s="4159"/>
      <c r="G303" s="4159"/>
      <c r="H303" s="4159"/>
    </row>
    <row r="304" spans="1:8" ht="15.75">
      <c r="A304" s="4160" t="s">
        <v>3337</v>
      </c>
      <c r="B304" s="4159"/>
      <c r="C304" s="4159"/>
      <c r="D304" s="4159"/>
      <c r="E304" s="4159"/>
      <c r="F304" s="4159"/>
      <c r="G304" s="4159"/>
      <c r="H304" s="4159"/>
    </row>
    <row r="305" spans="1:8" ht="15.75">
      <c r="A305" s="4159"/>
      <c r="B305" s="4159"/>
      <c r="C305" s="4159"/>
      <c r="D305" s="4159"/>
      <c r="E305" s="4159"/>
      <c r="F305" s="4159"/>
      <c r="G305" s="4159"/>
      <c r="H305" s="4159"/>
    </row>
    <row r="306" spans="1:8" ht="15.75">
      <c r="A306" s="4160" t="s">
        <v>3333</v>
      </c>
      <c r="B306" s="4159"/>
      <c r="C306" s="4159"/>
      <c r="D306" s="4159"/>
      <c r="E306" s="4159"/>
      <c r="F306" s="4159"/>
      <c r="G306" s="4159"/>
      <c r="H306" s="4159"/>
    </row>
    <row r="307" spans="1:8" ht="15.75">
      <c r="A307" s="4160" t="s">
        <v>3334</v>
      </c>
      <c r="B307" s="4159"/>
      <c r="C307" s="4159"/>
      <c r="D307" s="4159"/>
      <c r="E307" s="4159"/>
      <c r="F307" s="4159"/>
      <c r="G307" s="4159"/>
      <c r="H307" s="4159"/>
    </row>
    <row r="308" spans="1:8" ht="15.75">
      <c r="A308" s="4159"/>
      <c r="B308" s="4159"/>
      <c r="C308" s="4159"/>
      <c r="D308" s="4159"/>
      <c r="E308" s="4159"/>
      <c r="F308" s="4159"/>
      <c r="G308" s="4159"/>
      <c r="H308" s="4159"/>
    </row>
    <row r="309" spans="1:8" ht="15.75">
      <c r="A309" s="4160" t="s">
        <v>3320</v>
      </c>
      <c r="B309" s="4159"/>
      <c r="C309" s="4159"/>
      <c r="D309" s="4159"/>
      <c r="E309" s="4159"/>
      <c r="F309" s="4159"/>
      <c r="G309" s="4159"/>
      <c r="H309" s="4159"/>
    </row>
    <row r="310" spans="1:8" ht="15.75">
      <c r="A310" s="4160" t="s">
        <v>3321</v>
      </c>
      <c r="B310" s="4159"/>
      <c r="C310" s="4159"/>
      <c r="D310" s="4159"/>
      <c r="E310" s="4159"/>
      <c r="F310" s="4159"/>
      <c r="G310" s="4159"/>
      <c r="H310" s="4159"/>
    </row>
    <row r="311" spans="1:8" ht="15.75">
      <c r="A311" s="4160" t="s">
        <v>3322</v>
      </c>
      <c r="B311" s="4159"/>
      <c r="C311" s="4159"/>
      <c r="D311" s="4159"/>
      <c r="E311" s="4159"/>
      <c r="F311" s="4159"/>
      <c r="G311" s="4159"/>
      <c r="H311" s="4159"/>
    </row>
    <row r="312" spans="1:8" ht="15.75">
      <c r="A312" s="4160" t="s">
        <v>3323</v>
      </c>
      <c r="B312" s="4159"/>
      <c r="C312" s="4159"/>
      <c r="D312" s="4159"/>
      <c r="E312" s="4159"/>
      <c r="F312" s="4159"/>
      <c r="G312" s="4159"/>
      <c r="H312" s="4159"/>
    </row>
    <row r="313" spans="1:8" ht="15.75">
      <c r="A313" s="4160" t="s">
        <v>3324</v>
      </c>
      <c r="B313" s="4159"/>
      <c r="C313" s="4159"/>
      <c r="D313" s="4159"/>
      <c r="E313" s="4159"/>
      <c r="F313" s="4159"/>
      <c r="G313" s="4159"/>
      <c r="H313" s="4159"/>
    </row>
    <row r="314" spans="1:8" ht="15.75">
      <c r="A314" s="4160" t="s">
        <v>3325</v>
      </c>
      <c r="B314" s="4159"/>
      <c r="C314" s="4159"/>
      <c r="D314" s="4159"/>
      <c r="E314" s="4159"/>
      <c r="F314" s="4159"/>
      <c r="G314" s="4159"/>
      <c r="H314" s="4159"/>
    </row>
    <row r="315" spans="1:8" ht="15.75">
      <c r="A315" s="4160" t="s">
        <v>3326</v>
      </c>
      <c r="B315" s="4159"/>
      <c r="C315" s="4159"/>
      <c r="D315" s="4159"/>
      <c r="E315" s="4159"/>
      <c r="F315" s="4159"/>
      <c r="G315" s="4159"/>
      <c r="H315" s="4159"/>
    </row>
    <row r="316" spans="1:8" ht="15.75">
      <c r="A316" s="4160" t="s">
        <v>3327</v>
      </c>
      <c r="B316" s="4159"/>
      <c r="C316" s="4159"/>
      <c r="D316" s="4159"/>
      <c r="E316" s="4159"/>
      <c r="F316" s="4159"/>
      <c r="G316" s="4159"/>
      <c r="H316" s="4159"/>
    </row>
    <row r="317" spans="1:8" ht="15.75">
      <c r="A317" s="4160" t="s">
        <v>3328</v>
      </c>
      <c r="B317" s="4159"/>
      <c r="C317" s="4159"/>
      <c r="D317" s="4159"/>
      <c r="E317" s="4159"/>
      <c r="F317" s="4159"/>
      <c r="G317" s="4159"/>
      <c r="H317" s="4159"/>
    </row>
    <row r="318" spans="1:8" ht="15.75">
      <c r="A318" s="4160" t="s">
        <v>3329</v>
      </c>
      <c r="B318" s="4159"/>
      <c r="C318" s="4159"/>
      <c r="D318" s="4159"/>
      <c r="E318" s="4159"/>
      <c r="F318" s="4159"/>
      <c r="G318" s="4159"/>
      <c r="H318" s="4159"/>
    </row>
    <row r="319" spans="1:8" ht="15.75">
      <c r="A319" s="4160" t="s">
        <v>3330</v>
      </c>
      <c r="B319" s="4159"/>
      <c r="C319" s="4159"/>
      <c r="D319" s="4159"/>
      <c r="E319" s="4159"/>
      <c r="F319" s="4159"/>
      <c r="G319" s="4159"/>
      <c r="H319" s="4159"/>
    </row>
    <row r="320" spans="1:8" ht="15.75">
      <c r="A320" s="4160" t="s">
        <v>3331</v>
      </c>
      <c r="B320" s="4159"/>
      <c r="C320" s="4159"/>
      <c r="D320" s="4159"/>
      <c r="E320" s="4159"/>
      <c r="F320" s="4159"/>
      <c r="G320" s="4159"/>
      <c r="H320" s="4159"/>
    </row>
    <row r="321" spans="1:8" ht="15.75">
      <c r="A321" s="4160" t="s">
        <v>3332</v>
      </c>
      <c r="B321" s="4159"/>
      <c r="C321" s="4159"/>
      <c r="D321" s="4159"/>
      <c r="E321" s="4159"/>
      <c r="F321" s="4159"/>
      <c r="G321" s="4159"/>
      <c r="H321" s="4159"/>
    </row>
    <row r="322" spans="1:8" ht="15.75">
      <c r="A322" s="4159"/>
      <c r="B322" s="4159"/>
      <c r="C322" s="4159"/>
      <c r="D322" s="4159"/>
      <c r="E322" s="4159"/>
      <c r="F322" s="4159"/>
      <c r="G322" s="4159"/>
      <c r="H322" s="4159"/>
    </row>
    <row r="323" spans="1:8" ht="15.75">
      <c r="A323" s="4160" t="s">
        <v>3312</v>
      </c>
      <c r="B323" s="4159"/>
      <c r="C323" s="4159"/>
      <c r="D323" s="4159"/>
      <c r="E323" s="4159"/>
      <c r="F323" s="4159"/>
      <c r="G323" s="4159"/>
      <c r="H323" s="4159"/>
    </row>
    <row r="324" spans="1:8" ht="15.75">
      <c r="A324" s="4160" t="s">
        <v>3313</v>
      </c>
      <c r="B324" s="4159"/>
      <c r="C324" s="4159"/>
      <c r="D324" s="4159"/>
      <c r="E324" s="4159"/>
      <c r="F324" s="4159"/>
      <c r="G324" s="4159"/>
      <c r="H324" s="4159"/>
    </row>
    <row r="325" spans="1:8" ht="15.75">
      <c r="A325" s="4160" t="s">
        <v>3314</v>
      </c>
      <c r="B325" s="4159"/>
      <c r="C325" s="4159"/>
      <c r="D325" s="4159"/>
      <c r="E325" s="4159"/>
      <c r="F325" s="4159"/>
      <c r="G325" s="4159"/>
      <c r="H325" s="4159"/>
    </row>
    <row r="326" spans="1:8" ht="15.75">
      <c r="A326" s="4160" t="s">
        <v>3315</v>
      </c>
      <c r="B326" s="4159"/>
      <c r="C326" s="4159"/>
      <c r="D326" s="4159"/>
      <c r="E326" s="4159"/>
      <c r="F326" s="4159"/>
      <c r="G326" s="4159"/>
      <c r="H326" s="4159"/>
    </row>
    <row r="327" spans="1:8" ht="15.75">
      <c r="A327" s="4160" t="s">
        <v>3316</v>
      </c>
      <c r="B327" s="4159"/>
      <c r="C327" s="4159"/>
      <c r="D327" s="4159"/>
      <c r="E327" s="4159"/>
      <c r="F327" s="4159"/>
      <c r="G327" s="4159"/>
      <c r="H327" s="4159"/>
    </row>
    <row r="328" spans="1:8" ht="15.75">
      <c r="A328" s="4160" t="s">
        <v>3317</v>
      </c>
      <c r="B328" s="4159"/>
      <c r="C328" s="4159"/>
      <c r="D328" s="4159"/>
      <c r="E328" s="4159"/>
      <c r="F328" s="4159"/>
      <c r="G328" s="4159"/>
      <c r="H328" s="4159"/>
    </row>
    <row r="329" spans="1:8" ht="15.75">
      <c r="A329" s="4160" t="s">
        <v>3318</v>
      </c>
      <c r="B329" s="4159"/>
      <c r="C329" s="4159"/>
      <c r="D329" s="4159"/>
      <c r="E329" s="4159"/>
      <c r="F329" s="4159"/>
      <c r="G329" s="4159"/>
      <c r="H329" s="4159"/>
    </row>
    <row r="330" spans="1:8" ht="15.75">
      <c r="A330" s="4160" t="s">
        <v>3319</v>
      </c>
      <c r="B330" s="4159"/>
      <c r="C330" s="4159"/>
      <c r="D330" s="4159"/>
      <c r="E330" s="4159"/>
      <c r="F330" s="4159"/>
      <c r="G330" s="4159"/>
      <c r="H330" s="4159"/>
    </row>
    <row r="331" spans="1:8" ht="15.75">
      <c r="A331" s="4159"/>
      <c r="B331" s="4159"/>
      <c r="C331" s="4159"/>
      <c r="D331" s="4159"/>
      <c r="E331" s="4159"/>
      <c r="F331" s="4159"/>
      <c r="G331" s="4159"/>
      <c r="H331" s="4159"/>
    </row>
    <row r="332" spans="1:8" ht="15.75">
      <c r="A332" s="4160" t="s">
        <v>3277</v>
      </c>
      <c r="B332" s="4159"/>
      <c r="C332" s="4159"/>
      <c r="D332" s="4159"/>
      <c r="E332" s="4159"/>
      <c r="F332" s="4159"/>
      <c r="G332" s="4159"/>
      <c r="H332" s="4159"/>
    </row>
    <row r="333" spans="1:8" ht="15.75">
      <c r="A333" s="4160" t="s">
        <v>3278</v>
      </c>
      <c r="B333" s="4159"/>
      <c r="C333" s="4159"/>
      <c r="D333" s="4159"/>
      <c r="E333" s="4159"/>
      <c r="F333" s="4159"/>
      <c r="G333" s="4159"/>
      <c r="H333" s="4159"/>
    </row>
    <row r="334" spans="1:8" ht="15.75">
      <c r="A334" s="4160" t="s">
        <v>3279</v>
      </c>
      <c r="B334" s="4159"/>
      <c r="C334" s="4159"/>
      <c r="D334" s="4159"/>
      <c r="E334" s="4159"/>
      <c r="F334" s="4159"/>
      <c r="G334" s="4159"/>
      <c r="H334" s="4159"/>
    </row>
    <row r="335" spans="1:8" ht="15.75">
      <c r="A335" s="4160" t="s">
        <v>3280</v>
      </c>
      <c r="B335" s="4159"/>
      <c r="C335" s="4159"/>
      <c r="D335" s="4159"/>
      <c r="E335" s="4159"/>
      <c r="F335" s="4159"/>
      <c r="G335" s="4159"/>
      <c r="H335" s="4159"/>
    </row>
    <row r="336" spans="1:8" ht="15.75">
      <c r="A336" s="4160" t="s">
        <v>3281</v>
      </c>
      <c r="B336" s="4159"/>
      <c r="C336" s="4159"/>
      <c r="D336" s="4159"/>
      <c r="E336" s="4159"/>
      <c r="F336" s="4159"/>
      <c r="G336" s="4159"/>
      <c r="H336" s="4159"/>
    </row>
    <row r="337" spans="1:8" ht="15.75">
      <c r="A337" s="4160" t="s">
        <v>3282</v>
      </c>
      <c r="B337" s="4159"/>
      <c r="C337" s="4159"/>
      <c r="D337" s="4159"/>
      <c r="E337" s="4159"/>
      <c r="F337" s="4159"/>
      <c r="G337" s="4159"/>
      <c r="H337" s="4159"/>
    </row>
    <row r="338" spans="1:8" ht="15.75">
      <c r="A338" s="4160" t="s">
        <v>3283</v>
      </c>
      <c r="B338" s="4159"/>
      <c r="C338" s="4159"/>
      <c r="D338" s="4159"/>
      <c r="E338" s="4159"/>
      <c r="F338" s="4159"/>
      <c r="G338" s="4159"/>
      <c r="H338" s="4159"/>
    </row>
    <row r="339" spans="1:8" ht="15.75">
      <c r="A339" s="4160" t="s">
        <v>3284</v>
      </c>
      <c r="B339" s="4159"/>
      <c r="C339" s="4159"/>
      <c r="D339" s="4159"/>
      <c r="E339" s="4159"/>
      <c r="F339" s="4159"/>
      <c r="G339" s="4159"/>
      <c r="H339" s="4159"/>
    </row>
    <row r="340" spans="1:8" ht="15.75">
      <c r="A340" s="4160" t="s">
        <v>3285</v>
      </c>
      <c r="B340" s="4159"/>
      <c r="C340" s="4159"/>
      <c r="D340" s="4159"/>
      <c r="E340" s="4159"/>
      <c r="F340" s="4159"/>
      <c r="G340" s="4159"/>
      <c r="H340" s="4159"/>
    </row>
    <row r="341" spans="1:8" ht="15.75">
      <c r="A341" s="4160" t="s">
        <v>3286</v>
      </c>
      <c r="B341" s="4159"/>
      <c r="C341" s="4159"/>
      <c r="D341" s="4159"/>
      <c r="E341" s="4159"/>
      <c r="F341" s="4159"/>
      <c r="G341" s="4159"/>
      <c r="H341" s="4159"/>
    </row>
    <row r="342" spans="1:8" ht="15.75">
      <c r="A342" s="4160" t="s">
        <v>3287</v>
      </c>
      <c r="B342" s="4159"/>
      <c r="C342" s="4159"/>
      <c r="D342" s="4159"/>
      <c r="E342" s="4159"/>
      <c r="F342" s="4159"/>
      <c r="G342" s="4159"/>
      <c r="H342" s="4159"/>
    </row>
    <row r="343" spans="1:8" ht="15.75">
      <c r="A343" s="4160" t="s">
        <v>3288</v>
      </c>
      <c r="B343" s="4159"/>
      <c r="C343" s="4159"/>
      <c r="D343" s="4159"/>
      <c r="E343" s="4159"/>
      <c r="F343" s="4159"/>
      <c r="G343" s="4159"/>
      <c r="H343" s="4159"/>
    </row>
    <row r="344" spans="1:8" ht="15.75">
      <c r="A344" s="4160" t="s">
        <v>3289</v>
      </c>
      <c r="B344" s="4159"/>
      <c r="C344" s="4159"/>
      <c r="D344" s="4159"/>
      <c r="E344" s="4159"/>
      <c r="F344" s="4159"/>
      <c r="G344" s="4159"/>
      <c r="H344" s="4159"/>
    </row>
    <row r="345" spans="1:8" ht="15.75">
      <c r="A345" s="4160" t="s">
        <v>3290</v>
      </c>
      <c r="B345" s="4159"/>
      <c r="C345" s="4159"/>
      <c r="D345" s="4159"/>
      <c r="E345" s="4159"/>
      <c r="F345" s="4159"/>
      <c r="G345" s="4159"/>
      <c r="H345" s="4159"/>
    </row>
    <row r="346" spans="1:8" ht="15.75">
      <c r="A346" s="4160" t="s">
        <v>3291</v>
      </c>
      <c r="B346" s="4159"/>
      <c r="C346" s="4159"/>
      <c r="D346" s="4159"/>
      <c r="E346" s="4159"/>
      <c r="F346" s="4159"/>
      <c r="G346" s="4159"/>
      <c r="H346" s="4159"/>
    </row>
    <row r="347" spans="1:8" ht="15.75">
      <c r="A347" s="4160" t="s">
        <v>3292</v>
      </c>
      <c r="B347" s="4159"/>
      <c r="C347" s="4159"/>
      <c r="D347" s="4159"/>
      <c r="E347" s="4159"/>
      <c r="F347" s="4159"/>
      <c r="G347" s="4159"/>
      <c r="H347" s="4159"/>
    </row>
    <row r="348" spans="1:8" ht="15.75">
      <c r="A348" s="4160" t="s">
        <v>3293</v>
      </c>
      <c r="B348" s="4159"/>
      <c r="C348" s="4159"/>
      <c r="D348" s="4159"/>
      <c r="E348" s="4159"/>
      <c r="F348" s="4159"/>
      <c r="G348" s="4159"/>
      <c r="H348" s="4159"/>
    </row>
    <row r="349" spans="1:8" ht="15.75">
      <c r="A349" s="4160" t="s">
        <v>3294</v>
      </c>
      <c r="B349" s="4159"/>
      <c r="C349" s="4159"/>
      <c r="D349" s="4159"/>
      <c r="E349" s="4159"/>
      <c r="F349" s="4159"/>
      <c r="G349" s="4159"/>
      <c r="H349" s="4159"/>
    </row>
    <row r="350" spans="1:8" ht="15.75">
      <c r="A350" s="4160" t="s">
        <v>3295</v>
      </c>
      <c r="B350" s="4159"/>
      <c r="C350" s="4159"/>
      <c r="D350" s="4159"/>
      <c r="E350" s="4159"/>
      <c r="F350" s="4159"/>
      <c r="G350" s="4159"/>
      <c r="H350" s="4159"/>
    </row>
    <row r="351" spans="1:8" ht="15.75">
      <c r="A351" s="4160" t="s">
        <v>3296</v>
      </c>
      <c r="B351" s="4159"/>
      <c r="C351" s="4159"/>
      <c r="D351" s="4159"/>
      <c r="E351" s="4159"/>
      <c r="F351" s="4159"/>
      <c r="G351" s="4159"/>
      <c r="H351" s="4159"/>
    </row>
    <row r="352" spans="1:8" ht="15.75">
      <c r="A352" s="4160" t="s">
        <v>3297</v>
      </c>
      <c r="B352" s="4159"/>
      <c r="C352" s="4159"/>
      <c r="D352" s="4159"/>
      <c r="E352" s="4159"/>
      <c r="F352" s="4159"/>
      <c r="G352" s="4159"/>
      <c r="H352" s="4159"/>
    </row>
    <row r="353" spans="1:8" ht="15.75">
      <c r="A353" s="4160" t="s">
        <v>3298</v>
      </c>
      <c r="B353" s="4159"/>
      <c r="C353" s="4159"/>
      <c r="D353" s="4159"/>
      <c r="E353" s="4159"/>
      <c r="F353" s="4159"/>
      <c r="G353" s="4159"/>
      <c r="H353" s="4159"/>
    </row>
    <row r="354" spans="1:8" ht="15.75">
      <c r="A354" s="4160" t="s">
        <v>3299</v>
      </c>
      <c r="B354" s="4159"/>
      <c r="C354" s="4159"/>
      <c r="D354" s="4159"/>
      <c r="E354" s="4159"/>
      <c r="F354" s="4159"/>
      <c r="G354" s="4159"/>
      <c r="H354" s="4159"/>
    </row>
    <row r="355" spans="1:8" ht="15.75">
      <c r="A355" s="4160" t="s">
        <v>3300</v>
      </c>
      <c r="B355" s="4159"/>
      <c r="C355" s="4159"/>
      <c r="D355" s="4159"/>
      <c r="E355" s="4159"/>
      <c r="F355" s="4159"/>
      <c r="G355" s="4159"/>
      <c r="H355" s="4159"/>
    </row>
    <row r="356" spans="1:8" ht="15.75">
      <c r="A356" s="4160" t="s">
        <v>3301</v>
      </c>
      <c r="B356" s="4159"/>
      <c r="C356" s="4159"/>
      <c r="D356" s="4159"/>
      <c r="E356" s="4159"/>
      <c r="F356" s="4159"/>
      <c r="G356" s="4159"/>
      <c r="H356" s="4159"/>
    </row>
    <row r="357" spans="1:8" ht="15.75">
      <c r="A357" s="4160" t="s">
        <v>3302</v>
      </c>
      <c r="B357" s="4159"/>
      <c r="C357" s="4159"/>
      <c r="D357" s="4159"/>
      <c r="E357" s="4159"/>
      <c r="F357" s="4159"/>
      <c r="G357" s="4159"/>
      <c r="H357" s="4159"/>
    </row>
    <row r="358" spans="1:8" ht="15.75">
      <c r="A358" s="4160" t="s">
        <v>3303</v>
      </c>
      <c r="B358" s="4159"/>
      <c r="C358" s="4159"/>
      <c r="D358" s="4159"/>
      <c r="E358" s="4159"/>
      <c r="F358" s="4159"/>
      <c r="G358" s="4159"/>
      <c r="H358" s="4159"/>
    </row>
    <row r="359" spans="1:8" ht="15.75">
      <c r="A359" s="4160" t="s">
        <v>3304</v>
      </c>
      <c r="B359" s="4159"/>
      <c r="C359" s="4159"/>
      <c r="D359" s="4159"/>
      <c r="E359" s="4159"/>
      <c r="F359" s="4159"/>
      <c r="G359" s="4159"/>
      <c r="H359" s="4159"/>
    </row>
    <row r="360" spans="1:8" ht="15.75">
      <c r="A360" s="4160" t="s">
        <v>3305</v>
      </c>
      <c r="B360" s="4159"/>
      <c r="C360" s="4159"/>
      <c r="D360" s="4159"/>
      <c r="E360" s="4159"/>
      <c r="F360" s="4159"/>
      <c r="G360" s="4159"/>
      <c r="H360" s="4159"/>
    </row>
    <row r="361" spans="1:8" ht="15.75">
      <c r="A361" s="4160" t="s">
        <v>3306</v>
      </c>
      <c r="B361" s="4159"/>
      <c r="C361" s="4159"/>
      <c r="D361" s="4159"/>
      <c r="E361" s="4159"/>
      <c r="F361" s="4159"/>
      <c r="G361" s="4159"/>
      <c r="H361" s="4159"/>
    </row>
    <row r="362" spans="1:8" ht="15.75">
      <c r="A362" s="4160" t="s">
        <v>3307</v>
      </c>
      <c r="B362" s="4159"/>
      <c r="C362" s="4159"/>
      <c r="D362" s="4159"/>
      <c r="E362" s="4159"/>
      <c r="F362" s="4159"/>
      <c r="G362" s="4159"/>
      <c r="H362" s="4159"/>
    </row>
    <row r="363" spans="1:8" ht="15.75">
      <c r="A363" s="4160" t="s">
        <v>3308</v>
      </c>
      <c r="B363" s="4159"/>
      <c r="C363" s="4159"/>
      <c r="D363" s="4159"/>
      <c r="E363" s="4159"/>
      <c r="F363" s="4159"/>
      <c r="G363" s="4159"/>
      <c r="H363" s="4159"/>
    </row>
    <row r="364" spans="1:8" ht="15.75">
      <c r="A364" s="4160" t="s">
        <v>3309</v>
      </c>
      <c r="B364" s="4159"/>
      <c r="C364" s="4159"/>
      <c r="D364" s="4159"/>
      <c r="E364" s="4159"/>
      <c r="F364" s="4159"/>
      <c r="G364" s="4159"/>
      <c r="H364" s="4159"/>
    </row>
    <row r="365" spans="1:8" ht="15.75">
      <c r="A365" s="4160" t="s">
        <v>3310</v>
      </c>
      <c r="B365" s="4159"/>
      <c r="C365" s="4159"/>
      <c r="D365" s="4159"/>
      <c r="E365" s="4159"/>
      <c r="F365" s="4159"/>
      <c r="G365" s="4159"/>
      <c r="H365" s="4159"/>
    </row>
    <row r="366" spans="1:8" ht="15.75">
      <c r="A366" s="4160" t="s">
        <v>3311</v>
      </c>
      <c r="B366" s="4159"/>
      <c r="C366" s="4159"/>
      <c r="D366" s="4159"/>
      <c r="E366" s="4159"/>
      <c r="F366" s="4159"/>
      <c r="G366" s="4159"/>
      <c r="H366" s="4159"/>
    </row>
    <row r="367" spans="1:8" ht="15.75">
      <c r="A367" s="4159"/>
      <c r="B367" s="4159"/>
      <c r="C367" s="4159"/>
      <c r="D367" s="4159"/>
      <c r="E367" s="4159"/>
      <c r="F367" s="4159"/>
      <c r="G367" s="4159"/>
      <c r="H367" s="4159"/>
    </row>
    <row r="368" spans="1:8" ht="15.75">
      <c r="A368" s="4160" t="s">
        <v>3269</v>
      </c>
      <c r="B368" s="4159"/>
      <c r="C368" s="4159"/>
      <c r="D368" s="4159"/>
      <c r="E368" s="4159"/>
      <c r="F368" s="4159"/>
      <c r="G368" s="4159"/>
      <c r="H368" s="4159"/>
    </row>
    <row r="369" spans="1:8" ht="15.75">
      <c r="A369" s="4160" t="s">
        <v>3273</v>
      </c>
      <c r="B369" s="4159"/>
      <c r="C369" s="4159"/>
      <c r="D369" s="4159"/>
      <c r="E369" s="4159"/>
      <c r="F369" s="4159"/>
      <c r="G369" s="4159"/>
      <c r="H369" s="4159"/>
    </row>
    <row r="370" spans="1:8" ht="15.75">
      <c r="A370" s="4160" t="s">
        <v>3274</v>
      </c>
      <c r="B370" s="4159"/>
      <c r="C370" s="4159"/>
      <c r="D370" s="4159"/>
      <c r="E370" s="4159"/>
      <c r="F370" s="4159"/>
      <c r="G370" s="4159"/>
      <c r="H370" s="4159"/>
    </row>
    <row r="371" spans="1:8" ht="15.75">
      <c r="A371" s="4160" t="s">
        <v>3275</v>
      </c>
      <c r="B371" s="4159"/>
      <c r="C371" s="4159"/>
      <c r="D371" s="4159"/>
      <c r="E371" s="4159"/>
      <c r="F371" s="4159"/>
      <c r="G371" s="4159"/>
      <c r="H371" s="4159"/>
    </row>
    <row r="372" spans="1:8" ht="15.75">
      <c r="A372" s="4160" t="s">
        <v>3276</v>
      </c>
      <c r="B372" s="4159"/>
      <c r="C372" s="4159"/>
      <c r="D372" s="4159"/>
      <c r="E372" s="4159"/>
      <c r="F372" s="4159"/>
      <c r="G372" s="4159"/>
      <c r="H372" s="4159"/>
    </row>
    <row r="373" spans="1:8" ht="15.75">
      <c r="A373" s="4159"/>
      <c r="B373" s="4159"/>
      <c r="C373" s="4159"/>
      <c r="D373" s="4159"/>
      <c r="E373" s="4159"/>
      <c r="F373" s="4159"/>
      <c r="G373" s="4159"/>
      <c r="H373" s="4159"/>
    </row>
    <row r="374" spans="1:8" ht="15.75">
      <c r="A374" s="4160" t="s">
        <v>3269</v>
      </c>
      <c r="B374" s="4159"/>
      <c r="C374" s="4159"/>
      <c r="D374" s="4159"/>
      <c r="E374" s="4159"/>
      <c r="F374" s="4159"/>
      <c r="G374" s="4159"/>
      <c r="H374" s="4159"/>
    </row>
    <row r="375" spans="1:8" ht="15.75">
      <c r="A375" s="4160" t="s">
        <v>3270</v>
      </c>
      <c r="B375" s="4159"/>
      <c r="C375" s="4159"/>
      <c r="D375" s="4159"/>
      <c r="E375" s="4159"/>
      <c r="F375" s="4159"/>
      <c r="G375" s="4159"/>
      <c r="H375" s="4159"/>
    </row>
    <row r="376" spans="1:8" ht="15.75">
      <c r="A376" s="4160" t="s">
        <v>3271</v>
      </c>
      <c r="B376" s="4159"/>
      <c r="C376" s="4159"/>
      <c r="D376" s="4159"/>
      <c r="E376" s="4159"/>
      <c r="F376" s="4159"/>
      <c r="G376" s="4159"/>
      <c r="H376" s="4159"/>
    </row>
    <row r="377" spans="1:8" ht="15.75">
      <c r="A377" s="4160" t="s">
        <v>3272</v>
      </c>
      <c r="B377" s="4159"/>
      <c r="C377" s="4159"/>
      <c r="D377" s="4159"/>
      <c r="E377" s="4159"/>
      <c r="F377" s="4159"/>
      <c r="G377" s="4159"/>
      <c r="H377" s="4159"/>
    </row>
    <row r="378" spans="1:8" ht="15.75">
      <c r="A378" s="4159"/>
      <c r="B378" s="4159"/>
      <c r="C378" s="4159"/>
      <c r="D378" s="4159"/>
      <c r="E378" s="4159"/>
      <c r="F378" s="4159"/>
      <c r="G378" s="4159"/>
      <c r="H378" s="4159"/>
    </row>
    <row r="379" spans="1:8" ht="15.75">
      <c r="A379" s="4160" t="s">
        <v>3263</v>
      </c>
      <c r="B379" s="4159"/>
      <c r="C379" s="4159"/>
      <c r="D379" s="4159"/>
      <c r="E379" s="4159"/>
      <c r="F379" s="4159"/>
      <c r="G379" s="4159"/>
      <c r="H379" s="4159"/>
    </row>
    <row r="380" spans="1:8" ht="15.75">
      <c r="A380" s="4160" t="s">
        <v>3264</v>
      </c>
      <c r="B380" s="4159"/>
      <c r="C380" s="4159"/>
      <c r="D380" s="4159"/>
      <c r="E380" s="4159"/>
      <c r="F380" s="4159"/>
      <c r="G380" s="4159"/>
      <c r="H380" s="4159"/>
    </row>
    <row r="381" spans="1:8" ht="15.75">
      <c r="A381" s="4160" t="s">
        <v>3265</v>
      </c>
      <c r="B381" s="4159"/>
      <c r="C381" s="4159"/>
      <c r="D381" s="4159"/>
      <c r="E381" s="4159"/>
      <c r="F381" s="4159"/>
      <c r="G381" s="4159"/>
      <c r="H381" s="4159"/>
    </row>
    <row r="382" spans="1:8" ht="15.75">
      <c r="A382" s="4160" t="s">
        <v>3266</v>
      </c>
      <c r="B382" s="4159"/>
      <c r="C382" s="4159"/>
      <c r="D382" s="4159"/>
      <c r="E382" s="4159"/>
      <c r="F382" s="4159"/>
      <c r="G382" s="4159"/>
      <c r="H382" s="4159"/>
    </row>
    <row r="383" spans="1:8" ht="15.75">
      <c r="A383" s="4160" t="s">
        <v>3267</v>
      </c>
      <c r="B383" s="4159"/>
      <c r="C383" s="4159"/>
      <c r="D383" s="4159"/>
      <c r="E383" s="4159"/>
      <c r="F383" s="4159"/>
      <c r="G383" s="4159"/>
      <c r="H383" s="4159"/>
    </row>
    <row r="384" spans="1:8" ht="15.75">
      <c r="A384" s="4160" t="s">
        <v>3268</v>
      </c>
      <c r="B384" s="4159"/>
      <c r="C384" s="4159"/>
      <c r="D384" s="4159"/>
      <c r="E384" s="4159"/>
      <c r="F384" s="4159"/>
      <c r="G384" s="4159"/>
      <c r="H384" s="4159"/>
    </row>
    <row r="385" spans="1:8" ht="15.75">
      <c r="A385" s="4159"/>
      <c r="B385" s="4159"/>
      <c r="C385" s="4159"/>
      <c r="D385" s="4159"/>
      <c r="E385" s="4159"/>
      <c r="F385" s="4159"/>
      <c r="G385" s="4159"/>
      <c r="H385" s="4159"/>
    </row>
    <row r="386" spans="1:8" ht="15.75">
      <c r="A386" s="4160" t="s">
        <v>3258</v>
      </c>
      <c r="B386" s="4159"/>
      <c r="C386" s="4159"/>
      <c r="D386" s="4159"/>
      <c r="E386" s="4159"/>
      <c r="F386" s="4159"/>
      <c r="G386" s="4159"/>
      <c r="H386" s="4159"/>
    </row>
    <row r="387" spans="1:8" ht="15.75">
      <c r="A387" s="4160" t="s">
        <v>3259</v>
      </c>
      <c r="B387" s="4159"/>
      <c r="C387" s="4159"/>
      <c r="D387" s="4159"/>
      <c r="E387" s="4159"/>
      <c r="F387" s="4159"/>
      <c r="G387" s="4159"/>
      <c r="H387" s="4159"/>
    </row>
    <row r="388" spans="1:8" ht="15.75">
      <c r="A388" s="4160" t="s">
        <v>3260</v>
      </c>
      <c r="B388" s="4159"/>
      <c r="C388" s="4159"/>
      <c r="D388" s="4159"/>
      <c r="E388" s="4159"/>
      <c r="F388" s="4159"/>
      <c r="G388" s="4159"/>
      <c r="H388" s="4159"/>
    </row>
    <row r="389" spans="1:8" ht="15.75">
      <c r="A389" s="4160" t="s">
        <v>3261</v>
      </c>
      <c r="B389" s="4159"/>
      <c r="C389" s="4159"/>
      <c r="D389" s="4159"/>
      <c r="E389" s="4159"/>
      <c r="F389" s="4159"/>
      <c r="G389" s="4159"/>
      <c r="H389" s="4159"/>
    </row>
    <row r="390" spans="1:8" ht="15.75">
      <c r="A390" s="4160" t="s">
        <v>3262</v>
      </c>
      <c r="B390" s="4159"/>
      <c r="C390" s="4159"/>
      <c r="D390" s="4159"/>
      <c r="E390" s="4159"/>
      <c r="F390" s="4159"/>
      <c r="G390" s="4159"/>
      <c r="H390" s="4159"/>
    </row>
    <row r="391" spans="1:8" ht="15.75">
      <c r="A391" s="4159"/>
      <c r="B391" s="4159"/>
      <c r="C391" s="4159"/>
      <c r="D391" s="4159"/>
      <c r="E391" s="4159"/>
      <c r="F391" s="4159"/>
      <c r="G391" s="4159"/>
      <c r="H391" s="4159"/>
    </row>
    <row r="392" spans="1:8" ht="15.75">
      <c r="A392" s="4160" t="s">
        <v>3256</v>
      </c>
      <c r="B392" s="4159"/>
      <c r="C392" s="4159"/>
      <c r="D392" s="4159"/>
      <c r="E392" s="4159"/>
      <c r="F392" s="4159"/>
      <c r="G392" s="4159"/>
      <c r="H392" s="4159"/>
    </row>
    <row r="393" spans="1:8" ht="15.75">
      <c r="A393" s="4160" t="s">
        <v>3257</v>
      </c>
      <c r="B393" s="4159"/>
      <c r="C393" s="4159"/>
      <c r="D393" s="4159"/>
      <c r="E393" s="4159"/>
      <c r="F393" s="4159"/>
      <c r="G393" s="4159"/>
      <c r="H393" s="4159"/>
    </row>
    <row r="395" spans="1:8">
      <c r="A395" s="4155" t="s">
        <v>3515</v>
      </c>
    </row>
  </sheetData>
  <mergeCells count="12">
    <mergeCell ref="A136:H136"/>
    <mergeCell ref="A137:H137"/>
    <mergeCell ref="B129:C129"/>
    <mergeCell ref="D129:F129"/>
    <mergeCell ref="G129:H129"/>
    <mergeCell ref="A115:H115"/>
    <mergeCell ref="A116:H116"/>
    <mergeCell ref="A117:H117"/>
    <mergeCell ref="A118:H118"/>
    <mergeCell ref="A120:H120"/>
    <mergeCell ref="A121:H121"/>
    <mergeCell ref="A128:H128"/>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33"/>
  <sheetViews>
    <sheetView workbookViewId="0"/>
  </sheetViews>
  <sheetFormatPr defaultRowHeight="15.75"/>
  <sheetData>
    <row r="1" spans="1:2">
      <c r="A1" t="s">
        <v>3528</v>
      </c>
      <c r="B1" t="s">
        <v>3529</v>
      </c>
    </row>
    <row r="2" spans="1:2">
      <c r="A2" s="126" t="s">
        <v>3530</v>
      </c>
      <c r="B2">
        <v>2</v>
      </c>
    </row>
    <row r="3" spans="1:2">
      <c r="A3" s="126" t="s">
        <v>3531</v>
      </c>
      <c r="B3">
        <v>-1</v>
      </c>
    </row>
    <row r="4" spans="1:2">
      <c r="A4" s="126" t="s">
        <v>3532</v>
      </c>
      <c r="B4">
        <v>2</v>
      </c>
    </row>
    <row r="5" spans="1:2">
      <c r="A5" s="126" t="s">
        <v>3533</v>
      </c>
      <c r="B5">
        <v>-1</v>
      </c>
    </row>
    <row r="6" spans="1:2">
      <c r="A6" s="126" t="s">
        <v>1735</v>
      </c>
      <c r="B6">
        <v>-1</v>
      </c>
    </row>
    <row r="7" spans="1:2">
      <c r="A7" s="126" t="s">
        <v>3534</v>
      </c>
      <c r="B7">
        <v>-1</v>
      </c>
    </row>
    <row r="8" spans="1:2">
      <c r="A8" s="126" t="s">
        <v>3535</v>
      </c>
      <c r="B8">
        <v>-1</v>
      </c>
    </row>
    <row r="9" spans="1:2">
      <c r="A9" s="126" t="s">
        <v>2086</v>
      </c>
      <c r="B9">
        <v>-1</v>
      </c>
    </row>
    <row r="10" spans="1:2">
      <c r="A10" s="126" t="s">
        <v>3536</v>
      </c>
      <c r="B10">
        <v>-1</v>
      </c>
    </row>
    <row r="11" spans="1:2">
      <c r="A11" s="126" t="s">
        <v>3537</v>
      </c>
      <c r="B11">
        <v>-1</v>
      </c>
    </row>
    <row r="12" spans="1:2">
      <c r="A12" s="126" t="s">
        <v>3538</v>
      </c>
      <c r="B12">
        <v>-1</v>
      </c>
    </row>
    <row r="13" spans="1:2">
      <c r="A13" s="126" t="s">
        <v>3539</v>
      </c>
      <c r="B13">
        <v>-1</v>
      </c>
    </row>
    <row r="14" spans="1:2">
      <c r="A14" s="126" t="s">
        <v>3540</v>
      </c>
      <c r="B14">
        <v>-1</v>
      </c>
    </row>
    <row r="15" spans="1:2">
      <c r="A15" s="126" t="s">
        <v>2380</v>
      </c>
      <c r="B15">
        <v>-1</v>
      </c>
    </row>
    <row r="16" spans="1:2">
      <c r="A16" s="126" t="s">
        <v>3541</v>
      </c>
      <c r="B16">
        <v>-1</v>
      </c>
    </row>
    <row r="17" spans="1:2">
      <c r="A17" s="126" t="s">
        <v>3542</v>
      </c>
      <c r="B17">
        <v>-1</v>
      </c>
    </row>
    <row r="18" spans="1:2">
      <c r="A18" s="126" t="s">
        <v>3543</v>
      </c>
      <c r="B18">
        <v>-1</v>
      </c>
    </row>
    <row r="19" spans="1:2">
      <c r="A19" s="126" t="s">
        <v>3544</v>
      </c>
      <c r="B19">
        <v>-1</v>
      </c>
    </row>
    <row r="20" spans="1:2">
      <c r="A20" s="126" t="s">
        <v>2322</v>
      </c>
      <c r="B20">
        <v>-1</v>
      </c>
    </row>
    <row r="21" spans="1:2">
      <c r="A21" s="126" t="s">
        <v>1901</v>
      </c>
      <c r="B21">
        <v>-1</v>
      </c>
    </row>
    <row r="22" spans="1:2">
      <c r="A22" s="126" t="s">
        <v>3545</v>
      </c>
      <c r="B22">
        <v>2</v>
      </c>
    </row>
    <row r="23" spans="1:2">
      <c r="A23" s="126" t="s">
        <v>3546</v>
      </c>
      <c r="B23">
        <v>-1</v>
      </c>
    </row>
    <row r="24" spans="1:2">
      <c r="A24" s="126" t="s">
        <v>3547</v>
      </c>
      <c r="B24">
        <v>-1</v>
      </c>
    </row>
    <row r="25" spans="1:2">
      <c r="A25" s="126" t="s">
        <v>3548</v>
      </c>
      <c r="B25">
        <v>-1</v>
      </c>
    </row>
    <row r="26" spans="1:2">
      <c r="A26" s="126" t="s">
        <v>3549</v>
      </c>
      <c r="B26">
        <v>-1</v>
      </c>
    </row>
    <row r="27" spans="1:2">
      <c r="A27" s="126" t="s">
        <v>3550</v>
      </c>
      <c r="B27">
        <v>-1</v>
      </c>
    </row>
    <row r="28" spans="1:2">
      <c r="A28" s="126" t="s">
        <v>3551</v>
      </c>
      <c r="B28">
        <v>-1</v>
      </c>
    </row>
    <row r="29" spans="1:2">
      <c r="A29" s="126" t="s">
        <v>3552</v>
      </c>
      <c r="B29">
        <v>-1</v>
      </c>
    </row>
    <row r="30" spans="1:2">
      <c r="A30" s="126" t="s">
        <v>3553</v>
      </c>
      <c r="B30">
        <v>-1</v>
      </c>
    </row>
    <row r="31" spans="1:2">
      <c r="A31" s="126" t="s">
        <v>3554</v>
      </c>
      <c r="B31">
        <v>0</v>
      </c>
    </row>
    <row r="32" spans="1:2">
      <c r="A32" s="126" t="s">
        <v>3555</v>
      </c>
      <c r="B32">
        <v>0</v>
      </c>
    </row>
    <row r="33" spans="1:2">
      <c r="A33" s="126" t="s">
        <v>3556</v>
      </c>
      <c r="B33">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B1:B11"/>
  <sheetViews>
    <sheetView showGridLines="0" showRowColHeaders="0" workbookViewId="0">
      <selection activeCell="N1" sqref="N1"/>
    </sheetView>
  </sheetViews>
  <sheetFormatPr defaultRowHeight="12.75"/>
  <cols>
    <col min="1" max="1" width="9" style="2819"/>
    <col min="2" max="2" width="77.25" style="2819" customWidth="1"/>
    <col min="3" max="257" width="9" style="2819"/>
    <col min="258" max="258" width="77.25" style="2819" customWidth="1"/>
    <col min="259" max="513" width="9" style="2819"/>
    <col min="514" max="514" width="77.25" style="2819" customWidth="1"/>
    <col min="515" max="769" width="9" style="2819"/>
    <col min="770" max="770" width="77.25" style="2819" customWidth="1"/>
    <col min="771" max="1025" width="9" style="2819"/>
    <col min="1026" max="1026" width="77.25" style="2819" customWidth="1"/>
    <col min="1027" max="1281" width="9" style="2819"/>
    <col min="1282" max="1282" width="77.25" style="2819" customWidth="1"/>
    <col min="1283" max="1537" width="9" style="2819"/>
    <col min="1538" max="1538" width="77.25" style="2819" customWidth="1"/>
    <col min="1539" max="1793" width="9" style="2819"/>
    <col min="1794" max="1794" width="77.25" style="2819" customWidth="1"/>
    <col min="1795" max="2049" width="9" style="2819"/>
    <col min="2050" max="2050" width="77.25" style="2819" customWidth="1"/>
    <col min="2051" max="2305" width="9" style="2819"/>
    <col min="2306" max="2306" width="77.25" style="2819" customWidth="1"/>
    <col min="2307" max="2561" width="9" style="2819"/>
    <col min="2562" max="2562" width="77.25" style="2819" customWidth="1"/>
    <col min="2563" max="2817" width="9" style="2819"/>
    <col min="2818" max="2818" width="77.25" style="2819" customWidth="1"/>
    <col min="2819" max="3073" width="9" style="2819"/>
    <col min="3074" max="3074" width="77.25" style="2819" customWidth="1"/>
    <col min="3075" max="3329" width="9" style="2819"/>
    <col min="3330" max="3330" width="77.25" style="2819" customWidth="1"/>
    <col min="3331" max="3585" width="9" style="2819"/>
    <col min="3586" max="3586" width="77.25" style="2819" customWidth="1"/>
    <col min="3587" max="3841" width="9" style="2819"/>
    <col min="3842" max="3842" width="77.25" style="2819" customWidth="1"/>
    <col min="3843" max="4097" width="9" style="2819"/>
    <col min="4098" max="4098" width="77.25" style="2819" customWidth="1"/>
    <col min="4099" max="4353" width="9" style="2819"/>
    <col min="4354" max="4354" width="77.25" style="2819" customWidth="1"/>
    <col min="4355" max="4609" width="9" style="2819"/>
    <col min="4610" max="4610" width="77.25" style="2819" customWidth="1"/>
    <col min="4611" max="4865" width="9" style="2819"/>
    <col min="4866" max="4866" width="77.25" style="2819" customWidth="1"/>
    <col min="4867" max="5121" width="9" style="2819"/>
    <col min="5122" max="5122" width="77.25" style="2819" customWidth="1"/>
    <col min="5123" max="5377" width="9" style="2819"/>
    <col min="5378" max="5378" width="77.25" style="2819" customWidth="1"/>
    <col min="5379" max="5633" width="9" style="2819"/>
    <col min="5634" max="5634" width="77.25" style="2819" customWidth="1"/>
    <col min="5635" max="5889" width="9" style="2819"/>
    <col min="5890" max="5890" width="77.25" style="2819" customWidth="1"/>
    <col min="5891" max="6145" width="9" style="2819"/>
    <col min="6146" max="6146" width="77.25" style="2819" customWidth="1"/>
    <col min="6147" max="6401" width="9" style="2819"/>
    <col min="6402" max="6402" width="77.25" style="2819" customWidth="1"/>
    <col min="6403" max="6657" width="9" style="2819"/>
    <col min="6658" max="6658" width="77.25" style="2819" customWidth="1"/>
    <col min="6659" max="6913" width="9" style="2819"/>
    <col min="6914" max="6914" width="77.25" style="2819" customWidth="1"/>
    <col min="6915" max="7169" width="9" style="2819"/>
    <col min="7170" max="7170" width="77.25" style="2819" customWidth="1"/>
    <col min="7171" max="7425" width="9" style="2819"/>
    <col min="7426" max="7426" width="77.25" style="2819" customWidth="1"/>
    <col min="7427" max="7681" width="9" style="2819"/>
    <col min="7682" max="7682" width="77.25" style="2819" customWidth="1"/>
    <col min="7683" max="7937" width="9" style="2819"/>
    <col min="7938" max="7938" width="77.25" style="2819" customWidth="1"/>
    <col min="7939" max="8193" width="9" style="2819"/>
    <col min="8194" max="8194" width="77.25" style="2819" customWidth="1"/>
    <col min="8195" max="8449" width="9" style="2819"/>
    <col min="8450" max="8450" width="77.25" style="2819" customWidth="1"/>
    <col min="8451" max="8705" width="9" style="2819"/>
    <col min="8706" max="8706" width="77.25" style="2819" customWidth="1"/>
    <col min="8707" max="8961" width="9" style="2819"/>
    <col min="8962" max="8962" width="77.25" style="2819" customWidth="1"/>
    <col min="8963" max="9217" width="9" style="2819"/>
    <col min="9218" max="9218" width="77.25" style="2819" customWidth="1"/>
    <col min="9219" max="9473" width="9" style="2819"/>
    <col min="9474" max="9474" width="77.25" style="2819" customWidth="1"/>
    <col min="9475" max="9729" width="9" style="2819"/>
    <col min="9730" max="9730" width="77.25" style="2819" customWidth="1"/>
    <col min="9731" max="9985" width="9" style="2819"/>
    <col min="9986" max="9986" width="77.25" style="2819" customWidth="1"/>
    <col min="9987" max="10241" width="9" style="2819"/>
    <col min="10242" max="10242" width="77.25" style="2819" customWidth="1"/>
    <col min="10243" max="10497" width="9" style="2819"/>
    <col min="10498" max="10498" width="77.25" style="2819" customWidth="1"/>
    <col min="10499" max="10753" width="9" style="2819"/>
    <col min="10754" max="10754" width="77.25" style="2819" customWidth="1"/>
    <col min="10755" max="11009" width="9" style="2819"/>
    <col min="11010" max="11010" width="77.25" style="2819" customWidth="1"/>
    <col min="11011" max="11265" width="9" style="2819"/>
    <col min="11266" max="11266" width="77.25" style="2819" customWidth="1"/>
    <col min="11267" max="11521" width="9" style="2819"/>
    <col min="11522" max="11522" width="77.25" style="2819" customWidth="1"/>
    <col min="11523" max="11777" width="9" style="2819"/>
    <col min="11778" max="11778" width="77.25" style="2819" customWidth="1"/>
    <col min="11779" max="12033" width="9" style="2819"/>
    <col min="12034" max="12034" width="77.25" style="2819" customWidth="1"/>
    <col min="12035" max="12289" width="9" style="2819"/>
    <col min="12290" max="12290" width="77.25" style="2819" customWidth="1"/>
    <col min="12291" max="12545" width="9" style="2819"/>
    <col min="12546" max="12546" width="77.25" style="2819" customWidth="1"/>
    <col min="12547" max="12801" width="9" style="2819"/>
    <col min="12802" max="12802" width="77.25" style="2819" customWidth="1"/>
    <col min="12803" max="13057" width="9" style="2819"/>
    <col min="13058" max="13058" width="77.25" style="2819" customWidth="1"/>
    <col min="13059" max="13313" width="9" style="2819"/>
    <col min="13314" max="13314" width="77.25" style="2819" customWidth="1"/>
    <col min="13315" max="13569" width="9" style="2819"/>
    <col min="13570" max="13570" width="77.25" style="2819" customWidth="1"/>
    <col min="13571" max="13825" width="9" style="2819"/>
    <col min="13826" max="13826" width="77.25" style="2819" customWidth="1"/>
    <col min="13827" max="14081" width="9" style="2819"/>
    <col min="14082" max="14082" width="77.25" style="2819" customWidth="1"/>
    <col min="14083" max="14337" width="9" style="2819"/>
    <col min="14338" max="14338" width="77.25" style="2819" customWidth="1"/>
    <col min="14339" max="14593" width="9" style="2819"/>
    <col min="14594" max="14594" width="77.25" style="2819" customWidth="1"/>
    <col min="14595" max="14849" width="9" style="2819"/>
    <col min="14850" max="14850" width="77.25" style="2819" customWidth="1"/>
    <col min="14851" max="15105" width="9" style="2819"/>
    <col min="15106" max="15106" width="77.25" style="2819" customWidth="1"/>
    <col min="15107" max="15361" width="9" style="2819"/>
    <col min="15362" max="15362" width="77.25" style="2819" customWidth="1"/>
    <col min="15363" max="15617" width="9" style="2819"/>
    <col min="15618" max="15618" width="77.25" style="2819" customWidth="1"/>
    <col min="15619" max="15873" width="9" style="2819"/>
    <col min="15874" max="15874" width="77.25" style="2819" customWidth="1"/>
    <col min="15875" max="16129" width="9" style="2819"/>
    <col min="16130" max="16130" width="77.25" style="2819" customWidth="1"/>
    <col min="16131" max="16384" width="9" style="2819"/>
  </cols>
  <sheetData>
    <row r="1" spans="2:2" ht="32.25" customHeight="1"/>
    <row r="2" spans="2:2" ht="72">
      <c r="B2" s="4172" t="s">
        <v>3521</v>
      </c>
    </row>
    <row r="3" spans="2:2" ht="72" hidden="1">
      <c r="B3" s="4172" t="s">
        <v>3522</v>
      </c>
    </row>
    <row r="4" spans="2:2" ht="18">
      <c r="B4" s="4172"/>
    </row>
    <row r="5" spans="2:2" ht="54">
      <c r="B5" s="4172" t="s">
        <v>3523</v>
      </c>
    </row>
    <row r="6" spans="2:2" ht="7.5" customHeight="1">
      <c r="B6" s="4172"/>
    </row>
    <row r="7" spans="2:2" ht="18">
      <c r="B7" s="4173" t="s">
        <v>3524</v>
      </c>
    </row>
    <row r="8" spans="2:2" ht="18">
      <c r="B8" s="4173" t="s">
        <v>3526</v>
      </c>
    </row>
    <row r="9" spans="2:2" ht="18">
      <c r="B9" s="4173" t="s">
        <v>3527</v>
      </c>
    </row>
    <row r="10" spans="2:2" ht="18">
      <c r="B10" s="4174"/>
    </row>
    <row r="11" spans="2:2" ht="36">
      <c r="B11" s="4175" t="s">
        <v>3525</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0087297"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60087298"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Horizontal="1" syncRef="Z8" codeName="Sheet1">
    <pageSetUpPr fitToPage="1"/>
  </sheetPr>
  <dimension ref="A1:IY721"/>
  <sheetViews>
    <sheetView showGridLines="0" zoomScale="85" zoomScaleNormal="85" workbookViewId="0">
      <pane xSplit="4" ySplit="7" topLeftCell="Z8" activePane="bottomRight" state="frozen"/>
      <selection activeCell="AK308" sqref="AK308"/>
      <selection pane="topRight" activeCell="AK308" sqref="AK308"/>
      <selection pane="bottomLeft" activeCell="AK308" sqref="AK308"/>
      <selection pane="bottomRight" activeCell="AE9" sqref="AE9"/>
    </sheetView>
  </sheetViews>
  <sheetFormatPr defaultColWidth="8.625" defaultRowHeight="12.75" customHeight="1" outlineLevelRow="2" outlineLevelCol="2"/>
  <cols>
    <col min="1" max="1" width="47.625" style="12" customWidth="1" collapsed="1"/>
    <col min="2" max="3" width="6.5" style="3" hidden="1" customWidth="1" outlineLevel="2"/>
    <col min="4" max="4" width="9" style="3" hidden="1" customWidth="1" outlineLevel="2"/>
    <col min="5" max="5" width="8.625" style="3" hidden="1" customWidth="1" outlineLevel="1" collapsed="1"/>
    <col min="6" max="6" width="8.625" style="3" hidden="1" customWidth="1" outlineLevel="1"/>
    <col min="7" max="10" width="8.625" style="3" hidden="1" customWidth="1" outlineLevel="2"/>
    <col min="11" max="11" width="8.625" style="3" hidden="1" customWidth="1" outlineLevel="1" collapsed="1"/>
    <col min="12" max="12" width="8.625" style="3" hidden="1" customWidth="1" outlineLevel="2"/>
    <col min="13" max="14" width="9.25" style="3" hidden="1" customWidth="1" outlineLevel="2"/>
    <col min="15" max="15" width="9.375" style="3" hidden="1" customWidth="1" outlineLevel="2"/>
    <col min="16" max="16" width="10.125" style="3" hidden="1" customWidth="1" outlineLevel="1" collapsed="1"/>
    <col min="17" max="20" width="7.5" style="3" hidden="1" customWidth="1" outlineLevel="2"/>
    <col min="21" max="21" width="10.125" style="3" hidden="1" customWidth="1" collapsed="1"/>
    <col min="22" max="25" width="8.625" style="3" hidden="1" customWidth="1" outlineLevel="1"/>
    <col min="26" max="26" width="10.125" style="3" customWidth="1" collapsed="1"/>
    <col min="27" max="30" width="8.625" style="15" hidden="1" customWidth="1" outlineLevel="1"/>
    <col min="31" max="31" width="10.125" style="3" customWidth="1" collapsed="1"/>
    <col min="32" max="35" width="8.625" style="15" customWidth="1" outlineLevel="1"/>
    <col min="36" max="36" width="9.625" style="3" customWidth="1"/>
    <col min="37" max="40" width="8.625" style="15" customWidth="1" outlineLevel="1"/>
    <col min="41" max="43" width="9.625" style="3" customWidth="1"/>
    <col min="44" max="44" width="8.625" style="3" customWidth="1"/>
    <col min="45" max="45" width="33.5" style="12" hidden="1" customWidth="1" collapsed="1"/>
    <col min="46" max="51" width="8.625" style="15" hidden="1" customWidth="1"/>
    <col min="52" max="52" width="8.625" style="3" hidden="1" customWidth="1"/>
    <col min="53" max="56" width="8.625" style="15" hidden="1" customWidth="1"/>
    <col min="57" max="57" width="23.875" style="14" hidden="1" customWidth="1"/>
    <col min="58" max="58" width="8.625" style="3" hidden="1" customWidth="1"/>
    <col min="59" max="59" width="42.75" hidden="1" customWidth="1" outlineLevel="1"/>
    <col min="60" max="60" width="7.5" hidden="1" customWidth="1" outlineLevel="1"/>
    <col min="61" max="61" width="6.125" hidden="1" customWidth="1" outlineLevel="1"/>
    <col min="62" max="64" width="7.5" hidden="1" customWidth="1" outlineLevel="1"/>
    <col min="65" max="65" width="4.625" style="130" hidden="1" customWidth="1" collapsed="1"/>
    <col min="66" max="71" width="7.5" style="130" customWidth="1"/>
    <col min="72" max="79" width="8.625" style="3" customWidth="1"/>
    <col min="80" max="16384" width="8.625" style="3"/>
  </cols>
  <sheetData>
    <row r="1" spans="1:71" ht="12.75" customHeight="1">
      <c r="A1" s="3995" t="s">
        <v>147</v>
      </c>
      <c r="B1" s="3086"/>
      <c r="C1" s="3086"/>
      <c r="D1" s="3086"/>
      <c r="E1" s="3086"/>
      <c r="F1" s="3086"/>
      <c r="G1" s="3086"/>
      <c r="H1" s="3086"/>
      <c r="I1" s="3086"/>
      <c r="J1" s="3086"/>
      <c r="K1" s="3086"/>
      <c r="L1" s="3087"/>
      <c r="M1" s="3088"/>
      <c r="N1" s="3089"/>
      <c r="O1" s="3087"/>
      <c r="P1" s="3090"/>
      <c r="Q1" s="3087"/>
      <c r="R1" s="3086"/>
      <c r="S1" s="3086"/>
      <c r="T1" s="3087"/>
      <c r="U1" s="3090"/>
      <c r="V1" s="3086"/>
      <c r="W1" s="3086"/>
      <c r="X1" s="3086"/>
      <c r="Y1" s="3087"/>
      <c r="Z1" s="3090"/>
      <c r="AA1" s="3090"/>
      <c r="AB1" s="3090"/>
      <c r="AC1" s="3090"/>
      <c r="AD1" s="3090"/>
      <c r="AE1" s="3089"/>
      <c r="AF1" s="3090"/>
      <c r="AG1" s="3090"/>
      <c r="AH1" s="3090"/>
      <c r="AI1" s="3090"/>
      <c r="AJ1" s="3090"/>
      <c r="AK1" s="3090"/>
      <c r="AL1" s="3090"/>
      <c r="AM1" s="3090"/>
      <c r="AN1" s="3090"/>
      <c r="AO1" s="3090"/>
      <c r="AP1" s="793"/>
      <c r="AQ1" s="784"/>
      <c r="AR1" s="179"/>
      <c r="AS1" s="273" t="str">
        <f>+A1</f>
        <v>Hilton (HLT) Earnings Model</v>
      </c>
      <c r="AT1" s="793"/>
      <c r="AU1" s="793"/>
      <c r="AV1" s="793"/>
      <c r="AW1" s="793"/>
      <c r="AX1" s="793"/>
      <c r="AY1" s="793"/>
      <c r="AZ1" s="793"/>
      <c r="BA1" s="793"/>
      <c r="BB1" s="793"/>
      <c r="BC1" s="793"/>
      <c r="BD1" s="793"/>
    </row>
    <row r="2" spans="1:71" ht="12.75" customHeight="1">
      <c r="A2" s="3085" t="s">
        <v>763</v>
      </c>
      <c r="B2" s="3086"/>
      <c r="C2" s="3086"/>
      <c r="D2" s="3086"/>
      <c r="E2" s="3086"/>
      <c r="F2" s="3086"/>
      <c r="G2" s="3086"/>
      <c r="H2" s="3086"/>
      <c r="I2" s="3086"/>
      <c r="J2" s="3086"/>
      <c r="K2" s="3086"/>
      <c r="L2" s="3086"/>
      <c r="M2" s="3086"/>
      <c r="N2" s="3086"/>
      <c r="O2" s="3086"/>
      <c r="P2" s="3090"/>
      <c r="Q2" s="3086"/>
      <c r="R2" s="3086"/>
      <c r="S2" s="3086"/>
      <c r="T2" s="3086"/>
      <c r="U2" s="3090"/>
      <c r="V2" s="3086"/>
      <c r="W2" s="3086"/>
      <c r="X2" s="3086"/>
      <c r="Y2" s="3086"/>
      <c r="Z2" s="3090"/>
      <c r="AA2" s="3090"/>
      <c r="AB2" s="3090"/>
      <c r="AC2" s="3090"/>
      <c r="AD2" s="3090"/>
      <c r="AE2" s="3090"/>
      <c r="AF2" s="3091" t="s">
        <v>2820</v>
      </c>
      <c r="AG2" s="3090"/>
      <c r="AH2" s="3090"/>
      <c r="AI2" s="3090"/>
      <c r="AJ2" s="3090"/>
      <c r="AK2" s="3091"/>
      <c r="AL2" s="3090"/>
      <c r="AM2" s="3090"/>
      <c r="AN2" s="3090"/>
      <c r="AO2" s="3090"/>
      <c r="AP2" s="793"/>
      <c r="AQ2" s="305"/>
      <c r="AR2" s="179"/>
      <c r="AS2" s="289" t="str">
        <f>+A2</f>
        <v>(US$ millions, except per-share data)</v>
      </c>
      <c r="AT2" s="793"/>
      <c r="AU2" s="793"/>
      <c r="AV2" s="793"/>
      <c r="AW2" s="793"/>
      <c r="AX2" s="793"/>
      <c r="AY2" s="793"/>
      <c r="AZ2" s="793"/>
      <c r="BA2" s="793"/>
      <c r="BB2" s="793"/>
      <c r="BC2" s="793"/>
      <c r="BD2" s="793"/>
    </row>
    <row r="3" spans="1:71" s="712" customFormat="1" ht="12.75" hidden="1" customHeight="1" outlineLevel="1">
      <c r="A3" s="713" t="s">
        <v>1738</v>
      </c>
      <c r="B3" s="711"/>
      <c r="C3" s="711"/>
      <c r="D3" s="711"/>
      <c r="E3" s="711">
        <v>40543</v>
      </c>
      <c r="F3" s="711">
        <v>40908</v>
      </c>
      <c r="G3" s="714">
        <v>40999</v>
      </c>
      <c r="H3" s="714">
        <v>41090</v>
      </c>
      <c r="I3" s="714">
        <v>41182</v>
      </c>
      <c r="J3" s="714">
        <v>41274</v>
      </c>
      <c r="K3" s="711">
        <f>+J3</f>
        <v>41274</v>
      </c>
      <c r="L3" s="714">
        <v>41364</v>
      </c>
      <c r="M3" s="714">
        <v>41455</v>
      </c>
      <c r="N3" s="714">
        <v>41547</v>
      </c>
      <c r="O3" s="715">
        <v>41639</v>
      </c>
      <c r="P3" s="711">
        <f>+O3</f>
        <v>41639</v>
      </c>
      <c r="Q3" s="714">
        <v>41729</v>
      </c>
      <c r="R3" s="714">
        <v>41820</v>
      </c>
      <c r="S3" s="714">
        <v>41912</v>
      </c>
      <c r="T3" s="715">
        <v>42004</v>
      </c>
      <c r="U3" s="711">
        <f>+T3</f>
        <v>42004</v>
      </c>
      <c r="V3" s="714">
        <v>42094</v>
      </c>
      <c r="W3" s="714">
        <v>42185</v>
      </c>
      <c r="X3" s="714">
        <v>42277</v>
      </c>
      <c r="Y3" s="715">
        <v>42369</v>
      </c>
      <c r="Z3" s="711">
        <v>42369</v>
      </c>
      <c r="AA3" s="714">
        <v>42460</v>
      </c>
      <c r="AB3" s="714">
        <v>42551</v>
      </c>
      <c r="AC3" s="714">
        <v>42643</v>
      </c>
      <c r="AD3" s="715">
        <v>42735</v>
      </c>
      <c r="AE3" s="711">
        <v>42735</v>
      </c>
      <c r="AF3" s="714">
        <v>42825</v>
      </c>
      <c r="AG3" s="714">
        <v>42916</v>
      </c>
      <c r="AH3" s="714">
        <v>43008</v>
      </c>
      <c r="AI3" s="715">
        <v>43100</v>
      </c>
      <c r="AJ3" s="711">
        <v>43100</v>
      </c>
      <c r="AK3" s="714">
        <v>43190</v>
      </c>
      <c r="AL3" s="714">
        <v>43281</v>
      </c>
      <c r="AM3" s="714">
        <v>43373</v>
      </c>
      <c r="AN3" s="715">
        <v>43465</v>
      </c>
      <c r="AO3" s="711">
        <v>43465</v>
      </c>
      <c r="AP3" s="711">
        <v>43830</v>
      </c>
      <c r="AQ3" s="711">
        <v>44196</v>
      </c>
      <c r="AR3" s="711"/>
      <c r="AS3" s="713" t="str">
        <f>+A3</f>
        <v>Quarter-end</v>
      </c>
      <c r="AT3" s="711">
        <f t="shared" ref="AT3:AU6" si="0">+E3</f>
        <v>40543</v>
      </c>
      <c r="AU3" s="711">
        <f t="shared" si="0"/>
        <v>40908</v>
      </c>
      <c r="AV3" s="711">
        <f>+K3</f>
        <v>41274</v>
      </c>
      <c r="AW3" s="711">
        <f>+P3</f>
        <v>41639</v>
      </c>
      <c r="AX3" s="711">
        <f>+U3</f>
        <v>42004</v>
      </c>
      <c r="AY3" s="711">
        <f>+Z3</f>
        <v>42369</v>
      </c>
      <c r="AZ3" s="711">
        <f>+AE3</f>
        <v>42735</v>
      </c>
      <c r="BA3" s="711">
        <f>+AJ3</f>
        <v>43100</v>
      </c>
      <c r="BB3" s="711">
        <f t="shared" ref="BB3:BD6" si="1">+AO3</f>
        <v>43465</v>
      </c>
      <c r="BC3" s="711">
        <f t="shared" si="1"/>
        <v>43830</v>
      </c>
      <c r="BD3" s="711">
        <f t="shared" si="1"/>
        <v>44196</v>
      </c>
      <c r="BE3" s="2604"/>
      <c r="BG3"/>
      <c r="BH3"/>
      <c r="BI3"/>
      <c r="BJ3"/>
      <c r="BK3"/>
      <c r="BL3"/>
    </row>
    <row r="4" spans="1:71" s="710" customFormat="1" ht="12.75" hidden="1" customHeight="1" outlineLevel="1">
      <c r="A4" s="716" t="s">
        <v>2082</v>
      </c>
      <c r="B4" s="709"/>
      <c r="C4" s="709"/>
      <c r="D4" s="709"/>
      <c r="E4" s="709">
        <v>365</v>
      </c>
      <c r="F4" s="709">
        <f>+F3-E3</f>
        <v>365</v>
      </c>
      <c r="G4" s="709">
        <v>91</v>
      </c>
      <c r="H4" s="709">
        <f>+H3-G3</f>
        <v>91</v>
      </c>
      <c r="I4" s="709">
        <f>+I3-H3</f>
        <v>92</v>
      </c>
      <c r="J4" s="709">
        <f>+J3-I3</f>
        <v>92</v>
      </c>
      <c r="K4" s="709">
        <f>+K3-F3</f>
        <v>366</v>
      </c>
      <c r="L4" s="709">
        <f>+L3-K3</f>
        <v>90</v>
      </c>
      <c r="M4" s="709">
        <f>+M3-L3</f>
        <v>91</v>
      </c>
      <c r="N4" s="709">
        <f>+N3-M3</f>
        <v>92</v>
      </c>
      <c r="O4" s="709">
        <f>+O3-N3</f>
        <v>92</v>
      </c>
      <c r="P4" s="709">
        <f>+P3-K3</f>
        <v>365</v>
      </c>
      <c r="Q4" s="709">
        <f>+Q3-P3</f>
        <v>90</v>
      </c>
      <c r="R4" s="709">
        <f>+R3-Q3</f>
        <v>91</v>
      </c>
      <c r="S4" s="709">
        <f>+S3-R3</f>
        <v>92</v>
      </c>
      <c r="T4" s="709">
        <f>+T3-S3</f>
        <v>92</v>
      </c>
      <c r="U4" s="709">
        <f>+U3-P3</f>
        <v>365</v>
      </c>
      <c r="V4" s="709">
        <f>+V3-U3</f>
        <v>90</v>
      </c>
      <c r="W4" s="709">
        <f>+W3-V3</f>
        <v>91</v>
      </c>
      <c r="X4" s="709">
        <f>+X3-W3</f>
        <v>92</v>
      </c>
      <c r="Y4" s="709">
        <f>+Y3-X3</f>
        <v>92</v>
      </c>
      <c r="Z4" s="709">
        <f>+Z3-U3</f>
        <v>365</v>
      </c>
      <c r="AA4" s="709">
        <f>+AA3-Z3</f>
        <v>91</v>
      </c>
      <c r="AB4" s="709">
        <f>+AB3-AA3</f>
        <v>91</v>
      </c>
      <c r="AC4" s="709">
        <f>+AC3-AB3</f>
        <v>92</v>
      </c>
      <c r="AD4" s="709">
        <f>+AD3-AC3</f>
        <v>92</v>
      </c>
      <c r="AE4" s="709">
        <f>+AE3-Z3</f>
        <v>366</v>
      </c>
      <c r="AF4" s="709">
        <f>+AF3-AE3</f>
        <v>90</v>
      </c>
      <c r="AG4" s="709">
        <f>+AG3-AF3</f>
        <v>91</v>
      </c>
      <c r="AH4" s="709">
        <f>+AH3-AG3</f>
        <v>92</v>
      </c>
      <c r="AI4" s="709">
        <f>+AI3-AH3</f>
        <v>92</v>
      </c>
      <c r="AJ4" s="709">
        <f>+AJ3-AE3</f>
        <v>365</v>
      </c>
      <c r="AK4" s="709">
        <f>+AK3-AJ3</f>
        <v>90</v>
      </c>
      <c r="AL4" s="709">
        <f>+AL3-AK3</f>
        <v>91</v>
      </c>
      <c r="AM4" s="709">
        <f>+AM3-AL3</f>
        <v>92</v>
      </c>
      <c r="AN4" s="709">
        <f>+AN3-AM3</f>
        <v>92</v>
      </c>
      <c r="AO4" s="709">
        <f>+AO3-AJ3</f>
        <v>365</v>
      </c>
      <c r="AP4" s="709">
        <f>+AP3-AO3</f>
        <v>365</v>
      </c>
      <c r="AQ4" s="709">
        <f>+AQ3-AP3</f>
        <v>366</v>
      </c>
      <c r="AR4" s="709"/>
      <c r="AS4" s="716" t="s">
        <v>769</v>
      </c>
      <c r="AT4" s="709">
        <f t="shared" si="0"/>
        <v>365</v>
      </c>
      <c r="AU4" s="709">
        <f t="shared" si="0"/>
        <v>365</v>
      </c>
      <c r="AV4" s="709">
        <f>+K4</f>
        <v>366</v>
      </c>
      <c r="AW4" s="709">
        <f>+P4</f>
        <v>365</v>
      </c>
      <c r="AX4" s="709">
        <f>+U4</f>
        <v>365</v>
      </c>
      <c r="AY4" s="709">
        <f>+Z4</f>
        <v>365</v>
      </c>
      <c r="AZ4" s="709">
        <f>+AE4</f>
        <v>366</v>
      </c>
      <c r="BA4" s="709">
        <f>+AJ4</f>
        <v>365</v>
      </c>
      <c r="BB4" s="709">
        <f t="shared" si="1"/>
        <v>365</v>
      </c>
      <c r="BC4" s="709">
        <f t="shared" si="1"/>
        <v>365</v>
      </c>
      <c r="BD4" s="709">
        <f t="shared" si="1"/>
        <v>366</v>
      </c>
      <c r="BE4" s="2604"/>
      <c r="BG4"/>
      <c r="BH4"/>
      <c r="BI4"/>
      <c r="BJ4"/>
      <c r="BK4"/>
      <c r="BL4"/>
    </row>
    <row r="5" spans="1:71" s="12" customFormat="1" ht="12.75" customHeight="1" collapsed="1">
      <c r="A5" s="291" t="s">
        <v>1501</v>
      </c>
      <c r="B5" s="910"/>
      <c r="C5" s="910"/>
      <c r="D5" s="910"/>
      <c r="E5" s="910" t="s">
        <v>684</v>
      </c>
      <c r="F5" s="910" t="s">
        <v>1754</v>
      </c>
      <c r="G5" s="768" t="s">
        <v>19</v>
      </c>
      <c r="H5" s="768" t="s">
        <v>1286</v>
      </c>
      <c r="I5" s="768" t="s">
        <v>1287</v>
      </c>
      <c r="J5" s="768" t="s">
        <v>1288</v>
      </c>
      <c r="K5" s="769">
        <v>2012</v>
      </c>
      <c r="L5" s="768" t="s">
        <v>1804</v>
      </c>
      <c r="M5" s="768" t="s">
        <v>2214</v>
      </c>
      <c r="N5" s="768" t="s">
        <v>229</v>
      </c>
      <c r="O5" s="768" t="s">
        <v>1499</v>
      </c>
      <c r="P5" s="769">
        <v>2013</v>
      </c>
      <c r="Q5" s="768" t="s">
        <v>367</v>
      </c>
      <c r="R5" s="768" t="s">
        <v>1901</v>
      </c>
      <c r="S5" s="768" t="s">
        <v>2322</v>
      </c>
      <c r="T5" s="768" t="s">
        <v>2340</v>
      </c>
      <c r="U5" s="769">
        <v>2014</v>
      </c>
      <c r="V5" s="768" t="s">
        <v>2365</v>
      </c>
      <c r="W5" s="768" t="s">
        <v>2380</v>
      </c>
      <c r="X5" s="768" t="s">
        <v>2381</v>
      </c>
      <c r="Y5" s="768" t="s">
        <v>2382</v>
      </c>
      <c r="Z5" s="769">
        <v>2015</v>
      </c>
      <c r="AA5" s="768" t="s">
        <v>2546</v>
      </c>
      <c r="AB5" s="768" t="s">
        <v>2814</v>
      </c>
      <c r="AC5" s="3575" t="s">
        <v>3015</v>
      </c>
      <c r="AD5" s="3575" t="s">
        <v>3025</v>
      </c>
      <c r="AE5" s="769">
        <v>2016</v>
      </c>
      <c r="AF5" s="3776" t="s">
        <v>3038</v>
      </c>
      <c r="AG5" s="3776" t="s">
        <v>3163</v>
      </c>
      <c r="AH5" s="3776" t="s">
        <v>3197</v>
      </c>
      <c r="AI5" s="767" t="s">
        <v>3200</v>
      </c>
      <c r="AJ5" s="769" t="s">
        <v>3201</v>
      </c>
      <c r="AK5" s="767" t="s">
        <v>3184</v>
      </c>
      <c r="AL5" s="767" t="s">
        <v>3185</v>
      </c>
      <c r="AM5" s="767" t="s">
        <v>3186</v>
      </c>
      <c r="AN5" s="767" t="s">
        <v>3187</v>
      </c>
      <c r="AO5" s="769" t="s">
        <v>44</v>
      </c>
      <c r="AP5" s="769" t="s">
        <v>1343</v>
      </c>
      <c r="AQ5" s="769" t="s">
        <v>1813</v>
      </c>
      <c r="AR5" s="430"/>
      <c r="AS5" s="291" t="str">
        <f>+A5</f>
        <v>Income Statement</v>
      </c>
      <c r="AT5" s="771" t="str">
        <f t="shared" si="0"/>
        <v>2010</v>
      </c>
      <c r="AU5" s="771" t="str">
        <f t="shared" si="0"/>
        <v>2011</v>
      </c>
      <c r="AV5" s="771">
        <f>+K5</f>
        <v>2012</v>
      </c>
      <c r="AW5" s="771">
        <f>+P5</f>
        <v>2013</v>
      </c>
      <c r="AX5" s="771">
        <f>+U5</f>
        <v>2014</v>
      </c>
      <c r="AY5" s="771">
        <f>+Z5</f>
        <v>2015</v>
      </c>
      <c r="AZ5" s="771">
        <f>+AE5</f>
        <v>2016</v>
      </c>
      <c r="BA5" s="771" t="str">
        <f>+AJ5</f>
        <v>2017A</v>
      </c>
      <c r="BB5" s="771" t="str">
        <f t="shared" si="1"/>
        <v>2018E</v>
      </c>
      <c r="BC5" s="771" t="str">
        <f t="shared" si="1"/>
        <v>2019E</v>
      </c>
      <c r="BD5" s="770" t="str">
        <f t="shared" si="1"/>
        <v>2020E</v>
      </c>
      <c r="BE5" s="14"/>
      <c r="BG5"/>
      <c r="BH5"/>
      <c r="BI5"/>
      <c r="BJ5"/>
      <c r="BK5"/>
      <c r="BL5"/>
      <c r="BM5" s="775"/>
      <c r="BN5" s="775"/>
      <c r="BO5" s="775"/>
      <c r="BP5" s="775"/>
      <c r="BQ5" s="775"/>
      <c r="BR5" s="775"/>
      <c r="BS5" s="775"/>
    </row>
    <row r="6" spans="1:71" s="462" customFormat="1" ht="12.75" hidden="1" customHeight="1" outlineLevel="1">
      <c r="A6" s="601" t="s">
        <v>2082</v>
      </c>
      <c r="B6" s="411"/>
      <c r="C6" s="411"/>
      <c r="D6" s="411"/>
      <c r="E6" s="411">
        <v>365</v>
      </c>
      <c r="F6" s="411">
        <f>F$3-E$3</f>
        <v>365</v>
      </c>
      <c r="G6" s="410">
        <f>G$3-F$3</f>
        <v>91</v>
      </c>
      <c r="H6" s="410">
        <f>H$3-G$3</f>
        <v>91</v>
      </c>
      <c r="I6" s="410">
        <f>I$3-H$3</f>
        <v>92</v>
      </c>
      <c r="J6" s="410">
        <f>J$3-I$3</f>
        <v>92</v>
      </c>
      <c r="K6" s="411">
        <f>K$3-F$3</f>
        <v>366</v>
      </c>
      <c r="L6" s="410">
        <f>L$3-K$3</f>
        <v>90</v>
      </c>
      <c r="M6" s="410">
        <f>M$3-L$3</f>
        <v>91</v>
      </c>
      <c r="N6" s="410">
        <f>N$3-M$3</f>
        <v>92</v>
      </c>
      <c r="O6" s="410">
        <f>O$3-N$3</f>
        <v>92</v>
      </c>
      <c r="P6" s="411">
        <f>P$3-K$3</f>
        <v>365</v>
      </c>
      <c r="Q6" s="410">
        <f>Q$3-P$3</f>
        <v>90</v>
      </c>
      <c r="R6" s="410">
        <f>R$3-Q$3</f>
        <v>91</v>
      </c>
      <c r="S6" s="410">
        <f>S$3-R$3</f>
        <v>92</v>
      </c>
      <c r="T6" s="410">
        <f>T$3-S$3</f>
        <v>92</v>
      </c>
      <c r="U6" s="411">
        <f>U$3-P$3</f>
        <v>365</v>
      </c>
      <c r="V6" s="410">
        <f>V$3-U$3</f>
        <v>90</v>
      </c>
      <c r="W6" s="410">
        <f>W$3-V$3</f>
        <v>91</v>
      </c>
      <c r="X6" s="410">
        <f>X$3-W$3</f>
        <v>92</v>
      </c>
      <c r="Y6" s="410">
        <f>Y$3-X$3</f>
        <v>92</v>
      </c>
      <c r="Z6" s="411">
        <f>Z$3-U$3</f>
        <v>365</v>
      </c>
      <c r="AA6" s="410">
        <f>AA$3-Z$3</f>
        <v>91</v>
      </c>
      <c r="AB6" s="410">
        <f>AB$3-AA$3</f>
        <v>91</v>
      </c>
      <c r="AC6" s="410">
        <f>AC$3-AB$3</f>
        <v>92</v>
      </c>
      <c r="AD6" s="410">
        <f>AD$3-AC$3</f>
        <v>92</v>
      </c>
      <c r="AE6" s="411">
        <f>AE$3-Z$3</f>
        <v>366</v>
      </c>
      <c r="AF6" s="410">
        <f>AF$3-AE$3</f>
        <v>90</v>
      </c>
      <c r="AG6" s="410">
        <f>AG$3-AF$3</f>
        <v>91</v>
      </c>
      <c r="AH6" s="410">
        <f>AH$3-AG$3</f>
        <v>92</v>
      </c>
      <c r="AI6" s="410">
        <f>AI$3-AH$3</f>
        <v>92</v>
      </c>
      <c r="AJ6" s="411">
        <f>AJ$3-AE$3</f>
        <v>365</v>
      </c>
      <c r="AK6" s="410">
        <f>AK$3-AJ$3</f>
        <v>90</v>
      </c>
      <c r="AL6" s="410">
        <f>AL$3-AK$3</f>
        <v>91</v>
      </c>
      <c r="AM6" s="410">
        <f>AM$3-AL$3</f>
        <v>92</v>
      </c>
      <c r="AN6" s="410">
        <f>AN$3-AM$3</f>
        <v>92</v>
      </c>
      <c r="AO6" s="411">
        <f>AO$3-AJ$3</f>
        <v>365</v>
      </c>
      <c r="AP6" s="411">
        <f>AP$3-AO$3</f>
        <v>365</v>
      </c>
      <c r="AQ6" s="411">
        <f>AQ$3-AP$3</f>
        <v>366</v>
      </c>
      <c r="AR6" s="410"/>
      <c r="AS6" s="601" t="str">
        <f>+A6</f>
        <v>Days in the Quarter</v>
      </c>
      <c r="AT6" s="830">
        <f t="shared" si="0"/>
        <v>365</v>
      </c>
      <c r="AU6" s="830">
        <f t="shared" si="0"/>
        <v>365</v>
      </c>
      <c r="AV6" s="830">
        <f>+K6</f>
        <v>366</v>
      </c>
      <c r="AW6" s="830">
        <f>+P6</f>
        <v>365</v>
      </c>
      <c r="AX6" s="830">
        <f>+U6</f>
        <v>365</v>
      </c>
      <c r="AY6" s="830">
        <f>+Z6</f>
        <v>365</v>
      </c>
      <c r="AZ6" s="830">
        <f>+AE6</f>
        <v>366</v>
      </c>
      <c r="BA6" s="830">
        <f>+AJ6</f>
        <v>365</v>
      </c>
      <c r="BB6" s="830">
        <f t="shared" si="1"/>
        <v>365</v>
      </c>
      <c r="BC6" s="830">
        <f t="shared" si="1"/>
        <v>365</v>
      </c>
      <c r="BD6" s="899">
        <f t="shared" si="1"/>
        <v>366</v>
      </c>
      <c r="BE6" s="14"/>
      <c r="BG6"/>
      <c r="BH6"/>
      <c r="BI6"/>
      <c r="BJ6"/>
      <c r="BK6"/>
      <c r="BL6"/>
      <c r="BM6" s="901"/>
      <c r="BN6" s="901"/>
      <c r="BO6" s="901"/>
      <c r="BP6" s="901"/>
      <c r="BQ6" s="901"/>
      <c r="BR6" s="901"/>
      <c r="BS6" s="901"/>
    </row>
    <row r="7" spans="1:71" customFormat="1" ht="11.25" hidden="1" customHeight="1" outlineLevel="1">
      <c r="BO7" s="3958"/>
    </row>
    <row r="8" spans="1:71" ht="12.75" customHeight="1" collapsed="1">
      <c r="A8" s="3092" t="s">
        <v>698</v>
      </c>
      <c r="B8" s="3093"/>
      <c r="C8" s="3093"/>
      <c r="D8" s="3093"/>
      <c r="E8" s="3093"/>
      <c r="F8" s="3093"/>
      <c r="G8" s="3094"/>
      <c r="H8" s="3095"/>
      <c r="I8" s="3094"/>
      <c r="J8" s="3094"/>
      <c r="K8" s="3093"/>
      <c r="L8" s="3094"/>
      <c r="M8" s="3094"/>
      <c r="N8" s="3094"/>
      <c r="O8" s="3094"/>
      <c r="P8" s="3093"/>
      <c r="Q8" s="3094"/>
      <c r="R8" s="3094"/>
      <c r="S8" s="3094"/>
      <c r="T8" s="3094"/>
      <c r="U8" s="3093"/>
      <c r="V8" s="3094"/>
      <c r="W8" s="3094"/>
      <c r="X8" s="3094"/>
      <c r="Y8" s="3094"/>
      <c r="Z8" s="3093"/>
      <c r="AA8" s="3096"/>
      <c r="AB8" s="3094"/>
      <c r="AC8" s="3094"/>
      <c r="AD8" s="3097"/>
      <c r="AE8" s="3098"/>
      <c r="AF8" s="3094"/>
      <c r="AG8" s="3094"/>
      <c r="AH8" s="3094"/>
      <c r="AI8" s="3097"/>
      <c r="AJ8" s="3891"/>
      <c r="AK8" s="3094"/>
      <c r="AL8" s="3094"/>
      <c r="AM8" s="3094"/>
      <c r="AN8" s="3097"/>
      <c r="AO8" s="3093"/>
      <c r="AP8" s="294"/>
      <c r="AQ8" s="294"/>
      <c r="AR8" s="173"/>
      <c r="AS8" s="493" t="str">
        <f>+A8</f>
        <v>Revenues</v>
      </c>
      <c r="AT8" s="173"/>
      <c r="AU8" s="173"/>
      <c r="AV8" s="173"/>
      <c r="AW8" s="173"/>
      <c r="AX8" s="173"/>
      <c r="AY8" s="173"/>
      <c r="AZ8" s="173"/>
      <c r="BA8" s="173"/>
      <c r="BB8" s="173"/>
      <c r="BC8" s="173"/>
      <c r="BD8" s="423"/>
    </row>
    <row r="9" spans="1:71" ht="12.75" customHeight="1">
      <c r="A9" s="3099" t="s">
        <v>1245</v>
      </c>
      <c r="B9" s="3100"/>
      <c r="C9" s="3100"/>
      <c r="D9" s="3100"/>
      <c r="E9" s="3100">
        <v>3667</v>
      </c>
      <c r="F9" s="3100">
        <v>3898</v>
      </c>
      <c r="G9" s="3101">
        <v>886</v>
      </c>
      <c r="H9" s="3101">
        <v>1039</v>
      </c>
      <c r="I9" s="3101">
        <v>1006</v>
      </c>
      <c r="J9" s="3101">
        <v>1048</v>
      </c>
      <c r="K9" s="3102">
        <f>SUM(G9:J9)</f>
        <v>3979</v>
      </c>
      <c r="L9" s="3103">
        <v>914</v>
      </c>
      <c r="M9" s="3103">
        <v>1070</v>
      </c>
      <c r="N9" s="3103">
        <v>998</v>
      </c>
      <c r="O9" s="3101">
        <v>1064</v>
      </c>
      <c r="P9" s="3102">
        <f>SUM(L9:O9)</f>
        <v>4046</v>
      </c>
      <c r="Q9" s="3103">
        <v>945</v>
      </c>
      <c r="R9" s="3103">
        <v>1117</v>
      </c>
      <c r="S9" s="3103">
        <v>1079</v>
      </c>
      <c r="T9" s="3103">
        <v>1098</v>
      </c>
      <c r="U9" s="3102">
        <f>SUM(Q9:T9)</f>
        <v>4239</v>
      </c>
      <c r="V9" s="3103">
        <v>957</v>
      </c>
      <c r="W9" s="3103">
        <v>1135</v>
      </c>
      <c r="X9" s="3103">
        <v>1082</v>
      </c>
      <c r="Y9" s="3103">
        <v>1059</v>
      </c>
      <c r="Z9" s="3104">
        <f>SUM(V9:Y9)</f>
        <v>4233</v>
      </c>
      <c r="AA9" s="3105">
        <v>967</v>
      </c>
      <c r="AB9" s="3105">
        <v>1105</v>
      </c>
      <c r="AC9" s="3105">
        <v>1033</v>
      </c>
      <c r="AD9" s="3578">
        <v>1021</v>
      </c>
      <c r="AE9" s="3102">
        <f>SUM(AA9:AD9)</f>
        <v>4126</v>
      </c>
      <c r="AF9" s="3105">
        <v>300</v>
      </c>
      <c r="AG9" s="3105">
        <v>377</v>
      </c>
      <c r="AH9" s="3105">
        <v>388</v>
      </c>
      <c r="AI9" s="3105">
        <v>385</v>
      </c>
      <c r="AJ9" s="3102">
        <f>SUM(AF9:AI9)</f>
        <v>1450</v>
      </c>
      <c r="AK9" s="3106">
        <f t="shared" ref="AK9:AN9" si="2">AK249</f>
        <v>314.85800557585725</v>
      </c>
      <c r="AL9" s="3106">
        <f t="shared" si="2"/>
        <v>438.53756403891077</v>
      </c>
      <c r="AM9" s="3106">
        <f t="shared" si="2"/>
        <v>429.08506743417524</v>
      </c>
      <c r="AN9" s="3106">
        <f t="shared" si="2"/>
        <v>410.43896504507853</v>
      </c>
      <c r="AO9" s="3104">
        <f>SUM(AK9:AN9)</f>
        <v>1592.9196020940217</v>
      </c>
      <c r="AP9" s="546">
        <f>AP249</f>
        <v>1635.2593916514179</v>
      </c>
      <c r="AQ9" s="546">
        <f>AQ249</f>
        <v>1563.8633870847993</v>
      </c>
      <c r="AR9" s="827"/>
      <c r="AS9" s="384" t="str">
        <f>+A9</f>
        <v>Owned &amp; leased hotels</v>
      </c>
      <c r="AT9" s="827">
        <f>+E9</f>
        <v>3667</v>
      </c>
      <c r="AU9" s="827">
        <f>+F9</f>
        <v>3898</v>
      </c>
      <c r="AV9" s="827">
        <f>+K9</f>
        <v>3979</v>
      </c>
      <c r="AW9" s="827">
        <f>+P9</f>
        <v>4046</v>
      </c>
      <c r="AX9" s="827">
        <f>+U9</f>
        <v>4239</v>
      </c>
      <c r="AY9" s="827">
        <f>+Z9</f>
        <v>4233</v>
      </c>
      <c r="AZ9" s="827">
        <f>+AE9</f>
        <v>4126</v>
      </c>
      <c r="BA9" s="827">
        <f>+AJ9</f>
        <v>1450</v>
      </c>
      <c r="BB9" s="827">
        <f>+AO9</f>
        <v>1592.9196020940217</v>
      </c>
      <c r="BC9" s="827">
        <f>+AP9</f>
        <v>1635.2593916514179</v>
      </c>
      <c r="BD9" s="837">
        <f>+AQ9</f>
        <v>1563.8633870847993</v>
      </c>
      <c r="BF9" s="900"/>
      <c r="BM9" s="902"/>
      <c r="BN9" s="902"/>
      <c r="BO9" s="931"/>
      <c r="BP9" s="902"/>
      <c r="BQ9" s="902"/>
      <c r="BR9" s="902"/>
      <c r="BS9" s="902"/>
    </row>
    <row r="10" spans="1:71" ht="3.95" customHeight="1">
      <c r="A10" s="3099"/>
      <c r="B10" s="3107"/>
      <c r="C10" s="3107"/>
      <c r="D10" s="3107"/>
      <c r="E10" s="3108"/>
      <c r="F10" s="3108"/>
      <c r="G10" s="3109"/>
      <c r="H10" s="3109"/>
      <c r="I10" s="3109"/>
      <c r="J10" s="3109"/>
      <c r="K10" s="3108"/>
      <c r="L10" s="3109"/>
      <c r="M10" s="3109"/>
      <c r="N10" s="3109"/>
      <c r="O10" s="3109"/>
      <c r="P10" s="3108"/>
      <c r="Q10" s="3109"/>
      <c r="R10" s="3109"/>
      <c r="S10" s="3109"/>
      <c r="T10" s="3109"/>
      <c r="U10" s="3108"/>
      <c r="V10" s="3109"/>
      <c r="W10" s="3109"/>
      <c r="X10" s="3109"/>
      <c r="Y10" s="3110"/>
      <c r="Z10" s="3111"/>
      <c r="AA10" s="3109"/>
      <c r="AB10" s="3109"/>
      <c r="AC10" s="3109"/>
      <c r="AD10" s="3109"/>
      <c r="AE10" s="3108"/>
      <c r="AF10" s="3109"/>
      <c r="AG10" s="3109"/>
      <c r="AH10" s="3109"/>
      <c r="AI10" s="3109"/>
      <c r="AJ10" s="3108"/>
      <c r="AK10" s="3109"/>
      <c r="AL10" s="3109"/>
      <c r="AM10" s="3109"/>
      <c r="AN10" s="3109"/>
      <c r="AO10" s="3111"/>
      <c r="AP10" s="1163"/>
      <c r="AQ10" s="1163"/>
      <c r="AR10" s="148"/>
      <c r="AS10" s="384"/>
      <c r="AT10" s="148"/>
      <c r="AU10" s="148"/>
      <c r="AV10" s="148"/>
      <c r="AW10" s="148"/>
      <c r="AX10" s="148"/>
      <c r="AY10" s="148"/>
      <c r="AZ10" s="148"/>
      <c r="BA10" s="148"/>
      <c r="BB10" s="148"/>
      <c r="BC10" s="148"/>
      <c r="BD10" s="720"/>
      <c r="BF10" s="900"/>
      <c r="BM10" s="902"/>
      <c r="BN10" s="902"/>
      <c r="BO10" s="931"/>
      <c r="BP10" s="902"/>
      <c r="BQ10" s="902"/>
      <c r="BR10" s="902"/>
      <c r="BS10" s="902"/>
    </row>
    <row r="11" spans="1:71" ht="12.75" customHeight="1">
      <c r="A11" s="3112" t="s">
        <v>1614</v>
      </c>
      <c r="B11" s="3113"/>
      <c r="C11" s="3113"/>
      <c r="D11" s="3113"/>
      <c r="E11" s="3113">
        <f>E275</f>
        <v>261</v>
      </c>
      <c r="F11" s="3113">
        <f t="shared" ref="F11:W11" si="3">F275</f>
        <v>271</v>
      </c>
      <c r="G11" s="3114">
        <f t="shared" si="3"/>
        <v>66</v>
      </c>
      <c r="H11" s="3114">
        <f t="shared" si="3"/>
        <v>74</v>
      </c>
      <c r="I11" s="3114">
        <f t="shared" si="3"/>
        <v>76</v>
      </c>
      <c r="J11" s="3114">
        <f t="shared" si="3"/>
        <v>73</v>
      </c>
      <c r="K11" s="3113">
        <f t="shared" si="3"/>
        <v>289</v>
      </c>
      <c r="L11" s="3114">
        <f t="shared" si="3"/>
        <v>67</v>
      </c>
      <c r="M11" s="3114">
        <f t="shared" si="3"/>
        <v>79</v>
      </c>
      <c r="N11" s="3114">
        <f t="shared" si="3"/>
        <v>73</v>
      </c>
      <c r="O11" s="3114">
        <f t="shared" si="3"/>
        <v>80</v>
      </c>
      <c r="P11" s="3113">
        <f t="shared" si="3"/>
        <v>299</v>
      </c>
      <c r="Q11" s="3114">
        <f t="shared" si="3"/>
        <v>79</v>
      </c>
      <c r="R11" s="3114">
        <f t="shared" si="3"/>
        <v>88</v>
      </c>
      <c r="S11" s="3114">
        <f t="shared" si="3"/>
        <v>78</v>
      </c>
      <c r="T11" s="3114">
        <f t="shared" si="3"/>
        <v>86</v>
      </c>
      <c r="U11" s="3113">
        <f t="shared" si="3"/>
        <v>331</v>
      </c>
      <c r="V11" s="3114">
        <f t="shared" si="3"/>
        <v>81</v>
      </c>
      <c r="W11" s="3114">
        <f t="shared" si="3"/>
        <v>89</v>
      </c>
      <c r="X11" s="3114">
        <f t="shared" ref="X11:Z12" si="4">X275</f>
        <v>87</v>
      </c>
      <c r="Y11" s="3115">
        <f t="shared" si="4"/>
        <v>90</v>
      </c>
      <c r="Z11" s="3116">
        <f t="shared" si="4"/>
        <v>347</v>
      </c>
      <c r="AA11" s="3114">
        <f t="shared" ref="AA11:AE12" si="5">AA275</f>
        <v>85</v>
      </c>
      <c r="AB11" s="3114">
        <f t="shared" si="5"/>
        <v>93</v>
      </c>
      <c r="AC11" s="3114">
        <f t="shared" si="5"/>
        <v>87</v>
      </c>
      <c r="AD11" s="3114">
        <f t="shared" si="5"/>
        <v>89</v>
      </c>
      <c r="AE11" s="3113">
        <f t="shared" si="5"/>
        <v>354</v>
      </c>
      <c r="AF11" s="3114">
        <f t="shared" ref="AF11:AJ12" si="6">AF275</f>
        <v>83</v>
      </c>
      <c r="AG11" s="3114">
        <f t="shared" si="6"/>
        <v>85</v>
      </c>
      <c r="AH11" s="3114">
        <f t="shared" ref="AH11" si="7">AH275</f>
        <v>87</v>
      </c>
      <c r="AI11" s="3114">
        <f t="shared" si="6"/>
        <v>81</v>
      </c>
      <c r="AJ11" s="3113">
        <f t="shared" si="6"/>
        <v>336</v>
      </c>
      <c r="AK11" s="3114">
        <f t="shared" ref="AK11:AO11" si="8">AK275</f>
        <v>87.490714831343325</v>
      </c>
      <c r="AL11" s="3114">
        <f t="shared" si="8"/>
        <v>87.854599325837114</v>
      </c>
      <c r="AM11" s="3114">
        <f t="shared" si="8"/>
        <v>95.697879704518684</v>
      </c>
      <c r="AN11" s="3114">
        <f t="shared" si="8"/>
        <v>85.101950020574122</v>
      </c>
      <c r="AO11" s="3116">
        <f t="shared" si="8"/>
        <v>356.14514388227326</v>
      </c>
      <c r="AP11" s="347">
        <f t="shared" ref="AP11:AQ12" si="9">AP275</f>
        <v>379.82523516275893</v>
      </c>
      <c r="AQ11" s="347">
        <f t="shared" si="9"/>
        <v>384.72427345049425</v>
      </c>
      <c r="AR11" s="803"/>
      <c r="AS11" s="384" t="str">
        <f t="shared" ref="AS11:AS18" si="10">+A11</f>
        <v>Base management fees</v>
      </c>
      <c r="AT11" s="199">
        <f t="shared" ref="AT11:AU16" si="11">+E11</f>
        <v>261</v>
      </c>
      <c r="AU11" s="199">
        <f t="shared" si="11"/>
        <v>271</v>
      </c>
      <c r="AV11" s="199">
        <f t="shared" ref="AV11:AV18" si="12">+K11</f>
        <v>289</v>
      </c>
      <c r="AW11" s="199">
        <f t="shared" ref="AW11:AW18" si="13">+P11</f>
        <v>299</v>
      </c>
      <c r="AX11" s="199">
        <f t="shared" ref="AX11:AX18" si="14">+U11</f>
        <v>331</v>
      </c>
      <c r="AY11" s="199">
        <f t="shared" ref="AY11:AY18" si="15">+Z11</f>
        <v>347</v>
      </c>
      <c r="AZ11" s="199">
        <f t="shared" ref="AZ11:AZ18" si="16">+AE11</f>
        <v>354</v>
      </c>
      <c r="BA11" s="199">
        <f t="shared" ref="BA11:BA18" si="17">+AJ11</f>
        <v>336</v>
      </c>
      <c r="BB11" s="199">
        <f t="shared" ref="BB11:BB18" si="18">+AO11</f>
        <v>356.14514388227326</v>
      </c>
      <c r="BC11" s="199">
        <f t="shared" ref="BC11:BC18" si="19">+AP11</f>
        <v>379.82523516275893</v>
      </c>
      <c r="BD11" s="847">
        <f t="shared" ref="BD11:BD18" si="20">+AQ11</f>
        <v>384.72427345049425</v>
      </c>
      <c r="BF11" s="900"/>
      <c r="BM11" s="902"/>
      <c r="BN11" s="902"/>
      <c r="BO11" s="931"/>
      <c r="BP11" s="902"/>
      <c r="BQ11" s="902"/>
      <c r="BR11" s="902"/>
      <c r="BS11" s="902"/>
    </row>
    <row r="12" spans="1:71" ht="12.75" customHeight="1">
      <c r="A12" s="3112" t="s">
        <v>1615</v>
      </c>
      <c r="B12" s="3113"/>
      <c r="C12" s="3113"/>
      <c r="D12" s="3113"/>
      <c r="E12" s="3113">
        <f>E276</f>
        <v>92</v>
      </c>
      <c r="F12" s="3113">
        <f t="shared" ref="F12:W12" si="21">F276</f>
        <v>104</v>
      </c>
      <c r="G12" s="3114">
        <f t="shared" si="21"/>
        <v>28</v>
      </c>
      <c r="H12" s="3114">
        <f t="shared" si="21"/>
        <v>24</v>
      </c>
      <c r="I12" s="3114">
        <f t="shared" si="21"/>
        <v>24</v>
      </c>
      <c r="J12" s="3114">
        <f t="shared" si="21"/>
        <v>36</v>
      </c>
      <c r="K12" s="3113">
        <f t="shared" si="21"/>
        <v>112</v>
      </c>
      <c r="L12" s="3114">
        <f t="shared" si="21"/>
        <v>29</v>
      </c>
      <c r="M12" s="3114">
        <f t="shared" si="21"/>
        <v>27</v>
      </c>
      <c r="N12" s="3114">
        <f t="shared" si="21"/>
        <v>24</v>
      </c>
      <c r="O12" s="3114">
        <f t="shared" si="21"/>
        <v>34</v>
      </c>
      <c r="P12" s="3113">
        <f t="shared" si="21"/>
        <v>114</v>
      </c>
      <c r="Q12" s="3114">
        <f t="shared" si="21"/>
        <v>34</v>
      </c>
      <c r="R12" s="3114">
        <f t="shared" si="21"/>
        <v>31</v>
      </c>
      <c r="S12" s="3114">
        <f t="shared" si="21"/>
        <v>34</v>
      </c>
      <c r="T12" s="3114">
        <f t="shared" si="21"/>
        <v>38</v>
      </c>
      <c r="U12" s="3113">
        <f t="shared" si="21"/>
        <v>137</v>
      </c>
      <c r="V12" s="3114">
        <f t="shared" si="21"/>
        <v>37</v>
      </c>
      <c r="W12" s="3114">
        <f t="shared" si="21"/>
        <v>36</v>
      </c>
      <c r="X12" s="3114">
        <f t="shared" si="4"/>
        <v>34</v>
      </c>
      <c r="Y12" s="3115">
        <f t="shared" si="4"/>
        <v>41</v>
      </c>
      <c r="Z12" s="3116">
        <f t="shared" si="4"/>
        <v>148</v>
      </c>
      <c r="AA12" s="3114">
        <f t="shared" si="5"/>
        <v>42</v>
      </c>
      <c r="AB12" s="3114">
        <f t="shared" si="5"/>
        <v>36</v>
      </c>
      <c r="AC12" s="3114">
        <f t="shared" si="5"/>
        <v>37</v>
      </c>
      <c r="AD12" s="3114">
        <f t="shared" si="5"/>
        <v>40</v>
      </c>
      <c r="AE12" s="3113">
        <f t="shared" si="5"/>
        <v>155</v>
      </c>
      <c r="AF12" s="3114">
        <f t="shared" si="6"/>
        <v>52</v>
      </c>
      <c r="AG12" s="3114">
        <f t="shared" si="6"/>
        <v>56</v>
      </c>
      <c r="AH12" s="3114">
        <f t="shared" ref="AH12" si="22">AH276</f>
        <v>52</v>
      </c>
      <c r="AI12" s="3114">
        <f t="shared" si="6"/>
        <v>62</v>
      </c>
      <c r="AJ12" s="3113">
        <f t="shared" si="6"/>
        <v>222</v>
      </c>
      <c r="AK12" s="3114">
        <f t="shared" ref="AK12:AO12" si="23">AK276</f>
        <v>49.980000000000004</v>
      </c>
      <c r="AL12" s="3114">
        <f t="shared" si="23"/>
        <v>60.42</v>
      </c>
      <c r="AM12" s="3114">
        <f t="shared" si="23"/>
        <v>56.18</v>
      </c>
      <c r="AN12" s="3114">
        <f t="shared" si="23"/>
        <v>63.63</v>
      </c>
      <c r="AO12" s="3116">
        <f t="shared" si="23"/>
        <v>230.21</v>
      </c>
      <c r="AP12" s="347">
        <f t="shared" si="9"/>
        <v>230.21</v>
      </c>
      <c r="AQ12" s="347">
        <f t="shared" si="9"/>
        <v>218.6995</v>
      </c>
      <c r="AR12" s="803"/>
      <c r="AS12" s="384" t="str">
        <f t="shared" si="10"/>
        <v>Incentive management fees</v>
      </c>
      <c r="AT12" s="199">
        <f t="shared" si="11"/>
        <v>92</v>
      </c>
      <c r="AU12" s="199">
        <f t="shared" si="11"/>
        <v>104</v>
      </c>
      <c r="AV12" s="199">
        <f t="shared" si="12"/>
        <v>112</v>
      </c>
      <c r="AW12" s="199">
        <f t="shared" si="13"/>
        <v>114</v>
      </c>
      <c r="AX12" s="199">
        <f t="shared" si="14"/>
        <v>137</v>
      </c>
      <c r="AY12" s="199">
        <f t="shared" si="15"/>
        <v>148</v>
      </c>
      <c r="AZ12" s="199">
        <f t="shared" si="16"/>
        <v>155</v>
      </c>
      <c r="BA12" s="199">
        <f t="shared" si="17"/>
        <v>222</v>
      </c>
      <c r="BB12" s="199">
        <f t="shared" si="18"/>
        <v>230.21</v>
      </c>
      <c r="BC12" s="199">
        <f t="shared" si="19"/>
        <v>230.21</v>
      </c>
      <c r="BD12" s="847">
        <f t="shared" si="20"/>
        <v>218.6995</v>
      </c>
      <c r="BF12" s="900"/>
      <c r="BM12" s="902"/>
      <c r="BN12" s="902"/>
      <c r="BO12" s="931"/>
      <c r="BP12" s="902"/>
      <c r="BQ12" s="902"/>
      <c r="BR12" s="902"/>
      <c r="BS12" s="902"/>
    </row>
    <row r="13" spans="1:71" ht="12.75" customHeight="1">
      <c r="A13" s="3112" t="s">
        <v>1616</v>
      </c>
      <c r="B13" s="3113"/>
      <c r="C13" s="3113"/>
      <c r="D13" s="3113"/>
      <c r="E13" s="3113">
        <f>E278</f>
        <v>585</v>
      </c>
      <c r="F13" s="3113">
        <f t="shared" ref="F13:W13" si="24">F278</f>
        <v>671</v>
      </c>
      <c r="G13" s="3114">
        <f t="shared" si="24"/>
        <v>167</v>
      </c>
      <c r="H13" s="3114">
        <f t="shared" si="24"/>
        <v>197</v>
      </c>
      <c r="I13" s="3114">
        <f t="shared" si="24"/>
        <v>204</v>
      </c>
      <c r="J13" s="3114">
        <f t="shared" si="24"/>
        <v>181</v>
      </c>
      <c r="K13" s="3113">
        <f t="shared" si="24"/>
        <v>749</v>
      </c>
      <c r="L13" s="3114">
        <f t="shared" si="24"/>
        <v>180</v>
      </c>
      <c r="M13" s="3114">
        <f t="shared" si="24"/>
        <v>215</v>
      </c>
      <c r="N13" s="3114">
        <f t="shared" si="24"/>
        <v>228</v>
      </c>
      <c r="O13" s="3114">
        <f t="shared" si="24"/>
        <v>206</v>
      </c>
      <c r="P13" s="3113">
        <f t="shared" si="24"/>
        <v>829</v>
      </c>
      <c r="Q13" s="3114">
        <f t="shared" si="24"/>
        <v>211</v>
      </c>
      <c r="R13" s="3114">
        <f t="shared" si="24"/>
        <v>247</v>
      </c>
      <c r="S13" s="3114">
        <f t="shared" si="24"/>
        <v>264</v>
      </c>
      <c r="T13" s="3114">
        <f t="shared" si="24"/>
        <v>249</v>
      </c>
      <c r="U13" s="3113">
        <f t="shared" si="24"/>
        <v>971</v>
      </c>
      <c r="V13" s="3114">
        <f t="shared" si="24"/>
        <v>265</v>
      </c>
      <c r="W13" s="3114">
        <f t="shared" si="24"/>
        <v>300</v>
      </c>
      <c r="X13" s="3114">
        <f t="shared" ref="X13:AQ13" si="25">X278</f>
        <v>310</v>
      </c>
      <c r="Y13" s="3115">
        <f t="shared" si="25"/>
        <v>290</v>
      </c>
      <c r="Z13" s="3116">
        <f t="shared" si="25"/>
        <v>1165</v>
      </c>
      <c r="AA13" s="3114">
        <f t="shared" si="25"/>
        <v>273</v>
      </c>
      <c r="AB13" s="3114">
        <f t="shared" si="25"/>
        <v>332</v>
      </c>
      <c r="AC13" s="3114">
        <f t="shared" si="25"/>
        <v>336</v>
      </c>
      <c r="AD13" s="3114">
        <f t="shared" si="25"/>
        <v>296</v>
      </c>
      <c r="AE13" s="3113">
        <f t="shared" si="25"/>
        <v>1237</v>
      </c>
      <c r="AF13" s="3114">
        <f t="shared" si="25"/>
        <v>294</v>
      </c>
      <c r="AG13" s="3114">
        <f t="shared" si="25"/>
        <v>372</v>
      </c>
      <c r="AH13" s="3114">
        <f t="shared" ref="AH13" si="26">AH278</f>
        <v>373</v>
      </c>
      <c r="AI13" s="3114">
        <f t="shared" si="25"/>
        <v>343</v>
      </c>
      <c r="AJ13" s="3113">
        <f t="shared" si="25"/>
        <v>1382</v>
      </c>
      <c r="AK13" s="3114">
        <f t="shared" ref="AK13:AO13" si="27">AK278</f>
        <v>311.14740268582921</v>
      </c>
      <c r="AL13" s="3114">
        <f t="shared" si="27"/>
        <v>392.66143432847514</v>
      </c>
      <c r="AM13" s="3114">
        <f t="shared" si="27"/>
        <v>395.8993880762078</v>
      </c>
      <c r="AN13" s="3114">
        <f t="shared" si="27"/>
        <v>358.05215731550021</v>
      </c>
      <c r="AO13" s="3116">
        <f t="shared" si="27"/>
        <v>1457.7603824060122</v>
      </c>
      <c r="AP13" s="347">
        <f t="shared" si="25"/>
        <v>1586.0179261951123</v>
      </c>
      <c r="AQ13" s="347">
        <f t="shared" si="25"/>
        <v>1647.8591593468063</v>
      </c>
      <c r="AR13" s="803"/>
      <c r="AS13" s="384" t="str">
        <f t="shared" si="10"/>
        <v>Franchise fees</v>
      </c>
      <c r="AT13" s="199">
        <f t="shared" si="11"/>
        <v>585</v>
      </c>
      <c r="AU13" s="199">
        <f t="shared" si="11"/>
        <v>671</v>
      </c>
      <c r="AV13" s="199">
        <f t="shared" si="12"/>
        <v>749</v>
      </c>
      <c r="AW13" s="199">
        <f t="shared" si="13"/>
        <v>829</v>
      </c>
      <c r="AX13" s="199">
        <f t="shared" si="14"/>
        <v>971</v>
      </c>
      <c r="AY13" s="199">
        <f t="shared" si="15"/>
        <v>1165</v>
      </c>
      <c r="AZ13" s="199">
        <f t="shared" si="16"/>
        <v>1237</v>
      </c>
      <c r="BA13" s="199">
        <f t="shared" si="17"/>
        <v>1382</v>
      </c>
      <c r="BB13" s="199">
        <f t="shared" si="18"/>
        <v>1457.7603824060122</v>
      </c>
      <c r="BC13" s="199">
        <f t="shared" si="19"/>
        <v>1586.0179261951123</v>
      </c>
      <c r="BD13" s="847">
        <f t="shared" si="20"/>
        <v>1647.8591593468063</v>
      </c>
      <c r="BF13" s="900"/>
      <c r="BM13" s="902"/>
      <c r="BN13" s="902"/>
      <c r="BO13" s="931"/>
      <c r="BP13" s="902"/>
      <c r="BQ13" s="902"/>
      <c r="BR13" s="902"/>
      <c r="BS13" s="902"/>
    </row>
    <row r="14" spans="1:71" ht="12.75" customHeight="1">
      <c r="A14" s="3112" t="s">
        <v>1617</v>
      </c>
      <c r="B14" s="3113"/>
      <c r="C14" s="3113"/>
      <c r="D14" s="3113"/>
      <c r="E14" s="3113">
        <f>E280</f>
        <v>30</v>
      </c>
      <c r="F14" s="3113">
        <f t="shared" ref="F14:W14" si="28">F280</f>
        <v>49</v>
      </c>
      <c r="G14" s="3114">
        <f t="shared" si="28"/>
        <v>3</v>
      </c>
      <c r="H14" s="3114">
        <f t="shared" si="28"/>
        <v>5</v>
      </c>
      <c r="I14" s="3114">
        <f t="shared" si="28"/>
        <v>9</v>
      </c>
      <c r="J14" s="3114">
        <f t="shared" si="28"/>
        <v>13</v>
      </c>
      <c r="K14" s="3113">
        <f t="shared" si="28"/>
        <v>30</v>
      </c>
      <c r="L14" s="3114">
        <f t="shared" si="28"/>
        <v>6</v>
      </c>
      <c r="M14" s="3114">
        <f t="shared" si="28"/>
        <v>5</v>
      </c>
      <c r="N14" s="3114">
        <f t="shared" si="28"/>
        <v>5</v>
      </c>
      <c r="O14" s="3114">
        <f t="shared" si="28"/>
        <v>13</v>
      </c>
      <c r="P14" s="3113">
        <f t="shared" si="28"/>
        <v>29</v>
      </c>
      <c r="Q14" s="3114">
        <f t="shared" si="28"/>
        <v>7</v>
      </c>
      <c r="R14" s="3114">
        <f t="shared" si="28"/>
        <v>5</v>
      </c>
      <c r="S14" s="3114">
        <f t="shared" si="28"/>
        <v>7</v>
      </c>
      <c r="T14" s="3114">
        <f t="shared" si="28"/>
        <v>10</v>
      </c>
      <c r="U14" s="3113">
        <f t="shared" si="28"/>
        <v>29</v>
      </c>
      <c r="V14" s="3114">
        <f t="shared" si="28"/>
        <v>8</v>
      </c>
      <c r="W14" s="3114">
        <f t="shared" si="28"/>
        <v>9</v>
      </c>
      <c r="X14" s="3114">
        <f t="shared" ref="X14:AQ14" si="29">X280</f>
        <v>7</v>
      </c>
      <c r="Y14" s="3115">
        <f t="shared" si="29"/>
        <v>7</v>
      </c>
      <c r="Z14" s="3116">
        <f t="shared" si="29"/>
        <v>31</v>
      </c>
      <c r="AA14" s="3114">
        <f t="shared" si="29"/>
        <v>9</v>
      </c>
      <c r="AB14" s="3114">
        <f t="shared" si="29"/>
        <v>10</v>
      </c>
      <c r="AC14" s="3114">
        <f t="shared" si="29"/>
        <v>10</v>
      </c>
      <c r="AD14" s="3114">
        <f t="shared" si="29"/>
        <v>11</v>
      </c>
      <c r="AE14" s="3113">
        <f t="shared" si="29"/>
        <v>40</v>
      </c>
      <c r="AF14" s="3114">
        <f t="shared" si="29"/>
        <v>0</v>
      </c>
      <c r="AG14" s="3114">
        <f t="shared" si="29"/>
        <v>0</v>
      </c>
      <c r="AH14" s="3114">
        <f t="shared" ref="AH14" si="30">AH280</f>
        <v>0</v>
      </c>
      <c r="AI14" s="3114">
        <f t="shared" si="29"/>
        <v>0</v>
      </c>
      <c r="AJ14" s="3113">
        <f t="shared" si="29"/>
        <v>0</v>
      </c>
      <c r="AK14" s="3114">
        <f t="shared" ref="AK14:AO14" si="31">AK280</f>
        <v>0</v>
      </c>
      <c r="AL14" s="3114">
        <f t="shared" si="31"/>
        <v>0</v>
      </c>
      <c r="AM14" s="3114">
        <f t="shared" si="31"/>
        <v>0</v>
      </c>
      <c r="AN14" s="3114">
        <f t="shared" si="31"/>
        <v>0</v>
      </c>
      <c r="AO14" s="3116">
        <f t="shared" si="31"/>
        <v>0</v>
      </c>
      <c r="AP14" s="347">
        <f t="shared" si="29"/>
        <v>0</v>
      </c>
      <c r="AQ14" s="347">
        <f t="shared" si="29"/>
        <v>0</v>
      </c>
      <c r="AR14" s="803"/>
      <c r="AS14" s="384" t="str">
        <f t="shared" si="10"/>
        <v>Other managed/franchised fees</v>
      </c>
      <c r="AT14" s="199">
        <f t="shared" si="11"/>
        <v>30</v>
      </c>
      <c r="AU14" s="199">
        <f t="shared" si="11"/>
        <v>49</v>
      </c>
      <c r="AV14" s="199">
        <f t="shared" si="12"/>
        <v>30</v>
      </c>
      <c r="AW14" s="199">
        <f t="shared" si="13"/>
        <v>29</v>
      </c>
      <c r="AX14" s="199">
        <f t="shared" si="14"/>
        <v>29</v>
      </c>
      <c r="AY14" s="199">
        <f t="shared" si="15"/>
        <v>31</v>
      </c>
      <c r="AZ14" s="199">
        <f t="shared" si="16"/>
        <v>40</v>
      </c>
      <c r="BA14" s="199">
        <f t="shared" si="17"/>
        <v>0</v>
      </c>
      <c r="BB14" s="199">
        <f t="shared" si="18"/>
        <v>0</v>
      </c>
      <c r="BC14" s="199">
        <f t="shared" si="19"/>
        <v>0</v>
      </c>
      <c r="BD14" s="847">
        <f t="shared" si="20"/>
        <v>0</v>
      </c>
      <c r="BF14" s="900"/>
      <c r="BM14" s="902"/>
      <c r="BN14" s="902"/>
      <c r="BO14" s="931"/>
      <c r="BP14" s="902"/>
      <c r="BQ14" s="902"/>
      <c r="BR14" s="902"/>
      <c r="BS14" s="902"/>
    </row>
    <row r="15" spans="1:71" ht="12.75" customHeight="1">
      <c r="A15" s="3117" t="s">
        <v>1618</v>
      </c>
      <c r="B15" s="3118"/>
      <c r="C15" s="3118"/>
      <c r="D15" s="3118"/>
      <c r="E15" s="3118">
        <f t="shared" ref="E15:K15" si="32">-E291</f>
        <v>-67</v>
      </c>
      <c r="F15" s="3118">
        <f t="shared" si="32"/>
        <v>-81</v>
      </c>
      <c r="G15" s="3119">
        <f t="shared" si="32"/>
        <v>-16</v>
      </c>
      <c r="H15" s="3119">
        <f t="shared" si="32"/>
        <v>-27</v>
      </c>
      <c r="I15" s="3119">
        <f t="shared" si="32"/>
        <v>-27</v>
      </c>
      <c r="J15" s="3119">
        <f t="shared" si="32"/>
        <v>-22</v>
      </c>
      <c r="K15" s="3118">
        <f t="shared" si="32"/>
        <v>-92</v>
      </c>
      <c r="L15" s="3119">
        <f>+L290+L291</f>
        <v>-20</v>
      </c>
      <c r="M15" s="3119">
        <f>+M290+M291</f>
        <v>-27</v>
      </c>
      <c r="N15" s="3119">
        <f>+N290+N291</f>
        <v>-23</v>
      </c>
      <c r="O15" s="3119">
        <f>+O290+O291</f>
        <v>-26</v>
      </c>
      <c r="P15" s="3118">
        <f>+P290+P291</f>
        <v>-96</v>
      </c>
      <c r="Q15" s="3119">
        <f t="shared" ref="Q15:AE15" si="33">+Q290+Q291</f>
        <v>-19</v>
      </c>
      <c r="R15" s="3119">
        <f t="shared" si="33"/>
        <v>-17</v>
      </c>
      <c r="S15" s="3119">
        <f t="shared" si="33"/>
        <v>-19</v>
      </c>
      <c r="T15" s="3119">
        <f t="shared" si="33"/>
        <v>-12</v>
      </c>
      <c r="U15" s="3118">
        <f t="shared" si="33"/>
        <v>-67</v>
      </c>
      <c r="V15" s="3119">
        <f t="shared" si="33"/>
        <v>-20</v>
      </c>
      <c r="W15" s="3119">
        <f t="shared" si="33"/>
        <v>-27</v>
      </c>
      <c r="X15" s="3119">
        <f t="shared" si="33"/>
        <v>-22</v>
      </c>
      <c r="Y15" s="3119">
        <f t="shared" si="33"/>
        <v>-21</v>
      </c>
      <c r="Z15" s="3118">
        <f t="shared" si="33"/>
        <v>-90</v>
      </c>
      <c r="AA15" s="3119">
        <f t="shared" si="33"/>
        <v>-23</v>
      </c>
      <c r="AB15" s="3119">
        <f t="shared" si="33"/>
        <v>-27</v>
      </c>
      <c r="AC15" s="3119">
        <f t="shared" si="33"/>
        <v>-24</v>
      </c>
      <c r="AD15" s="3119">
        <f t="shared" si="33"/>
        <v>-11</v>
      </c>
      <c r="AE15" s="3118">
        <f t="shared" si="33"/>
        <v>-85</v>
      </c>
      <c r="AF15" s="3119">
        <v>0</v>
      </c>
      <c r="AG15" s="3119">
        <v>0</v>
      </c>
      <c r="AH15" s="3119">
        <v>0</v>
      </c>
      <c r="AI15" s="3119">
        <v>0</v>
      </c>
      <c r="AJ15" s="3118">
        <v>0</v>
      </c>
      <c r="AK15" s="3119">
        <v>0</v>
      </c>
      <c r="AL15" s="3119">
        <v>0</v>
      </c>
      <c r="AM15" s="3119">
        <v>0</v>
      </c>
      <c r="AN15" s="3119">
        <v>0</v>
      </c>
      <c r="AO15" s="3118">
        <v>0</v>
      </c>
      <c r="AP15" s="1168">
        <f t="shared" ref="AP15:AQ15" si="34">+AP291</f>
        <v>0</v>
      </c>
      <c r="AQ15" s="1168">
        <f t="shared" si="34"/>
        <v>0</v>
      </c>
      <c r="AR15" s="803"/>
      <c r="AS15" s="384" t="str">
        <f t="shared" si="10"/>
        <v>Other revenue</v>
      </c>
      <c r="AT15" s="199">
        <f t="shared" si="11"/>
        <v>-67</v>
      </c>
      <c r="AU15" s="199">
        <f t="shared" si="11"/>
        <v>-81</v>
      </c>
      <c r="AV15" s="199">
        <f t="shared" si="12"/>
        <v>-92</v>
      </c>
      <c r="AW15" s="199">
        <f t="shared" si="13"/>
        <v>-96</v>
      </c>
      <c r="AX15" s="199">
        <f t="shared" si="14"/>
        <v>-67</v>
      </c>
      <c r="AY15" s="199">
        <f t="shared" si="15"/>
        <v>-90</v>
      </c>
      <c r="AZ15" s="199">
        <f t="shared" si="16"/>
        <v>-85</v>
      </c>
      <c r="BA15" s="199">
        <f t="shared" si="17"/>
        <v>0</v>
      </c>
      <c r="BB15" s="199">
        <f t="shared" si="18"/>
        <v>0</v>
      </c>
      <c r="BC15" s="199">
        <f t="shared" si="19"/>
        <v>0</v>
      </c>
      <c r="BD15" s="847">
        <f t="shared" si="20"/>
        <v>0</v>
      </c>
      <c r="BF15" s="900"/>
      <c r="BM15" s="902"/>
      <c r="BN15" s="902"/>
      <c r="BO15" s="931"/>
      <c r="BP15" s="902"/>
      <c r="BQ15" s="902"/>
      <c r="BR15" s="902"/>
      <c r="BS15" s="902"/>
    </row>
    <row r="16" spans="1:71" ht="12.75" customHeight="1">
      <c r="A16" s="3099" t="s">
        <v>1244</v>
      </c>
      <c r="B16" s="3120"/>
      <c r="C16" s="3120"/>
      <c r="D16" s="3120"/>
      <c r="E16" s="3121">
        <v>901</v>
      </c>
      <c r="F16" s="3121">
        <v>1014</v>
      </c>
      <c r="G16" s="3122">
        <v>248</v>
      </c>
      <c r="H16" s="3122">
        <v>273</v>
      </c>
      <c r="I16" s="3122">
        <v>286</v>
      </c>
      <c r="J16" s="3122">
        <v>281</v>
      </c>
      <c r="K16" s="3120">
        <f>SUM(G16:J16)</f>
        <v>1088</v>
      </c>
      <c r="L16" s="3122">
        <v>262</v>
      </c>
      <c r="M16" s="3122">
        <v>299</v>
      </c>
      <c r="N16" s="3122">
        <v>307</v>
      </c>
      <c r="O16" s="3122">
        <v>307</v>
      </c>
      <c r="P16" s="3120">
        <f>SUM(L16:O16)</f>
        <v>1175</v>
      </c>
      <c r="Q16" s="3122">
        <v>312</v>
      </c>
      <c r="R16" s="3122">
        <v>354</v>
      </c>
      <c r="S16" s="3122">
        <v>364</v>
      </c>
      <c r="T16" s="3122">
        <v>371</v>
      </c>
      <c r="U16" s="3123">
        <f>SUM(Q16:T16)</f>
        <v>1401</v>
      </c>
      <c r="V16" s="3122">
        <v>371</v>
      </c>
      <c r="W16" s="3122">
        <v>407</v>
      </c>
      <c r="X16" s="3122">
        <v>416</v>
      </c>
      <c r="Y16" s="3122">
        <v>407</v>
      </c>
      <c r="Z16" s="3124">
        <f>SUM(V16:Y16)</f>
        <v>1601</v>
      </c>
      <c r="AA16" s="3125">
        <v>386</v>
      </c>
      <c r="AB16" s="3125">
        <v>444</v>
      </c>
      <c r="AC16" s="3125">
        <v>446</v>
      </c>
      <c r="AD16" s="3125">
        <v>425</v>
      </c>
      <c r="AE16" s="3123">
        <f>SUM(AA16:AD16)</f>
        <v>1701</v>
      </c>
      <c r="AF16" s="3125">
        <f>52+294+83</f>
        <v>429</v>
      </c>
      <c r="AG16" s="3125">
        <f>372+85+56</f>
        <v>513</v>
      </c>
      <c r="AH16" s="3125">
        <f>373+87+52</f>
        <v>512</v>
      </c>
      <c r="AI16" s="3125">
        <f>343+81+62</f>
        <v>486</v>
      </c>
      <c r="AJ16" s="3123">
        <f>SUM(AF16:AI16)</f>
        <v>1940</v>
      </c>
      <c r="AK16" s="3126">
        <f t="shared" ref="AK16:AN16" si="35">+AK281</f>
        <v>448.61811751717255</v>
      </c>
      <c r="AL16" s="3126">
        <f t="shared" si="35"/>
        <v>540.93603365431227</v>
      </c>
      <c r="AM16" s="3126">
        <f t="shared" si="35"/>
        <v>547.77726778072645</v>
      </c>
      <c r="AN16" s="3126">
        <f t="shared" si="35"/>
        <v>506.78410733607433</v>
      </c>
      <c r="AO16" s="3124">
        <f>SUM(AK16:AN16)</f>
        <v>2044.1155262882855</v>
      </c>
      <c r="AP16" s="164">
        <f>+AP281</f>
        <v>2196.0531613578714</v>
      </c>
      <c r="AQ16" s="164">
        <f>+AQ281</f>
        <v>2251.2829327973004</v>
      </c>
      <c r="AR16" s="162"/>
      <c r="AS16" s="384" t="str">
        <f t="shared" si="10"/>
        <v>Management and franchised fees and other</v>
      </c>
      <c r="AT16" s="162">
        <f t="shared" si="11"/>
        <v>901</v>
      </c>
      <c r="AU16" s="162">
        <f t="shared" si="11"/>
        <v>1014</v>
      </c>
      <c r="AV16" s="162">
        <f t="shared" si="12"/>
        <v>1088</v>
      </c>
      <c r="AW16" s="162">
        <f t="shared" si="13"/>
        <v>1175</v>
      </c>
      <c r="AX16" s="162">
        <f t="shared" si="14"/>
        <v>1401</v>
      </c>
      <c r="AY16" s="162">
        <f t="shared" si="15"/>
        <v>1601</v>
      </c>
      <c r="AZ16" s="162">
        <f t="shared" si="16"/>
        <v>1701</v>
      </c>
      <c r="BA16" s="162">
        <f t="shared" si="17"/>
        <v>1940</v>
      </c>
      <c r="BB16" s="162">
        <f t="shared" si="18"/>
        <v>2044.1155262882855</v>
      </c>
      <c r="BC16" s="162">
        <f t="shared" si="19"/>
        <v>2196.0531613578714</v>
      </c>
      <c r="BD16" s="838">
        <f t="shared" si="20"/>
        <v>2251.2829327973004</v>
      </c>
      <c r="BF16" s="900"/>
      <c r="BM16" s="902"/>
      <c r="BN16" s="902"/>
      <c r="BO16" s="931"/>
      <c r="BP16" s="902"/>
      <c r="BQ16" s="902"/>
      <c r="BR16" s="902"/>
      <c r="BS16" s="902"/>
    </row>
    <row r="17" spans="1:71" ht="12.75" customHeight="1">
      <c r="A17" s="3547" t="s">
        <v>2971</v>
      </c>
      <c r="B17" s="3120"/>
      <c r="C17" s="3120"/>
      <c r="D17" s="3120"/>
      <c r="E17" s="3121"/>
      <c r="F17" s="3121"/>
      <c r="G17" s="3122"/>
      <c r="H17" s="3122"/>
      <c r="I17" s="3122"/>
      <c r="J17" s="3122"/>
      <c r="K17" s="3120"/>
      <c r="L17" s="3122"/>
      <c r="M17" s="3122"/>
      <c r="N17" s="3122"/>
      <c r="O17" s="3122"/>
      <c r="P17" s="3120"/>
      <c r="Q17" s="3122"/>
      <c r="R17" s="3122"/>
      <c r="S17" s="3122"/>
      <c r="T17" s="3122"/>
      <c r="U17" s="3123"/>
      <c r="V17" s="3122"/>
      <c r="W17" s="3122"/>
      <c r="X17" s="3122"/>
      <c r="Y17" s="3122"/>
      <c r="Z17" s="3124"/>
      <c r="AA17" s="3125"/>
      <c r="AB17" s="3125"/>
      <c r="AC17" s="3125"/>
      <c r="AD17" s="3126"/>
      <c r="AE17" s="3123"/>
      <c r="AF17" s="3673">
        <v>37</v>
      </c>
      <c r="AG17" s="3673">
        <v>20</v>
      </c>
      <c r="AH17" s="3673">
        <v>21</v>
      </c>
      <c r="AI17" s="3673">
        <v>27</v>
      </c>
      <c r="AJ17" s="3123">
        <f>SUM(AF17:AI17)</f>
        <v>105</v>
      </c>
      <c r="AK17" s="3673">
        <v>25</v>
      </c>
      <c r="AL17" s="3673">
        <v>25</v>
      </c>
      <c r="AM17" s="3673">
        <v>25</v>
      </c>
      <c r="AN17" s="3673">
        <v>30</v>
      </c>
      <c r="AO17" s="3123">
        <f>SUM(AK17:AN17)</f>
        <v>105</v>
      </c>
      <c r="AP17" s="3672">
        <f t="shared" ref="AP17:AQ17" si="36">+AO17</f>
        <v>105</v>
      </c>
      <c r="AQ17" s="3672">
        <f t="shared" si="36"/>
        <v>105</v>
      </c>
      <c r="AR17" s="162"/>
      <c r="AS17" s="384" t="str">
        <f t="shared" si="10"/>
        <v>Other Revenue</v>
      </c>
      <c r="AT17" s="162"/>
      <c r="AU17" s="162"/>
      <c r="AV17" s="162"/>
      <c r="AW17" s="162"/>
      <c r="AX17" s="162"/>
      <c r="AY17" s="162"/>
      <c r="AZ17" s="162"/>
      <c r="BA17" s="162"/>
      <c r="BB17" s="162"/>
      <c r="BC17" s="162"/>
      <c r="BD17" s="838"/>
      <c r="BF17" s="900"/>
      <c r="BM17" s="902"/>
      <c r="BN17" s="902"/>
      <c r="BO17" s="931"/>
      <c r="BP17" s="902"/>
      <c r="BQ17" s="902"/>
      <c r="BR17" s="902"/>
      <c r="BS17" s="902"/>
    </row>
    <row r="18" spans="1:71" ht="12.75" customHeight="1">
      <c r="A18" s="3099" t="s">
        <v>750</v>
      </c>
      <c r="B18" s="3120"/>
      <c r="C18" s="3120"/>
      <c r="D18" s="3120"/>
      <c r="E18" s="3121">
        <v>863</v>
      </c>
      <c r="F18" s="3121">
        <v>944</v>
      </c>
      <c r="G18" s="3122">
        <v>243</v>
      </c>
      <c r="H18" s="3122">
        <v>272</v>
      </c>
      <c r="I18" s="3122">
        <v>307</v>
      </c>
      <c r="J18" s="3122">
        <v>263</v>
      </c>
      <c r="K18" s="3120">
        <f>SUM(G18:J18)</f>
        <v>1085</v>
      </c>
      <c r="L18" s="3122">
        <v>246</v>
      </c>
      <c r="M18" s="3122">
        <v>261</v>
      </c>
      <c r="N18" s="3122">
        <v>302</v>
      </c>
      <c r="O18" s="3122">
        <v>300</v>
      </c>
      <c r="P18" s="3120">
        <f>SUM(L18:O18)</f>
        <v>1109</v>
      </c>
      <c r="Q18" s="3122">
        <v>279</v>
      </c>
      <c r="R18" s="3122">
        <v>276</v>
      </c>
      <c r="S18" s="3122">
        <v>295</v>
      </c>
      <c r="T18" s="3122">
        <v>321</v>
      </c>
      <c r="U18" s="3123">
        <f>SUM(Q18:T18)</f>
        <v>1171</v>
      </c>
      <c r="V18" s="3122">
        <v>321</v>
      </c>
      <c r="W18" s="3122">
        <v>319</v>
      </c>
      <c r="X18" s="3122">
        <v>334</v>
      </c>
      <c r="Y18" s="3122">
        <v>334</v>
      </c>
      <c r="Z18" s="3124">
        <f>SUM(V18:Y18)</f>
        <v>1308</v>
      </c>
      <c r="AA18" s="3125">
        <v>326</v>
      </c>
      <c r="AB18" s="3125">
        <v>336</v>
      </c>
      <c r="AC18" s="3125">
        <v>358</v>
      </c>
      <c r="AD18" s="3580">
        <v>370</v>
      </c>
      <c r="AE18" s="3123">
        <f>SUM(AA18:AD18)</f>
        <v>1390</v>
      </c>
      <c r="AF18" s="3126">
        <v>0</v>
      </c>
      <c r="AG18" s="3126">
        <f>AG423</f>
        <v>0</v>
      </c>
      <c r="AH18" s="3126">
        <f>AH423</f>
        <v>0</v>
      </c>
      <c r="AI18" s="3126">
        <f>AI423</f>
        <v>0</v>
      </c>
      <c r="AJ18" s="3123">
        <f>SUM(AF18:AI18)</f>
        <v>0</v>
      </c>
      <c r="AK18" s="3126">
        <f t="shared" ref="AK18:AN18" si="37">AK423</f>
        <v>0</v>
      </c>
      <c r="AL18" s="3126">
        <f t="shared" si="37"/>
        <v>0</v>
      </c>
      <c r="AM18" s="3126">
        <f t="shared" si="37"/>
        <v>0</v>
      </c>
      <c r="AN18" s="3126">
        <f t="shared" si="37"/>
        <v>0</v>
      </c>
      <c r="AO18" s="3124">
        <f>SUM(AK18:AN18)</f>
        <v>0</v>
      </c>
      <c r="AP18" s="164">
        <f>AP423</f>
        <v>0</v>
      </c>
      <c r="AQ18" s="164">
        <f>AQ423</f>
        <v>0</v>
      </c>
      <c r="AR18" s="162"/>
      <c r="AS18" s="384" t="str">
        <f t="shared" si="10"/>
        <v>Timeshare</v>
      </c>
      <c r="AT18" s="162">
        <f>+E18</f>
        <v>863</v>
      </c>
      <c r="AU18" s="162">
        <f>+F18</f>
        <v>944</v>
      </c>
      <c r="AV18" s="162">
        <f t="shared" si="12"/>
        <v>1085</v>
      </c>
      <c r="AW18" s="162">
        <f t="shared" si="13"/>
        <v>1109</v>
      </c>
      <c r="AX18" s="162">
        <f t="shared" si="14"/>
        <v>1171</v>
      </c>
      <c r="AY18" s="162">
        <f t="shared" si="15"/>
        <v>1308</v>
      </c>
      <c r="AZ18" s="162">
        <f t="shared" si="16"/>
        <v>1390</v>
      </c>
      <c r="BA18" s="162">
        <f t="shared" si="17"/>
        <v>0</v>
      </c>
      <c r="BB18" s="162">
        <f t="shared" si="18"/>
        <v>0</v>
      </c>
      <c r="BC18" s="162">
        <f t="shared" si="19"/>
        <v>0</v>
      </c>
      <c r="BD18" s="838">
        <f t="shared" si="20"/>
        <v>0</v>
      </c>
      <c r="BF18" s="900"/>
      <c r="BM18" s="902"/>
      <c r="BN18" s="902"/>
      <c r="BO18" s="931"/>
      <c r="BP18" s="902"/>
      <c r="BQ18" s="902"/>
      <c r="BR18" s="902"/>
      <c r="BS18" s="902"/>
    </row>
    <row r="19" spans="1:71" ht="4.5" customHeight="1">
      <c r="A19" s="3099"/>
      <c r="B19" s="3123"/>
      <c r="C19" s="3123"/>
      <c r="D19" s="3123"/>
      <c r="E19" s="3123"/>
      <c r="F19" s="3123"/>
      <c r="G19" s="3126"/>
      <c r="H19" s="3126"/>
      <c r="I19" s="3126"/>
      <c r="J19" s="3126"/>
      <c r="K19" s="3123"/>
      <c r="L19" s="3126"/>
      <c r="M19" s="3126"/>
      <c r="N19" s="3126"/>
      <c r="O19" s="3126"/>
      <c r="P19" s="3123"/>
      <c r="Q19" s="3126"/>
      <c r="R19" s="3126"/>
      <c r="S19" s="3126"/>
      <c r="T19" s="3126"/>
      <c r="U19" s="3123"/>
      <c r="V19" s="3126"/>
      <c r="W19" s="3126"/>
      <c r="X19" s="3126"/>
      <c r="Y19" s="3127"/>
      <c r="Z19" s="3124"/>
      <c r="AA19" s="3126"/>
      <c r="AB19" s="3126"/>
      <c r="AC19" s="3126"/>
      <c r="AD19" s="3126"/>
      <c r="AE19" s="3123"/>
      <c r="AF19" s="3126"/>
      <c r="AG19" s="3126"/>
      <c r="AH19" s="3126"/>
      <c r="AI19" s="3126"/>
      <c r="AJ19" s="3123"/>
      <c r="AK19" s="3126"/>
      <c r="AL19" s="3126"/>
      <c r="AM19" s="3126"/>
      <c r="AN19" s="3126"/>
      <c r="AO19" s="3124"/>
      <c r="AP19" s="164"/>
      <c r="AQ19" s="164"/>
      <c r="AR19" s="162"/>
      <c r="AS19" s="384"/>
      <c r="AT19" s="162"/>
      <c r="AU19" s="162"/>
      <c r="AV19" s="162"/>
      <c r="AW19" s="162"/>
      <c r="AX19" s="162"/>
      <c r="AY19" s="162"/>
      <c r="AZ19" s="162"/>
      <c r="BA19" s="162"/>
      <c r="BB19" s="162"/>
      <c r="BC19" s="162"/>
      <c r="BD19" s="838"/>
      <c r="BF19" s="900"/>
      <c r="BM19" s="902"/>
      <c r="BN19" s="902"/>
      <c r="BO19" s="931"/>
      <c r="BP19" s="902"/>
      <c r="BQ19" s="902"/>
      <c r="BR19" s="902"/>
      <c r="BS19" s="902"/>
    </row>
    <row r="20" spans="1:71" ht="12.75" customHeight="1">
      <c r="A20" s="292" t="s">
        <v>2150</v>
      </c>
      <c r="B20" s="1464"/>
      <c r="C20" s="1464"/>
      <c r="D20" s="1464"/>
      <c r="E20" s="1464">
        <f>E9+E18+E16</f>
        <v>5431</v>
      </c>
      <c r="F20" s="1464">
        <f t="shared" ref="F20:W20" si="38">F9+F18+F16</f>
        <v>5856</v>
      </c>
      <c r="G20" s="1465">
        <f t="shared" si="38"/>
        <v>1377</v>
      </c>
      <c r="H20" s="1465">
        <f t="shared" si="38"/>
        <v>1584</v>
      </c>
      <c r="I20" s="1465">
        <f t="shared" si="38"/>
        <v>1599</v>
      </c>
      <c r="J20" s="1465">
        <f t="shared" si="38"/>
        <v>1592</v>
      </c>
      <c r="K20" s="1464">
        <f t="shared" si="38"/>
        <v>6152</v>
      </c>
      <c r="L20" s="1465">
        <f t="shared" si="38"/>
        <v>1422</v>
      </c>
      <c r="M20" s="1465">
        <f t="shared" si="38"/>
        <v>1630</v>
      </c>
      <c r="N20" s="1465">
        <f t="shared" si="38"/>
        <v>1607</v>
      </c>
      <c r="O20" s="1465">
        <f t="shared" si="38"/>
        <v>1671</v>
      </c>
      <c r="P20" s="1464">
        <f t="shared" si="38"/>
        <v>6330</v>
      </c>
      <c r="Q20" s="1465">
        <f t="shared" si="38"/>
        <v>1536</v>
      </c>
      <c r="R20" s="1465">
        <f t="shared" si="38"/>
        <v>1747</v>
      </c>
      <c r="S20" s="1465">
        <f t="shared" si="38"/>
        <v>1738</v>
      </c>
      <c r="T20" s="1465">
        <f t="shared" si="38"/>
        <v>1790</v>
      </c>
      <c r="U20" s="1464">
        <f t="shared" si="38"/>
        <v>6811</v>
      </c>
      <c r="V20" s="1465">
        <f t="shared" si="38"/>
        <v>1649</v>
      </c>
      <c r="W20" s="1465">
        <f t="shared" si="38"/>
        <v>1861</v>
      </c>
      <c r="X20" s="1465">
        <f t="shared" ref="X20:AE20" si="39">X9+X18+X16</f>
        <v>1832</v>
      </c>
      <c r="Y20" s="1465">
        <f t="shared" si="39"/>
        <v>1800</v>
      </c>
      <c r="Z20" s="1464">
        <f t="shared" si="39"/>
        <v>7142</v>
      </c>
      <c r="AA20" s="1465">
        <f t="shared" si="39"/>
        <v>1679</v>
      </c>
      <c r="AB20" s="1465">
        <f t="shared" si="39"/>
        <v>1885</v>
      </c>
      <c r="AC20" s="1465">
        <f t="shared" si="39"/>
        <v>1837</v>
      </c>
      <c r="AD20" s="1465">
        <f t="shared" si="39"/>
        <v>1816</v>
      </c>
      <c r="AE20" s="1464">
        <f t="shared" si="39"/>
        <v>7217</v>
      </c>
      <c r="AF20" s="1465">
        <f>AF9+AF18+AF16+AF17</f>
        <v>766</v>
      </c>
      <c r="AG20" s="1465">
        <f t="shared" ref="AG20:AN20" si="40">AG9+AG18+AG16+AG17</f>
        <v>910</v>
      </c>
      <c r="AH20" s="1465">
        <f t="shared" si="40"/>
        <v>921</v>
      </c>
      <c r="AI20" s="1465">
        <f t="shared" si="40"/>
        <v>898</v>
      </c>
      <c r="AJ20" s="1464">
        <f>AJ9+AJ18+AJ16+AJ17</f>
        <v>3495</v>
      </c>
      <c r="AK20" s="1465">
        <f t="shared" si="40"/>
        <v>788.47612309302986</v>
      </c>
      <c r="AL20" s="1465">
        <f t="shared" si="40"/>
        <v>1004.473597693223</v>
      </c>
      <c r="AM20" s="1465">
        <f t="shared" si="40"/>
        <v>1001.8623352149017</v>
      </c>
      <c r="AN20" s="1465">
        <f t="shared" si="40"/>
        <v>947.22307238115286</v>
      </c>
      <c r="AO20" s="1464">
        <f>AO9+AO18+AO16+AO17</f>
        <v>3742.0351283823074</v>
      </c>
      <c r="AP20" s="1464">
        <f t="shared" ref="AP20:AQ20" si="41">AP9+AP18+AP16+AP17</f>
        <v>3936.3125530092893</v>
      </c>
      <c r="AQ20" s="1464">
        <f t="shared" si="41"/>
        <v>3920.1463198820998</v>
      </c>
      <c r="AR20" s="316"/>
      <c r="AS20" s="699" t="str">
        <f>+A20</f>
        <v>Total Operating Revenue</v>
      </c>
      <c r="AT20" s="780">
        <f>+E20</f>
        <v>5431</v>
      </c>
      <c r="AU20" s="780">
        <f>+F20</f>
        <v>5856</v>
      </c>
      <c r="AV20" s="780">
        <f>+K20</f>
        <v>6152</v>
      </c>
      <c r="AW20" s="780">
        <f>+P20</f>
        <v>6330</v>
      </c>
      <c r="AX20" s="780">
        <f>+U20</f>
        <v>6811</v>
      </c>
      <c r="AY20" s="780">
        <f>+Z20</f>
        <v>7142</v>
      </c>
      <c r="AZ20" s="780">
        <f>+AE20</f>
        <v>7217</v>
      </c>
      <c r="BA20" s="780">
        <f>+AJ20</f>
        <v>3495</v>
      </c>
      <c r="BB20" s="780">
        <f t="shared" ref="BB20:BD25" si="42">+AO20</f>
        <v>3742.0351283823074</v>
      </c>
      <c r="BC20" s="780">
        <f t="shared" si="42"/>
        <v>3936.3125530092893</v>
      </c>
      <c r="BD20" s="842">
        <f t="shared" si="42"/>
        <v>3920.1463198820998</v>
      </c>
      <c r="BF20" s="900"/>
      <c r="BM20" s="902"/>
      <c r="BN20" s="902"/>
      <c r="BO20" s="931"/>
      <c r="BP20" s="902"/>
      <c r="BQ20" s="902"/>
      <c r="BR20" s="902"/>
      <c r="BS20" s="902"/>
    </row>
    <row r="21" spans="1:71" s="130" customFormat="1" ht="12.75" customHeight="1">
      <c r="A21" s="3505" t="s">
        <v>2943</v>
      </c>
      <c r="B21" s="3503"/>
      <c r="C21" s="3503"/>
      <c r="D21" s="3503"/>
      <c r="E21" s="3503"/>
      <c r="F21" s="3503"/>
      <c r="G21" s="783"/>
      <c r="H21" s="783"/>
      <c r="I21" s="783"/>
      <c r="J21" s="783"/>
      <c r="K21" s="3503"/>
      <c r="L21" s="783"/>
      <c r="M21" s="783"/>
      <c r="N21" s="783"/>
      <c r="O21" s="783"/>
      <c r="P21" s="3503"/>
      <c r="Q21" s="783"/>
      <c r="R21" s="783"/>
      <c r="S21" s="783"/>
      <c r="T21" s="783"/>
      <c r="U21" s="3503"/>
      <c r="V21" s="783"/>
      <c r="W21" s="783"/>
      <c r="X21" s="783"/>
      <c r="Y21" s="783"/>
      <c r="Z21" s="3503"/>
      <c r="AA21" s="783"/>
      <c r="AB21" s="783"/>
      <c r="AC21" s="783"/>
      <c r="AD21" s="783"/>
      <c r="AE21" s="3503"/>
      <c r="AF21" s="783"/>
      <c r="AG21" s="783"/>
      <c r="AH21" s="783"/>
      <c r="AI21" s="783"/>
      <c r="AJ21" s="4022"/>
      <c r="AK21" s="783"/>
      <c r="AL21" s="783"/>
      <c r="AM21" s="783"/>
      <c r="AN21" s="783"/>
      <c r="AO21" s="4022"/>
      <c r="AP21" s="3506" t="s">
        <v>2948</v>
      </c>
      <c r="AQ21" s="3503"/>
      <c r="AR21" s="316"/>
      <c r="AS21" s="385" t="str">
        <f>+A21</f>
        <v>12/8/16 Investor Day Guidance</v>
      </c>
      <c r="AT21" s="705"/>
      <c r="AU21" s="705"/>
      <c r="AV21" s="705"/>
      <c r="AW21" s="705"/>
      <c r="AX21" s="705"/>
      <c r="AY21" s="705"/>
      <c r="AZ21" s="705"/>
      <c r="BA21" s="705"/>
      <c r="BB21" s="705"/>
      <c r="BC21" s="705"/>
      <c r="BD21" s="3504"/>
      <c r="BE21" s="2402"/>
      <c r="BF21" s="902"/>
      <c r="BG21"/>
      <c r="BH21"/>
      <c r="BI21"/>
      <c r="BJ21"/>
      <c r="BK21"/>
      <c r="BL21"/>
      <c r="BM21" s="902"/>
      <c r="BN21" s="902"/>
      <c r="BO21" s="931"/>
      <c r="BP21" s="902"/>
      <c r="BQ21" s="902"/>
      <c r="BR21" s="902"/>
      <c r="BS21" s="902"/>
    </row>
    <row r="22" spans="1:71" s="130" customFormat="1" ht="12.75" customHeight="1">
      <c r="A22" s="385"/>
      <c r="B22" s="3503"/>
      <c r="C22" s="3503"/>
      <c r="D22" s="3503"/>
      <c r="E22" s="3503"/>
      <c r="F22" s="3503"/>
      <c r="G22" s="783"/>
      <c r="H22" s="783"/>
      <c r="I22" s="783"/>
      <c r="J22" s="783"/>
      <c r="K22" s="3503"/>
      <c r="L22" s="783"/>
      <c r="M22" s="783"/>
      <c r="N22" s="783"/>
      <c r="O22" s="783"/>
      <c r="P22" s="3503"/>
      <c r="Q22" s="783"/>
      <c r="R22" s="783"/>
      <c r="S22" s="783"/>
      <c r="T22" s="783"/>
      <c r="U22" s="3503"/>
      <c r="V22" s="783"/>
      <c r="W22" s="783"/>
      <c r="X22" s="783"/>
      <c r="Y22" s="783"/>
      <c r="Z22" s="3503"/>
      <c r="AA22" s="783"/>
      <c r="AB22" s="783"/>
      <c r="AC22" s="783"/>
      <c r="AD22" s="783"/>
      <c r="AE22" s="3503"/>
      <c r="AF22" s="783"/>
      <c r="AG22" s="783"/>
      <c r="AH22" s="783"/>
      <c r="AI22" s="783"/>
      <c r="AJ22" s="3503"/>
      <c r="AK22" s="783"/>
      <c r="AL22" s="783"/>
      <c r="AM22" s="783"/>
      <c r="AN22" s="783"/>
      <c r="AO22" s="3503"/>
      <c r="AP22" s="3503"/>
      <c r="AQ22" s="3503"/>
      <c r="AR22" s="316"/>
      <c r="AS22" s="385"/>
      <c r="AT22" s="705"/>
      <c r="AU22" s="705"/>
      <c r="AV22" s="705"/>
      <c r="AW22" s="705"/>
      <c r="AX22" s="705"/>
      <c r="AY22" s="705"/>
      <c r="AZ22" s="705"/>
      <c r="BA22" s="705"/>
      <c r="BB22" s="705"/>
      <c r="BC22" s="705"/>
      <c r="BD22" s="3504"/>
      <c r="BE22" s="2402"/>
      <c r="BF22" s="902"/>
      <c r="BG22"/>
      <c r="BH22"/>
      <c r="BI22"/>
      <c r="BJ22"/>
      <c r="BK22"/>
      <c r="BL22"/>
      <c r="BM22" s="902"/>
      <c r="BN22" s="902"/>
      <c r="BO22" s="931"/>
      <c r="BP22" s="902"/>
      <c r="BQ22" s="902"/>
      <c r="BR22" s="902"/>
      <c r="BS22" s="902"/>
    </row>
    <row r="23" spans="1:71" ht="12.75" customHeight="1">
      <c r="A23" s="3099" t="s">
        <v>1613</v>
      </c>
      <c r="B23" s="3120"/>
      <c r="C23" s="3120"/>
      <c r="D23" s="3120"/>
      <c r="E23" s="3121">
        <v>2637</v>
      </c>
      <c r="F23" s="3121">
        <v>2927</v>
      </c>
      <c r="G23" s="3122">
        <v>754</v>
      </c>
      <c r="H23" s="3122">
        <v>806</v>
      </c>
      <c r="I23" s="3122">
        <v>818</v>
      </c>
      <c r="J23" s="3122">
        <v>746</v>
      </c>
      <c r="K23" s="3120">
        <f>SUM(G23:J23)</f>
        <v>3124</v>
      </c>
      <c r="L23" s="3122">
        <v>841</v>
      </c>
      <c r="M23" s="3122">
        <v>750</v>
      </c>
      <c r="N23" s="3122">
        <v>842</v>
      </c>
      <c r="O23" s="3122">
        <v>972</v>
      </c>
      <c r="P23" s="3120">
        <f>SUM(L23:O23)</f>
        <v>3405</v>
      </c>
      <c r="Q23" s="3122">
        <v>827</v>
      </c>
      <c r="R23" s="3122">
        <v>920</v>
      </c>
      <c r="S23" s="3122">
        <v>906</v>
      </c>
      <c r="T23" s="3122">
        <v>1038</v>
      </c>
      <c r="U23" s="3120">
        <f>SUM(Q23:T23)</f>
        <v>3691</v>
      </c>
      <c r="V23" s="3122">
        <v>950</v>
      </c>
      <c r="W23" s="3122">
        <v>1061</v>
      </c>
      <c r="X23" s="3122">
        <v>1063</v>
      </c>
      <c r="Y23" s="3122">
        <v>1056</v>
      </c>
      <c r="Z23" s="3128">
        <f>SUM(V23:Y23)</f>
        <v>4130</v>
      </c>
      <c r="AA23" s="3129">
        <v>1071</v>
      </c>
      <c r="AB23" s="3129">
        <v>1166</v>
      </c>
      <c r="AC23" s="3129">
        <v>1105</v>
      </c>
      <c r="AD23" s="3579">
        <v>1104</v>
      </c>
      <c r="AE23" s="3120">
        <f>SUM(AA23:AD23)</f>
        <v>4446</v>
      </c>
      <c r="AF23" s="3579">
        <v>1395</v>
      </c>
      <c r="AG23" s="3579">
        <v>1436</v>
      </c>
      <c r="AH23" s="3579">
        <v>1433</v>
      </c>
      <c r="AI23" s="3579">
        <v>1381</v>
      </c>
      <c r="AJ23" s="3120">
        <f>SUM(AF23:AI23)</f>
        <v>5645</v>
      </c>
      <c r="AK23" s="3130">
        <f t="shared" ref="AK23:AN23" si="43">AK455</f>
        <v>1520.5500000000002</v>
      </c>
      <c r="AL23" s="3130">
        <f t="shared" si="43"/>
        <v>1565.24</v>
      </c>
      <c r="AM23" s="3130">
        <f t="shared" si="43"/>
        <v>1561.97</v>
      </c>
      <c r="AN23" s="3130">
        <f t="shared" si="43"/>
        <v>1505.2900000000002</v>
      </c>
      <c r="AO23" s="3128">
        <f>SUM(AK23:AN23)</f>
        <v>6153.05</v>
      </c>
      <c r="AP23" s="172">
        <f>AP455</f>
        <v>6610.4017755928771</v>
      </c>
      <c r="AQ23" s="164">
        <f>AQ455</f>
        <v>6776.6504737633004</v>
      </c>
      <c r="AR23" s="162"/>
      <c r="AS23" s="384" t="str">
        <f>+A23</f>
        <v>Other revenues from managed and franchised properties</v>
      </c>
      <c r="AT23" s="162">
        <f t="shared" ref="AT23:AU25" si="44">+E23</f>
        <v>2637</v>
      </c>
      <c r="AU23" s="162">
        <f t="shared" si="44"/>
        <v>2927</v>
      </c>
      <c r="AV23" s="162">
        <f>+K23</f>
        <v>3124</v>
      </c>
      <c r="AW23" s="162">
        <f>+P23</f>
        <v>3405</v>
      </c>
      <c r="AX23" s="162">
        <f>+U23</f>
        <v>3691</v>
      </c>
      <c r="AY23" s="162">
        <f>+Z23</f>
        <v>4130</v>
      </c>
      <c r="AZ23" s="162">
        <f>+AE23</f>
        <v>4446</v>
      </c>
      <c r="BA23" s="162">
        <f>+AJ23</f>
        <v>5645</v>
      </c>
      <c r="BB23" s="162">
        <f t="shared" si="42"/>
        <v>6153.05</v>
      </c>
      <c r="BC23" s="162">
        <f t="shared" si="42"/>
        <v>6610.4017755928771</v>
      </c>
      <c r="BD23" s="838">
        <f t="shared" si="42"/>
        <v>6776.6504737633004</v>
      </c>
      <c r="BF23" s="900"/>
      <c r="BM23" s="902"/>
      <c r="BN23" s="902"/>
      <c r="BO23" s="931"/>
      <c r="BP23" s="902"/>
      <c r="BQ23" s="902"/>
      <c r="BR23" s="902"/>
      <c r="BS23" s="902"/>
    </row>
    <row r="24" spans="1:71" ht="12.75" customHeight="1">
      <c r="A24" s="292" t="s">
        <v>198</v>
      </c>
      <c r="B24" s="1464"/>
      <c r="C24" s="1464"/>
      <c r="D24" s="1464"/>
      <c r="E24" s="1464">
        <f>E20+E23</f>
        <v>8068</v>
      </c>
      <c r="F24" s="1464">
        <f t="shared" ref="F24:U24" si="45">F20+F23</f>
        <v>8783</v>
      </c>
      <c r="G24" s="1465">
        <f t="shared" si="45"/>
        <v>2131</v>
      </c>
      <c r="H24" s="1465">
        <f t="shared" si="45"/>
        <v>2390</v>
      </c>
      <c r="I24" s="1465">
        <f t="shared" si="45"/>
        <v>2417</v>
      </c>
      <c r="J24" s="1465">
        <f t="shared" si="45"/>
        <v>2338</v>
      </c>
      <c r="K24" s="1464">
        <f t="shared" si="45"/>
        <v>9276</v>
      </c>
      <c r="L24" s="1465">
        <f t="shared" si="45"/>
        <v>2263</v>
      </c>
      <c r="M24" s="1465">
        <f t="shared" si="45"/>
        <v>2380</v>
      </c>
      <c r="N24" s="1465">
        <f t="shared" si="45"/>
        <v>2449</v>
      </c>
      <c r="O24" s="1465">
        <f t="shared" si="45"/>
        <v>2643</v>
      </c>
      <c r="P24" s="1464">
        <f t="shared" si="45"/>
        <v>9735</v>
      </c>
      <c r="Q24" s="1465">
        <f t="shared" si="45"/>
        <v>2363</v>
      </c>
      <c r="R24" s="1465">
        <f t="shared" si="45"/>
        <v>2667</v>
      </c>
      <c r="S24" s="1465">
        <f t="shared" si="45"/>
        <v>2644</v>
      </c>
      <c r="T24" s="1465">
        <f t="shared" si="45"/>
        <v>2828</v>
      </c>
      <c r="U24" s="1464">
        <f t="shared" si="45"/>
        <v>10502</v>
      </c>
      <c r="V24" s="1465">
        <f t="shared" ref="V24:AQ24" si="46">V20+V23</f>
        <v>2599</v>
      </c>
      <c r="W24" s="1465">
        <f t="shared" si="46"/>
        <v>2922</v>
      </c>
      <c r="X24" s="1465">
        <f t="shared" si="46"/>
        <v>2895</v>
      </c>
      <c r="Y24" s="1465">
        <f t="shared" si="46"/>
        <v>2856</v>
      </c>
      <c r="Z24" s="1464">
        <f t="shared" si="46"/>
        <v>11272</v>
      </c>
      <c r="AA24" s="1465">
        <f t="shared" si="46"/>
        <v>2750</v>
      </c>
      <c r="AB24" s="1465">
        <f t="shared" si="46"/>
        <v>3051</v>
      </c>
      <c r="AC24" s="1465">
        <f t="shared" si="46"/>
        <v>2942</v>
      </c>
      <c r="AD24" s="1465">
        <f t="shared" si="46"/>
        <v>2920</v>
      </c>
      <c r="AE24" s="1464">
        <f t="shared" si="46"/>
        <v>11663</v>
      </c>
      <c r="AF24" s="1465">
        <f t="shared" si="46"/>
        <v>2161</v>
      </c>
      <c r="AG24" s="1465">
        <f t="shared" si="46"/>
        <v>2346</v>
      </c>
      <c r="AH24" s="1465">
        <f t="shared" si="46"/>
        <v>2354</v>
      </c>
      <c r="AI24" s="1465">
        <f t="shared" si="46"/>
        <v>2279</v>
      </c>
      <c r="AJ24" s="1464">
        <f t="shared" si="46"/>
        <v>9140</v>
      </c>
      <c r="AK24" s="1465">
        <f t="shared" ref="AK24:AO24" si="47">AK20+AK23</f>
        <v>2309.02612309303</v>
      </c>
      <c r="AL24" s="1465">
        <f t="shared" si="47"/>
        <v>2569.7135976932232</v>
      </c>
      <c r="AM24" s="1465">
        <f t="shared" si="47"/>
        <v>2563.8323352149018</v>
      </c>
      <c r="AN24" s="1465">
        <f t="shared" si="47"/>
        <v>2452.5130723811531</v>
      </c>
      <c r="AO24" s="1464">
        <f t="shared" si="47"/>
        <v>9895.0851283823067</v>
      </c>
      <c r="AP24" s="1464">
        <f t="shared" si="46"/>
        <v>10546.714328602167</v>
      </c>
      <c r="AQ24" s="1464">
        <f t="shared" si="46"/>
        <v>10696.796793645401</v>
      </c>
      <c r="AR24" s="316"/>
      <c r="AS24" s="699" t="str">
        <f>+A24</f>
        <v>Total Revenue</v>
      </c>
      <c r="AT24" s="780">
        <f t="shared" si="44"/>
        <v>8068</v>
      </c>
      <c r="AU24" s="780">
        <f t="shared" si="44"/>
        <v>8783</v>
      </c>
      <c r="AV24" s="780">
        <f>+K24</f>
        <v>9276</v>
      </c>
      <c r="AW24" s="780">
        <f>+P24</f>
        <v>9735</v>
      </c>
      <c r="AX24" s="780">
        <f>+U24</f>
        <v>10502</v>
      </c>
      <c r="AY24" s="780">
        <f>+Z24</f>
        <v>11272</v>
      </c>
      <c r="AZ24" s="780">
        <f>+AE24</f>
        <v>11663</v>
      </c>
      <c r="BA24" s="780">
        <f>+AJ24</f>
        <v>9140</v>
      </c>
      <c r="BB24" s="780">
        <f t="shared" si="42"/>
        <v>9895.0851283823067</v>
      </c>
      <c r="BC24" s="780">
        <f t="shared" si="42"/>
        <v>10546.714328602167</v>
      </c>
      <c r="BD24" s="842">
        <f t="shared" si="42"/>
        <v>10696.796793645401</v>
      </c>
      <c r="BF24" s="900"/>
      <c r="BM24" s="902"/>
      <c r="BN24" s="902"/>
      <c r="BO24" s="931"/>
      <c r="BP24" s="902"/>
      <c r="BQ24" s="902"/>
      <c r="BR24" s="902"/>
      <c r="BS24" s="902"/>
    </row>
    <row r="25" spans="1:71" ht="12.75" customHeight="1">
      <c r="A25" s="3131" t="s">
        <v>2309</v>
      </c>
      <c r="B25" s="3132"/>
      <c r="C25" s="3132"/>
      <c r="D25" s="3132"/>
      <c r="E25" s="3132"/>
      <c r="F25" s="3132">
        <f>F24/E24-1</f>
        <v>8.862171541893904E-2</v>
      </c>
      <c r="G25" s="3133"/>
      <c r="H25" s="3133"/>
      <c r="I25" s="3133"/>
      <c r="J25" s="3133"/>
      <c r="K25" s="3132">
        <f t="shared" ref="K25:P25" si="48">K24/F24-1</f>
        <v>5.6131162472959018E-2</v>
      </c>
      <c r="L25" s="3133">
        <f t="shared" si="48"/>
        <v>6.1942749882684112E-2</v>
      </c>
      <c r="M25" s="3133">
        <f t="shared" si="48"/>
        <v>-4.1841004184099972E-3</v>
      </c>
      <c r="N25" s="3133">
        <f t="shared" si="48"/>
        <v>1.3239553165080631E-2</v>
      </c>
      <c r="O25" s="3133">
        <f t="shared" si="48"/>
        <v>0.13045337895637288</v>
      </c>
      <c r="P25" s="3132">
        <f t="shared" si="48"/>
        <v>4.9482535575679165E-2</v>
      </c>
      <c r="Q25" s="3133">
        <f t="shared" ref="Q25:Z25" si="49">Q24/L24-1</f>
        <v>4.4189129474149436E-2</v>
      </c>
      <c r="R25" s="3133">
        <f t="shared" si="49"/>
        <v>0.12058823529411766</v>
      </c>
      <c r="S25" s="3133">
        <f t="shared" si="49"/>
        <v>7.962433646386291E-2</v>
      </c>
      <c r="T25" s="3133">
        <f t="shared" si="49"/>
        <v>6.9996216420733948E-2</v>
      </c>
      <c r="U25" s="3132">
        <f t="shared" si="49"/>
        <v>7.8787878787878851E-2</v>
      </c>
      <c r="V25" s="3133">
        <f t="shared" si="49"/>
        <v>9.9873042742276708E-2</v>
      </c>
      <c r="W25" s="3133">
        <f t="shared" si="49"/>
        <v>9.5613048368953901E-2</v>
      </c>
      <c r="X25" s="3133">
        <f t="shared" si="49"/>
        <v>9.4931921331316227E-2</v>
      </c>
      <c r="Y25" s="3133">
        <f t="shared" si="49"/>
        <v>9.9009900990099098E-3</v>
      </c>
      <c r="Z25" s="3132">
        <f t="shared" si="49"/>
        <v>7.3319367739478114E-2</v>
      </c>
      <c r="AA25" s="3133">
        <f t="shared" ref="AA25:AJ25" si="50">AA24/V24-1</f>
        <v>5.809926894959605E-2</v>
      </c>
      <c r="AB25" s="3133">
        <f t="shared" si="50"/>
        <v>4.4147843942505149E-2</v>
      </c>
      <c r="AC25" s="3133">
        <f t="shared" si="50"/>
        <v>1.6234887737478498E-2</v>
      </c>
      <c r="AD25" s="3133">
        <f t="shared" si="50"/>
        <v>2.2408963585434094E-2</v>
      </c>
      <c r="AE25" s="3132">
        <f t="shared" si="50"/>
        <v>3.4687721788502435E-2</v>
      </c>
      <c r="AF25" s="3133">
        <f t="shared" si="50"/>
        <v>-0.21418181818181814</v>
      </c>
      <c r="AG25" s="3133">
        <f t="shared" si="50"/>
        <v>-0.23107177974434612</v>
      </c>
      <c r="AH25" s="3133">
        <f t="shared" si="50"/>
        <v>-0.19986403806934061</v>
      </c>
      <c r="AI25" s="3133">
        <f t="shared" si="50"/>
        <v>-0.21952054794520548</v>
      </c>
      <c r="AJ25" s="3132">
        <f t="shared" si="50"/>
        <v>-0.21632513075538029</v>
      </c>
      <c r="AK25" s="3133">
        <f t="shared" ref="AK25" si="51">AK24/AF24-1</f>
        <v>6.8498900089324355E-2</v>
      </c>
      <c r="AL25" s="3133">
        <f t="shared" ref="AL25" si="52">AL24/AG24-1</f>
        <v>9.5359589809558054E-2</v>
      </c>
      <c r="AM25" s="3133">
        <f t="shared" ref="AM25" si="53">AM24/AH24-1</f>
        <v>8.91386300827961E-2</v>
      </c>
      <c r="AN25" s="3133">
        <f t="shared" ref="AN25:AO25" si="54">AN24/AI24-1</f>
        <v>7.6135617543287903E-2</v>
      </c>
      <c r="AO25" s="3132">
        <f t="shared" si="54"/>
        <v>8.2613252558239259E-2</v>
      </c>
      <c r="AP25" s="518">
        <f>AP24/AO24-1</f>
        <v>6.5853824577090103E-2</v>
      </c>
      <c r="AQ25" s="518">
        <f>AQ24/AP24-1</f>
        <v>1.4230257914184419E-2</v>
      </c>
      <c r="AR25" s="316"/>
      <c r="AS25" s="602" t="str">
        <f>+A25</f>
        <v>% growth, y/y</v>
      </c>
      <c r="AT25" s="205">
        <f t="shared" si="44"/>
        <v>0</v>
      </c>
      <c r="AU25" s="205">
        <f t="shared" si="44"/>
        <v>8.862171541893904E-2</v>
      </c>
      <c r="AV25" s="205">
        <f>+K25</f>
        <v>5.6131162472959018E-2</v>
      </c>
      <c r="AW25" s="205">
        <f>+P25</f>
        <v>4.9482535575679165E-2</v>
      </c>
      <c r="AX25" s="205">
        <f>+U25</f>
        <v>7.8787878787878851E-2</v>
      </c>
      <c r="AY25" s="205">
        <f>+Z25</f>
        <v>7.3319367739478114E-2</v>
      </c>
      <c r="AZ25" s="205">
        <f>+AE25</f>
        <v>3.4687721788502435E-2</v>
      </c>
      <c r="BA25" s="205">
        <f>+AJ25</f>
        <v>-0.21632513075538029</v>
      </c>
      <c r="BB25" s="205">
        <f t="shared" si="42"/>
        <v>8.2613252558239259E-2</v>
      </c>
      <c r="BC25" s="205">
        <f t="shared" si="42"/>
        <v>6.5853824577090103E-2</v>
      </c>
      <c r="BD25" s="657">
        <f t="shared" si="42"/>
        <v>1.4230257914184419E-2</v>
      </c>
      <c r="BF25" s="900"/>
      <c r="BM25" s="902"/>
      <c r="BN25" s="902"/>
      <c r="BO25" s="931"/>
      <c r="BP25" s="902"/>
      <c r="BQ25" s="902"/>
      <c r="BR25" s="902"/>
      <c r="BS25" s="902"/>
    </row>
    <row r="26" spans="1:71" ht="3.95" customHeight="1">
      <c r="A26" s="3134"/>
      <c r="B26" s="3135"/>
      <c r="C26" s="3135"/>
      <c r="D26" s="3135"/>
      <c r="E26" s="3136"/>
      <c r="F26" s="3137"/>
      <c r="G26" s="3138"/>
      <c r="H26" s="3138"/>
      <c r="I26" s="3138"/>
      <c r="J26" s="3138"/>
      <c r="K26" s="3135"/>
      <c r="L26" s="3138"/>
      <c r="M26" s="3138"/>
      <c r="N26" s="3138"/>
      <c r="O26" s="3138"/>
      <c r="P26" s="3135"/>
      <c r="Q26" s="3138"/>
      <c r="R26" s="3138"/>
      <c r="S26" s="3138"/>
      <c r="T26" s="3138"/>
      <c r="U26" s="3137"/>
      <c r="V26" s="3138"/>
      <c r="W26" s="3138"/>
      <c r="X26" s="3138"/>
      <c r="Y26" s="3139"/>
      <c r="Z26" s="3140"/>
      <c r="AA26" s="3138"/>
      <c r="AB26" s="3138"/>
      <c r="AC26" s="3138"/>
      <c r="AD26" s="3138"/>
      <c r="AE26" s="3137"/>
      <c r="AF26" s="3138"/>
      <c r="AG26" s="3138"/>
      <c r="AH26" s="3138"/>
      <c r="AI26" s="3138"/>
      <c r="AJ26" s="3137"/>
      <c r="AK26" s="3138"/>
      <c r="AL26" s="3138"/>
      <c r="AM26" s="3138"/>
      <c r="AN26" s="3138"/>
      <c r="AO26" s="3135"/>
      <c r="AP26" s="171"/>
      <c r="AQ26" s="171"/>
      <c r="AR26" s="170"/>
      <c r="AS26" s="384"/>
      <c r="AT26" s="170"/>
      <c r="AU26" s="170"/>
      <c r="AV26" s="170"/>
      <c r="AW26" s="170"/>
      <c r="AX26" s="170"/>
      <c r="AY26" s="170"/>
      <c r="AZ26" s="170"/>
      <c r="BA26" s="170"/>
      <c r="BB26" s="170"/>
      <c r="BC26" s="170"/>
      <c r="BD26" s="843"/>
      <c r="BF26" s="900"/>
      <c r="BM26" s="902"/>
      <c r="BN26" s="902"/>
      <c r="BO26" s="931"/>
      <c r="BP26" s="902"/>
      <c r="BQ26" s="902"/>
      <c r="BR26" s="902"/>
      <c r="BS26" s="902"/>
    </row>
    <row r="27" spans="1:71" ht="12.75" customHeight="1">
      <c r="A27" s="3005" t="s">
        <v>2835</v>
      </c>
      <c r="B27" s="3006"/>
      <c r="C27" s="3006"/>
      <c r="D27" s="3006"/>
      <c r="E27" s="3006"/>
      <c r="F27" s="3006"/>
      <c r="G27" s="3007"/>
      <c r="H27" s="3007"/>
      <c r="I27" s="3007"/>
      <c r="J27" s="3007"/>
      <c r="K27" s="3006"/>
      <c r="L27" s="3007"/>
      <c r="M27" s="3007"/>
      <c r="N27" s="3007"/>
      <c r="O27" s="3007"/>
      <c r="P27" s="3006"/>
      <c r="Q27" s="3007"/>
      <c r="R27" s="3007"/>
      <c r="S27" s="3007"/>
      <c r="T27" s="3007"/>
      <c r="U27" s="3006"/>
      <c r="V27" s="3007"/>
      <c r="W27" s="3007"/>
      <c r="X27" s="3007"/>
      <c r="Y27" s="3007"/>
      <c r="Z27" s="3006"/>
      <c r="AA27" s="3007"/>
      <c r="AB27" s="3007"/>
      <c r="AC27" s="3007"/>
      <c r="AD27" s="3007"/>
      <c r="AE27" s="3006"/>
      <c r="AF27" s="3007"/>
      <c r="AG27" s="3007"/>
      <c r="AH27" s="3007"/>
      <c r="AI27" s="3007"/>
      <c r="AJ27" s="3006">
        <f>+AJ24+'Owned Assets Spun Out'!J12+'Timeshare Assets Spun Out'!J12</f>
        <v>13589.810160000001</v>
      </c>
      <c r="AK27" s="3007"/>
      <c r="AL27" s="3007"/>
      <c r="AM27" s="3007"/>
      <c r="AN27" s="3007"/>
      <c r="AO27" s="3006">
        <f>+AO24+'Owned Assets Spun Out'!K12+'Timeshare Assets Spun Out'!K12</f>
        <v>14438.182667737308</v>
      </c>
      <c r="AP27" s="3006">
        <f>+AP24+'Owned Assets Spun Out'!L12+'Timeshare Assets Spun Out'!L12</f>
        <v>15066.153790850716</v>
      </c>
      <c r="AQ27" s="3006">
        <f>+AQ24+'Owned Assets Spun Out'!M12+'Timeshare Assets Spun Out'!M12</f>
        <v>14998.359481875965</v>
      </c>
      <c r="AR27" s="170"/>
      <c r="AS27" s="384"/>
      <c r="AT27" s="170"/>
      <c r="AU27" s="170"/>
      <c r="AV27" s="170"/>
      <c r="AW27" s="170"/>
      <c r="AX27" s="170"/>
      <c r="AY27" s="170"/>
      <c r="AZ27" s="170"/>
      <c r="BA27" s="170"/>
      <c r="BB27" s="170"/>
      <c r="BC27" s="170"/>
      <c r="BD27" s="843"/>
      <c r="BF27" s="900"/>
      <c r="BM27" s="902"/>
      <c r="BN27" s="902"/>
      <c r="BO27" s="931"/>
      <c r="BP27" s="902"/>
      <c r="BQ27" s="931"/>
      <c r="BR27" s="902"/>
      <c r="BS27" s="902"/>
    </row>
    <row r="28" spans="1:71" ht="12.75" customHeight="1">
      <c r="A28" s="3131" t="s">
        <v>2309</v>
      </c>
      <c r="B28" s="3135"/>
      <c r="C28" s="3135"/>
      <c r="D28" s="3135"/>
      <c r="E28" s="3136"/>
      <c r="F28" s="3137"/>
      <c r="G28" s="3138"/>
      <c r="H28" s="3138"/>
      <c r="I28" s="3138"/>
      <c r="J28" s="3138"/>
      <c r="K28" s="3135"/>
      <c r="L28" s="3138"/>
      <c r="M28" s="3138"/>
      <c r="N28" s="3138"/>
      <c r="O28" s="3138"/>
      <c r="P28" s="3135"/>
      <c r="Q28" s="3138"/>
      <c r="R28" s="3138"/>
      <c r="S28" s="3138"/>
      <c r="T28" s="3138"/>
      <c r="U28" s="3137"/>
      <c r="V28" s="3138"/>
      <c r="W28" s="3138"/>
      <c r="X28" s="3138"/>
      <c r="Y28" s="3139"/>
      <c r="Z28" s="3140"/>
      <c r="AA28" s="3138"/>
      <c r="AB28" s="3138"/>
      <c r="AC28" s="3138"/>
      <c r="AD28" s="3138"/>
      <c r="AE28" s="3137"/>
      <c r="AF28" s="3138"/>
      <c r="AG28" s="3138"/>
      <c r="AH28" s="3138"/>
      <c r="AI28" s="3138"/>
      <c r="AJ28" s="3141">
        <f>+AJ27/AE24-1</f>
        <v>0.16520707879619323</v>
      </c>
      <c r="AK28" s="3138"/>
      <c r="AL28" s="3138"/>
      <c r="AM28" s="3138"/>
      <c r="AN28" s="3138"/>
      <c r="AO28" s="3141">
        <f>+AO27/AJ27-1</f>
        <v>6.2427105143410433E-2</v>
      </c>
      <c r="AP28" s="2997">
        <f>+AP27/AO27-1</f>
        <v>4.3493778792301541E-2</v>
      </c>
      <c r="AQ28" s="2997">
        <f>+AQ27/AP27-1</f>
        <v>-4.4997754513776966E-3</v>
      </c>
      <c r="AR28" s="170"/>
      <c r="AS28" s="384"/>
      <c r="AT28" s="170"/>
      <c r="AU28" s="170"/>
      <c r="AV28" s="170"/>
      <c r="AW28" s="170"/>
      <c r="AX28" s="170"/>
      <c r="AY28" s="170"/>
      <c r="AZ28" s="170"/>
      <c r="BA28" s="170"/>
      <c r="BB28" s="170"/>
      <c r="BC28" s="170"/>
      <c r="BD28" s="843"/>
      <c r="BF28" s="900"/>
      <c r="BM28" s="902"/>
      <c r="BN28" s="902"/>
      <c r="BO28" s="931"/>
      <c r="BP28" s="902"/>
      <c r="BQ28" s="902"/>
      <c r="BR28" s="902"/>
      <c r="BS28" s="902"/>
    </row>
    <row r="29" spans="1:71" ht="12.75" customHeight="1">
      <c r="A29" s="3134"/>
      <c r="B29" s="3135"/>
      <c r="C29" s="3135"/>
      <c r="D29" s="3135"/>
      <c r="E29" s="3136"/>
      <c r="F29" s="3137"/>
      <c r="G29" s="3138"/>
      <c r="H29" s="3138"/>
      <c r="I29" s="3138"/>
      <c r="J29" s="3138"/>
      <c r="K29" s="3135"/>
      <c r="L29" s="3138"/>
      <c r="M29" s="3138"/>
      <c r="N29" s="3138"/>
      <c r="O29" s="3138"/>
      <c r="P29" s="3135"/>
      <c r="Q29" s="3138"/>
      <c r="R29" s="3138"/>
      <c r="S29" s="3138"/>
      <c r="T29" s="3138"/>
      <c r="U29" s="3137"/>
      <c r="V29" s="3138"/>
      <c r="W29" s="3138"/>
      <c r="X29" s="3138"/>
      <c r="Y29" s="3139"/>
      <c r="Z29" s="3140"/>
      <c r="AA29" s="3138"/>
      <c r="AB29" s="3138"/>
      <c r="AC29" s="3138"/>
      <c r="AD29" s="3138"/>
      <c r="AE29" s="3137"/>
      <c r="AF29" s="3138"/>
      <c r="AG29" s="3138"/>
      <c r="AH29" s="3138"/>
      <c r="AI29" s="3138"/>
      <c r="AJ29" s="3137"/>
      <c r="AK29" s="3138"/>
      <c r="AL29" s="3138"/>
      <c r="AM29" s="3138"/>
      <c r="AN29" s="3138"/>
      <c r="AO29" s="3135"/>
      <c r="AP29" s="171"/>
      <c r="AQ29" s="171"/>
      <c r="AR29" s="170"/>
      <c r="AS29" s="384"/>
      <c r="AT29" s="170"/>
      <c r="AU29" s="170"/>
      <c r="AV29" s="170"/>
      <c r="AW29" s="170"/>
      <c r="AX29" s="170"/>
      <c r="AY29" s="170"/>
      <c r="AZ29" s="170"/>
      <c r="BA29" s="170"/>
      <c r="BB29" s="170"/>
      <c r="BC29" s="170"/>
      <c r="BD29" s="843"/>
      <c r="BF29" s="900"/>
      <c r="BM29" s="902"/>
      <c r="BN29" s="902"/>
      <c r="BO29" s="931"/>
      <c r="BP29" s="902"/>
      <c r="BQ29" s="902"/>
      <c r="BR29" s="902"/>
      <c r="BS29" s="902"/>
    </row>
    <row r="30" spans="1:71" ht="12.75" customHeight="1">
      <c r="A30" s="3142" t="s">
        <v>2089</v>
      </c>
      <c r="B30" s="3143"/>
      <c r="C30" s="3143"/>
      <c r="D30" s="3143"/>
      <c r="E30" s="3144"/>
      <c r="F30" s="3144"/>
      <c r="G30" s="3145"/>
      <c r="H30" s="3145"/>
      <c r="I30" s="3145"/>
      <c r="J30" s="3145"/>
      <c r="K30" s="3143"/>
      <c r="L30" s="3145"/>
      <c r="M30" s="3145"/>
      <c r="N30" s="3145"/>
      <c r="O30" s="3145"/>
      <c r="P30" s="3143"/>
      <c r="Q30" s="3145"/>
      <c r="R30" s="3145"/>
      <c r="S30" s="3145"/>
      <c r="T30" s="3145"/>
      <c r="U30" s="3143"/>
      <c r="V30" s="3145"/>
      <c r="W30" s="3145"/>
      <c r="X30" s="3145"/>
      <c r="Y30" s="3146"/>
      <c r="Z30" s="3143"/>
      <c r="AA30" s="3145"/>
      <c r="AB30" s="3145"/>
      <c r="AC30" s="3145"/>
      <c r="AD30" s="3145"/>
      <c r="AE30" s="3143"/>
      <c r="AF30" s="3145"/>
      <c r="AG30" s="3145"/>
      <c r="AH30" s="3145"/>
      <c r="AI30" s="3145"/>
      <c r="AJ30" s="3143"/>
      <c r="AK30" s="3145"/>
      <c r="AL30" s="3145"/>
      <c r="AM30" s="3145"/>
      <c r="AN30" s="3145"/>
      <c r="AO30" s="3143"/>
      <c r="AP30" s="149"/>
      <c r="AQ30" s="149"/>
      <c r="AR30" s="146"/>
      <c r="AS30" s="385" t="str">
        <f t="shared" ref="AS30:AS36" si="55">+A30</f>
        <v>Costs and Expenses</v>
      </c>
      <c r="AT30" s="148"/>
      <c r="AU30" s="148"/>
      <c r="AV30" s="148"/>
      <c r="AW30" s="148"/>
      <c r="AX30" s="148"/>
      <c r="AY30" s="148"/>
      <c r="AZ30" s="148"/>
      <c r="BA30" s="148"/>
      <c r="BB30" s="148"/>
      <c r="BC30" s="148"/>
      <c r="BD30" s="720"/>
      <c r="BF30" s="900"/>
      <c r="BM30" s="902"/>
      <c r="BN30" s="902"/>
      <c r="BO30" s="931"/>
      <c r="BP30" s="902"/>
      <c r="BQ30" s="902"/>
      <c r="BR30" s="902"/>
      <c r="BS30" s="902"/>
    </row>
    <row r="31" spans="1:71" ht="12.75" customHeight="1">
      <c r="A31" s="3099" t="s">
        <v>1783</v>
      </c>
      <c r="B31" s="3121"/>
      <c r="C31" s="3121"/>
      <c r="D31" s="3121"/>
      <c r="E31" s="3121">
        <v>3009</v>
      </c>
      <c r="F31" s="3121">
        <v>3213</v>
      </c>
      <c r="G31" s="3122">
        <v>767</v>
      </c>
      <c r="H31" s="3122">
        <v>828</v>
      </c>
      <c r="I31" s="3122">
        <v>806</v>
      </c>
      <c r="J31" s="3122">
        <v>829</v>
      </c>
      <c r="K31" s="3120">
        <f>SUM(G31:J31)</f>
        <v>3230</v>
      </c>
      <c r="L31" s="3122">
        <v>743</v>
      </c>
      <c r="M31" s="3122">
        <v>804</v>
      </c>
      <c r="N31" s="3122">
        <v>780</v>
      </c>
      <c r="O31" s="3122">
        <v>820</v>
      </c>
      <c r="P31" s="3120">
        <f>SUM(L31:O31)</f>
        <v>3147</v>
      </c>
      <c r="Q31" s="3122">
        <v>771</v>
      </c>
      <c r="R31" s="3122">
        <v>833</v>
      </c>
      <c r="S31" s="3122">
        <v>816</v>
      </c>
      <c r="T31" s="3122">
        <v>832</v>
      </c>
      <c r="U31" s="3120">
        <f>SUM(Q31:T31)</f>
        <v>3252</v>
      </c>
      <c r="V31" s="3122">
        <v>768</v>
      </c>
      <c r="W31" s="3122">
        <v>817</v>
      </c>
      <c r="X31" s="3122">
        <v>798</v>
      </c>
      <c r="Y31" s="3122">
        <v>785</v>
      </c>
      <c r="Z31" s="3128">
        <f>SUM(V31:Y31)</f>
        <v>3168</v>
      </c>
      <c r="AA31" s="3129">
        <v>756</v>
      </c>
      <c r="AB31" s="3129">
        <v>808</v>
      </c>
      <c r="AC31" s="3129">
        <v>771</v>
      </c>
      <c r="AD31" s="3579">
        <v>765</v>
      </c>
      <c r="AE31" s="3120">
        <f>SUM(AA31:AD31)</f>
        <v>3100</v>
      </c>
      <c r="AF31" s="3658">
        <v>272</v>
      </c>
      <c r="AG31" s="3658">
        <v>330</v>
      </c>
      <c r="AH31" s="3658">
        <v>345</v>
      </c>
      <c r="AI31" s="3658">
        <v>339</v>
      </c>
      <c r="AJ31" s="3120">
        <f>SUM(AF31:AI31)</f>
        <v>1286</v>
      </c>
      <c r="AK31" s="3130">
        <f t="shared" ref="AK31:AN31" si="56">AK256</f>
        <v>298.06557861181153</v>
      </c>
      <c r="AL31" s="3130">
        <f t="shared" si="56"/>
        <v>387.15480396594319</v>
      </c>
      <c r="AM31" s="3130">
        <f t="shared" si="56"/>
        <v>384.749963430474</v>
      </c>
      <c r="AN31" s="3130">
        <f t="shared" si="56"/>
        <v>364.47779652428386</v>
      </c>
      <c r="AO31" s="3128">
        <f>SUM(AK31:AN31)</f>
        <v>1434.4481425325125</v>
      </c>
      <c r="AP31" s="172">
        <f>AP256</f>
        <v>1472.5757620344536</v>
      </c>
      <c r="AQ31" s="172">
        <f>AQ256</f>
        <v>1423.9212162619617</v>
      </c>
      <c r="AR31" s="176"/>
      <c r="AS31" s="384" t="str">
        <f t="shared" si="55"/>
        <v>Owned and leased hotels</v>
      </c>
      <c r="AT31" s="176">
        <f t="shared" ref="AT31:AU33" si="57">+E31</f>
        <v>3009</v>
      </c>
      <c r="AU31" s="176">
        <f t="shared" si="57"/>
        <v>3213</v>
      </c>
      <c r="AV31" s="176">
        <f>+K31</f>
        <v>3230</v>
      </c>
      <c r="AW31" s="176">
        <f>+P31</f>
        <v>3147</v>
      </c>
      <c r="AX31" s="176">
        <f>+U31</f>
        <v>3252</v>
      </c>
      <c r="AY31" s="176">
        <f>+Z31</f>
        <v>3168</v>
      </c>
      <c r="AZ31" s="176">
        <f>+AE31</f>
        <v>3100</v>
      </c>
      <c r="BA31" s="176">
        <f>+AJ31</f>
        <v>1286</v>
      </c>
      <c r="BB31" s="176">
        <f t="shared" ref="BB31:BD36" si="58">+AO31</f>
        <v>1434.4481425325125</v>
      </c>
      <c r="BC31" s="176">
        <f t="shared" si="58"/>
        <v>1472.5757620344536</v>
      </c>
      <c r="BD31" s="844">
        <f t="shared" si="58"/>
        <v>1423.9212162619617</v>
      </c>
      <c r="BF31" s="900"/>
      <c r="BM31" s="902"/>
      <c r="BN31" s="902"/>
      <c r="BO31" s="931"/>
      <c r="BP31" s="902"/>
      <c r="BQ31" s="902"/>
      <c r="BR31" s="902"/>
      <c r="BS31" s="902"/>
    </row>
    <row r="32" spans="1:71" ht="12.75" customHeight="1">
      <c r="A32" s="3099" t="s">
        <v>750</v>
      </c>
      <c r="B32" s="3120"/>
      <c r="C32" s="3120"/>
      <c r="D32" s="3120"/>
      <c r="E32" s="3121">
        <v>634</v>
      </c>
      <c r="F32" s="3121">
        <v>668</v>
      </c>
      <c r="G32" s="3122">
        <v>170</v>
      </c>
      <c r="H32" s="3122">
        <v>193</v>
      </c>
      <c r="I32" s="3122">
        <v>205</v>
      </c>
      <c r="J32" s="3122">
        <v>190</v>
      </c>
      <c r="K32" s="3120">
        <f>SUM(G32:J32)</f>
        <v>758</v>
      </c>
      <c r="L32" s="3122">
        <v>170</v>
      </c>
      <c r="M32" s="3122">
        <v>181</v>
      </c>
      <c r="N32" s="3122">
        <v>194</v>
      </c>
      <c r="O32" s="3122">
        <v>185</v>
      </c>
      <c r="P32" s="3120">
        <f>SUM(L32:O32)</f>
        <v>730</v>
      </c>
      <c r="Q32" s="3122">
        <v>177</v>
      </c>
      <c r="R32" s="3122">
        <v>188</v>
      </c>
      <c r="S32" s="3122">
        <v>199</v>
      </c>
      <c r="T32" s="3122">
        <v>203</v>
      </c>
      <c r="U32" s="3120">
        <f>SUM(Q32:T32)</f>
        <v>767</v>
      </c>
      <c r="V32" s="3122">
        <v>234</v>
      </c>
      <c r="W32" s="3122">
        <v>220</v>
      </c>
      <c r="X32" s="3122">
        <v>219</v>
      </c>
      <c r="Y32" s="3122">
        <v>224</v>
      </c>
      <c r="Z32" s="3128">
        <f>SUM(V32:Y32)</f>
        <v>897</v>
      </c>
      <c r="AA32" s="3129">
        <v>217</v>
      </c>
      <c r="AB32" s="3129">
        <v>223</v>
      </c>
      <c r="AC32" s="3129">
        <v>257</v>
      </c>
      <c r="AD32" s="3579">
        <v>251</v>
      </c>
      <c r="AE32" s="3120">
        <f>SUM(AA32:AD32)</f>
        <v>948</v>
      </c>
      <c r="AF32" s="3658">
        <v>0</v>
      </c>
      <c r="AG32" s="3658">
        <v>0</v>
      </c>
      <c r="AH32" s="3658">
        <f>AH426</f>
        <v>0</v>
      </c>
      <c r="AI32" s="3130">
        <f>AI426</f>
        <v>0</v>
      </c>
      <c r="AJ32" s="3120">
        <f>SUM(AF32:AI32)</f>
        <v>0</v>
      </c>
      <c r="AK32" s="3130">
        <f t="shared" ref="AK32:AN32" si="59">AK426</f>
        <v>0</v>
      </c>
      <c r="AL32" s="3130">
        <f t="shared" si="59"/>
        <v>0</v>
      </c>
      <c r="AM32" s="3130">
        <f t="shared" si="59"/>
        <v>0</v>
      </c>
      <c r="AN32" s="3130">
        <f t="shared" si="59"/>
        <v>0</v>
      </c>
      <c r="AO32" s="3128">
        <f>SUM(AK32:AN32)</f>
        <v>0</v>
      </c>
      <c r="AP32" s="172">
        <f>AP426</f>
        <v>0</v>
      </c>
      <c r="AQ32" s="172">
        <f>AQ426</f>
        <v>0</v>
      </c>
      <c r="AR32" s="176"/>
      <c r="AS32" s="384" t="str">
        <f t="shared" si="55"/>
        <v>Timeshare</v>
      </c>
      <c r="AT32" s="176">
        <f t="shared" si="57"/>
        <v>634</v>
      </c>
      <c r="AU32" s="176">
        <f t="shared" si="57"/>
        <v>668</v>
      </c>
      <c r="AV32" s="176">
        <f>+K32</f>
        <v>758</v>
      </c>
      <c r="AW32" s="176">
        <f>+P32</f>
        <v>730</v>
      </c>
      <c r="AX32" s="176">
        <f>+U32</f>
        <v>767</v>
      </c>
      <c r="AY32" s="176">
        <f>+Z32</f>
        <v>897</v>
      </c>
      <c r="AZ32" s="176">
        <f>+AE32</f>
        <v>948</v>
      </c>
      <c r="BA32" s="176">
        <f>+AJ32</f>
        <v>0</v>
      </c>
      <c r="BB32" s="176">
        <f t="shared" si="58"/>
        <v>0</v>
      </c>
      <c r="BC32" s="176">
        <f t="shared" si="58"/>
        <v>0</v>
      </c>
      <c r="BD32" s="844">
        <f t="shared" si="58"/>
        <v>0</v>
      </c>
      <c r="BF32" s="900"/>
      <c r="BM32" s="902"/>
      <c r="BN32" s="902"/>
      <c r="BO32" s="3990"/>
      <c r="BP32" s="902"/>
      <c r="BQ32" s="902"/>
      <c r="BR32" s="902"/>
      <c r="BS32" s="902"/>
    </row>
    <row r="33" spans="1:71" ht="12.75" customHeight="1">
      <c r="A33" s="3099" t="s">
        <v>2090</v>
      </c>
      <c r="B33" s="3143"/>
      <c r="C33" s="3143"/>
      <c r="D33" s="3143"/>
      <c r="E33" s="3143">
        <v>637</v>
      </c>
      <c r="F33" s="3143">
        <v>416</v>
      </c>
      <c r="G33" s="3147">
        <v>117</v>
      </c>
      <c r="H33" s="3147">
        <v>119</v>
      </c>
      <c r="I33" s="3147">
        <v>91</v>
      </c>
      <c r="J33" s="3147">
        <v>133</v>
      </c>
      <c r="K33" s="3120">
        <f>SUM(G33:J33)</f>
        <v>460</v>
      </c>
      <c r="L33" s="3147">
        <v>97</v>
      </c>
      <c r="M33" s="3147">
        <v>92</v>
      </c>
      <c r="N33" s="3147">
        <v>130</v>
      </c>
      <c r="O33" s="3147">
        <v>429</v>
      </c>
      <c r="P33" s="3107">
        <f>SUM(L33:O33)</f>
        <v>748</v>
      </c>
      <c r="Q33" s="3147">
        <v>97</v>
      </c>
      <c r="R33" s="3147">
        <v>133</v>
      </c>
      <c r="S33" s="3147">
        <v>119</v>
      </c>
      <c r="T33" s="3147">
        <v>142</v>
      </c>
      <c r="U33" s="3107">
        <f>SUM(Q33:T33)</f>
        <v>491</v>
      </c>
      <c r="V33" s="3147">
        <v>127</v>
      </c>
      <c r="W33" s="3147">
        <v>221</v>
      </c>
      <c r="X33" s="3147">
        <v>145</v>
      </c>
      <c r="Y33" s="3147">
        <v>118</v>
      </c>
      <c r="Z33" s="3148">
        <f>SUM(V33:Y33)</f>
        <v>611</v>
      </c>
      <c r="AA33" s="3149">
        <v>113</v>
      </c>
      <c r="AB33" s="3149">
        <v>132</v>
      </c>
      <c r="AC33" s="3149">
        <v>147</v>
      </c>
      <c r="AD33" s="3581">
        <v>224</v>
      </c>
      <c r="AE33" s="3107">
        <f>SUM(AA33:AD33)</f>
        <v>616</v>
      </c>
      <c r="AF33" s="3651">
        <v>105</v>
      </c>
      <c r="AG33" s="3651">
        <v>117</v>
      </c>
      <c r="AH33" s="3651">
        <v>104</v>
      </c>
      <c r="AI33" s="3651">
        <v>108</v>
      </c>
      <c r="AJ33" s="3107">
        <f>SUM(AF33:AI33)</f>
        <v>434</v>
      </c>
      <c r="AK33" s="3150">
        <f t="shared" ref="AK33:AN33" si="60">+AK451</f>
        <v>94.5</v>
      </c>
      <c r="AL33" s="3150">
        <f t="shared" si="60"/>
        <v>105.3</v>
      </c>
      <c r="AM33" s="3150">
        <f t="shared" si="60"/>
        <v>105.04</v>
      </c>
      <c r="AN33" s="3150">
        <f t="shared" si="60"/>
        <v>111.24000000000001</v>
      </c>
      <c r="AO33" s="3148">
        <f>SUM(AK33:AN33)</f>
        <v>416.08000000000004</v>
      </c>
      <c r="AP33" s="147">
        <f>+AP451</f>
        <v>420.24080000000004</v>
      </c>
      <c r="AQ33" s="147">
        <f>+AQ451</f>
        <v>420.24080000000004</v>
      </c>
      <c r="AR33" s="148"/>
      <c r="AS33" s="384" t="str">
        <f t="shared" si="55"/>
        <v>SG&amp;A Costs</v>
      </c>
      <c r="AT33" s="148">
        <f t="shared" si="57"/>
        <v>637</v>
      </c>
      <c r="AU33" s="148">
        <f t="shared" si="57"/>
        <v>416</v>
      </c>
      <c r="AV33" s="148">
        <f>+K33</f>
        <v>460</v>
      </c>
      <c r="AW33" s="148">
        <f>+P33</f>
        <v>748</v>
      </c>
      <c r="AX33" s="148">
        <f>+U33</f>
        <v>491</v>
      </c>
      <c r="AY33" s="148">
        <f>+Z33</f>
        <v>611</v>
      </c>
      <c r="AZ33" s="148">
        <f>+AE33</f>
        <v>616</v>
      </c>
      <c r="BA33" s="148">
        <f>+AJ33</f>
        <v>434</v>
      </c>
      <c r="BB33" s="148">
        <f t="shared" si="58"/>
        <v>416.08000000000004</v>
      </c>
      <c r="BC33" s="148">
        <f t="shared" si="58"/>
        <v>420.24080000000004</v>
      </c>
      <c r="BD33" s="720">
        <f t="shared" si="58"/>
        <v>420.24080000000004</v>
      </c>
      <c r="BF33" s="900"/>
      <c r="BM33" s="902"/>
      <c r="BN33" s="902"/>
      <c r="BO33" s="3990"/>
      <c r="BP33" s="902"/>
      <c r="BQ33" s="902"/>
      <c r="BR33" s="902"/>
      <c r="BS33" s="902"/>
    </row>
    <row r="34" spans="1:71" ht="12.75" customHeight="1">
      <c r="A34" s="3547" t="s">
        <v>3026</v>
      </c>
      <c r="B34" s="3143"/>
      <c r="C34" s="3143"/>
      <c r="D34" s="3143"/>
      <c r="E34" s="3143"/>
      <c r="F34" s="3143"/>
      <c r="G34" s="3147"/>
      <c r="H34" s="3147"/>
      <c r="I34" s="3147"/>
      <c r="J34" s="3147"/>
      <c r="K34" s="3120"/>
      <c r="L34" s="3147"/>
      <c r="M34" s="3147"/>
      <c r="N34" s="3147"/>
      <c r="O34" s="3147"/>
      <c r="P34" s="3107"/>
      <c r="Q34" s="3147"/>
      <c r="R34" s="3147"/>
      <c r="S34" s="3147"/>
      <c r="T34" s="3147"/>
      <c r="U34" s="3107"/>
      <c r="V34" s="3147"/>
      <c r="W34" s="3147"/>
      <c r="X34" s="3147"/>
      <c r="Y34" s="3147"/>
      <c r="Z34" s="3148"/>
      <c r="AA34" s="3149"/>
      <c r="AB34" s="3149"/>
      <c r="AC34" s="3149"/>
      <c r="AD34" s="3581"/>
      <c r="AE34" s="3107"/>
      <c r="AF34" s="3651">
        <v>23</v>
      </c>
      <c r="AG34" s="3651">
        <v>11</v>
      </c>
      <c r="AH34" s="3651">
        <v>7</v>
      </c>
      <c r="AI34" s="3651">
        <v>15</v>
      </c>
      <c r="AJ34" s="3107">
        <f>SUM(AF34:AI34)</f>
        <v>56</v>
      </c>
      <c r="AK34" s="3929">
        <f>AF34</f>
        <v>23</v>
      </c>
      <c r="AL34" s="3929">
        <f t="shared" ref="AL34:AN34" si="61">AG34</f>
        <v>11</v>
      </c>
      <c r="AM34" s="3929">
        <f t="shared" si="61"/>
        <v>7</v>
      </c>
      <c r="AN34" s="3929">
        <f t="shared" si="61"/>
        <v>15</v>
      </c>
      <c r="AO34" s="3148">
        <f>SUM(AK34:AN34)</f>
        <v>56</v>
      </c>
      <c r="AP34" s="3107">
        <f>+AO34</f>
        <v>56</v>
      </c>
      <c r="AQ34" s="3107">
        <f>+AP34</f>
        <v>56</v>
      </c>
      <c r="AR34" s="148"/>
      <c r="AS34" s="384" t="str">
        <f t="shared" si="55"/>
        <v>Other Expense</v>
      </c>
      <c r="AT34" s="148"/>
      <c r="AU34" s="148"/>
      <c r="AV34" s="148"/>
      <c r="AW34" s="148"/>
      <c r="AX34" s="148"/>
      <c r="AY34" s="148"/>
      <c r="AZ34" s="148"/>
      <c r="BA34" s="148"/>
      <c r="BB34" s="148"/>
      <c r="BC34" s="148"/>
      <c r="BD34" s="720"/>
      <c r="BF34" s="900"/>
      <c r="BM34" s="902"/>
      <c r="BN34" s="902"/>
      <c r="BO34" s="3990"/>
      <c r="BP34" s="902"/>
      <c r="BQ34" s="902"/>
      <c r="BR34" s="902"/>
      <c r="BS34" s="902"/>
    </row>
    <row r="35" spans="1:71" ht="12.75" customHeight="1">
      <c r="A35" s="3151" t="s">
        <v>1613</v>
      </c>
      <c r="B35" s="3152"/>
      <c r="C35" s="3152"/>
      <c r="D35" s="3152"/>
      <c r="E35" s="3153">
        <f>E23</f>
        <v>2637</v>
      </c>
      <c r="F35" s="3153">
        <f t="shared" ref="F35:W35" si="62">F23</f>
        <v>2927</v>
      </c>
      <c r="G35" s="3154">
        <f t="shared" si="62"/>
        <v>754</v>
      </c>
      <c r="H35" s="3154">
        <f t="shared" si="62"/>
        <v>806</v>
      </c>
      <c r="I35" s="3154">
        <f t="shared" si="62"/>
        <v>818</v>
      </c>
      <c r="J35" s="3154">
        <f t="shared" si="62"/>
        <v>746</v>
      </c>
      <c r="K35" s="3153">
        <f t="shared" si="62"/>
        <v>3124</v>
      </c>
      <c r="L35" s="3154">
        <f t="shared" si="62"/>
        <v>841</v>
      </c>
      <c r="M35" s="3154">
        <f t="shared" si="62"/>
        <v>750</v>
      </c>
      <c r="N35" s="3154">
        <f t="shared" si="62"/>
        <v>842</v>
      </c>
      <c r="O35" s="3154">
        <f t="shared" si="62"/>
        <v>972</v>
      </c>
      <c r="P35" s="3153">
        <f t="shared" si="62"/>
        <v>3405</v>
      </c>
      <c r="Q35" s="3154">
        <f t="shared" si="62"/>
        <v>827</v>
      </c>
      <c r="R35" s="3154">
        <f t="shared" si="62"/>
        <v>920</v>
      </c>
      <c r="S35" s="3154">
        <f t="shared" si="62"/>
        <v>906</v>
      </c>
      <c r="T35" s="3154">
        <f t="shared" si="62"/>
        <v>1038</v>
      </c>
      <c r="U35" s="3153">
        <f t="shared" si="62"/>
        <v>3691</v>
      </c>
      <c r="V35" s="3154">
        <f t="shared" si="62"/>
        <v>950</v>
      </c>
      <c r="W35" s="3154">
        <f t="shared" si="62"/>
        <v>1061</v>
      </c>
      <c r="X35" s="3154">
        <f t="shared" ref="X35:AQ35" si="63">X23</f>
        <v>1063</v>
      </c>
      <c r="Y35" s="3154">
        <f t="shared" si="63"/>
        <v>1056</v>
      </c>
      <c r="Z35" s="3153">
        <f t="shared" si="63"/>
        <v>4130</v>
      </c>
      <c r="AA35" s="3154">
        <f t="shared" si="63"/>
        <v>1071</v>
      </c>
      <c r="AB35" s="3154">
        <f t="shared" si="63"/>
        <v>1166</v>
      </c>
      <c r="AC35" s="3154">
        <f t="shared" si="63"/>
        <v>1105</v>
      </c>
      <c r="AD35" s="3154">
        <f t="shared" si="63"/>
        <v>1104</v>
      </c>
      <c r="AE35" s="3153">
        <f t="shared" si="63"/>
        <v>4446</v>
      </c>
      <c r="AF35" s="3154">
        <f t="shared" si="63"/>
        <v>1395</v>
      </c>
      <c r="AG35" s="3154">
        <f t="shared" ref="AG35" si="64">AG23</f>
        <v>1436</v>
      </c>
      <c r="AH35" s="3154">
        <f t="shared" si="63"/>
        <v>1433</v>
      </c>
      <c r="AI35" s="3154">
        <f t="shared" si="63"/>
        <v>1381</v>
      </c>
      <c r="AJ35" s="3153">
        <f t="shared" si="63"/>
        <v>5645</v>
      </c>
      <c r="AK35" s="3154">
        <f t="shared" si="63"/>
        <v>1520.5500000000002</v>
      </c>
      <c r="AL35" s="3154">
        <f t="shared" si="63"/>
        <v>1565.24</v>
      </c>
      <c r="AM35" s="3154">
        <f t="shared" si="63"/>
        <v>1561.97</v>
      </c>
      <c r="AN35" s="3154">
        <f t="shared" si="63"/>
        <v>1505.2900000000002</v>
      </c>
      <c r="AO35" s="3153">
        <f t="shared" ref="AO35" si="65">AO23</f>
        <v>6153.05</v>
      </c>
      <c r="AP35" s="911">
        <f t="shared" si="63"/>
        <v>6610.4017755928771</v>
      </c>
      <c r="AQ35" s="911">
        <f t="shared" si="63"/>
        <v>6776.6504737633004</v>
      </c>
      <c r="AR35" s="158"/>
      <c r="AS35" s="492" t="str">
        <f t="shared" si="55"/>
        <v>Other revenues from managed and franchised properties</v>
      </c>
      <c r="AT35" s="158">
        <f>+E35</f>
        <v>2637</v>
      </c>
      <c r="AU35" s="158">
        <f>+F35</f>
        <v>2927</v>
      </c>
      <c r="AV35" s="158">
        <f>+K35</f>
        <v>3124</v>
      </c>
      <c r="AW35" s="158">
        <f>+P35</f>
        <v>3405</v>
      </c>
      <c r="AX35" s="158">
        <f>+U35</f>
        <v>3691</v>
      </c>
      <c r="AY35" s="158">
        <f>+Z35</f>
        <v>4130</v>
      </c>
      <c r="AZ35" s="158">
        <f>+AE35</f>
        <v>4446</v>
      </c>
      <c r="BA35" s="158">
        <f>+AJ35</f>
        <v>5645</v>
      </c>
      <c r="BB35" s="158">
        <f t="shared" si="58"/>
        <v>6153.05</v>
      </c>
      <c r="BC35" s="158">
        <f t="shared" si="58"/>
        <v>6610.4017755928771</v>
      </c>
      <c r="BD35" s="845">
        <f t="shared" si="58"/>
        <v>6776.6504737633004</v>
      </c>
      <c r="BF35" s="900"/>
      <c r="BM35" s="902"/>
      <c r="BN35" s="902"/>
      <c r="BO35" s="3990"/>
      <c r="BP35" s="902"/>
      <c r="BQ35" s="902"/>
      <c r="BR35" s="902"/>
      <c r="BS35" s="902"/>
    </row>
    <row r="36" spans="1:71" ht="12.75" customHeight="1">
      <c r="A36" s="3092" t="s">
        <v>2083</v>
      </c>
      <c r="B36" s="3155"/>
      <c r="C36" s="3155"/>
      <c r="D36" s="3155"/>
      <c r="E36" s="3155">
        <f>SUM(E31:E35)</f>
        <v>6917</v>
      </c>
      <c r="F36" s="3155">
        <f t="shared" ref="F36:U36" si="66">SUM(F31:F35)</f>
        <v>7224</v>
      </c>
      <c r="G36" s="3156">
        <f t="shared" si="66"/>
        <v>1808</v>
      </c>
      <c r="H36" s="3156">
        <f t="shared" si="66"/>
        <v>1946</v>
      </c>
      <c r="I36" s="3156">
        <f t="shared" si="66"/>
        <v>1920</v>
      </c>
      <c r="J36" s="3156">
        <f t="shared" si="66"/>
        <v>1898</v>
      </c>
      <c r="K36" s="3155">
        <f t="shared" si="66"/>
        <v>7572</v>
      </c>
      <c r="L36" s="3156">
        <f t="shared" si="66"/>
        <v>1851</v>
      </c>
      <c r="M36" s="3156">
        <f t="shared" si="66"/>
        <v>1827</v>
      </c>
      <c r="N36" s="3156">
        <f t="shared" si="66"/>
        <v>1946</v>
      </c>
      <c r="O36" s="3156">
        <f t="shared" si="66"/>
        <v>2406</v>
      </c>
      <c r="P36" s="3155">
        <f t="shared" si="66"/>
        <v>8030</v>
      </c>
      <c r="Q36" s="3156">
        <f t="shared" si="66"/>
        <v>1872</v>
      </c>
      <c r="R36" s="3156">
        <f t="shared" si="66"/>
        <v>2074</v>
      </c>
      <c r="S36" s="3156">
        <f t="shared" si="66"/>
        <v>2040</v>
      </c>
      <c r="T36" s="3156">
        <f t="shared" si="66"/>
        <v>2215</v>
      </c>
      <c r="U36" s="3155">
        <f t="shared" si="66"/>
        <v>8201</v>
      </c>
      <c r="V36" s="3156">
        <f t="shared" ref="V36:AQ36" si="67">SUM(V31:V35)</f>
        <v>2079</v>
      </c>
      <c r="W36" s="3156">
        <f t="shared" si="67"/>
        <v>2319</v>
      </c>
      <c r="X36" s="3156">
        <f t="shared" si="67"/>
        <v>2225</v>
      </c>
      <c r="Y36" s="3156">
        <f t="shared" si="67"/>
        <v>2183</v>
      </c>
      <c r="Z36" s="3155">
        <f t="shared" si="67"/>
        <v>8806</v>
      </c>
      <c r="AA36" s="3156">
        <f t="shared" si="67"/>
        <v>2157</v>
      </c>
      <c r="AB36" s="3156">
        <f t="shared" si="67"/>
        <v>2329</v>
      </c>
      <c r="AC36" s="3156">
        <f t="shared" si="67"/>
        <v>2280</v>
      </c>
      <c r="AD36" s="3156">
        <f t="shared" si="67"/>
        <v>2344</v>
      </c>
      <c r="AE36" s="3155">
        <f t="shared" si="67"/>
        <v>9110</v>
      </c>
      <c r="AF36" s="3156">
        <f t="shared" si="67"/>
        <v>1795</v>
      </c>
      <c r="AG36" s="3156">
        <f t="shared" ref="AG36" si="68">SUM(AG31:AG35)</f>
        <v>1894</v>
      </c>
      <c r="AH36" s="3156">
        <f t="shared" si="67"/>
        <v>1889</v>
      </c>
      <c r="AI36" s="3156">
        <f t="shared" si="67"/>
        <v>1843</v>
      </c>
      <c r="AJ36" s="3155">
        <f t="shared" si="67"/>
        <v>7421</v>
      </c>
      <c r="AK36" s="3156">
        <f t="shared" si="67"/>
        <v>1936.1155786118118</v>
      </c>
      <c r="AL36" s="3156">
        <f t="shared" si="67"/>
        <v>2068.6948039659433</v>
      </c>
      <c r="AM36" s="3156">
        <f t="shared" si="67"/>
        <v>2058.7599634304743</v>
      </c>
      <c r="AN36" s="3156">
        <f t="shared" si="67"/>
        <v>1996.007796524284</v>
      </c>
      <c r="AO36" s="3155">
        <f t="shared" ref="AO36" si="69">SUM(AO31:AO35)</f>
        <v>8059.5781425325131</v>
      </c>
      <c r="AP36" s="346">
        <f t="shared" si="67"/>
        <v>8559.2183376273315</v>
      </c>
      <c r="AQ36" s="346">
        <f t="shared" si="67"/>
        <v>8676.8124900252624</v>
      </c>
      <c r="AR36" s="315"/>
      <c r="AS36" s="493" t="str">
        <f t="shared" si="55"/>
        <v>Total Expenses</v>
      </c>
      <c r="AT36" s="315">
        <f>+E36</f>
        <v>6917</v>
      </c>
      <c r="AU36" s="315">
        <f>+F36</f>
        <v>7224</v>
      </c>
      <c r="AV36" s="315">
        <f>+K36</f>
        <v>7572</v>
      </c>
      <c r="AW36" s="315">
        <f>+P36</f>
        <v>8030</v>
      </c>
      <c r="AX36" s="315">
        <f>+U36</f>
        <v>8201</v>
      </c>
      <c r="AY36" s="315">
        <f>+Z36</f>
        <v>8806</v>
      </c>
      <c r="AZ36" s="315">
        <f>+AE36</f>
        <v>9110</v>
      </c>
      <c r="BA36" s="315">
        <f>+AJ36</f>
        <v>7421</v>
      </c>
      <c r="BB36" s="315">
        <f t="shared" si="58"/>
        <v>8059.5781425325131</v>
      </c>
      <c r="BC36" s="315">
        <f t="shared" si="58"/>
        <v>8559.2183376273315</v>
      </c>
      <c r="BD36" s="846">
        <f t="shared" si="58"/>
        <v>8676.8124900252624</v>
      </c>
      <c r="BF36" s="900"/>
      <c r="BM36" s="902"/>
      <c r="BN36" s="902"/>
      <c r="BO36" s="3990"/>
      <c r="BP36" s="902"/>
      <c r="BQ36" s="902"/>
      <c r="BR36" s="902"/>
      <c r="BS36" s="902"/>
    </row>
    <row r="37" spans="1:71" ht="12.75" customHeight="1">
      <c r="A37" s="3092"/>
      <c r="B37" s="3155"/>
      <c r="C37" s="3155"/>
      <c r="D37" s="3155"/>
      <c r="E37" s="3155"/>
      <c r="F37" s="3155"/>
      <c r="G37" s="3156"/>
      <c r="H37" s="3156"/>
      <c r="I37" s="3156"/>
      <c r="J37" s="3156"/>
      <c r="K37" s="3155"/>
      <c r="L37" s="3156"/>
      <c r="M37" s="3156"/>
      <c r="N37" s="3156"/>
      <c r="O37" s="3156"/>
      <c r="P37" s="3155"/>
      <c r="Q37" s="3156"/>
      <c r="R37" s="3156"/>
      <c r="S37" s="3156"/>
      <c r="T37" s="3156"/>
      <c r="U37" s="3155"/>
      <c r="V37" s="3156"/>
      <c r="W37" s="3156"/>
      <c r="X37" s="3156"/>
      <c r="Y37" s="3156"/>
      <c r="Z37" s="3155"/>
      <c r="AA37" s="3156"/>
      <c r="AB37" s="3156"/>
      <c r="AC37" s="3156"/>
      <c r="AD37" s="3156"/>
      <c r="AE37" s="3155"/>
      <c r="AF37" s="3156"/>
      <c r="AG37" s="3156"/>
      <c r="AH37" s="3156"/>
      <c r="AI37" s="3156"/>
      <c r="AJ37" s="3155"/>
      <c r="AK37" s="3156"/>
      <c r="AL37" s="3156"/>
      <c r="AM37" s="3156"/>
      <c r="AN37" s="3156"/>
      <c r="AO37" s="3155"/>
      <c r="AP37" s="346"/>
      <c r="AQ37" s="346"/>
      <c r="AR37" s="315"/>
      <c r="AS37" s="493"/>
      <c r="AT37" s="315"/>
      <c r="AU37" s="315"/>
      <c r="AV37" s="315"/>
      <c r="AW37" s="315"/>
      <c r="AX37" s="315"/>
      <c r="AY37" s="315"/>
      <c r="AZ37" s="315"/>
      <c r="BA37" s="315"/>
      <c r="BB37" s="315"/>
      <c r="BC37" s="315"/>
      <c r="BD37" s="846"/>
      <c r="BF37" s="900"/>
      <c r="BM37" s="902"/>
      <c r="BN37" s="902"/>
      <c r="BO37" s="3990"/>
      <c r="BP37" s="902"/>
      <c r="BQ37" s="902"/>
      <c r="BR37" s="902"/>
      <c r="BS37" s="902"/>
    </row>
    <row r="38" spans="1:71" ht="12.75" customHeight="1">
      <c r="A38" s="3092" t="s">
        <v>1296</v>
      </c>
      <c r="B38" s="3155"/>
      <c r="C38" s="3155"/>
      <c r="D38" s="3155"/>
      <c r="E38" s="3155"/>
      <c r="F38" s="3155"/>
      <c r="G38" s="3156"/>
      <c r="H38" s="3156"/>
      <c r="I38" s="3156"/>
      <c r="J38" s="3156"/>
      <c r="K38" s="3155"/>
      <c r="L38" s="3156"/>
      <c r="M38" s="3156"/>
      <c r="N38" s="3156"/>
      <c r="O38" s="3156"/>
      <c r="P38" s="3155"/>
      <c r="Q38" s="3156"/>
      <c r="R38" s="3156"/>
      <c r="S38" s="3156"/>
      <c r="T38" s="3156"/>
      <c r="U38" s="3155"/>
      <c r="V38" s="3156"/>
      <c r="W38" s="3156"/>
      <c r="X38" s="3156"/>
      <c r="Y38" s="3156"/>
      <c r="Z38" s="3155"/>
      <c r="AA38" s="3156"/>
      <c r="AB38" s="3156"/>
      <c r="AC38" s="3156"/>
      <c r="AD38" s="3156"/>
      <c r="AE38" s="3155"/>
      <c r="AF38" s="3156"/>
      <c r="AG38" s="3156"/>
      <c r="AH38" s="3156"/>
      <c r="AI38" s="3156"/>
      <c r="AJ38" s="3155"/>
      <c r="AK38" s="3156"/>
      <c r="AL38" s="3156"/>
      <c r="AM38" s="3156"/>
      <c r="AN38" s="3156"/>
      <c r="AO38" s="3157"/>
      <c r="AP38" s="3507"/>
      <c r="AQ38" s="346"/>
      <c r="AR38" s="315"/>
      <c r="AS38" s="493" t="str">
        <f t="shared" ref="AS38:AS43" si="70">+A38</f>
        <v>Operating Profit</v>
      </c>
      <c r="AT38" s="315"/>
      <c r="AU38" s="315"/>
      <c r="AV38" s="315"/>
      <c r="AW38" s="315"/>
      <c r="AX38" s="315"/>
      <c r="AY38" s="315"/>
      <c r="AZ38" s="315"/>
      <c r="BA38" s="315"/>
      <c r="BB38" s="315"/>
      <c r="BC38" s="315"/>
      <c r="BD38" s="846"/>
      <c r="BF38" s="900"/>
      <c r="BM38" s="902"/>
      <c r="BN38" s="902"/>
      <c r="BO38" s="3990"/>
      <c r="BP38" s="902"/>
      <c r="BQ38" s="902"/>
      <c r="BR38" s="902"/>
      <c r="BS38" s="902"/>
    </row>
    <row r="39" spans="1:71" ht="12.75" customHeight="1">
      <c r="A39" s="3099" t="s">
        <v>1245</v>
      </c>
      <c r="B39" s="3113"/>
      <c r="C39" s="3113"/>
      <c r="D39" s="3113"/>
      <c r="E39" s="3113">
        <f>E9-E31</f>
        <v>658</v>
      </c>
      <c r="F39" s="3113">
        <f t="shared" ref="F39:W39" si="71">F9-F31</f>
        <v>685</v>
      </c>
      <c r="G39" s="3114">
        <f t="shared" si="71"/>
        <v>119</v>
      </c>
      <c r="H39" s="3114">
        <f t="shared" si="71"/>
        <v>211</v>
      </c>
      <c r="I39" s="3114">
        <f t="shared" si="71"/>
        <v>200</v>
      </c>
      <c r="J39" s="3114">
        <f t="shared" si="71"/>
        <v>219</v>
      </c>
      <c r="K39" s="3113">
        <f t="shared" si="71"/>
        <v>749</v>
      </c>
      <c r="L39" s="3114">
        <f t="shared" si="71"/>
        <v>171</v>
      </c>
      <c r="M39" s="3114">
        <f t="shared" si="71"/>
        <v>266</v>
      </c>
      <c r="N39" s="3114">
        <f>N9-N31</f>
        <v>218</v>
      </c>
      <c r="O39" s="3114">
        <f>O9-O31</f>
        <v>244</v>
      </c>
      <c r="P39" s="3113">
        <f t="shared" si="71"/>
        <v>899</v>
      </c>
      <c r="Q39" s="3114">
        <f>Q9-Q31</f>
        <v>174</v>
      </c>
      <c r="R39" s="3114">
        <f t="shared" si="71"/>
        <v>284</v>
      </c>
      <c r="S39" s="3114">
        <f t="shared" si="71"/>
        <v>263</v>
      </c>
      <c r="T39" s="3114">
        <f t="shared" si="71"/>
        <v>266</v>
      </c>
      <c r="U39" s="3113">
        <f t="shared" si="71"/>
        <v>987</v>
      </c>
      <c r="V39" s="3114">
        <f t="shared" si="71"/>
        <v>189</v>
      </c>
      <c r="W39" s="3114">
        <f t="shared" si="71"/>
        <v>318</v>
      </c>
      <c r="X39" s="3114">
        <f t="shared" ref="X39:AQ39" si="72">X9-X31</f>
        <v>284</v>
      </c>
      <c r="Y39" s="3115">
        <f t="shared" si="72"/>
        <v>274</v>
      </c>
      <c r="Z39" s="3116">
        <f t="shared" si="72"/>
        <v>1065</v>
      </c>
      <c r="AA39" s="3114">
        <f t="shared" si="72"/>
        <v>211</v>
      </c>
      <c r="AB39" s="3114">
        <f t="shared" si="72"/>
        <v>297</v>
      </c>
      <c r="AC39" s="3114">
        <f t="shared" si="72"/>
        <v>262</v>
      </c>
      <c r="AD39" s="3114">
        <f t="shared" si="72"/>
        <v>256</v>
      </c>
      <c r="AE39" s="3113">
        <f t="shared" si="72"/>
        <v>1026</v>
      </c>
      <c r="AF39" s="3114">
        <f t="shared" si="72"/>
        <v>28</v>
      </c>
      <c r="AG39" s="3114">
        <f t="shared" si="72"/>
        <v>47</v>
      </c>
      <c r="AH39" s="3114">
        <f t="shared" si="72"/>
        <v>43</v>
      </c>
      <c r="AI39" s="3114">
        <f t="shared" si="72"/>
        <v>46</v>
      </c>
      <c r="AJ39" s="3113">
        <f t="shared" si="72"/>
        <v>164</v>
      </c>
      <c r="AK39" s="3114">
        <f t="shared" ref="AK39:AO39" si="73">AK9-AK31</f>
        <v>16.792426964045717</v>
      </c>
      <c r="AL39" s="3114">
        <f t="shared" si="73"/>
        <v>51.382760072967585</v>
      </c>
      <c r="AM39" s="3114">
        <f t="shared" si="73"/>
        <v>44.335104003701247</v>
      </c>
      <c r="AN39" s="3114">
        <f t="shared" si="73"/>
        <v>45.961168520794672</v>
      </c>
      <c r="AO39" s="3116">
        <f t="shared" si="73"/>
        <v>158.47145956150916</v>
      </c>
      <c r="AP39" s="347">
        <f t="shared" si="72"/>
        <v>162.68362961696425</v>
      </c>
      <c r="AQ39" s="347">
        <f t="shared" si="72"/>
        <v>139.94217082283762</v>
      </c>
      <c r="AR39" s="803"/>
      <c r="AS39" s="384" t="str">
        <f t="shared" si="70"/>
        <v>Owned &amp; leased hotels</v>
      </c>
      <c r="AT39" s="199">
        <f t="shared" ref="AT39:AU43" si="74">+E39</f>
        <v>658</v>
      </c>
      <c r="AU39" s="199">
        <f t="shared" si="74"/>
        <v>685</v>
      </c>
      <c r="AV39" s="199">
        <f>+K39</f>
        <v>749</v>
      </c>
      <c r="AW39" s="199">
        <f>+P39</f>
        <v>899</v>
      </c>
      <c r="AX39" s="199">
        <f>+U39</f>
        <v>987</v>
      </c>
      <c r="AY39" s="199">
        <f>+Z39</f>
        <v>1065</v>
      </c>
      <c r="AZ39" s="199">
        <f>+AE39</f>
        <v>1026</v>
      </c>
      <c r="BA39" s="199">
        <f>+AJ39</f>
        <v>164</v>
      </c>
      <c r="BB39" s="199">
        <f t="shared" ref="BB39:BD43" si="75">+AO39</f>
        <v>158.47145956150916</v>
      </c>
      <c r="BC39" s="199">
        <f t="shared" si="75"/>
        <v>162.68362961696425</v>
      </c>
      <c r="BD39" s="847">
        <f t="shared" si="75"/>
        <v>139.94217082283762</v>
      </c>
      <c r="BF39" s="900"/>
      <c r="BM39" s="902"/>
      <c r="BN39" s="902"/>
      <c r="BO39" s="3990"/>
      <c r="BP39" s="902"/>
      <c r="BQ39" s="902"/>
      <c r="BR39" s="902"/>
      <c r="BS39" s="902"/>
    </row>
    <row r="40" spans="1:71" ht="12.75" customHeight="1">
      <c r="A40" s="3099" t="s">
        <v>1244</v>
      </c>
      <c r="B40" s="3158"/>
      <c r="C40" s="3158"/>
      <c r="D40" s="3158"/>
      <c r="E40" s="3158">
        <f>E16</f>
        <v>901</v>
      </c>
      <c r="F40" s="3158">
        <f t="shared" ref="F40:W40" si="76">F16</f>
        <v>1014</v>
      </c>
      <c r="G40" s="3159">
        <f t="shared" si="76"/>
        <v>248</v>
      </c>
      <c r="H40" s="3159">
        <f t="shared" si="76"/>
        <v>273</v>
      </c>
      <c r="I40" s="3159">
        <f t="shared" si="76"/>
        <v>286</v>
      </c>
      <c r="J40" s="3159">
        <f t="shared" si="76"/>
        <v>281</v>
      </c>
      <c r="K40" s="3158">
        <f t="shared" si="76"/>
        <v>1088</v>
      </c>
      <c r="L40" s="3159">
        <f t="shared" si="76"/>
        <v>262</v>
      </c>
      <c r="M40" s="3159">
        <f t="shared" si="76"/>
        <v>299</v>
      </c>
      <c r="N40" s="3159">
        <f t="shared" si="76"/>
        <v>307</v>
      </c>
      <c r="O40" s="3159">
        <f t="shared" si="76"/>
        <v>307</v>
      </c>
      <c r="P40" s="3158">
        <f t="shared" si="76"/>
        <v>1175</v>
      </c>
      <c r="Q40" s="3159">
        <f>Q16</f>
        <v>312</v>
      </c>
      <c r="R40" s="3159">
        <f t="shared" si="76"/>
        <v>354</v>
      </c>
      <c r="S40" s="3159">
        <f t="shared" si="76"/>
        <v>364</v>
      </c>
      <c r="T40" s="3159">
        <f t="shared" si="76"/>
        <v>371</v>
      </c>
      <c r="U40" s="3158">
        <f t="shared" si="76"/>
        <v>1401</v>
      </c>
      <c r="V40" s="3159">
        <f t="shared" si="76"/>
        <v>371</v>
      </c>
      <c r="W40" s="3159">
        <f t="shared" si="76"/>
        <v>407</v>
      </c>
      <c r="X40" s="3159">
        <f t="shared" ref="X40:AQ40" si="77">X16</f>
        <v>416</v>
      </c>
      <c r="Y40" s="3160">
        <f t="shared" si="77"/>
        <v>407</v>
      </c>
      <c r="Z40" s="3161">
        <f t="shared" si="77"/>
        <v>1601</v>
      </c>
      <c r="AA40" s="3159">
        <f t="shared" si="77"/>
        <v>386</v>
      </c>
      <c r="AB40" s="3159">
        <f t="shared" si="77"/>
        <v>444</v>
      </c>
      <c r="AC40" s="3159">
        <f t="shared" si="77"/>
        <v>446</v>
      </c>
      <c r="AD40" s="3159">
        <f t="shared" si="77"/>
        <v>425</v>
      </c>
      <c r="AE40" s="3158">
        <f t="shared" si="77"/>
        <v>1701</v>
      </c>
      <c r="AF40" s="3159">
        <f t="shared" si="77"/>
        <v>429</v>
      </c>
      <c r="AG40" s="3159">
        <f t="shared" si="77"/>
        <v>513</v>
      </c>
      <c r="AH40" s="3159">
        <f t="shared" si="77"/>
        <v>512</v>
      </c>
      <c r="AI40" s="3159">
        <f t="shared" si="77"/>
        <v>486</v>
      </c>
      <c r="AJ40" s="3158">
        <f t="shared" si="77"/>
        <v>1940</v>
      </c>
      <c r="AK40" s="3159">
        <f t="shared" ref="AK40:AO40" si="78">AK16</f>
        <v>448.61811751717255</v>
      </c>
      <c r="AL40" s="3159">
        <f t="shared" si="78"/>
        <v>540.93603365431227</v>
      </c>
      <c r="AM40" s="3159">
        <f t="shared" si="78"/>
        <v>547.77726778072645</v>
      </c>
      <c r="AN40" s="3159">
        <f t="shared" si="78"/>
        <v>506.78410733607433</v>
      </c>
      <c r="AO40" s="3161">
        <f t="shared" si="78"/>
        <v>2044.1155262882855</v>
      </c>
      <c r="AP40" s="282">
        <f t="shared" si="77"/>
        <v>2196.0531613578714</v>
      </c>
      <c r="AQ40" s="282">
        <f t="shared" si="77"/>
        <v>2251.2829327973004</v>
      </c>
      <c r="AR40" s="803"/>
      <c r="AS40" s="384" t="str">
        <f t="shared" si="70"/>
        <v>Management and franchised fees and other</v>
      </c>
      <c r="AT40" s="188">
        <f t="shared" si="74"/>
        <v>901</v>
      </c>
      <c r="AU40" s="188">
        <f t="shared" si="74"/>
        <v>1014</v>
      </c>
      <c r="AV40" s="188">
        <f>+K40</f>
        <v>1088</v>
      </c>
      <c r="AW40" s="188">
        <f>+P40</f>
        <v>1175</v>
      </c>
      <c r="AX40" s="188">
        <f>+U40</f>
        <v>1401</v>
      </c>
      <c r="AY40" s="188">
        <f>+Z40</f>
        <v>1601</v>
      </c>
      <c r="AZ40" s="188">
        <f>+AE40</f>
        <v>1701</v>
      </c>
      <c r="BA40" s="188">
        <f>+AJ40</f>
        <v>1940</v>
      </c>
      <c r="BB40" s="188">
        <f t="shared" si="75"/>
        <v>2044.1155262882855</v>
      </c>
      <c r="BC40" s="188">
        <f t="shared" si="75"/>
        <v>2196.0531613578714</v>
      </c>
      <c r="BD40" s="849">
        <f t="shared" si="75"/>
        <v>2251.2829327973004</v>
      </c>
      <c r="BF40" s="900"/>
      <c r="BM40" s="902"/>
      <c r="BN40" s="902"/>
      <c r="BO40" s="3990"/>
      <c r="BP40" s="902"/>
      <c r="BQ40" s="902"/>
      <c r="BR40" s="902"/>
      <c r="BS40" s="902"/>
    </row>
    <row r="41" spans="1:71" ht="12.75" customHeight="1">
      <c r="A41" s="3099" t="s">
        <v>750</v>
      </c>
      <c r="B41" s="3162"/>
      <c r="C41" s="3162"/>
      <c r="D41" s="3162"/>
      <c r="E41" s="3162">
        <f>E18-E32</f>
        <v>229</v>
      </c>
      <c r="F41" s="3162">
        <f t="shared" ref="F41:W41" si="79">F18-F32</f>
        <v>276</v>
      </c>
      <c r="G41" s="3163">
        <f t="shared" si="79"/>
        <v>73</v>
      </c>
      <c r="H41" s="3163">
        <f t="shared" si="79"/>
        <v>79</v>
      </c>
      <c r="I41" s="3163">
        <f t="shared" si="79"/>
        <v>102</v>
      </c>
      <c r="J41" s="3163">
        <f t="shared" si="79"/>
        <v>73</v>
      </c>
      <c r="K41" s="3162">
        <f t="shared" si="79"/>
        <v>327</v>
      </c>
      <c r="L41" s="3163">
        <f t="shared" si="79"/>
        <v>76</v>
      </c>
      <c r="M41" s="3163">
        <f t="shared" si="79"/>
        <v>80</v>
      </c>
      <c r="N41" s="3163">
        <f t="shared" si="79"/>
        <v>108</v>
      </c>
      <c r="O41" s="3163">
        <f t="shared" si="79"/>
        <v>115</v>
      </c>
      <c r="P41" s="3162">
        <f t="shared" si="79"/>
        <v>379</v>
      </c>
      <c r="Q41" s="3163">
        <f>Q18-Q32</f>
        <v>102</v>
      </c>
      <c r="R41" s="3163">
        <f t="shared" si="79"/>
        <v>88</v>
      </c>
      <c r="S41" s="3163">
        <f t="shared" si="79"/>
        <v>96</v>
      </c>
      <c r="T41" s="3163">
        <f t="shared" si="79"/>
        <v>118</v>
      </c>
      <c r="U41" s="3162">
        <f t="shared" si="79"/>
        <v>404</v>
      </c>
      <c r="V41" s="3163">
        <f t="shared" si="79"/>
        <v>87</v>
      </c>
      <c r="W41" s="3163">
        <f t="shared" si="79"/>
        <v>99</v>
      </c>
      <c r="X41" s="3163">
        <f t="shared" ref="X41:AQ41" si="80">X18-X32</f>
        <v>115</v>
      </c>
      <c r="Y41" s="3164">
        <f t="shared" si="80"/>
        <v>110</v>
      </c>
      <c r="Z41" s="3165">
        <f t="shared" si="80"/>
        <v>411</v>
      </c>
      <c r="AA41" s="3163">
        <f t="shared" si="80"/>
        <v>109</v>
      </c>
      <c r="AB41" s="3163">
        <f t="shared" si="80"/>
        <v>113</v>
      </c>
      <c r="AC41" s="3163">
        <f t="shared" si="80"/>
        <v>101</v>
      </c>
      <c r="AD41" s="3163">
        <f t="shared" si="80"/>
        <v>119</v>
      </c>
      <c r="AE41" s="3162">
        <f t="shared" si="80"/>
        <v>442</v>
      </c>
      <c r="AF41" s="3163">
        <f t="shared" si="80"/>
        <v>0</v>
      </c>
      <c r="AG41" s="3163">
        <f t="shared" si="80"/>
        <v>0</v>
      </c>
      <c r="AH41" s="3163">
        <f t="shared" si="80"/>
        <v>0</v>
      </c>
      <c r="AI41" s="3163">
        <f t="shared" si="80"/>
        <v>0</v>
      </c>
      <c r="AJ41" s="3162">
        <f t="shared" si="80"/>
        <v>0</v>
      </c>
      <c r="AK41" s="3163">
        <f t="shared" ref="AK41:AO41" si="81">AK18-AK32</f>
        <v>0</v>
      </c>
      <c r="AL41" s="3163">
        <f t="shared" si="81"/>
        <v>0</v>
      </c>
      <c r="AM41" s="3163">
        <f t="shared" si="81"/>
        <v>0</v>
      </c>
      <c r="AN41" s="3163">
        <f t="shared" si="81"/>
        <v>0</v>
      </c>
      <c r="AO41" s="3165">
        <f t="shared" si="81"/>
        <v>0</v>
      </c>
      <c r="AP41" s="187">
        <f t="shared" si="80"/>
        <v>0</v>
      </c>
      <c r="AQ41" s="187">
        <f t="shared" si="80"/>
        <v>0</v>
      </c>
      <c r="AR41" s="803"/>
      <c r="AS41" s="384" t="str">
        <f t="shared" si="70"/>
        <v>Timeshare</v>
      </c>
      <c r="AT41" s="159">
        <f t="shared" si="74"/>
        <v>229</v>
      </c>
      <c r="AU41" s="159">
        <f t="shared" si="74"/>
        <v>276</v>
      </c>
      <c r="AV41" s="159">
        <f>+K41</f>
        <v>327</v>
      </c>
      <c r="AW41" s="159">
        <f>+P41</f>
        <v>379</v>
      </c>
      <c r="AX41" s="159">
        <f>+U41</f>
        <v>404</v>
      </c>
      <c r="AY41" s="159">
        <f>+Z41</f>
        <v>411</v>
      </c>
      <c r="AZ41" s="159">
        <f>+AE41</f>
        <v>442</v>
      </c>
      <c r="BA41" s="159">
        <f>+AJ41</f>
        <v>0</v>
      </c>
      <c r="BB41" s="159">
        <f t="shared" si="75"/>
        <v>0</v>
      </c>
      <c r="BC41" s="159">
        <f t="shared" si="75"/>
        <v>0</v>
      </c>
      <c r="BD41" s="848">
        <f t="shared" si="75"/>
        <v>0</v>
      </c>
      <c r="BF41" s="900"/>
      <c r="BM41" s="902"/>
      <c r="BN41" s="902"/>
      <c r="BO41" s="3990"/>
      <c r="BP41" s="902"/>
      <c r="BQ41" s="902"/>
      <c r="BR41" s="902"/>
      <c r="BS41" s="902"/>
    </row>
    <row r="42" spans="1:71" ht="12.75" customHeight="1">
      <c r="A42" s="3099" t="s">
        <v>389</v>
      </c>
      <c r="B42" s="3158"/>
      <c r="C42" s="3158"/>
      <c r="D42" s="3158"/>
      <c r="E42" s="3158">
        <f>-E33</f>
        <v>-637</v>
      </c>
      <c r="F42" s="3158">
        <f t="shared" ref="F42:W42" si="82">-F33</f>
        <v>-416</v>
      </c>
      <c r="G42" s="3159">
        <f t="shared" si="82"/>
        <v>-117</v>
      </c>
      <c r="H42" s="3159">
        <f t="shared" si="82"/>
        <v>-119</v>
      </c>
      <c r="I42" s="3159">
        <f t="shared" si="82"/>
        <v>-91</v>
      </c>
      <c r="J42" s="3159">
        <f t="shared" si="82"/>
        <v>-133</v>
      </c>
      <c r="K42" s="3158">
        <f t="shared" si="82"/>
        <v>-460</v>
      </c>
      <c r="L42" s="3159">
        <f t="shared" si="82"/>
        <v>-97</v>
      </c>
      <c r="M42" s="3159">
        <f t="shared" si="82"/>
        <v>-92</v>
      </c>
      <c r="N42" s="3159">
        <f t="shared" si="82"/>
        <v>-130</v>
      </c>
      <c r="O42" s="3159">
        <f t="shared" si="82"/>
        <v>-429</v>
      </c>
      <c r="P42" s="3158">
        <f t="shared" si="82"/>
        <v>-748</v>
      </c>
      <c r="Q42" s="3159">
        <f>-Q33</f>
        <v>-97</v>
      </c>
      <c r="R42" s="3159">
        <f t="shared" si="82"/>
        <v>-133</v>
      </c>
      <c r="S42" s="3159">
        <f t="shared" si="82"/>
        <v>-119</v>
      </c>
      <c r="T42" s="3159">
        <f t="shared" si="82"/>
        <v>-142</v>
      </c>
      <c r="U42" s="3158">
        <f t="shared" si="82"/>
        <v>-491</v>
      </c>
      <c r="V42" s="3159">
        <f t="shared" si="82"/>
        <v>-127</v>
      </c>
      <c r="W42" s="3159">
        <f t="shared" si="82"/>
        <v>-221</v>
      </c>
      <c r="X42" s="3159">
        <f t="shared" ref="X42:AQ42" si="83">-X33</f>
        <v>-145</v>
      </c>
      <c r="Y42" s="3160">
        <f t="shared" si="83"/>
        <v>-118</v>
      </c>
      <c r="Z42" s="3161">
        <f t="shared" si="83"/>
        <v>-611</v>
      </c>
      <c r="AA42" s="3159">
        <f t="shared" si="83"/>
        <v>-113</v>
      </c>
      <c r="AB42" s="3159">
        <f t="shared" si="83"/>
        <v>-132</v>
      </c>
      <c r="AC42" s="3159">
        <f t="shared" si="83"/>
        <v>-147</v>
      </c>
      <c r="AD42" s="3159">
        <f t="shared" si="83"/>
        <v>-224</v>
      </c>
      <c r="AE42" s="3158">
        <f t="shared" si="83"/>
        <v>-616</v>
      </c>
      <c r="AF42" s="3159">
        <f t="shared" si="83"/>
        <v>-105</v>
      </c>
      <c r="AG42" s="3159">
        <f t="shared" si="83"/>
        <v>-117</v>
      </c>
      <c r="AH42" s="3159">
        <f t="shared" si="83"/>
        <v>-104</v>
      </c>
      <c r="AI42" s="3159">
        <f t="shared" si="83"/>
        <v>-108</v>
      </c>
      <c r="AJ42" s="3158">
        <f t="shared" si="83"/>
        <v>-434</v>
      </c>
      <c r="AK42" s="3159">
        <f t="shared" ref="AK42:AO42" si="84">-AK33</f>
        <v>-94.5</v>
      </c>
      <c r="AL42" s="3159">
        <f t="shared" si="84"/>
        <v>-105.3</v>
      </c>
      <c r="AM42" s="3159">
        <f t="shared" si="84"/>
        <v>-105.04</v>
      </c>
      <c r="AN42" s="3159">
        <f t="shared" si="84"/>
        <v>-111.24000000000001</v>
      </c>
      <c r="AO42" s="3161">
        <f t="shared" si="84"/>
        <v>-416.08000000000004</v>
      </c>
      <c r="AP42" s="282">
        <f t="shared" si="83"/>
        <v>-420.24080000000004</v>
      </c>
      <c r="AQ42" s="282">
        <f t="shared" si="83"/>
        <v>-420.24080000000004</v>
      </c>
      <c r="AR42" s="315"/>
      <c r="AS42" s="384" t="str">
        <f t="shared" si="70"/>
        <v>SG&amp;A</v>
      </c>
      <c r="AT42" s="188">
        <f t="shared" si="74"/>
        <v>-637</v>
      </c>
      <c r="AU42" s="188">
        <f t="shared" si="74"/>
        <v>-416</v>
      </c>
      <c r="AV42" s="188">
        <f>+K42</f>
        <v>-460</v>
      </c>
      <c r="AW42" s="188">
        <f>+P42</f>
        <v>-748</v>
      </c>
      <c r="AX42" s="188">
        <f>+U42</f>
        <v>-491</v>
      </c>
      <c r="AY42" s="188">
        <f>+Z42</f>
        <v>-611</v>
      </c>
      <c r="AZ42" s="188">
        <f>+AE42</f>
        <v>-616</v>
      </c>
      <c r="BA42" s="188">
        <f>+AJ42</f>
        <v>-434</v>
      </c>
      <c r="BB42" s="188">
        <f t="shared" si="75"/>
        <v>-416.08000000000004</v>
      </c>
      <c r="BC42" s="188">
        <f t="shared" si="75"/>
        <v>-420.24080000000004</v>
      </c>
      <c r="BD42" s="849">
        <f t="shared" si="75"/>
        <v>-420.24080000000004</v>
      </c>
      <c r="BF42" s="900"/>
      <c r="BM42" s="902"/>
      <c r="BN42" s="902"/>
      <c r="BO42" s="3990"/>
      <c r="BP42" s="902"/>
      <c r="BQ42" s="902"/>
      <c r="BR42" s="902"/>
      <c r="BS42" s="902"/>
    </row>
    <row r="43" spans="1:71" s="11" customFormat="1" ht="12.75" customHeight="1">
      <c r="A43" s="1466" t="s">
        <v>2088</v>
      </c>
      <c r="B43" s="1467"/>
      <c r="C43" s="1467"/>
      <c r="D43" s="1467"/>
      <c r="E43" s="1467">
        <f t="shared" ref="E43:U43" si="85">SUM(E39:E42)</f>
        <v>1151</v>
      </c>
      <c r="F43" s="1467">
        <f t="shared" si="85"/>
        <v>1559</v>
      </c>
      <c r="G43" s="1468">
        <f t="shared" si="85"/>
        <v>323</v>
      </c>
      <c r="H43" s="1468">
        <f t="shared" si="85"/>
        <v>444</v>
      </c>
      <c r="I43" s="1468">
        <f t="shared" si="85"/>
        <v>497</v>
      </c>
      <c r="J43" s="1468">
        <f t="shared" si="85"/>
        <v>440</v>
      </c>
      <c r="K43" s="1467">
        <f t="shared" si="85"/>
        <v>1704</v>
      </c>
      <c r="L43" s="1468">
        <f t="shared" si="85"/>
        <v>412</v>
      </c>
      <c r="M43" s="1468">
        <f t="shared" si="85"/>
        <v>553</v>
      </c>
      <c r="N43" s="1468">
        <f t="shared" si="85"/>
        <v>503</v>
      </c>
      <c r="O43" s="1468">
        <f t="shared" si="85"/>
        <v>237</v>
      </c>
      <c r="P43" s="1467">
        <f t="shared" si="85"/>
        <v>1705</v>
      </c>
      <c r="Q43" s="1468">
        <f t="shared" si="85"/>
        <v>491</v>
      </c>
      <c r="R43" s="1468">
        <f t="shared" si="85"/>
        <v>593</v>
      </c>
      <c r="S43" s="1468">
        <f t="shared" si="85"/>
        <v>604</v>
      </c>
      <c r="T43" s="1468">
        <f t="shared" si="85"/>
        <v>613</v>
      </c>
      <c r="U43" s="1467">
        <f t="shared" si="85"/>
        <v>2301</v>
      </c>
      <c r="V43" s="1468">
        <f t="shared" ref="V43:AQ43" si="86">SUM(V39:V42)</f>
        <v>520</v>
      </c>
      <c r="W43" s="1468">
        <f t="shared" si="86"/>
        <v>603</v>
      </c>
      <c r="X43" s="1468">
        <f t="shared" si="86"/>
        <v>670</v>
      </c>
      <c r="Y43" s="1468">
        <f t="shared" si="86"/>
        <v>673</v>
      </c>
      <c r="Z43" s="1467">
        <f t="shared" si="86"/>
        <v>2466</v>
      </c>
      <c r="AA43" s="1468">
        <f t="shared" si="86"/>
        <v>593</v>
      </c>
      <c r="AB43" s="1468">
        <f t="shared" si="86"/>
        <v>722</v>
      </c>
      <c r="AC43" s="1468">
        <f t="shared" si="86"/>
        <v>662</v>
      </c>
      <c r="AD43" s="1468">
        <f t="shared" si="86"/>
        <v>576</v>
      </c>
      <c r="AE43" s="1467">
        <f t="shared" si="86"/>
        <v>2553</v>
      </c>
      <c r="AF43" s="1468">
        <f t="shared" si="86"/>
        <v>352</v>
      </c>
      <c r="AG43" s="1468">
        <f t="shared" si="86"/>
        <v>443</v>
      </c>
      <c r="AH43" s="1468">
        <f t="shared" si="86"/>
        <v>451</v>
      </c>
      <c r="AI43" s="1468">
        <f t="shared" si="86"/>
        <v>424</v>
      </c>
      <c r="AJ43" s="1467">
        <f t="shared" si="86"/>
        <v>1670</v>
      </c>
      <c r="AK43" s="1468">
        <f t="shared" ref="AK43:AO43" si="87">SUM(AK39:AK42)</f>
        <v>370.91054448121827</v>
      </c>
      <c r="AL43" s="1468">
        <f t="shared" si="87"/>
        <v>487.01879372727984</v>
      </c>
      <c r="AM43" s="1468">
        <f t="shared" si="87"/>
        <v>487.07237178442773</v>
      </c>
      <c r="AN43" s="1468">
        <f t="shared" si="87"/>
        <v>441.50527585686905</v>
      </c>
      <c r="AO43" s="1467">
        <f t="shared" si="87"/>
        <v>1786.5069858497945</v>
      </c>
      <c r="AP43" s="1467">
        <f t="shared" si="86"/>
        <v>1938.4959909748354</v>
      </c>
      <c r="AQ43" s="1467">
        <f t="shared" si="86"/>
        <v>1970.9843036201378</v>
      </c>
      <c r="AR43" s="779"/>
      <c r="AS43" s="907" t="str">
        <f t="shared" si="70"/>
        <v>Segment Operating Profit</v>
      </c>
      <c r="AT43" s="549">
        <f t="shared" si="74"/>
        <v>1151</v>
      </c>
      <c r="AU43" s="549">
        <f t="shared" si="74"/>
        <v>1559</v>
      </c>
      <c r="AV43" s="549">
        <f>+K43</f>
        <v>1704</v>
      </c>
      <c r="AW43" s="549">
        <f>+P43</f>
        <v>1705</v>
      </c>
      <c r="AX43" s="549">
        <f>+U43</f>
        <v>2301</v>
      </c>
      <c r="AY43" s="549">
        <f>+Z43</f>
        <v>2466</v>
      </c>
      <c r="AZ43" s="549">
        <f>+AE43</f>
        <v>2553</v>
      </c>
      <c r="BA43" s="549">
        <f>+AJ43</f>
        <v>1670</v>
      </c>
      <c r="BB43" s="549">
        <f t="shared" si="75"/>
        <v>1786.5069858497945</v>
      </c>
      <c r="BC43" s="549">
        <f t="shared" si="75"/>
        <v>1938.4959909748354</v>
      </c>
      <c r="BD43" s="841">
        <f t="shared" si="75"/>
        <v>1970.9843036201378</v>
      </c>
      <c r="BE43" s="14"/>
      <c r="BF43" s="908"/>
      <c r="BG43"/>
      <c r="BH43"/>
      <c r="BI43"/>
      <c r="BJ43"/>
      <c r="BK43"/>
      <c r="BL43"/>
      <c r="BM43" s="909"/>
      <c r="BN43" s="909"/>
      <c r="BO43" s="3990"/>
      <c r="BP43" s="902"/>
      <c r="BQ43" s="902"/>
      <c r="BR43" s="909"/>
      <c r="BS43" s="909"/>
    </row>
    <row r="44" spans="1:71" ht="12.75" customHeight="1">
      <c r="A44" s="3092"/>
      <c r="B44" s="3155"/>
      <c r="C44" s="3155"/>
      <c r="D44" s="3155"/>
      <c r="E44" s="3155"/>
      <c r="F44" s="3155"/>
      <c r="G44" s="3166"/>
      <c r="H44" s="3166"/>
      <c r="I44" s="3166"/>
      <c r="J44" s="3166"/>
      <c r="K44" s="3155"/>
      <c r="L44" s="3167"/>
      <c r="M44" s="3166"/>
      <c r="N44" s="3166"/>
      <c r="O44" s="3166"/>
      <c r="P44" s="3155"/>
      <c r="Q44" s="3166"/>
      <c r="R44" s="3166"/>
      <c r="S44" s="3166"/>
      <c r="T44" s="3166"/>
      <c r="U44" s="3168"/>
      <c r="V44" s="3166"/>
      <c r="W44" s="3166"/>
      <c r="X44" s="3166"/>
      <c r="Y44" s="3169"/>
      <c r="Z44" s="3168"/>
      <c r="AA44" s="3170"/>
      <c r="AB44" s="3171"/>
      <c r="AC44" s="3171"/>
      <c r="AD44" s="3172"/>
      <c r="AE44" s="3155"/>
      <c r="AF44" s="3171"/>
      <c r="AG44" s="3171"/>
      <c r="AH44" s="3171"/>
      <c r="AI44" s="3172"/>
      <c r="AJ44" s="3155"/>
      <c r="AK44" s="3171"/>
      <c r="AL44" s="3171"/>
      <c r="AM44" s="3171"/>
      <c r="AN44" s="3172"/>
      <c r="AO44" s="3155"/>
      <c r="AP44" s="346"/>
      <c r="AQ44" s="346"/>
      <c r="AR44" s="315"/>
      <c r="AS44" s="493"/>
      <c r="AT44" s="315"/>
      <c r="AU44" s="315"/>
      <c r="AV44" s="315"/>
      <c r="AW44" s="315"/>
      <c r="AX44" s="315"/>
      <c r="AY44" s="315"/>
      <c r="AZ44" s="315"/>
      <c r="BA44" s="315"/>
      <c r="BB44" s="315"/>
      <c r="BC44" s="315"/>
      <c r="BD44" s="846"/>
      <c r="BF44" s="900"/>
      <c r="BM44" s="902"/>
      <c r="BN44" s="902"/>
      <c r="BO44" s="3990"/>
      <c r="BP44" s="902"/>
      <c r="BQ44" s="902"/>
      <c r="BR44" s="902"/>
      <c r="BS44" s="902"/>
    </row>
    <row r="45" spans="1:71" ht="12.75" customHeight="1">
      <c r="A45" s="3099" t="s">
        <v>2165</v>
      </c>
      <c r="B45" s="3121"/>
      <c r="C45" s="3121"/>
      <c r="D45" s="3121"/>
      <c r="E45" s="3121">
        <v>574</v>
      </c>
      <c r="F45" s="3121">
        <v>564</v>
      </c>
      <c r="G45" s="3122">
        <v>128</v>
      </c>
      <c r="H45" s="3122">
        <v>131</v>
      </c>
      <c r="I45" s="3122">
        <v>135</v>
      </c>
      <c r="J45" s="3122">
        <v>156</v>
      </c>
      <c r="K45" s="3120">
        <f>SUM(G45:J45)</f>
        <v>550</v>
      </c>
      <c r="L45" s="3122">
        <v>160</v>
      </c>
      <c r="M45" s="3122">
        <v>149</v>
      </c>
      <c r="N45" s="3122">
        <v>146</v>
      </c>
      <c r="O45" s="3122">
        <v>148</v>
      </c>
      <c r="P45" s="3120">
        <f>SUM(L45:O45)</f>
        <v>603</v>
      </c>
      <c r="Q45" s="3122">
        <v>153</v>
      </c>
      <c r="R45" s="3122">
        <v>158</v>
      </c>
      <c r="S45" s="3122">
        <v>159</v>
      </c>
      <c r="T45" s="3122">
        <v>158</v>
      </c>
      <c r="U45" s="3120">
        <f>SUM(Q45:T45)</f>
        <v>628</v>
      </c>
      <c r="V45" s="3122">
        <v>175</v>
      </c>
      <c r="W45" s="3122">
        <v>173</v>
      </c>
      <c r="X45" s="3122">
        <v>171</v>
      </c>
      <c r="Y45" s="3122">
        <v>173</v>
      </c>
      <c r="Z45" s="3128">
        <f>SUM(V45:Y45)</f>
        <v>692</v>
      </c>
      <c r="AA45" s="3129">
        <v>169</v>
      </c>
      <c r="AB45" s="3129">
        <v>171</v>
      </c>
      <c r="AC45" s="3129">
        <v>169</v>
      </c>
      <c r="AD45" s="3122">
        <v>177</v>
      </c>
      <c r="AE45" s="3120">
        <f>SUM(AA45:AD45)</f>
        <v>686</v>
      </c>
      <c r="AF45" s="3122">
        <v>89</v>
      </c>
      <c r="AG45" s="3122">
        <v>87</v>
      </c>
      <c r="AH45" s="3658">
        <v>83</v>
      </c>
      <c r="AI45" s="3658">
        <v>88</v>
      </c>
      <c r="AJ45" s="3120">
        <f>SUM(AF45:AI45)</f>
        <v>347</v>
      </c>
      <c r="AK45" s="3658">
        <v>82</v>
      </c>
      <c r="AL45" s="3658">
        <f>AG45-1.5</f>
        <v>85.5</v>
      </c>
      <c r="AM45" s="3658">
        <f>AH45-1.5</f>
        <v>81.5</v>
      </c>
      <c r="AN45" s="3658">
        <f>AI45-1.5</f>
        <v>86.5</v>
      </c>
      <c r="AO45" s="3128">
        <f>SUM(AK45:AN45)</f>
        <v>335.5</v>
      </c>
      <c r="AP45" s="3502">
        <f>+AO45</f>
        <v>335.5</v>
      </c>
      <c r="AQ45" s="3502">
        <f>+AP45</f>
        <v>335.5</v>
      </c>
      <c r="AR45" s="176"/>
      <c r="AS45" s="384" t="str">
        <f t="shared" ref="AS45:AS54" si="88">+A45</f>
        <v>Depreciation and amortization</v>
      </c>
      <c r="AT45" s="176">
        <f t="shared" ref="AT45:AU47" si="89">+E45</f>
        <v>574</v>
      </c>
      <c r="AU45" s="176">
        <f t="shared" si="89"/>
        <v>564</v>
      </c>
      <c r="AV45" s="176">
        <f t="shared" ref="AV45:AV54" si="90">+K45</f>
        <v>550</v>
      </c>
      <c r="AW45" s="176">
        <f t="shared" ref="AW45:AW54" si="91">+P45</f>
        <v>603</v>
      </c>
      <c r="AX45" s="176">
        <f t="shared" ref="AX45:AX54" si="92">+U45</f>
        <v>628</v>
      </c>
      <c r="AY45" s="176">
        <f t="shared" ref="AY45:AY54" si="93">+Z45</f>
        <v>692</v>
      </c>
      <c r="AZ45" s="176">
        <f t="shared" ref="AZ45:AZ54" si="94">+AE45</f>
        <v>686</v>
      </c>
      <c r="BA45" s="176">
        <f>+AJ45</f>
        <v>347</v>
      </c>
      <c r="BB45" s="176">
        <f t="shared" ref="BB45:BD54" si="95">+AO45</f>
        <v>335.5</v>
      </c>
      <c r="BC45" s="176">
        <f t="shared" si="95"/>
        <v>335.5</v>
      </c>
      <c r="BD45" s="844">
        <f t="shared" si="95"/>
        <v>335.5</v>
      </c>
      <c r="BF45" s="900"/>
      <c r="BM45" s="902"/>
      <c r="BN45" s="902"/>
      <c r="BO45" s="3990"/>
      <c r="BP45" s="902"/>
      <c r="BQ45" s="902"/>
      <c r="BR45" s="902"/>
      <c r="BS45" s="902"/>
    </row>
    <row r="46" spans="1:71" ht="12.75" customHeight="1">
      <c r="A46" s="3151" t="s">
        <v>2366</v>
      </c>
      <c r="B46" s="3173"/>
      <c r="C46" s="3173"/>
      <c r="D46" s="3173"/>
      <c r="E46" s="3173">
        <v>24</v>
      </c>
      <c r="F46" s="3173">
        <v>20</v>
      </c>
      <c r="G46" s="3174">
        <v>1</v>
      </c>
      <c r="H46" s="3174">
        <v>15</v>
      </c>
      <c r="I46" s="3174">
        <v>17</v>
      </c>
      <c r="J46" s="3174">
        <v>21</v>
      </c>
      <c r="K46" s="3175">
        <f>SUM(G46:J46)</f>
        <v>54</v>
      </c>
      <c r="L46" s="3174">
        <v>0</v>
      </c>
      <c r="M46" s="3174">
        <v>0</v>
      </c>
      <c r="N46" s="3174">
        <v>0</v>
      </c>
      <c r="O46" s="3174">
        <v>0</v>
      </c>
      <c r="P46" s="3175">
        <f>SUM(L46:O46)</f>
        <v>0</v>
      </c>
      <c r="Q46" s="3174">
        <v>0</v>
      </c>
      <c r="R46" s="3174">
        <v>0</v>
      </c>
      <c r="S46" s="3174">
        <v>0</v>
      </c>
      <c r="T46" s="3174">
        <v>0</v>
      </c>
      <c r="U46" s="3175">
        <f>SUM(Q46:T46)</f>
        <v>0</v>
      </c>
      <c r="V46" s="3174">
        <v>-145</v>
      </c>
      <c r="W46" s="3174">
        <v>3</v>
      </c>
      <c r="X46" s="3174">
        <v>-164</v>
      </c>
      <c r="Y46" s="3174">
        <v>9</v>
      </c>
      <c r="Z46" s="3175">
        <f>SUM(V46:Y46)</f>
        <v>-297</v>
      </c>
      <c r="AA46" s="3176">
        <v>15</v>
      </c>
      <c r="AB46" s="3174">
        <v>0</v>
      </c>
      <c r="AC46" s="3174">
        <v>0</v>
      </c>
      <c r="AD46" s="3177">
        <v>-7</v>
      </c>
      <c r="AE46" s="3175">
        <f>SUM(AA46:AD46)</f>
        <v>8</v>
      </c>
      <c r="AF46" s="3174">
        <v>0</v>
      </c>
      <c r="AG46" s="3174">
        <v>0</v>
      </c>
      <c r="AH46" s="3174">
        <v>0</v>
      </c>
      <c r="AI46" s="3177">
        <v>0</v>
      </c>
      <c r="AJ46" s="3175">
        <f>SUM(AF46:AI46)</f>
        <v>0</v>
      </c>
      <c r="AK46" s="3930">
        <v>0</v>
      </c>
      <c r="AL46" s="3930">
        <v>0</v>
      </c>
      <c r="AM46" s="3930">
        <v>0</v>
      </c>
      <c r="AN46" s="3930">
        <v>0</v>
      </c>
      <c r="AO46" s="3175">
        <f>SUM(AK46:AN46)</f>
        <v>0</v>
      </c>
      <c r="AP46" s="1164">
        <v>0</v>
      </c>
      <c r="AQ46" s="1165">
        <v>0</v>
      </c>
      <c r="AR46" s="1166"/>
      <c r="AS46" s="492" t="str">
        <f t="shared" si="88"/>
        <v>Impairment losses (Other)</v>
      </c>
      <c r="AT46" s="1166">
        <f t="shared" si="89"/>
        <v>24</v>
      </c>
      <c r="AU46" s="1166">
        <f t="shared" si="89"/>
        <v>20</v>
      </c>
      <c r="AV46" s="1166">
        <f t="shared" si="90"/>
        <v>54</v>
      </c>
      <c r="AW46" s="1166">
        <f t="shared" si="91"/>
        <v>0</v>
      </c>
      <c r="AX46" s="1166">
        <f t="shared" si="92"/>
        <v>0</v>
      </c>
      <c r="AY46" s="1166">
        <f t="shared" si="93"/>
        <v>-297</v>
      </c>
      <c r="AZ46" s="1166">
        <f t="shared" si="94"/>
        <v>8</v>
      </c>
      <c r="BA46" s="1166">
        <f>+AJ46</f>
        <v>0</v>
      </c>
      <c r="BB46" s="1166">
        <f t="shared" si="95"/>
        <v>0</v>
      </c>
      <c r="BC46" s="1166">
        <f t="shared" si="95"/>
        <v>0</v>
      </c>
      <c r="BD46" s="1167">
        <f t="shared" si="95"/>
        <v>0</v>
      </c>
      <c r="BF46" s="900"/>
      <c r="BM46" s="902"/>
      <c r="BN46" s="902"/>
      <c r="BO46" s="3990"/>
      <c r="BP46" s="902"/>
      <c r="BQ46" s="902"/>
      <c r="BR46" s="902"/>
      <c r="BS46" s="902"/>
    </row>
    <row r="47" spans="1:71" ht="12.75" customHeight="1">
      <c r="A47" s="3092" t="s">
        <v>199</v>
      </c>
      <c r="B47" s="3093"/>
      <c r="C47" s="3093"/>
      <c r="D47" s="3093"/>
      <c r="E47" s="3093">
        <f t="shared" ref="E47:N47" si="96">E24-E36-E45-E46</f>
        <v>553</v>
      </c>
      <c r="F47" s="3093">
        <f t="shared" si="96"/>
        <v>975</v>
      </c>
      <c r="G47" s="3094">
        <f t="shared" si="96"/>
        <v>194</v>
      </c>
      <c r="H47" s="3094">
        <f t="shared" si="96"/>
        <v>298</v>
      </c>
      <c r="I47" s="3094">
        <f t="shared" si="96"/>
        <v>345</v>
      </c>
      <c r="J47" s="3178">
        <f t="shared" si="96"/>
        <v>263</v>
      </c>
      <c r="K47" s="3093">
        <f t="shared" si="96"/>
        <v>1100</v>
      </c>
      <c r="L47" s="3094">
        <f t="shared" si="96"/>
        <v>252</v>
      </c>
      <c r="M47" s="3094">
        <f t="shared" si="96"/>
        <v>404</v>
      </c>
      <c r="N47" s="3178">
        <f t="shared" si="96"/>
        <v>357</v>
      </c>
      <c r="O47" s="3178">
        <f>O24-O36-O45-O46</f>
        <v>89</v>
      </c>
      <c r="P47" s="3093">
        <f t="shared" ref="P47:U47" si="97">P24-P36-P45-P46</f>
        <v>1102</v>
      </c>
      <c r="Q47" s="3094">
        <f t="shared" si="97"/>
        <v>338</v>
      </c>
      <c r="R47" s="3094">
        <f t="shared" si="97"/>
        <v>435</v>
      </c>
      <c r="S47" s="3094">
        <f t="shared" si="97"/>
        <v>445</v>
      </c>
      <c r="T47" s="3094">
        <f t="shared" si="97"/>
        <v>455</v>
      </c>
      <c r="U47" s="3093">
        <f t="shared" si="97"/>
        <v>1673</v>
      </c>
      <c r="V47" s="3178">
        <f t="shared" ref="V47:AQ47" si="98">V24-V36-V45-V46</f>
        <v>490</v>
      </c>
      <c r="W47" s="3094">
        <f t="shared" si="98"/>
        <v>427</v>
      </c>
      <c r="X47" s="3094">
        <f t="shared" si="98"/>
        <v>663</v>
      </c>
      <c r="Y47" s="3094">
        <f t="shared" si="98"/>
        <v>491</v>
      </c>
      <c r="Z47" s="3093">
        <f t="shared" si="98"/>
        <v>2071</v>
      </c>
      <c r="AA47" s="3094">
        <f t="shared" si="98"/>
        <v>409</v>
      </c>
      <c r="AB47" s="3094">
        <f t="shared" si="98"/>
        <v>551</v>
      </c>
      <c r="AC47" s="3094">
        <f t="shared" si="98"/>
        <v>493</v>
      </c>
      <c r="AD47" s="3097">
        <f t="shared" si="98"/>
        <v>406</v>
      </c>
      <c r="AE47" s="3093">
        <f t="shared" si="98"/>
        <v>1859</v>
      </c>
      <c r="AF47" s="3094">
        <f t="shared" si="98"/>
        <v>277</v>
      </c>
      <c r="AG47" s="3094">
        <f t="shared" si="98"/>
        <v>365</v>
      </c>
      <c r="AH47" s="3094">
        <f t="shared" si="98"/>
        <v>382</v>
      </c>
      <c r="AI47" s="3097">
        <f t="shared" si="98"/>
        <v>348</v>
      </c>
      <c r="AJ47" s="3093">
        <f t="shared" si="98"/>
        <v>1372</v>
      </c>
      <c r="AK47" s="3094">
        <f t="shared" ref="AK47:AO47" si="99">AK24-AK36-AK45-AK46</f>
        <v>290.91054448121827</v>
      </c>
      <c r="AL47" s="3094">
        <f t="shared" si="99"/>
        <v>415.5187937272799</v>
      </c>
      <c r="AM47" s="3094">
        <f t="shared" si="99"/>
        <v>423.57237178442756</v>
      </c>
      <c r="AN47" s="3094">
        <f t="shared" si="99"/>
        <v>370.00527585686905</v>
      </c>
      <c r="AO47" s="3093">
        <f t="shared" si="99"/>
        <v>1500.0069858497936</v>
      </c>
      <c r="AP47" s="294">
        <f t="shared" si="98"/>
        <v>1651.9959909748359</v>
      </c>
      <c r="AQ47" s="294">
        <f t="shared" si="98"/>
        <v>1684.4843036201382</v>
      </c>
      <c r="AR47" s="4123"/>
      <c r="AS47" s="493" t="str">
        <f t="shared" si="88"/>
        <v>Operating Income</v>
      </c>
      <c r="AT47" s="173">
        <f t="shared" si="89"/>
        <v>553</v>
      </c>
      <c r="AU47" s="173">
        <f t="shared" si="89"/>
        <v>975</v>
      </c>
      <c r="AV47" s="173">
        <f t="shared" si="90"/>
        <v>1100</v>
      </c>
      <c r="AW47" s="173">
        <f t="shared" si="91"/>
        <v>1102</v>
      </c>
      <c r="AX47" s="173">
        <f t="shared" si="92"/>
        <v>1673</v>
      </c>
      <c r="AY47" s="173">
        <f t="shared" si="93"/>
        <v>2071</v>
      </c>
      <c r="AZ47" s="173">
        <f t="shared" si="94"/>
        <v>1859</v>
      </c>
      <c r="BA47" s="173">
        <f>+AJ47</f>
        <v>1372</v>
      </c>
      <c r="BB47" s="173">
        <f t="shared" si="95"/>
        <v>1500.0069858497936</v>
      </c>
      <c r="BC47" s="173">
        <f t="shared" si="95"/>
        <v>1651.9959909748359</v>
      </c>
      <c r="BD47" s="423">
        <f t="shared" si="95"/>
        <v>1684.4843036201382</v>
      </c>
      <c r="BF47" s="900"/>
      <c r="BM47" s="902"/>
      <c r="BN47" s="902"/>
      <c r="BO47" s="3990"/>
      <c r="BP47" s="902"/>
      <c r="BQ47" s="902"/>
      <c r="BR47" s="902"/>
      <c r="BS47" s="902"/>
    </row>
    <row r="48" spans="1:71" ht="12.75" customHeight="1">
      <c r="A48" s="3505" t="s">
        <v>2943</v>
      </c>
      <c r="B48" s="3093"/>
      <c r="C48" s="3093"/>
      <c r="D48" s="3093"/>
      <c r="E48" s="3093"/>
      <c r="F48" s="3093"/>
      <c r="G48" s="3094"/>
      <c r="H48" s="3094"/>
      <c r="I48" s="3094"/>
      <c r="J48" s="3178"/>
      <c r="K48" s="3093"/>
      <c r="L48" s="3094"/>
      <c r="M48" s="3094"/>
      <c r="N48" s="3178"/>
      <c r="O48" s="3178"/>
      <c r="P48" s="3093"/>
      <c r="Q48" s="3094"/>
      <c r="R48" s="3094"/>
      <c r="S48" s="3094"/>
      <c r="T48" s="3094"/>
      <c r="U48" s="3093"/>
      <c r="V48" s="3178"/>
      <c r="W48" s="3094"/>
      <c r="X48" s="3094"/>
      <c r="Y48" s="3094"/>
      <c r="Z48" s="3093"/>
      <c r="AA48" s="3094"/>
      <c r="AB48" s="3094"/>
      <c r="AC48" s="3094"/>
      <c r="AD48" s="3097"/>
      <c r="AE48" s="3093"/>
      <c r="AF48" s="3094"/>
      <c r="AG48" s="3094"/>
      <c r="AH48" s="3094"/>
      <c r="AI48" s="3573"/>
      <c r="AJ48" s="3093"/>
      <c r="AK48" s="3094"/>
      <c r="AL48" s="3094"/>
      <c r="AM48" s="3094"/>
      <c r="AN48" s="3573"/>
      <c r="AO48" s="3093"/>
      <c r="AP48" s="3508" t="s">
        <v>2949</v>
      </c>
      <c r="AQ48" s="294"/>
      <c r="AR48" s="173"/>
      <c r="AS48" s="493"/>
      <c r="AT48" s="173"/>
      <c r="AU48" s="173"/>
      <c r="AV48" s="173"/>
      <c r="AW48" s="173"/>
      <c r="AX48" s="173"/>
      <c r="AY48" s="173"/>
      <c r="AZ48" s="173"/>
      <c r="BA48" s="173"/>
      <c r="BB48" s="173"/>
      <c r="BC48" s="173"/>
      <c r="BD48" s="423"/>
      <c r="BF48" s="900"/>
      <c r="BM48" s="902"/>
      <c r="BN48" s="902"/>
      <c r="BO48" s="3990"/>
      <c r="BP48" s="902"/>
      <c r="BQ48" s="902"/>
      <c r="BR48" s="902"/>
      <c r="BS48" s="902"/>
    </row>
    <row r="49" spans="1:71" ht="12.75" customHeight="1">
      <c r="A49" s="3092"/>
      <c r="B49" s="3093"/>
      <c r="C49" s="3093"/>
      <c r="D49" s="3093"/>
      <c r="E49" s="3093"/>
      <c r="F49" s="3093"/>
      <c r="G49" s="3094"/>
      <c r="H49" s="3094"/>
      <c r="I49" s="3094"/>
      <c r="J49" s="3178"/>
      <c r="K49" s="3093"/>
      <c r="L49" s="3094"/>
      <c r="M49" s="3094"/>
      <c r="N49" s="3178"/>
      <c r="O49" s="3178"/>
      <c r="P49" s="3093"/>
      <c r="Q49" s="3094"/>
      <c r="R49" s="3094"/>
      <c r="S49" s="3094"/>
      <c r="T49" s="3094"/>
      <c r="U49" s="3093"/>
      <c r="V49" s="3178"/>
      <c r="W49" s="3094"/>
      <c r="X49" s="3094"/>
      <c r="Y49" s="3094"/>
      <c r="Z49" s="3093"/>
      <c r="AA49" s="3094"/>
      <c r="AB49" s="3094"/>
      <c r="AC49" s="3094"/>
      <c r="AD49" s="3097"/>
      <c r="AE49" s="3093"/>
      <c r="AF49" s="3094"/>
      <c r="AG49" s="3094"/>
      <c r="AH49" s="3094"/>
      <c r="AI49" s="3574"/>
      <c r="AJ49" s="3093"/>
      <c r="AK49" s="3094"/>
      <c r="AL49" s="3094"/>
      <c r="AM49" s="3094"/>
      <c r="AN49" s="3574"/>
      <c r="AO49" s="3093"/>
      <c r="AP49" s="294"/>
      <c r="AQ49" s="294"/>
      <c r="AR49" s="173"/>
      <c r="AS49" s="493"/>
      <c r="AT49" s="173"/>
      <c r="AU49" s="173"/>
      <c r="AV49" s="173"/>
      <c r="AW49" s="173"/>
      <c r="AX49" s="173"/>
      <c r="AY49" s="173"/>
      <c r="AZ49" s="173"/>
      <c r="BA49" s="173"/>
      <c r="BB49" s="173"/>
      <c r="BC49" s="173"/>
      <c r="BD49" s="423"/>
      <c r="BF49" s="900"/>
      <c r="BM49" s="902"/>
      <c r="BN49" s="902"/>
      <c r="BO49" s="3990"/>
      <c r="BP49" s="902"/>
      <c r="BQ49" s="902"/>
      <c r="BR49" s="902"/>
      <c r="BS49" s="902"/>
    </row>
    <row r="50" spans="1:71" ht="12.75" customHeight="1">
      <c r="A50" s="3099" t="s">
        <v>578</v>
      </c>
      <c r="B50" s="3121"/>
      <c r="C50" s="3121"/>
      <c r="D50" s="3121"/>
      <c r="E50" s="3121">
        <f>-937-E51</f>
        <v>9</v>
      </c>
      <c r="F50" s="3121">
        <f>-632-F51</f>
        <v>11</v>
      </c>
      <c r="G50" s="3122">
        <v>6</v>
      </c>
      <c r="H50" s="3122">
        <v>3</v>
      </c>
      <c r="I50" s="3122">
        <v>2</v>
      </c>
      <c r="J50" s="3122">
        <v>4</v>
      </c>
      <c r="K50" s="3120">
        <f>SUM(G50:J50)</f>
        <v>15</v>
      </c>
      <c r="L50" s="3122">
        <v>2</v>
      </c>
      <c r="M50" s="3122">
        <v>1</v>
      </c>
      <c r="N50" s="3122">
        <v>2</v>
      </c>
      <c r="O50" s="3122">
        <v>4</v>
      </c>
      <c r="P50" s="3120">
        <f>SUM(L50:O50)</f>
        <v>9</v>
      </c>
      <c r="Q50" s="3122">
        <v>1</v>
      </c>
      <c r="R50" s="3122">
        <v>5</v>
      </c>
      <c r="S50" s="3122">
        <v>2</v>
      </c>
      <c r="T50" s="3122">
        <v>2</v>
      </c>
      <c r="U50" s="3120">
        <f>SUM(Q50:T50)</f>
        <v>10</v>
      </c>
      <c r="V50" s="3122">
        <v>6</v>
      </c>
      <c r="W50" s="3122">
        <v>2</v>
      </c>
      <c r="X50" s="3122">
        <v>3</v>
      </c>
      <c r="Y50" s="3122">
        <v>8</v>
      </c>
      <c r="Z50" s="3128">
        <f>SUM(V50:Y50)</f>
        <v>19</v>
      </c>
      <c r="AA50" s="3129">
        <v>3</v>
      </c>
      <c r="AB50" s="3129">
        <v>4</v>
      </c>
      <c r="AC50" s="3129">
        <v>3</v>
      </c>
      <c r="AD50" s="3182">
        <v>2</v>
      </c>
      <c r="AE50" s="3120">
        <f>SUM(AA50:AD50)</f>
        <v>12</v>
      </c>
      <c r="AF50" s="3130">
        <v>0</v>
      </c>
      <c r="AG50" s="3130">
        <v>0</v>
      </c>
      <c r="AH50" s="3130">
        <v>0</v>
      </c>
      <c r="AI50" s="3130">
        <v>0</v>
      </c>
      <c r="AJ50" s="3120">
        <f>SUM(AF50:AI50)</f>
        <v>0</v>
      </c>
      <c r="AK50" s="3130">
        <f t="shared" ref="AK50:AN50" ca="1" si="100">AK694</f>
        <v>2.4966412851618718</v>
      </c>
      <c r="AL50" s="3130">
        <f t="shared" ca="1" si="100"/>
        <v>3.3987139731947487</v>
      </c>
      <c r="AM50" s="3130">
        <f t="shared" ca="1" si="100"/>
        <v>3.9675536532405182</v>
      </c>
      <c r="AN50" s="3130">
        <f t="shared" ca="1" si="100"/>
        <v>4.2902255608001871</v>
      </c>
      <c r="AO50" s="3128">
        <f ca="1">SUM(AK50:AN50)</f>
        <v>14.153134472397326</v>
      </c>
      <c r="AP50" s="172">
        <f ca="1">AP694</f>
        <v>18.795273885410342</v>
      </c>
      <c r="AQ50" s="172">
        <f ca="1">AQ694</f>
        <v>26.182972427987803</v>
      </c>
      <c r="AR50" s="176"/>
      <c r="AS50" s="384" t="str">
        <f t="shared" si="88"/>
        <v>Interest income</v>
      </c>
      <c r="AT50" s="176">
        <f t="shared" ref="AT50:AU54" si="101">+E50</f>
        <v>9</v>
      </c>
      <c r="AU50" s="176">
        <f t="shared" si="101"/>
        <v>11</v>
      </c>
      <c r="AV50" s="176">
        <f t="shared" si="90"/>
        <v>15</v>
      </c>
      <c r="AW50" s="176">
        <f t="shared" si="91"/>
        <v>9</v>
      </c>
      <c r="AX50" s="176">
        <f t="shared" si="92"/>
        <v>10</v>
      </c>
      <c r="AY50" s="176">
        <f t="shared" si="93"/>
        <v>19</v>
      </c>
      <c r="AZ50" s="176">
        <f t="shared" si="94"/>
        <v>12</v>
      </c>
      <c r="BA50" s="176">
        <f>+AJ50</f>
        <v>0</v>
      </c>
      <c r="BB50" s="176">
        <f t="shared" ca="1" si="95"/>
        <v>14.153134472397326</v>
      </c>
      <c r="BC50" s="176">
        <f t="shared" ca="1" si="95"/>
        <v>18.795273885410342</v>
      </c>
      <c r="BD50" s="844">
        <f t="shared" ca="1" si="95"/>
        <v>26.182972427987803</v>
      </c>
      <c r="BF50" s="900"/>
      <c r="BM50" s="902"/>
      <c r="BN50" s="902"/>
      <c r="BO50" s="3990"/>
      <c r="BP50" s="902"/>
      <c r="BQ50" s="902"/>
      <c r="BR50" s="902"/>
      <c r="BS50" s="902"/>
    </row>
    <row r="51" spans="1:71" ht="12.75" customHeight="1">
      <c r="A51" s="3099" t="s">
        <v>577</v>
      </c>
      <c r="B51" s="3121"/>
      <c r="C51" s="3121"/>
      <c r="D51" s="3121"/>
      <c r="E51" s="3121">
        <v>-946</v>
      </c>
      <c r="F51" s="3121">
        <v>-643</v>
      </c>
      <c r="G51" s="3122">
        <v>-143</v>
      </c>
      <c r="H51" s="3122">
        <v>-138</v>
      </c>
      <c r="I51" s="3122">
        <v>-142</v>
      </c>
      <c r="J51" s="3122">
        <v>-146</v>
      </c>
      <c r="K51" s="3120">
        <f>SUM(G51:J51)</f>
        <v>-569</v>
      </c>
      <c r="L51" s="3122">
        <v>-143</v>
      </c>
      <c r="M51" s="3122">
        <v>-131</v>
      </c>
      <c r="N51" s="3122">
        <v>-127</v>
      </c>
      <c r="O51" s="3122">
        <v>-219</v>
      </c>
      <c r="P51" s="3120">
        <f>SUM(L51:O51)</f>
        <v>-620</v>
      </c>
      <c r="Q51" s="3122">
        <v>-153</v>
      </c>
      <c r="R51" s="3122">
        <v>-158</v>
      </c>
      <c r="S51" s="3122">
        <v>-156</v>
      </c>
      <c r="T51" s="3122">
        <v>-151</v>
      </c>
      <c r="U51" s="3120">
        <f>SUM(Q51:T51)</f>
        <v>-618</v>
      </c>
      <c r="V51" s="3122">
        <v>-144</v>
      </c>
      <c r="W51" s="3122">
        <v>-149</v>
      </c>
      <c r="X51" s="3122">
        <v>-138</v>
      </c>
      <c r="Y51" s="3122">
        <v>-144</v>
      </c>
      <c r="Z51" s="3128">
        <f>SUM(V51:Y51)</f>
        <v>-575</v>
      </c>
      <c r="AA51" s="3129">
        <v>-139</v>
      </c>
      <c r="AB51" s="3129">
        <v>-147</v>
      </c>
      <c r="AC51" s="3129">
        <v>-148</v>
      </c>
      <c r="AD51" s="3182">
        <v>-153</v>
      </c>
      <c r="AE51" s="3120">
        <f>SUM(AA51:AD51)</f>
        <v>-587</v>
      </c>
      <c r="AF51" s="3658">
        <v>-104</v>
      </c>
      <c r="AG51" s="3658">
        <v>-100</v>
      </c>
      <c r="AH51" s="3658">
        <v>-100</v>
      </c>
      <c r="AI51" s="4010">
        <v>-104</v>
      </c>
      <c r="AJ51" s="3120">
        <f>SUM(AF51:AI51)</f>
        <v>-408</v>
      </c>
      <c r="AK51" s="3130">
        <f t="shared" ref="AK51:AN51" si="102">-AK691</f>
        <v>-84.56268750000001</v>
      </c>
      <c r="AL51" s="3130">
        <f t="shared" si="102"/>
        <v>-86.028312499999998</v>
      </c>
      <c r="AM51" s="3130">
        <f t="shared" si="102"/>
        <v>-87.493937500000001</v>
      </c>
      <c r="AN51" s="3130">
        <f t="shared" si="102"/>
        <v>-87.959562500000004</v>
      </c>
      <c r="AO51" s="3128">
        <f>SUM(AK51:AN51)</f>
        <v>-346.04450000000003</v>
      </c>
      <c r="AP51" s="844">
        <f>-AP691</f>
        <v>-353.49450000000002</v>
      </c>
      <c r="AQ51" s="844">
        <f>-AQ691</f>
        <v>-360.94450000000001</v>
      </c>
      <c r="AR51" s="176"/>
      <c r="AS51" s="384" t="str">
        <f t="shared" si="88"/>
        <v>Interest expense</v>
      </c>
      <c r="AT51" s="176">
        <f t="shared" si="101"/>
        <v>-946</v>
      </c>
      <c r="AU51" s="176">
        <f t="shared" si="101"/>
        <v>-643</v>
      </c>
      <c r="AV51" s="176">
        <f t="shared" si="90"/>
        <v>-569</v>
      </c>
      <c r="AW51" s="176">
        <f t="shared" si="91"/>
        <v>-620</v>
      </c>
      <c r="AX51" s="176">
        <f t="shared" si="92"/>
        <v>-618</v>
      </c>
      <c r="AY51" s="176">
        <f t="shared" si="93"/>
        <v>-575</v>
      </c>
      <c r="AZ51" s="176">
        <f t="shared" si="94"/>
        <v>-587</v>
      </c>
      <c r="BA51" s="176">
        <f>+AJ51</f>
        <v>-408</v>
      </c>
      <c r="BB51" s="176">
        <f t="shared" si="95"/>
        <v>-346.04450000000003</v>
      </c>
      <c r="BC51" s="176">
        <f t="shared" si="95"/>
        <v>-353.49450000000002</v>
      </c>
      <c r="BD51" s="844">
        <f t="shared" si="95"/>
        <v>-360.94450000000001</v>
      </c>
      <c r="BF51" s="900"/>
      <c r="BM51" s="902"/>
      <c r="BN51" s="902"/>
      <c r="BO51" s="3990"/>
      <c r="BP51" s="902"/>
      <c r="BQ51" s="902"/>
      <c r="BR51" s="902"/>
      <c r="BS51" s="902"/>
    </row>
    <row r="52" spans="1:71" ht="12.75" customHeight="1">
      <c r="A52" s="3099" t="s">
        <v>2148</v>
      </c>
      <c r="B52" s="3121"/>
      <c r="C52" s="3121"/>
      <c r="D52" s="3121"/>
      <c r="E52" s="3121">
        <v>0</v>
      </c>
      <c r="F52" s="3121">
        <v>0</v>
      </c>
      <c r="G52" s="3122">
        <v>0</v>
      </c>
      <c r="H52" s="3122">
        <v>-2</v>
      </c>
      <c r="I52" s="3122">
        <v>3</v>
      </c>
      <c r="J52" s="3122">
        <v>-12</v>
      </c>
      <c r="K52" s="3120">
        <f>SUM(G52:J52)</f>
        <v>-11</v>
      </c>
      <c r="L52" s="3122">
        <v>1</v>
      </c>
      <c r="M52" s="3122">
        <v>7</v>
      </c>
      <c r="N52" s="3122">
        <v>3</v>
      </c>
      <c r="O52" s="3122">
        <v>5</v>
      </c>
      <c r="P52" s="3120">
        <f>SUM(L52:O52)</f>
        <v>16</v>
      </c>
      <c r="Q52" s="3122">
        <v>4</v>
      </c>
      <c r="R52" s="3122">
        <v>8</v>
      </c>
      <c r="S52" s="3122">
        <v>4</v>
      </c>
      <c r="T52" s="3122">
        <v>3</v>
      </c>
      <c r="U52" s="3120">
        <f>SUM(Q52:T52)</f>
        <v>19</v>
      </c>
      <c r="V52" s="3122">
        <v>4</v>
      </c>
      <c r="W52" s="3122">
        <v>9</v>
      </c>
      <c r="X52" s="3122">
        <v>9</v>
      </c>
      <c r="Y52" s="3122">
        <v>1</v>
      </c>
      <c r="Z52" s="3128">
        <f>SUM(V52:Y52)</f>
        <v>23</v>
      </c>
      <c r="AA52" s="3129">
        <v>3</v>
      </c>
      <c r="AB52" s="3129">
        <v>8</v>
      </c>
      <c r="AC52" s="3129">
        <v>7</v>
      </c>
      <c r="AD52" s="3182">
        <v>-10</v>
      </c>
      <c r="AE52" s="3120">
        <f>SUM(AA52:AD52)</f>
        <v>8</v>
      </c>
      <c r="AF52" s="3658">
        <v>0</v>
      </c>
      <c r="AG52" s="3130">
        <v>0</v>
      </c>
      <c r="AH52" s="3658">
        <v>0</v>
      </c>
      <c r="AI52" s="3179">
        <f ca="1">AI458</f>
        <v>0</v>
      </c>
      <c r="AJ52" s="3120">
        <f ca="1">SUM(AF52:AI52)</f>
        <v>0</v>
      </c>
      <c r="AK52" s="3130">
        <f t="shared" ref="AK52:AN52" si="103">AK458</f>
        <v>0</v>
      </c>
      <c r="AL52" s="3130">
        <f t="shared" si="103"/>
        <v>0</v>
      </c>
      <c r="AM52" s="3130">
        <f t="shared" si="103"/>
        <v>0</v>
      </c>
      <c r="AN52" s="3130">
        <f t="shared" ca="1" si="103"/>
        <v>0</v>
      </c>
      <c r="AO52" s="3128">
        <f ca="1">SUM(AK52:AN52)</f>
        <v>0</v>
      </c>
      <c r="AP52" s="172">
        <f ca="1">AP458</f>
        <v>0</v>
      </c>
      <c r="AQ52" s="172">
        <f ca="1">AQ458</f>
        <v>0</v>
      </c>
      <c r="AR52" s="176"/>
      <c r="AS52" s="384" t="str">
        <f t="shared" si="88"/>
        <v>Equity in earnings (losses) from unconsolidated affiliates</v>
      </c>
      <c r="AT52" s="176">
        <f t="shared" si="101"/>
        <v>0</v>
      </c>
      <c r="AU52" s="176">
        <f t="shared" si="101"/>
        <v>0</v>
      </c>
      <c r="AV52" s="176">
        <f t="shared" si="90"/>
        <v>-11</v>
      </c>
      <c r="AW52" s="176">
        <f t="shared" si="91"/>
        <v>16</v>
      </c>
      <c r="AX52" s="176">
        <f t="shared" si="92"/>
        <v>19</v>
      </c>
      <c r="AY52" s="176">
        <f t="shared" si="93"/>
        <v>23</v>
      </c>
      <c r="AZ52" s="176">
        <f t="shared" si="94"/>
        <v>8</v>
      </c>
      <c r="BA52" s="176">
        <f ca="1">+AJ52</f>
        <v>0</v>
      </c>
      <c r="BB52" s="176">
        <f t="shared" ca="1" si="95"/>
        <v>0</v>
      </c>
      <c r="BC52" s="176">
        <f t="shared" ca="1" si="95"/>
        <v>0</v>
      </c>
      <c r="BD52" s="844">
        <f t="shared" ca="1" si="95"/>
        <v>0</v>
      </c>
      <c r="BF52" s="900"/>
      <c r="BM52" s="902"/>
      <c r="BN52" s="902"/>
      <c r="BO52" s="3990"/>
      <c r="BP52" s="902"/>
      <c r="BQ52" s="902"/>
      <c r="BR52" s="902"/>
      <c r="BS52" s="902"/>
    </row>
    <row r="53" spans="1:71" ht="12.75" customHeight="1">
      <c r="A53" s="3099" t="s">
        <v>2147</v>
      </c>
      <c r="B53" s="3143"/>
      <c r="C53" s="3143"/>
      <c r="D53" s="3143"/>
      <c r="E53" s="3143">
        <v>18</v>
      </c>
      <c r="F53" s="3143">
        <v>-21</v>
      </c>
      <c r="G53" s="3180">
        <v>30</v>
      </c>
      <c r="H53" s="3180">
        <v>-29</v>
      </c>
      <c r="I53" s="3181">
        <v>26</v>
      </c>
      <c r="J53" s="3181">
        <v>-4</v>
      </c>
      <c r="K53" s="3120">
        <f>SUM(G53:J53)</f>
        <v>23</v>
      </c>
      <c r="L53" s="3181">
        <v>-43</v>
      </c>
      <c r="M53" s="3181">
        <v>-39</v>
      </c>
      <c r="N53" s="3181">
        <v>39</v>
      </c>
      <c r="O53" s="3181">
        <v>-2</v>
      </c>
      <c r="P53" s="3120">
        <f>SUM(L53:O53)</f>
        <v>-45</v>
      </c>
      <c r="Q53" s="3181">
        <v>14</v>
      </c>
      <c r="R53" s="3181">
        <v>32</v>
      </c>
      <c r="S53" s="3181">
        <v>-5</v>
      </c>
      <c r="T53" s="3181">
        <v>-15</v>
      </c>
      <c r="U53" s="3120">
        <f>SUM(Q53:T53)</f>
        <v>26</v>
      </c>
      <c r="V53" s="3122">
        <v>-18</v>
      </c>
      <c r="W53" s="3122">
        <v>5</v>
      </c>
      <c r="X53" s="3122">
        <v>-8</v>
      </c>
      <c r="Y53" s="3181">
        <v>-20</v>
      </c>
      <c r="Z53" s="3128">
        <f>SUM(V53:Y53)</f>
        <v>-41</v>
      </c>
      <c r="AA53" s="3181">
        <v>-12</v>
      </c>
      <c r="AB53" s="3181">
        <v>-13</v>
      </c>
      <c r="AC53" s="3181">
        <v>-8</v>
      </c>
      <c r="AD53" s="3182">
        <v>20</v>
      </c>
      <c r="AE53" s="3120">
        <f>SUM(AA53:AD53)</f>
        <v>-13</v>
      </c>
      <c r="AF53" s="3181">
        <v>-4</v>
      </c>
      <c r="AG53" s="3181">
        <v>5</v>
      </c>
      <c r="AH53" s="3673">
        <v>2</v>
      </c>
      <c r="AI53" s="3182">
        <v>0</v>
      </c>
      <c r="AJ53" s="3120">
        <f>SUM(AF53:AI53)</f>
        <v>3</v>
      </c>
      <c r="AK53" s="3181">
        <v>0</v>
      </c>
      <c r="AL53" s="3181">
        <v>0</v>
      </c>
      <c r="AM53" s="3181">
        <v>0</v>
      </c>
      <c r="AN53" s="3181">
        <v>0</v>
      </c>
      <c r="AO53" s="3128">
        <f>SUM(AK53:AN53)</f>
        <v>0</v>
      </c>
      <c r="AP53" s="172">
        <v>0</v>
      </c>
      <c r="AQ53" s="551">
        <v>0</v>
      </c>
      <c r="AR53" s="162"/>
      <c r="AS53" s="384" t="str">
        <f t="shared" si="88"/>
        <v>Gain (loss) on foreign currency transactions</v>
      </c>
      <c r="AT53" s="162">
        <f t="shared" si="101"/>
        <v>18</v>
      </c>
      <c r="AU53" s="162">
        <f t="shared" si="101"/>
        <v>-21</v>
      </c>
      <c r="AV53" s="162">
        <f t="shared" si="90"/>
        <v>23</v>
      </c>
      <c r="AW53" s="162">
        <f t="shared" si="91"/>
        <v>-45</v>
      </c>
      <c r="AX53" s="162">
        <f t="shared" si="92"/>
        <v>26</v>
      </c>
      <c r="AY53" s="162">
        <f t="shared" si="93"/>
        <v>-41</v>
      </c>
      <c r="AZ53" s="162">
        <f t="shared" si="94"/>
        <v>-13</v>
      </c>
      <c r="BA53" s="162">
        <f>+AJ53</f>
        <v>3</v>
      </c>
      <c r="BB53" s="162">
        <f t="shared" si="95"/>
        <v>0</v>
      </c>
      <c r="BC53" s="162">
        <f t="shared" si="95"/>
        <v>0</v>
      </c>
      <c r="BD53" s="838">
        <f t="shared" si="95"/>
        <v>0</v>
      </c>
      <c r="BF53" s="900"/>
      <c r="BM53" s="902"/>
      <c r="BN53" s="902"/>
      <c r="BO53" s="3990"/>
      <c r="BP53" s="902"/>
      <c r="BQ53" s="902"/>
      <c r="BR53" s="902"/>
      <c r="BS53" s="902"/>
    </row>
    <row r="54" spans="1:71" ht="12.75" customHeight="1">
      <c r="A54" s="3151" t="s">
        <v>2149</v>
      </c>
      <c r="B54" s="3173"/>
      <c r="C54" s="3173"/>
      <c r="D54" s="3173"/>
      <c r="E54" s="3173">
        <f>803-E52-E53</f>
        <v>785</v>
      </c>
      <c r="F54" s="3173">
        <f>-147-F53-F52</f>
        <v>-126</v>
      </c>
      <c r="G54" s="3183">
        <v>3</v>
      </c>
      <c r="H54" s="3183">
        <v>6</v>
      </c>
      <c r="I54" s="3184">
        <v>-1</v>
      </c>
      <c r="J54" s="3184">
        <v>7</v>
      </c>
      <c r="K54" s="3185">
        <f>SUM(G54:J54)</f>
        <v>15</v>
      </c>
      <c r="L54" s="3184">
        <v>7</v>
      </c>
      <c r="M54" s="3184">
        <v>-1</v>
      </c>
      <c r="N54" s="3184">
        <v>-1</v>
      </c>
      <c r="O54" s="3184">
        <f>229+2</f>
        <v>231</v>
      </c>
      <c r="P54" s="3185">
        <f>SUM(L54:O54)</f>
        <v>236</v>
      </c>
      <c r="Q54" s="3184">
        <v>3</v>
      </c>
      <c r="R54" s="3184">
        <v>11</v>
      </c>
      <c r="S54" s="3184">
        <v>24</v>
      </c>
      <c r="T54" s="3184">
        <v>-1</v>
      </c>
      <c r="U54" s="3185">
        <f>SUM(Q54:T54)</f>
        <v>37</v>
      </c>
      <c r="V54" s="3184">
        <v>-25</v>
      </c>
      <c r="W54" s="3184">
        <f>18</f>
        <v>18</v>
      </c>
      <c r="X54" s="3184">
        <f>1</f>
        <v>1</v>
      </c>
      <c r="Y54" s="3184">
        <v>5</v>
      </c>
      <c r="Z54" s="3185">
        <f>SUM(V54:Y54)</f>
        <v>-1</v>
      </c>
      <c r="AA54" s="3184">
        <v>0</v>
      </c>
      <c r="AB54" s="3184">
        <f>+-5+2</f>
        <v>-3</v>
      </c>
      <c r="AC54" s="3184">
        <v>-10</v>
      </c>
      <c r="AD54" s="3186">
        <v>-11</v>
      </c>
      <c r="AE54" s="3185">
        <f>SUM(AA54:AD54)</f>
        <v>-24</v>
      </c>
      <c r="AF54" s="3184">
        <f>-60+1</f>
        <v>-59</v>
      </c>
      <c r="AG54" s="3184">
        <v>5</v>
      </c>
      <c r="AH54" s="3999">
        <v>5</v>
      </c>
      <c r="AI54" s="3186">
        <v>12</v>
      </c>
      <c r="AJ54" s="3185">
        <f>SUM(AF54:AI54)</f>
        <v>-37</v>
      </c>
      <c r="AK54" s="3184">
        <v>0</v>
      </c>
      <c r="AL54" s="3184">
        <v>0</v>
      </c>
      <c r="AM54" s="3184">
        <v>0</v>
      </c>
      <c r="AN54" s="3184">
        <v>0</v>
      </c>
      <c r="AO54" s="3185">
        <f>SUM(AK54:AN54)</f>
        <v>0</v>
      </c>
      <c r="AP54" s="1162">
        <v>0</v>
      </c>
      <c r="AQ54" s="1162">
        <v>0</v>
      </c>
      <c r="AR54" s="165"/>
      <c r="AS54" s="492" t="str">
        <f t="shared" si="88"/>
        <v>Other gain (loss), net</v>
      </c>
      <c r="AT54" s="165">
        <f t="shared" si="101"/>
        <v>785</v>
      </c>
      <c r="AU54" s="165">
        <f t="shared" si="101"/>
        <v>-126</v>
      </c>
      <c r="AV54" s="165">
        <f t="shared" si="90"/>
        <v>15</v>
      </c>
      <c r="AW54" s="165">
        <f t="shared" si="91"/>
        <v>236</v>
      </c>
      <c r="AX54" s="165">
        <f t="shared" si="92"/>
        <v>37</v>
      </c>
      <c r="AY54" s="165">
        <f t="shared" si="93"/>
        <v>-1</v>
      </c>
      <c r="AZ54" s="165">
        <f t="shared" si="94"/>
        <v>-24</v>
      </c>
      <c r="BA54" s="165">
        <f>+AJ54</f>
        <v>-37</v>
      </c>
      <c r="BB54" s="165">
        <f t="shared" si="95"/>
        <v>0</v>
      </c>
      <c r="BC54" s="165">
        <f t="shared" si="95"/>
        <v>0</v>
      </c>
      <c r="BD54" s="839">
        <f t="shared" si="95"/>
        <v>0</v>
      </c>
      <c r="BF54" s="900"/>
      <c r="BM54" s="902"/>
      <c r="BN54" s="902"/>
      <c r="BO54" s="3990"/>
      <c r="BP54" s="902"/>
      <c r="BQ54" s="902"/>
      <c r="BR54" s="902"/>
      <c r="BS54" s="902"/>
    </row>
    <row r="55" spans="1:71" ht="3.95" customHeight="1">
      <c r="A55" s="3099"/>
      <c r="B55" s="3107"/>
      <c r="C55" s="3107"/>
      <c r="D55" s="3107"/>
      <c r="E55" s="3108" t="s">
        <v>587</v>
      </c>
      <c r="F55" s="3108" t="s">
        <v>587</v>
      </c>
      <c r="G55" s="3109" t="s">
        <v>587</v>
      </c>
      <c r="H55" s="3109" t="s">
        <v>587</v>
      </c>
      <c r="I55" s="3109" t="s">
        <v>587</v>
      </c>
      <c r="J55" s="3109" t="s">
        <v>587</v>
      </c>
      <c r="K55" s="3108" t="s">
        <v>587</v>
      </c>
      <c r="L55" s="3109" t="s">
        <v>587</v>
      </c>
      <c r="M55" s="3109" t="s">
        <v>587</v>
      </c>
      <c r="N55" s="3109" t="s">
        <v>587</v>
      </c>
      <c r="O55" s="3109" t="s">
        <v>587</v>
      </c>
      <c r="P55" s="3108" t="s">
        <v>587</v>
      </c>
      <c r="Q55" s="3109" t="s">
        <v>587</v>
      </c>
      <c r="R55" s="3109" t="s">
        <v>587</v>
      </c>
      <c r="S55" s="3109" t="s">
        <v>587</v>
      </c>
      <c r="T55" s="3109" t="s">
        <v>587</v>
      </c>
      <c r="U55" s="3108" t="s">
        <v>587</v>
      </c>
      <c r="V55" s="3109" t="s">
        <v>587</v>
      </c>
      <c r="W55" s="3109" t="s">
        <v>587</v>
      </c>
      <c r="X55" s="3109" t="s">
        <v>587</v>
      </c>
      <c r="Y55" s="3110" t="s">
        <v>587</v>
      </c>
      <c r="Z55" s="3111" t="s">
        <v>587</v>
      </c>
      <c r="AA55" s="3109" t="s">
        <v>587</v>
      </c>
      <c r="AB55" s="3109" t="s">
        <v>587</v>
      </c>
      <c r="AC55" s="3109" t="s">
        <v>587</v>
      </c>
      <c r="AD55" s="3582" t="s">
        <v>587</v>
      </c>
      <c r="AE55" s="3108" t="s">
        <v>587</v>
      </c>
      <c r="AF55" s="3109" t="s">
        <v>587</v>
      </c>
      <c r="AG55" s="3109" t="s">
        <v>587</v>
      </c>
      <c r="AH55" s="3109" t="s">
        <v>587</v>
      </c>
      <c r="AI55" s="3187" t="s">
        <v>587</v>
      </c>
      <c r="AJ55" s="3108" t="s">
        <v>587</v>
      </c>
      <c r="AK55" s="3109" t="s">
        <v>587</v>
      </c>
      <c r="AL55" s="3109" t="s">
        <v>587</v>
      </c>
      <c r="AM55" s="3109" t="s">
        <v>587</v>
      </c>
      <c r="AN55" s="3109" t="s">
        <v>587</v>
      </c>
      <c r="AO55" s="3111" t="s">
        <v>587</v>
      </c>
      <c r="AP55" s="1163" t="s">
        <v>587</v>
      </c>
      <c r="AQ55" s="1163" t="s">
        <v>587</v>
      </c>
      <c r="AR55" s="148"/>
      <c r="AS55" s="384"/>
      <c r="AT55" s="148"/>
      <c r="AU55" s="148"/>
      <c r="AV55" s="148"/>
      <c r="AW55" s="148"/>
      <c r="AX55" s="148"/>
      <c r="AY55" s="148"/>
      <c r="AZ55" s="148"/>
      <c r="BA55" s="148"/>
      <c r="BB55" s="148"/>
      <c r="BC55" s="148"/>
      <c r="BD55" s="720"/>
      <c r="BF55" s="900"/>
      <c r="BM55" s="902"/>
      <c r="BN55" s="902"/>
      <c r="BO55" s="3990"/>
      <c r="BP55" s="902"/>
      <c r="BQ55" s="902"/>
      <c r="BR55" s="902"/>
      <c r="BS55" s="902"/>
    </row>
    <row r="56" spans="1:71" ht="12.75" customHeight="1">
      <c r="A56" s="3092" t="s">
        <v>2126</v>
      </c>
      <c r="B56" s="3155"/>
      <c r="C56" s="3155"/>
      <c r="D56" s="3155"/>
      <c r="E56" s="3155">
        <f t="shared" ref="E56:AQ56" si="104">E47+SUM(E50:E55)</f>
        <v>419</v>
      </c>
      <c r="F56" s="3155">
        <f t="shared" si="104"/>
        <v>196</v>
      </c>
      <c r="G56" s="3156">
        <f t="shared" si="104"/>
        <v>90</v>
      </c>
      <c r="H56" s="3156">
        <f t="shared" si="104"/>
        <v>138</v>
      </c>
      <c r="I56" s="3156">
        <f t="shared" si="104"/>
        <v>233</v>
      </c>
      <c r="J56" s="3188">
        <f t="shared" si="104"/>
        <v>112</v>
      </c>
      <c r="K56" s="3155">
        <f t="shared" si="104"/>
        <v>573</v>
      </c>
      <c r="L56" s="3156">
        <f t="shared" si="104"/>
        <v>76</v>
      </c>
      <c r="M56" s="3156">
        <f t="shared" si="104"/>
        <v>241</v>
      </c>
      <c r="N56" s="3188">
        <f t="shared" si="104"/>
        <v>273</v>
      </c>
      <c r="O56" s="3188">
        <f t="shared" si="104"/>
        <v>108</v>
      </c>
      <c r="P56" s="3155">
        <f t="shared" si="104"/>
        <v>698</v>
      </c>
      <c r="Q56" s="3156">
        <f t="shared" si="104"/>
        <v>207</v>
      </c>
      <c r="R56" s="3156">
        <f t="shared" si="104"/>
        <v>333</v>
      </c>
      <c r="S56" s="3156">
        <f t="shared" si="104"/>
        <v>314</v>
      </c>
      <c r="T56" s="3156">
        <f t="shared" si="104"/>
        <v>293</v>
      </c>
      <c r="U56" s="3155">
        <f t="shared" si="104"/>
        <v>1147</v>
      </c>
      <c r="V56" s="3156">
        <f t="shared" si="104"/>
        <v>313</v>
      </c>
      <c r="W56" s="3156">
        <f t="shared" si="104"/>
        <v>312</v>
      </c>
      <c r="X56" s="3156">
        <f t="shared" si="104"/>
        <v>530</v>
      </c>
      <c r="Y56" s="3156">
        <f t="shared" si="104"/>
        <v>341</v>
      </c>
      <c r="Z56" s="3155">
        <f t="shared" si="104"/>
        <v>1496</v>
      </c>
      <c r="AA56" s="3156">
        <f t="shared" si="104"/>
        <v>264</v>
      </c>
      <c r="AB56" s="3156">
        <f t="shared" si="104"/>
        <v>400</v>
      </c>
      <c r="AC56" s="3156">
        <f t="shared" si="104"/>
        <v>337</v>
      </c>
      <c r="AD56" s="3189">
        <f t="shared" si="104"/>
        <v>254</v>
      </c>
      <c r="AE56" s="3155">
        <f t="shared" si="104"/>
        <v>1255</v>
      </c>
      <c r="AF56" s="3156">
        <f t="shared" si="104"/>
        <v>110</v>
      </c>
      <c r="AG56" s="3156">
        <f t="shared" si="104"/>
        <v>275</v>
      </c>
      <c r="AH56" s="3156">
        <f t="shared" si="104"/>
        <v>289</v>
      </c>
      <c r="AI56" s="3189">
        <f t="shared" ca="1" si="104"/>
        <v>256</v>
      </c>
      <c r="AJ56" s="3155">
        <f t="shared" ca="1" si="104"/>
        <v>930</v>
      </c>
      <c r="AK56" s="3156">
        <f t="shared" ref="AK56:AN56" ca="1" si="105">AK47+SUM(AK50:AK55)</f>
        <v>208.84449826638013</v>
      </c>
      <c r="AL56" s="3156">
        <f t="shared" ca="1" si="105"/>
        <v>332.88919520047466</v>
      </c>
      <c r="AM56" s="3156">
        <f t="shared" ca="1" si="105"/>
        <v>340.04598793766809</v>
      </c>
      <c r="AN56" s="3156">
        <f t="shared" ca="1" si="105"/>
        <v>286.33593891766924</v>
      </c>
      <c r="AO56" s="3155">
        <f t="shared" ref="AO56" ca="1" si="106">AO47+SUM(AO50:AO55)</f>
        <v>1168.1156203221908</v>
      </c>
      <c r="AP56" s="346">
        <f t="shared" ca="1" si="104"/>
        <v>1317.2967648602462</v>
      </c>
      <c r="AQ56" s="346">
        <f t="shared" ca="1" si="104"/>
        <v>1349.722776048126</v>
      </c>
      <c r="AR56" s="4121"/>
      <c r="AS56" s="493" t="str">
        <f>+A56</f>
        <v>Pretax Income</v>
      </c>
      <c r="AT56" s="315">
        <f t="shared" ref="AT56:AU60" si="107">+E56</f>
        <v>419</v>
      </c>
      <c r="AU56" s="315">
        <f t="shared" si="107"/>
        <v>196</v>
      </c>
      <c r="AV56" s="315">
        <f>+K56</f>
        <v>573</v>
      </c>
      <c r="AW56" s="315">
        <f>+P56</f>
        <v>698</v>
      </c>
      <c r="AX56" s="315">
        <f>+U56</f>
        <v>1147</v>
      </c>
      <c r="AY56" s="315">
        <f>+Z56</f>
        <v>1496</v>
      </c>
      <c r="AZ56" s="315">
        <f>+AE56</f>
        <v>1255</v>
      </c>
      <c r="BA56" s="315">
        <f ca="1">+AJ56</f>
        <v>930</v>
      </c>
      <c r="BB56" s="315">
        <f t="shared" ref="BB56:BD60" ca="1" si="108">+AO56</f>
        <v>1168.1156203221908</v>
      </c>
      <c r="BC56" s="315">
        <f t="shared" ca="1" si="108"/>
        <v>1317.2967648602462</v>
      </c>
      <c r="BD56" s="846">
        <f t="shared" ca="1" si="108"/>
        <v>1349.722776048126</v>
      </c>
      <c r="BF56" s="900"/>
      <c r="BM56" s="902"/>
      <c r="BN56" s="902"/>
      <c r="BO56" s="3990"/>
      <c r="BP56" s="902"/>
      <c r="BQ56" s="902"/>
      <c r="BR56" s="902"/>
      <c r="BS56" s="902"/>
    </row>
    <row r="57" spans="1:71" ht="12.75" customHeight="1">
      <c r="A57" s="3099" t="s">
        <v>1231</v>
      </c>
      <c r="B57" s="3121"/>
      <c r="C57" s="3121"/>
      <c r="D57" s="3121"/>
      <c r="E57" s="3121">
        <v>-308</v>
      </c>
      <c r="F57" s="3121">
        <v>59</v>
      </c>
      <c r="G57" s="3190">
        <v>-43</v>
      </c>
      <c r="H57" s="3190">
        <v>-69</v>
      </c>
      <c r="I57" s="3190">
        <v>-54</v>
      </c>
      <c r="J57" s="3190">
        <v>-48</v>
      </c>
      <c r="K57" s="3191">
        <f>SUM(G57:J57)</f>
        <v>-214</v>
      </c>
      <c r="L57" s="3190">
        <v>-38</v>
      </c>
      <c r="M57" s="3190">
        <v>-84</v>
      </c>
      <c r="N57" s="3190">
        <v>-70</v>
      </c>
      <c r="O57" s="3190">
        <v>-46</v>
      </c>
      <c r="P57" s="3191">
        <f>SUM(L57:O57)</f>
        <v>-238</v>
      </c>
      <c r="Q57" s="3190">
        <v>-83</v>
      </c>
      <c r="R57" s="3190">
        <v>-121</v>
      </c>
      <c r="S57" s="3190">
        <v>-127</v>
      </c>
      <c r="T57" s="3190">
        <v>-134</v>
      </c>
      <c r="U57" s="3191">
        <f>SUM(Q57:T57)</f>
        <v>-465</v>
      </c>
      <c r="V57" s="3190">
        <v>-163</v>
      </c>
      <c r="W57" s="3190">
        <v>-145</v>
      </c>
      <c r="X57" s="3190">
        <v>-247</v>
      </c>
      <c r="Y57" s="3190">
        <v>475</v>
      </c>
      <c r="Z57" s="3192">
        <f>SUM(V57:Y57)</f>
        <v>-80</v>
      </c>
      <c r="AA57" s="3193">
        <v>46</v>
      </c>
      <c r="AB57" s="3193">
        <v>-156</v>
      </c>
      <c r="AC57" s="3193">
        <v>-145</v>
      </c>
      <c r="AD57" s="3190">
        <v>-636</v>
      </c>
      <c r="AE57" s="3191">
        <f>SUM(AA57:AD57)</f>
        <v>-891</v>
      </c>
      <c r="AF57" s="3659">
        <v>-35</v>
      </c>
      <c r="AG57" s="3659">
        <v>-108</v>
      </c>
      <c r="AH57" s="3659">
        <v>-108</v>
      </c>
      <c r="AI57" s="3659">
        <v>585</v>
      </c>
      <c r="AJ57" s="3191">
        <f>SUM(AF57:AI57)</f>
        <v>334</v>
      </c>
      <c r="AK57" s="3086">
        <f ca="1">-AK98*AK56</f>
        <v>-60.564904497250232</v>
      </c>
      <c r="AL57" s="3086">
        <f t="shared" ref="AL57:AN57" ca="1" si="109">-AL98*AL56</f>
        <v>-96.537866608137648</v>
      </c>
      <c r="AM57" s="3086">
        <f t="shared" ca="1" si="109"/>
        <v>-98.61333650192374</v>
      </c>
      <c r="AN57" s="3086">
        <f t="shared" ca="1" si="109"/>
        <v>-83.03742228612407</v>
      </c>
      <c r="AO57" s="3962">
        <f ca="1">SUM(AK57:AN57)</f>
        <v>-338.75352989343571</v>
      </c>
      <c r="AP57" s="175">
        <f ca="1">-AP98*AP56</f>
        <v>-382.01606180947135</v>
      </c>
      <c r="AQ57" s="175">
        <f ca="1">-AQ98*AQ56</f>
        <v>-391.4196050539565</v>
      </c>
      <c r="AR57" s="179"/>
      <c r="AS57" s="384" t="str">
        <f>+A57</f>
        <v>Income tax benefit (expense)</v>
      </c>
      <c r="AT57" s="179">
        <f t="shared" si="107"/>
        <v>-308</v>
      </c>
      <c r="AU57" s="179">
        <f t="shared" si="107"/>
        <v>59</v>
      </c>
      <c r="AV57" s="179">
        <f>+K57</f>
        <v>-214</v>
      </c>
      <c r="AW57" s="179">
        <f>+P57</f>
        <v>-238</v>
      </c>
      <c r="AX57" s="179">
        <f>+U57</f>
        <v>-465</v>
      </c>
      <c r="AY57" s="179">
        <f>+Z57</f>
        <v>-80</v>
      </c>
      <c r="AZ57" s="179">
        <f>+AE57</f>
        <v>-891</v>
      </c>
      <c r="BA57" s="179">
        <f>+AJ57</f>
        <v>334</v>
      </c>
      <c r="BB57" s="179">
        <f t="shared" ca="1" si="108"/>
        <v>-338.75352989343571</v>
      </c>
      <c r="BC57" s="179">
        <f t="shared" ca="1" si="108"/>
        <v>-382.01606180947135</v>
      </c>
      <c r="BD57" s="850">
        <f t="shared" ca="1" si="108"/>
        <v>-391.4196050539565</v>
      </c>
      <c r="BF57" s="900"/>
      <c r="BM57" s="902"/>
      <c r="BN57" s="902"/>
      <c r="BO57" s="3990"/>
      <c r="BP57" s="902"/>
      <c r="BQ57" s="902"/>
      <c r="BR57" s="902"/>
      <c r="BS57" s="902"/>
    </row>
    <row r="58" spans="1:71" ht="12.75" customHeight="1">
      <c r="A58" s="3099" t="s">
        <v>226</v>
      </c>
      <c r="B58" s="3121"/>
      <c r="C58" s="3121"/>
      <c r="D58" s="3121"/>
      <c r="E58" s="3121">
        <f>128-111</f>
        <v>17</v>
      </c>
      <c r="F58" s="3121">
        <f>253-255</f>
        <v>-2</v>
      </c>
      <c r="G58" s="3194">
        <f>48-47</f>
        <v>1</v>
      </c>
      <c r="H58" s="3194">
        <f>66-69</f>
        <v>-3</v>
      </c>
      <c r="I58" s="3194">
        <f>177-179</f>
        <v>-2</v>
      </c>
      <c r="J58" s="3194">
        <f>61-64</f>
        <v>-3</v>
      </c>
      <c r="K58" s="3195">
        <f>SUM(G58:J58)</f>
        <v>-7</v>
      </c>
      <c r="L58" s="3194">
        <f>34-38</f>
        <v>-4</v>
      </c>
      <c r="M58" s="3194">
        <f>155-157</f>
        <v>-2</v>
      </c>
      <c r="N58" s="3194">
        <f>200-203</f>
        <v>-3</v>
      </c>
      <c r="O58" s="3194">
        <v>-36</v>
      </c>
      <c r="P58" s="3195">
        <f>SUM(L58:O58)</f>
        <v>-45</v>
      </c>
      <c r="Q58" s="3194">
        <v>-1</v>
      </c>
      <c r="R58" s="3194">
        <v>-3</v>
      </c>
      <c r="S58" s="3194">
        <v>-4</v>
      </c>
      <c r="T58" s="3194">
        <v>-1</v>
      </c>
      <c r="U58" s="3195">
        <f>SUM(Q58:T58)</f>
        <v>-9</v>
      </c>
      <c r="V58" s="3194">
        <v>0</v>
      </c>
      <c r="W58" s="3194">
        <v>-6</v>
      </c>
      <c r="X58" s="3194">
        <v>-4</v>
      </c>
      <c r="Y58" s="3194">
        <v>-2</v>
      </c>
      <c r="Z58" s="3192">
        <f>SUM(V58:Y58)</f>
        <v>-12</v>
      </c>
      <c r="AA58" s="3194">
        <v>-1</v>
      </c>
      <c r="AB58" s="3194">
        <v>-5</v>
      </c>
      <c r="AC58" s="3194">
        <v>-5</v>
      </c>
      <c r="AD58" s="3194">
        <v>-5</v>
      </c>
      <c r="AE58" s="3195">
        <f>SUM(AA58:AD58)</f>
        <v>-16</v>
      </c>
      <c r="AF58" s="3660">
        <v>-1</v>
      </c>
      <c r="AG58" s="3660">
        <v>-1</v>
      </c>
      <c r="AH58" s="3660">
        <v>-2</v>
      </c>
      <c r="AI58" s="3194">
        <v>0</v>
      </c>
      <c r="AJ58" s="3195">
        <f>SUM(AF58:AI58)</f>
        <v>-4</v>
      </c>
      <c r="AK58" s="3194">
        <v>0</v>
      </c>
      <c r="AL58" s="3194">
        <v>0</v>
      </c>
      <c r="AM58" s="3194">
        <v>0</v>
      </c>
      <c r="AN58" s="3194">
        <v>0</v>
      </c>
      <c r="AO58" s="3192">
        <f>SUM(AK58:AN58)</f>
        <v>0</v>
      </c>
      <c r="AP58" s="152">
        <f>+AO58*0.75</f>
        <v>0</v>
      </c>
      <c r="AQ58" s="152">
        <f>+AP58*0.75</f>
        <v>0</v>
      </c>
      <c r="AR58" s="181"/>
      <c r="AS58" s="384" t="str">
        <f>+A58</f>
        <v>Minority equity in net income</v>
      </c>
      <c r="AT58" s="267">
        <f t="shared" si="107"/>
        <v>17</v>
      </c>
      <c r="AU58" s="267">
        <f t="shared" si="107"/>
        <v>-2</v>
      </c>
      <c r="AV58" s="267">
        <f>+K58</f>
        <v>-7</v>
      </c>
      <c r="AW58" s="267">
        <f>+P58</f>
        <v>-45</v>
      </c>
      <c r="AX58" s="267">
        <f>+U58</f>
        <v>-9</v>
      </c>
      <c r="AY58" s="267">
        <f>+Z58</f>
        <v>-12</v>
      </c>
      <c r="AZ58" s="267">
        <f>+AE58</f>
        <v>-16</v>
      </c>
      <c r="BA58" s="267">
        <f>+AJ58</f>
        <v>-4</v>
      </c>
      <c r="BB58" s="267">
        <f t="shared" si="108"/>
        <v>0</v>
      </c>
      <c r="BC58" s="267">
        <f t="shared" si="108"/>
        <v>0</v>
      </c>
      <c r="BD58" s="851">
        <f t="shared" si="108"/>
        <v>0</v>
      </c>
      <c r="BF58" s="900"/>
      <c r="BM58" s="902"/>
      <c r="BN58" s="902"/>
      <c r="BO58" s="3990"/>
      <c r="BP58" s="902"/>
      <c r="BQ58" s="902"/>
      <c r="BR58" s="902"/>
      <c r="BS58" s="902"/>
    </row>
    <row r="59" spans="1:71" ht="12.75" customHeight="1">
      <c r="A59" s="3099" t="s">
        <v>227</v>
      </c>
      <c r="B59" s="3195"/>
      <c r="C59" s="3195"/>
      <c r="D59" s="3195"/>
      <c r="E59" s="3195">
        <v>0</v>
      </c>
      <c r="F59" s="3195">
        <v>0</v>
      </c>
      <c r="G59" s="3194">
        <v>0</v>
      </c>
      <c r="H59" s="3194">
        <v>0</v>
      </c>
      <c r="I59" s="3194">
        <v>0</v>
      </c>
      <c r="J59" s="3194">
        <v>0</v>
      </c>
      <c r="K59" s="3195">
        <f>SUM(G59:J59)</f>
        <v>0</v>
      </c>
      <c r="L59" s="3194">
        <v>0</v>
      </c>
      <c r="M59" s="3194">
        <v>0</v>
      </c>
      <c r="N59" s="3194">
        <v>0</v>
      </c>
      <c r="O59" s="3194">
        <v>0</v>
      </c>
      <c r="P59" s="3195">
        <f>SUM(L59:O59)</f>
        <v>0</v>
      </c>
      <c r="Q59" s="3194">
        <v>0</v>
      </c>
      <c r="R59" s="3194">
        <v>0</v>
      </c>
      <c r="S59" s="3194">
        <v>0</v>
      </c>
      <c r="T59" s="3194">
        <v>0</v>
      </c>
      <c r="U59" s="3195">
        <f>SUM(Q59:T59)</f>
        <v>0</v>
      </c>
      <c r="V59" s="3194">
        <v>0</v>
      </c>
      <c r="W59" s="3194">
        <v>0</v>
      </c>
      <c r="X59" s="3194">
        <v>0</v>
      </c>
      <c r="Y59" s="3194">
        <v>0</v>
      </c>
      <c r="Z59" s="3192">
        <f>SUM(V59:Y59)</f>
        <v>0</v>
      </c>
      <c r="AA59" s="3194">
        <v>0</v>
      </c>
      <c r="AB59" s="3194">
        <v>0</v>
      </c>
      <c r="AC59" s="3194">
        <v>0</v>
      </c>
      <c r="AD59" s="3197">
        <v>0</v>
      </c>
      <c r="AE59" s="3195">
        <f>SUM(AA59:AD59)</f>
        <v>0</v>
      </c>
      <c r="AF59" s="3194">
        <v>0</v>
      </c>
      <c r="AG59" s="3194">
        <v>0</v>
      </c>
      <c r="AH59" s="3194">
        <v>0</v>
      </c>
      <c r="AI59" s="3197">
        <v>0</v>
      </c>
      <c r="AJ59" s="3195">
        <f>SUM(AF59:AI59)</f>
        <v>0</v>
      </c>
      <c r="AK59" s="3194">
        <v>0</v>
      </c>
      <c r="AL59" s="3194">
        <v>0</v>
      </c>
      <c r="AM59" s="3194">
        <v>0</v>
      </c>
      <c r="AN59" s="3197">
        <v>0</v>
      </c>
      <c r="AO59" s="3192">
        <f>SUM(AK59:AN59)</f>
        <v>0</v>
      </c>
      <c r="AP59" s="153">
        <v>0</v>
      </c>
      <c r="AQ59" s="152">
        <v>0</v>
      </c>
      <c r="AR59" s="182"/>
      <c r="AS59" s="384" t="str">
        <f>+A59</f>
        <v>Extraordinary / other</v>
      </c>
      <c r="AT59" s="267">
        <f t="shared" si="107"/>
        <v>0</v>
      </c>
      <c r="AU59" s="267">
        <f t="shared" si="107"/>
        <v>0</v>
      </c>
      <c r="AV59" s="267">
        <f>+K59</f>
        <v>0</v>
      </c>
      <c r="AW59" s="267">
        <f>+P59</f>
        <v>0</v>
      </c>
      <c r="AX59" s="267">
        <f>+U59</f>
        <v>0</v>
      </c>
      <c r="AY59" s="267">
        <f>+Z59</f>
        <v>0</v>
      </c>
      <c r="AZ59" s="267">
        <f>+AE59</f>
        <v>0</v>
      </c>
      <c r="BA59" s="267">
        <f>+AJ59</f>
        <v>0</v>
      </c>
      <c r="BB59" s="267">
        <f t="shared" si="108"/>
        <v>0</v>
      </c>
      <c r="BC59" s="267">
        <f t="shared" si="108"/>
        <v>0</v>
      </c>
      <c r="BD59" s="851">
        <f t="shared" si="108"/>
        <v>0</v>
      </c>
      <c r="BF59" s="900"/>
      <c r="BM59" s="902"/>
      <c r="BN59" s="902"/>
      <c r="BO59" s="3990"/>
      <c r="BP59" s="902"/>
      <c r="BQ59" s="902"/>
      <c r="BR59" s="902"/>
      <c r="BS59" s="902"/>
    </row>
    <row r="60" spans="1:71" s="11" customFormat="1" ht="12.75" customHeight="1">
      <c r="A60" s="1469" t="s">
        <v>2290</v>
      </c>
      <c r="B60" s="1464"/>
      <c r="C60" s="1464"/>
      <c r="D60" s="1464"/>
      <c r="E60" s="1464">
        <f t="shared" ref="E60:U60" si="110">E56+SUM(E57:E59)</f>
        <v>128</v>
      </c>
      <c r="F60" s="1464">
        <f t="shared" si="110"/>
        <v>253</v>
      </c>
      <c r="G60" s="1470">
        <f t="shared" si="110"/>
        <v>48</v>
      </c>
      <c r="H60" s="1470">
        <f t="shared" si="110"/>
        <v>66</v>
      </c>
      <c r="I60" s="1470">
        <f t="shared" si="110"/>
        <v>177</v>
      </c>
      <c r="J60" s="1470">
        <f t="shared" si="110"/>
        <v>61</v>
      </c>
      <c r="K60" s="1464">
        <f t="shared" si="110"/>
        <v>352</v>
      </c>
      <c r="L60" s="1470">
        <f t="shared" si="110"/>
        <v>34</v>
      </c>
      <c r="M60" s="1470">
        <f t="shared" si="110"/>
        <v>155</v>
      </c>
      <c r="N60" s="1470">
        <f t="shared" si="110"/>
        <v>200</v>
      </c>
      <c r="O60" s="1470">
        <f t="shared" si="110"/>
        <v>26</v>
      </c>
      <c r="P60" s="1464">
        <f t="shared" si="110"/>
        <v>415</v>
      </c>
      <c r="Q60" s="1470">
        <f t="shared" si="110"/>
        <v>123</v>
      </c>
      <c r="R60" s="1470">
        <f t="shared" si="110"/>
        <v>209</v>
      </c>
      <c r="S60" s="1470">
        <f t="shared" si="110"/>
        <v>183</v>
      </c>
      <c r="T60" s="1470">
        <f t="shared" si="110"/>
        <v>158</v>
      </c>
      <c r="U60" s="1464">
        <f t="shared" si="110"/>
        <v>673</v>
      </c>
      <c r="V60" s="1470">
        <f t="shared" ref="V60:AQ60" si="111">V56+SUM(V57:V59)</f>
        <v>150</v>
      </c>
      <c r="W60" s="1470">
        <f t="shared" si="111"/>
        <v>161</v>
      </c>
      <c r="X60" s="1470">
        <f t="shared" si="111"/>
        <v>279</v>
      </c>
      <c r="Y60" s="1470">
        <f t="shared" si="111"/>
        <v>814</v>
      </c>
      <c r="Z60" s="1464">
        <f t="shared" si="111"/>
        <v>1404</v>
      </c>
      <c r="AA60" s="1470">
        <f t="shared" si="111"/>
        <v>309</v>
      </c>
      <c r="AB60" s="1470">
        <f t="shared" si="111"/>
        <v>239</v>
      </c>
      <c r="AC60" s="1470">
        <f t="shared" si="111"/>
        <v>187</v>
      </c>
      <c r="AD60" s="2501">
        <f t="shared" si="111"/>
        <v>-387</v>
      </c>
      <c r="AE60" s="1464">
        <f t="shared" si="111"/>
        <v>348</v>
      </c>
      <c r="AF60" s="1470">
        <f>AF56+SUM(AF57:AF59)</f>
        <v>74</v>
      </c>
      <c r="AG60" s="1470">
        <f t="shared" si="111"/>
        <v>166</v>
      </c>
      <c r="AH60" s="1470">
        <f t="shared" si="111"/>
        <v>179</v>
      </c>
      <c r="AI60" s="2501">
        <f t="shared" ca="1" si="111"/>
        <v>841</v>
      </c>
      <c r="AJ60" s="1464">
        <f t="shared" ca="1" si="111"/>
        <v>1260</v>
      </c>
      <c r="AK60" s="1470">
        <f t="shared" ca="1" si="111"/>
        <v>148.27959376912989</v>
      </c>
      <c r="AL60" s="1470">
        <f t="shared" ca="1" si="111"/>
        <v>236.35132859233701</v>
      </c>
      <c r="AM60" s="1470">
        <f t="shared" ca="1" si="111"/>
        <v>241.43265143574433</v>
      </c>
      <c r="AN60" s="1470">
        <f t="shared" ca="1" si="111"/>
        <v>203.29851663154517</v>
      </c>
      <c r="AO60" s="1464">
        <f t="shared" ref="AO60" ca="1" si="112">AO56+SUM(AO57:AO59)</f>
        <v>829.3620904287551</v>
      </c>
      <c r="AP60" s="1464">
        <f t="shared" ca="1" si="111"/>
        <v>935.28070305077483</v>
      </c>
      <c r="AQ60" s="1464">
        <f t="shared" ca="1" si="111"/>
        <v>958.30317099416948</v>
      </c>
      <c r="AR60" s="705">
        <f>147+85+60+82</f>
        <v>374</v>
      </c>
      <c r="AS60" s="953" t="str">
        <f>+A60</f>
        <v>Reported Net Income</v>
      </c>
      <c r="AT60" s="780">
        <f t="shared" si="107"/>
        <v>128</v>
      </c>
      <c r="AU60" s="780">
        <f t="shared" si="107"/>
        <v>253</v>
      </c>
      <c r="AV60" s="780">
        <f>+K60</f>
        <v>352</v>
      </c>
      <c r="AW60" s="780">
        <f>+P60</f>
        <v>415</v>
      </c>
      <c r="AX60" s="780">
        <f>+U60</f>
        <v>673</v>
      </c>
      <c r="AY60" s="780">
        <f>+Z60</f>
        <v>1404</v>
      </c>
      <c r="AZ60" s="780">
        <f>+AE60</f>
        <v>348</v>
      </c>
      <c r="BA60" s="780">
        <f ca="1">+AJ60</f>
        <v>1260</v>
      </c>
      <c r="BB60" s="780">
        <f t="shared" ca="1" si="108"/>
        <v>829.3620904287551</v>
      </c>
      <c r="BC60" s="780">
        <f t="shared" ca="1" si="108"/>
        <v>935.28070305077483</v>
      </c>
      <c r="BD60" s="842">
        <f t="shared" ca="1" si="108"/>
        <v>958.30317099416948</v>
      </c>
      <c r="BE60" s="14"/>
      <c r="BF60" s="908"/>
      <c r="BG60"/>
      <c r="BH60"/>
      <c r="BI60"/>
      <c r="BJ60"/>
      <c r="BK60"/>
      <c r="BL60"/>
      <c r="BM60" s="909"/>
      <c r="BN60" s="909"/>
      <c r="BO60" s="3990"/>
      <c r="BP60" s="902"/>
      <c r="BQ60" s="902"/>
      <c r="BR60" s="909"/>
      <c r="BS60" s="909"/>
    </row>
    <row r="61" spans="1:71" ht="12.75" customHeight="1" outlineLevel="1">
      <c r="A61" s="524"/>
      <c r="B61" s="345"/>
      <c r="C61" s="345"/>
      <c r="D61" s="345"/>
      <c r="E61" s="345"/>
      <c r="F61" s="345"/>
      <c r="G61" s="473"/>
      <c r="H61" s="473"/>
      <c r="I61" s="316"/>
      <c r="J61" s="781"/>
      <c r="K61" s="345"/>
      <c r="L61" s="316"/>
      <c r="M61" s="316"/>
      <c r="N61" s="316"/>
      <c r="O61" s="781"/>
      <c r="P61" s="345"/>
      <c r="Q61" s="316"/>
      <c r="R61" s="316"/>
      <c r="S61" s="316"/>
      <c r="T61" s="316"/>
      <c r="U61" s="345"/>
      <c r="V61" s="316"/>
      <c r="W61" s="316"/>
      <c r="X61" s="316"/>
      <c r="Y61" s="316"/>
      <c r="Z61" s="345"/>
      <c r="AA61" s="2505"/>
      <c r="AB61" s="316"/>
      <c r="AC61" s="316"/>
      <c r="AD61" s="852"/>
      <c r="AE61" s="852"/>
      <c r="AF61" s="316"/>
      <c r="AG61" s="316"/>
      <c r="AH61" s="316"/>
      <c r="AI61" s="852"/>
      <c r="AJ61" s="852"/>
      <c r="AK61" s="316"/>
      <c r="AL61" s="316"/>
      <c r="AM61" s="316"/>
      <c r="AN61" s="852"/>
      <c r="AO61" s="345"/>
      <c r="AP61" s="345"/>
      <c r="AQ61" s="345"/>
      <c r="AR61" s="316"/>
      <c r="AS61" s="524"/>
      <c r="AT61" s="316"/>
      <c r="AU61" s="316"/>
      <c r="AV61" s="316"/>
      <c r="AW61" s="316"/>
      <c r="AX61" s="316"/>
      <c r="AY61" s="316"/>
      <c r="AZ61" s="316"/>
      <c r="BA61" s="316"/>
      <c r="BB61" s="316"/>
      <c r="BC61" s="316"/>
      <c r="BD61" s="852"/>
      <c r="BF61" s="900"/>
      <c r="BM61" s="902"/>
      <c r="BN61" s="902"/>
      <c r="BO61" s="3990"/>
      <c r="BP61" s="902"/>
      <c r="BQ61" s="902"/>
      <c r="BR61" s="902"/>
      <c r="BS61" s="902"/>
    </row>
    <row r="62" spans="1:71" ht="12.75" customHeight="1" outlineLevel="1">
      <c r="A62" s="524" t="s">
        <v>701</v>
      </c>
      <c r="B62" s="345"/>
      <c r="C62" s="345"/>
      <c r="D62" s="345"/>
      <c r="E62" s="345"/>
      <c r="F62" s="345"/>
      <c r="G62" s="316"/>
      <c r="H62" s="316"/>
      <c r="I62" s="316"/>
      <c r="J62" s="316"/>
      <c r="K62" s="345"/>
      <c r="L62" s="316"/>
      <c r="M62" s="316"/>
      <c r="N62" s="316"/>
      <c r="O62" s="316"/>
      <c r="P62" s="345"/>
      <c r="Q62" s="316"/>
      <c r="R62" s="316"/>
      <c r="S62" s="316"/>
      <c r="T62" s="316"/>
      <c r="U62" s="345"/>
      <c r="V62" s="316"/>
      <c r="W62" s="316"/>
      <c r="X62" s="316"/>
      <c r="Y62" s="316"/>
      <c r="Z62" s="345"/>
      <c r="AA62" s="2505"/>
      <c r="AB62" s="316"/>
      <c r="AC62" s="316"/>
      <c r="AD62" s="852"/>
      <c r="AE62" s="852"/>
      <c r="AF62" s="316"/>
      <c r="AG62" s="316"/>
      <c r="AH62" s="316"/>
      <c r="AI62" s="852"/>
      <c r="AJ62" s="852"/>
      <c r="AK62" s="316"/>
      <c r="AL62" s="316"/>
      <c r="AM62" s="316"/>
      <c r="AN62" s="852"/>
      <c r="AO62" s="345"/>
      <c r="AP62" s="345"/>
      <c r="AQ62" s="345"/>
      <c r="AR62" s="316"/>
      <c r="AS62" s="524" t="str">
        <f>+A62</f>
        <v>Plus: Non-recurring items</v>
      </c>
      <c r="AT62" s="316"/>
      <c r="AU62" s="316"/>
      <c r="AV62" s="316"/>
      <c r="AW62" s="316"/>
      <c r="AX62" s="316"/>
      <c r="AY62" s="316"/>
      <c r="AZ62" s="316"/>
      <c r="BA62" s="316"/>
      <c r="BB62" s="316"/>
      <c r="BC62" s="316"/>
      <c r="BD62" s="852"/>
      <c r="BF62" s="900"/>
      <c r="BM62" s="902"/>
      <c r="BN62" s="902"/>
      <c r="BO62" s="3990"/>
      <c r="BP62" s="902"/>
      <c r="BQ62" s="902"/>
      <c r="BR62" s="902"/>
      <c r="BS62" s="902"/>
    </row>
    <row r="63" spans="1:71" ht="12.75" customHeight="1" outlineLevel="1">
      <c r="A63" s="494" t="s">
        <v>1232</v>
      </c>
      <c r="B63" s="172"/>
      <c r="C63" s="172"/>
      <c r="D63" s="172"/>
      <c r="E63" s="172">
        <f t="shared" ref="E63:J63" si="113">E46</f>
        <v>24</v>
      </c>
      <c r="F63" s="172">
        <f t="shared" si="113"/>
        <v>20</v>
      </c>
      <c r="G63" s="176">
        <f t="shared" si="113"/>
        <v>1</v>
      </c>
      <c r="H63" s="176">
        <f t="shared" si="113"/>
        <v>15</v>
      </c>
      <c r="I63" s="176">
        <f t="shared" si="113"/>
        <v>17</v>
      </c>
      <c r="J63" s="176">
        <f t="shared" si="113"/>
        <v>21</v>
      </c>
      <c r="K63" s="172">
        <f>SUM(G63:J63)</f>
        <v>54</v>
      </c>
      <c r="L63" s="176">
        <f t="shared" ref="L63:U63" si="114">L46</f>
        <v>0</v>
      </c>
      <c r="M63" s="176">
        <f t="shared" si="114"/>
        <v>0</v>
      </c>
      <c r="N63" s="176">
        <f t="shared" si="114"/>
        <v>0</v>
      </c>
      <c r="O63" s="176">
        <f t="shared" si="114"/>
        <v>0</v>
      </c>
      <c r="P63" s="172">
        <f t="shared" si="114"/>
        <v>0</v>
      </c>
      <c r="Q63" s="176">
        <f t="shared" si="114"/>
        <v>0</v>
      </c>
      <c r="R63" s="176">
        <f t="shared" si="114"/>
        <v>0</v>
      </c>
      <c r="S63" s="176">
        <f t="shared" si="114"/>
        <v>0</v>
      </c>
      <c r="T63" s="176">
        <f t="shared" si="114"/>
        <v>0</v>
      </c>
      <c r="U63" s="172">
        <f t="shared" si="114"/>
        <v>0</v>
      </c>
      <c r="V63" s="176">
        <v>0</v>
      </c>
      <c r="W63" s="176">
        <v>0</v>
      </c>
      <c r="X63" s="176">
        <v>0</v>
      </c>
      <c r="Y63" s="2729">
        <f>Y46</f>
        <v>9</v>
      </c>
      <c r="Z63" s="2583">
        <f>SUM(V63:Y63)</f>
        <v>9</v>
      </c>
      <c r="AA63" s="176">
        <f>AA46</f>
        <v>15</v>
      </c>
      <c r="AB63" s="176">
        <f>AB46</f>
        <v>0</v>
      </c>
      <c r="AC63" s="176">
        <f>AC46</f>
        <v>0</v>
      </c>
      <c r="AD63" s="3583">
        <v>17</v>
      </c>
      <c r="AE63" s="172">
        <f>SUM(AA63:AD63)</f>
        <v>32</v>
      </c>
      <c r="AF63" s="176">
        <f>AF46</f>
        <v>0</v>
      </c>
      <c r="AG63" s="176">
        <f>AG46</f>
        <v>0</v>
      </c>
      <c r="AH63" s="176">
        <f>AH46</f>
        <v>0</v>
      </c>
      <c r="AI63" s="844">
        <f>AI46</f>
        <v>0</v>
      </c>
      <c r="AJ63" s="172">
        <f>SUM(AF63:AI63)</f>
        <v>0</v>
      </c>
      <c r="AK63" s="176">
        <f t="shared" ref="AK63:AN63" si="115">AK46</f>
        <v>0</v>
      </c>
      <c r="AL63" s="176">
        <f t="shared" si="115"/>
        <v>0</v>
      </c>
      <c r="AM63" s="176">
        <f t="shared" si="115"/>
        <v>0</v>
      </c>
      <c r="AN63" s="176">
        <f t="shared" si="115"/>
        <v>0</v>
      </c>
      <c r="AO63" s="172">
        <f>SUM(AK63:AN63)</f>
        <v>0</v>
      </c>
      <c r="AP63" s="172">
        <f>AP46</f>
        <v>0</v>
      </c>
      <c r="AQ63" s="172">
        <f>AQ46</f>
        <v>0</v>
      </c>
      <c r="AR63" s="316"/>
      <c r="AS63" s="494" t="str">
        <f>+A63</f>
        <v>Impairment</v>
      </c>
      <c r="AT63" s="176">
        <f t="shared" ref="AT63:AU65" si="116">+E63</f>
        <v>24</v>
      </c>
      <c r="AU63" s="176">
        <f t="shared" si="116"/>
        <v>20</v>
      </c>
      <c r="AV63" s="176">
        <f>+K63</f>
        <v>54</v>
      </c>
      <c r="AW63" s="176">
        <f>+P63</f>
        <v>0</v>
      </c>
      <c r="AX63" s="176">
        <f>+U63</f>
        <v>0</v>
      </c>
      <c r="AY63" s="176">
        <f>+Z63</f>
        <v>9</v>
      </c>
      <c r="AZ63" s="176">
        <f>+AE63</f>
        <v>32</v>
      </c>
      <c r="BA63" s="176">
        <f>+AJ63</f>
        <v>0</v>
      </c>
      <c r="BB63" s="176">
        <f t="shared" ref="BB63:BD65" si="117">+AO63</f>
        <v>0</v>
      </c>
      <c r="BC63" s="176">
        <f t="shared" si="117"/>
        <v>0</v>
      </c>
      <c r="BD63" s="844">
        <f t="shared" si="117"/>
        <v>0</v>
      </c>
      <c r="BF63" s="900"/>
      <c r="BM63" s="902"/>
      <c r="BN63" s="902"/>
      <c r="BO63" s="3990"/>
      <c r="BP63" s="902"/>
      <c r="BQ63" s="902"/>
      <c r="BR63" s="902"/>
      <c r="BS63" s="902"/>
    </row>
    <row r="64" spans="1:71" ht="12.75" customHeight="1" outlineLevel="1">
      <c r="A64" s="541" t="s">
        <v>395</v>
      </c>
      <c r="B64" s="528"/>
      <c r="C64" s="528"/>
      <c r="D64" s="528"/>
      <c r="E64" s="528">
        <v>0</v>
      </c>
      <c r="F64" s="528">
        <v>0</v>
      </c>
      <c r="G64" s="527">
        <v>0</v>
      </c>
      <c r="H64" s="527">
        <v>0</v>
      </c>
      <c r="I64" s="527">
        <v>0</v>
      </c>
      <c r="J64" s="527">
        <v>0</v>
      </c>
      <c r="K64" s="528">
        <f>SUM(G64:J64)</f>
        <v>0</v>
      </c>
      <c r="L64" s="527">
        <v>0</v>
      </c>
      <c r="M64" s="527">
        <v>0</v>
      </c>
      <c r="N64" s="527">
        <v>0</v>
      </c>
      <c r="O64" s="527">
        <f>23-229+306-87+62</f>
        <v>75</v>
      </c>
      <c r="P64" s="528">
        <f>SUM(L64:O64)</f>
        <v>75</v>
      </c>
      <c r="Q64" s="527">
        <v>0</v>
      </c>
      <c r="R64" s="527">
        <f>6-11+6-1</f>
        <v>0</v>
      </c>
      <c r="S64" s="527">
        <f>6-25+2+8</f>
        <v>-9</v>
      </c>
      <c r="T64" s="527">
        <v>7</v>
      </c>
      <c r="U64" s="528">
        <f>SUM(Q64:T64)</f>
        <v>-2</v>
      </c>
      <c r="V64" s="527">
        <f>2-94+4+53</f>
        <v>-35</v>
      </c>
      <c r="W64" s="527">
        <f>64+51-24+2-8</f>
        <v>85</v>
      </c>
      <c r="X64" s="527">
        <f>-129+80</f>
        <v>-49</v>
      </c>
      <c r="Y64" s="527">
        <f>6+5-640+20</f>
        <v>-609</v>
      </c>
      <c r="Z64" s="528">
        <f>SUM(V64:Y64)</f>
        <v>-608</v>
      </c>
      <c r="AA64" s="527">
        <f>9+1-153-10</f>
        <v>-153</v>
      </c>
      <c r="AB64" s="527">
        <f>18+1-7</f>
        <v>12</v>
      </c>
      <c r="AC64" s="527">
        <f>27+16+14-13</f>
        <v>44</v>
      </c>
      <c r="AD64" s="2549">
        <f>112-3+513+13-32</f>
        <v>603</v>
      </c>
      <c r="AE64" s="528">
        <f>SUM(AA64:AD64)</f>
        <v>506</v>
      </c>
      <c r="AF64" s="527">
        <f>60+10+5+7-31</f>
        <v>51</v>
      </c>
      <c r="AG64" s="527">
        <f>5+2-2</f>
        <v>5</v>
      </c>
      <c r="AH64" s="527">
        <v>0</v>
      </c>
      <c r="AI64" s="2549">
        <f>1-665-3+1</f>
        <v>-666</v>
      </c>
      <c r="AJ64" s="528">
        <f>SUM(AF64:AI64)</f>
        <v>-610</v>
      </c>
      <c r="AK64" s="527">
        <v>0</v>
      </c>
      <c r="AL64" s="527">
        <v>0</v>
      </c>
      <c r="AM64" s="527">
        <v>0</v>
      </c>
      <c r="AN64" s="527">
        <v>0</v>
      </c>
      <c r="AO64" s="638">
        <f>SUM(AK64:AN64)</f>
        <v>0</v>
      </c>
      <c r="AP64" s="638">
        <v>0</v>
      </c>
      <c r="AQ64" s="638">
        <v>0</v>
      </c>
      <c r="AR64" s="316"/>
      <c r="AS64" s="541" t="str">
        <f>+A64</f>
        <v>Other</v>
      </c>
      <c r="AT64" s="272">
        <f t="shared" si="116"/>
        <v>0</v>
      </c>
      <c r="AU64" s="272">
        <f t="shared" si="116"/>
        <v>0</v>
      </c>
      <c r="AV64" s="272">
        <f>+K64</f>
        <v>0</v>
      </c>
      <c r="AW64" s="272">
        <f>+P64</f>
        <v>75</v>
      </c>
      <c r="AX64" s="272">
        <f>+U64</f>
        <v>-2</v>
      </c>
      <c r="AY64" s="272">
        <f>+Z64</f>
        <v>-608</v>
      </c>
      <c r="AZ64" s="272">
        <f>+AE64</f>
        <v>506</v>
      </c>
      <c r="BA64" s="272">
        <f>+AJ64</f>
        <v>-610</v>
      </c>
      <c r="BB64" s="272">
        <f t="shared" si="117"/>
        <v>0</v>
      </c>
      <c r="BC64" s="272">
        <f t="shared" si="117"/>
        <v>0</v>
      </c>
      <c r="BD64" s="853">
        <f t="shared" si="117"/>
        <v>0</v>
      </c>
      <c r="BF64" s="900"/>
      <c r="BM64" s="902"/>
      <c r="BN64" s="902"/>
      <c r="BO64" s="902"/>
      <c r="BP64" s="902"/>
      <c r="BQ64" s="902"/>
      <c r="BR64" s="902"/>
      <c r="BS64" s="902"/>
    </row>
    <row r="65" spans="1:71" s="130" customFormat="1" ht="12.75" customHeight="1">
      <c r="A65" s="3198" t="s">
        <v>702</v>
      </c>
      <c r="B65" s="3199"/>
      <c r="C65" s="3199"/>
      <c r="D65" s="3199"/>
      <c r="E65" s="3199">
        <f t="shared" ref="E65:N65" si="118">SUM(E63:E64)</f>
        <v>24</v>
      </c>
      <c r="F65" s="3199">
        <f t="shared" si="118"/>
        <v>20</v>
      </c>
      <c r="G65" s="3200">
        <f t="shared" si="118"/>
        <v>1</v>
      </c>
      <c r="H65" s="3200">
        <f t="shared" si="118"/>
        <v>15</v>
      </c>
      <c r="I65" s="3200">
        <f t="shared" si="118"/>
        <v>17</v>
      </c>
      <c r="J65" s="3200">
        <f t="shared" si="118"/>
        <v>21</v>
      </c>
      <c r="K65" s="3199">
        <f t="shared" si="118"/>
        <v>54</v>
      </c>
      <c r="L65" s="3200">
        <f t="shared" si="118"/>
        <v>0</v>
      </c>
      <c r="M65" s="3200">
        <f t="shared" si="118"/>
        <v>0</v>
      </c>
      <c r="N65" s="3200">
        <f t="shared" si="118"/>
        <v>0</v>
      </c>
      <c r="O65" s="3200">
        <f>SUM(O63:O64)</f>
        <v>75</v>
      </c>
      <c r="P65" s="3199">
        <f t="shared" ref="P65:U65" si="119">SUM(P63:P64)</f>
        <v>75</v>
      </c>
      <c r="Q65" s="3200">
        <f t="shared" si="119"/>
        <v>0</v>
      </c>
      <c r="R65" s="3200">
        <f t="shared" si="119"/>
        <v>0</v>
      </c>
      <c r="S65" s="3200">
        <f t="shared" si="119"/>
        <v>-9</v>
      </c>
      <c r="T65" s="3200">
        <f t="shared" si="119"/>
        <v>7</v>
      </c>
      <c r="U65" s="3199">
        <f t="shared" si="119"/>
        <v>-2</v>
      </c>
      <c r="V65" s="3200">
        <f t="shared" ref="V65:AQ65" si="120">SUM(V63:V64)</f>
        <v>-35</v>
      </c>
      <c r="W65" s="3200">
        <f t="shared" si="120"/>
        <v>85</v>
      </c>
      <c r="X65" s="3200">
        <f t="shared" si="120"/>
        <v>-49</v>
      </c>
      <c r="Y65" s="3201">
        <f t="shared" si="120"/>
        <v>-600</v>
      </c>
      <c r="Z65" s="3202">
        <f t="shared" si="120"/>
        <v>-599</v>
      </c>
      <c r="AA65" s="3200">
        <f t="shared" si="120"/>
        <v>-138</v>
      </c>
      <c r="AB65" s="3200">
        <f t="shared" si="120"/>
        <v>12</v>
      </c>
      <c r="AC65" s="3200">
        <f t="shared" si="120"/>
        <v>44</v>
      </c>
      <c r="AD65" s="3203">
        <f t="shared" si="120"/>
        <v>620</v>
      </c>
      <c r="AE65" s="3199">
        <f t="shared" si="120"/>
        <v>538</v>
      </c>
      <c r="AF65" s="3200">
        <f t="shared" si="120"/>
        <v>51</v>
      </c>
      <c r="AG65" s="3200">
        <f t="shared" si="120"/>
        <v>5</v>
      </c>
      <c r="AH65" s="3200">
        <f t="shared" si="120"/>
        <v>0</v>
      </c>
      <c r="AI65" s="3203">
        <f t="shared" si="120"/>
        <v>-666</v>
      </c>
      <c r="AJ65" s="3199">
        <f t="shared" si="120"/>
        <v>-610</v>
      </c>
      <c r="AK65" s="3200">
        <f t="shared" ref="AK65:AO65" si="121">SUM(AK63:AK64)</f>
        <v>0</v>
      </c>
      <c r="AL65" s="3200">
        <f t="shared" si="121"/>
        <v>0</v>
      </c>
      <c r="AM65" s="3200">
        <f t="shared" si="121"/>
        <v>0</v>
      </c>
      <c r="AN65" s="3200">
        <f t="shared" si="121"/>
        <v>0</v>
      </c>
      <c r="AO65" s="3199">
        <f t="shared" si="121"/>
        <v>0</v>
      </c>
      <c r="AP65" s="189">
        <f t="shared" si="120"/>
        <v>0</v>
      </c>
      <c r="AQ65" s="189">
        <f t="shared" si="120"/>
        <v>0</v>
      </c>
      <c r="AR65" s="316"/>
      <c r="AS65" s="494" t="str">
        <f>+A65</f>
        <v>Total non-recurring items</v>
      </c>
      <c r="AT65" s="286">
        <f t="shared" si="116"/>
        <v>24</v>
      </c>
      <c r="AU65" s="286">
        <f t="shared" si="116"/>
        <v>20</v>
      </c>
      <c r="AV65" s="286">
        <f>+K65</f>
        <v>54</v>
      </c>
      <c r="AW65" s="286">
        <f>+P65</f>
        <v>75</v>
      </c>
      <c r="AX65" s="286">
        <f>+U65</f>
        <v>-2</v>
      </c>
      <c r="AY65" s="286">
        <f>+Z65</f>
        <v>-599</v>
      </c>
      <c r="AZ65" s="286">
        <f>+AE65</f>
        <v>538</v>
      </c>
      <c r="BA65" s="286">
        <f>+AJ65</f>
        <v>-610</v>
      </c>
      <c r="BB65" s="286">
        <f t="shared" si="117"/>
        <v>0</v>
      </c>
      <c r="BC65" s="286">
        <f t="shared" si="117"/>
        <v>0</v>
      </c>
      <c r="BD65" s="854">
        <f t="shared" si="117"/>
        <v>0</v>
      </c>
      <c r="BE65" s="14"/>
      <c r="BF65" s="900"/>
      <c r="BG65"/>
      <c r="BH65"/>
      <c r="BI65"/>
      <c r="BJ65"/>
      <c r="BK65"/>
      <c r="BL65"/>
      <c r="BM65" s="902"/>
      <c r="BN65" s="902"/>
      <c r="BO65" s="902"/>
      <c r="BP65" s="902"/>
      <c r="BQ65" s="902"/>
      <c r="BR65" s="902"/>
      <c r="BS65" s="902"/>
    </row>
    <row r="66" spans="1:71" ht="12.75" customHeight="1">
      <c r="A66" s="3198"/>
      <c r="B66" s="3199"/>
      <c r="C66" s="3199"/>
      <c r="D66" s="3199"/>
      <c r="E66" s="3199"/>
      <c r="F66" s="3199"/>
      <c r="G66" s="3200"/>
      <c r="H66" s="3200"/>
      <c r="I66" s="3200"/>
      <c r="J66" s="3200"/>
      <c r="K66" s="3199"/>
      <c r="L66" s="3200"/>
      <c r="M66" s="3200"/>
      <c r="N66" s="3200"/>
      <c r="O66" s="3200"/>
      <c r="P66" s="3199"/>
      <c r="Q66" s="3200"/>
      <c r="R66" s="3200"/>
      <c r="S66" s="3200"/>
      <c r="T66" s="3200"/>
      <c r="U66" s="3199"/>
      <c r="V66" s="3200"/>
      <c r="W66" s="3200"/>
      <c r="X66" s="3200"/>
      <c r="Y66" s="3201"/>
      <c r="Z66" s="3202"/>
      <c r="AA66" s="3200"/>
      <c r="AB66" s="3200"/>
      <c r="AC66" s="3200"/>
      <c r="AD66" s="3203"/>
      <c r="AE66" s="3199"/>
      <c r="AF66" s="3200"/>
      <c r="AG66" s="3200"/>
      <c r="AH66" s="3200"/>
      <c r="AI66" s="3203"/>
      <c r="AJ66" s="3199"/>
      <c r="AK66" s="3200"/>
      <c r="AL66" s="3200"/>
      <c r="AM66" s="3200"/>
      <c r="AN66" s="3203"/>
      <c r="AO66" s="3199"/>
      <c r="AP66" s="189"/>
      <c r="AQ66" s="189"/>
      <c r="AR66" s="316"/>
      <c r="AS66" s="494"/>
      <c r="AT66" s="286"/>
      <c r="AU66" s="286"/>
      <c r="AV66" s="286"/>
      <c r="AW66" s="286"/>
      <c r="AX66" s="286"/>
      <c r="AY66" s="286"/>
      <c r="AZ66" s="286"/>
      <c r="BA66" s="286"/>
      <c r="BB66" s="286"/>
      <c r="BC66" s="286"/>
      <c r="BD66" s="854"/>
      <c r="BF66" s="900"/>
      <c r="BM66" s="902"/>
      <c r="BN66" s="902"/>
      <c r="BO66" s="902"/>
      <c r="BP66" s="902"/>
      <c r="BQ66" s="902"/>
      <c r="BR66" s="902"/>
      <c r="BS66" s="902"/>
    </row>
    <row r="67" spans="1:71" s="11" customFormat="1" ht="12.75" customHeight="1">
      <c r="A67" s="1469" t="s">
        <v>2155</v>
      </c>
      <c r="B67" s="1464"/>
      <c r="C67" s="1464"/>
      <c r="D67" s="1464"/>
      <c r="E67" s="1464">
        <f t="shared" ref="E67:N67" si="122">E60+E65</f>
        <v>152</v>
      </c>
      <c r="F67" s="1464">
        <f t="shared" si="122"/>
        <v>273</v>
      </c>
      <c r="G67" s="1470">
        <f t="shared" si="122"/>
        <v>49</v>
      </c>
      <c r="H67" s="1470">
        <f t="shared" si="122"/>
        <v>81</v>
      </c>
      <c r="I67" s="1470">
        <f t="shared" si="122"/>
        <v>194</v>
      </c>
      <c r="J67" s="1470">
        <f t="shared" si="122"/>
        <v>82</v>
      </c>
      <c r="K67" s="1464">
        <f t="shared" si="122"/>
        <v>406</v>
      </c>
      <c r="L67" s="1470">
        <f t="shared" si="122"/>
        <v>34</v>
      </c>
      <c r="M67" s="1470">
        <f t="shared" si="122"/>
        <v>155</v>
      </c>
      <c r="N67" s="1470">
        <f t="shared" si="122"/>
        <v>200</v>
      </c>
      <c r="O67" s="1470">
        <f>O60+O65</f>
        <v>101</v>
      </c>
      <c r="P67" s="1464">
        <f t="shared" ref="P67:W67" si="123">P60+P65</f>
        <v>490</v>
      </c>
      <c r="Q67" s="1470">
        <f t="shared" si="123"/>
        <v>123</v>
      </c>
      <c r="R67" s="1470">
        <f t="shared" si="123"/>
        <v>209</v>
      </c>
      <c r="S67" s="1470">
        <f t="shared" si="123"/>
        <v>174</v>
      </c>
      <c r="T67" s="1470">
        <f t="shared" si="123"/>
        <v>165</v>
      </c>
      <c r="U67" s="1464">
        <f t="shared" si="123"/>
        <v>671</v>
      </c>
      <c r="V67" s="1470">
        <f t="shared" si="123"/>
        <v>115</v>
      </c>
      <c r="W67" s="1470">
        <f t="shared" si="123"/>
        <v>246</v>
      </c>
      <c r="X67" s="1470">
        <f t="shared" ref="X67:AQ67" si="124">X60+X65</f>
        <v>230</v>
      </c>
      <c r="Y67" s="1470">
        <f t="shared" si="124"/>
        <v>214</v>
      </c>
      <c r="Z67" s="1464">
        <f t="shared" si="124"/>
        <v>805</v>
      </c>
      <c r="AA67" s="1470">
        <f t="shared" si="124"/>
        <v>171</v>
      </c>
      <c r="AB67" s="1470">
        <f t="shared" si="124"/>
        <v>251</v>
      </c>
      <c r="AC67" s="1470">
        <f t="shared" si="124"/>
        <v>231</v>
      </c>
      <c r="AD67" s="2501">
        <f t="shared" si="124"/>
        <v>233</v>
      </c>
      <c r="AE67" s="1464">
        <f t="shared" si="124"/>
        <v>886</v>
      </c>
      <c r="AF67" s="1470">
        <f t="shared" si="124"/>
        <v>125</v>
      </c>
      <c r="AG67" s="1470">
        <f t="shared" si="124"/>
        <v>171</v>
      </c>
      <c r="AH67" s="1470">
        <f t="shared" si="124"/>
        <v>179</v>
      </c>
      <c r="AI67" s="2501">
        <f t="shared" ca="1" si="124"/>
        <v>175</v>
      </c>
      <c r="AJ67" s="1464">
        <f t="shared" ca="1" si="124"/>
        <v>650</v>
      </c>
      <c r="AK67" s="1470">
        <f t="shared" ca="1" si="124"/>
        <v>148.27959376912989</v>
      </c>
      <c r="AL67" s="1470">
        <f t="shared" ca="1" si="124"/>
        <v>236.35132859233701</v>
      </c>
      <c r="AM67" s="1470">
        <f t="shared" ca="1" si="124"/>
        <v>241.43265143574433</v>
      </c>
      <c r="AN67" s="2501">
        <f t="shared" ca="1" si="124"/>
        <v>203.29851663154517</v>
      </c>
      <c r="AO67" s="1464">
        <f t="shared" ref="AO67" ca="1" si="125">AO60+AO65</f>
        <v>829.3620904287551</v>
      </c>
      <c r="AP67" s="1464">
        <f t="shared" ca="1" si="124"/>
        <v>935.28070305077483</v>
      </c>
      <c r="AQ67" s="1464">
        <f t="shared" ca="1" si="124"/>
        <v>958.30317099416948</v>
      </c>
      <c r="AR67" s="705"/>
      <c r="AS67" s="953" t="str">
        <f>+A67</f>
        <v>Recurring Net Income</v>
      </c>
      <c r="AT67" s="780">
        <f>+E67</f>
        <v>152</v>
      </c>
      <c r="AU67" s="780">
        <f>+F67</f>
        <v>273</v>
      </c>
      <c r="AV67" s="780">
        <f>+K67</f>
        <v>406</v>
      </c>
      <c r="AW67" s="780">
        <f>+P67</f>
        <v>490</v>
      </c>
      <c r="AX67" s="780">
        <f>+U67</f>
        <v>671</v>
      </c>
      <c r="AY67" s="780">
        <f>+Z67</f>
        <v>805</v>
      </c>
      <c r="AZ67" s="780">
        <f>+AE67</f>
        <v>886</v>
      </c>
      <c r="BA67" s="780">
        <f ca="1">+AJ67</f>
        <v>650</v>
      </c>
      <c r="BB67" s="780">
        <f ca="1">+AO67</f>
        <v>829.3620904287551</v>
      </c>
      <c r="BC67" s="780">
        <f ca="1">+AP67</f>
        <v>935.28070305077483</v>
      </c>
      <c r="BD67" s="842">
        <f ca="1">+AQ67</f>
        <v>958.30317099416948</v>
      </c>
      <c r="BE67" s="14"/>
      <c r="BF67" s="908"/>
      <c r="BG67"/>
      <c r="BH67"/>
      <c r="BI67"/>
      <c r="BJ67"/>
      <c r="BK67"/>
      <c r="BL67"/>
      <c r="BM67" s="909"/>
      <c r="BN67" s="909"/>
      <c r="BO67" s="3960"/>
      <c r="BP67" s="902"/>
      <c r="BQ67" s="902"/>
      <c r="BR67" s="909"/>
      <c r="BS67" s="909"/>
    </row>
    <row r="68" spans="1:71" s="1230" customFormat="1" ht="12.75" hidden="1" customHeight="1" outlineLevel="1">
      <c r="A68" s="1223" t="s">
        <v>1420</v>
      </c>
      <c r="B68" s="1227"/>
      <c r="C68" s="1227"/>
      <c r="D68" s="1227"/>
      <c r="E68" s="1227"/>
      <c r="F68" s="1227"/>
      <c r="G68" s="1228"/>
      <c r="H68" s="1228"/>
      <c r="I68" s="1228"/>
      <c r="J68" s="1228"/>
      <c r="K68" s="1227"/>
      <c r="L68" s="1228"/>
      <c r="M68" s="1228"/>
      <c r="N68" s="1228"/>
      <c r="O68" s="1228">
        <v>233.75693089669937</v>
      </c>
      <c r="P68" s="1227"/>
      <c r="Q68" s="2010" t="s">
        <v>540</v>
      </c>
      <c r="R68" s="2010" t="s">
        <v>467</v>
      </c>
      <c r="S68" s="2010" t="s">
        <v>2335</v>
      </c>
      <c r="T68" s="2010" t="s">
        <v>2336</v>
      </c>
      <c r="U68" s="2252" t="s">
        <v>2334</v>
      </c>
      <c r="V68" s="2010" t="s">
        <v>2341</v>
      </c>
      <c r="W68" s="2010" t="s">
        <v>2372</v>
      </c>
      <c r="X68" s="1228"/>
      <c r="Y68" s="1228"/>
      <c r="Z68" s="2252" t="s">
        <v>2373</v>
      </c>
      <c r="AA68" s="1228"/>
      <c r="AB68" s="1228"/>
      <c r="AC68" s="1228"/>
      <c r="AD68" s="1229"/>
      <c r="AE68" s="2550"/>
      <c r="AF68" s="1228"/>
      <c r="AG68" s="1228"/>
      <c r="AH68" s="1228"/>
      <c r="AI68" s="1229"/>
      <c r="AJ68" s="2550"/>
      <c r="AK68" s="1228"/>
      <c r="AL68" s="1228"/>
      <c r="AM68" s="1228"/>
      <c r="AN68" s="1229"/>
      <c r="AO68" s="1224"/>
      <c r="AP68" s="1224"/>
      <c r="AQ68" s="1227"/>
      <c r="AR68" s="1228"/>
      <c r="AS68" s="1226" t="str">
        <f>+A68</f>
        <v>Guidance</v>
      </c>
      <c r="AT68" s="1228"/>
      <c r="AU68" s="1228"/>
      <c r="AV68" s="1228"/>
      <c r="AW68" s="1228"/>
      <c r="AX68" s="1228"/>
      <c r="AY68" s="1228"/>
      <c r="AZ68" s="1228"/>
      <c r="BA68" s="1228"/>
      <c r="BB68" s="1228"/>
      <c r="BC68" s="1228"/>
      <c r="BD68" s="1229"/>
      <c r="BE68" s="14"/>
      <c r="BF68" s="1231"/>
      <c r="BG68"/>
      <c r="BH68"/>
      <c r="BI68"/>
      <c r="BJ68"/>
      <c r="BK68"/>
      <c r="BL68"/>
      <c r="BM68" s="1231"/>
      <c r="BN68" s="1231"/>
      <c r="BO68" s="1231"/>
      <c r="BP68" s="1231"/>
      <c r="BQ68" s="1231"/>
      <c r="BR68" s="1231"/>
      <c r="BS68" s="1231"/>
    </row>
    <row r="69" spans="1:71" ht="12.75" customHeight="1" collapsed="1">
      <c r="A69" s="3204"/>
      <c r="B69" s="3205"/>
      <c r="C69" s="3205"/>
      <c r="D69" s="3205"/>
      <c r="E69" s="3205"/>
      <c r="F69" s="3205"/>
      <c r="G69" s="3206"/>
      <c r="H69" s="3207"/>
      <c r="I69" s="3207"/>
      <c r="J69" s="3206"/>
      <c r="K69" s="3205"/>
      <c r="L69" s="3206"/>
      <c r="M69" s="3206"/>
      <c r="N69" s="3206"/>
      <c r="O69" s="3208"/>
      <c r="P69" s="3205"/>
      <c r="Q69" s="3206"/>
      <c r="R69" s="3206"/>
      <c r="S69" s="3206"/>
      <c r="T69" s="3206"/>
      <c r="U69" s="3205"/>
      <c r="V69" s="3206"/>
      <c r="W69" s="3206"/>
      <c r="X69" s="3206"/>
      <c r="Y69" s="3206"/>
      <c r="Z69" s="3205"/>
      <c r="AA69" s="3206"/>
      <c r="AB69" s="3206"/>
      <c r="AC69" s="3206"/>
      <c r="AD69" s="3209"/>
      <c r="AE69" s="3209"/>
      <c r="AF69" s="3206"/>
      <c r="AG69" s="3206"/>
      <c r="AH69" s="3206"/>
      <c r="AI69" s="3209"/>
      <c r="AJ69" s="3209"/>
      <c r="AK69" s="3206"/>
      <c r="AL69" s="3206"/>
      <c r="AM69" s="3206"/>
      <c r="AN69" s="3209"/>
      <c r="AO69" s="3981"/>
      <c r="AP69" s="345"/>
      <c r="AQ69" s="345"/>
      <c r="AR69" s="316"/>
      <c r="AS69" s="524"/>
      <c r="AT69" s="316"/>
      <c r="AU69" s="316"/>
      <c r="AV69" s="316"/>
      <c r="AW69" s="316"/>
      <c r="AX69" s="316"/>
      <c r="AY69" s="316"/>
      <c r="AZ69" s="316"/>
      <c r="BA69" s="316"/>
      <c r="BB69" s="316"/>
      <c r="BC69" s="316"/>
      <c r="BD69" s="852"/>
      <c r="BF69" s="900"/>
      <c r="BM69" s="902"/>
      <c r="BN69" s="902"/>
      <c r="BO69" s="902"/>
      <c r="BP69" s="902"/>
      <c r="BQ69" s="902"/>
      <c r="BR69" s="902"/>
      <c r="BS69" s="902"/>
    </row>
    <row r="70" spans="1:71" ht="12.75" customHeight="1">
      <c r="A70" s="3099" t="s">
        <v>1327</v>
      </c>
      <c r="B70" s="3195"/>
      <c r="C70" s="3195"/>
      <c r="D70" s="3195"/>
      <c r="E70" s="3195">
        <f t="shared" ref="E70:J70" si="126">+F70</f>
        <v>921</v>
      </c>
      <c r="F70" s="3195">
        <f t="shared" si="126"/>
        <v>921</v>
      </c>
      <c r="G70" s="3210">
        <f t="shared" si="126"/>
        <v>921</v>
      </c>
      <c r="H70" s="3210">
        <f t="shared" si="126"/>
        <v>921</v>
      </c>
      <c r="I70" s="3210">
        <f t="shared" si="126"/>
        <v>921</v>
      </c>
      <c r="J70" s="3210">
        <f t="shared" si="126"/>
        <v>921</v>
      </c>
      <c r="K70" s="3195">
        <f>+L70</f>
        <v>921</v>
      </c>
      <c r="L70" s="3194">
        <v>921</v>
      </c>
      <c r="M70" s="3210">
        <f>+N70</f>
        <v>866.66666666666674</v>
      </c>
      <c r="N70" s="3210">
        <f>+O70</f>
        <v>866.66666666666674</v>
      </c>
      <c r="O70" s="3194">
        <f>26/0.03</f>
        <v>866.66666666666674</v>
      </c>
      <c r="P70" s="3196">
        <v>923</v>
      </c>
      <c r="Q70" s="3194">
        <v>985</v>
      </c>
      <c r="R70" s="3194">
        <v>985</v>
      </c>
      <c r="S70" s="3194">
        <v>986.5</v>
      </c>
      <c r="T70" s="3194">
        <v>987</v>
      </c>
      <c r="U70" s="3195">
        <f>AVERAGE(Q70:T70)</f>
        <v>985.875</v>
      </c>
      <c r="V70" s="3194">
        <v>988</v>
      </c>
      <c r="W70" s="3194">
        <v>989</v>
      </c>
      <c r="X70" s="3194">
        <v>987</v>
      </c>
      <c r="Y70" s="3194">
        <v>990</v>
      </c>
      <c r="Z70" s="3192">
        <f>AVERAGE(V70:Y70)</f>
        <v>988.5</v>
      </c>
      <c r="AA70" s="3211">
        <v>989</v>
      </c>
      <c r="AB70" s="3211">
        <v>991</v>
      </c>
      <c r="AC70" s="3211">
        <v>992</v>
      </c>
      <c r="AD70" s="3584">
        <f>331*3</f>
        <v>993</v>
      </c>
      <c r="AE70" s="3195">
        <f>AVERAGE(AA70:AD70)</f>
        <v>991.25</v>
      </c>
      <c r="AF70" s="3211">
        <v>331</v>
      </c>
      <c r="AG70" s="3660">
        <v>328.5</v>
      </c>
      <c r="AH70" s="3660">
        <v>325</v>
      </c>
      <c r="AI70" s="3660">
        <v>322</v>
      </c>
      <c r="AJ70" s="3195">
        <f>AVERAGE(AF70:AI70)</f>
        <v>326.625</v>
      </c>
      <c r="AK70" s="3576">
        <f>AJ70+(AK529/AK94)</f>
        <v>323.01836378937247</v>
      </c>
      <c r="AL70" s="3576">
        <f>AK70+(AL529/AL94)</f>
        <v>319.49969431558947</v>
      </c>
      <c r="AM70" s="3576">
        <f>AL70+(AM529/AM94)</f>
        <v>316.06684604848414</v>
      </c>
      <c r="AN70" s="3576">
        <f>AM70+(AN529/AN94)</f>
        <v>312.71772578789353</v>
      </c>
      <c r="AO70" s="3192">
        <f>AVERAGE(AK70:AN70)</f>
        <v>317.82565748533489</v>
      </c>
      <c r="AP70" s="2598">
        <f>AO70+(AP529/AP94)</f>
        <v>305.64703835591456</v>
      </c>
      <c r="AQ70" s="2598">
        <f>AP70+(AQ529/AQ94)</f>
        <v>300.11130238799626</v>
      </c>
      <c r="AR70" s="267"/>
      <c r="AS70" s="384" t="str">
        <f>+A70</f>
        <v>Average Diluted Shares Outstanding</v>
      </c>
      <c r="AT70" s="267">
        <f t="shared" ref="AT70:AU73" si="127">+E70</f>
        <v>921</v>
      </c>
      <c r="AU70" s="267">
        <f t="shared" si="127"/>
        <v>921</v>
      </c>
      <c r="AV70" s="267">
        <f>+K70</f>
        <v>921</v>
      </c>
      <c r="AW70" s="267">
        <f>+P70</f>
        <v>923</v>
      </c>
      <c r="AX70" s="267">
        <f>+U70</f>
        <v>985.875</v>
      </c>
      <c r="AY70" s="267">
        <f>+Z70</f>
        <v>988.5</v>
      </c>
      <c r="AZ70" s="267">
        <f>+AE70</f>
        <v>991.25</v>
      </c>
      <c r="BA70" s="267">
        <f>+AJ70</f>
        <v>326.625</v>
      </c>
      <c r="BB70" s="267">
        <f t="shared" ref="BB70:BD73" si="128">+AO70</f>
        <v>317.82565748533489</v>
      </c>
      <c r="BC70" s="267">
        <f t="shared" si="128"/>
        <v>305.64703835591456</v>
      </c>
      <c r="BD70" s="851">
        <f t="shared" si="128"/>
        <v>300.11130238799626</v>
      </c>
      <c r="BF70" s="900"/>
      <c r="BM70" s="902"/>
      <c r="BN70" s="902"/>
      <c r="BO70" s="902"/>
      <c r="BP70" s="902"/>
      <c r="BQ70" s="902"/>
      <c r="BR70" s="902"/>
      <c r="BS70" s="902"/>
    </row>
    <row r="71" spans="1:71" ht="12.75" customHeight="1">
      <c r="A71" s="1471" t="s">
        <v>2291</v>
      </c>
      <c r="B71" s="1472"/>
      <c r="C71" s="1472"/>
      <c r="D71" s="1472"/>
      <c r="E71" s="1472">
        <f t="shared" ref="E71:J71" si="129">E60/E70</f>
        <v>0.13897937024972856</v>
      </c>
      <c r="F71" s="1472">
        <f t="shared" si="129"/>
        <v>0.27470141150922911</v>
      </c>
      <c r="G71" s="1473">
        <f t="shared" si="129"/>
        <v>5.2117263843648211E-2</v>
      </c>
      <c r="H71" s="1473">
        <f t="shared" si="129"/>
        <v>7.1661237785016291E-2</v>
      </c>
      <c r="I71" s="1473">
        <f t="shared" si="129"/>
        <v>0.19218241042345277</v>
      </c>
      <c r="J71" s="1473">
        <f t="shared" si="129"/>
        <v>6.6232356134636267E-2</v>
      </c>
      <c r="K71" s="1472">
        <f t="shared" ref="K71:T71" si="130">K60/K70</f>
        <v>0.38219326818675353</v>
      </c>
      <c r="L71" s="1473">
        <f t="shared" si="130"/>
        <v>3.691639522258415E-2</v>
      </c>
      <c r="M71" s="1473">
        <f t="shared" si="130"/>
        <v>0.17884615384615382</v>
      </c>
      <c r="N71" s="1473">
        <f t="shared" si="130"/>
        <v>0.23076923076923075</v>
      </c>
      <c r="O71" s="1473">
        <f t="shared" si="130"/>
        <v>0.03</v>
      </c>
      <c r="P71" s="1472">
        <f t="shared" si="130"/>
        <v>0.44962080173347779</v>
      </c>
      <c r="Q71" s="1473">
        <f t="shared" si="130"/>
        <v>0.12487309644670051</v>
      </c>
      <c r="R71" s="1473">
        <f t="shared" si="130"/>
        <v>0.21218274111675126</v>
      </c>
      <c r="S71" s="1473">
        <f t="shared" si="130"/>
        <v>0.1855043081601622</v>
      </c>
      <c r="T71" s="1473">
        <f t="shared" si="130"/>
        <v>0.16008105369807499</v>
      </c>
      <c r="U71" s="1472">
        <f>SUM(Q71:T71)</f>
        <v>0.68264119942168899</v>
      </c>
      <c r="V71" s="1473">
        <f>V60/V70</f>
        <v>0.15182186234817813</v>
      </c>
      <c r="W71" s="1473">
        <f>W60/W70</f>
        <v>0.16279069767441862</v>
      </c>
      <c r="X71" s="1473">
        <f>X60/X70</f>
        <v>0.28267477203647418</v>
      </c>
      <c r="Y71" s="1473">
        <f>Y60/Y70</f>
        <v>0.82222222222222219</v>
      </c>
      <c r="Z71" s="1472">
        <f>SUM(V71:Y71)</f>
        <v>1.419509554281293</v>
      </c>
      <c r="AA71" s="1473">
        <f>AA60/AA70</f>
        <v>0.31243680485338726</v>
      </c>
      <c r="AB71" s="1473">
        <f>AB60/AB70</f>
        <v>0.24117053481331988</v>
      </c>
      <c r="AC71" s="1473">
        <f>AC60/AC70</f>
        <v>0.18850806451612903</v>
      </c>
      <c r="AD71" s="1474">
        <f>AD60/AD70</f>
        <v>-0.38972809667673713</v>
      </c>
      <c r="AE71" s="1472">
        <f>SUM(AA71:AD71)</f>
        <v>0.35238730750609903</v>
      </c>
      <c r="AF71" s="1473">
        <f>AF60/AF70</f>
        <v>0.22356495468277945</v>
      </c>
      <c r="AG71" s="1473">
        <f>AG60/AG70</f>
        <v>0.50532724505327242</v>
      </c>
      <c r="AH71" s="1473">
        <f>AH60/AH70</f>
        <v>0.55076923076923079</v>
      </c>
      <c r="AI71" s="1474">
        <f ca="1">AI60/AI70</f>
        <v>2.6118012422360248</v>
      </c>
      <c r="AJ71" s="1472">
        <f ca="1">SUM(AF71:AI71)</f>
        <v>3.8914626727413077</v>
      </c>
      <c r="AK71" s="1473">
        <f t="shared" ref="AK71:AM71" ca="1" si="131">AK60/AK70</f>
        <v>0.4590438513452974</v>
      </c>
      <c r="AL71" s="1473">
        <f t="shared" ca="1" si="131"/>
        <v>0.73975447487870927</v>
      </c>
      <c r="AM71" s="1473">
        <f t="shared" ca="1" si="131"/>
        <v>0.76386579122161058</v>
      </c>
      <c r="AN71" s="1473">
        <f ca="1">AN60/AN70</f>
        <v>0.65010231229884319</v>
      </c>
      <c r="AO71" s="1472">
        <f ca="1">SUM(AK71:AN71)</f>
        <v>2.6127664297444606</v>
      </c>
      <c r="AP71" s="1474">
        <f ca="1">AP60/AP70</f>
        <v>3.0600025051172763</v>
      </c>
      <c r="AQ71" s="1474">
        <f ca="1">AQ60/AQ70</f>
        <v>3.1931592158273188</v>
      </c>
      <c r="AR71" s="267"/>
      <c r="AS71" s="831" t="str">
        <f>+A71</f>
        <v>Reported EPS</v>
      </c>
      <c r="AT71" s="695">
        <f t="shared" si="127"/>
        <v>0.13897937024972856</v>
      </c>
      <c r="AU71" s="695">
        <f t="shared" si="127"/>
        <v>0.27470141150922911</v>
      </c>
      <c r="AV71" s="695">
        <f>+K71</f>
        <v>0.38219326818675353</v>
      </c>
      <c r="AW71" s="695">
        <f>+P71</f>
        <v>0.44962080173347779</v>
      </c>
      <c r="AX71" s="695">
        <f>+U71</f>
        <v>0.68264119942168899</v>
      </c>
      <c r="AY71" s="695">
        <f>+Z71</f>
        <v>1.419509554281293</v>
      </c>
      <c r="AZ71" s="695">
        <f>+AE71</f>
        <v>0.35238730750609903</v>
      </c>
      <c r="BA71" s="695">
        <f ca="1">+AJ71</f>
        <v>3.8914626727413077</v>
      </c>
      <c r="BB71" s="695">
        <f t="shared" ca="1" si="128"/>
        <v>2.6127664297444606</v>
      </c>
      <c r="BC71" s="695">
        <f t="shared" ca="1" si="128"/>
        <v>3.0600025051172763</v>
      </c>
      <c r="BD71" s="782">
        <f t="shared" ca="1" si="128"/>
        <v>3.1931592158273188</v>
      </c>
      <c r="BF71" s="900"/>
      <c r="BM71" s="902"/>
      <c r="BN71" s="902"/>
      <c r="BO71" s="902"/>
      <c r="BP71" s="902"/>
      <c r="BQ71" s="902"/>
      <c r="BR71" s="902"/>
      <c r="BS71" s="902"/>
    </row>
    <row r="72" spans="1:71" ht="12.75" customHeight="1">
      <c r="A72" s="1475" t="s">
        <v>1363</v>
      </c>
      <c r="B72" s="1476"/>
      <c r="C72" s="1476"/>
      <c r="D72" s="1476"/>
      <c r="E72" s="1476">
        <f t="shared" ref="E72:J72" si="132">E67/E70</f>
        <v>0.16503800217155265</v>
      </c>
      <c r="F72" s="1476">
        <f t="shared" si="132"/>
        <v>0.29641693811074921</v>
      </c>
      <c r="G72" s="1477">
        <f t="shared" si="132"/>
        <v>5.3203040173724216E-2</v>
      </c>
      <c r="H72" s="1477">
        <f t="shared" si="132"/>
        <v>8.7947882736156349E-2</v>
      </c>
      <c r="I72" s="1477">
        <f t="shared" si="132"/>
        <v>0.21064060803474485</v>
      </c>
      <c r="J72" s="1477">
        <f t="shared" si="132"/>
        <v>8.9033659066232354E-2</v>
      </c>
      <c r="K72" s="1476">
        <f t="shared" ref="K72:T72" si="133">K67/K70</f>
        <v>0.44082519001085774</v>
      </c>
      <c r="L72" s="1477">
        <f t="shared" si="133"/>
        <v>3.691639522258415E-2</v>
      </c>
      <c r="M72" s="1477">
        <f t="shared" si="133"/>
        <v>0.17884615384615382</v>
      </c>
      <c r="N72" s="1477">
        <f t="shared" si="133"/>
        <v>0.23076923076923075</v>
      </c>
      <c r="O72" s="1477">
        <f t="shared" si="133"/>
        <v>0.11653846153846152</v>
      </c>
      <c r="P72" s="1476">
        <f t="shared" si="133"/>
        <v>0.53087757313109429</v>
      </c>
      <c r="Q72" s="1477">
        <f t="shared" si="133"/>
        <v>0.12487309644670051</v>
      </c>
      <c r="R72" s="1477">
        <f t="shared" si="133"/>
        <v>0.21218274111675126</v>
      </c>
      <c r="S72" s="1477">
        <f t="shared" si="133"/>
        <v>0.17638114546376077</v>
      </c>
      <c r="T72" s="1477">
        <f t="shared" si="133"/>
        <v>0.16717325227963525</v>
      </c>
      <c r="U72" s="1476">
        <f>SUM(Q72:T72)</f>
        <v>0.68061023530684772</v>
      </c>
      <c r="V72" s="1477">
        <f>V67/V70</f>
        <v>0.11639676113360324</v>
      </c>
      <c r="W72" s="1477">
        <f>W67/W70</f>
        <v>0.24873609706774519</v>
      </c>
      <c r="X72" s="1477">
        <f>X67/X70</f>
        <v>0.23302938196555217</v>
      </c>
      <c r="Y72" s="1477">
        <f>Y67/Y70</f>
        <v>0.21616161616161617</v>
      </c>
      <c r="Z72" s="1476">
        <f>SUM(V72:Y72)</f>
        <v>0.81432385632851689</v>
      </c>
      <c r="AA72" s="1477">
        <f>AA67/AA70</f>
        <v>0.17290192113245703</v>
      </c>
      <c r="AB72" s="1477">
        <f>AB67/AB70</f>
        <v>0.25327951564076689</v>
      </c>
      <c r="AC72" s="1477">
        <f>AC67/AC70</f>
        <v>0.23286290322580644</v>
      </c>
      <c r="AD72" s="1603">
        <f>AD67/AD70</f>
        <v>0.23464249748237664</v>
      </c>
      <c r="AE72" s="1476">
        <f>SUM(AA72:AD72)</f>
        <v>0.89368683748140709</v>
      </c>
      <c r="AF72" s="1477">
        <f>AF67/AF70</f>
        <v>0.37764350453172207</v>
      </c>
      <c r="AG72" s="1477">
        <f>AG67/AG70</f>
        <v>0.52054794520547942</v>
      </c>
      <c r="AH72" s="1477">
        <f>AH67/AH70</f>
        <v>0.55076923076923079</v>
      </c>
      <c r="AI72" s="1603">
        <f ca="1">AI67/AI70</f>
        <v>0.54347826086956519</v>
      </c>
      <c r="AJ72" s="1476">
        <f ca="1">SUM(AF72:AI72)</f>
        <v>1.9924389413759973</v>
      </c>
      <c r="AK72" s="1477">
        <f t="shared" ref="AK72:AN72" ca="1" si="134">AK67/AK70</f>
        <v>0.4590438513452974</v>
      </c>
      <c r="AL72" s="1477">
        <f t="shared" ca="1" si="134"/>
        <v>0.73975447487870927</v>
      </c>
      <c r="AM72" s="1477">
        <f t="shared" ca="1" si="134"/>
        <v>0.76386579122161058</v>
      </c>
      <c r="AN72" s="1477">
        <f t="shared" ca="1" si="134"/>
        <v>0.65010231229884319</v>
      </c>
      <c r="AO72" s="1476">
        <f ca="1">SUM(AK72:AN72)</f>
        <v>2.6127664297444606</v>
      </c>
      <c r="AP72" s="1603">
        <f ca="1">AP67/AP70</f>
        <v>3.0600025051172763</v>
      </c>
      <c r="AQ72" s="1603">
        <f ca="1">AQ67/AQ70</f>
        <v>3.1931592158273188</v>
      </c>
      <c r="AR72" s="168"/>
      <c r="AS72" s="832" t="str">
        <f>+A72</f>
        <v>Recurring EPS</v>
      </c>
      <c r="AT72" s="689">
        <f t="shared" si="127"/>
        <v>0.16503800217155265</v>
      </c>
      <c r="AU72" s="689">
        <f t="shared" si="127"/>
        <v>0.29641693811074921</v>
      </c>
      <c r="AV72" s="689">
        <f>+K72</f>
        <v>0.44082519001085774</v>
      </c>
      <c r="AW72" s="689">
        <f>+P72</f>
        <v>0.53087757313109429</v>
      </c>
      <c r="AX72" s="689">
        <f>+U72</f>
        <v>0.68061023530684772</v>
      </c>
      <c r="AY72" s="689">
        <f>+Z72</f>
        <v>0.81432385632851689</v>
      </c>
      <c r="AZ72" s="689">
        <f>+AE72</f>
        <v>0.89368683748140709</v>
      </c>
      <c r="BA72" s="689">
        <f ca="1">+AJ72</f>
        <v>1.9924389413759973</v>
      </c>
      <c r="BB72" s="689">
        <f t="shared" ca="1" si="128"/>
        <v>2.6127664297444606</v>
      </c>
      <c r="BC72" s="689">
        <f t="shared" ca="1" si="128"/>
        <v>3.0600025051172763</v>
      </c>
      <c r="BD72" s="855">
        <f t="shared" ca="1" si="128"/>
        <v>3.1931592158273188</v>
      </c>
      <c r="BF72" s="900"/>
      <c r="BM72" s="902"/>
      <c r="BN72" s="902"/>
      <c r="BO72" s="902"/>
      <c r="BP72" s="902"/>
      <c r="BQ72" s="902"/>
      <c r="BR72" s="902"/>
      <c r="BS72" s="902"/>
    </row>
    <row r="73" spans="1:71" ht="12.75" customHeight="1">
      <c r="A73" s="3212" t="s">
        <v>2309</v>
      </c>
      <c r="B73" s="3213"/>
      <c r="C73" s="3213"/>
      <c r="D73" s="3213"/>
      <c r="E73" s="3213"/>
      <c r="F73" s="3213">
        <f>+F72/E72-1</f>
        <v>0.79605263157894757</v>
      </c>
      <c r="G73" s="3214"/>
      <c r="H73" s="3214"/>
      <c r="I73" s="3214"/>
      <c r="J73" s="3214"/>
      <c r="K73" s="3213">
        <f t="shared" ref="K73:U73" si="135">+K72/F72-1</f>
        <v>0.487179487179487</v>
      </c>
      <c r="L73" s="3214">
        <f t="shared" si="135"/>
        <v>-0.30612244897959184</v>
      </c>
      <c r="M73" s="3214">
        <f t="shared" si="135"/>
        <v>1.0335470085470084</v>
      </c>
      <c r="N73" s="3214">
        <f t="shared" si="135"/>
        <v>9.5559080095162452E-2</v>
      </c>
      <c r="O73" s="3214">
        <f t="shared" si="135"/>
        <v>0.30892589118198854</v>
      </c>
      <c r="P73" s="3132">
        <f t="shared" si="135"/>
        <v>0.20428139126536426</v>
      </c>
      <c r="Q73" s="3214">
        <f t="shared" si="135"/>
        <v>2.3825918184532697</v>
      </c>
      <c r="R73" s="3214">
        <f t="shared" si="135"/>
        <v>0.18639812237323294</v>
      </c>
      <c r="S73" s="3214">
        <f t="shared" si="135"/>
        <v>-0.23568170299036995</v>
      </c>
      <c r="T73" s="3214">
        <f t="shared" si="135"/>
        <v>0.43448995355462605</v>
      </c>
      <c r="U73" s="3213">
        <f t="shared" si="135"/>
        <v>0.28204744324126607</v>
      </c>
      <c r="V73" s="3214">
        <f t="shared" ref="V73:AC73" si="136">+V72/Q72-1</f>
        <v>-6.7879595800006576E-2</v>
      </c>
      <c r="W73" s="3214">
        <f t="shared" si="136"/>
        <v>0.17227299335755508</v>
      </c>
      <c r="X73" s="3214">
        <f t="shared" si="136"/>
        <v>0.32116945579894951</v>
      </c>
      <c r="Y73" s="3214">
        <f t="shared" si="136"/>
        <v>0.29303948576675865</v>
      </c>
      <c r="Z73" s="3213">
        <f t="shared" si="136"/>
        <v>0.196461372581894</v>
      </c>
      <c r="AA73" s="3214">
        <f t="shared" si="136"/>
        <v>0.48545302677276125</v>
      </c>
      <c r="AB73" s="3214">
        <f t="shared" si="136"/>
        <v>1.8266020198042465E-2</v>
      </c>
      <c r="AC73" s="3214">
        <f t="shared" si="136"/>
        <v>-7.1441093969148994E-4</v>
      </c>
      <c r="AD73" s="3215">
        <f t="shared" ref="AD73:AJ73" si="137">+AD72/Y72-1</f>
        <v>8.5495665923144282E-2</v>
      </c>
      <c r="AE73" s="3213">
        <f t="shared" si="137"/>
        <v>9.7458745112427803E-2</v>
      </c>
      <c r="AF73" s="3214">
        <f t="shared" si="137"/>
        <v>1.1841486899524742</v>
      </c>
      <c r="AG73" s="3214">
        <f t="shared" si="137"/>
        <v>1.0552311302734267</v>
      </c>
      <c r="AH73" s="3214">
        <f t="shared" si="137"/>
        <v>1.3652081252081256</v>
      </c>
      <c r="AI73" s="3215">
        <f t="shared" ca="1" si="137"/>
        <v>1.3161970516887478</v>
      </c>
      <c r="AJ73" s="3213">
        <f t="shared" ca="1" si="137"/>
        <v>1.2294598709667683</v>
      </c>
      <c r="AK73" s="3214">
        <f t="shared" ref="AK73" ca="1" si="138">+AK72/AF72-1</f>
        <v>0.21554811836234755</v>
      </c>
      <c r="AL73" s="3214">
        <f t="shared" ref="AL73" ca="1" si="139">+AL72/AG72-1</f>
        <v>0.42110728068804693</v>
      </c>
      <c r="AM73" s="3214">
        <f t="shared" ref="AM73" ca="1" si="140">+AM72/AH72-1</f>
        <v>0.38690716283253312</v>
      </c>
      <c r="AN73" s="3214">
        <f t="shared" ref="AN73:AO73" ca="1" si="141">+AN72/AI72-1</f>
        <v>0.19618825462987144</v>
      </c>
      <c r="AO73" s="3213">
        <f t="shared" ca="1" si="141"/>
        <v>0.311340777118148</v>
      </c>
      <c r="AP73" s="2044">
        <f ca="1">+AP72/AO72-1</f>
        <v>0.17117338552782813</v>
      </c>
      <c r="AQ73" s="2044">
        <f ca="1">+AQ72/AP72-1</f>
        <v>4.3515229313493275E-2</v>
      </c>
      <c r="AR73" s="316"/>
      <c r="AS73" s="2043" t="str">
        <f>+A73</f>
        <v>% growth, y/y</v>
      </c>
      <c r="AT73" s="1024">
        <f t="shared" si="127"/>
        <v>0</v>
      </c>
      <c r="AU73" s="1024">
        <f t="shared" si="127"/>
        <v>0.79605263157894757</v>
      </c>
      <c r="AV73" s="1024">
        <f>+K73</f>
        <v>0.487179487179487</v>
      </c>
      <c r="AW73" s="1024">
        <f>+P73</f>
        <v>0.20428139126536426</v>
      </c>
      <c r="AX73" s="1024">
        <f>+U73</f>
        <v>0.28204744324126607</v>
      </c>
      <c r="AY73" s="1024">
        <f>+Z73</f>
        <v>0.196461372581894</v>
      </c>
      <c r="AZ73" s="1024">
        <f>+AE73</f>
        <v>9.7458745112427803E-2</v>
      </c>
      <c r="BA73" s="1024">
        <f ca="1">+AJ73</f>
        <v>1.2294598709667683</v>
      </c>
      <c r="BB73" s="1024">
        <f t="shared" ca="1" si="128"/>
        <v>0.311340777118148</v>
      </c>
      <c r="BC73" s="1024">
        <f t="shared" ca="1" si="128"/>
        <v>0.17117338552782813</v>
      </c>
      <c r="BD73" s="1024">
        <f t="shared" ca="1" si="128"/>
        <v>4.3515229313493275E-2</v>
      </c>
      <c r="BF73" s="900"/>
      <c r="BM73" s="902"/>
      <c r="BN73" s="902"/>
      <c r="BO73" s="902"/>
      <c r="BP73" s="902"/>
      <c r="BQ73" s="902"/>
      <c r="BR73" s="902"/>
      <c r="BS73" s="902"/>
    </row>
    <row r="74" spans="1:71" s="1230" customFormat="1" ht="12.75" customHeight="1">
      <c r="A74" s="3514" t="s">
        <v>1420</v>
      </c>
      <c r="B74" s="3509"/>
      <c r="C74" s="3509"/>
      <c r="D74" s="3509"/>
      <c r="E74" s="3509"/>
      <c r="F74" s="3509"/>
      <c r="G74" s="3510"/>
      <c r="H74" s="3510"/>
      <c r="I74" s="3510"/>
      <c r="J74" s="3510"/>
      <c r="K74" s="3509"/>
      <c r="L74" s="3510"/>
      <c r="M74" s="3510"/>
      <c r="N74" s="3510"/>
      <c r="O74" s="3510">
        <v>233.75693089669937</v>
      </c>
      <c r="P74" s="3509"/>
      <c r="Q74" s="3511" t="s">
        <v>544</v>
      </c>
      <c r="R74" s="3511" t="s">
        <v>2268</v>
      </c>
      <c r="S74" s="3511" t="s">
        <v>1908</v>
      </c>
      <c r="T74" s="3511" t="s">
        <v>2333</v>
      </c>
      <c r="U74" s="3512" t="s">
        <v>2329</v>
      </c>
      <c r="V74" s="3511" t="s">
        <v>2342</v>
      </c>
      <c r="W74" s="3511" t="s">
        <v>2371</v>
      </c>
      <c r="X74" s="3511" t="s">
        <v>2371</v>
      </c>
      <c r="Y74" s="3511" t="s">
        <v>2371</v>
      </c>
      <c r="Z74" s="3512" t="s">
        <v>2418</v>
      </c>
      <c r="AA74" s="3511" t="s">
        <v>1908</v>
      </c>
      <c r="AB74" s="3511" t="s">
        <v>2476</v>
      </c>
      <c r="AC74" s="3511" t="s">
        <v>2371</v>
      </c>
      <c r="AD74" s="3511" t="s">
        <v>2552</v>
      </c>
      <c r="AE74" s="3512" t="s">
        <v>2822</v>
      </c>
      <c r="AF74" s="3511" t="s">
        <v>3012</v>
      </c>
      <c r="AG74" s="3511" t="s">
        <v>3033</v>
      </c>
      <c r="AH74" s="3511" t="s">
        <v>3033</v>
      </c>
      <c r="AI74" s="3511" t="s">
        <v>3192</v>
      </c>
      <c r="AJ74" s="3512" t="s">
        <v>3193</v>
      </c>
      <c r="AK74" s="4105" t="s">
        <v>3213</v>
      </c>
      <c r="AL74" s="3511"/>
      <c r="AM74" s="3511"/>
      <c r="AN74" s="3511"/>
      <c r="AO74" s="3512" t="s">
        <v>3212</v>
      </c>
      <c r="AP74" s="1224"/>
      <c r="AQ74" s="1227"/>
      <c r="AR74" s="2845"/>
      <c r="AS74" s="2047" t="str">
        <f>+A74</f>
        <v>Guidance</v>
      </c>
      <c r="AT74" s="2046"/>
      <c r="AU74" s="2046"/>
      <c r="AV74" s="2046"/>
      <c r="AW74" s="2046"/>
      <c r="AX74" s="2046"/>
      <c r="AY74" s="2046"/>
      <c r="AZ74" s="2046"/>
      <c r="BA74" s="2046"/>
      <c r="BB74" s="2046"/>
      <c r="BC74" s="2046"/>
      <c r="BD74" s="2048"/>
      <c r="BE74" s="14"/>
      <c r="BF74" s="1231"/>
      <c r="BG74"/>
      <c r="BH74"/>
      <c r="BI74"/>
      <c r="BJ74"/>
      <c r="BK74"/>
      <c r="BL74"/>
      <c r="BM74" s="1231"/>
      <c r="BN74" s="1231"/>
      <c r="BO74" s="1231"/>
      <c r="BP74" s="1231"/>
      <c r="BQ74" s="1231"/>
      <c r="BR74" s="1231"/>
      <c r="BS74" s="1231"/>
    </row>
    <row r="75" spans="1:71" s="1230" customFormat="1" ht="12.75" customHeight="1">
      <c r="A75" s="3515" t="s">
        <v>2943</v>
      </c>
      <c r="B75" s="3216"/>
      <c r="C75" s="3216"/>
      <c r="D75" s="3216"/>
      <c r="E75" s="3216"/>
      <c r="F75" s="3216"/>
      <c r="G75" s="3217"/>
      <c r="H75" s="3217"/>
      <c r="I75" s="3217"/>
      <c r="J75" s="3217"/>
      <c r="K75" s="3216"/>
      <c r="L75" s="3217"/>
      <c r="M75" s="3217"/>
      <c r="N75" s="3217"/>
      <c r="O75" s="3217"/>
      <c r="P75" s="3216"/>
      <c r="Q75" s="3218"/>
      <c r="R75" s="3218"/>
      <c r="S75" s="3218"/>
      <c r="T75" s="3218"/>
      <c r="U75" s="3219"/>
      <c r="V75" s="3218"/>
      <c r="W75" s="3218"/>
      <c r="X75" s="3218"/>
      <c r="Y75" s="3218"/>
      <c r="Z75" s="3219"/>
      <c r="AA75" s="3218"/>
      <c r="AB75" s="3218"/>
      <c r="AC75" s="3218"/>
      <c r="AD75" s="3218"/>
      <c r="AE75" s="3219"/>
      <c r="AF75" s="3218"/>
      <c r="AG75" s="3218"/>
      <c r="AH75" s="3218"/>
      <c r="AI75" s="3218"/>
      <c r="AJ75" s="3219"/>
      <c r="AK75" s="3218"/>
      <c r="AL75" s="3218"/>
      <c r="AM75" s="3218"/>
      <c r="AN75" s="3218"/>
      <c r="AO75" s="3220"/>
      <c r="AP75" s="3516" t="s">
        <v>2951</v>
      </c>
      <c r="AQ75" s="2045"/>
      <c r="AR75" s="2845"/>
      <c r="AS75" s="3513"/>
      <c r="AT75" s="1228"/>
      <c r="AU75" s="1228"/>
      <c r="AV75" s="1228"/>
      <c r="AW75" s="1228"/>
      <c r="AX75" s="1228"/>
      <c r="AY75" s="1228"/>
      <c r="AZ75" s="1228"/>
      <c r="BA75" s="1228"/>
      <c r="BB75" s="1228"/>
      <c r="BC75" s="1228"/>
      <c r="BD75" s="1228"/>
      <c r="BE75" s="14"/>
      <c r="BF75" s="1231"/>
      <c r="BG75"/>
      <c r="BH75"/>
      <c r="BI75"/>
      <c r="BJ75"/>
      <c r="BK75"/>
      <c r="BL75"/>
      <c r="BM75" s="1231"/>
      <c r="BN75" s="1231"/>
      <c r="BO75" s="1231"/>
      <c r="BP75" s="1231"/>
      <c r="BQ75" s="1231"/>
      <c r="BR75" s="1231"/>
      <c r="BS75" s="1231"/>
    </row>
    <row r="76" spans="1:71" s="15" customFormat="1" ht="12.75" customHeight="1">
      <c r="A76" s="259"/>
      <c r="B76" s="349"/>
      <c r="C76" s="349"/>
      <c r="D76" s="349"/>
      <c r="E76" s="349"/>
      <c r="F76" s="349"/>
      <c r="G76" s="319"/>
      <c r="H76" s="319"/>
      <c r="I76" s="319"/>
      <c r="J76" s="319"/>
      <c r="K76" s="349"/>
      <c r="L76" s="319"/>
      <c r="M76" s="319"/>
      <c r="N76" s="319"/>
      <c r="O76" s="319"/>
      <c r="P76" s="349"/>
      <c r="Q76" s="319"/>
      <c r="R76" s="1604"/>
      <c r="S76" s="808"/>
      <c r="T76" s="808"/>
      <c r="U76" s="1710"/>
      <c r="V76" s="808"/>
      <c r="W76" s="808"/>
      <c r="X76" s="808"/>
      <c r="Y76" s="808"/>
      <c r="Z76" s="1710"/>
      <c r="AA76" s="2506"/>
      <c r="AB76" s="2507"/>
      <c r="AC76" s="2507"/>
      <c r="AD76" s="2508"/>
      <c r="AE76" s="2552"/>
      <c r="AF76" s="2507"/>
      <c r="AG76" s="2507"/>
      <c r="AH76" s="2507"/>
      <c r="AI76" s="2508"/>
      <c r="AJ76" s="2552"/>
      <c r="AK76" s="2507"/>
      <c r="AL76" s="2507"/>
      <c r="AM76" s="2507"/>
      <c r="AN76" s="2508"/>
      <c r="AO76" s="2595"/>
      <c r="AP76" s="349"/>
      <c r="AQ76" s="349"/>
      <c r="AR76" s="319"/>
      <c r="AS76" s="251"/>
      <c r="AT76" s="151"/>
      <c r="AU76" s="151"/>
      <c r="AV76" s="151"/>
      <c r="AW76" s="151"/>
      <c r="AX76" s="151"/>
      <c r="AY76" s="151"/>
      <c r="AZ76" s="151"/>
      <c r="BA76" s="151"/>
      <c r="BB76" s="151"/>
      <c r="BC76" s="151"/>
      <c r="BD76" s="151"/>
      <c r="BE76" s="14"/>
      <c r="BF76" s="948"/>
      <c r="BG76"/>
      <c r="BH76"/>
      <c r="BI76"/>
      <c r="BJ76"/>
      <c r="BK76"/>
      <c r="BL76"/>
      <c r="BM76" s="949"/>
      <c r="BN76" s="949"/>
      <c r="BO76" s="949"/>
      <c r="BP76" s="949"/>
      <c r="BQ76" s="949"/>
      <c r="BR76" s="949"/>
      <c r="BS76" s="949"/>
    </row>
    <row r="77" spans="1:71" ht="12.75" customHeight="1">
      <c r="A77" s="3008" t="s">
        <v>2836</v>
      </c>
      <c r="B77" s="3009"/>
      <c r="C77" s="3009"/>
      <c r="D77" s="3009"/>
      <c r="E77" s="3009"/>
      <c r="F77" s="3009"/>
      <c r="G77" s="3010"/>
      <c r="H77" s="3010"/>
      <c r="I77" s="3010"/>
      <c r="J77" s="3010"/>
      <c r="K77" s="3009"/>
      <c r="L77" s="3010"/>
      <c r="M77" s="3010"/>
      <c r="N77" s="3010"/>
      <c r="O77" s="3010"/>
      <c r="P77" s="3009"/>
      <c r="Q77" s="3010"/>
      <c r="R77" s="3010"/>
      <c r="S77" s="3010"/>
      <c r="T77" s="3010"/>
      <c r="U77" s="3009"/>
      <c r="V77" s="3010"/>
      <c r="W77" s="3010"/>
      <c r="X77" s="3010"/>
      <c r="Y77" s="3010"/>
      <c r="Z77" s="3009"/>
      <c r="AA77" s="3010"/>
      <c r="AB77" s="3010"/>
      <c r="AC77" s="3010"/>
      <c r="AD77" s="3011"/>
      <c r="AE77" s="3009"/>
      <c r="AF77" s="3010"/>
      <c r="AG77" s="3010"/>
      <c r="AH77" s="3010"/>
      <c r="AI77" s="3011"/>
      <c r="AJ77" s="3009">
        <f ca="1">(AJ67+'Owned Assets Spun Out'!J51+'Timeshare Assets Spun Out'!J39)/(Hilton!AJ70*3)</f>
        <v>1.1555097985209584</v>
      </c>
      <c r="AK77" s="3010"/>
      <c r="AL77" s="3010"/>
      <c r="AM77" s="3010"/>
      <c r="AN77" s="3011"/>
      <c r="AO77" s="3009">
        <f ca="1">(AO67+'Owned Assets Spun Out'!K51+'Timeshare Assets Spun Out'!K39)/(Hilton!AO70*3)</f>
        <v>1.4084126581949008</v>
      </c>
      <c r="AP77" s="3009">
        <f ca="1">(AP67+'Owned Assets Spun Out'!L51+'Timeshare Assets Spun Out'!L39)/(Hilton!AP70*3)</f>
        <v>1.6620700509417725</v>
      </c>
      <c r="AQ77" s="3009">
        <f ca="1">(AQ67+'Owned Assets Spun Out'!M51+'Timeshare Assets Spun Out'!M39)/(Hilton!AQ70*3)</f>
        <v>1.7084106634268126</v>
      </c>
      <c r="AR77" s="168"/>
      <c r="AS77" s="832"/>
      <c r="AT77" s="689"/>
      <c r="AU77" s="689"/>
      <c r="AV77" s="689"/>
      <c r="AW77" s="689"/>
      <c r="AX77" s="689"/>
      <c r="AY77" s="689"/>
      <c r="AZ77" s="689"/>
      <c r="BA77" s="689"/>
      <c r="BB77" s="689"/>
      <c r="BC77" s="689"/>
      <c r="BD77" s="855"/>
      <c r="BF77" s="900"/>
      <c r="BM77" s="902"/>
      <c r="BN77" s="902"/>
      <c r="BO77" s="902"/>
      <c r="BP77" s="902"/>
      <c r="BQ77" s="902"/>
      <c r="BR77" s="902"/>
      <c r="BS77" s="902"/>
    </row>
    <row r="78" spans="1:71" s="15" customFormat="1" ht="12.75" customHeight="1">
      <c r="A78" s="602" t="s">
        <v>2309</v>
      </c>
      <c r="B78" s="349"/>
      <c r="C78" s="349"/>
      <c r="D78" s="349"/>
      <c r="E78" s="349"/>
      <c r="F78" s="349"/>
      <c r="G78" s="319"/>
      <c r="H78" s="319"/>
      <c r="I78" s="319"/>
      <c r="J78" s="319"/>
      <c r="K78" s="349"/>
      <c r="L78" s="319"/>
      <c r="M78" s="319"/>
      <c r="N78" s="319"/>
      <c r="O78" s="319"/>
      <c r="P78" s="349"/>
      <c r="Q78" s="319"/>
      <c r="R78" s="1604"/>
      <c r="S78" s="808"/>
      <c r="T78" s="808"/>
      <c r="U78" s="1710"/>
      <c r="V78" s="808"/>
      <c r="W78" s="808"/>
      <c r="X78" s="808"/>
      <c r="Y78" s="808"/>
      <c r="Z78" s="1710"/>
      <c r="AA78" s="2507"/>
      <c r="AB78" s="2507"/>
      <c r="AC78" s="2507"/>
      <c r="AD78" s="2507"/>
      <c r="AE78" s="3004"/>
      <c r="AF78" s="2507"/>
      <c r="AG78" s="2507"/>
      <c r="AH78" s="2507"/>
      <c r="AI78" s="2507"/>
      <c r="AJ78" s="518"/>
      <c r="AK78" s="2507"/>
      <c r="AL78" s="2507"/>
      <c r="AM78" s="2507"/>
      <c r="AN78" s="2507"/>
      <c r="AO78" s="518">
        <f ca="1">+AO77/AJ77-1</f>
        <v>0.21886691051660123</v>
      </c>
      <c r="AP78" s="518">
        <f ca="1">+AP77/AO77-1</f>
        <v>0.18010161387783397</v>
      </c>
      <c r="AQ78" s="518">
        <f ca="1">+AQ77/AP77-1</f>
        <v>2.7881263162633951E-2</v>
      </c>
      <c r="AR78" s="319"/>
      <c r="AS78" s="251"/>
      <c r="AT78" s="151"/>
      <c r="AU78" s="151"/>
      <c r="AV78" s="151"/>
      <c r="AW78" s="151"/>
      <c r="AX78" s="151"/>
      <c r="AY78" s="151"/>
      <c r="AZ78" s="151"/>
      <c r="BA78" s="151"/>
      <c r="BB78" s="151"/>
      <c r="BC78" s="151"/>
      <c r="BD78" s="151"/>
      <c r="BE78" s="14"/>
      <c r="BF78" s="948"/>
      <c r="BG78"/>
      <c r="BH78"/>
      <c r="BI78"/>
      <c r="BJ78"/>
      <c r="BK78"/>
      <c r="BL78"/>
      <c r="BM78" s="949"/>
      <c r="BN78" s="949"/>
      <c r="BO78" s="949"/>
      <c r="BP78" s="902"/>
      <c r="BQ78" s="949"/>
      <c r="BR78" s="949"/>
      <c r="BS78" s="949"/>
    </row>
    <row r="79" spans="1:71" s="15" customFormat="1" ht="12.75" customHeight="1">
      <c r="A79" s="259"/>
      <c r="B79" s="349"/>
      <c r="C79" s="349"/>
      <c r="D79" s="349"/>
      <c r="E79" s="349"/>
      <c r="F79" s="349"/>
      <c r="G79" s="319"/>
      <c r="H79" s="319"/>
      <c r="I79" s="319"/>
      <c r="J79" s="319"/>
      <c r="K79" s="349"/>
      <c r="L79" s="319"/>
      <c r="M79" s="319"/>
      <c r="N79" s="319"/>
      <c r="O79" s="319"/>
      <c r="P79" s="349"/>
      <c r="Q79" s="319"/>
      <c r="R79" s="1604"/>
      <c r="S79" s="808"/>
      <c r="T79" s="808"/>
      <c r="U79" s="1710"/>
      <c r="V79" s="808"/>
      <c r="W79" s="808"/>
      <c r="X79" s="808"/>
      <c r="Y79" s="808"/>
      <c r="Z79" s="1710"/>
      <c r="AA79" s="2507"/>
      <c r="AB79" s="2507"/>
      <c r="AC79" s="2507"/>
      <c r="AD79" s="2507"/>
      <c r="AE79" s="3003"/>
      <c r="AF79" s="2507"/>
      <c r="AG79" s="2507"/>
      <c r="AH79" s="2507"/>
      <c r="AI79" s="2507"/>
      <c r="AJ79" s="3003"/>
      <c r="AK79" s="2507"/>
      <c r="AL79" s="2507"/>
      <c r="AM79" s="2507"/>
      <c r="AN79" s="2507"/>
      <c r="AO79" s="2595"/>
      <c r="AP79" s="349"/>
      <c r="AQ79" s="349"/>
      <c r="AR79" s="319"/>
      <c r="AS79" s="251"/>
      <c r="AT79" s="151"/>
      <c r="AU79" s="151"/>
      <c r="AV79" s="151"/>
      <c r="AW79" s="151"/>
      <c r="AX79" s="151"/>
      <c r="AY79" s="151"/>
      <c r="AZ79" s="151"/>
      <c r="BA79" s="151"/>
      <c r="BB79" s="151"/>
      <c r="BC79" s="151"/>
      <c r="BD79" s="151"/>
      <c r="BE79" s="14"/>
      <c r="BF79" s="948"/>
      <c r="BG79"/>
      <c r="BH79"/>
      <c r="BI79"/>
      <c r="BJ79"/>
      <c r="BK79"/>
      <c r="BL79"/>
      <c r="BM79" s="949"/>
      <c r="BN79" s="949"/>
      <c r="BO79" s="949"/>
      <c r="BP79" s="949"/>
      <c r="BQ79" s="949"/>
      <c r="BR79" s="949"/>
      <c r="BS79" s="949"/>
    </row>
    <row r="80" spans="1:71" ht="12.75" customHeight="1">
      <c r="A80" s="2612" t="s">
        <v>14</v>
      </c>
      <c r="B80" s="2613"/>
      <c r="C80" s="2613"/>
      <c r="D80" s="2613"/>
      <c r="E80" s="2613"/>
      <c r="F80" s="2613"/>
      <c r="G80" s="2614"/>
      <c r="H80" s="2614"/>
      <c r="I80" s="2614"/>
      <c r="J80" s="2614"/>
      <c r="K80" s="2613"/>
      <c r="L80" s="2614"/>
      <c r="M80" s="2614"/>
      <c r="N80" s="2614"/>
      <c r="O80" s="2614"/>
      <c r="P80" s="2613"/>
      <c r="Q80" s="2614"/>
      <c r="R80" s="2614"/>
      <c r="S80" s="2614"/>
      <c r="T80" s="2614"/>
      <c r="U80" s="2613"/>
      <c r="V80" s="2614"/>
      <c r="W80" s="2614"/>
      <c r="X80" s="2614">
        <v>7.0000000000000007E-2</v>
      </c>
      <c r="Y80" s="2615">
        <f>X80</f>
        <v>7.0000000000000007E-2</v>
      </c>
      <c r="Z80" s="2755">
        <f>SUM(V80:Y80)</f>
        <v>0.14000000000000001</v>
      </c>
      <c r="AA80" s="2654">
        <v>7.0000000000000007E-2</v>
      </c>
      <c r="AB80" s="2654">
        <v>7.0000000000000007E-2</v>
      </c>
      <c r="AC80" s="2654">
        <v>7.0000000000000007E-2</v>
      </c>
      <c r="AD80" s="2654">
        <v>7.0000000000000007E-2</v>
      </c>
      <c r="AE80" s="2613">
        <f>SUM(AA80:AD80)</f>
        <v>0.28000000000000003</v>
      </c>
      <c r="AF80" s="3661">
        <v>0.15</v>
      </c>
      <c r="AG80" s="3661">
        <v>0.15</v>
      </c>
      <c r="AH80" s="3661">
        <v>0.15</v>
      </c>
      <c r="AI80" s="3661">
        <v>0.15</v>
      </c>
      <c r="AJ80" s="2613">
        <f>SUM(AF80:AI80)</f>
        <v>0.6</v>
      </c>
      <c r="AK80" s="3932">
        <f>AF80*(1+AK81)</f>
        <v>0.16500000000000001</v>
      </c>
      <c r="AL80" s="2615">
        <f>AK80</f>
        <v>0.16500000000000001</v>
      </c>
      <c r="AM80" s="2615">
        <f>AL80</f>
        <v>0.16500000000000001</v>
      </c>
      <c r="AN80" s="2615">
        <f>AM80</f>
        <v>0.16500000000000001</v>
      </c>
      <c r="AO80" s="2755">
        <f>SUM(AK80:AN80)</f>
        <v>0.66</v>
      </c>
      <c r="AP80" s="2613">
        <f>AO80*(1+AP81)</f>
        <v>0.69300000000000006</v>
      </c>
      <c r="AQ80" s="2613">
        <f>AP80*(1+AQ81)</f>
        <v>0.69300000000000006</v>
      </c>
      <c r="AR80" s="383"/>
      <c r="AS80" s="494" t="str">
        <f>+A80</f>
        <v>Dividends per Share</v>
      </c>
      <c r="AT80" s="303">
        <f>+E80</f>
        <v>0</v>
      </c>
      <c r="AU80" s="303">
        <f>+F80</f>
        <v>0</v>
      </c>
      <c r="AV80" s="303">
        <f>+K80</f>
        <v>0</v>
      </c>
      <c r="AW80" s="303">
        <f>+P80</f>
        <v>0</v>
      </c>
      <c r="AX80" s="303">
        <f>+U80</f>
        <v>0</v>
      </c>
      <c r="AY80" s="303">
        <f>+Z80</f>
        <v>0.14000000000000001</v>
      </c>
      <c r="AZ80" s="303">
        <f>+AE80</f>
        <v>0.28000000000000003</v>
      </c>
      <c r="BA80" s="303">
        <f>+AJ80</f>
        <v>0.6</v>
      </c>
      <c r="BB80" s="303">
        <f>+AO80</f>
        <v>0.66</v>
      </c>
      <c r="BC80" s="303">
        <f>+AP80</f>
        <v>0.69300000000000006</v>
      </c>
      <c r="BD80" s="862">
        <f>+AQ80</f>
        <v>0.69300000000000006</v>
      </c>
      <c r="BF80" s="900"/>
      <c r="BM80" s="902"/>
      <c r="BN80" s="902"/>
      <c r="BO80" s="902"/>
      <c r="BP80" s="902"/>
      <c r="BQ80" s="902"/>
      <c r="BR80" s="902"/>
      <c r="BS80" s="902"/>
    </row>
    <row r="81" spans="1:71" ht="12.75" customHeight="1">
      <c r="A81" s="510" t="s">
        <v>2398</v>
      </c>
      <c r="B81" s="2616"/>
      <c r="C81" s="2616"/>
      <c r="D81" s="2616"/>
      <c r="E81" s="2616"/>
      <c r="F81" s="2616"/>
      <c r="G81" s="2617"/>
      <c r="H81" s="2617"/>
      <c r="I81" s="2617"/>
      <c r="J81" s="2617"/>
      <c r="K81" s="2616"/>
      <c r="L81" s="2617"/>
      <c r="M81" s="2617"/>
      <c r="N81" s="2617"/>
      <c r="O81" s="2617"/>
      <c r="P81" s="2616"/>
      <c r="Q81" s="2617"/>
      <c r="R81" s="2617"/>
      <c r="S81" s="2617"/>
      <c r="T81" s="2617"/>
      <c r="U81" s="2616"/>
      <c r="V81" s="2617"/>
      <c r="W81" s="2617"/>
      <c r="X81" s="608" t="s">
        <v>1263</v>
      </c>
      <c r="Y81" s="608" t="s">
        <v>1263</v>
      </c>
      <c r="Z81" s="408" t="s">
        <v>1263</v>
      </c>
      <c r="AA81" s="608" t="s">
        <v>1263</v>
      </c>
      <c r="AB81" s="608" t="s">
        <v>1263</v>
      </c>
      <c r="AC81" s="2655">
        <f>+AC80/X80-1</f>
        <v>0</v>
      </c>
      <c r="AD81" s="2655">
        <f>+AD80/Y80-1</f>
        <v>0</v>
      </c>
      <c r="AE81" s="2618" t="s">
        <v>2173</v>
      </c>
      <c r="AF81" s="2655">
        <f>+AF80/AA80-1</f>
        <v>1.1428571428571428</v>
      </c>
      <c r="AG81" s="2655">
        <f>+AG80/AB80-1</f>
        <v>1.1428571428571428</v>
      </c>
      <c r="AH81" s="2655">
        <f>+AH80/AC80-1</f>
        <v>1.1428571428571428</v>
      </c>
      <c r="AI81" s="2655">
        <f>+AI80/AD80-1</f>
        <v>1.1428571428571428</v>
      </c>
      <c r="AJ81" s="3499">
        <f>+AJ80/AE80-1</f>
        <v>1.1428571428571428</v>
      </c>
      <c r="AK81" s="3931">
        <v>0.1</v>
      </c>
      <c r="AL81" s="2655">
        <f>+AL80/AG80-1</f>
        <v>0.10000000000000009</v>
      </c>
      <c r="AM81" s="2655">
        <f>+AM80/AH80-1</f>
        <v>0.10000000000000009</v>
      </c>
      <c r="AN81" s="2655">
        <f>+AN80/AI80-1</f>
        <v>0.10000000000000009</v>
      </c>
      <c r="AO81" s="3499">
        <f>+AO80/AJ80-1</f>
        <v>0.10000000000000009</v>
      </c>
      <c r="AP81" s="2619">
        <v>0.05</v>
      </c>
      <c r="AQ81" s="2619">
        <v>0</v>
      </c>
      <c r="AR81" s="383"/>
      <c r="AS81" s="494"/>
      <c r="AT81" s="303"/>
      <c r="AU81" s="303"/>
      <c r="AV81" s="303"/>
      <c r="AW81" s="303"/>
      <c r="AX81" s="303"/>
      <c r="AY81" s="303"/>
      <c r="AZ81" s="303"/>
      <c r="BA81" s="303"/>
      <c r="BB81" s="303"/>
      <c r="BC81" s="303"/>
      <c r="BD81" s="303"/>
      <c r="BF81" s="900"/>
      <c r="BM81" s="902"/>
      <c r="BN81" s="902"/>
      <c r="BO81" s="902"/>
      <c r="BP81" s="902"/>
      <c r="BQ81" s="902"/>
      <c r="BR81" s="902"/>
      <c r="BS81" s="902"/>
    </row>
    <row r="82" spans="1:71" ht="12.75" hidden="1" customHeight="1" outlineLevel="1">
      <c r="A82" s="605"/>
      <c r="B82" s="407"/>
      <c r="C82" s="407"/>
      <c r="D82" s="407"/>
      <c r="E82" s="407"/>
      <c r="F82" s="407"/>
      <c r="G82" s="301"/>
      <c r="H82" s="301"/>
      <c r="I82" s="301"/>
      <c r="J82" s="301"/>
      <c r="K82" s="407"/>
      <c r="L82" s="301"/>
      <c r="M82" s="301"/>
      <c r="N82" s="301"/>
      <c r="O82" s="301"/>
      <c r="P82" s="407"/>
      <c r="Q82" s="301"/>
      <c r="R82" s="301"/>
      <c r="S82" s="301"/>
      <c r="T82" s="301"/>
      <c r="U82" s="407"/>
      <c r="V82" s="301"/>
      <c r="W82" s="301"/>
      <c r="X82" s="301"/>
      <c r="Y82" s="2611"/>
      <c r="Z82" s="2756"/>
      <c r="AA82" s="2611"/>
      <c r="AB82" s="2611"/>
      <c r="AC82" s="2611"/>
      <c r="AD82" s="2611"/>
      <c r="AE82" s="407"/>
      <c r="AF82" s="2611"/>
      <c r="AG82" s="2611"/>
      <c r="AH82" s="2611"/>
      <c r="AI82" s="2611"/>
      <c r="AJ82" s="407"/>
      <c r="AK82" s="2611"/>
      <c r="AL82" s="2611"/>
      <c r="AM82" s="2611"/>
      <c r="AN82" s="2611"/>
      <c r="AO82" s="2756"/>
      <c r="AP82" s="407"/>
      <c r="AQ82" s="739"/>
      <c r="AR82" s="383"/>
      <c r="AS82" s="494"/>
      <c r="AT82" s="303"/>
      <c r="AU82" s="303"/>
      <c r="AV82" s="303"/>
      <c r="AW82" s="303"/>
      <c r="AX82" s="303"/>
      <c r="AY82" s="303"/>
      <c r="AZ82" s="303"/>
      <c r="BA82" s="303"/>
      <c r="BB82" s="303"/>
      <c r="BC82" s="303"/>
      <c r="BD82" s="303"/>
      <c r="BF82" s="900"/>
      <c r="BM82" s="902"/>
      <c r="BN82" s="902"/>
      <c r="BO82" s="902"/>
      <c r="BP82" s="902"/>
      <c r="BQ82" s="902"/>
      <c r="BR82" s="902"/>
      <c r="BS82" s="902"/>
    </row>
    <row r="83" spans="1:71" ht="12.75" hidden="1" customHeight="1" outlineLevel="1">
      <c r="A83" s="3447" t="s">
        <v>2926</v>
      </c>
      <c r="B83" s="147"/>
      <c r="C83" s="147"/>
      <c r="D83" s="147"/>
      <c r="E83" s="957" t="s">
        <v>1263</v>
      </c>
      <c r="F83" s="957" t="s">
        <v>1263</v>
      </c>
      <c r="G83" s="318" t="s">
        <v>1263</v>
      </c>
      <c r="H83" s="318" t="s">
        <v>1263</v>
      </c>
      <c r="I83" s="318" t="s">
        <v>1263</v>
      </c>
      <c r="J83" s="318" t="s">
        <v>1263</v>
      </c>
      <c r="K83" s="957" t="s">
        <v>1263</v>
      </c>
      <c r="L83" s="318">
        <v>921</v>
      </c>
      <c r="M83" s="318" t="s">
        <v>1263</v>
      </c>
      <c r="N83" s="318" t="s">
        <v>1263</v>
      </c>
      <c r="O83" s="318">
        <f>26/0.03</f>
        <v>866.66666666666674</v>
      </c>
      <c r="P83" s="957">
        <v>923</v>
      </c>
      <c r="Q83" s="180">
        <v>985</v>
      </c>
      <c r="R83" s="180">
        <v>985</v>
      </c>
      <c r="S83" s="180">
        <v>985</v>
      </c>
      <c r="T83" s="180">
        <v>985</v>
      </c>
      <c r="U83" s="153">
        <f>AVERAGE(Q83:T83)</f>
        <v>985</v>
      </c>
      <c r="V83" s="180">
        <v>986</v>
      </c>
      <c r="W83" s="180">
        <v>987</v>
      </c>
      <c r="X83" s="1602">
        <f>W83</f>
        <v>987</v>
      </c>
      <c r="Y83" s="1602">
        <f>X83</f>
        <v>987</v>
      </c>
      <c r="Z83" s="2598">
        <f>AVERAGE(V83:Y83)</f>
        <v>986.75</v>
      </c>
      <c r="AA83" s="180">
        <v>987</v>
      </c>
      <c r="AB83" s="180">
        <v>988</v>
      </c>
      <c r="AC83" s="180">
        <v>987.45835999999997</v>
      </c>
      <c r="AD83" s="2551">
        <f>AC83</f>
        <v>987.45835999999997</v>
      </c>
      <c r="AE83" s="153">
        <f>AVERAGE(AA83:AD83)</f>
        <v>987.47918000000004</v>
      </c>
      <c r="AF83" s="2782">
        <v>330</v>
      </c>
      <c r="AG83" s="3577">
        <f>AF83+(AG529/AG94)</f>
        <v>325.46416426599683</v>
      </c>
      <c r="AH83" s="3577">
        <f>AG83+(AH529/AH94)</f>
        <v>321.1790491480175</v>
      </c>
      <c r="AI83" s="3577">
        <f>AH83+(AI529/AI94)</f>
        <v>317.47204083987049</v>
      </c>
      <c r="AJ83" s="153">
        <f>AVERAGE(AF83:AI83)</f>
        <v>323.5288135634712</v>
      </c>
      <c r="AK83" s="3933">
        <f>AJ83+(AK529/AK94)</f>
        <v>319.92217735284368</v>
      </c>
      <c r="AL83" s="3577">
        <f>AK83+(AL529/AL94)</f>
        <v>316.40350787906067</v>
      </c>
      <c r="AM83" s="3577">
        <f>AL83+(AM529/AM94)</f>
        <v>312.97065961195534</v>
      </c>
      <c r="AN83" s="3577">
        <f>AM83+(AN529/AN94)</f>
        <v>309.62153935136473</v>
      </c>
      <c r="AO83" s="2598">
        <f>AVERAGE(AK83:AN83)</f>
        <v>314.72947104880609</v>
      </c>
      <c r="AP83" s="2598">
        <f>AO83+(AP529/AP94)</f>
        <v>302.55085191938576</v>
      </c>
      <c r="AQ83" s="2598">
        <f>AP83+(AQ529/AQ94)</f>
        <v>297.01511595146746</v>
      </c>
      <c r="AR83" s="148"/>
      <c r="AS83" s="489" t="str">
        <f>+A83</f>
        <v>Basic Shares Outstanding EOP</v>
      </c>
      <c r="AT83" s="148" t="str">
        <f>+E83</f>
        <v>ND</v>
      </c>
      <c r="AU83" s="148" t="str">
        <f>+F83</f>
        <v>ND</v>
      </c>
      <c r="AV83" s="148" t="str">
        <f>+K83</f>
        <v>ND</v>
      </c>
      <c r="AW83" s="148">
        <f>+P83</f>
        <v>923</v>
      </c>
      <c r="AX83" s="148">
        <f>+U83</f>
        <v>985</v>
      </c>
      <c r="AY83" s="148">
        <f>+Z83</f>
        <v>986.75</v>
      </c>
      <c r="AZ83" s="148">
        <f>+AE83</f>
        <v>987.47918000000004</v>
      </c>
      <c r="BA83" s="148">
        <f>+AJ83</f>
        <v>323.5288135634712</v>
      </c>
      <c r="BB83" s="148">
        <f t="shared" ref="BB83:BD84" si="142">+AO83</f>
        <v>314.72947104880609</v>
      </c>
      <c r="BC83" s="148">
        <f t="shared" si="142"/>
        <v>302.55085191938576</v>
      </c>
      <c r="BD83" s="148">
        <f t="shared" si="142"/>
        <v>297.01511595146746</v>
      </c>
      <c r="BF83" s="900"/>
      <c r="BM83" s="902"/>
      <c r="BN83" s="902"/>
      <c r="BO83" s="902"/>
      <c r="BP83" s="902"/>
      <c r="BQ83" s="902"/>
      <c r="BR83" s="902"/>
      <c r="BS83" s="902"/>
    </row>
    <row r="84" spans="1:71" ht="12.75" hidden="1" customHeight="1" outlineLevel="2">
      <c r="A84" s="3447" t="s">
        <v>844</v>
      </c>
      <c r="B84" s="147"/>
      <c r="C84" s="147"/>
      <c r="D84" s="147"/>
      <c r="E84" s="957" t="s">
        <v>1263</v>
      </c>
      <c r="F84" s="957" t="s">
        <v>1263</v>
      </c>
      <c r="G84" s="318" t="s">
        <v>1263</v>
      </c>
      <c r="H84" s="318" t="s">
        <v>1263</v>
      </c>
      <c r="I84" s="318" t="s">
        <v>1263</v>
      </c>
      <c r="J84" s="318" t="s">
        <v>1263</v>
      </c>
      <c r="K84" s="957" t="s">
        <v>1263</v>
      </c>
      <c r="L84" s="318">
        <v>921</v>
      </c>
      <c r="M84" s="318" t="s">
        <v>1263</v>
      </c>
      <c r="N84" s="318" t="s">
        <v>1263</v>
      </c>
      <c r="O84" s="318" t="s">
        <v>1263</v>
      </c>
      <c r="P84" s="957" t="s">
        <v>1263</v>
      </c>
      <c r="Q84" s="318">
        <v>985</v>
      </c>
      <c r="R84" s="318">
        <v>985</v>
      </c>
      <c r="S84" s="318">
        <v>987</v>
      </c>
      <c r="T84" s="318" t="s">
        <v>1263</v>
      </c>
      <c r="U84" s="957" t="s">
        <v>1263</v>
      </c>
      <c r="V84" s="318" t="s">
        <v>1263</v>
      </c>
      <c r="W84" s="318" t="s">
        <v>1263</v>
      </c>
      <c r="X84" s="318" t="s">
        <v>1263</v>
      </c>
      <c r="Y84" s="318" t="s">
        <v>1263</v>
      </c>
      <c r="Z84" s="957" t="s">
        <v>1263</v>
      </c>
      <c r="AA84" s="318" t="s">
        <v>1263</v>
      </c>
      <c r="AB84" s="318" t="s">
        <v>1263</v>
      </c>
      <c r="AC84" s="318" t="s">
        <v>1263</v>
      </c>
      <c r="AD84" s="2509" t="s">
        <v>1263</v>
      </c>
      <c r="AE84" s="2509" t="s">
        <v>1263</v>
      </c>
      <c r="AF84" s="318" t="s">
        <v>1263</v>
      </c>
      <c r="AG84" s="318" t="s">
        <v>1263</v>
      </c>
      <c r="AH84" s="318" t="s">
        <v>1263</v>
      </c>
      <c r="AI84" s="2509" t="s">
        <v>1263</v>
      </c>
      <c r="AJ84" s="2509" t="s">
        <v>1263</v>
      </c>
      <c r="AK84" s="318" t="s">
        <v>1263</v>
      </c>
      <c r="AL84" s="318" t="s">
        <v>1263</v>
      </c>
      <c r="AM84" s="318" t="s">
        <v>1263</v>
      </c>
      <c r="AN84" s="2509" t="s">
        <v>1263</v>
      </c>
      <c r="AO84" s="3463" t="s">
        <v>1263</v>
      </c>
      <c r="AP84" s="957" t="s">
        <v>1263</v>
      </c>
      <c r="AQ84" s="957" t="s">
        <v>1263</v>
      </c>
      <c r="AR84" s="148"/>
      <c r="AS84" s="489" t="str">
        <f>+A84</f>
        <v>Diluted Shares Outstanding EOP</v>
      </c>
      <c r="AT84" s="148" t="str">
        <f>+E84</f>
        <v>ND</v>
      </c>
      <c r="AU84" s="148" t="str">
        <f>+F84</f>
        <v>ND</v>
      </c>
      <c r="AV84" s="148" t="str">
        <f>+K84</f>
        <v>ND</v>
      </c>
      <c r="AW84" s="148" t="str">
        <f>+P84</f>
        <v>ND</v>
      </c>
      <c r="AX84" s="148" t="str">
        <f>+U84</f>
        <v>ND</v>
      </c>
      <c r="AY84" s="148" t="str">
        <f>+Z84</f>
        <v>ND</v>
      </c>
      <c r="AZ84" s="148" t="str">
        <f>+AE84</f>
        <v>ND</v>
      </c>
      <c r="BA84" s="148" t="str">
        <f>+AJ84</f>
        <v>ND</v>
      </c>
      <c r="BB84" s="148" t="str">
        <f t="shared" si="142"/>
        <v>ND</v>
      </c>
      <c r="BC84" s="148" t="str">
        <f t="shared" si="142"/>
        <v>ND</v>
      </c>
      <c r="BD84" s="720" t="str">
        <f t="shared" si="142"/>
        <v>ND</v>
      </c>
      <c r="BF84" s="900"/>
      <c r="BM84" s="902"/>
      <c r="BN84" s="902"/>
      <c r="BO84" s="902"/>
      <c r="BP84" s="902"/>
      <c r="BQ84" s="902"/>
      <c r="BR84" s="902"/>
      <c r="BS84" s="902"/>
    </row>
    <row r="85" spans="1:71" s="15" customFormat="1" ht="12.75" hidden="1" customHeight="1" outlineLevel="1">
      <c r="A85" s="603" t="s">
        <v>2927</v>
      </c>
      <c r="B85" s="147"/>
      <c r="C85" s="147"/>
      <c r="D85" s="3460"/>
      <c r="E85" s="3460"/>
      <c r="F85" s="957"/>
      <c r="G85" s="3460"/>
      <c r="H85" s="3460"/>
      <c r="I85" s="3460"/>
      <c r="J85" s="3460"/>
      <c r="K85" s="3463"/>
      <c r="L85" s="3460"/>
      <c r="M85" s="3460"/>
      <c r="N85" s="3460"/>
      <c r="O85" s="3460"/>
      <c r="P85" s="3463"/>
      <c r="Q85" s="3460">
        <v>985</v>
      </c>
      <c r="R85" s="3460">
        <v>985</v>
      </c>
      <c r="S85" s="3460">
        <v>985</v>
      </c>
      <c r="T85" s="3460">
        <v>985</v>
      </c>
      <c r="U85" s="3463">
        <f>AVERAGE(Q85:T85)</f>
        <v>985</v>
      </c>
      <c r="V85" s="3460">
        <v>986</v>
      </c>
      <c r="W85" s="3460">
        <v>987</v>
      </c>
      <c r="X85" s="3460">
        <v>987</v>
      </c>
      <c r="Y85" s="3460">
        <v>986</v>
      </c>
      <c r="Z85" s="3463">
        <f>AVERAGE(V85:Y85)</f>
        <v>986.5</v>
      </c>
      <c r="AA85" s="3460">
        <v>987</v>
      </c>
      <c r="AB85" s="3460">
        <v>988</v>
      </c>
      <c r="AC85" s="2782">
        <v>988</v>
      </c>
      <c r="AD85" s="2551">
        <f>AC85</f>
        <v>988</v>
      </c>
      <c r="AE85" s="3463">
        <f>AVERAGE(AA85:AD85)</f>
        <v>987.75</v>
      </c>
      <c r="AF85" s="3460"/>
      <c r="AG85" s="3460"/>
      <c r="AH85" s="3460"/>
      <c r="AI85" s="3462"/>
      <c r="AJ85" s="3462"/>
      <c r="AK85" s="3460"/>
      <c r="AL85" s="3460"/>
      <c r="AM85" s="3460"/>
      <c r="AN85" s="3462"/>
      <c r="AO85" s="2595"/>
      <c r="AP85" s="3461"/>
      <c r="AQ85" s="3461"/>
      <c r="AR85" s="319"/>
      <c r="AS85" s="384"/>
      <c r="AT85" s="151"/>
      <c r="AU85" s="151"/>
      <c r="AV85" s="151"/>
      <c r="AW85" s="151"/>
      <c r="AX85" s="151"/>
      <c r="AY85" s="151"/>
      <c r="AZ85" s="151"/>
      <c r="BA85" s="151"/>
      <c r="BB85" s="151"/>
      <c r="BC85" s="151"/>
      <c r="BD85" s="858"/>
      <c r="BE85" s="14"/>
      <c r="BF85" s="900"/>
      <c r="BG85"/>
      <c r="BH85"/>
      <c r="BI85"/>
      <c r="BJ85"/>
      <c r="BK85"/>
      <c r="BL85"/>
      <c r="BM85" s="902"/>
      <c r="BN85" s="902"/>
      <c r="BO85" s="902"/>
      <c r="BP85" s="902"/>
      <c r="BQ85" s="902"/>
      <c r="BR85" s="902"/>
      <c r="BS85" s="902"/>
    </row>
    <row r="86" spans="1:71" ht="12.75" hidden="1" customHeight="1" outlineLevel="1">
      <c r="A86" s="396"/>
      <c r="B86" s="147"/>
      <c r="C86" s="147"/>
      <c r="D86" s="717"/>
      <c r="E86" s="717"/>
      <c r="F86" s="717"/>
      <c r="G86" s="320"/>
      <c r="H86" s="320"/>
      <c r="I86" s="320"/>
      <c r="J86" s="320"/>
      <c r="K86" s="717"/>
      <c r="L86" s="320"/>
      <c r="M86" s="320"/>
      <c r="N86" s="320"/>
      <c r="O86" s="320"/>
      <c r="P86" s="717"/>
      <c r="Q86" s="320"/>
      <c r="R86" s="320"/>
      <c r="S86" s="320"/>
      <c r="T86" s="320"/>
      <c r="U86" s="717"/>
      <c r="V86" s="320"/>
      <c r="W86" s="320"/>
      <c r="X86" s="320"/>
      <c r="Y86" s="320"/>
      <c r="Z86" s="717"/>
      <c r="AA86" s="320"/>
      <c r="AB86" s="320"/>
      <c r="AC86" s="320"/>
      <c r="AD86" s="2553"/>
      <c r="AE86" s="856"/>
      <c r="AF86" s="320"/>
      <c r="AG86" s="320"/>
      <c r="AH86" s="320"/>
      <c r="AI86" s="2553"/>
      <c r="AJ86" s="856"/>
      <c r="AK86" s="320"/>
      <c r="AL86" s="320"/>
      <c r="AM86" s="320"/>
      <c r="AN86" s="2553"/>
      <c r="AO86" s="717"/>
      <c r="AP86" s="717"/>
      <c r="AQ86" s="717"/>
      <c r="AR86" s="312"/>
      <c r="AS86" s="384"/>
      <c r="AT86" s="312"/>
      <c r="AU86" s="312"/>
      <c r="AV86" s="312"/>
      <c r="AW86" s="312"/>
      <c r="AX86" s="312"/>
      <c r="AY86" s="312"/>
      <c r="AZ86" s="312"/>
      <c r="BA86" s="312"/>
      <c r="BB86" s="312"/>
      <c r="BC86" s="312"/>
      <c r="BD86" s="856"/>
      <c r="BF86" s="900"/>
      <c r="BM86" s="902"/>
      <c r="BN86" s="902"/>
      <c r="BO86" s="902"/>
      <c r="BP86" s="902"/>
      <c r="BQ86" s="902"/>
      <c r="BR86" s="902"/>
      <c r="BS86" s="902"/>
    </row>
    <row r="87" spans="1:71" ht="12.75" hidden="1" customHeight="1" outlineLevel="1">
      <c r="A87" s="300" t="s">
        <v>2289</v>
      </c>
      <c r="B87" s="718"/>
      <c r="C87" s="718"/>
      <c r="D87" s="718"/>
      <c r="E87" s="718"/>
      <c r="F87" s="718"/>
      <c r="G87" s="170"/>
      <c r="H87" s="170"/>
      <c r="I87" s="170"/>
      <c r="J87" s="170"/>
      <c r="K87" s="718"/>
      <c r="L87" s="170"/>
      <c r="M87" s="170"/>
      <c r="N87" s="170"/>
      <c r="O87" s="170"/>
      <c r="P87" s="718"/>
      <c r="Q87" s="170"/>
      <c r="R87" s="170"/>
      <c r="S87" s="170"/>
      <c r="T87" s="170"/>
      <c r="U87" s="718"/>
      <c r="V87" s="170"/>
      <c r="W87" s="170"/>
      <c r="X87" s="170"/>
      <c r="Y87" s="2725"/>
      <c r="Z87" s="718"/>
      <c r="AA87" s="170"/>
      <c r="AB87" s="170"/>
      <c r="AC87" s="170"/>
      <c r="AD87" s="843"/>
      <c r="AE87" s="1382"/>
      <c r="AF87" s="170"/>
      <c r="AG87" s="170"/>
      <c r="AH87" s="170"/>
      <c r="AI87" s="843"/>
      <c r="AJ87" s="1382"/>
      <c r="AK87" s="170"/>
      <c r="AL87" s="170"/>
      <c r="AM87" s="170"/>
      <c r="AN87" s="843"/>
      <c r="AO87" s="3963"/>
      <c r="AP87" s="718"/>
      <c r="AQ87" s="718"/>
      <c r="AR87" s="170"/>
      <c r="AS87" s="493" t="str">
        <f>+A87</f>
        <v>Shares Outstanding Summary</v>
      </c>
      <c r="AT87" s="170"/>
      <c r="AU87" s="170"/>
      <c r="AV87" s="170"/>
      <c r="AW87" s="170"/>
      <c r="AX87" s="170"/>
      <c r="AY87" s="170"/>
      <c r="AZ87" s="170"/>
      <c r="BA87" s="170"/>
      <c r="BB87" s="170"/>
      <c r="BC87" s="170"/>
      <c r="BD87" s="843"/>
      <c r="BF87" s="900"/>
      <c r="BM87" s="902"/>
      <c r="BN87" s="902"/>
      <c r="BO87" s="902"/>
      <c r="BP87" s="902"/>
      <c r="BQ87" s="902"/>
      <c r="BR87" s="902"/>
      <c r="BS87" s="902"/>
    </row>
    <row r="88" spans="1:71" ht="12.75" hidden="1" customHeight="1" outlineLevel="1">
      <c r="A88" s="258" t="s">
        <v>843</v>
      </c>
      <c r="B88" s="175"/>
      <c r="C88" s="175"/>
      <c r="D88" s="175"/>
      <c r="E88" s="175"/>
      <c r="F88" s="175"/>
      <c r="G88" s="179"/>
      <c r="H88" s="179"/>
      <c r="I88" s="179"/>
      <c r="J88" s="179"/>
      <c r="K88" s="175"/>
      <c r="L88" s="179"/>
      <c r="M88" s="179"/>
      <c r="N88" s="179"/>
      <c r="O88" s="179"/>
      <c r="P88" s="175"/>
      <c r="Q88" s="179"/>
      <c r="R88" s="179"/>
      <c r="S88" s="179"/>
      <c r="T88" s="179"/>
      <c r="U88" s="175"/>
      <c r="V88" s="179"/>
      <c r="W88" s="179"/>
      <c r="X88" s="179"/>
      <c r="Y88" s="2730"/>
      <c r="Z88" s="2757"/>
      <c r="AA88" s="179"/>
      <c r="AB88" s="179"/>
      <c r="AC88" s="179"/>
      <c r="AD88" s="850"/>
      <c r="AE88" s="850"/>
      <c r="AF88" s="179"/>
      <c r="AG88" s="179"/>
      <c r="AH88" s="179"/>
      <c r="AI88" s="850"/>
      <c r="AJ88" s="850"/>
      <c r="AK88" s="179"/>
      <c r="AL88" s="179"/>
      <c r="AM88" s="179"/>
      <c r="AN88" s="850"/>
      <c r="AO88" s="2757"/>
      <c r="AP88" s="175"/>
      <c r="AQ88" s="175"/>
      <c r="AR88" s="179"/>
      <c r="AS88" s="489" t="str">
        <f>+A88</f>
        <v>Diluted Shares Outstanding BOP</v>
      </c>
      <c r="AT88" s="179"/>
      <c r="AU88" s="179"/>
      <c r="AV88" s="179"/>
      <c r="AW88" s="179"/>
      <c r="AX88" s="179"/>
      <c r="AY88" s="179"/>
      <c r="AZ88" s="179"/>
      <c r="BA88" s="179"/>
      <c r="BB88" s="179"/>
      <c r="BC88" s="179"/>
      <c r="BD88" s="850"/>
      <c r="BF88" s="900"/>
      <c r="BM88" s="902"/>
      <c r="BN88" s="902"/>
      <c r="BO88" s="902"/>
      <c r="BP88" s="902"/>
      <c r="BQ88" s="902"/>
      <c r="BR88" s="902"/>
      <c r="BS88" s="902"/>
    </row>
    <row r="89" spans="1:71" ht="12.75" hidden="1" customHeight="1" outlineLevel="1">
      <c r="A89" s="259" t="s">
        <v>461</v>
      </c>
      <c r="B89" s="171"/>
      <c r="C89" s="171"/>
      <c r="D89" s="171"/>
      <c r="E89" s="171"/>
      <c r="F89" s="171"/>
      <c r="G89" s="323"/>
      <c r="H89" s="323"/>
      <c r="I89" s="323"/>
      <c r="J89" s="323"/>
      <c r="K89" s="171"/>
      <c r="L89" s="323"/>
      <c r="M89" s="323"/>
      <c r="N89" s="323"/>
      <c r="O89" s="321"/>
      <c r="P89" s="171"/>
      <c r="Q89" s="321"/>
      <c r="R89" s="321"/>
      <c r="S89" s="321"/>
      <c r="T89" s="321"/>
      <c r="U89" s="171"/>
      <c r="V89" s="321"/>
      <c r="W89" s="321"/>
      <c r="X89" s="321"/>
      <c r="Y89" s="321"/>
      <c r="Z89" s="2568"/>
      <c r="AA89" s="321"/>
      <c r="AB89" s="321"/>
      <c r="AC89" s="321"/>
      <c r="AD89" s="1382"/>
      <c r="AE89" s="843"/>
      <c r="AF89" s="321"/>
      <c r="AG89" s="321"/>
      <c r="AH89" s="321"/>
      <c r="AI89" s="1382"/>
      <c r="AJ89" s="843"/>
      <c r="AK89" s="321"/>
      <c r="AL89" s="321"/>
      <c r="AM89" s="321"/>
      <c r="AN89" s="1382"/>
      <c r="AO89" s="2568"/>
      <c r="AP89" s="171"/>
      <c r="AQ89" s="813"/>
      <c r="AR89" s="322"/>
      <c r="AS89" s="384" t="str">
        <f>+A89</f>
        <v xml:space="preserve">  New Shares/Option Exercises</v>
      </c>
      <c r="AT89" s="170"/>
      <c r="AU89" s="170"/>
      <c r="AV89" s="170"/>
      <c r="AW89" s="170"/>
      <c r="AX89" s="170"/>
      <c r="AY89" s="170"/>
      <c r="AZ89" s="170"/>
      <c r="BA89" s="170"/>
      <c r="BB89" s="170"/>
      <c r="BC89" s="170"/>
      <c r="BD89" s="843"/>
      <c r="BF89" s="900"/>
      <c r="BM89" s="902"/>
      <c r="BN89" s="902"/>
      <c r="BO89" s="902"/>
      <c r="BP89" s="902"/>
      <c r="BQ89" s="902"/>
      <c r="BR89" s="902"/>
      <c r="BS89" s="902"/>
    </row>
    <row r="90" spans="1:71" ht="12.75" hidden="1" customHeight="1" outlineLevel="1">
      <c r="A90" s="259" t="s">
        <v>782</v>
      </c>
      <c r="B90" s="719"/>
      <c r="C90" s="719"/>
      <c r="D90" s="719"/>
      <c r="E90" s="719"/>
      <c r="F90" s="719"/>
      <c r="G90" s="325"/>
      <c r="H90" s="324"/>
      <c r="I90" s="324"/>
      <c r="J90" s="324"/>
      <c r="K90" s="719"/>
      <c r="L90" s="324"/>
      <c r="M90" s="324"/>
      <c r="N90" s="325"/>
      <c r="O90" s="325"/>
      <c r="P90" s="719"/>
      <c r="Q90" s="325"/>
      <c r="R90" s="325"/>
      <c r="S90" s="325"/>
      <c r="T90" s="325"/>
      <c r="U90" s="719"/>
      <c r="V90" s="325"/>
      <c r="W90" s="325"/>
      <c r="X90" s="325"/>
      <c r="Y90" s="325"/>
      <c r="Z90" s="719"/>
      <c r="AA90" s="325"/>
      <c r="AB90" s="325"/>
      <c r="AC90" s="325"/>
      <c r="AD90" s="325"/>
      <c r="AE90" s="719"/>
      <c r="AF90" s="325"/>
      <c r="AG90" s="325"/>
      <c r="AH90" s="325"/>
      <c r="AI90" s="325"/>
      <c r="AJ90" s="719"/>
      <c r="AK90" s="325"/>
      <c r="AL90" s="325"/>
      <c r="AM90" s="325"/>
      <c r="AN90" s="325"/>
      <c r="AO90" s="719"/>
      <c r="AP90" s="719"/>
      <c r="AQ90" s="740"/>
      <c r="AR90" s="326"/>
      <c r="AS90" s="384" t="str">
        <f>+A90</f>
        <v xml:space="preserve">  Share Repurchases</v>
      </c>
      <c r="AT90" s="325"/>
      <c r="AU90" s="325"/>
      <c r="AV90" s="325"/>
      <c r="AW90" s="325"/>
      <c r="AX90" s="325"/>
      <c r="AY90" s="325"/>
      <c r="AZ90" s="325"/>
      <c r="BA90" s="325"/>
      <c r="BB90" s="325"/>
      <c r="BC90" s="325"/>
      <c r="BD90" s="857"/>
      <c r="BF90" s="900"/>
      <c r="BM90" s="902"/>
      <c r="BN90" s="902"/>
      <c r="BO90" s="902"/>
      <c r="BP90" s="902"/>
      <c r="BQ90" s="902"/>
      <c r="BR90" s="902"/>
      <c r="BS90" s="902"/>
    </row>
    <row r="91" spans="1:71" s="19" customFormat="1" ht="12.75" hidden="1" customHeight="1" outlineLevel="1">
      <c r="A91" s="716" t="s">
        <v>844</v>
      </c>
      <c r="B91" s="3452"/>
      <c r="C91" s="3452"/>
      <c r="D91" s="3452"/>
      <c r="E91" s="3453" t="s">
        <v>1263</v>
      </c>
      <c r="F91" s="3453" t="s">
        <v>1263</v>
      </c>
      <c r="G91" s="3454" t="s">
        <v>1263</v>
      </c>
      <c r="H91" s="3454" t="s">
        <v>1263</v>
      </c>
      <c r="I91" s="3454" t="s">
        <v>1263</v>
      </c>
      <c r="J91" s="3454" t="s">
        <v>1263</v>
      </c>
      <c r="K91" s="3453" t="s">
        <v>1263</v>
      </c>
      <c r="L91" s="3454" t="s">
        <v>1263</v>
      </c>
      <c r="M91" s="3454" t="s">
        <v>1263</v>
      </c>
      <c r="N91" s="3454" t="s">
        <v>1263</v>
      </c>
      <c r="O91" s="3454">
        <f>984.615364</f>
        <v>984.615364</v>
      </c>
      <c r="P91" s="3455">
        <f>O91</f>
        <v>984.615364</v>
      </c>
      <c r="Q91" s="3454">
        <f>984.615364</f>
        <v>984.615364</v>
      </c>
      <c r="R91" s="3456">
        <f>Q91</f>
        <v>984.615364</v>
      </c>
      <c r="S91" s="3456">
        <f>R91</f>
        <v>984.615364</v>
      </c>
      <c r="T91" s="3456">
        <f>S91</f>
        <v>984.615364</v>
      </c>
      <c r="U91" s="1092">
        <f>AVERAGE(Q91:T91)</f>
        <v>984.615364</v>
      </c>
      <c r="V91" s="3456">
        <f>T91</f>
        <v>984.615364</v>
      </c>
      <c r="W91" s="3456">
        <f>V91</f>
        <v>984.615364</v>
      </c>
      <c r="X91" s="3456">
        <f>W91</f>
        <v>984.615364</v>
      </c>
      <c r="Y91" s="3456">
        <f>X91</f>
        <v>984.615364</v>
      </c>
      <c r="Z91" s="2761">
        <f>AVERAGE(V91:Y91)</f>
        <v>984.615364</v>
      </c>
      <c r="AA91" s="3456">
        <f>Z91</f>
        <v>984.615364</v>
      </c>
      <c r="AB91" s="3456">
        <f>AA91</f>
        <v>984.615364</v>
      </c>
      <c r="AC91" s="3456">
        <f>AB91</f>
        <v>984.615364</v>
      </c>
      <c r="AD91" s="3465">
        <f>+AD83+AD70-AD85</f>
        <v>992.45836000000008</v>
      </c>
      <c r="AE91" s="1092">
        <f>AVERAGE(AA91:AD91)</f>
        <v>986.57611299999996</v>
      </c>
      <c r="AF91" s="3451">
        <f>AD91/3</f>
        <v>330.81945333333334</v>
      </c>
      <c r="AG91" s="3456">
        <f>AF91</f>
        <v>330.81945333333334</v>
      </c>
      <c r="AH91" s="3456">
        <f>AG91</f>
        <v>330.81945333333334</v>
      </c>
      <c r="AI91" s="3456">
        <f>AH91</f>
        <v>330.81945333333334</v>
      </c>
      <c r="AJ91" s="1092">
        <f>AVERAGE(AF91:AI91)</f>
        <v>330.81945333333334</v>
      </c>
      <c r="AK91" s="3456">
        <f>AJ91</f>
        <v>330.81945333333334</v>
      </c>
      <c r="AL91" s="3456">
        <f t="shared" ref="AL91:AN91" si="143">AK91</f>
        <v>330.81945333333334</v>
      </c>
      <c r="AM91" s="3456">
        <f t="shared" si="143"/>
        <v>330.81945333333334</v>
      </c>
      <c r="AN91" s="3456">
        <f t="shared" si="143"/>
        <v>330.81945333333334</v>
      </c>
      <c r="AO91" s="2761">
        <f>AVERAGE(AK91:AN91)</f>
        <v>330.81945333333334</v>
      </c>
      <c r="AP91" s="3457">
        <f>AO91</f>
        <v>330.81945333333334</v>
      </c>
      <c r="AQ91" s="3457">
        <f>AP91</f>
        <v>330.81945333333334</v>
      </c>
      <c r="AR91" s="3458"/>
      <c r="AS91" s="1448" t="str">
        <f>+A91</f>
        <v>Diluted Shares Outstanding EOP</v>
      </c>
      <c r="AT91" s="3458"/>
      <c r="AU91" s="3458"/>
      <c r="AV91" s="3458"/>
      <c r="AW91" s="3458"/>
      <c r="AX91" s="3458"/>
      <c r="AY91" s="3458"/>
      <c r="AZ91" s="3458"/>
      <c r="BA91" s="3458"/>
      <c r="BB91" s="3458"/>
      <c r="BC91" s="3458"/>
      <c r="BD91" s="3459"/>
      <c r="BF91" s="930"/>
      <c r="BG91"/>
      <c r="BH91"/>
      <c r="BI91"/>
      <c r="BJ91"/>
      <c r="BK91"/>
      <c r="BL91"/>
      <c r="BM91" s="931"/>
      <c r="BN91" s="931"/>
      <c r="BO91" s="931"/>
      <c r="BP91" s="931"/>
      <c r="BQ91" s="931"/>
      <c r="BR91" s="931"/>
      <c r="BS91" s="931"/>
    </row>
    <row r="92" spans="1:71" ht="12.75" hidden="1" customHeight="1" outlineLevel="1">
      <c r="A92" s="251"/>
      <c r="B92" s="248"/>
      <c r="C92" s="248"/>
      <c r="D92" s="248"/>
      <c r="E92" s="248"/>
      <c r="F92" s="248"/>
      <c r="G92" s="151"/>
      <c r="H92" s="151"/>
      <c r="I92" s="151"/>
      <c r="J92" s="151"/>
      <c r="K92" s="248"/>
      <c r="L92" s="151"/>
      <c r="M92" s="151"/>
      <c r="N92" s="151"/>
      <c r="O92" s="151"/>
      <c r="P92" s="248"/>
      <c r="Q92" s="151"/>
      <c r="R92" s="151"/>
      <c r="S92" s="151"/>
      <c r="T92" s="151"/>
      <c r="U92" s="248"/>
      <c r="V92" s="151"/>
      <c r="W92" s="151"/>
      <c r="X92" s="151"/>
      <c r="Y92" s="2731"/>
      <c r="Z92" s="2595"/>
      <c r="AA92" s="151"/>
      <c r="AB92" s="151"/>
      <c r="AC92" s="151"/>
      <c r="AD92" s="151"/>
      <c r="AE92" s="248"/>
      <c r="AF92" s="151"/>
      <c r="AG92" s="151"/>
      <c r="AH92" s="151"/>
      <c r="AI92" s="151"/>
      <c r="AJ92" s="248"/>
      <c r="AK92" s="151"/>
      <c r="AL92" s="151"/>
      <c r="AM92" s="151"/>
      <c r="AN92" s="151"/>
      <c r="AO92" s="2595"/>
      <c r="AP92" s="248"/>
      <c r="AQ92" s="248"/>
      <c r="AR92" s="151"/>
      <c r="AS92" s="384"/>
      <c r="AT92" s="151"/>
      <c r="AU92" s="151"/>
      <c r="AV92" s="151"/>
      <c r="AW92" s="151"/>
      <c r="AX92" s="151"/>
      <c r="AY92" s="151"/>
      <c r="AZ92" s="151"/>
      <c r="BA92" s="151"/>
      <c r="BB92" s="151"/>
      <c r="BC92" s="151"/>
      <c r="BD92" s="858"/>
      <c r="BF92" s="900"/>
      <c r="BM92" s="902"/>
      <c r="BN92" s="902"/>
      <c r="BO92" s="902"/>
      <c r="BP92" s="902"/>
      <c r="BQ92" s="902"/>
      <c r="BR92" s="902"/>
      <c r="BS92" s="902"/>
    </row>
    <row r="93" spans="1:71" ht="12.75" customHeight="1" collapsed="1">
      <c r="A93" s="251"/>
      <c r="B93" s="248"/>
      <c r="C93" s="248"/>
      <c r="D93" s="248"/>
      <c r="E93" s="248"/>
      <c r="F93" s="248"/>
      <c r="G93" s="151"/>
      <c r="H93" s="151"/>
      <c r="I93" s="151"/>
      <c r="J93" s="151"/>
      <c r="K93" s="248"/>
      <c r="L93" s="151"/>
      <c r="M93" s="151"/>
      <c r="N93" s="151"/>
      <c r="O93" s="151"/>
      <c r="P93" s="248"/>
      <c r="Q93" s="151"/>
      <c r="R93" s="151"/>
      <c r="S93" s="151"/>
      <c r="T93" s="151"/>
      <c r="U93" s="248"/>
      <c r="V93" s="151"/>
      <c r="W93" s="151"/>
      <c r="X93" s="151"/>
      <c r="Y93" s="2731"/>
      <c r="Z93" s="2595"/>
      <c r="AA93" s="151"/>
      <c r="AB93" s="151"/>
      <c r="AC93" s="151"/>
      <c r="AD93" s="151"/>
      <c r="AE93" s="248"/>
      <c r="AF93" s="151"/>
      <c r="AG93" s="151"/>
      <c r="AH93" s="151"/>
      <c r="AI93" s="151"/>
      <c r="AJ93" s="248"/>
      <c r="AK93" s="151"/>
      <c r="AL93" s="3959"/>
      <c r="AM93" s="151"/>
      <c r="AN93" s="151"/>
      <c r="AO93" s="2595"/>
      <c r="AP93" s="248"/>
      <c r="AQ93" s="248"/>
      <c r="AR93" s="151"/>
      <c r="AS93" s="384"/>
      <c r="AT93" s="151"/>
      <c r="AU93" s="151"/>
      <c r="AV93" s="151"/>
      <c r="AW93" s="151"/>
      <c r="AX93" s="151"/>
      <c r="AY93" s="151"/>
      <c r="AZ93" s="151"/>
      <c r="BA93" s="151"/>
      <c r="BB93" s="151"/>
      <c r="BC93" s="151"/>
      <c r="BD93" s="858"/>
      <c r="BE93" s="3961"/>
      <c r="BF93" s="900"/>
      <c r="BM93" s="902"/>
      <c r="BN93" s="902"/>
      <c r="BO93" s="902"/>
      <c r="BP93" s="902"/>
      <c r="BQ93" s="902"/>
      <c r="BR93" s="902"/>
      <c r="BS93" s="902"/>
    </row>
    <row r="94" spans="1:71" s="726" customFormat="1" ht="12.75" customHeight="1">
      <c r="A94" s="736" t="s">
        <v>893</v>
      </c>
      <c r="B94" s="738"/>
      <c r="C94" s="738"/>
      <c r="D94" s="738"/>
      <c r="E94" s="738"/>
      <c r="F94" s="738"/>
      <c r="G94" s="737"/>
      <c r="H94" s="737"/>
      <c r="I94" s="737"/>
      <c r="J94" s="737"/>
      <c r="K94" s="734"/>
      <c r="L94" s="733"/>
      <c r="M94" s="733"/>
      <c r="N94" s="733"/>
      <c r="O94" s="733"/>
      <c r="P94" s="734"/>
      <c r="Q94" s="3464">
        <v>22.062251870967739</v>
      </c>
      <c r="R94" s="3464">
        <v>22.183117640625003</v>
      </c>
      <c r="S94" s="3464">
        <v>24.748608153846153</v>
      </c>
      <c r="T94" s="3464">
        <v>24.969997784615376</v>
      </c>
      <c r="U94" s="734">
        <f>+T94</f>
        <v>24.969997784615376</v>
      </c>
      <c r="V94" s="3464">
        <v>27.526291145161291</v>
      </c>
      <c r="W94" s="3464">
        <v>29.267656609374995</v>
      </c>
      <c r="X94" s="3464">
        <v>25.79492449230769</v>
      </c>
      <c r="Y94" s="3464">
        <v>23.671384461538459</v>
      </c>
      <c r="Z94" s="734">
        <f>+Y94</f>
        <v>23.671384461538459</v>
      </c>
      <c r="AA94" s="733">
        <v>20.5</v>
      </c>
      <c r="AB94" s="3464">
        <v>21.877999907692306</v>
      </c>
      <c r="AC94" s="3464">
        <v>23.497077584615379</v>
      </c>
      <c r="AD94" s="3662">
        <v>24.491003966444609</v>
      </c>
      <c r="AE94" s="734">
        <f>+AD94</f>
        <v>24.491003966444609</v>
      </c>
      <c r="AF94" s="3663">
        <v>57.699919884214651</v>
      </c>
      <c r="AG94" s="3663">
        <v>62.171563640624989</v>
      </c>
      <c r="AH94" s="4000">
        <v>63.708906875000025</v>
      </c>
      <c r="AI94" s="4000">
        <v>74.183810000000022</v>
      </c>
      <c r="AJ94" s="734">
        <f>+AI94</f>
        <v>74.183810000000022</v>
      </c>
      <c r="AK94" s="3993" t="s">
        <v>3217</v>
      </c>
      <c r="AL94" s="735">
        <f t="shared" ref="AL94:AN94" si="144">+AK94*(1+AL95/4)</f>
        <v>85.259500000000003</v>
      </c>
      <c r="AM94" s="735">
        <f t="shared" si="144"/>
        <v>87.390987499999994</v>
      </c>
      <c r="AN94" s="860">
        <f t="shared" si="144"/>
        <v>89.57576218749999</v>
      </c>
      <c r="AO94" s="3964">
        <f>+AN94</f>
        <v>89.57576218749999</v>
      </c>
      <c r="AP94" s="734">
        <f>+AO94*(1+AP95)</f>
        <v>98.533338406249996</v>
      </c>
      <c r="AQ94" s="734">
        <f>+AP94*(1+AQ95)</f>
        <v>108.38667224687501</v>
      </c>
      <c r="AR94" s="735"/>
      <c r="AS94" s="859" t="str">
        <f>+A94</f>
        <v>Share Price</v>
      </c>
      <c r="AT94" s="735"/>
      <c r="AU94" s="735"/>
      <c r="AV94" s="735"/>
      <c r="AW94" s="735"/>
      <c r="AX94" s="735"/>
      <c r="AY94" s="735"/>
      <c r="AZ94" s="735"/>
      <c r="BA94" s="735"/>
      <c r="BB94" s="735"/>
      <c r="BC94" s="735"/>
      <c r="BD94" s="860"/>
      <c r="BE94" s="14"/>
      <c r="BF94" s="900"/>
      <c r="BG94"/>
      <c r="BH94"/>
      <c r="BI94"/>
      <c r="BJ94"/>
      <c r="BK94"/>
      <c r="BL94"/>
      <c r="BM94" s="902"/>
      <c r="BN94" s="902"/>
      <c r="BO94" s="902"/>
      <c r="BP94" s="902"/>
      <c r="BQ94" s="902"/>
      <c r="BR94" s="902"/>
      <c r="BS94" s="902"/>
    </row>
    <row r="95" spans="1:71" s="726" customFormat="1" ht="12.75" customHeight="1">
      <c r="A95" s="3524" t="s">
        <v>2433</v>
      </c>
      <c r="B95" s="3525"/>
      <c r="C95" s="3525"/>
      <c r="D95" s="3525"/>
      <c r="E95" s="3525"/>
      <c r="F95" s="3525"/>
      <c r="G95" s="3526"/>
      <c r="H95" s="3526"/>
      <c r="I95" s="3526"/>
      <c r="J95" s="3526"/>
      <c r="K95" s="3527"/>
      <c r="L95" s="3528"/>
      <c r="M95" s="3528"/>
      <c r="N95" s="3528"/>
      <c r="O95" s="3528"/>
      <c r="P95" s="3527"/>
      <c r="Q95" s="3529"/>
      <c r="R95" s="3529"/>
      <c r="S95" s="3529"/>
      <c r="T95" s="3529"/>
      <c r="U95" s="3530"/>
      <c r="V95" s="3529"/>
      <c r="W95" s="3529"/>
      <c r="X95" s="3529"/>
      <c r="Y95" s="3529"/>
      <c r="Z95" s="3530"/>
      <c r="AA95" s="3529"/>
      <c r="AB95" s="3529"/>
      <c r="AC95" s="3531"/>
      <c r="AD95" s="3532"/>
      <c r="AE95" s="3533"/>
      <c r="AF95" s="3531"/>
      <c r="AG95" s="3531"/>
      <c r="AH95" s="3531"/>
      <c r="AI95" s="3532"/>
      <c r="AJ95" s="3533"/>
      <c r="AK95" s="3531">
        <v>0.1</v>
      </c>
      <c r="AL95" s="3532">
        <v>0.1</v>
      </c>
      <c r="AM95" s="3532">
        <v>0.1</v>
      </c>
      <c r="AN95" s="3532">
        <v>0.1</v>
      </c>
      <c r="AO95" s="3965">
        <f>AN95</f>
        <v>0.1</v>
      </c>
      <c r="AP95" s="3533">
        <f>+AO95</f>
        <v>0.1</v>
      </c>
      <c r="AQ95" s="3533">
        <f>+AP95</f>
        <v>0.1</v>
      </c>
      <c r="AR95" s="735"/>
      <c r="AS95" s="859"/>
      <c r="AT95" s="735"/>
      <c r="AU95" s="735"/>
      <c r="AV95" s="735"/>
      <c r="AW95" s="735"/>
      <c r="AX95" s="735"/>
      <c r="AY95" s="735"/>
      <c r="AZ95" s="735"/>
      <c r="BA95" s="735"/>
      <c r="BB95" s="735"/>
      <c r="BC95" s="735"/>
      <c r="BD95" s="860"/>
      <c r="BE95" s="14"/>
      <c r="BF95" s="900"/>
      <c r="BG95"/>
      <c r="BH95"/>
      <c r="BI95"/>
      <c r="BJ95"/>
      <c r="BK95"/>
      <c r="BL95"/>
      <c r="BM95" s="902"/>
      <c r="BN95" s="902"/>
      <c r="BO95" s="902"/>
      <c r="BP95" s="902"/>
      <c r="BQ95" s="902"/>
      <c r="BR95" s="902"/>
      <c r="BS95" s="902"/>
    </row>
    <row r="96" spans="1:71" ht="12.75" customHeight="1" outlineLevel="1">
      <c r="A96" s="287"/>
      <c r="B96" s="147"/>
      <c r="C96" s="147"/>
      <c r="D96" s="147"/>
      <c r="E96" s="147"/>
      <c r="F96" s="147"/>
      <c r="G96" s="148"/>
      <c r="H96" s="148"/>
      <c r="I96" s="148"/>
      <c r="J96" s="148"/>
      <c r="K96" s="147"/>
      <c r="L96" s="148"/>
      <c r="M96" s="148"/>
      <c r="N96" s="148"/>
      <c r="O96" s="148"/>
      <c r="P96" s="147"/>
      <c r="Q96" s="148"/>
      <c r="R96" s="148"/>
      <c r="S96" s="148"/>
      <c r="T96" s="148"/>
      <c r="U96" s="147"/>
      <c r="V96" s="148"/>
      <c r="W96" s="148"/>
      <c r="X96" s="148"/>
      <c r="Y96" s="2732"/>
      <c r="Z96" s="2590"/>
      <c r="AA96" s="148"/>
      <c r="AB96" s="148"/>
      <c r="AC96" s="148"/>
      <c r="AD96" s="148"/>
      <c r="AE96" s="147"/>
      <c r="AF96" s="148"/>
      <c r="AG96" s="148"/>
      <c r="AH96" s="148"/>
      <c r="AI96" s="148"/>
      <c r="AJ96" s="147"/>
      <c r="AK96" s="2732"/>
      <c r="AL96" s="148"/>
      <c r="AM96" s="148"/>
      <c r="AN96" s="148"/>
      <c r="AO96" s="147"/>
      <c r="AP96" s="147"/>
      <c r="AQ96" s="147"/>
      <c r="AR96" s="148"/>
      <c r="AS96" s="861"/>
      <c r="AT96" s="148"/>
      <c r="AU96" s="148"/>
      <c r="AV96" s="148"/>
      <c r="AW96" s="148"/>
      <c r="AX96" s="148"/>
      <c r="AY96" s="148"/>
      <c r="AZ96" s="148"/>
      <c r="BA96" s="148"/>
      <c r="BB96" s="148"/>
      <c r="BC96" s="148"/>
      <c r="BD96" s="720"/>
      <c r="BF96" s="900"/>
      <c r="BM96" s="902"/>
      <c r="BN96" s="902"/>
      <c r="BO96" s="902"/>
      <c r="BP96" s="902"/>
      <c r="BQ96" s="902"/>
      <c r="BR96" s="902"/>
      <c r="BS96" s="902"/>
    </row>
    <row r="97" spans="1:71" ht="12.75" customHeight="1" outlineLevel="1">
      <c r="A97" s="604" t="s">
        <v>889</v>
      </c>
      <c r="B97" s="349"/>
      <c r="C97" s="349"/>
      <c r="D97" s="349"/>
      <c r="E97" s="349"/>
      <c r="F97" s="349"/>
      <c r="G97" s="319"/>
      <c r="H97" s="319"/>
      <c r="I97" s="319"/>
      <c r="J97" s="319"/>
      <c r="K97" s="349"/>
      <c r="L97" s="319"/>
      <c r="M97" s="319"/>
      <c r="N97" s="319"/>
      <c r="O97" s="319"/>
      <c r="P97" s="349"/>
      <c r="Q97" s="319"/>
      <c r="R97" s="319"/>
      <c r="S97" s="319"/>
      <c r="T97" s="319"/>
      <c r="U97" s="349"/>
      <c r="V97" s="319"/>
      <c r="W97" s="319"/>
      <c r="X97" s="319"/>
      <c r="Y97" s="319"/>
      <c r="Z97" s="349"/>
      <c r="AA97" s="319"/>
      <c r="AB97" s="319"/>
      <c r="AC97" s="319"/>
      <c r="AD97" s="319"/>
      <c r="AE97" s="349"/>
      <c r="AF97" s="319"/>
      <c r="AG97" s="319"/>
      <c r="AH97" s="808"/>
      <c r="AI97" s="319"/>
      <c r="AJ97" s="3896"/>
      <c r="AK97" s="319"/>
      <c r="AL97" s="319"/>
      <c r="AM97" s="808"/>
      <c r="AN97" s="319"/>
      <c r="AO97" s="349"/>
      <c r="AP97" s="349"/>
      <c r="AQ97" s="349"/>
      <c r="AR97" s="319"/>
      <c r="AS97" s="493" t="str">
        <f>+A97</f>
        <v>Other Items:</v>
      </c>
      <c r="AT97" s="151"/>
      <c r="AU97" s="151"/>
      <c r="AV97" s="151"/>
      <c r="AW97" s="151"/>
      <c r="AX97" s="151"/>
      <c r="AY97" s="151"/>
      <c r="AZ97" s="151"/>
      <c r="BA97" s="151"/>
      <c r="BB97" s="151"/>
      <c r="BC97" s="151"/>
      <c r="BD97" s="858"/>
      <c r="BF97" s="900"/>
      <c r="BM97" s="902"/>
      <c r="BN97" s="902"/>
      <c r="BO97" s="902"/>
      <c r="BP97" s="902"/>
      <c r="BQ97" s="902"/>
      <c r="BR97" s="902"/>
      <c r="BS97" s="902"/>
    </row>
    <row r="98" spans="1:71" ht="12.75" customHeight="1" outlineLevel="1">
      <c r="A98" s="606" t="s">
        <v>890</v>
      </c>
      <c r="B98" s="465"/>
      <c r="C98" s="465"/>
      <c r="D98" s="465"/>
      <c r="E98" s="465"/>
      <c r="F98" s="465"/>
      <c r="G98" s="627"/>
      <c r="H98" s="627"/>
      <c r="I98" s="627"/>
      <c r="J98" s="627"/>
      <c r="K98" s="464"/>
      <c r="L98" s="627"/>
      <c r="M98" s="627"/>
      <c r="N98" s="627"/>
      <c r="O98" s="1446">
        <v>0.449451759447688</v>
      </c>
      <c r="P98" s="1447"/>
      <c r="Q98" s="2419">
        <f t="shared" ref="Q98:AB98" si="145">-Q57/Q56</f>
        <v>0.40096618357487923</v>
      </c>
      <c r="R98" s="2419">
        <f t="shared" si="145"/>
        <v>0.36336336336336339</v>
      </c>
      <c r="S98" s="2419">
        <f t="shared" si="145"/>
        <v>0.40445859872611467</v>
      </c>
      <c r="T98" s="2419">
        <f t="shared" si="145"/>
        <v>0.45733788395904434</v>
      </c>
      <c r="U98" s="3467">
        <f t="shared" si="145"/>
        <v>0.40540540540540543</v>
      </c>
      <c r="V98" s="3466">
        <f t="shared" si="145"/>
        <v>0.52076677316293929</v>
      </c>
      <c r="W98" s="3466">
        <f t="shared" si="145"/>
        <v>0.46474358974358976</v>
      </c>
      <c r="X98" s="3466">
        <f t="shared" si="145"/>
        <v>0.46603773584905661</v>
      </c>
      <c r="Y98" s="3466">
        <f t="shared" si="145"/>
        <v>-1.3929618768328447</v>
      </c>
      <c r="Z98" s="464">
        <f>+AVERAGE(V98:Y98)</f>
        <v>1.4646555480685275E-2</v>
      </c>
      <c r="AA98" s="3466">
        <f t="shared" si="145"/>
        <v>-0.17424242424242425</v>
      </c>
      <c r="AB98" s="3466">
        <f t="shared" si="145"/>
        <v>0.39</v>
      </c>
      <c r="AC98" s="3466">
        <f>-AC57/AC56</f>
        <v>0.43026706231454004</v>
      </c>
      <c r="AD98" s="3466">
        <f>-AD57/AD56</f>
        <v>2.5039370078740157</v>
      </c>
      <c r="AE98" s="464">
        <f>-AE57/AE56</f>
        <v>0.70996015936254975</v>
      </c>
      <c r="AF98" s="3466">
        <f>-AF57/AF56</f>
        <v>0.31818181818181818</v>
      </c>
      <c r="AG98" s="3466">
        <f>-AG57/AG56</f>
        <v>0.3927272727272727</v>
      </c>
      <c r="AH98" s="627">
        <v>0.38</v>
      </c>
      <c r="AI98" s="627">
        <v>0.38</v>
      </c>
      <c r="AJ98" s="464">
        <f ca="1">-AJ57/AJ56</f>
        <v>-0.35913978494623655</v>
      </c>
      <c r="AK98" s="3934">
        <v>0.28999999999999998</v>
      </c>
      <c r="AL98" s="3934">
        <v>0.28999999999999998</v>
      </c>
      <c r="AM98" s="3934">
        <v>0.28999999999999998</v>
      </c>
      <c r="AN98" s="3934">
        <v>0.28999999999999998</v>
      </c>
      <c r="AO98" s="464">
        <f ca="1">-AO57/AO56</f>
        <v>0.29000000000000031</v>
      </c>
      <c r="AP98" s="3934">
        <v>0.28999999999999998</v>
      </c>
      <c r="AQ98" s="4120">
        <v>0.28999999999999998</v>
      </c>
      <c r="AR98" s="319"/>
      <c r="AS98" s="606"/>
      <c r="AT98" s="723"/>
      <c r="AU98" s="723"/>
      <c r="AV98" s="723"/>
      <c r="AW98" s="723"/>
      <c r="AX98" s="723"/>
      <c r="AY98" s="723"/>
      <c r="AZ98" s="723"/>
      <c r="BA98" s="723"/>
      <c r="BB98" s="723"/>
      <c r="BC98" s="723"/>
      <c r="BD98" s="863"/>
      <c r="BF98" s="900"/>
      <c r="BM98" s="902"/>
      <c r="BN98" s="902"/>
      <c r="BO98" s="902"/>
      <c r="BP98" s="931"/>
      <c r="BQ98" s="902"/>
      <c r="BR98" s="902"/>
      <c r="BS98" s="902"/>
    </row>
    <row r="99" spans="1:71" ht="12.75" customHeight="1" outlineLevel="1">
      <c r="A99" s="606" t="s">
        <v>2319</v>
      </c>
      <c r="B99" s="465"/>
      <c r="C99" s="465"/>
      <c r="D99" s="465"/>
      <c r="E99" s="465">
        <f t="shared" ref="E99:AQ99" si="146">-E57/E56</f>
        <v>0.73508353221957046</v>
      </c>
      <c r="F99" s="465">
        <f t="shared" si="146"/>
        <v>-0.30102040816326531</v>
      </c>
      <c r="G99" s="723">
        <f t="shared" si="146"/>
        <v>0.4777777777777778</v>
      </c>
      <c r="H99" s="723">
        <f t="shared" si="146"/>
        <v>0.5</v>
      </c>
      <c r="I99" s="723">
        <f t="shared" si="146"/>
        <v>0.23175965665236051</v>
      </c>
      <c r="J99" s="723">
        <f t="shared" si="146"/>
        <v>0.42857142857142855</v>
      </c>
      <c r="K99" s="464">
        <f t="shared" si="146"/>
        <v>0.37347294938917974</v>
      </c>
      <c r="L99" s="723">
        <f t="shared" si="146"/>
        <v>0.5</v>
      </c>
      <c r="M99" s="723">
        <f t="shared" si="146"/>
        <v>0.34854771784232363</v>
      </c>
      <c r="N99" s="723">
        <f t="shared" si="146"/>
        <v>0.25641025641025639</v>
      </c>
      <c r="O99" s="723">
        <f t="shared" si="146"/>
        <v>0.42592592592592593</v>
      </c>
      <c r="P99" s="464">
        <f t="shared" si="146"/>
        <v>0.34097421203438394</v>
      </c>
      <c r="Q99" s="723">
        <f t="shared" si="146"/>
        <v>0.40096618357487923</v>
      </c>
      <c r="R99" s="723">
        <f t="shared" si="146"/>
        <v>0.36336336336336339</v>
      </c>
      <c r="S99" s="723">
        <f t="shared" si="146"/>
        <v>0.40445859872611467</v>
      </c>
      <c r="T99" s="723">
        <f t="shared" si="146"/>
        <v>0.45733788395904434</v>
      </c>
      <c r="U99" s="464">
        <f t="shared" si="146"/>
        <v>0.40540540540540543</v>
      </c>
      <c r="V99" s="723">
        <f t="shared" si="146"/>
        <v>0.52076677316293929</v>
      </c>
      <c r="W99" s="723">
        <f t="shared" si="146"/>
        <v>0.46474358974358976</v>
      </c>
      <c r="X99" s="723">
        <f t="shared" si="146"/>
        <v>0.46603773584905661</v>
      </c>
      <c r="Y99" s="723">
        <f t="shared" si="146"/>
        <v>-1.3929618768328447</v>
      </c>
      <c r="Z99" s="464">
        <f t="shared" si="146"/>
        <v>5.3475935828877004E-2</v>
      </c>
      <c r="AA99" s="723">
        <f t="shared" si="146"/>
        <v>-0.17424242424242425</v>
      </c>
      <c r="AB99" s="723">
        <f t="shared" si="146"/>
        <v>0.39</v>
      </c>
      <c r="AC99" s="723">
        <f>-AC57/AC56</f>
        <v>0.43026706231454004</v>
      </c>
      <c r="AD99" s="723">
        <f t="shared" si="146"/>
        <v>2.5039370078740157</v>
      </c>
      <c r="AE99" s="464">
        <f t="shared" si="146"/>
        <v>0.70996015936254975</v>
      </c>
      <c r="AF99" s="723">
        <f t="shared" ref="AF99" si="147">-AF57/AF56</f>
        <v>0.31818181818181818</v>
      </c>
      <c r="AG99" s="723">
        <f>-AG57/AG56</f>
        <v>0.3927272727272727</v>
      </c>
      <c r="AH99" s="723">
        <f>-AH57/AH56</f>
        <v>0.37370242214532873</v>
      </c>
      <c r="AI99" s="723">
        <f ca="1">-AI57/AI56</f>
        <v>-2.28515625</v>
      </c>
      <c r="AJ99" s="464">
        <f ca="1">-AJ57/AJ56</f>
        <v>-0.35913978494623655</v>
      </c>
      <c r="AK99" s="723">
        <f t="shared" ref="AK99:AN99" ca="1" si="148">-AK57/AK56</f>
        <v>0.28999999999999998</v>
      </c>
      <c r="AL99" s="723">
        <f t="shared" ca="1" si="148"/>
        <v>0.28999999999999998</v>
      </c>
      <c r="AM99" s="723">
        <f t="shared" ca="1" si="148"/>
        <v>0.28999999999999998</v>
      </c>
      <c r="AN99" s="723">
        <f t="shared" ca="1" si="148"/>
        <v>0.28999999999999998</v>
      </c>
      <c r="AO99" s="464">
        <f ca="1">-AO57/AO56</f>
        <v>0.29000000000000031</v>
      </c>
      <c r="AP99" s="464">
        <f t="shared" ca="1" si="146"/>
        <v>0.28999999999999998</v>
      </c>
      <c r="AQ99" s="464">
        <f t="shared" ca="1" si="146"/>
        <v>0.28999999999999998</v>
      </c>
      <c r="AR99" s="808"/>
      <c r="AS99" s="606"/>
      <c r="AT99" s="723"/>
      <c r="AU99" s="723"/>
      <c r="AV99" s="723"/>
      <c r="AW99" s="723"/>
      <c r="AX99" s="723"/>
      <c r="AY99" s="723"/>
      <c r="AZ99" s="723"/>
      <c r="BA99" s="723"/>
      <c r="BB99" s="723"/>
      <c r="BC99" s="723"/>
      <c r="BD99" s="863"/>
      <c r="BF99" s="900"/>
      <c r="BM99" s="902"/>
      <c r="BN99" s="902"/>
      <c r="BO99" s="902"/>
      <c r="BP99" s="902"/>
      <c r="BQ99" s="902"/>
      <c r="BR99" s="902"/>
      <c r="BS99" s="902"/>
    </row>
    <row r="100" spans="1:71" s="124" customFormat="1" ht="12.75" customHeight="1" outlineLevel="1">
      <c r="A100" s="1551" t="s">
        <v>2064</v>
      </c>
      <c r="B100" s="1555"/>
      <c r="C100" s="1555"/>
      <c r="D100" s="1555"/>
      <c r="E100" s="1555"/>
      <c r="F100" s="1555"/>
      <c r="G100" s="1556"/>
      <c r="H100" s="1556"/>
      <c r="I100" s="1556"/>
      <c r="J100" s="1556"/>
      <c r="K100" s="1557"/>
      <c r="L100" s="1556"/>
      <c r="M100" s="1556"/>
      <c r="N100" s="1556"/>
      <c r="O100" s="1556">
        <f>O56*O98</f>
        <v>48.540790020350308</v>
      </c>
      <c r="P100" s="1557"/>
      <c r="Q100" s="1556">
        <f t="shared" ref="Q100:AQ100" si="149">Q56*Q98</f>
        <v>83</v>
      </c>
      <c r="R100" s="1556">
        <f t="shared" si="149"/>
        <v>121.00000000000001</v>
      </c>
      <c r="S100" s="1556">
        <f t="shared" si="149"/>
        <v>127</v>
      </c>
      <c r="T100" s="1556">
        <f t="shared" si="149"/>
        <v>134</v>
      </c>
      <c r="U100" s="1557">
        <f t="shared" si="149"/>
        <v>465</v>
      </c>
      <c r="V100" s="1556">
        <f t="shared" si="149"/>
        <v>163</v>
      </c>
      <c r="W100" s="1556">
        <f t="shared" si="149"/>
        <v>145</v>
      </c>
      <c r="X100" s="1556">
        <f t="shared" si="149"/>
        <v>247</v>
      </c>
      <c r="Y100" s="2733">
        <f t="shared" si="149"/>
        <v>-475.00000000000006</v>
      </c>
      <c r="Z100" s="2566">
        <f t="shared" si="149"/>
        <v>21.91124699910517</v>
      </c>
      <c r="AA100" s="1556">
        <f t="shared" si="149"/>
        <v>-46</v>
      </c>
      <c r="AB100" s="1556">
        <f t="shared" si="149"/>
        <v>156</v>
      </c>
      <c r="AC100" s="1556">
        <f>AC56*AC98</f>
        <v>145</v>
      </c>
      <c r="AD100" s="1556">
        <f t="shared" si="149"/>
        <v>636</v>
      </c>
      <c r="AE100" s="2566">
        <f t="shared" si="149"/>
        <v>890.99999999999989</v>
      </c>
      <c r="AF100" s="1556">
        <f t="shared" ref="AF100" si="150">AF56*AF98</f>
        <v>35</v>
      </c>
      <c r="AG100" s="1556">
        <f>AG56*AG98</f>
        <v>108</v>
      </c>
      <c r="AH100" s="1556">
        <f>AH56*AH98</f>
        <v>109.82000000000001</v>
      </c>
      <c r="AI100" s="1556">
        <f ca="1">AI56*AI98</f>
        <v>97.28</v>
      </c>
      <c r="AJ100" s="2566">
        <f ca="1">AJ56*AJ98</f>
        <v>-334</v>
      </c>
      <c r="AK100" s="1556">
        <f t="shared" ref="AK100:AN100" ca="1" si="151">AK56*AK98</f>
        <v>60.564904497250232</v>
      </c>
      <c r="AL100" s="1556">
        <f ca="1">AL56*AL98</f>
        <v>96.537866608137648</v>
      </c>
      <c r="AM100" s="1556">
        <f t="shared" ca="1" si="151"/>
        <v>98.61333650192374</v>
      </c>
      <c r="AN100" s="1556">
        <f t="shared" ca="1" si="151"/>
        <v>83.03742228612407</v>
      </c>
      <c r="AO100" s="1557">
        <f ca="1">AO56*AO98</f>
        <v>338.75352989343571</v>
      </c>
      <c r="AP100" s="1557">
        <f t="shared" ca="1" si="149"/>
        <v>382.01606180947135</v>
      </c>
      <c r="AQ100" s="1557">
        <f t="shared" ca="1" si="149"/>
        <v>391.4196050539565</v>
      </c>
      <c r="AR100" s="1552"/>
      <c r="AS100" s="1551"/>
      <c r="AT100" s="1556"/>
      <c r="AU100" s="1556"/>
      <c r="AV100" s="1556"/>
      <c r="AW100" s="1556"/>
      <c r="AX100" s="1556"/>
      <c r="AY100" s="1556"/>
      <c r="AZ100" s="1556"/>
      <c r="BA100" s="1556"/>
      <c r="BB100" s="1556"/>
      <c r="BC100" s="1556"/>
      <c r="BD100" s="1558"/>
      <c r="BE100" s="14"/>
      <c r="BF100" s="1553"/>
      <c r="BG100"/>
      <c r="BH100"/>
      <c r="BI100"/>
      <c r="BJ100"/>
      <c r="BK100"/>
      <c r="BL100"/>
      <c r="BM100" s="1554"/>
      <c r="BN100" s="1554"/>
      <c r="BO100" s="1554"/>
      <c r="BP100" s="1554"/>
      <c r="BQ100" s="1554"/>
      <c r="BR100" s="1554"/>
      <c r="BS100" s="1554"/>
    </row>
    <row r="101" spans="1:71" s="124" customFormat="1" ht="12.75" customHeight="1" outlineLevel="1">
      <c r="A101" s="1551" t="s">
        <v>2063</v>
      </c>
      <c r="B101" s="1555"/>
      <c r="C101" s="1555"/>
      <c r="D101" s="1555"/>
      <c r="E101" s="1555"/>
      <c r="F101" s="1555"/>
      <c r="G101" s="1556"/>
      <c r="H101" s="1556"/>
      <c r="I101" s="1556"/>
      <c r="J101" s="1556"/>
      <c r="K101" s="1557"/>
      <c r="L101" s="1556"/>
      <c r="M101" s="1556"/>
      <c r="N101" s="1556"/>
      <c r="O101" s="1556">
        <f>+O121*0.2</f>
        <v>120.60000000000001</v>
      </c>
      <c r="P101" s="1557"/>
      <c r="Q101" s="1556">
        <f t="shared" ref="Q101:W101" si="152">+Q121*0.2</f>
        <v>108.80000000000001</v>
      </c>
      <c r="R101" s="1556">
        <f t="shared" si="152"/>
        <v>130.20000000000002</v>
      </c>
      <c r="S101" s="1556">
        <f t="shared" si="152"/>
        <v>129</v>
      </c>
      <c r="T101" s="1556">
        <f t="shared" si="152"/>
        <v>133.6</v>
      </c>
      <c r="U101" s="1557">
        <f t="shared" si="152"/>
        <v>501.6</v>
      </c>
      <c r="V101" s="1556">
        <f t="shared" si="152"/>
        <v>119.80000000000001</v>
      </c>
      <c r="W101" s="1556">
        <f t="shared" si="152"/>
        <v>155.4</v>
      </c>
      <c r="X101" s="1556">
        <f t="shared" ref="X101:AE101" si="153">+X121*0.2</f>
        <v>151.6</v>
      </c>
      <c r="Y101" s="2733">
        <f t="shared" si="153"/>
        <v>149</v>
      </c>
      <c r="Z101" s="2566">
        <f t="shared" si="153"/>
        <v>575.80000000000007</v>
      </c>
      <c r="AA101" s="1556">
        <f t="shared" si="153"/>
        <v>130.6</v>
      </c>
      <c r="AB101" s="1556">
        <f t="shared" si="153"/>
        <v>161.20000000000002</v>
      </c>
      <c r="AC101" s="1556">
        <f>+AC121*0.2</f>
        <v>153</v>
      </c>
      <c r="AD101" s="1556">
        <f t="shared" si="153"/>
        <v>150.20000000000002</v>
      </c>
      <c r="AE101" s="2566">
        <f t="shared" si="153"/>
        <v>595</v>
      </c>
      <c r="AF101" s="1556">
        <f t="shared" ref="AF101" si="154">+AF121*0.2</f>
        <v>84.800000000000011</v>
      </c>
      <c r="AG101" s="1556">
        <f t="shared" ref="AG101:AQ101" si="155">+AG121*0.2</f>
        <v>103.80000000000001</v>
      </c>
      <c r="AH101" s="1556">
        <f t="shared" si="155"/>
        <v>104.80000000000001</v>
      </c>
      <c r="AI101" s="1556">
        <f t="shared" ca="1" si="155"/>
        <v>99.600000000000009</v>
      </c>
      <c r="AJ101" s="2566">
        <f t="shared" ca="1" si="155"/>
        <v>393</v>
      </c>
      <c r="AK101" s="1556">
        <f t="shared" ref="AK101:AO101" ca="1" si="156">+AK121*0.2</f>
        <v>84.881437153276025</v>
      </c>
      <c r="AL101" s="1556">
        <f t="shared" ca="1" si="156"/>
        <v>112.48350154009493</v>
      </c>
      <c r="AM101" s="1556">
        <f t="shared" ca="1" si="156"/>
        <v>113.00798508753363</v>
      </c>
      <c r="AN101" s="1556">
        <f t="shared" ca="1" si="156"/>
        <v>103.35910028353385</v>
      </c>
      <c r="AO101" s="1557">
        <f t="shared" ca="1" si="156"/>
        <v>413.73202406443846</v>
      </c>
      <c r="AP101" s="1557">
        <f t="shared" ca="1" si="155"/>
        <v>445.05825297204933</v>
      </c>
      <c r="AQ101" s="1557">
        <f t="shared" ca="1" si="155"/>
        <v>453.03345520962523</v>
      </c>
      <c r="AR101" s="1552"/>
      <c r="AS101" s="1551"/>
      <c r="AT101" s="1556"/>
      <c r="AU101" s="1556"/>
      <c r="AV101" s="1556"/>
      <c r="AW101" s="1556"/>
      <c r="AX101" s="1556"/>
      <c r="AY101" s="1556"/>
      <c r="AZ101" s="1556"/>
      <c r="BA101" s="1556"/>
      <c r="BB101" s="1556"/>
      <c r="BC101" s="1556"/>
      <c r="BD101" s="1558"/>
      <c r="BE101" s="14"/>
      <c r="BF101" s="1553"/>
      <c r="BG101"/>
      <c r="BH101"/>
      <c r="BI101"/>
      <c r="BJ101"/>
      <c r="BK101"/>
      <c r="BL101"/>
      <c r="BM101" s="1554"/>
      <c r="BN101" s="1554"/>
      <c r="BO101" s="1554"/>
      <c r="BP101" s="1554"/>
      <c r="BQ101" s="1554"/>
      <c r="BR101" s="1554"/>
      <c r="BS101" s="1554"/>
    </row>
    <row r="102" spans="1:71" ht="12.75" customHeight="1" outlineLevel="1">
      <c r="A102" s="607" t="s">
        <v>888</v>
      </c>
      <c r="B102" s="408"/>
      <c r="C102" s="408"/>
      <c r="D102" s="408"/>
      <c r="E102" s="408"/>
      <c r="F102" s="409"/>
      <c r="G102" s="608"/>
      <c r="H102" s="608"/>
      <c r="I102" s="608"/>
      <c r="J102" s="608"/>
      <c r="K102" s="409"/>
      <c r="L102" s="608"/>
      <c r="M102" s="608"/>
      <c r="N102" s="608"/>
      <c r="O102" s="608"/>
      <c r="P102" s="409"/>
      <c r="Q102" s="608"/>
      <c r="R102" s="608"/>
      <c r="S102" s="608"/>
      <c r="T102" s="608"/>
      <c r="U102" s="409"/>
      <c r="V102" s="608"/>
      <c r="W102" s="608"/>
      <c r="X102" s="608"/>
      <c r="Y102" s="608"/>
      <c r="Z102" s="2758"/>
      <c r="AA102" s="608"/>
      <c r="AB102" s="608"/>
      <c r="AC102" s="608"/>
      <c r="AD102" s="608"/>
      <c r="AE102" s="409"/>
      <c r="AF102" s="608"/>
      <c r="AG102" s="608"/>
      <c r="AH102" s="608"/>
      <c r="AI102" s="608"/>
      <c r="AJ102" s="409"/>
      <c r="AK102" s="608"/>
      <c r="AL102" s="608"/>
      <c r="AM102" s="608"/>
      <c r="AN102" s="608"/>
      <c r="AO102" s="409"/>
      <c r="AP102" s="409"/>
      <c r="AQ102" s="408"/>
      <c r="AR102" s="319"/>
      <c r="AS102" s="607" t="str">
        <f>+A102</f>
        <v>Share buybacks (MMs) Included in EPS</v>
      </c>
      <c r="AT102" s="828">
        <f>+E102</f>
        <v>0</v>
      </c>
      <c r="AU102" s="828">
        <f>+F102</f>
        <v>0</v>
      </c>
      <c r="AV102" s="828">
        <f>+K102</f>
        <v>0</v>
      </c>
      <c r="AW102" s="828">
        <f>+P102</f>
        <v>0</v>
      </c>
      <c r="AX102" s="828">
        <f>+U102</f>
        <v>0</v>
      </c>
      <c r="AY102" s="828">
        <f>+Z102</f>
        <v>0</v>
      </c>
      <c r="AZ102" s="828">
        <f>+AE102</f>
        <v>0</v>
      </c>
      <c r="BA102" s="828">
        <f>+AJ102</f>
        <v>0</v>
      </c>
      <c r="BB102" s="828">
        <f t="shared" ref="BB102:BD102" si="157">+AO102</f>
        <v>0</v>
      </c>
      <c r="BC102" s="828">
        <f t="shared" si="157"/>
        <v>0</v>
      </c>
      <c r="BD102" s="864">
        <f t="shared" si="157"/>
        <v>0</v>
      </c>
      <c r="BF102" s="900"/>
      <c r="BM102" s="902"/>
      <c r="BN102" s="902"/>
      <c r="BO102" s="902"/>
      <c r="BP102" s="902"/>
      <c r="BQ102" s="902"/>
      <c r="BR102" s="902"/>
      <c r="BS102" s="902"/>
    </row>
    <row r="103" spans="1:71" ht="12.75" customHeight="1">
      <c r="A103" s="251"/>
      <c r="B103" s="318"/>
      <c r="C103" s="318"/>
      <c r="D103" s="318"/>
      <c r="E103" s="318"/>
      <c r="F103" s="318"/>
      <c r="G103" s="642"/>
      <c r="H103" s="318"/>
      <c r="I103" s="318"/>
      <c r="J103" s="318"/>
      <c r="K103" s="318"/>
      <c r="L103" s="318"/>
      <c r="M103" s="318"/>
      <c r="N103" s="318"/>
      <c r="O103" s="318"/>
      <c r="P103" s="642"/>
      <c r="Q103" s="318"/>
      <c r="R103" s="318"/>
      <c r="S103" s="318"/>
      <c r="T103" s="318"/>
      <c r="U103" s="642"/>
      <c r="V103" s="318"/>
      <c r="W103" s="318"/>
      <c r="X103" s="318"/>
      <c r="Y103" s="318"/>
      <c r="Z103" s="642"/>
      <c r="AA103" s="642"/>
      <c r="AB103" s="642"/>
      <c r="AC103" s="642"/>
      <c r="AD103" s="642"/>
      <c r="AE103" s="642"/>
      <c r="AF103" s="642"/>
      <c r="AG103" s="642"/>
      <c r="AH103" s="642"/>
      <c r="AI103" s="3542"/>
      <c r="AJ103" s="642"/>
      <c r="AK103" s="642"/>
      <c r="AL103" s="642"/>
      <c r="AM103" s="642"/>
      <c r="AN103" s="3542"/>
      <c r="AO103" s="642"/>
      <c r="AP103" s="3542"/>
      <c r="AQ103" s="642"/>
      <c r="AR103" s="319"/>
      <c r="AS103" s="251"/>
      <c r="AT103" s="389"/>
      <c r="AU103" s="389"/>
      <c r="AV103" s="389"/>
      <c r="AW103" s="389"/>
      <c r="AX103" s="389"/>
      <c r="AY103" s="389"/>
      <c r="AZ103" s="389"/>
      <c r="BA103" s="389"/>
      <c r="BB103" s="389"/>
      <c r="BC103" s="389"/>
      <c r="BD103" s="389"/>
      <c r="BF103" s="900"/>
      <c r="BM103" s="902"/>
      <c r="BN103" s="902"/>
      <c r="BO103" s="902"/>
      <c r="BP103" s="902"/>
      <c r="BQ103" s="902"/>
      <c r="BR103" s="902"/>
      <c r="BS103" s="902"/>
    </row>
    <row r="104" spans="1:71" s="12" customFormat="1" ht="12.75" customHeight="1">
      <c r="A104" s="291" t="s">
        <v>2091</v>
      </c>
      <c r="B104" s="766"/>
      <c r="C104" s="766"/>
      <c r="D104" s="766"/>
      <c r="E104" s="766" t="str">
        <f>E$5</f>
        <v>2010</v>
      </c>
      <c r="F104" s="766" t="str">
        <f>F$5</f>
        <v>2011</v>
      </c>
      <c r="G104" s="767" t="str">
        <f t="shared" ref="G104:AQ104" si="158">G$5</f>
        <v>1Q12</v>
      </c>
      <c r="H104" s="767" t="str">
        <f t="shared" si="158"/>
        <v>2Q12</v>
      </c>
      <c r="I104" s="767" t="str">
        <f t="shared" si="158"/>
        <v>3Q12</v>
      </c>
      <c r="J104" s="767" t="str">
        <f t="shared" si="158"/>
        <v>4Q12</v>
      </c>
      <c r="K104" s="766">
        <f t="shared" si="158"/>
        <v>2012</v>
      </c>
      <c r="L104" s="767" t="str">
        <f t="shared" si="158"/>
        <v>1Q13</v>
      </c>
      <c r="M104" s="767" t="str">
        <f t="shared" si="158"/>
        <v>2Q13</v>
      </c>
      <c r="N104" s="767" t="str">
        <f t="shared" si="158"/>
        <v>3Q13</v>
      </c>
      <c r="O104" s="767" t="str">
        <f t="shared" si="158"/>
        <v>4Q13</v>
      </c>
      <c r="P104" s="766">
        <f t="shared" si="158"/>
        <v>2013</v>
      </c>
      <c r="Q104" s="767" t="str">
        <f t="shared" si="158"/>
        <v>1Q14</v>
      </c>
      <c r="R104" s="767" t="str">
        <f t="shared" si="158"/>
        <v>2Q14</v>
      </c>
      <c r="S104" s="767" t="str">
        <f t="shared" si="158"/>
        <v>3Q14</v>
      </c>
      <c r="T104" s="767" t="str">
        <f t="shared" si="158"/>
        <v>4Q14</v>
      </c>
      <c r="U104" s="766">
        <f t="shared" si="158"/>
        <v>2014</v>
      </c>
      <c r="V104" s="767" t="str">
        <f t="shared" si="158"/>
        <v>1Q15</v>
      </c>
      <c r="W104" s="767" t="str">
        <f t="shared" si="158"/>
        <v>2Q15</v>
      </c>
      <c r="X104" s="767" t="str">
        <f t="shared" si="158"/>
        <v>3Q15</v>
      </c>
      <c r="Y104" s="767" t="str">
        <f t="shared" si="158"/>
        <v>4Q15</v>
      </c>
      <c r="Z104" s="766">
        <f t="shared" si="158"/>
        <v>2015</v>
      </c>
      <c r="AA104" s="767" t="str">
        <f t="shared" si="158"/>
        <v>1Q16</v>
      </c>
      <c r="AB104" s="767" t="str">
        <f t="shared" si="158"/>
        <v>2Q16</v>
      </c>
      <c r="AC104" s="767" t="str">
        <f t="shared" si="158"/>
        <v>3Q16</v>
      </c>
      <c r="AD104" s="767" t="str">
        <f t="shared" si="158"/>
        <v>4Q16</v>
      </c>
      <c r="AE104" s="766">
        <f t="shared" si="158"/>
        <v>2016</v>
      </c>
      <c r="AF104" s="767" t="str">
        <f t="shared" si="158"/>
        <v>1Q17</v>
      </c>
      <c r="AG104" s="767" t="str">
        <f t="shared" si="158"/>
        <v>2Q17</v>
      </c>
      <c r="AH104" s="767" t="str">
        <f t="shared" si="158"/>
        <v>3Q17</v>
      </c>
      <c r="AI104" s="767" t="str">
        <f t="shared" si="158"/>
        <v>4Q17A</v>
      </c>
      <c r="AJ104" s="766" t="str">
        <f t="shared" si="158"/>
        <v>2017A</v>
      </c>
      <c r="AK104" s="767" t="str">
        <f t="shared" si="158"/>
        <v>1Q18E</v>
      </c>
      <c r="AL104" s="767" t="str">
        <f t="shared" si="158"/>
        <v>2Q18E</v>
      </c>
      <c r="AM104" s="767" t="str">
        <f t="shared" si="158"/>
        <v>3Q18E</v>
      </c>
      <c r="AN104" s="767" t="str">
        <f t="shared" si="158"/>
        <v>4Q18E</v>
      </c>
      <c r="AO104" s="766" t="str">
        <f t="shared" si="158"/>
        <v>2018E</v>
      </c>
      <c r="AP104" s="766" t="str">
        <f t="shared" si="158"/>
        <v>2019E</v>
      </c>
      <c r="AQ104" s="766" t="str">
        <f t="shared" si="158"/>
        <v>2020E</v>
      </c>
      <c r="AR104" s="432"/>
      <c r="AS104" s="291" t="str">
        <f t="shared" ref="AS104:AS128" si="159">+A104</f>
        <v>Company Adjusted EBITDA</v>
      </c>
      <c r="AT104" s="767" t="str">
        <f t="shared" ref="AT104:AT127" si="160">+E104</f>
        <v>2010</v>
      </c>
      <c r="AU104" s="767" t="str">
        <f t="shared" ref="AU104:AU127" si="161">+F104</f>
        <v>2011</v>
      </c>
      <c r="AV104" s="767">
        <f t="shared" ref="AV104:AV127" si="162">+K104</f>
        <v>2012</v>
      </c>
      <c r="AW104" s="767">
        <f t="shared" ref="AW104:AW128" si="163">+P104</f>
        <v>2013</v>
      </c>
      <c r="AX104" s="767">
        <f t="shared" ref="AX104:AX128" si="164">+U104</f>
        <v>2014</v>
      </c>
      <c r="AY104" s="767">
        <f t="shared" ref="AY104:AY128" si="165">+Z104</f>
        <v>2015</v>
      </c>
      <c r="AZ104" s="865">
        <f t="shared" ref="AZ104:AZ127" si="166">+AE104</f>
        <v>2016</v>
      </c>
      <c r="BA104" s="767" t="str">
        <f t="shared" ref="BA104:BA127" si="167">+AJ104</f>
        <v>2017A</v>
      </c>
      <c r="BB104" s="767" t="str">
        <f t="shared" ref="BB104:BB127" si="168">+AO104</f>
        <v>2018E</v>
      </c>
      <c r="BC104" s="767" t="str">
        <f t="shared" ref="BC104:BC127" si="169">+AP104</f>
        <v>2019E</v>
      </c>
      <c r="BD104" s="865" t="str">
        <f t="shared" ref="BD104:BD127" si="170">+AQ104</f>
        <v>2020E</v>
      </c>
      <c r="BE104" s="14"/>
      <c r="BF104" s="900"/>
      <c r="BG104"/>
      <c r="BH104"/>
      <c r="BI104"/>
      <c r="BJ104"/>
      <c r="BK104"/>
      <c r="BL104"/>
      <c r="BM104" s="902"/>
      <c r="BN104" s="902"/>
      <c r="BO104" s="902"/>
      <c r="BP104" s="902"/>
      <c r="BQ104" s="902"/>
      <c r="BR104" s="902"/>
      <c r="BS104" s="902"/>
    </row>
    <row r="105" spans="1:71" ht="12.75" customHeight="1">
      <c r="A105" s="3099" t="s">
        <v>396</v>
      </c>
      <c r="B105" s="3221"/>
      <c r="C105" s="3221"/>
      <c r="D105" s="3221"/>
      <c r="E105" s="3221">
        <f t="shared" ref="E105:T105" si="171">E60</f>
        <v>128</v>
      </c>
      <c r="F105" s="3221">
        <f t="shared" si="171"/>
        <v>253</v>
      </c>
      <c r="G105" s="3222">
        <f t="shared" si="171"/>
        <v>48</v>
      </c>
      <c r="H105" s="3222">
        <f t="shared" si="171"/>
        <v>66</v>
      </c>
      <c r="I105" s="3222">
        <f t="shared" si="171"/>
        <v>177</v>
      </c>
      <c r="J105" s="3222">
        <f t="shared" si="171"/>
        <v>61</v>
      </c>
      <c r="K105" s="3221">
        <f t="shared" si="171"/>
        <v>352</v>
      </c>
      <c r="L105" s="3222">
        <f t="shared" si="171"/>
        <v>34</v>
      </c>
      <c r="M105" s="3222">
        <f t="shared" si="171"/>
        <v>155</v>
      </c>
      <c r="N105" s="3222">
        <f t="shared" si="171"/>
        <v>200</v>
      </c>
      <c r="O105" s="3222">
        <f t="shared" si="171"/>
        <v>26</v>
      </c>
      <c r="P105" s="3221">
        <f t="shared" si="171"/>
        <v>415</v>
      </c>
      <c r="Q105" s="3222">
        <f t="shared" si="171"/>
        <v>123</v>
      </c>
      <c r="R105" s="3222">
        <f t="shared" si="171"/>
        <v>209</v>
      </c>
      <c r="S105" s="3222">
        <f t="shared" si="171"/>
        <v>183</v>
      </c>
      <c r="T105" s="3222">
        <f t="shared" si="171"/>
        <v>158</v>
      </c>
      <c r="U105" s="3221">
        <f t="shared" ref="U105:U110" si="172">SUM(Q105:T105)</f>
        <v>673</v>
      </c>
      <c r="V105" s="3222">
        <f>V60</f>
        <v>150</v>
      </c>
      <c r="W105" s="3222">
        <f>W60</f>
        <v>161</v>
      </c>
      <c r="X105" s="3222">
        <f>X60</f>
        <v>279</v>
      </c>
      <c r="Y105" s="3223">
        <f>Y60</f>
        <v>814</v>
      </c>
      <c r="Z105" s="3224">
        <f t="shared" ref="Z105:Z110" si="173">SUM(V105:Y105)</f>
        <v>1404</v>
      </c>
      <c r="AA105" s="3225">
        <f>AA60</f>
        <v>309</v>
      </c>
      <c r="AB105" s="3226">
        <f>AB60</f>
        <v>239</v>
      </c>
      <c r="AC105" s="3226">
        <f>AC60</f>
        <v>187</v>
      </c>
      <c r="AD105" s="3227">
        <f>AD60</f>
        <v>-387</v>
      </c>
      <c r="AE105" s="3221">
        <f t="shared" ref="AE105:AE110" si="174">SUM(AA105:AD105)</f>
        <v>348</v>
      </c>
      <c r="AF105" s="3226">
        <f>AF60</f>
        <v>74</v>
      </c>
      <c r="AG105" s="3226">
        <f>AG60</f>
        <v>166</v>
      </c>
      <c r="AH105" s="3226">
        <f>AH60</f>
        <v>179</v>
      </c>
      <c r="AI105" s="3227">
        <f ca="1">AI60</f>
        <v>841</v>
      </c>
      <c r="AJ105" s="3221">
        <f t="shared" ref="AJ105:AJ110" ca="1" si="175">SUM(AF105:AI105)</f>
        <v>1260</v>
      </c>
      <c r="AK105" s="3226">
        <f t="shared" ref="AK105:AN105" ca="1" si="176">AK60</f>
        <v>148.27959376912989</v>
      </c>
      <c r="AL105" s="3226">
        <f t="shared" ca="1" si="176"/>
        <v>236.35132859233701</v>
      </c>
      <c r="AM105" s="3226">
        <f t="shared" ca="1" si="176"/>
        <v>241.43265143574433</v>
      </c>
      <c r="AN105" s="3226">
        <f t="shared" ca="1" si="176"/>
        <v>203.29851663154517</v>
      </c>
      <c r="AO105" s="3224">
        <f t="shared" ref="AO105:AO110" ca="1" si="177">SUM(AK105:AN105)</f>
        <v>829.36209042875635</v>
      </c>
      <c r="AP105" s="550">
        <f ca="1">AP60</f>
        <v>935.28070305077483</v>
      </c>
      <c r="AQ105" s="550">
        <f ca="1">AQ60</f>
        <v>958.30317099416948</v>
      </c>
      <c r="AR105" s="151"/>
      <c r="AS105" s="384" t="str">
        <f t="shared" si="159"/>
        <v>Net Income</v>
      </c>
      <c r="AT105" s="547">
        <f t="shared" si="160"/>
        <v>128</v>
      </c>
      <c r="AU105" s="547">
        <f t="shared" si="161"/>
        <v>253</v>
      </c>
      <c r="AV105" s="547">
        <f t="shared" si="162"/>
        <v>352</v>
      </c>
      <c r="AW105" s="547">
        <f t="shared" si="163"/>
        <v>415</v>
      </c>
      <c r="AX105" s="547">
        <f t="shared" si="164"/>
        <v>673</v>
      </c>
      <c r="AY105" s="547">
        <f t="shared" si="165"/>
        <v>1404</v>
      </c>
      <c r="AZ105" s="866">
        <f t="shared" si="166"/>
        <v>348</v>
      </c>
      <c r="BA105" s="547">
        <f t="shared" ca="1" si="167"/>
        <v>1260</v>
      </c>
      <c r="BB105" s="547">
        <f t="shared" ca="1" si="168"/>
        <v>829.36209042875635</v>
      </c>
      <c r="BC105" s="547">
        <f t="shared" ca="1" si="169"/>
        <v>935.28070305077483</v>
      </c>
      <c r="BD105" s="866">
        <f t="shared" ca="1" si="170"/>
        <v>958.30317099416948</v>
      </c>
      <c r="BF105" s="900"/>
      <c r="BM105" s="902"/>
      <c r="BN105" s="902"/>
      <c r="BO105" s="902"/>
      <c r="BP105" s="902"/>
      <c r="BQ105" s="902"/>
      <c r="BR105" s="902"/>
      <c r="BS105" s="902"/>
    </row>
    <row r="106" spans="1:71" ht="12.75" customHeight="1">
      <c r="A106" s="3099" t="s">
        <v>21</v>
      </c>
      <c r="B106" s="3228"/>
      <c r="C106" s="3228"/>
      <c r="D106" s="3228"/>
      <c r="E106" s="3229">
        <f t="shared" ref="E106:J106" si="178">-E51</f>
        <v>946</v>
      </c>
      <c r="F106" s="3229">
        <f t="shared" si="178"/>
        <v>643</v>
      </c>
      <c r="G106" s="3166">
        <f t="shared" si="178"/>
        <v>143</v>
      </c>
      <c r="H106" s="3166">
        <f t="shared" si="178"/>
        <v>138</v>
      </c>
      <c r="I106" s="3166">
        <f t="shared" si="178"/>
        <v>142</v>
      </c>
      <c r="J106" s="3166">
        <f t="shared" si="178"/>
        <v>146</v>
      </c>
      <c r="K106" s="3229">
        <f>SUM(G106:J106)</f>
        <v>569</v>
      </c>
      <c r="L106" s="3166">
        <f>-L51</f>
        <v>143</v>
      </c>
      <c r="M106" s="3166">
        <f>-M51</f>
        <v>131</v>
      </c>
      <c r="N106" s="3166">
        <f>-N51</f>
        <v>127</v>
      </c>
      <c r="O106" s="3166">
        <f>-O51</f>
        <v>219</v>
      </c>
      <c r="P106" s="3229">
        <f>SUM(L106:O106)</f>
        <v>620</v>
      </c>
      <c r="Q106" s="3166">
        <f>-Q51</f>
        <v>153</v>
      </c>
      <c r="R106" s="3166">
        <f>-R51</f>
        <v>158</v>
      </c>
      <c r="S106" s="3166">
        <f>-S51</f>
        <v>156</v>
      </c>
      <c r="T106" s="3166">
        <f>-T51</f>
        <v>151</v>
      </c>
      <c r="U106" s="3229">
        <f t="shared" si="172"/>
        <v>618</v>
      </c>
      <c r="V106" s="3166">
        <f>-V51</f>
        <v>144</v>
      </c>
      <c r="W106" s="3166">
        <f>-W51</f>
        <v>149</v>
      </c>
      <c r="X106" s="3166">
        <f>-X51</f>
        <v>138</v>
      </c>
      <c r="Y106" s="3169">
        <f>-Y51</f>
        <v>144</v>
      </c>
      <c r="Z106" s="3230">
        <f t="shared" si="173"/>
        <v>575</v>
      </c>
      <c r="AA106" s="3231">
        <f>-AA51</f>
        <v>139</v>
      </c>
      <c r="AB106" s="3166">
        <f>-AB51</f>
        <v>147</v>
      </c>
      <c r="AC106" s="3166">
        <f>-AC51</f>
        <v>148</v>
      </c>
      <c r="AD106" s="3232">
        <f>-AD51</f>
        <v>153</v>
      </c>
      <c r="AE106" s="3229">
        <f t="shared" si="174"/>
        <v>587</v>
      </c>
      <c r="AF106" s="3166">
        <f>-AF51</f>
        <v>104</v>
      </c>
      <c r="AG106" s="3166">
        <f>-AG51</f>
        <v>100</v>
      </c>
      <c r="AH106" s="3166">
        <f>-AH51</f>
        <v>100</v>
      </c>
      <c r="AI106" s="3232">
        <f>-AI51</f>
        <v>104</v>
      </c>
      <c r="AJ106" s="3229">
        <f t="shared" si="175"/>
        <v>408</v>
      </c>
      <c r="AK106" s="3166">
        <f t="shared" ref="AK106:AN106" si="179">-AK51</f>
        <v>84.56268750000001</v>
      </c>
      <c r="AL106" s="3166">
        <f t="shared" si="179"/>
        <v>86.028312499999998</v>
      </c>
      <c r="AM106" s="3166">
        <f t="shared" si="179"/>
        <v>87.493937500000001</v>
      </c>
      <c r="AN106" s="3166">
        <f t="shared" si="179"/>
        <v>87.959562500000004</v>
      </c>
      <c r="AO106" s="3230">
        <f t="shared" si="177"/>
        <v>346.04450000000003</v>
      </c>
      <c r="AP106" s="154">
        <f>-AP51</f>
        <v>353.49450000000002</v>
      </c>
      <c r="AQ106" s="248">
        <f>-AQ51</f>
        <v>360.94450000000001</v>
      </c>
      <c r="AR106" s="151"/>
      <c r="AS106" s="384" t="str">
        <f t="shared" si="159"/>
        <v>Interest Expense</v>
      </c>
      <c r="AT106" s="151">
        <f t="shared" si="160"/>
        <v>946</v>
      </c>
      <c r="AU106" s="151">
        <f t="shared" si="161"/>
        <v>643</v>
      </c>
      <c r="AV106" s="151">
        <f t="shared" si="162"/>
        <v>569</v>
      </c>
      <c r="AW106" s="151">
        <f t="shared" si="163"/>
        <v>620</v>
      </c>
      <c r="AX106" s="151">
        <f t="shared" si="164"/>
        <v>618</v>
      </c>
      <c r="AY106" s="151">
        <f t="shared" si="165"/>
        <v>575</v>
      </c>
      <c r="AZ106" s="858">
        <f t="shared" si="166"/>
        <v>587</v>
      </c>
      <c r="BA106" s="151">
        <f t="shared" si="167"/>
        <v>408</v>
      </c>
      <c r="BB106" s="151">
        <f t="shared" si="168"/>
        <v>346.04450000000003</v>
      </c>
      <c r="BC106" s="151">
        <f t="shared" si="169"/>
        <v>353.49450000000002</v>
      </c>
      <c r="BD106" s="858">
        <f t="shared" si="170"/>
        <v>360.94450000000001</v>
      </c>
      <c r="BF106" s="900"/>
      <c r="BM106" s="902"/>
      <c r="BN106" s="902"/>
      <c r="BO106" s="902"/>
      <c r="BP106" s="902"/>
      <c r="BQ106" s="902"/>
      <c r="BR106" s="902"/>
      <c r="BS106" s="902"/>
    </row>
    <row r="107" spans="1:71" ht="12.75" customHeight="1">
      <c r="A107" s="3099" t="s">
        <v>771</v>
      </c>
      <c r="B107" s="3228"/>
      <c r="C107" s="3228"/>
      <c r="D107" s="3228"/>
      <c r="E107" s="3233">
        <v>16</v>
      </c>
      <c r="F107" s="3233">
        <v>12</v>
      </c>
      <c r="G107" s="3234">
        <v>3</v>
      </c>
      <c r="H107" s="3234">
        <v>3</v>
      </c>
      <c r="I107" s="3234">
        <v>2</v>
      </c>
      <c r="J107" s="3234">
        <v>5</v>
      </c>
      <c r="K107" s="3229">
        <f>SUM(G107:J107)</f>
        <v>13</v>
      </c>
      <c r="L107" s="3234">
        <v>4</v>
      </c>
      <c r="M107" s="3234">
        <v>2</v>
      </c>
      <c r="N107" s="3234">
        <v>4</v>
      </c>
      <c r="O107" s="3234">
        <v>3</v>
      </c>
      <c r="P107" s="3229">
        <f>SUM(L107:O107)</f>
        <v>13</v>
      </c>
      <c r="Q107" s="3234">
        <v>3</v>
      </c>
      <c r="R107" s="3234">
        <v>3</v>
      </c>
      <c r="S107" s="3234">
        <v>2</v>
      </c>
      <c r="T107" s="3234">
        <v>2</v>
      </c>
      <c r="U107" s="3229">
        <f t="shared" si="172"/>
        <v>10</v>
      </c>
      <c r="V107" s="3234">
        <v>2</v>
      </c>
      <c r="W107" s="3234">
        <v>2</v>
      </c>
      <c r="X107" s="3234">
        <v>1</v>
      </c>
      <c r="Y107" s="3234">
        <v>0</v>
      </c>
      <c r="Z107" s="3230">
        <f t="shared" si="173"/>
        <v>5</v>
      </c>
      <c r="AA107" s="3235">
        <v>0</v>
      </c>
      <c r="AB107" s="3236">
        <v>0</v>
      </c>
      <c r="AC107" s="3236">
        <v>0</v>
      </c>
      <c r="AD107" s="3236">
        <v>0</v>
      </c>
      <c r="AE107" s="3229">
        <f t="shared" si="174"/>
        <v>0</v>
      </c>
      <c r="AF107" s="3236">
        <v>0</v>
      </c>
      <c r="AG107" s="3236">
        <v>0</v>
      </c>
      <c r="AH107" s="3236">
        <v>0</v>
      </c>
      <c r="AI107" s="3236">
        <v>0</v>
      </c>
      <c r="AJ107" s="3229">
        <f t="shared" si="175"/>
        <v>0</v>
      </c>
      <c r="AK107" s="3236">
        <v>0</v>
      </c>
      <c r="AL107" s="3236">
        <v>0</v>
      </c>
      <c r="AM107" s="3236">
        <v>0</v>
      </c>
      <c r="AN107" s="3236">
        <v>0</v>
      </c>
      <c r="AO107" s="3230">
        <f t="shared" si="177"/>
        <v>0</v>
      </c>
      <c r="AP107" s="154">
        <f>AO107</f>
        <v>0</v>
      </c>
      <c r="AQ107" s="248">
        <f>AP107</f>
        <v>0</v>
      </c>
      <c r="AR107" s="151"/>
      <c r="AS107" s="384" t="str">
        <f t="shared" si="159"/>
        <v>Interest expense included in equity in earnings (losses) from unconsolidated affiliates</v>
      </c>
      <c r="AT107" s="151">
        <f t="shared" si="160"/>
        <v>16</v>
      </c>
      <c r="AU107" s="151">
        <f t="shared" si="161"/>
        <v>12</v>
      </c>
      <c r="AV107" s="151">
        <f t="shared" si="162"/>
        <v>13</v>
      </c>
      <c r="AW107" s="151">
        <f t="shared" si="163"/>
        <v>13</v>
      </c>
      <c r="AX107" s="151">
        <f t="shared" si="164"/>
        <v>10</v>
      </c>
      <c r="AY107" s="151">
        <f t="shared" si="165"/>
        <v>5</v>
      </c>
      <c r="AZ107" s="858">
        <f t="shared" si="166"/>
        <v>0</v>
      </c>
      <c r="BA107" s="151">
        <f t="shared" si="167"/>
        <v>0</v>
      </c>
      <c r="BB107" s="151">
        <f t="shared" si="168"/>
        <v>0</v>
      </c>
      <c r="BC107" s="151">
        <f t="shared" si="169"/>
        <v>0</v>
      </c>
      <c r="BD107" s="858">
        <f t="shared" si="170"/>
        <v>0</v>
      </c>
      <c r="BF107" s="900"/>
      <c r="BM107" s="902"/>
      <c r="BN107" s="902"/>
      <c r="BO107" s="902"/>
      <c r="BP107" s="902"/>
      <c r="BQ107" s="902"/>
      <c r="BR107" s="902"/>
      <c r="BS107" s="902"/>
    </row>
    <row r="108" spans="1:71" ht="12.75" customHeight="1">
      <c r="A108" s="3099" t="s">
        <v>1346</v>
      </c>
      <c r="B108" s="3228"/>
      <c r="C108" s="3228"/>
      <c r="D108" s="3228"/>
      <c r="E108" s="3228">
        <f t="shared" ref="E108:O108" si="180">-E57</f>
        <v>308</v>
      </c>
      <c r="F108" s="3228">
        <f t="shared" si="180"/>
        <v>-59</v>
      </c>
      <c r="G108" s="3166">
        <f t="shared" si="180"/>
        <v>43</v>
      </c>
      <c r="H108" s="3166">
        <f t="shared" si="180"/>
        <v>69</v>
      </c>
      <c r="I108" s="3166">
        <f t="shared" si="180"/>
        <v>54</v>
      </c>
      <c r="J108" s="3166">
        <f t="shared" si="180"/>
        <v>48</v>
      </c>
      <c r="K108" s="3228">
        <f t="shared" si="180"/>
        <v>214</v>
      </c>
      <c r="L108" s="3166">
        <f t="shared" si="180"/>
        <v>38</v>
      </c>
      <c r="M108" s="3166">
        <f t="shared" si="180"/>
        <v>84</v>
      </c>
      <c r="N108" s="3166">
        <f t="shared" si="180"/>
        <v>70</v>
      </c>
      <c r="O108" s="3166">
        <f t="shared" si="180"/>
        <v>46</v>
      </c>
      <c r="P108" s="3228">
        <f>SUM(L108:O108)</f>
        <v>238</v>
      </c>
      <c r="Q108" s="3166">
        <f>-Q57</f>
        <v>83</v>
      </c>
      <c r="R108" s="3166">
        <f>-R57</f>
        <v>121</v>
      </c>
      <c r="S108" s="3166">
        <f>-S57</f>
        <v>127</v>
      </c>
      <c r="T108" s="3166">
        <f>-T57</f>
        <v>134</v>
      </c>
      <c r="U108" s="3229">
        <f t="shared" si="172"/>
        <v>465</v>
      </c>
      <c r="V108" s="3166">
        <f>-V57</f>
        <v>163</v>
      </c>
      <c r="W108" s="3166">
        <f>-W57</f>
        <v>145</v>
      </c>
      <c r="X108" s="3166">
        <f>-X57</f>
        <v>247</v>
      </c>
      <c r="Y108" s="3169">
        <f>-Y57</f>
        <v>-475</v>
      </c>
      <c r="Z108" s="3230">
        <f t="shared" si="173"/>
        <v>80</v>
      </c>
      <c r="AA108" s="3231">
        <f>-AA57</f>
        <v>-46</v>
      </c>
      <c r="AB108" s="3166">
        <f>-AB57</f>
        <v>156</v>
      </c>
      <c r="AC108" s="3166">
        <f>-AC57</f>
        <v>145</v>
      </c>
      <c r="AD108" s="3232">
        <f>-AD57</f>
        <v>636</v>
      </c>
      <c r="AE108" s="3229">
        <f t="shared" si="174"/>
        <v>891</v>
      </c>
      <c r="AF108" s="3166">
        <f>-AF57</f>
        <v>35</v>
      </c>
      <c r="AG108" s="3166">
        <f>-AG57</f>
        <v>108</v>
      </c>
      <c r="AH108" s="3166">
        <f>-AH57</f>
        <v>108</v>
      </c>
      <c r="AI108" s="3232">
        <f>-AI57</f>
        <v>-585</v>
      </c>
      <c r="AJ108" s="3229">
        <f t="shared" si="175"/>
        <v>-334</v>
      </c>
      <c r="AK108" s="3166">
        <f ca="1">-AK57</f>
        <v>60.564904497250232</v>
      </c>
      <c r="AL108" s="3166">
        <f t="shared" ref="AL108:AN108" ca="1" si="181">-AL57</f>
        <v>96.537866608137648</v>
      </c>
      <c r="AM108" s="3166">
        <f t="shared" ca="1" si="181"/>
        <v>98.61333650192374</v>
      </c>
      <c r="AN108" s="3166">
        <f t="shared" ca="1" si="181"/>
        <v>83.03742228612407</v>
      </c>
      <c r="AO108" s="3230">
        <f t="shared" ca="1" si="177"/>
        <v>338.75352989343571</v>
      </c>
      <c r="AP108" s="154">
        <f ca="1">-AP57</f>
        <v>382.01606180947135</v>
      </c>
      <c r="AQ108" s="248">
        <f ca="1">-AQ57</f>
        <v>391.4196050539565</v>
      </c>
      <c r="AR108" s="151"/>
      <c r="AS108" s="384" t="str">
        <f t="shared" si="159"/>
        <v>Income tax (benefit) expense</v>
      </c>
      <c r="AT108" s="151">
        <f t="shared" si="160"/>
        <v>308</v>
      </c>
      <c r="AU108" s="151">
        <f t="shared" si="161"/>
        <v>-59</v>
      </c>
      <c r="AV108" s="151">
        <f t="shared" si="162"/>
        <v>214</v>
      </c>
      <c r="AW108" s="151">
        <f t="shared" si="163"/>
        <v>238</v>
      </c>
      <c r="AX108" s="151">
        <f t="shared" si="164"/>
        <v>465</v>
      </c>
      <c r="AY108" s="151">
        <f t="shared" si="165"/>
        <v>80</v>
      </c>
      <c r="AZ108" s="858">
        <f t="shared" si="166"/>
        <v>891</v>
      </c>
      <c r="BA108" s="151">
        <f t="shared" si="167"/>
        <v>-334</v>
      </c>
      <c r="BB108" s="151">
        <f t="shared" ca="1" si="168"/>
        <v>338.75352989343571</v>
      </c>
      <c r="BC108" s="151">
        <f t="shared" ca="1" si="169"/>
        <v>382.01606180947135</v>
      </c>
      <c r="BD108" s="858">
        <f t="shared" ca="1" si="170"/>
        <v>391.4196050539565</v>
      </c>
      <c r="BF108" s="900"/>
      <c r="BM108" s="902"/>
      <c r="BN108" s="902"/>
      <c r="BO108" s="902"/>
      <c r="BP108" s="902"/>
      <c r="BQ108" s="902"/>
      <c r="BR108" s="902"/>
      <c r="BS108" s="902"/>
    </row>
    <row r="109" spans="1:71" ht="12.75" customHeight="1">
      <c r="A109" s="3099" t="s">
        <v>189</v>
      </c>
      <c r="B109" s="3229"/>
      <c r="C109" s="3229"/>
      <c r="D109" s="3229"/>
      <c r="E109" s="3229">
        <f t="shared" ref="E109:O109" si="182">E45</f>
        <v>574</v>
      </c>
      <c r="F109" s="3229">
        <f t="shared" si="182"/>
        <v>564</v>
      </c>
      <c r="G109" s="3166">
        <f t="shared" si="182"/>
        <v>128</v>
      </c>
      <c r="H109" s="3166">
        <f t="shared" si="182"/>
        <v>131</v>
      </c>
      <c r="I109" s="3166">
        <f t="shared" si="182"/>
        <v>135</v>
      </c>
      <c r="J109" s="3166">
        <f t="shared" si="182"/>
        <v>156</v>
      </c>
      <c r="K109" s="3229">
        <f t="shared" si="182"/>
        <v>550</v>
      </c>
      <c r="L109" s="3166">
        <f t="shared" si="182"/>
        <v>160</v>
      </c>
      <c r="M109" s="3166">
        <f t="shared" si="182"/>
        <v>149</v>
      </c>
      <c r="N109" s="3166">
        <f t="shared" si="182"/>
        <v>146</v>
      </c>
      <c r="O109" s="3166">
        <f t="shared" si="182"/>
        <v>148</v>
      </c>
      <c r="P109" s="3229">
        <f>SUM(L109:O109)</f>
        <v>603</v>
      </c>
      <c r="Q109" s="3166">
        <f>Q45</f>
        <v>153</v>
      </c>
      <c r="R109" s="3166">
        <f>R45</f>
        <v>158</v>
      </c>
      <c r="S109" s="3166">
        <f>S45</f>
        <v>159</v>
      </c>
      <c r="T109" s="3166">
        <f>T45</f>
        <v>158</v>
      </c>
      <c r="U109" s="3229">
        <f t="shared" si="172"/>
        <v>628</v>
      </c>
      <c r="V109" s="3166">
        <f>V45</f>
        <v>175</v>
      </c>
      <c r="W109" s="3166">
        <f>W45</f>
        <v>173</v>
      </c>
      <c r="X109" s="3166">
        <f>X45</f>
        <v>171</v>
      </c>
      <c r="Y109" s="3169">
        <f>Y45</f>
        <v>173</v>
      </c>
      <c r="Z109" s="3230">
        <f t="shared" si="173"/>
        <v>692</v>
      </c>
      <c r="AA109" s="3231">
        <f>AA45</f>
        <v>169</v>
      </c>
      <c r="AB109" s="3166">
        <f>AB45</f>
        <v>171</v>
      </c>
      <c r="AC109" s="3166">
        <f>AC45</f>
        <v>169</v>
      </c>
      <c r="AD109" s="3232">
        <f>AD45</f>
        <v>177</v>
      </c>
      <c r="AE109" s="3229">
        <f t="shared" si="174"/>
        <v>686</v>
      </c>
      <c r="AF109" s="3166">
        <f>AF45</f>
        <v>89</v>
      </c>
      <c r="AG109" s="3166">
        <f>AG45</f>
        <v>87</v>
      </c>
      <c r="AH109" s="3166">
        <f>AH45</f>
        <v>83</v>
      </c>
      <c r="AI109" s="3232">
        <f>AI45</f>
        <v>88</v>
      </c>
      <c r="AJ109" s="3229">
        <f t="shared" si="175"/>
        <v>347</v>
      </c>
      <c r="AK109" s="3166">
        <f t="shared" ref="AK109:AN109" si="183">AK45</f>
        <v>82</v>
      </c>
      <c r="AL109" s="3166">
        <f t="shared" si="183"/>
        <v>85.5</v>
      </c>
      <c r="AM109" s="3166">
        <f t="shared" si="183"/>
        <v>81.5</v>
      </c>
      <c r="AN109" s="3166">
        <f t="shared" si="183"/>
        <v>86.5</v>
      </c>
      <c r="AO109" s="3230">
        <f t="shared" si="177"/>
        <v>335.5</v>
      </c>
      <c r="AP109" s="154">
        <f>AP45</f>
        <v>335.5</v>
      </c>
      <c r="AQ109" s="154">
        <f>AQ45</f>
        <v>335.5</v>
      </c>
      <c r="AR109" s="155"/>
      <c r="AS109" s="384" t="str">
        <f t="shared" si="159"/>
        <v>D&amp;A</v>
      </c>
      <c r="AT109" s="155">
        <f t="shared" si="160"/>
        <v>574</v>
      </c>
      <c r="AU109" s="155">
        <f t="shared" si="161"/>
        <v>564</v>
      </c>
      <c r="AV109" s="155">
        <f t="shared" si="162"/>
        <v>550</v>
      </c>
      <c r="AW109" s="155">
        <f t="shared" si="163"/>
        <v>603</v>
      </c>
      <c r="AX109" s="155">
        <f t="shared" si="164"/>
        <v>628</v>
      </c>
      <c r="AY109" s="155">
        <f t="shared" si="165"/>
        <v>692</v>
      </c>
      <c r="AZ109" s="867">
        <f t="shared" si="166"/>
        <v>686</v>
      </c>
      <c r="BA109" s="155">
        <f t="shared" si="167"/>
        <v>347</v>
      </c>
      <c r="BB109" s="155">
        <f t="shared" si="168"/>
        <v>335.5</v>
      </c>
      <c r="BC109" s="155">
        <f t="shared" si="169"/>
        <v>335.5</v>
      </c>
      <c r="BD109" s="867">
        <f t="shared" si="170"/>
        <v>335.5</v>
      </c>
      <c r="BF109" s="900"/>
      <c r="BM109" s="902"/>
      <c r="BN109" s="902"/>
      <c r="BO109" s="902"/>
      <c r="BP109" s="902"/>
      <c r="BQ109" s="902"/>
      <c r="BR109" s="902"/>
      <c r="BS109" s="902"/>
    </row>
    <row r="110" spans="1:71" ht="12.75" customHeight="1">
      <c r="A110" s="3099" t="s">
        <v>770</v>
      </c>
      <c r="B110" s="3229"/>
      <c r="C110" s="3229"/>
      <c r="D110" s="3229"/>
      <c r="E110" s="3233">
        <v>48</v>
      </c>
      <c r="F110" s="3233">
        <v>48</v>
      </c>
      <c r="G110" s="3234">
        <v>10</v>
      </c>
      <c r="H110" s="3234">
        <v>9</v>
      </c>
      <c r="I110" s="3234">
        <v>9</v>
      </c>
      <c r="J110" s="3237">
        <v>6</v>
      </c>
      <c r="K110" s="3238">
        <f>SUM(G110:J110)</f>
        <v>34</v>
      </c>
      <c r="L110" s="3234">
        <v>8</v>
      </c>
      <c r="M110" s="3234">
        <v>7</v>
      </c>
      <c r="N110" s="3234">
        <v>8</v>
      </c>
      <c r="O110" s="3237">
        <v>9</v>
      </c>
      <c r="P110" s="3238">
        <f>SUM(L110:O110)</f>
        <v>32</v>
      </c>
      <c r="Q110" s="3234">
        <v>8</v>
      </c>
      <c r="R110" s="3234">
        <v>7</v>
      </c>
      <c r="S110" s="3234">
        <v>7</v>
      </c>
      <c r="T110" s="3234">
        <v>5</v>
      </c>
      <c r="U110" s="3229">
        <f t="shared" si="172"/>
        <v>27</v>
      </c>
      <c r="V110" s="3234">
        <v>5</v>
      </c>
      <c r="W110" s="3234">
        <v>5</v>
      </c>
      <c r="X110" s="3234">
        <v>5</v>
      </c>
      <c r="Y110" s="3234">
        <v>12</v>
      </c>
      <c r="Z110" s="3230">
        <f t="shared" si="173"/>
        <v>27</v>
      </c>
      <c r="AA110" s="3236">
        <v>8</v>
      </c>
      <c r="AB110" s="3236">
        <v>7</v>
      </c>
      <c r="AC110" s="3236">
        <f>8</f>
        <v>8</v>
      </c>
      <c r="AD110" s="3234">
        <v>7</v>
      </c>
      <c r="AE110" s="3229">
        <f t="shared" si="174"/>
        <v>30</v>
      </c>
      <c r="AF110" s="3234">
        <v>0</v>
      </c>
      <c r="AG110" s="3234">
        <v>0</v>
      </c>
      <c r="AH110" s="3234">
        <v>0</v>
      </c>
      <c r="AI110" s="3234">
        <v>0</v>
      </c>
      <c r="AJ110" s="3230">
        <f t="shared" si="175"/>
        <v>0</v>
      </c>
      <c r="AK110" s="3234">
        <v>0</v>
      </c>
      <c r="AL110" s="3234">
        <v>0</v>
      </c>
      <c r="AM110" s="3234">
        <v>0</v>
      </c>
      <c r="AN110" s="3234">
        <v>0</v>
      </c>
      <c r="AO110" s="3230">
        <f t="shared" si="177"/>
        <v>0</v>
      </c>
      <c r="AP110" s="154">
        <f>AO110</f>
        <v>0</v>
      </c>
      <c r="AQ110" s="154">
        <f>AP110</f>
        <v>0</v>
      </c>
      <c r="AR110" s="155"/>
      <c r="AS110" s="384" t="str">
        <f t="shared" si="159"/>
        <v>Depreciation and amortization included in equity in earnings (losses) from unconsolidated affiliates</v>
      </c>
      <c r="AT110" s="155">
        <f t="shared" si="160"/>
        <v>48</v>
      </c>
      <c r="AU110" s="155">
        <f t="shared" si="161"/>
        <v>48</v>
      </c>
      <c r="AV110" s="155">
        <f t="shared" si="162"/>
        <v>34</v>
      </c>
      <c r="AW110" s="155">
        <f t="shared" si="163"/>
        <v>32</v>
      </c>
      <c r="AX110" s="155">
        <f t="shared" si="164"/>
        <v>27</v>
      </c>
      <c r="AY110" s="155">
        <f t="shared" si="165"/>
        <v>27</v>
      </c>
      <c r="AZ110" s="867">
        <f t="shared" si="166"/>
        <v>30</v>
      </c>
      <c r="BA110" s="155">
        <f t="shared" si="167"/>
        <v>0</v>
      </c>
      <c r="BB110" s="155">
        <f t="shared" si="168"/>
        <v>0</v>
      </c>
      <c r="BC110" s="155">
        <f t="shared" si="169"/>
        <v>0</v>
      </c>
      <c r="BD110" s="867">
        <f t="shared" si="170"/>
        <v>0</v>
      </c>
      <c r="BF110" s="900"/>
      <c r="BM110" s="902"/>
      <c r="BN110" s="902"/>
      <c r="BO110" s="902"/>
      <c r="BP110" s="902"/>
      <c r="BQ110" s="902"/>
      <c r="BR110" s="902"/>
      <c r="BS110" s="902"/>
    </row>
    <row r="111" spans="1:71" s="11" customFormat="1" ht="12.75" customHeight="1">
      <c r="A111" s="1466" t="s">
        <v>1228</v>
      </c>
      <c r="B111" s="1467"/>
      <c r="C111" s="1467"/>
      <c r="D111" s="1467"/>
      <c r="E111" s="1467">
        <f t="shared" ref="E111:J111" si="184">SUM(E105:E110)</f>
        <v>2020</v>
      </c>
      <c r="F111" s="1467">
        <f t="shared" si="184"/>
        <v>1461</v>
      </c>
      <c r="G111" s="1468">
        <f>SUM(G105:G110)</f>
        <v>375</v>
      </c>
      <c r="H111" s="1468">
        <f t="shared" si="184"/>
        <v>416</v>
      </c>
      <c r="I111" s="1468">
        <f t="shared" si="184"/>
        <v>519</v>
      </c>
      <c r="J111" s="1468">
        <f t="shared" si="184"/>
        <v>422</v>
      </c>
      <c r="K111" s="1467">
        <f t="shared" ref="K111:U111" si="185">SUM(K105:K110)</f>
        <v>1732</v>
      </c>
      <c r="L111" s="1468">
        <f t="shared" si="185"/>
        <v>387</v>
      </c>
      <c r="M111" s="1468">
        <f t="shared" si="185"/>
        <v>528</v>
      </c>
      <c r="N111" s="1468">
        <f t="shared" si="185"/>
        <v>555</v>
      </c>
      <c r="O111" s="1468">
        <f t="shared" si="185"/>
        <v>451</v>
      </c>
      <c r="P111" s="1467">
        <f t="shared" si="185"/>
        <v>1921</v>
      </c>
      <c r="Q111" s="1468">
        <f t="shared" si="185"/>
        <v>523</v>
      </c>
      <c r="R111" s="1468">
        <f t="shared" si="185"/>
        <v>656</v>
      </c>
      <c r="S111" s="1468">
        <f t="shared" si="185"/>
        <v>634</v>
      </c>
      <c r="T111" s="1468">
        <f t="shared" si="185"/>
        <v>608</v>
      </c>
      <c r="U111" s="1467">
        <f t="shared" si="185"/>
        <v>2421</v>
      </c>
      <c r="V111" s="1468">
        <f t="shared" ref="V111:AQ111" si="186">SUM(V105:V110)</f>
        <v>639</v>
      </c>
      <c r="W111" s="1468">
        <f t="shared" si="186"/>
        <v>635</v>
      </c>
      <c r="X111" s="1468">
        <f t="shared" si="186"/>
        <v>841</v>
      </c>
      <c r="Y111" s="1468">
        <f t="shared" si="186"/>
        <v>668</v>
      </c>
      <c r="Z111" s="1467">
        <f t="shared" si="186"/>
        <v>2783</v>
      </c>
      <c r="AA111" s="2503">
        <f t="shared" si="186"/>
        <v>579</v>
      </c>
      <c r="AB111" s="1468">
        <f t="shared" si="186"/>
        <v>720</v>
      </c>
      <c r="AC111" s="1468">
        <f t="shared" si="186"/>
        <v>657</v>
      </c>
      <c r="AD111" s="1594">
        <f t="shared" si="186"/>
        <v>586</v>
      </c>
      <c r="AE111" s="1467">
        <f t="shared" si="186"/>
        <v>2542</v>
      </c>
      <c r="AF111" s="1468">
        <f t="shared" si="186"/>
        <v>302</v>
      </c>
      <c r="AG111" s="1468">
        <f t="shared" si="186"/>
        <v>461</v>
      </c>
      <c r="AH111" s="1468">
        <f t="shared" si="186"/>
        <v>470</v>
      </c>
      <c r="AI111" s="1594">
        <f t="shared" ca="1" si="186"/>
        <v>448</v>
      </c>
      <c r="AJ111" s="1467">
        <f t="shared" ca="1" si="186"/>
        <v>1681</v>
      </c>
      <c r="AK111" s="1468">
        <f t="shared" ref="AK111:AO111" ca="1" si="187">SUM(AK105:AK110)</f>
        <v>375.40718576638011</v>
      </c>
      <c r="AL111" s="1468">
        <f t="shared" ca="1" si="187"/>
        <v>504.41750770047463</v>
      </c>
      <c r="AM111" s="1468">
        <f t="shared" ca="1" si="187"/>
        <v>509.0399254376681</v>
      </c>
      <c r="AN111" s="1468">
        <f t="shared" ca="1" si="187"/>
        <v>460.79550141766924</v>
      </c>
      <c r="AO111" s="1467">
        <f t="shared" ca="1" si="187"/>
        <v>1849.6601203221921</v>
      </c>
      <c r="AP111" s="1467">
        <f t="shared" ca="1" si="186"/>
        <v>2006.2912648602464</v>
      </c>
      <c r="AQ111" s="1467">
        <f t="shared" ca="1" si="186"/>
        <v>2046.167276048126</v>
      </c>
      <c r="AR111" s="548"/>
      <c r="AS111" s="1466" t="str">
        <f t="shared" si="159"/>
        <v>EBITDA</v>
      </c>
      <c r="AT111" s="1468">
        <f t="shared" si="160"/>
        <v>2020</v>
      </c>
      <c r="AU111" s="1468">
        <f t="shared" si="161"/>
        <v>1461</v>
      </c>
      <c r="AV111" s="1468">
        <f t="shared" si="162"/>
        <v>1732</v>
      </c>
      <c r="AW111" s="1468">
        <f t="shared" si="163"/>
        <v>1921</v>
      </c>
      <c r="AX111" s="1468">
        <f t="shared" si="164"/>
        <v>2421</v>
      </c>
      <c r="AY111" s="1468">
        <f t="shared" si="165"/>
        <v>2783</v>
      </c>
      <c r="AZ111" s="1594">
        <f t="shared" si="166"/>
        <v>2542</v>
      </c>
      <c r="BA111" s="1468">
        <f t="shared" ca="1" si="167"/>
        <v>1681</v>
      </c>
      <c r="BB111" s="1468">
        <f t="shared" ca="1" si="168"/>
        <v>1849.6601203221921</v>
      </c>
      <c r="BC111" s="1468">
        <f t="shared" ca="1" si="169"/>
        <v>2006.2912648602464</v>
      </c>
      <c r="BD111" s="1594">
        <f t="shared" ca="1" si="170"/>
        <v>2046.167276048126</v>
      </c>
      <c r="BE111" s="14"/>
      <c r="BF111" s="908"/>
      <c r="BG111"/>
      <c r="BH111"/>
      <c r="BI111"/>
      <c r="BJ111"/>
      <c r="BK111"/>
      <c r="BL111"/>
      <c r="BM111" s="909"/>
      <c r="BN111" s="909"/>
      <c r="BO111" s="909"/>
      <c r="BP111" s="902"/>
      <c r="BQ111" s="902"/>
      <c r="BR111" s="909"/>
      <c r="BS111" s="909"/>
    </row>
    <row r="112" spans="1:71" ht="12.75" customHeight="1">
      <c r="A112" s="3198" t="s">
        <v>772</v>
      </c>
      <c r="B112" s="3229"/>
      <c r="C112" s="3229"/>
      <c r="D112" s="3229"/>
      <c r="E112" s="3229">
        <f t="shared" ref="E112:J112" si="188">-E58</f>
        <v>-17</v>
      </c>
      <c r="F112" s="3229">
        <f t="shared" si="188"/>
        <v>2</v>
      </c>
      <c r="G112" s="3166">
        <f t="shared" si="188"/>
        <v>-1</v>
      </c>
      <c r="H112" s="3166">
        <f t="shared" si="188"/>
        <v>3</v>
      </c>
      <c r="I112" s="3166">
        <f t="shared" si="188"/>
        <v>2</v>
      </c>
      <c r="J112" s="3166">
        <f t="shared" si="188"/>
        <v>3</v>
      </c>
      <c r="K112" s="3229">
        <f t="shared" ref="K112:K120" si="189">SUM(G112:J112)</f>
        <v>7</v>
      </c>
      <c r="L112" s="3166">
        <f>-L58</f>
        <v>4</v>
      </c>
      <c r="M112" s="3166">
        <f>-M58</f>
        <v>2</v>
      </c>
      <c r="N112" s="3166">
        <f>-N58</f>
        <v>3</v>
      </c>
      <c r="O112" s="3166">
        <f>-O58</f>
        <v>36</v>
      </c>
      <c r="P112" s="3229">
        <f t="shared" ref="P112:P120" si="190">SUM(L112:O112)</f>
        <v>45</v>
      </c>
      <c r="Q112" s="3166">
        <f>-Q58</f>
        <v>1</v>
      </c>
      <c r="R112" s="3166">
        <f>-R58</f>
        <v>3</v>
      </c>
      <c r="S112" s="3166">
        <f>-S58</f>
        <v>4</v>
      </c>
      <c r="T112" s="3166">
        <f>-T58</f>
        <v>1</v>
      </c>
      <c r="U112" s="3229">
        <f t="shared" ref="U112:U119" si="191">SUM(Q112:T112)</f>
        <v>9</v>
      </c>
      <c r="V112" s="3166">
        <f>-V58</f>
        <v>0</v>
      </c>
      <c r="W112" s="3166">
        <f>-W58</f>
        <v>6</v>
      </c>
      <c r="X112" s="3166">
        <f>-X58</f>
        <v>4</v>
      </c>
      <c r="Y112" s="3169">
        <f>-Y58</f>
        <v>2</v>
      </c>
      <c r="Z112" s="3230">
        <f t="shared" ref="Z112:Z119" si="192">SUM(V112:Y112)</f>
        <v>12</v>
      </c>
      <c r="AA112" s="3166">
        <f>-AA58</f>
        <v>1</v>
      </c>
      <c r="AB112" s="3166">
        <f>-AB58</f>
        <v>5</v>
      </c>
      <c r="AC112" s="3166">
        <f>-AC58</f>
        <v>5</v>
      </c>
      <c r="AD112" s="3232">
        <f>-AD58</f>
        <v>5</v>
      </c>
      <c r="AE112" s="3229">
        <f t="shared" ref="AE112:AE120" si="193">SUM(AA112:AD112)</f>
        <v>16</v>
      </c>
      <c r="AF112" s="3166">
        <f>-AF58</f>
        <v>1</v>
      </c>
      <c r="AG112" s="3166">
        <f>-AG58</f>
        <v>1</v>
      </c>
      <c r="AH112" s="3166">
        <f>-AH58</f>
        <v>2</v>
      </c>
      <c r="AI112" s="3232">
        <f>-AI58</f>
        <v>0</v>
      </c>
      <c r="AJ112" s="3229">
        <f t="shared" ref="AJ112:AJ120" si="194">SUM(AF112:AI112)</f>
        <v>4</v>
      </c>
      <c r="AK112" s="3166">
        <f>-AK58</f>
        <v>0</v>
      </c>
      <c r="AL112" s="3166">
        <f t="shared" ref="AL112:AN112" si="195">-AL58</f>
        <v>0</v>
      </c>
      <c r="AM112" s="3166">
        <f t="shared" si="195"/>
        <v>0</v>
      </c>
      <c r="AN112" s="3166">
        <f t="shared" si="195"/>
        <v>0</v>
      </c>
      <c r="AO112" s="3230">
        <f t="shared" ref="AO112:AO120" si="196">SUM(AK112:AN112)</f>
        <v>0</v>
      </c>
      <c r="AP112" s="3229">
        <f>-AP58</f>
        <v>0</v>
      </c>
      <c r="AQ112" s="154">
        <f>-AQ58</f>
        <v>0</v>
      </c>
      <c r="AR112" s="155"/>
      <c r="AS112" s="494" t="str">
        <f t="shared" si="159"/>
        <v>Net income (loss) attributable to noncontrolling interest</v>
      </c>
      <c r="AT112" s="155">
        <f t="shared" si="160"/>
        <v>-17</v>
      </c>
      <c r="AU112" s="155">
        <f t="shared" si="161"/>
        <v>2</v>
      </c>
      <c r="AV112" s="155">
        <f t="shared" si="162"/>
        <v>7</v>
      </c>
      <c r="AW112" s="155">
        <f t="shared" si="163"/>
        <v>45</v>
      </c>
      <c r="AX112" s="155">
        <f t="shared" si="164"/>
        <v>9</v>
      </c>
      <c r="AY112" s="155">
        <f t="shared" si="165"/>
        <v>12</v>
      </c>
      <c r="AZ112" s="867">
        <f t="shared" si="166"/>
        <v>16</v>
      </c>
      <c r="BA112" s="155">
        <f t="shared" si="167"/>
        <v>4</v>
      </c>
      <c r="BB112" s="155">
        <f t="shared" si="168"/>
        <v>0</v>
      </c>
      <c r="BC112" s="155">
        <f t="shared" si="169"/>
        <v>0</v>
      </c>
      <c r="BD112" s="867">
        <f t="shared" si="170"/>
        <v>0</v>
      </c>
      <c r="BF112" s="900"/>
      <c r="BM112" s="902"/>
      <c r="BN112" s="902"/>
      <c r="BO112" s="902"/>
      <c r="BP112" s="902"/>
      <c r="BQ112" s="902"/>
      <c r="BR112" s="902"/>
      <c r="BS112" s="902"/>
    </row>
    <row r="113" spans="1:71" ht="12.75" customHeight="1">
      <c r="A113" s="3198" t="s">
        <v>773</v>
      </c>
      <c r="B113" s="3229"/>
      <c r="C113" s="3229"/>
      <c r="D113" s="3229"/>
      <c r="E113" s="3229">
        <f t="shared" ref="E113:J113" si="197">-E53</f>
        <v>-18</v>
      </c>
      <c r="F113" s="3229">
        <f t="shared" si="197"/>
        <v>21</v>
      </c>
      <c r="G113" s="3166">
        <f t="shared" si="197"/>
        <v>-30</v>
      </c>
      <c r="H113" s="3166">
        <f t="shared" si="197"/>
        <v>29</v>
      </c>
      <c r="I113" s="3166">
        <f t="shared" si="197"/>
        <v>-26</v>
      </c>
      <c r="J113" s="3166">
        <f t="shared" si="197"/>
        <v>4</v>
      </c>
      <c r="K113" s="3229">
        <f t="shared" si="189"/>
        <v>-23</v>
      </c>
      <c r="L113" s="3166">
        <f>-L53</f>
        <v>43</v>
      </c>
      <c r="M113" s="3166">
        <f>-M53</f>
        <v>39</v>
      </c>
      <c r="N113" s="3166">
        <f>-N53</f>
        <v>-39</v>
      </c>
      <c r="O113" s="3166">
        <f>-O53</f>
        <v>2</v>
      </c>
      <c r="P113" s="3229">
        <f t="shared" si="190"/>
        <v>45</v>
      </c>
      <c r="Q113" s="3166">
        <f>-Q53</f>
        <v>-14</v>
      </c>
      <c r="R113" s="3166">
        <f>-R53</f>
        <v>-32</v>
      </c>
      <c r="S113" s="3166">
        <f>-S53</f>
        <v>5</v>
      </c>
      <c r="T113" s="3166">
        <f>-T53</f>
        <v>15</v>
      </c>
      <c r="U113" s="3229">
        <f t="shared" si="191"/>
        <v>-26</v>
      </c>
      <c r="V113" s="3166">
        <f>-V53</f>
        <v>18</v>
      </c>
      <c r="W113" s="3166">
        <f>-W53</f>
        <v>-5</v>
      </c>
      <c r="X113" s="3166">
        <f>-X53</f>
        <v>8</v>
      </c>
      <c r="Y113" s="3169">
        <f>-Y53</f>
        <v>20</v>
      </c>
      <c r="Z113" s="3230">
        <f t="shared" si="192"/>
        <v>41</v>
      </c>
      <c r="AA113" s="3169">
        <f>-AA53</f>
        <v>12</v>
      </c>
      <c r="AB113" s="3166">
        <f>-AB53</f>
        <v>13</v>
      </c>
      <c r="AC113" s="3166">
        <f>-AC53</f>
        <v>8</v>
      </c>
      <c r="AD113" s="3166">
        <f>-AD53</f>
        <v>-20</v>
      </c>
      <c r="AE113" s="3229">
        <f t="shared" si="193"/>
        <v>13</v>
      </c>
      <c r="AF113" s="3166">
        <f>-AF53</f>
        <v>4</v>
      </c>
      <c r="AG113" s="3166">
        <f>-AG53</f>
        <v>-5</v>
      </c>
      <c r="AH113" s="3166">
        <f>-AH53</f>
        <v>-2</v>
      </c>
      <c r="AI113" s="3166">
        <f>-AI53</f>
        <v>0</v>
      </c>
      <c r="AJ113" s="3229">
        <f t="shared" si="194"/>
        <v>-3</v>
      </c>
      <c r="AK113" s="3166">
        <f t="shared" ref="AK113:AN113" si="198">-AK53</f>
        <v>0</v>
      </c>
      <c r="AL113" s="3166">
        <f t="shared" si="198"/>
        <v>0</v>
      </c>
      <c r="AM113" s="3166">
        <f t="shared" si="198"/>
        <v>0</v>
      </c>
      <c r="AN113" s="3166">
        <f t="shared" si="198"/>
        <v>0</v>
      </c>
      <c r="AO113" s="3230">
        <f t="shared" si="196"/>
        <v>0</v>
      </c>
      <c r="AP113" s="3229">
        <f>-AP53</f>
        <v>0</v>
      </c>
      <c r="AQ113" s="958">
        <f>-AQ53</f>
        <v>0</v>
      </c>
      <c r="AR113" s="155"/>
      <c r="AS113" s="494" t="str">
        <f t="shared" si="159"/>
        <v>Loss (gain) on foreign currency transactions</v>
      </c>
      <c r="AT113" s="155">
        <f t="shared" si="160"/>
        <v>-18</v>
      </c>
      <c r="AU113" s="155">
        <f t="shared" si="161"/>
        <v>21</v>
      </c>
      <c r="AV113" s="155">
        <f t="shared" si="162"/>
        <v>-23</v>
      </c>
      <c r="AW113" s="155">
        <f t="shared" si="163"/>
        <v>45</v>
      </c>
      <c r="AX113" s="155">
        <f t="shared" si="164"/>
        <v>-26</v>
      </c>
      <c r="AY113" s="155">
        <f t="shared" si="165"/>
        <v>41</v>
      </c>
      <c r="AZ113" s="867">
        <f t="shared" si="166"/>
        <v>13</v>
      </c>
      <c r="BA113" s="155">
        <f t="shared" si="167"/>
        <v>-3</v>
      </c>
      <c r="BB113" s="155">
        <f t="shared" si="168"/>
        <v>0</v>
      </c>
      <c r="BC113" s="155">
        <f t="shared" si="169"/>
        <v>0</v>
      </c>
      <c r="BD113" s="867">
        <f t="shared" si="170"/>
        <v>0</v>
      </c>
      <c r="BF113" s="900"/>
      <c r="BM113" s="902"/>
      <c r="BN113" s="902"/>
      <c r="BO113" s="902"/>
      <c r="BP113" s="902"/>
      <c r="BQ113" s="902"/>
      <c r="BR113" s="902"/>
      <c r="BS113" s="902"/>
    </row>
    <row r="114" spans="1:71" ht="12.75" customHeight="1">
      <c r="A114" s="3198" t="s">
        <v>774</v>
      </c>
      <c r="B114" s="3229"/>
      <c r="C114" s="3229"/>
      <c r="D114" s="3229"/>
      <c r="E114" s="3233">
        <v>-789</v>
      </c>
      <c r="F114" s="3233">
        <v>0</v>
      </c>
      <c r="G114" s="3234">
        <v>0</v>
      </c>
      <c r="H114" s="3234">
        <v>0</v>
      </c>
      <c r="I114" s="3234">
        <v>0</v>
      </c>
      <c r="J114" s="3234">
        <v>0</v>
      </c>
      <c r="K114" s="3233">
        <f t="shared" si="189"/>
        <v>0</v>
      </c>
      <c r="L114" s="3234">
        <v>0</v>
      </c>
      <c r="M114" s="3234">
        <v>0</v>
      </c>
      <c r="N114" s="3234">
        <v>0</v>
      </c>
      <c r="O114" s="3234">
        <v>0</v>
      </c>
      <c r="P114" s="3233">
        <f t="shared" si="190"/>
        <v>0</v>
      </c>
      <c r="Q114" s="3234">
        <v>0</v>
      </c>
      <c r="R114" s="3234">
        <v>0</v>
      </c>
      <c r="S114" s="3234">
        <v>0</v>
      </c>
      <c r="T114" s="3234">
        <v>0</v>
      </c>
      <c r="U114" s="3228">
        <f t="shared" si="191"/>
        <v>0</v>
      </c>
      <c r="V114" s="3234">
        <v>0</v>
      </c>
      <c r="W114" s="3234">
        <v>0</v>
      </c>
      <c r="X114" s="3234">
        <v>0</v>
      </c>
      <c r="Y114" s="3234">
        <v>0</v>
      </c>
      <c r="Z114" s="3239">
        <f t="shared" si="192"/>
        <v>0</v>
      </c>
      <c r="AA114" s="3240">
        <v>0</v>
      </c>
      <c r="AB114" s="3234">
        <v>0</v>
      </c>
      <c r="AC114" s="3234">
        <v>0</v>
      </c>
      <c r="AD114" s="3241">
        <v>0</v>
      </c>
      <c r="AE114" s="3228">
        <f t="shared" si="193"/>
        <v>0</v>
      </c>
      <c r="AF114" s="3234">
        <v>0</v>
      </c>
      <c r="AG114" s="3234">
        <v>0</v>
      </c>
      <c r="AH114" s="3234">
        <v>0</v>
      </c>
      <c r="AI114" s="3241">
        <v>0</v>
      </c>
      <c r="AJ114" s="3228">
        <f t="shared" si="194"/>
        <v>0</v>
      </c>
      <c r="AK114" s="3234">
        <v>0</v>
      </c>
      <c r="AL114" s="3234">
        <v>0</v>
      </c>
      <c r="AM114" s="3234">
        <v>0</v>
      </c>
      <c r="AN114" s="3234">
        <v>0</v>
      </c>
      <c r="AO114" s="3239">
        <f t="shared" si="196"/>
        <v>0</v>
      </c>
      <c r="AP114" s="3228">
        <v>0</v>
      </c>
      <c r="AQ114" s="958">
        <v>0</v>
      </c>
      <c r="AR114" s="155"/>
      <c r="AS114" s="494" t="str">
        <f t="shared" si="159"/>
        <v>Gain on debt restructuring</v>
      </c>
      <c r="AT114" s="155">
        <f t="shared" si="160"/>
        <v>-789</v>
      </c>
      <c r="AU114" s="155">
        <f t="shared" si="161"/>
        <v>0</v>
      </c>
      <c r="AV114" s="155">
        <f t="shared" si="162"/>
        <v>0</v>
      </c>
      <c r="AW114" s="155">
        <f t="shared" si="163"/>
        <v>0</v>
      </c>
      <c r="AX114" s="155">
        <f t="shared" si="164"/>
        <v>0</v>
      </c>
      <c r="AY114" s="155">
        <f t="shared" si="165"/>
        <v>0</v>
      </c>
      <c r="AZ114" s="867">
        <f t="shared" si="166"/>
        <v>0</v>
      </c>
      <c r="BA114" s="155">
        <f t="shared" si="167"/>
        <v>0</v>
      </c>
      <c r="BB114" s="155">
        <f t="shared" si="168"/>
        <v>0</v>
      </c>
      <c r="BC114" s="155">
        <f t="shared" si="169"/>
        <v>0</v>
      </c>
      <c r="BD114" s="867">
        <f t="shared" si="170"/>
        <v>0</v>
      </c>
      <c r="BF114" s="900"/>
      <c r="BM114" s="902"/>
      <c r="BN114" s="902"/>
      <c r="BO114" s="902"/>
      <c r="BP114" s="902"/>
      <c r="BQ114" s="902"/>
      <c r="BR114" s="902"/>
      <c r="BS114" s="902"/>
    </row>
    <row r="115" spans="1:71" ht="12.75" customHeight="1">
      <c r="A115" s="3198" t="s">
        <v>775</v>
      </c>
      <c r="B115" s="3229"/>
      <c r="C115" s="3229"/>
      <c r="D115" s="3229"/>
      <c r="E115" s="3233">
        <v>48</v>
      </c>
      <c r="F115" s="3233">
        <v>57</v>
      </c>
      <c r="G115" s="3234">
        <v>15</v>
      </c>
      <c r="H115" s="3234">
        <v>20</v>
      </c>
      <c r="I115" s="3234">
        <v>17</v>
      </c>
      <c r="J115" s="3234">
        <v>16</v>
      </c>
      <c r="K115" s="3229">
        <f t="shared" si="189"/>
        <v>68</v>
      </c>
      <c r="L115" s="3234">
        <v>7</v>
      </c>
      <c r="M115" s="3234">
        <v>10</v>
      </c>
      <c r="N115" s="3234">
        <v>12</v>
      </c>
      <c r="O115" s="3234">
        <v>17</v>
      </c>
      <c r="P115" s="3229">
        <f t="shared" si="190"/>
        <v>46</v>
      </c>
      <c r="Q115" s="3234">
        <v>11</v>
      </c>
      <c r="R115" s="3234">
        <v>12</v>
      </c>
      <c r="S115" s="3234">
        <v>9</v>
      </c>
      <c r="T115" s="3234">
        <v>14</v>
      </c>
      <c r="U115" s="3228">
        <f t="shared" si="191"/>
        <v>46</v>
      </c>
      <c r="V115" s="3234">
        <v>13</v>
      </c>
      <c r="W115" s="3234">
        <v>14</v>
      </c>
      <c r="X115" s="3234">
        <v>9</v>
      </c>
      <c r="Y115" s="3234">
        <v>12</v>
      </c>
      <c r="Z115" s="3239">
        <f t="shared" si="192"/>
        <v>48</v>
      </c>
      <c r="AA115" s="3236">
        <v>13</v>
      </c>
      <c r="AB115" s="3236">
        <v>16</v>
      </c>
      <c r="AC115" s="3236">
        <v>13</v>
      </c>
      <c r="AD115" s="3234">
        <v>14</v>
      </c>
      <c r="AE115" s="3228">
        <f t="shared" si="193"/>
        <v>56</v>
      </c>
      <c r="AF115" s="3234">
        <v>6</v>
      </c>
      <c r="AG115" s="3772">
        <v>15</v>
      </c>
      <c r="AH115" s="3772">
        <v>16</v>
      </c>
      <c r="AI115" s="3772">
        <v>18</v>
      </c>
      <c r="AJ115" s="3239">
        <f t="shared" si="194"/>
        <v>55</v>
      </c>
      <c r="AK115" s="3987">
        <v>12</v>
      </c>
      <c r="AL115" s="3987">
        <f>+AK115</f>
        <v>12</v>
      </c>
      <c r="AM115" s="3987">
        <f>+AL115</f>
        <v>12</v>
      </c>
      <c r="AN115" s="3987">
        <f>+AM115+1</f>
        <v>13</v>
      </c>
      <c r="AO115" s="3239">
        <f t="shared" si="196"/>
        <v>49</v>
      </c>
      <c r="AP115" s="3228">
        <f>AO115</f>
        <v>49</v>
      </c>
      <c r="AQ115" s="1241">
        <f>AP115</f>
        <v>49</v>
      </c>
      <c r="AR115" s="155"/>
      <c r="AS115" s="494" t="str">
        <f t="shared" si="159"/>
        <v>FF&amp;E replacement reserve</v>
      </c>
      <c r="AT115" s="155">
        <f t="shared" si="160"/>
        <v>48</v>
      </c>
      <c r="AU115" s="155">
        <f t="shared" si="161"/>
        <v>57</v>
      </c>
      <c r="AV115" s="155">
        <f t="shared" si="162"/>
        <v>68</v>
      </c>
      <c r="AW115" s="155">
        <f t="shared" si="163"/>
        <v>46</v>
      </c>
      <c r="AX115" s="155">
        <f t="shared" si="164"/>
        <v>46</v>
      </c>
      <c r="AY115" s="155">
        <f t="shared" si="165"/>
        <v>48</v>
      </c>
      <c r="AZ115" s="867">
        <f t="shared" si="166"/>
        <v>56</v>
      </c>
      <c r="BA115" s="155">
        <f t="shared" si="167"/>
        <v>55</v>
      </c>
      <c r="BB115" s="155">
        <f t="shared" si="168"/>
        <v>49</v>
      </c>
      <c r="BC115" s="155">
        <f t="shared" si="169"/>
        <v>49</v>
      </c>
      <c r="BD115" s="867">
        <f t="shared" si="170"/>
        <v>49</v>
      </c>
      <c r="BF115" s="900"/>
      <c r="BM115" s="902"/>
      <c r="BN115" s="902"/>
      <c r="BO115" s="902"/>
      <c r="BP115" s="902"/>
      <c r="BQ115" s="902"/>
      <c r="BR115" s="902"/>
      <c r="BS115" s="902"/>
    </row>
    <row r="116" spans="1:71" ht="12.75" customHeight="1">
      <c r="A116" s="3198" t="s">
        <v>776</v>
      </c>
      <c r="B116" s="3229"/>
      <c r="C116" s="3229"/>
      <c r="D116" s="3229"/>
      <c r="E116" s="3233">
        <v>56</v>
      </c>
      <c r="F116" s="3233">
        <v>19</v>
      </c>
      <c r="G116" s="3234">
        <v>15</v>
      </c>
      <c r="H116" s="3234">
        <v>2</v>
      </c>
      <c r="I116" s="3234">
        <v>3</v>
      </c>
      <c r="J116" s="3234">
        <v>30</v>
      </c>
      <c r="K116" s="3229">
        <f t="shared" si="189"/>
        <v>50</v>
      </c>
      <c r="L116" s="3234">
        <v>2</v>
      </c>
      <c r="M116" s="3234">
        <v>1</v>
      </c>
      <c r="N116" s="3234">
        <v>2</v>
      </c>
      <c r="O116" s="3234">
        <v>308</v>
      </c>
      <c r="P116" s="3229">
        <f t="shared" si="190"/>
        <v>313</v>
      </c>
      <c r="Q116" s="3234">
        <v>13</v>
      </c>
      <c r="R116" s="3234">
        <v>6</v>
      </c>
      <c r="S116" s="3234">
        <v>6</v>
      </c>
      <c r="T116" s="3234">
        <v>7</v>
      </c>
      <c r="U116" s="3228">
        <f t="shared" si="191"/>
        <v>32</v>
      </c>
      <c r="V116" s="3234">
        <v>30</v>
      </c>
      <c r="W116" s="3234">
        <v>92</v>
      </c>
      <c r="X116" s="3234">
        <v>21</v>
      </c>
      <c r="Y116" s="3234">
        <v>19</v>
      </c>
      <c r="Z116" s="3239">
        <f t="shared" si="192"/>
        <v>162</v>
      </c>
      <c r="AA116" s="3236">
        <v>18</v>
      </c>
      <c r="AB116" s="3236">
        <v>26</v>
      </c>
      <c r="AC116" s="3236">
        <v>26</v>
      </c>
      <c r="AD116" s="3241">
        <v>21</v>
      </c>
      <c r="AE116" s="3228">
        <f t="shared" si="193"/>
        <v>91</v>
      </c>
      <c r="AF116" s="3234">
        <v>25</v>
      </c>
      <c r="AG116" s="3234">
        <v>34</v>
      </c>
      <c r="AH116" s="3234">
        <v>32</v>
      </c>
      <c r="AI116" s="3234">
        <v>30</v>
      </c>
      <c r="AJ116" s="3239">
        <f t="shared" si="194"/>
        <v>121</v>
      </c>
      <c r="AK116" s="3987">
        <v>26</v>
      </c>
      <c r="AL116" s="2728">
        <f>AG116-1</f>
        <v>33</v>
      </c>
      <c r="AM116" s="2728">
        <f>AH116-1</f>
        <v>31</v>
      </c>
      <c r="AN116" s="2728">
        <f>AI116</f>
        <v>30</v>
      </c>
      <c r="AO116" s="3239">
        <f t="shared" si="196"/>
        <v>120</v>
      </c>
      <c r="AP116" s="3228">
        <f>+AO116</f>
        <v>120</v>
      </c>
      <c r="AQ116" s="3228">
        <f>+AP116</f>
        <v>120</v>
      </c>
      <c r="AR116" s="155"/>
      <c r="AS116" s="494" t="str">
        <f t="shared" si="159"/>
        <v>Share-based compensation expense</v>
      </c>
      <c r="AT116" s="155">
        <f t="shared" si="160"/>
        <v>56</v>
      </c>
      <c r="AU116" s="155">
        <f t="shared" si="161"/>
        <v>19</v>
      </c>
      <c r="AV116" s="155">
        <f t="shared" si="162"/>
        <v>50</v>
      </c>
      <c r="AW116" s="155">
        <f t="shared" si="163"/>
        <v>313</v>
      </c>
      <c r="AX116" s="155">
        <f t="shared" si="164"/>
        <v>32</v>
      </c>
      <c r="AY116" s="155">
        <f t="shared" si="165"/>
        <v>162</v>
      </c>
      <c r="AZ116" s="867">
        <f t="shared" si="166"/>
        <v>91</v>
      </c>
      <c r="BA116" s="155">
        <f t="shared" si="167"/>
        <v>121</v>
      </c>
      <c r="BB116" s="155">
        <f t="shared" si="168"/>
        <v>120</v>
      </c>
      <c r="BC116" s="155">
        <f t="shared" si="169"/>
        <v>120</v>
      </c>
      <c r="BD116" s="867">
        <f t="shared" si="170"/>
        <v>120</v>
      </c>
      <c r="BF116" s="900"/>
      <c r="BM116" s="902"/>
      <c r="BN116" s="902"/>
      <c r="BO116" s="902"/>
      <c r="BP116" s="902"/>
      <c r="BQ116" s="902"/>
      <c r="BR116" s="902"/>
      <c r="BS116" s="902"/>
    </row>
    <row r="117" spans="1:71" ht="12.75" customHeight="1">
      <c r="A117" s="3198" t="s">
        <v>1230</v>
      </c>
      <c r="B117" s="3229"/>
      <c r="C117" s="3229"/>
      <c r="D117" s="3229"/>
      <c r="E117" s="3229">
        <f t="shared" ref="E117:J117" si="199">E46</f>
        <v>24</v>
      </c>
      <c r="F117" s="3229">
        <f t="shared" si="199"/>
        <v>20</v>
      </c>
      <c r="G117" s="3166">
        <f t="shared" si="199"/>
        <v>1</v>
      </c>
      <c r="H117" s="3166">
        <f t="shared" si="199"/>
        <v>15</v>
      </c>
      <c r="I117" s="3166">
        <f t="shared" si="199"/>
        <v>17</v>
      </c>
      <c r="J117" s="3166">
        <f t="shared" si="199"/>
        <v>21</v>
      </c>
      <c r="K117" s="3229">
        <f t="shared" si="189"/>
        <v>54</v>
      </c>
      <c r="L117" s="3166">
        <f>L46</f>
        <v>0</v>
      </c>
      <c r="M117" s="3166">
        <f>M46</f>
        <v>0</v>
      </c>
      <c r="N117" s="3166">
        <f>N46</f>
        <v>0</v>
      </c>
      <c r="O117" s="3166">
        <f>O46</f>
        <v>0</v>
      </c>
      <c r="P117" s="3229">
        <f t="shared" si="190"/>
        <v>0</v>
      </c>
      <c r="Q117" s="3166">
        <f>Q46</f>
        <v>0</v>
      </c>
      <c r="R117" s="3166">
        <v>0</v>
      </c>
      <c r="S117" s="3166">
        <f>S46</f>
        <v>0</v>
      </c>
      <c r="T117" s="3166">
        <f>T46</f>
        <v>0</v>
      </c>
      <c r="U117" s="3228">
        <f t="shared" si="191"/>
        <v>0</v>
      </c>
      <c r="V117" s="3166">
        <f>V46</f>
        <v>-145</v>
      </c>
      <c r="W117" s="3166">
        <f>W46</f>
        <v>3</v>
      </c>
      <c r="X117" s="3166">
        <f>X46</f>
        <v>-164</v>
      </c>
      <c r="Y117" s="3169">
        <f>Y46</f>
        <v>9</v>
      </c>
      <c r="Z117" s="3239">
        <f t="shared" si="192"/>
        <v>-297</v>
      </c>
      <c r="AA117" s="3231">
        <f>AA46</f>
        <v>15</v>
      </c>
      <c r="AB117" s="3234">
        <v>0</v>
      </c>
      <c r="AC117" s="3234">
        <v>0</v>
      </c>
      <c r="AD117" s="3585">
        <f>AD46</f>
        <v>-7</v>
      </c>
      <c r="AE117" s="3228">
        <f t="shared" si="193"/>
        <v>8</v>
      </c>
      <c r="AF117" s="3166">
        <v>0</v>
      </c>
      <c r="AG117" s="3166">
        <f>AG46</f>
        <v>0</v>
      </c>
      <c r="AH117" s="3166">
        <f>AH46</f>
        <v>0</v>
      </c>
      <c r="AI117" s="3166">
        <f>AI46</f>
        <v>0</v>
      </c>
      <c r="AJ117" s="3228">
        <f t="shared" si="194"/>
        <v>0</v>
      </c>
      <c r="AK117" s="3166">
        <f t="shared" ref="AK117:AN117" si="200">AK46</f>
        <v>0</v>
      </c>
      <c r="AL117" s="3166">
        <f t="shared" si="200"/>
        <v>0</v>
      </c>
      <c r="AM117" s="3166">
        <f t="shared" si="200"/>
        <v>0</v>
      </c>
      <c r="AN117" s="3166">
        <f t="shared" si="200"/>
        <v>0</v>
      </c>
      <c r="AO117" s="3239">
        <f t="shared" si="196"/>
        <v>0</v>
      </c>
      <c r="AP117" s="3228">
        <f>AP46</f>
        <v>0</v>
      </c>
      <c r="AQ117" s="154">
        <f>AQ46</f>
        <v>0</v>
      </c>
      <c r="AR117" s="155"/>
      <c r="AS117" s="494" t="str">
        <f t="shared" si="159"/>
        <v>Impairment losses</v>
      </c>
      <c r="AT117" s="155">
        <f t="shared" si="160"/>
        <v>24</v>
      </c>
      <c r="AU117" s="155">
        <f t="shared" si="161"/>
        <v>20</v>
      </c>
      <c r="AV117" s="155">
        <f t="shared" si="162"/>
        <v>54</v>
      </c>
      <c r="AW117" s="155">
        <f t="shared" si="163"/>
        <v>0</v>
      </c>
      <c r="AX117" s="155">
        <f t="shared" si="164"/>
        <v>0</v>
      </c>
      <c r="AY117" s="155">
        <f t="shared" si="165"/>
        <v>-297</v>
      </c>
      <c r="AZ117" s="867">
        <f t="shared" si="166"/>
        <v>8</v>
      </c>
      <c r="BA117" s="155">
        <f t="shared" si="167"/>
        <v>0</v>
      </c>
      <c r="BB117" s="155">
        <f t="shared" si="168"/>
        <v>0</v>
      </c>
      <c r="BC117" s="155">
        <f t="shared" si="169"/>
        <v>0</v>
      </c>
      <c r="BD117" s="867">
        <f t="shared" si="170"/>
        <v>0</v>
      </c>
      <c r="BF117" s="900"/>
      <c r="BM117" s="902"/>
      <c r="BN117" s="902"/>
      <c r="BO117" s="902"/>
      <c r="BP117" s="902"/>
      <c r="BQ117" s="902"/>
      <c r="BR117" s="902"/>
      <c r="BS117" s="902"/>
    </row>
    <row r="118" spans="1:71" ht="12.75" customHeight="1">
      <c r="A118" s="3198" t="s">
        <v>777</v>
      </c>
      <c r="B118" s="3229"/>
      <c r="C118" s="3229"/>
      <c r="D118" s="3229"/>
      <c r="E118" s="3233">
        <v>6</v>
      </c>
      <c r="F118" s="3233">
        <v>141</v>
      </c>
      <c r="G118" s="3234">
        <v>0</v>
      </c>
      <c r="H118" s="3234">
        <v>4</v>
      </c>
      <c r="I118" s="3234">
        <v>0</v>
      </c>
      <c r="J118" s="3234">
        <v>15</v>
      </c>
      <c r="K118" s="3229">
        <f t="shared" si="189"/>
        <v>19</v>
      </c>
      <c r="L118" s="3234">
        <v>0</v>
      </c>
      <c r="M118" s="3234">
        <v>0</v>
      </c>
      <c r="N118" s="3234">
        <v>0</v>
      </c>
      <c r="O118" s="3234">
        <v>0</v>
      </c>
      <c r="P118" s="3229">
        <f t="shared" si="190"/>
        <v>0</v>
      </c>
      <c r="Q118" s="3234">
        <v>0</v>
      </c>
      <c r="R118" s="3234">
        <v>0</v>
      </c>
      <c r="S118" s="3234">
        <v>0</v>
      </c>
      <c r="T118" s="3234">
        <v>0</v>
      </c>
      <c r="U118" s="3228">
        <f t="shared" si="191"/>
        <v>0</v>
      </c>
      <c r="V118" s="3234">
        <v>0</v>
      </c>
      <c r="W118" s="3234">
        <v>0</v>
      </c>
      <c r="X118" s="3234">
        <v>0</v>
      </c>
      <c r="Y118" s="3234">
        <v>0</v>
      </c>
      <c r="Z118" s="3239">
        <f t="shared" si="192"/>
        <v>0</v>
      </c>
      <c r="AA118" s="3240">
        <v>0</v>
      </c>
      <c r="AB118" s="3234">
        <v>0</v>
      </c>
      <c r="AC118" s="3234">
        <v>0</v>
      </c>
      <c r="AD118" s="3241">
        <v>0</v>
      </c>
      <c r="AE118" s="3228">
        <f t="shared" si="193"/>
        <v>0</v>
      </c>
      <c r="AF118" s="3234">
        <v>0</v>
      </c>
      <c r="AG118" s="3234">
        <v>0</v>
      </c>
      <c r="AH118" s="3234">
        <v>0</v>
      </c>
      <c r="AI118" s="3234">
        <v>0</v>
      </c>
      <c r="AJ118" s="3228">
        <f t="shared" si="194"/>
        <v>0</v>
      </c>
      <c r="AK118" s="3234">
        <v>0</v>
      </c>
      <c r="AL118" s="3234">
        <v>0</v>
      </c>
      <c r="AM118" s="3234">
        <v>0</v>
      </c>
      <c r="AN118" s="3234">
        <v>0</v>
      </c>
      <c r="AO118" s="3239">
        <f t="shared" si="196"/>
        <v>0</v>
      </c>
      <c r="AP118" s="3228">
        <v>0</v>
      </c>
      <c r="AQ118" s="958">
        <v>0</v>
      </c>
      <c r="AR118" s="4119"/>
      <c r="AS118" s="494" t="str">
        <f t="shared" si="159"/>
        <v>Impairment loss included in equity in earnings (losses) from unconsolidated affiliates</v>
      </c>
      <c r="AT118" s="155">
        <f t="shared" si="160"/>
        <v>6</v>
      </c>
      <c r="AU118" s="155">
        <f t="shared" si="161"/>
        <v>141</v>
      </c>
      <c r="AV118" s="155">
        <f t="shared" si="162"/>
        <v>19</v>
      </c>
      <c r="AW118" s="155">
        <f t="shared" si="163"/>
        <v>0</v>
      </c>
      <c r="AX118" s="155">
        <f t="shared" si="164"/>
        <v>0</v>
      </c>
      <c r="AY118" s="155">
        <f t="shared" si="165"/>
        <v>0</v>
      </c>
      <c r="AZ118" s="867">
        <f t="shared" si="166"/>
        <v>0</v>
      </c>
      <c r="BA118" s="155">
        <f t="shared" si="167"/>
        <v>0</v>
      </c>
      <c r="BB118" s="155">
        <f t="shared" si="168"/>
        <v>0</v>
      </c>
      <c r="BC118" s="155">
        <f t="shared" si="169"/>
        <v>0</v>
      </c>
      <c r="BD118" s="867">
        <f t="shared" si="170"/>
        <v>0</v>
      </c>
      <c r="BF118" s="900"/>
      <c r="BM118" s="902"/>
      <c r="BN118" s="902"/>
      <c r="BO118" s="902"/>
      <c r="BP118" s="902"/>
      <c r="BQ118" s="902"/>
      <c r="BR118" s="902"/>
      <c r="BS118" s="902"/>
    </row>
    <row r="119" spans="1:71" ht="12.75" customHeight="1">
      <c r="A119" s="3198" t="s">
        <v>778</v>
      </c>
      <c r="B119" s="3229"/>
      <c r="C119" s="3229"/>
      <c r="D119" s="3229"/>
      <c r="E119" s="3233">
        <v>-8</v>
      </c>
      <c r="F119" s="3233">
        <v>-19</v>
      </c>
      <c r="G119" s="3166">
        <f>-G54</f>
        <v>-3</v>
      </c>
      <c r="H119" s="3166">
        <f>-H54</f>
        <v>-6</v>
      </c>
      <c r="I119" s="3166">
        <f>-I54</f>
        <v>1</v>
      </c>
      <c r="J119" s="3166">
        <f>-J54</f>
        <v>-7</v>
      </c>
      <c r="K119" s="3229">
        <f t="shared" si="189"/>
        <v>-15</v>
      </c>
      <c r="L119" s="3166">
        <f>-L54</f>
        <v>-7</v>
      </c>
      <c r="M119" s="3166">
        <f>-M54</f>
        <v>1</v>
      </c>
      <c r="N119" s="3166">
        <f>-N54</f>
        <v>1</v>
      </c>
      <c r="O119" s="3166">
        <f>-229-2</f>
        <v>-231</v>
      </c>
      <c r="P119" s="3229">
        <f t="shared" si="190"/>
        <v>-236</v>
      </c>
      <c r="Q119" s="3166">
        <f>-Q54</f>
        <v>-3</v>
      </c>
      <c r="R119" s="3166">
        <f>-R54</f>
        <v>-11</v>
      </c>
      <c r="S119" s="3166">
        <f>-S54</f>
        <v>-24</v>
      </c>
      <c r="T119" s="3166">
        <f>-T54</f>
        <v>1</v>
      </c>
      <c r="U119" s="3228">
        <f t="shared" si="191"/>
        <v>-37</v>
      </c>
      <c r="V119" s="3166">
        <f>-V54</f>
        <v>25</v>
      </c>
      <c r="W119" s="3166">
        <f>-W54</f>
        <v>-18</v>
      </c>
      <c r="X119" s="3166">
        <f>-X54</f>
        <v>-1</v>
      </c>
      <c r="Y119" s="3169">
        <f>-Y54</f>
        <v>-5</v>
      </c>
      <c r="Z119" s="3239">
        <f t="shared" si="192"/>
        <v>1</v>
      </c>
      <c r="AA119" s="3231">
        <f>-AA54</f>
        <v>0</v>
      </c>
      <c r="AB119" s="3166">
        <f>-AB54</f>
        <v>3</v>
      </c>
      <c r="AC119" s="3236">
        <v>10</v>
      </c>
      <c r="AD119" s="3234">
        <v>11</v>
      </c>
      <c r="AE119" s="3228">
        <f t="shared" si="193"/>
        <v>24</v>
      </c>
      <c r="AF119" s="3234">
        <v>60</v>
      </c>
      <c r="AG119" s="3234">
        <v>0</v>
      </c>
      <c r="AH119" s="3234">
        <v>0</v>
      </c>
      <c r="AI119" s="3234">
        <v>0</v>
      </c>
      <c r="AJ119" s="3228">
        <f t="shared" si="194"/>
        <v>60</v>
      </c>
      <c r="AK119" s="3166">
        <f t="shared" ref="AK119:AN119" si="201">-AK54</f>
        <v>0</v>
      </c>
      <c r="AL119" s="3166">
        <f t="shared" si="201"/>
        <v>0</v>
      </c>
      <c r="AM119" s="3166">
        <f t="shared" si="201"/>
        <v>0</v>
      </c>
      <c r="AN119" s="3166">
        <f t="shared" si="201"/>
        <v>0</v>
      </c>
      <c r="AO119" s="3239">
        <f t="shared" si="196"/>
        <v>0</v>
      </c>
      <c r="AP119" s="3228">
        <f>-AP54</f>
        <v>0</v>
      </c>
      <c r="AQ119" s="248">
        <f>-AQ54</f>
        <v>0</v>
      </c>
      <c r="AR119" s="264"/>
      <c r="AS119" s="494" t="str">
        <f t="shared" si="159"/>
        <v>Other gain, net</v>
      </c>
      <c r="AT119" s="155">
        <f t="shared" si="160"/>
        <v>-8</v>
      </c>
      <c r="AU119" s="155">
        <f t="shared" si="161"/>
        <v>-19</v>
      </c>
      <c r="AV119" s="155">
        <f t="shared" si="162"/>
        <v>-15</v>
      </c>
      <c r="AW119" s="155">
        <f t="shared" si="163"/>
        <v>-236</v>
      </c>
      <c r="AX119" s="155">
        <f t="shared" si="164"/>
        <v>-37</v>
      </c>
      <c r="AY119" s="155">
        <f t="shared" si="165"/>
        <v>1</v>
      </c>
      <c r="AZ119" s="867">
        <f t="shared" si="166"/>
        <v>24</v>
      </c>
      <c r="BA119" s="155">
        <f t="shared" si="167"/>
        <v>60</v>
      </c>
      <c r="BB119" s="155">
        <f t="shared" si="168"/>
        <v>0</v>
      </c>
      <c r="BC119" s="155">
        <f t="shared" si="169"/>
        <v>0</v>
      </c>
      <c r="BD119" s="867">
        <f t="shared" si="170"/>
        <v>0</v>
      </c>
      <c r="BF119" s="900"/>
      <c r="BM119" s="902"/>
      <c r="BN119" s="902"/>
      <c r="BO119" s="902"/>
      <c r="BP119" s="902"/>
      <c r="BQ119" s="902"/>
      <c r="BR119" s="902"/>
      <c r="BS119" s="902"/>
    </row>
    <row r="120" spans="1:71" ht="12.75" customHeight="1">
      <c r="A120" s="3198" t="s">
        <v>395</v>
      </c>
      <c r="B120" s="3229"/>
      <c r="C120" s="3229"/>
      <c r="D120" s="3229"/>
      <c r="E120" s="3242">
        <v>242</v>
      </c>
      <c r="F120" s="3242">
        <v>51</v>
      </c>
      <c r="G120" s="3234">
        <v>12</v>
      </c>
      <c r="H120" s="3234">
        <v>20</v>
      </c>
      <c r="I120" s="3234">
        <v>14</v>
      </c>
      <c r="J120" s="3234">
        <v>18</v>
      </c>
      <c r="K120" s="3229">
        <f t="shared" si="189"/>
        <v>64</v>
      </c>
      <c r="L120" s="3234">
        <v>11</v>
      </c>
      <c r="M120" s="3234">
        <v>9</v>
      </c>
      <c r="N120" s="3234">
        <v>36</v>
      </c>
      <c r="O120" s="3234">
        <v>20</v>
      </c>
      <c r="P120" s="3229">
        <f t="shared" si="190"/>
        <v>76</v>
      </c>
      <c r="Q120" s="3234">
        <v>13</v>
      </c>
      <c r="R120" s="3234">
        <v>17</v>
      </c>
      <c r="S120" s="3234">
        <v>11</v>
      </c>
      <c r="T120" s="3234">
        <v>22</v>
      </c>
      <c r="U120" s="3228">
        <f>SUM(Q120:T120)</f>
        <v>63</v>
      </c>
      <c r="V120" s="3234">
        <v>19</v>
      </c>
      <c r="W120" s="3234">
        <v>50</v>
      </c>
      <c r="X120" s="3234">
        <v>40</v>
      </c>
      <c r="Y120" s="3234">
        <v>20</v>
      </c>
      <c r="Z120" s="3239">
        <f>SUM(V120:Y120)</f>
        <v>129</v>
      </c>
      <c r="AA120" s="3235">
        <v>15</v>
      </c>
      <c r="AB120" s="3236">
        <v>23</v>
      </c>
      <c r="AC120" s="3236">
        <v>46</v>
      </c>
      <c r="AD120" s="3241">
        <f>17+124</f>
        <v>141</v>
      </c>
      <c r="AE120" s="3228">
        <f t="shared" si="193"/>
        <v>225</v>
      </c>
      <c r="AF120" s="3234">
        <v>26</v>
      </c>
      <c r="AG120" s="3234">
        <v>13</v>
      </c>
      <c r="AH120" s="3234">
        <v>6</v>
      </c>
      <c r="AI120" s="3234">
        <v>2</v>
      </c>
      <c r="AJ120" s="2595">
        <f t="shared" si="194"/>
        <v>47</v>
      </c>
      <c r="AK120" s="3987">
        <v>11</v>
      </c>
      <c r="AL120" s="3987">
        <v>13</v>
      </c>
      <c r="AM120" s="3987">
        <v>13</v>
      </c>
      <c r="AN120" s="3987">
        <v>13</v>
      </c>
      <c r="AO120" s="4135">
        <f t="shared" si="196"/>
        <v>50</v>
      </c>
      <c r="AP120" s="2650">
        <f>+AO120</f>
        <v>50</v>
      </c>
      <c r="AQ120" s="2650">
        <f>+AP120</f>
        <v>50</v>
      </c>
      <c r="AR120" s="265"/>
      <c r="AS120" s="494" t="str">
        <f t="shared" si="159"/>
        <v>Other</v>
      </c>
      <c r="AT120" s="155">
        <f t="shared" si="160"/>
        <v>242</v>
      </c>
      <c r="AU120" s="155">
        <f t="shared" si="161"/>
        <v>51</v>
      </c>
      <c r="AV120" s="155">
        <f t="shared" si="162"/>
        <v>64</v>
      </c>
      <c r="AW120" s="155">
        <f t="shared" si="163"/>
        <v>76</v>
      </c>
      <c r="AX120" s="155">
        <f t="shared" si="164"/>
        <v>63</v>
      </c>
      <c r="AY120" s="155">
        <f t="shared" si="165"/>
        <v>129</v>
      </c>
      <c r="AZ120" s="867">
        <f t="shared" si="166"/>
        <v>225</v>
      </c>
      <c r="BA120" s="155">
        <f t="shared" si="167"/>
        <v>47</v>
      </c>
      <c r="BB120" s="155">
        <f t="shared" si="168"/>
        <v>50</v>
      </c>
      <c r="BC120" s="155">
        <f t="shared" si="169"/>
        <v>50</v>
      </c>
      <c r="BD120" s="867">
        <f t="shared" si="170"/>
        <v>50</v>
      </c>
      <c r="BF120" s="900"/>
      <c r="BM120" s="902"/>
      <c r="BN120" s="902"/>
      <c r="BO120" s="902"/>
      <c r="BP120" s="902"/>
      <c r="BQ120" s="902"/>
      <c r="BR120" s="902"/>
      <c r="BS120" s="902"/>
    </row>
    <row r="121" spans="1:71" s="11" customFormat="1" ht="12.75" customHeight="1">
      <c r="A121" s="1466" t="s">
        <v>2091</v>
      </c>
      <c r="B121" s="1478"/>
      <c r="C121" s="1478"/>
      <c r="D121" s="1933"/>
      <c r="E121" s="1478">
        <f t="shared" ref="E121:K121" si="202">SUM(E111:E120)</f>
        <v>1564</v>
      </c>
      <c r="F121" s="1478">
        <f t="shared" si="202"/>
        <v>1753</v>
      </c>
      <c r="G121" s="1479">
        <f t="shared" si="202"/>
        <v>384</v>
      </c>
      <c r="H121" s="1479">
        <f t="shared" si="202"/>
        <v>503</v>
      </c>
      <c r="I121" s="1479">
        <f t="shared" si="202"/>
        <v>547</v>
      </c>
      <c r="J121" s="1479">
        <f t="shared" si="202"/>
        <v>522</v>
      </c>
      <c r="K121" s="1478">
        <f t="shared" si="202"/>
        <v>1956</v>
      </c>
      <c r="L121" s="1479">
        <f t="shared" ref="L121:U121" si="203">SUM(L111:L120)</f>
        <v>447</v>
      </c>
      <c r="M121" s="1479">
        <f t="shared" si="203"/>
        <v>590</v>
      </c>
      <c r="N121" s="1479">
        <f t="shared" si="203"/>
        <v>570</v>
      </c>
      <c r="O121" s="1479">
        <f t="shared" si="203"/>
        <v>603</v>
      </c>
      <c r="P121" s="1478">
        <f t="shared" si="203"/>
        <v>2210</v>
      </c>
      <c r="Q121" s="1479">
        <f t="shared" si="203"/>
        <v>544</v>
      </c>
      <c r="R121" s="1479">
        <f t="shared" si="203"/>
        <v>651</v>
      </c>
      <c r="S121" s="1479">
        <f t="shared" si="203"/>
        <v>645</v>
      </c>
      <c r="T121" s="1479">
        <f t="shared" si="203"/>
        <v>668</v>
      </c>
      <c r="U121" s="1478">
        <f t="shared" si="203"/>
        <v>2508</v>
      </c>
      <c r="V121" s="1479">
        <f t="shared" ref="V121:AE121" si="204">SUM(V111:V120)</f>
        <v>599</v>
      </c>
      <c r="W121" s="1479">
        <f t="shared" si="204"/>
        <v>777</v>
      </c>
      <c r="X121" s="1479">
        <f t="shared" si="204"/>
        <v>758</v>
      </c>
      <c r="Y121" s="1479">
        <f t="shared" si="204"/>
        <v>745</v>
      </c>
      <c r="Z121" s="1478">
        <f t="shared" si="204"/>
        <v>2879</v>
      </c>
      <c r="AA121" s="1933">
        <f t="shared" si="204"/>
        <v>653</v>
      </c>
      <c r="AB121" s="1479">
        <f t="shared" si="204"/>
        <v>806</v>
      </c>
      <c r="AC121" s="1479">
        <f t="shared" si="204"/>
        <v>765</v>
      </c>
      <c r="AD121" s="1595">
        <f t="shared" si="204"/>
        <v>751</v>
      </c>
      <c r="AE121" s="1478">
        <f t="shared" si="204"/>
        <v>2975</v>
      </c>
      <c r="AF121" s="1479">
        <f t="shared" ref="AF121:AQ121" si="205">SUM(AF111:AF120)</f>
        <v>424</v>
      </c>
      <c r="AG121" s="1479">
        <f t="shared" si="205"/>
        <v>519</v>
      </c>
      <c r="AH121" s="1479">
        <f t="shared" si="205"/>
        <v>524</v>
      </c>
      <c r="AI121" s="1595">
        <f t="shared" ca="1" si="205"/>
        <v>498</v>
      </c>
      <c r="AJ121" s="1478">
        <f t="shared" ca="1" si="205"/>
        <v>1965</v>
      </c>
      <c r="AK121" s="1479">
        <f t="shared" ca="1" si="205"/>
        <v>424.40718576638011</v>
      </c>
      <c r="AL121" s="1479">
        <f t="shared" ca="1" si="205"/>
        <v>562.41750770047463</v>
      </c>
      <c r="AM121" s="1479">
        <f t="shared" ca="1" si="205"/>
        <v>565.0399254376681</v>
      </c>
      <c r="AN121" s="1595">
        <f t="shared" ca="1" si="205"/>
        <v>516.79550141766924</v>
      </c>
      <c r="AO121" s="1478">
        <f t="shared" ref="AO121" ca="1" si="206">SUM(AO111:AO120)</f>
        <v>2068.6601203221921</v>
      </c>
      <c r="AP121" s="1478">
        <f t="shared" ca="1" si="205"/>
        <v>2225.2912648602464</v>
      </c>
      <c r="AQ121" s="1478">
        <f t="shared" ca="1" si="205"/>
        <v>2265.167276048126</v>
      </c>
      <c r="AR121" s="827"/>
      <c r="AS121" s="1466" t="str">
        <f t="shared" si="159"/>
        <v>Company Adjusted EBITDA</v>
      </c>
      <c r="AT121" s="1479">
        <f t="shared" si="160"/>
        <v>1564</v>
      </c>
      <c r="AU121" s="1479">
        <f t="shared" si="161"/>
        <v>1753</v>
      </c>
      <c r="AV121" s="1479">
        <f t="shared" si="162"/>
        <v>1956</v>
      </c>
      <c r="AW121" s="1479">
        <f t="shared" si="163"/>
        <v>2210</v>
      </c>
      <c r="AX121" s="1479">
        <f t="shared" si="164"/>
        <v>2508</v>
      </c>
      <c r="AY121" s="1479">
        <f t="shared" si="165"/>
        <v>2879</v>
      </c>
      <c r="AZ121" s="1595">
        <f t="shared" si="166"/>
        <v>2975</v>
      </c>
      <c r="BA121" s="1479">
        <f t="shared" ca="1" si="167"/>
        <v>1965</v>
      </c>
      <c r="BB121" s="1479">
        <f t="shared" ca="1" si="168"/>
        <v>2068.6601203221921</v>
      </c>
      <c r="BC121" s="1479">
        <f t="shared" ca="1" si="169"/>
        <v>2225.2912648602464</v>
      </c>
      <c r="BD121" s="1595">
        <f t="shared" ca="1" si="170"/>
        <v>2265.167276048126</v>
      </c>
      <c r="BE121" s="7"/>
      <c r="BF121" s="7"/>
      <c r="BG121"/>
      <c r="BH121"/>
      <c r="BI121"/>
      <c r="BJ121"/>
      <c r="BK121"/>
      <c r="BL121"/>
      <c r="BM121" s="909"/>
      <c r="BN121" s="909"/>
      <c r="BO121" s="909"/>
      <c r="BP121" s="902"/>
      <c r="BQ121" s="902"/>
      <c r="BR121" s="909"/>
      <c r="BS121" s="909"/>
    </row>
    <row r="122" spans="1:71" s="4062" customFormat="1" ht="12.75" customHeight="1">
      <c r="A122" s="4066" t="s">
        <v>3202</v>
      </c>
      <c r="B122" s="4058"/>
      <c r="C122" s="4059"/>
      <c r="D122" s="4060"/>
      <c r="E122" s="4059"/>
      <c r="F122" s="4059"/>
      <c r="G122" s="4061"/>
      <c r="H122" s="4061"/>
      <c r="I122" s="4061"/>
      <c r="J122" s="4061"/>
      <c r="K122" s="4059"/>
      <c r="L122" s="4061"/>
      <c r="M122" s="4061"/>
      <c r="N122" s="4061"/>
      <c r="O122" s="4061"/>
      <c r="P122" s="4059"/>
      <c r="Q122" s="4061"/>
      <c r="R122" s="4061"/>
      <c r="S122" s="4061"/>
      <c r="T122" s="4061"/>
      <c r="U122" s="4059"/>
      <c r="V122" s="4061"/>
      <c r="W122" s="4061"/>
      <c r="X122" s="4061"/>
      <c r="Y122" s="4061"/>
      <c r="Z122" s="4059"/>
      <c r="AA122" s="4060"/>
      <c r="AB122" s="4061"/>
      <c r="AC122" s="4061"/>
      <c r="AD122" s="4058"/>
      <c r="AE122" s="4059"/>
      <c r="AF122" s="3169">
        <f>+AF412</f>
        <v>-11</v>
      </c>
      <c r="AG122" s="3169">
        <f t="shared" ref="AG122:AI122" si="207">+AG412</f>
        <v>-16</v>
      </c>
      <c r="AH122" s="3169">
        <f t="shared" si="207"/>
        <v>-14</v>
      </c>
      <c r="AI122" s="3169">
        <f t="shared" si="207"/>
        <v>-15</v>
      </c>
      <c r="AJ122" s="3239">
        <f>SUM(AF122:AI122)</f>
        <v>-56</v>
      </c>
      <c r="AK122" s="4061"/>
      <c r="AL122" s="4061"/>
      <c r="AM122" s="4061"/>
      <c r="AN122" s="4058"/>
      <c r="AO122" s="4059"/>
      <c r="AP122" s="4059"/>
      <c r="AQ122" s="4059"/>
      <c r="AR122" s="827"/>
      <c r="AS122" s="4057" t="str">
        <f t="shared" si="159"/>
        <v>Deferral of application, initiation and other fees</v>
      </c>
      <c r="AT122" s="4061"/>
      <c r="AU122" s="4061"/>
      <c r="AV122" s="4061"/>
      <c r="AW122" s="4061"/>
      <c r="AX122" s="4061"/>
      <c r="AY122" s="4061"/>
      <c r="AZ122" s="4058"/>
      <c r="BA122" s="4061"/>
      <c r="BB122" s="4061"/>
      <c r="BC122" s="4061"/>
      <c r="BD122" s="4058"/>
      <c r="BE122" s="698"/>
      <c r="BF122" s="698"/>
      <c r="BG122"/>
      <c r="BH122"/>
      <c r="BI122"/>
      <c r="BJ122"/>
      <c r="BK122"/>
      <c r="BL122"/>
      <c r="BM122" s="909"/>
      <c r="BN122" s="909"/>
      <c r="BO122" s="909"/>
      <c r="BP122" s="902"/>
      <c r="BQ122" s="902"/>
      <c r="BR122" s="909"/>
      <c r="BS122" s="909"/>
    </row>
    <row r="123" spans="1:71" s="4065" customFormat="1" ht="12.75" customHeight="1">
      <c r="A123" s="4067" t="s">
        <v>3203</v>
      </c>
      <c r="B123" s="1579"/>
      <c r="C123" s="1577"/>
      <c r="D123" s="4063"/>
      <c r="E123" s="1577"/>
      <c r="F123" s="1577"/>
      <c r="G123" s="1578"/>
      <c r="H123" s="1578"/>
      <c r="I123" s="1578"/>
      <c r="J123" s="1578"/>
      <c r="K123" s="1577"/>
      <c r="L123" s="1578"/>
      <c r="M123" s="1578"/>
      <c r="N123" s="1578"/>
      <c r="O123" s="1578"/>
      <c r="P123" s="1577"/>
      <c r="Q123" s="1578"/>
      <c r="R123" s="1578"/>
      <c r="S123" s="1578"/>
      <c r="T123" s="1578"/>
      <c r="U123" s="1577"/>
      <c r="V123" s="1578"/>
      <c r="W123" s="1578"/>
      <c r="X123" s="1578"/>
      <c r="Y123" s="1578"/>
      <c r="Z123" s="1577"/>
      <c r="AA123" s="4063"/>
      <c r="AB123" s="1578"/>
      <c r="AC123" s="1578"/>
      <c r="AD123" s="1579"/>
      <c r="AE123" s="1577"/>
      <c r="AF123" s="3169">
        <f>+AF376</f>
        <v>-3</v>
      </c>
      <c r="AG123" s="4127">
        <f>+AG376</f>
        <v>1</v>
      </c>
      <c r="AH123" s="4127">
        <f>+AH376</f>
        <v>1</v>
      </c>
      <c r="AI123" s="4127">
        <f>+AI376</f>
        <v>1</v>
      </c>
      <c r="AJ123" s="3239">
        <f>SUM(AF123:AI123)</f>
        <v>0</v>
      </c>
      <c r="AK123" s="1578"/>
      <c r="AL123" s="1578"/>
      <c r="AM123" s="1578"/>
      <c r="AN123" s="1579"/>
      <c r="AO123" s="1577"/>
      <c r="AP123" s="1577"/>
      <c r="AQ123" s="1577"/>
      <c r="AR123" s="827"/>
      <c r="AS123" s="1576" t="str">
        <f t="shared" si="159"/>
        <v>Constrained revenue</v>
      </c>
      <c r="AT123" s="1578"/>
      <c r="AU123" s="1578"/>
      <c r="AV123" s="1578"/>
      <c r="AW123" s="1578"/>
      <c r="AX123" s="1578"/>
      <c r="AY123" s="1578"/>
      <c r="AZ123" s="1579"/>
      <c r="BA123" s="1578"/>
      <c r="BB123" s="1578"/>
      <c r="BC123" s="1578"/>
      <c r="BD123" s="1579"/>
      <c r="BE123" s="417"/>
      <c r="BF123" s="417"/>
      <c r="BG123"/>
      <c r="BH123"/>
      <c r="BI123"/>
      <c r="BJ123"/>
      <c r="BK123"/>
      <c r="BL123"/>
      <c r="BM123" s="4064"/>
      <c r="BN123" s="4064"/>
      <c r="BO123" s="4064"/>
      <c r="BP123" s="949"/>
      <c r="BQ123" s="949"/>
      <c r="BR123" s="4064"/>
      <c r="BS123" s="4064"/>
    </row>
    <row r="124" spans="1:71" s="4062" customFormat="1" ht="12.75" customHeight="1">
      <c r="A124" s="1466" t="s">
        <v>3204</v>
      </c>
      <c r="B124" s="1478"/>
      <c r="C124" s="1478"/>
      <c r="D124" s="1933"/>
      <c r="E124" s="1478"/>
      <c r="F124" s="1478"/>
      <c r="G124" s="1479"/>
      <c r="H124" s="1479"/>
      <c r="I124" s="1479"/>
      <c r="J124" s="1479"/>
      <c r="K124" s="1478"/>
      <c r="L124" s="1479"/>
      <c r="M124" s="1479"/>
      <c r="N124" s="1479"/>
      <c r="O124" s="1479"/>
      <c r="P124" s="1478"/>
      <c r="Q124" s="1479"/>
      <c r="R124" s="1479"/>
      <c r="S124" s="1479"/>
      <c r="T124" s="1479"/>
      <c r="U124" s="1478"/>
      <c r="V124" s="1479"/>
      <c r="W124" s="1479"/>
      <c r="X124" s="1479"/>
      <c r="Y124" s="1479"/>
      <c r="Z124" s="1478"/>
      <c r="AA124" s="1933"/>
      <c r="AB124" s="1479"/>
      <c r="AC124" s="1479"/>
      <c r="AD124" s="1595"/>
      <c r="AE124" s="1478"/>
      <c r="AF124" s="4128">
        <f>+AF121+AF122+AF123</f>
        <v>410</v>
      </c>
      <c r="AG124" s="4128">
        <f>+AG121+AG122+AG123</f>
        <v>504</v>
      </c>
      <c r="AH124" s="4128">
        <f>+AH121+AH122+AH123</f>
        <v>511</v>
      </c>
      <c r="AI124" s="1595">
        <f ca="1">+AI121+AI122+AI123</f>
        <v>484</v>
      </c>
      <c r="AJ124" s="1478">
        <f ca="1">+AJ121+AJ122+AJ123</f>
        <v>1909</v>
      </c>
      <c r="AK124" s="1479">
        <f ca="1">+AK121</f>
        <v>424.40718576638011</v>
      </c>
      <c r="AL124" s="1479">
        <f t="shared" ref="AL124:AQ124" ca="1" si="208">+AL121</f>
        <v>562.41750770047463</v>
      </c>
      <c r="AM124" s="1479">
        <f t="shared" ca="1" si="208"/>
        <v>565.0399254376681</v>
      </c>
      <c r="AN124" s="1595">
        <f t="shared" ca="1" si="208"/>
        <v>516.79550141766924</v>
      </c>
      <c r="AO124" s="1478">
        <f t="shared" ca="1" si="208"/>
        <v>2068.6601203221921</v>
      </c>
      <c r="AP124" s="1478">
        <f t="shared" ca="1" si="208"/>
        <v>2225.2912648602464</v>
      </c>
      <c r="AQ124" s="1478">
        <f t="shared" ca="1" si="208"/>
        <v>2265.167276048126</v>
      </c>
      <c r="AR124" s="827"/>
      <c r="AS124" s="1576"/>
      <c r="AT124" s="1578"/>
      <c r="AU124" s="1578"/>
      <c r="AV124" s="1578"/>
      <c r="AW124" s="1578"/>
      <c r="AX124" s="1578"/>
      <c r="AY124" s="1578"/>
      <c r="AZ124" s="1579"/>
      <c r="BA124" s="1578"/>
      <c r="BB124" s="1578"/>
      <c r="BC124" s="1578"/>
      <c r="BD124" s="1579"/>
      <c r="BE124" s="698"/>
      <c r="BF124" s="698"/>
      <c r="BG124"/>
      <c r="BH124"/>
      <c r="BI124"/>
      <c r="BJ124"/>
      <c r="BK124"/>
      <c r="BL124"/>
      <c r="BM124" s="909"/>
      <c r="BN124" s="909"/>
      <c r="BO124" s="909"/>
      <c r="BP124" s="902"/>
      <c r="BQ124" s="902"/>
      <c r="BR124" s="909"/>
      <c r="BS124" s="909"/>
    </row>
    <row r="125" spans="1:71" ht="12.75" customHeight="1">
      <c r="A125" s="3243" t="s">
        <v>1197</v>
      </c>
      <c r="B125" s="3244"/>
      <c r="C125" s="3213"/>
      <c r="D125" s="3245"/>
      <c r="E125" s="3213">
        <f t="shared" ref="E125:AQ125" si="209">E121/E24</f>
        <v>0.1938522558254834</v>
      </c>
      <c r="F125" s="3213">
        <f t="shared" si="209"/>
        <v>0.19959011727200274</v>
      </c>
      <c r="G125" s="3246">
        <f t="shared" si="209"/>
        <v>0.18019709056780855</v>
      </c>
      <c r="H125" s="3246">
        <f t="shared" si="209"/>
        <v>0.21046025104602512</v>
      </c>
      <c r="I125" s="3246">
        <f t="shared" si="209"/>
        <v>0.22631361191559785</v>
      </c>
      <c r="J125" s="3246">
        <f t="shared" si="209"/>
        <v>0.223267750213858</v>
      </c>
      <c r="K125" s="3213">
        <f t="shared" si="209"/>
        <v>0.21086675291073739</v>
      </c>
      <c r="L125" s="3246">
        <f t="shared" si="209"/>
        <v>0.19752540874944763</v>
      </c>
      <c r="M125" s="3246">
        <f t="shared" si="209"/>
        <v>0.24789915966386555</v>
      </c>
      <c r="N125" s="3246">
        <f t="shared" si="209"/>
        <v>0.23274806043282972</v>
      </c>
      <c r="O125" s="3246">
        <f t="shared" si="209"/>
        <v>0.22814982973893302</v>
      </c>
      <c r="P125" s="3213">
        <f t="shared" si="209"/>
        <v>0.22701592193117617</v>
      </c>
      <c r="Q125" s="3246">
        <f t="shared" si="209"/>
        <v>0.23021582733812951</v>
      </c>
      <c r="R125" s="3246">
        <f t="shared" si="209"/>
        <v>0.24409448818897639</v>
      </c>
      <c r="S125" s="3246">
        <f t="shared" si="209"/>
        <v>0.24394856278366112</v>
      </c>
      <c r="T125" s="3246">
        <f t="shared" si="209"/>
        <v>0.23620933521923621</v>
      </c>
      <c r="U125" s="3213">
        <f t="shared" si="209"/>
        <v>0.23881165492287185</v>
      </c>
      <c r="V125" s="3246">
        <f t="shared" si="209"/>
        <v>0.23047325894574835</v>
      </c>
      <c r="W125" s="3246">
        <f t="shared" si="209"/>
        <v>0.26591375770020537</v>
      </c>
      <c r="X125" s="3246">
        <f t="shared" si="209"/>
        <v>0.2618307426597582</v>
      </c>
      <c r="Y125" s="3246">
        <f t="shared" si="209"/>
        <v>0.26085434173669469</v>
      </c>
      <c r="Z125" s="3213">
        <f t="shared" si="209"/>
        <v>0.25541163946061035</v>
      </c>
      <c r="AA125" s="3245">
        <f t="shared" si="209"/>
        <v>0.23745454545454545</v>
      </c>
      <c r="AB125" s="3246">
        <f t="shared" si="209"/>
        <v>0.26417568010488363</v>
      </c>
      <c r="AC125" s="3246">
        <f t="shared" si="209"/>
        <v>0.26002719238613187</v>
      </c>
      <c r="AD125" s="3244">
        <f t="shared" si="209"/>
        <v>0.25719178082191779</v>
      </c>
      <c r="AE125" s="3213">
        <f t="shared" si="209"/>
        <v>0.25508016805281658</v>
      </c>
      <c r="AF125" s="3246">
        <f t="shared" si="209"/>
        <v>0.1962054604349838</v>
      </c>
      <c r="AG125" s="3246">
        <f t="shared" si="209"/>
        <v>0.22122762148337596</v>
      </c>
      <c r="AH125" s="3246">
        <f t="shared" si="209"/>
        <v>0.22259983007646558</v>
      </c>
      <c r="AI125" s="3244">
        <f t="shared" ca="1" si="209"/>
        <v>0.21851689337428698</v>
      </c>
      <c r="AJ125" s="3213">
        <f t="shared" ca="1" si="209"/>
        <v>0.2149890590809628</v>
      </c>
      <c r="AK125" s="1024">
        <f t="shared" ref="AK125:AO125" ca="1" si="210">AK121/AK24</f>
        <v>0.18380354449947506</v>
      </c>
      <c r="AL125" s="1024">
        <f t="shared" ca="1" si="210"/>
        <v>0.21886388747965718</v>
      </c>
      <c r="AM125" s="1024">
        <f t="shared" ca="1" si="210"/>
        <v>0.22038879753433882</v>
      </c>
      <c r="AN125" s="3916">
        <f t="shared" ca="1" si="210"/>
        <v>0.21072079380025924</v>
      </c>
      <c r="AO125" s="3213">
        <f t="shared" ca="1" si="210"/>
        <v>0.20905935557730629</v>
      </c>
      <c r="AP125" s="667">
        <f t="shared" ca="1" si="209"/>
        <v>0.21099379347228234</v>
      </c>
      <c r="AQ125" s="667">
        <f t="shared" ca="1" si="209"/>
        <v>0.21176127019574534</v>
      </c>
      <c r="AR125" s="319"/>
      <c r="AS125" s="666" t="str">
        <f t="shared" si="159"/>
        <v>Margin</v>
      </c>
      <c r="AT125" s="668">
        <f t="shared" si="160"/>
        <v>0.1938522558254834</v>
      </c>
      <c r="AU125" s="668">
        <f t="shared" si="161"/>
        <v>0.19959011727200274</v>
      </c>
      <c r="AV125" s="668">
        <f t="shared" si="162"/>
        <v>0.21086675291073739</v>
      </c>
      <c r="AW125" s="668">
        <f t="shared" si="163"/>
        <v>0.22701592193117617</v>
      </c>
      <c r="AX125" s="668">
        <f t="shared" si="164"/>
        <v>0.23881165492287185</v>
      </c>
      <c r="AY125" s="668">
        <f t="shared" si="165"/>
        <v>0.25541163946061035</v>
      </c>
      <c r="AZ125" s="868">
        <f t="shared" si="166"/>
        <v>0.25508016805281658</v>
      </c>
      <c r="BA125" s="668">
        <f t="shared" ca="1" si="167"/>
        <v>0.2149890590809628</v>
      </c>
      <c r="BB125" s="668">
        <f t="shared" ca="1" si="168"/>
        <v>0.20905935557730629</v>
      </c>
      <c r="BC125" s="668">
        <f t="shared" ca="1" si="169"/>
        <v>0.21099379347228234</v>
      </c>
      <c r="BD125" s="868">
        <f t="shared" ca="1" si="170"/>
        <v>0.21176127019574534</v>
      </c>
      <c r="BF125" s="900"/>
      <c r="BM125" s="902"/>
      <c r="BN125" s="902"/>
      <c r="BO125" s="902"/>
      <c r="BP125" s="902"/>
      <c r="BQ125" s="902"/>
      <c r="BR125" s="902"/>
      <c r="BS125" s="902"/>
    </row>
    <row r="126" spans="1:71" ht="12.75" customHeight="1">
      <c r="A126" s="3247" t="s">
        <v>1</v>
      </c>
      <c r="B126" s="3248"/>
      <c r="C126" s="3132"/>
      <c r="D126" s="3249"/>
      <c r="E126" s="3132">
        <f t="shared" ref="E126:AQ126" si="211">+E121/E20</f>
        <v>0.28797643159639108</v>
      </c>
      <c r="F126" s="3132">
        <f t="shared" si="211"/>
        <v>0.29935109289617484</v>
      </c>
      <c r="G126" s="3250">
        <f t="shared" si="211"/>
        <v>0.27886710239651419</v>
      </c>
      <c r="H126" s="3250">
        <f t="shared" si="211"/>
        <v>0.31755050505050503</v>
      </c>
      <c r="I126" s="3250">
        <f t="shared" si="211"/>
        <v>0.34208880550343967</v>
      </c>
      <c r="J126" s="3250">
        <f t="shared" si="211"/>
        <v>0.32788944723618091</v>
      </c>
      <c r="K126" s="3132">
        <f t="shared" si="211"/>
        <v>0.31794538361508451</v>
      </c>
      <c r="L126" s="3250">
        <f t="shared" si="211"/>
        <v>0.31434599156118143</v>
      </c>
      <c r="M126" s="3250">
        <f t="shared" si="211"/>
        <v>0.3619631901840491</v>
      </c>
      <c r="N126" s="3250">
        <f t="shared" si="211"/>
        <v>0.35469819539514624</v>
      </c>
      <c r="O126" s="3250">
        <f t="shared" si="211"/>
        <v>0.3608617594254937</v>
      </c>
      <c r="P126" s="3132">
        <f t="shared" si="211"/>
        <v>0.34913112164297</v>
      </c>
      <c r="Q126" s="3250">
        <f t="shared" si="211"/>
        <v>0.35416666666666669</v>
      </c>
      <c r="R126" s="3250">
        <f t="shared" si="211"/>
        <v>0.37263880938752147</v>
      </c>
      <c r="S126" s="3250">
        <f t="shared" si="211"/>
        <v>0.37111622554660528</v>
      </c>
      <c r="T126" s="3250">
        <f t="shared" si="211"/>
        <v>0.37318435754189944</v>
      </c>
      <c r="U126" s="3132">
        <f t="shared" si="211"/>
        <v>0.36822786668624286</v>
      </c>
      <c r="V126" s="3250">
        <f t="shared" si="211"/>
        <v>0.36325045482110369</v>
      </c>
      <c r="W126" s="3250">
        <f t="shared" si="211"/>
        <v>0.41751746372917786</v>
      </c>
      <c r="X126" s="3250">
        <f t="shared" si="211"/>
        <v>0.41375545851528384</v>
      </c>
      <c r="Y126" s="3250">
        <f t="shared" si="211"/>
        <v>0.41388888888888886</v>
      </c>
      <c r="Z126" s="3132">
        <f t="shared" si="211"/>
        <v>0.40310837300476055</v>
      </c>
      <c r="AA126" s="3249">
        <f t="shared" si="211"/>
        <v>0.38892197736748063</v>
      </c>
      <c r="AB126" s="3250">
        <f t="shared" si="211"/>
        <v>0.42758620689655175</v>
      </c>
      <c r="AC126" s="3250">
        <f t="shared" si="211"/>
        <v>0.41643984757757213</v>
      </c>
      <c r="AD126" s="3248">
        <f t="shared" si="211"/>
        <v>0.41354625550660795</v>
      </c>
      <c r="AE126" s="3132">
        <f t="shared" si="211"/>
        <v>0.41222114451988362</v>
      </c>
      <c r="AF126" s="3250">
        <f t="shared" si="211"/>
        <v>0.55352480417754568</v>
      </c>
      <c r="AG126" s="3250">
        <f t="shared" si="211"/>
        <v>0.5703296703296703</v>
      </c>
      <c r="AH126" s="3250">
        <f t="shared" si="211"/>
        <v>0.56894679695982631</v>
      </c>
      <c r="AI126" s="3248">
        <f t="shared" ca="1" si="211"/>
        <v>0.55456570155902007</v>
      </c>
      <c r="AJ126" s="3132">
        <f t="shared" ca="1" si="211"/>
        <v>0.5622317596566524</v>
      </c>
      <c r="AK126" s="205">
        <f t="shared" ref="AK126:AO126" ca="1" si="212">+AK121/AK20</f>
        <v>0.53826257173333025</v>
      </c>
      <c r="AL126" s="205">
        <f t="shared" ca="1" si="212"/>
        <v>0.55991268361066759</v>
      </c>
      <c r="AM126" s="205">
        <f t="shared" ca="1" si="212"/>
        <v>0.56398958776753072</v>
      </c>
      <c r="AN126" s="657">
        <f t="shared" ca="1" si="212"/>
        <v>0.5455900689987796</v>
      </c>
      <c r="AO126" s="3132">
        <f t="shared" ca="1" si="212"/>
        <v>0.5528168628434228</v>
      </c>
      <c r="AP126" s="444">
        <f t="shared" ca="1" si="211"/>
        <v>0.56532382398319048</v>
      </c>
      <c r="AQ126" s="444">
        <f t="shared" ca="1" si="211"/>
        <v>0.57782722664195152</v>
      </c>
      <c r="AR126" s="319"/>
      <c r="AS126" s="1651" t="str">
        <f t="shared" si="159"/>
        <v>Margin ex. Cost Reimbursement</v>
      </c>
      <c r="AT126" s="471">
        <f t="shared" si="160"/>
        <v>0.28797643159639108</v>
      </c>
      <c r="AU126" s="471">
        <f t="shared" si="161"/>
        <v>0.29935109289617484</v>
      </c>
      <c r="AV126" s="471">
        <f t="shared" si="162"/>
        <v>0.31794538361508451</v>
      </c>
      <c r="AW126" s="471">
        <f t="shared" si="163"/>
        <v>0.34913112164297</v>
      </c>
      <c r="AX126" s="471">
        <f t="shared" si="164"/>
        <v>0.36822786668624286</v>
      </c>
      <c r="AY126" s="471">
        <f t="shared" si="165"/>
        <v>0.40310837300476055</v>
      </c>
      <c r="AZ126" s="579">
        <f>+AE126</f>
        <v>0.41222114451988362</v>
      </c>
      <c r="BA126" s="471">
        <f ca="1">+AJ126</f>
        <v>0.5622317596566524</v>
      </c>
      <c r="BB126" s="471">
        <f ca="1">+AO126</f>
        <v>0.5528168628434228</v>
      </c>
      <c r="BC126" s="471">
        <f ca="1">+AP126</f>
        <v>0.56532382398319048</v>
      </c>
      <c r="BD126" s="579">
        <f ca="1">+AQ126</f>
        <v>0.57782722664195152</v>
      </c>
      <c r="BF126" s="900"/>
      <c r="BM126" s="902"/>
      <c r="BN126" s="902"/>
      <c r="BO126" s="902"/>
      <c r="BP126" s="902"/>
      <c r="BQ126" s="902"/>
      <c r="BR126" s="902"/>
      <c r="BS126" s="902"/>
    </row>
    <row r="127" spans="1:71" s="15" customFormat="1" ht="12.75" customHeight="1">
      <c r="A127" s="3251" t="s">
        <v>2309</v>
      </c>
      <c r="B127" s="3248"/>
      <c r="C127" s="3132"/>
      <c r="D127" s="3249"/>
      <c r="E127" s="3132"/>
      <c r="F127" s="3132">
        <f>F121/E121-1</f>
        <v>0.12084398976982103</v>
      </c>
      <c r="G127" s="3133"/>
      <c r="H127" s="3133"/>
      <c r="I127" s="3133"/>
      <c r="J127" s="3133"/>
      <c r="K127" s="3132">
        <f>K121/F121-1</f>
        <v>0.11580148317170558</v>
      </c>
      <c r="L127" s="3133">
        <f t="shared" ref="L127:U127" si="213">L121/G121-1</f>
        <v>0.1640625</v>
      </c>
      <c r="M127" s="3133">
        <f t="shared" si="213"/>
        <v>0.17296222664015914</v>
      </c>
      <c r="N127" s="3133">
        <f t="shared" si="213"/>
        <v>4.2047531992687404E-2</v>
      </c>
      <c r="O127" s="3133">
        <f t="shared" si="213"/>
        <v>0.15517241379310343</v>
      </c>
      <c r="P127" s="3132">
        <f t="shared" si="213"/>
        <v>0.12985685071574649</v>
      </c>
      <c r="Q127" s="3133">
        <f t="shared" si="213"/>
        <v>0.21700223713646527</v>
      </c>
      <c r="R127" s="3133">
        <f t="shared" si="213"/>
        <v>0.10338983050847461</v>
      </c>
      <c r="S127" s="3133">
        <f t="shared" si="213"/>
        <v>0.13157894736842102</v>
      </c>
      <c r="T127" s="3133">
        <f t="shared" si="213"/>
        <v>0.10779436152570487</v>
      </c>
      <c r="U127" s="3132">
        <f t="shared" si="213"/>
        <v>0.13484162895927598</v>
      </c>
      <c r="V127" s="3133">
        <f t="shared" ref="V127:AC127" si="214">V121/Q121-1</f>
        <v>0.10110294117647056</v>
      </c>
      <c r="W127" s="3133">
        <f t="shared" si="214"/>
        <v>0.19354838709677424</v>
      </c>
      <c r="X127" s="3133">
        <f t="shared" si="214"/>
        <v>0.17519379844961236</v>
      </c>
      <c r="Y127" s="3133">
        <f t="shared" si="214"/>
        <v>0.11526946107784442</v>
      </c>
      <c r="Z127" s="3132">
        <f t="shared" si="214"/>
        <v>0.14792663476874002</v>
      </c>
      <c r="AA127" s="3252">
        <f t="shared" si="214"/>
        <v>9.0150250417362354E-2</v>
      </c>
      <c r="AB127" s="3133">
        <f t="shared" si="214"/>
        <v>3.7323037323037322E-2</v>
      </c>
      <c r="AC127" s="3133">
        <f t="shared" si="214"/>
        <v>9.23482849604218E-3</v>
      </c>
      <c r="AD127" s="3253">
        <f t="shared" ref="AD127:AE127" si="215">AD121/Y121-1</f>
        <v>8.0536912751678624E-3</v>
      </c>
      <c r="AE127" s="3132">
        <f t="shared" si="215"/>
        <v>3.3344911427579005E-2</v>
      </c>
      <c r="AF127" s="3897">
        <f>AF121/367-1</f>
        <v>0.15531335149863756</v>
      </c>
      <c r="AG127" s="3897">
        <f>AG121/472-1</f>
        <v>9.9576271186440746E-2</v>
      </c>
      <c r="AH127" s="3897">
        <f>AH121/470-1</f>
        <v>0.11489361702127665</v>
      </c>
      <c r="AI127" s="4021">
        <f ca="1">AI121/451-1</f>
        <v>0.10421286031042132</v>
      </c>
      <c r="AJ127" s="3544">
        <f ca="1">AJ121/1760-1</f>
        <v>0.11647727272727271</v>
      </c>
      <c r="AK127" s="4129">
        <f ca="1">AK121/AF124-1</f>
        <v>3.5139477478975945E-2</v>
      </c>
      <c r="AL127" s="4129">
        <f ca="1">AL121/AG124-1</f>
        <v>0.11590775337395764</v>
      </c>
      <c r="AM127" s="4129">
        <f ca="1">AM121/AH124-1</f>
        <v>0.10575327874299045</v>
      </c>
      <c r="AN127" s="4129">
        <f ca="1">AN121/AI124-1</f>
        <v>6.7759300449729887E-2</v>
      </c>
      <c r="AO127" s="4130">
        <f ca="1">AO121/AJ124-1</f>
        <v>8.363547423896911E-2</v>
      </c>
      <c r="AP127" s="518">
        <f ca="1">AP121/AO121-1</f>
        <v>7.5716229553291381E-2</v>
      </c>
      <c r="AQ127" s="518">
        <f ca="1">AQ121/AP121-1</f>
        <v>1.7919457024599295E-2</v>
      </c>
      <c r="AR127" s="316"/>
      <c r="AS127" s="1155" t="str">
        <f t="shared" si="159"/>
        <v>% growth, y/y</v>
      </c>
      <c r="AT127" s="1596">
        <f t="shared" si="160"/>
        <v>0</v>
      </c>
      <c r="AU127" s="1596">
        <f t="shared" si="161"/>
        <v>0.12084398976982103</v>
      </c>
      <c r="AV127" s="1596">
        <f t="shared" si="162"/>
        <v>0.11580148317170558</v>
      </c>
      <c r="AW127" s="1596">
        <f t="shared" si="163"/>
        <v>0.12985685071574649</v>
      </c>
      <c r="AX127" s="1596">
        <f t="shared" si="164"/>
        <v>0.13484162895927598</v>
      </c>
      <c r="AY127" s="1596">
        <f t="shared" si="165"/>
        <v>0.14792663476874002</v>
      </c>
      <c r="AZ127" s="1597">
        <f t="shared" si="166"/>
        <v>3.3344911427579005E-2</v>
      </c>
      <c r="BA127" s="1596">
        <f t="shared" ca="1" si="167"/>
        <v>0.11647727272727271</v>
      </c>
      <c r="BB127" s="1596">
        <f t="shared" ca="1" si="168"/>
        <v>8.363547423896911E-2</v>
      </c>
      <c r="BC127" s="1596">
        <f t="shared" ca="1" si="169"/>
        <v>7.5716229553291381E-2</v>
      </c>
      <c r="BD127" s="1597">
        <f t="shared" ca="1" si="170"/>
        <v>1.7919457024599295E-2</v>
      </c>
      <c r="BE127" s="14"/>
      <c r="BF127" s="900"/>
      <c r="BG127"/>
      <c r="BH127"/>
      <c r="BI127"/>
      <c r="BJ127"/>
      <c r="BK127"/>
      <c r="BL127"/>
      <c r="BM127" s="902"/>
      <c r="BN127" s="902"/>
      <c r="BO127" s="902"/>
      <c r="BP127" s="902"/>
      <c r="BQ127" s="902"/>
      <c r="BR127" s="902"/>
      <c r="BS127" s="902"/>
    </row>
    <row r="128" spans="1:71" s="1235" customFormat="1" ht="12.75" customHeight="1">
      <c r="A128" s="3254" t="s">
        <v>1420</v>
      </c>
      <c r="B128" s="3255"/>
      <c r="C128" s="3255"/>
      <c r="D128" s="3255"/>
      <c r="E128" s="3254"/>
      <c r="F128" s="3254"/>
      <c r="G128" s="3255"/>
      <c r="H128" s="3255"/>
      <c r="I128" s="3255"/>
      <c r="J128" s="3255"/>
      <c r="K128" s="3254"/>
      <c r="L128" s="3256"/>
      <c r="M128" s="3255"/>
      <c r="N128" s="3255"/>
      <c r="O128" s="3257">
        <v>593</v>
      </c>
      <c r="P128" s="3258" t="s">
        <v>1202</v>
      </c>
      <c r="Q128" s="3259" t="s">
        <v>539</v>
      </c>
      <c r="R128" s="3260" t="s">
        <v>2269</v>
      </c>
      <c r="S128" s="3260" t="s">
        <v>1907</v>
      </c>
      <c r="T128" s="3260" t="s">
        <v>2331</v>
      </c>
      <c r="U128" s="3261" t="s">
        <v>2324</v>
      </c>
      <c r="V128" s="3260" t="s">
        <v>2343</v>
      </c>
      <c r="W128" s="3260" t="s">
        <v>2370</v>
      </c>
      <c r="X128" s="3260" t="s">
        <v>2399</v>
      </c>
      <c r="Y128" s="3260" t="s">
        <v>2415</v>
      </c>
      <c r="Z128" s="3262" t="s">
        <v>2417</v>
      </c>
      <c r="AA128" s="3260" t="s">
        <v>2331</v>
      </c>
      <c r="AB128" s="3260" t="s">
        <v>2477</v>
      </c>
      <c r="AC128" s="3260" t="s">
        <v>2551</v>
      </c>
      <c r="AD128" s="3260" t="s">
        <v>2823</v>
      </c>
      <c r="AE128" s="3262" t="s">
        <v>2821</v>
      </c>
      <c r="AF128" s="3260" t="s">
        <v>3013</v>
      </c>
      <c r="AG128" s="3260" t="s">
        <v>3032</v>
      </c>
      <c r="AH128" s="3260" t="s">
        <v>3032</v>
      </c>
      <c r="AI128" s="3898" t="s">
        <v>3190</v>
      </c>
      <c r="AJ128" s="3262" t="s">
        <v>3191</v>
      </c>
      <c r="AK128" s="4106" t="s">
        <v>3214</v>
      </c>
      <c r="AL128" s="3917"/>
      <c r="AM128" s="3917"/>
      <c r="AN128" s="3918"/>
      <c r="AO128" s="3262" t="s">
        <v>3215</v>
      </c>
      <c r="AP128" s="1663"/>
      <c r="AQ128" s="1664"/>
      <c r="AR128" s="1232"/>
      <c r="AS128" s="1233" t="str">
        <f t="shared" si="159"/>
        <v>Guidance</v>
      </c>
      <c r="AT128" s="1196"/>
      <c r="AU128" s="1196"/>
      <c r="AV128" s="1196"/>
      <c r="AW128" s="1196" t="str">
        <f t="shared" si="163"/>
        <v>2,190-2,205</v>
      </c>
      <c r="AX128" s="1196" t="str">
        <f t="shared" si="164"/>
        <v>2,470-2,490</v>
      </c>
      <c r="AY128" s="1196" t="str">
        <f t="shared" si="165"/>
        <v>2,840-2,870</v>
      </c>
      <c r="AZ128" s="1196"/>
      <c r="BA128" s="1196"/>
      <c r="BB128" s="1196"/>
      <c r="BC128" s="1196"/>
      <c r="BD128" s="1234"/>
      <c r="BE128" s="14"/>
      <c r="BF128" s="1236"/>
      <c r="BG128"/>
      <c r="BH128"/>
      <c r="BI128"/>
      <c r="BJ128"/>
      <c r="BK128"/>
      <c r="BL128"/>
      <c r="BM128" s="1225"/>
      <c r="BN128" s="1225"/>
      <c r="BO128" s="1225"/>
      <c r="BP128" s="1225"/>
      <c r="BQ128" s="1225"/>
      <c r="BR128" s="1225"/>
      <c r="BS128" s="1225"/>
    </row>
    <row r="129" spans="1:71" s="1458" customFormat="1" ht="12.75" customHeight="1">
      <c r="A129" s="3851" t="s">
        <v>2943</v>
      </c>
      <c r="B129" s="3274"/>
      <c r="C129" s="3275"/>
      <c r="D129" s="3276"/>
      <c r="E129" s="3275"/>
      <c r="F129" s="3275"/>
      <c r="G129" s="3277"/>
      <c r="H129" s="3277"/>
      <c r="I129" s="3277"/>
      <c r="J129" s="3277"/>
      <c r="K129" s="3278"/>
      <c r="L129" s="3277"/>
      <c r="M129" s="3277"/>
      <c r="N129" s="3277"/>
      <c r="O129" s="3277"/>
      <c r="P129" s="3278"/>
      <c r="Q129" s="3277"/>
      <c r="R129" s="3277"/>
      <c r="S129" s="3277"/>
      <c r="T129" s="3277"/>
      <c r="U129" s="3279"/>
      <c r="V129" s="3277"/>
      <c r="W129" s="3277"/>
      <c r="X129" s="3280"/>
      <c r="Y129" s="3281"/>
      <c r="Z129" s="3282"/>
      <c r="AA129" s="3277"/>
      <c r="AB129" s="3277"/>
      <c r="AC129" s="3277"/>
      <c r="AD129" s="3277"/>
      <c r="AE129" s="3852" t="s">
        <v>2905</v>
      </c>
      <c r="AF129" s="3277"/>
      <c r="AG129" s="3277"/>
      <c r="AH129" s="3277"/>
      <c r="AI129" s="3277"/>
      <c r="AJ129" s="4008"/>
      <c r="AK129" s="4009"/>
      <c r="AL129" s="4009"/>
      <c r="AM129" s="4009"/>
      <c r="AN129" s="4009"/>
      <c r="AO129" s="4008"/>
      <c r="AP129" s="3853" t="s">
        <v>2950</v>
      </c>
      <c r="AQ129" s="3854"/>
      <c r="AR129" s="1552"/>
      <c r="AS129" s="1551"/>
      <c r="AT129" s="1556"/>
      <c r="AU129" s="1556"/>
      <c r="AV129" s="1556"/>
      <c r="AW129" s="1556"/>
      <c r="AX129" s="1556"/>
      <c r="AY129" s="1556"/>
      <c r="AZ129" s="1556"/>
      <c r="BA129" s="1556"/>
      <c r="BB129" s="1556"/>
      <c r="BC129" s="1556"/>
      <c r="BD129" s="1558"/>
      <c r="BE129" s="7"/>
      <c r="BF129" s="1665"/>
      <c r="BG129"/>
      <c r="BH129"/>
      <c r="BI129"/>
      <c r="BJ129"/>
      <c r="BK129"/>
      <c r="BL129"/>
      <c r="BM129" s="1666"/>
      <c r="BN129" s="1666"/>
      <c r="BO129" s="1666"/>
      <c r="BP129" s="1666"/>
      <c r="BQ129" s="1666"/>
      <c r="BR129" s="1666"/>
      <c r="BS129" s="1666"/>
    </row>
    <row r="130" spans="1:71" s="1458" customFormat="1" ht="12.75" hidden="1" customHeight="1" outlineLevel="1">
      <c r="A130" s="3022" t="s">
        <v>2837</v>
      </c>
      <c r="B130" s="3012"/>
      <c r="C130" s="3013"/>
      <c r="D130" s="3014"/>
      <c r="E130" s="3013"/>
      <c r="F130" s="3013"/>
      <c r="G130" s="3015"/>
      <c r="H130" s="3015"/>
      <c r="I130" s="3015"/>
      <c r="J130" s="3015"/>
      <c r="K130" s="3016"/>
      <c r="L130" s="3015"/>
      <c r="M130" s="3015"/>
      <c r="N130" s="3015"/>
      <c r="O130" s="3015"/>
      <c r="P130" s="3016"/>
      <c r="Q130" s="3015"/>
      <c r="R130" s="3015"/>
      <c r="S130" s="3015"/>
      <c r="T130" s="3015"/>
      <c r="U130" s="3017"/>
      <c r="V130" s="3015"/>
      <c r="W130" s="3015"/>
      <c r="X130" s="3018"/>
      <c r="Y130" s="3019"/>
      <c r="Z130" s="3020"/>
      <c r="AA130" s="3015"/>
      <c r="AB130" s="3015"/>
      <c r="AC130" s="3015"/>
      <c r="AD130" s="3015"/>
      <c r="AE130" s="3016"/>
      <c r="AF130" s="3015"/>
      <c r="AG130" s="3015"/>
      <c r="AH130" s="3015"/>
      <c r="AI130" s="3015"/>
      <c r="AJ130" s="3021">
        <f ca="1">+AJ121+'Owned Assets Spun Out'!J81+'Timeshare Assets Spun Out'!J65</f>
        <v>3128.4729524528307</v>
      </c>
      <c r="AK130" s="3015"/>
      <c r="AL130" s="3015"/>
      <c r="AM130" s="3015"/>
      <c r="AN130" s="3015"/>
      <c r="AO130" s="3021">
        <f ca="1">+AO121+'Owned Assets Spun Out'!K81+'Timeshare Assets Spun Out'!K65</f>
        <v>3282.0758729790791</v>
      </c>
      <c r="AP130" s="3021">
        <f ca="1">+AP121+'Owned Assets Spun Out'!L81+'Timeshare Assets Spun Out'!L65</f>
        <v>3522.1243506017204</v>
      </c>
      <c r="AQ130" s="3021">
        <f ca="1">+AQ121+'Owned Assets Spun Out'!M81+'Timeshare Assets Spun Out'!M65</f>
        <v>3533.1439122757229</v>
      </c>
      <c r="AR130" s="1552"/>
      <c r="AS130" s="1551"/>
      <c r="AT130" s="1556"/>
      <c r="AU130" s="1556"/>
      <c r="AV130" s="1556"/>
      <c r="AW130" s="1556"/>
      <c r="AX130" s="1556"/>
      <c r="AY130" s="1556"/>
      <c r="AZ130" s="1556"/>
      <c r="BA130" s="1556"/>
      <c r="BB130" s="1556"/>
      <c r="BC130" s="1556"/>
      <c r="BD130" s="1558"/>
      <c r="BE130" s="7"/>
      <c r="BF130" s="1665"/>
      <c r="BG130"/>
      <c r="BH130"/>
      <c r="BI130"/>
      <c r="BJ130"/>
      <c r="BK130"/>
      <c r="BL130"/>
      <c r="BM130" s="1666"/>
      <c r="BN130" s="1666"/>
      <c r="BO130" s="1666"/>
      <c r="BP130" s="902"/>
      <c r="BQ130" s="1666"/>
      <c r="BR130" s="1666"/>
      <c r="BS130" s="1666"/>
    </row>
    <row r="131" spans="1:71" s="1458" customFormat="1" ht="12.75" hidden="1" customHeight="1" outlineLevel="1">
      <c r="A131" s="3251" t="s">
        <v>2309</v>
      </c>
      <c r="B131" s="3263"/>
      <c r="C131" s="3264"/>
      <c r="D131" s="3265"/>
      <c r="E131" s="3264"/>
      <c r="F131" s="3264"/>
      <c r="G131" s="3266"/>
      <c r="H131" s="3266"/>
      <c r="I131" s="3266"/>
      <c r="J131" s="3266"/>
      <c r="K131" s="3267"/>
      <c r="L131" s="3266"/>
      <c r="M131" s="3266"/>
      <c r="N131" s="3266"/>
      <c r="O131" s="3266"/>
      <c r="P131" s="3267"/>
      <c r="Q131" s="3266"/>
      <c r="R131" s="3266"/>
      <c r="S131" s="3266"/>
      <c r="T131" s="3266"/>
      <c r="U131" s="3268"/>
      <c r="V131" s="3266"/>
      <c r="W131" s="3266"/>
      <c r="X131" s="3269"/>
      <c r="Y131" s="3270"/>
      <c r="Z131" s="3271"/>
      <c r="AA131" s="3266"/>
      <c r="AB131" s="3266"/>
      <c r="AC131" s="3266"/>
      <c r="AD131" s="3266"/>
      <c r="AE131" s="3267"/>
      <c r="AF131" s="3266"/>
      <c r="AG131" s="3266"/>
      <c r="AH131" s="3266"/>
      <c r="AI131" s="3266"/>
      <c r="AJ131" s="3272">
        <f ca="1">+AJ130/AE121-1</f>
        <v>5.1587547042968307E-2</v>
      </c>
      <c r="AK131" s="3266"/>
      <c r="AL131" s="3266"/>
      <c r="AM131" s="3266"/>
      <c r="AN131" s="3266"/>
      <c r="AO131" s="3272">
        <f ca="1">+AO130/AJ130-1</f>
        <v>4.909836935167311E-2</v>
      </c>
      <c r="AP131" s="464">
        <f ca="1">+AP130/AO130-1</f>
        <v>7.3139222526490189E-2</v>
      </c>
      <c r="AQ131" s="464">
        <f ca="1">+AQ130/AP130-1</f>
        <v>3.1286691147403012E-3</v>
      </c>
      <c r="AR131" s="1552"/>
      <c r="AS131" s="1551"/>
      <c r="AT131" s="1556"/>
      <c r="AU131" s="1556"/>
      <c r="AV131" s="1556"/>
      <c r="AW131" s="1556"/>
      <c r="AX131" s="1556"/>
      <c r="AY131" s="1556"/>
      <c r="AZ131" s="1556"/>
      <c r="BA131" s="1556"/>
      <c r="BB131" s="1556"/>
      <c r="BC131" s="1556"/>
      <c r="BD131" s="1558"/>
      <c r="BE131" s="7"/>
      <c r="BF131" s="1665"/>
      <c r="BG131"/>
      <c r="BH131"/>
      <c r="BI131"/>
      <c r="BJ131"/>
      <c r="BK131"/>
      <c r="BL131"/>
      <c r="BM131" s="1666"/>
      <c r="BN131" s="1666"/>
      <c r="BO131" s="1666"/>
      <c r="BP131" s="1666"/>
      <c r="BQ131" s="1666"/>
      <c r="BR131" s="1666"/>
      <c r="BS131" s="1666"/>
    </row>
    <row r="132" spans="1:71" s="1458" customFormat="1" ht="12.75" hidden="1" customHeight="1" outlineLevel="1">
      <c r="A132" s="3273" t="s">
        <v>491</v>
      </c>
      <c r="B132" s="3274"/>
      <c r="C132" s="3275"/>
      <c r="D132" s="3276"/>
      <c r="E132" s="3275"/>
      <c r="F132" s="3275"/>
      <c r="G132" s="3277"/>
      <c r="H132" s="3277"/>
      <c r="I132" s="3277"/>
      <c r="J132" s="3277"/>
      <c r="K132" s="3278"/>
      <c r="L132" s="3277"/>
      <c r="M132" s="3277"/>
      <c r="N132" s="3277"/>
      <c r="O132" s="3277"/>
      <c r="P132" s="3278"/>
      <c r="Q132" s="3277"/>
      <c r="R132" s="3277"/>
      <c r="S132" s="3277"/>
      <c r="T132" s="3277"/>
      <c r="U132" s="3279"/>
      <c r="V132" s="3277"/>
      <c r="W132" s="3277"/>
      <c r="X132" s="3280"/>
      <c r="Y132" s="3281"/>
      <c r="Z132" s="3282"/>
      <c r="AA132" s="3277"/>
      <c r="AB132" s="3277"/>
      <c r="AC132" s="3277"/>
      <c r="AD132" s="3277"/>
      <c r="AE132" s="3278"/>
      <c r="AF132" s="3277"/>
      <c r="AG132" s="3277"/>
      <c r="AH132" s="3277"/>
      <c r="AI132" s="3277"/>
      <c r="AJ132" s="3283">
        <f ca="1">+AJ130/AJ27</f>
        <v>0.23020725938182129</v>
      </c>
      <c r="AK132" s="3277"/>
      <c r="AL132" s="3277"/>
      <c r="AM132" s="3277"/>
      <c r="AN132" s="3277"/>
      <c r="AO132" s="3283">
        <f ca="1">+AO130/AO27</f>
        <v>0.22731918195722844</v>
      </c>
      <c r="AP132" s="3063">
        <f ca="1">+AP130/AP27</f>
        <v>0.23377727318438865</v>
      </c>
      <c r="AQ132" s="3063">
        <f ca="1">+AQ130/AQ27</f>
        <v>0.23556869113219869</v>
      </c>
      <c r="AR132" s="1552"/>
      <c r="AS132" s="1551"/>
      <c r="AT132" s="1556"/>
      <c r="AU132" s="1556"/>
      <c r="AV132" s="1556"/>
      <c r="AW132" s="1556"/>
      <c r="AX132" s="1556"/>
      <c r="AY132" s="1556"/>
      <c r="AZ132" s="1556"/>
      <c r="BA132" s="1556"/>
      <c r="BB132" s="1556"/>
      <c r="BC132" s="1556"/>
      <c r="BD132" s="1558"/>
      <c r="BE132" s="7"/>
      <c r="BF132" s="1665"/>
      <c r="BG132"/>
      <c r="BH132"/>
      <c r="BI132"/>
      <c r="BJ132"/>
      <c r="BK132"/>
      <c r="BL132"/>
      <c r="BM132" s="1666"/>
      <c r="BN132" s="1666"/>
      <c r="BO132" s="1666"/>
      <c r="BP132" s="1666"/>
      <c r="BQ132" s="1666"/>
      <c r="BR132" s="1666"/>
      <c r="BS132" s="1666"/>
    </row>
    <row r="133" spans="1:71" s="1458" customFormat="1" ht="12.75" customHeight="1" collapsed="1">
      <c r="A133" s="1938"/>
      <c r="B133" s="1937"/>
      <c r="C133" s="1555"/>
      <c r="D133" s="1935"/>
      <c r="E133" s="1555"/>
      <c r="F133" s="1555"/>
      <c r="G133" s="1556"/>
      <c r="H133" s="1556"/>
      <c r="I133" s="1556"/>
      <c r="J133" s="1556"/>
      <c r="K133" s="1557"/>
      <c r="L133" s="1556"/>
      <c r="M133" s="1556"/>
      <c r="N133" s="1556"/>
      <c r="O133" s="1556"/>
      <c r="P133" s="1557"/>
      <c r="Q133" s="1556"/>
      <c r="R133" s="1556"/>
      <c r="S133" s="1556"/>
      <c r="T133" s="1556"/>
      <c r="U133" s="1823"/>
      <c r="V133" s="1556"/>
      <c r="W133" s="1556"/>
      <c r="X133" s="2620"/>
      <c r="Y133" s="2733"/>
      <c r="Z133" s="2566"/>
      <c r="AA133" s="1556"/>
      <c r="AB133" s="1556"/>
      <c r="AC133" s="1556"/>
      <c r="AD133" s="1556"/>
      <c r="AE133" s="1557"/>
      <c r="AF133" s="1556"/>
      <c r="AG133" s="1556"/>
      <c r="AH133" s="4023"/>
      <c r="AI133" s="4023"/>
      <c r="AJ133" s="4023"/>
      <c r="AK133" s="4131"/>
      <c r="AL133" s="4131"/>
      <c r="AM133" s="4131"/>
      <c r="AN133" s="4131"/>
      <c r="AO133" s="4132"/>
      <c r="AP133" s="4023"/>
      <c r="AQ133" s="4023"/>
      <c r="AR133" s="1552"/>
      <c r="AS133" s="4007"/>
      <c r="AT133" s="1556"/>
      <c r="AU133" s="1556"/>
      <c r="AV133" s="1556"/>
      <c r="AW133" s="1556"/>
      <c r="AX133" s="1556"/>
      <c r="AY133" s="1556"/>
      <c r="AZ133" s="1556"/>
      <c r="BA133" s="1556"/>
      <c r="BB133" s="1556"/>
      <c r="BC133" s="1556"/>
      <c r="BD133" s="1558"/>
      <c r="BE133" s="7"/>
      <c r="BF133" s="1665"/>
      <c r="BG133"/>
      <c r="BH133"/>
      <c r="BI133"/>
      <c r="BJ133"/>
      <c r="BK133"/>
      <c r="BL133"/>
      <c r="BM133" s="1666"/>
      <c r="BN133" s="1666"/>
      <c r="BO133" s="1666"/>
      <c r="BP133" s="1666"/>
      <c r="BQ133" s="1666"/>
      <c r="BR133" s="1666"/>
      <c r="BS133" s="1666"/>
    </row>
    <row r="134" spans="1:71" s="12" customFormat="1" ht="12.75" hidden="1" customHeight="1" outlineLevel="1">
      <c r="A134" s="1939" t="s">
        <v>1424</v>
      </c>
      <c r="B134" s="865"/>
      <c r="C134" s="766"/>
      <c r="D134" s="1936"/>
      <c r="E134" s="766" t="str">
        <f>E$5</f>
        <v>2010</v>
      </c>
      <c r="F134" s="766" t="str">
        <f>F$5</f>
        <v>2011</v>
      </c>
      <c r="G134" s="767" t="str">
        <f t="shared" ref="G134:AQ134" si="216">G$5</f>
        <v>1Q12</v>
      </c>
      <c r="H134" s="767" t="str">
        <f t="shared" si="216"/>
        <v>2Q12</v>
      </c>
      <c r="I134" s="767" t="str">
        <f t="shared" si="216"/>
        <v>3Q12</v>
      </c>
      <c r="J134" s="767" t="str">
        <f t="shared" si="216"/>
        <v>4Q12</v>
      </c>
      <c r="K134" s="766">
        <f t="shared" si="216"/>
        <v>2012</v>
      </c>
      <c r="L134" s="767" t="str">
        <f t="shared" si="216"/>
        <v>1Q13</v>
      </c>
      <c r="M134" s="767" t="str">
        <f t="shared" si="216"/>
        <v>2Q13</v>
      </c>
      <c r="N134" s="767" t="str">
        <f t="shared" si="216"/>
        <v>3Q13</v>
      </c>
      <c r="O134" s="767" t="str">
        <f t="shared" si="216"/>
        <v>4Q13</v>
      </c>
      <c r="P134" s="766">
        <f t="shared" si="216"/>
        <v>2013</v>
      </c>
      <c r="Q134" s="767" t="str">
        <f t="shared" si="216"/>
        <v>1Q14</v>
      </c>
      <c r="R134" s="767" t="str">
        <f t="shared" si="216"/>
        <v>2Q14</v>
      </c>
      <c r="S134" s="767" t="str">
        <f t="shared" si="216"/>
        <v>3Q14</v>
      </c>
      <c r="T134" s="767" t="str">
        <f t="shared" si="216"/>
        <v>4Q14</v>
      </c>
      <c r="U134" s="766">
        <f t="shared" si="216"/>
        <v>2014</v>
      </c>
      <c r="V134" s="767" t="str">
        <f t="shared" si="216"/>
        <v>1Q15</v>
      </c>
      <c r="W134" s="767" t="str">
        <f t="shared" si="216"/>
        <v>2Q15</v>
      </c>
      <c r="X134" s="767" t="str">
        <f t="shared" si="216"/>
        <v>3Q15</v>
      </c>
      <c r="Y134" s="767" t="str">
        <f t="shared" si="216"/>
        <v>4Q15</v>
      </c>
      <c r="Z134" s="766">
        <f t="shared" si="216"/>
        <v>2015</v>
      </c>
      <c r="AA134" s="767" t="str">
        <f t="shared" si="216"/>
        <v>1Q16</v>
      </c>
      <c r="AB134" s="767" t="str">
        <f t="shared" si="216"/>
        <v>2Q16</v>
      </c>
      <c r="AC134" s="767" t="str">
        <f t="shared" si="216"/>
        <v>3Q16</v>
      </c>
      <c r="AD134" s="767" t="str">
        <f t="shared" si="216"/>
        <v>4Q16</v>
      </c>
      <c r="AE134" s="766">
        <f t="shared" si="216"/>
        <v>2016</v>
      </c>
      <c r="AF134" s="767" t="str">
        <f t="shared" si="216"/>
        <v>1Q17</v>
      </c>
      <c r="AG134" s="767" t="str">
        <f t="shared" si="216"/>
        <v>2Q17</v>
      </c>
      <c r="AH134" s="767" t="str">
        <f t="shared" si="216"/>
        <v>3Q17</v>
      </c>
      <c r="AI134" s="767" t="str">
        <f t="shared" si="216"/>
        <v>4Q17A</v>
      </c>
      <c r="AJ134" s="766" t="str">
        <f t="shared" si="216"/>
        <v>2017A</v>
      </c>
      <c r="AK134" s="767" t="str">
        <f t="shared" si="216"/>
        <v>1Q18E</v>
      </c>
      <c r="AL134" s="767" t="str">
        <f t="shared" si="216"/>
        <v>2Q18E</v>
      </c>
      <c r="AM134" s="767" t="str">
        <f t="shared" si="216"/>
        <v>3Q18E</v>
      </c>
      <c r="AN134" s="767" t="str">
        <f t="shared" si="216"/>
        <v>4Q18E</v>
      </c>
      <c r="AO134" s="766" t="str">
        <f t="shared" si="216"/>
        <v>2018E</v>
      </c>
      <c r="AP134" s="766" t="str">
        <f t="shared" si="216"/>
        <v>2019E</v>
      </c>
      <c r="AQ134" s="766" t="str">
        <f t="shared" si="216"/>
        <v>2020E</v>
      </c>
      <c r="AR134" s="431"/>
      <c r="AS134" s="291" t="str">
        <f>+A134</f>
        <v>Adjusted EBITDA Summary</v>
      </c>
      <c r="AT134" s="767" t="str">
        <f>+E134</f>
        <v>2010</v>
      </c>
      <c r="AU134" s="767" t="str">
        <f>+F134</f>
        <v>2011</v>
      </c>
      <c r="AV134" s="767">
        <f>+K134</f>
        <v>2012</v>
      </c>
      <c r="AW134" s="767">
        <f>+P134</f>
        <v>2013</v>
      </c>
      <c r="AX134" s="767">
        <f>+U134</f>
        <v>2014</v>
      </c>
      <c r="AY134" s="767">
        <f>+Z134</f>
        <v>2015</v>
      </c>
      <c r="AZ134" s="767">
        <f>+AE134</f>
        <v>2016</v>
      </c>
      <c r="BA134" s="767" t="str">
        <f>+AJ134</f>
        <v>2017A</v>
      </c>
      <c r="BB134" s="767" t="str">
        <f>+AO134</f>
        <v>2018E</v>
      </c>
      <c r="BC134" s="767" t="str">
        <f>+AP134</f>
        <v>2019E</v>
      </c>
      <c r="BD134" s="865" t="str">
        <f>+AQ134</f>
        <v>2020E</v>
      </c>
      <c r="BE134" s="14"/>
      <c r="BF134" s="900"/>
      <c r="BG134"/>
      <c r="BH134"/>
      <c r="BI134"/>
      <c r="BJ134"/>
      <c r="BK134"/>
      <c r="BL134"/>
      <c r="BM134" s="902"/>
      <c r="BN134" s="902"/>
      <c r="BO134" s="902"/>
      <c r="BP134" s="902"/>
      <c r="BQ134" s="902"/>
      <c r="BR134" s="902"/>
      <c r="BS134" s="902"/>
    </row>
    <row r="135" spans="1:71" s="11" customFormat="1" ht="12.75" hidden="1" customHeight="1" outlineLevel="1">
      <c r="A135" s="513" t="s">
        <v>1233</v>
      </c>
      <c r="B135" s="514"/>
      <c r="C135" s="514"/>
      <c r="D135" s="514"/>
      <c r="E135" s="513">
        <f>E264</f>
        <v>688</v>
      </c>
      <c r="F135" s="513">
        <f>F264</f>
        <v>725</v>
      </c>
      <c r="G135" s="514">
        <f t="shared" ref="G135:W135" si="217">G264</f>
        <v>132</v>
      </c>
      <c r="H135" s="514">
        <f t="shared" si="217"/>
        <v>226</v>
      </c>
      <c r="I135" s="514">
        <f t="shared" si="217"/>
        <v>208</v>
      </c>
      <c r="J135" s="514">
        <f t="shared" si="217"/>
        <v>227</v>
      </c>
      <c r="K135" s="513">
        <f t="shared" si="217"/>
        <v>793</v>
      </c>
      <c r="L135" s="514">
        <f t="shared" si="217"/>
        <v>174</v>
      </c>
      <c r="M135" s="514">
        <f t="shared" si="217"/>
        <v>274</v>
      </c>
      <c r="N135" s="514">
        <f t="shared" si="217"/>
        <v>227</v>
      </c>
      <c r="O135" s="514">
        <f t="shared" si="217"/>
        <v>254</v>
      </c>
      <c r="P135" s="513">
        <f t="shared" si="217"/>
        <v>929</v>
      </c>
      <c r="Q135" s="514">
        <f t="shared" si="217"/>
        <v>179</v>
      </c>
      <c r="R135" s="514">
        <f t="shared" si="217"/>
        <v>291</v>
      </c>
      <c r="S135" s="514">
        <f t="shared" si="217"/>
        <v>260</v>
      </c>
      <c r="T135" s="514">
        <f t="shared" si="217"/>
        <v>269</v>
      </c>
      <c r="U135" s="513">
        <f t="shared" si="217"/>
        <v>999</v>
      </c>
      <c r="V135" s="514">
        <f t="shared" si="217"/>
        <v>190</v>
      </c>
      <c r="W135" s="514">
        <f t="shared" si="217"/>
        <v>318</v>
      </c>
      <c r="X135" s="514">
        <f t="shared" ref="X135:AQ135" si="218">X264</f>
        <v>281</v>
      </c>
      <c r="Y135" s="1968">
        <f t="shared" si="218"/>
        <v>275</v>
      </c>
      <c r="Z135" s="2005">
        <f t="shared" si="218"/>
        <v>1064</v>
      </c>
      <c r="AA135" s="514">
        <f t="shared" si="218"/>
        <v>207</v>
      </c>
      <c r="AB135" s="514">
        <f t="shared" si="218"/>
        <v>299</v>
      </c>
      <c r="AC135" s="514">
        <f t="shared" si="218"/>
        <v>264</v>
      </c>
      <c r="AD135" s="514">
        <f t="shared" si="218"/>
        <v>259</v>
      </c>
      <c r="AE135" s="513">
        <f t="shared" si="218"/>
        <v>1029</v>
      </c>
      <c r="AF135" s="514">
        <f t="shared" si="218"/>
        <v>28</v>
      </c>
      <c r="AG135" s="514">
        <f t="shared" si="218"/>
        <v>47</v>
      </c>
      <c r="AH135" s="514">
        <f t="shared" si="218"/>
        <v>43</v>
      </c>
      <c r="AI135" s="514">
        <f t="shared" si="218"/>
        <v>46</v>
      </c>
      <c r="AJ135" s="513">
        <f>AJ264</f>
        <v>164</v>
      </c>
      <c r="AK135" s="514">
        <f t="shared" si="218"/>
        <v>16.792426964045717</v>
      </c>
      <c r="AL135" s="514">
        <f t="shared" si="218"/>
        <v>51.382760072967585</v>
      </c>
      <c r="AM135" s="514">
        <f t="shared" si="218"/>
        <v>44.335104003701247</v>
      </c>
      <c r="AN135" s="514">
        <f t="shared" si="218"/>
        <v>45.961168520794672</v>
      </c>
      <c r="AO135" s="2005">
        <f>AO264</f>
        <v>158.47145956150922</v>
      </c>
      <c r="AP135" s="513">
        <f t="shared" si="218"/>
        <v>162.68362961696425</v>
      </c>
      <c r="AQ135" s="513">
        <f t="shared" si="218"/>
        <v>139.94217082283762</v>
      </c>
      <c r="AR135" s="808"/>
      <c r="AS135" s="514"/>
      <c r="AT135" s="514"/>
      <c r="AU135" s="514"/>
      <c r="AV135" s="514"/>
      <c r="AW135" s="514"/>
      <c r="AX135" s="514"/>
      <c r="AY135" s="514"/>
      <c r="AZ135" s="514"/>
      <c r="BA135" s="514"/>
      <c r="BB135" s="514"/>
      <c r="BC135" s="514"/>
      <c r="BD135" s="514"/>
      <c r="BE135" s="14"/>
      <c r="BF135" s="908"/>
      <c r="BG135"/>
      <c r="BH135"/>
      <c r="BI135"/>
      <c r="BJ135"/>
      <c r="BK135"/>
      <c r="BL135"/>
      <c r="BM135" s="909"/>
      <c r="BN135" s="909"/>
      <c r="BO135" s="909"/>
      <c r="BP135" s="902"/>
      <c r="BQ135" s="902"/>
      <c r="BR135" s="909"/>
      <c r="BS135" s="909"/>
    </row>
    <row r="136" spans="1:71" s="19" customFormat="1" ht="12.75" hidden="1" customHeight="1" outlineLevel="1">
      <c r="A136" s="644" t="s">
        <v>621</v>
      </c>
      <c r="B136" s="506"/>
      <c r="C136" s="506"/>
      <c r="D136" s="506"/>
      <c r="E136" s="644">
        <f>E281</f>
        <v>968</v>
      </c>
      <c r="F136" s="644">
        <f>F281</f>
        <v>1095</v>
      </c>
      <c r="G136" s="506">
        <f t="shared" ref="G136:W136" si="219">G281</f>
        <v>264</v>
      </c>
      <c r="H136" s="506">
        <f t="shared" si="219"/>
        <v>300</v>
      </c>
      <c r="I136" s="506">
        <f t="shared" si="219"/>
        <v>313</v>
      </c>
      <c r="J136" s="506">
        <f t="shared" si="219"/>
        <v>303</v>
      </c>
      <c r="K136" s="644">
        <f t="shared" si="219"/>
        <v>1180</v>
      </c>
      <c r="L136" s="506">
        <f t="shared" si="219"/>
        <v>282</v>
      </c>
      <c r="M136" s="506">
        <f t="shared" si="219"/>
        <v>326</v>
      </c>
      <c r="N136" s="506">
        <f t="shared" si="219"/>
        <v>330</v>
      </c>
      <c r="O136" s="506">
        <f t="shared" si="219"/>
        <v>333</v>
      </c>
      <c r="P136" s="644">
        <f t="shared" si="219"/>
        <v>1271</v>
      </c>
      <c r="Q136" s="506">
        <f t="shared" si="219"/>
        <v>331</v>
      </c>
      <c r="R136" s="506">
        <f t="shared" si="219"/>
        <v>371</v>
      </c>
      <c r="S136" s="506">
        <f t="shared" si="219"/>
        <v>383</v>
      </c>
      <c r="T136" s="506">
        <f t="shared" si="219"/>
        <v>383</v>
      </c>
      <c r="U136" s="644">
        <f t="shared" si="219"/>
        <v>1468</v>
      </c>
      <c r="V136" s="506">
        <f t="shared" si="219"/>
        <v>391</v>
      </c>
      <c r="W136" s="506">
        <f t="shared" si="219"/>
        <v>434</v>
      </c>
      <c r="X136" s="506">
        <f t="shared" ref="X136:AQ136" si="220">X281</f>
        <v>438</v>
      </c>
      <c r="Y136" s="2008">
        <f t="shared" si="220"/>
        <v>428</v>
      </c>
      <c r="Z136" s="2759">
        <f t="shared" si="220"/>
        <v>1691</v>
      </c>
      <c r="AA136" s="506">
        <f t="shared" si="220"/>
        <v>409</v>
      </c>
      <c r="AB136" s="506">
        <f t="shared" si="220"/>
        <v>471</v>
      </c>
      <c r="AC136" s="506">
        <f t="shared" si="220"/>
        <v>470</v>
      </c>
      <c r="AD136" s="506">
        <f t="shared" si="220"/>
        <v>436</v>
      </c>
      <c r="AE136" s="644">
        <f t="shared" si="220"/>
        <v>1786</v>
      </c>
      <c r="AF136" s="506">
        <f t="shared" si="220"/>
        <v>429</v>
      </c>
      <c r="AG136" s="506">
        <f t="shared" si="220"/>
        <v>513</v>
      </c>
      <c r="AH136" s="506">
        <f t="shared" si="220"/>
        <v>512</v>
      </c>
      <c r="AI136" s="506">
        <f t="shared" si="220"/>
        <v>486</v>
      </c>
      <c r="AJ136" s="644">
        <f t="shared" si="220"/>
        <v>1940</v>
      </c>
      <c r="AK136" s="506">
        <f t="shared" ref="AK136:AO136" si="221">AK281</f>
        <v>448.61811751717255</v>
      </c>
      <c r="AL136" s="506">
        <f t="shared" si="221"/>
        <v>540.93603365431227</v>
      </c>
      <c r="AM136" s="506">
        <f t="shared" si="221"/>
        <v>547.77726778072645</v>
      </c>
      <c r="AN136" s="506">
        <f t="shared" si="221"/>
        <v>506.78410733607433</v>
      </c>
      <c r="AO136" s="2759">
        <f t="shared" si="221"/>
        <v>2044.1155262882855</v>
      </c>
      <c r="AP136" s="644">
        <f t="shared" si="220"/>
        <v>2196.0531613578714</v>
      </c>
      <c r="AQ136" s="644">
        <f t="shared" si="220"/>
        <v>2251.2829327973004</v>
      </c>
      <c r="AR136" s="808"/>
      <c r="AS136" s="506"/>
      <c r="AT136" s="506"/>
      <c r="AU136" s="506"/>
      <c r="AV136" s="506"/>
      <c r="AW136" s="506"/>
      <c r="AX136" s="506"/>
      <c r="AY136" s="506"/>
      <c r="AZ136" s="506"/>
      <c r="BA136" s="506"/>
      <c r="BB136" s="506"/>
      <c r="BC136" s="506"/>
      <c r="BD136" s="506"/>
      <c r="BE136" s="14"/>
      <c r="BF136" s="930"/>
      <c r="BG136"/>
      <c r="BH136"/>
      <c r="BI136"/>
      <c r="BJ136"/>
      <c r="BK136"/>
      <c r="BL136"/>
      <c r="BM136" s="931"/>
      <c r="BN136" s="931"/>
      <c r="BO136" s="931"/>
      <c r="BP136" s="902"/>
      <c r="BQ136" s="902"/>
      <c r="BR136" s="931"/>
      <c r="BS136" s="931"/>
    </row>
    <row r="137" spans="1:71" s="19" customFormat="1" ht="12.75" hidden="1" customHeight="1" outlineLevel="1">
      <c r="A137" s="644" t="s">
        <v>750</v>
      </c>
      <c r="B137" s="506"/>
      <c r="C137" s="506"/>
      <c r="D137" s="506"/>
      <c r="E137" s="644">
        <f>E431</f>
        <v>171</v>
      </c>
      <c r="F137" s="644">
        <f>F431</f>
        <v>207</v>
      </c>
      <c r="G137" s="506">
        <f t="shared" ref="G137:W137" si="222">G431</f>
        <v>54</v>
      </c>
      <c r="H137" s="506">
        <f t="shared" si="222"/>
        <v>59</v>
      </c>
      <c r="I137" s="506">
        <f t="shared" si="222"/>
        <v>85</v>
      </c>
      <c r="J137" s="506">
        <f t="shared" si="222"/>
        <v>54</v>
      </c>
      <c r="K137" s="644">
        <f t="shared" si="222"/>
        <v>252</v>
      </c>
      <c r="L137" s="506">
        <f t="shared" si="222"/>
        <v>59</v>
      </c>
      <c r="M137" s="506">
        <f t="shared" si="222"/>
        <v>60</v>
      </c>
      <c r="N137" s="506">
        <f t="shared" si="222"/>
        <v>86</v>
      </c>
      <c r="O137" s="506">
        <f t="shared" si="222"/>
        <v>92</v>
      </c>
      <c r="P137" s="644">
        <f t="shared" si="222"/>
        <v>297</v>
      </c>
      <c r="Q137" s="506">
        <f t="shared" si="222"/>
        <v>85</v>
      </c>
      <c r="R137" s="506">
        <f t="shared" si="222"/>
        <v>69</v>
      </c>
      <c r="S137" s="506">
        <f t="shared" si="222"/>
        <v>78</v>
      </c>
      <c r="T137" s="506">
        <f t="shared" si="222"/>
        <v>102</v>
      </c>
      <c r="U137" s="644">
        <f t="shared" si="222"/>
        <v>334</v>
      </c>
      <c r="V137" s="506">
        <f t="shared" si="222"/>
        <v>74</v>
      </c>
      <c r="W137" s="506">
        <f t="shared" si="222"/>
        <v>86</v>
      </c>
      <c r="X137" s="506">
        <f t="shared" ref="X137:AQ137" si="223">X431</f>
        <v>99</v>
      </c>
      <c r="Y137" s="2008">
        <f t="shared" si="223"/>
        <v>93</v>
      </c>
      <c r="Z137" s="2759">
        <f t="shared" si="223"/>
        <v>352</v>
      </c>
      <c r="AA137" s="506">
        <f t="shared" si="223"/>
        <v>95</v>
      </c>
      <c r="AB137" s="506">
        <f t="shared" si="223"/>
        <v>98</v>
      </c>
      <c r="AC137" s="506">
        <f t="shared" si="223"/>
        <v>85</v>
      </c>
      <c r="AD137" s="506">
        <f t="shared" si="223"/>
        <v>103</v>
      </c>
      <c r="AE137" s="644">
        <f t="shared" si="223"/>
        <v>381</v>
      </c>
      <c r="AF137" s="506">
        <f t="shared" si="223"/>
        <v>0</v>
      </c>
      <c r="AG137" s="506">
        <f t="shared" si="223"/>
        <v>0</v>
      </c>
      <c r="AH137" s="506">
        <f t="shared" si="223"/>
        <v>0</v>
      </c>
      <c r="AI137" s="506">
        <f t="shared" si="223"/>
        <v>0</v>
      </c>
      <c r="AJ137" s="644">
        <f t="shared" si="223"/>
        <v>0</v>
      </c>
      <c r="AK137" s="506">
        <f t="shared" ref="AK137:AO137" si="224">AK431</f>
        <v>0</v>
      </c>
      <c r="AL137" s="506">
        <f t="shared" si="224"/>
        <v>0</v>
      </c>
      <c r="AM137" s="506">
        <f t="shared" si="224"/>
        <v>0</v>
      </c>
      <c r="AN137" s="506">
        <f t="shared" si="224"/>
        <v>0</v>
      </c>
      <c r="AO137" s="2759">
        <f t="shared" si="224"/>
        <v>0</v>
      </c>
      <c r="AP137" s="644">
        <f t="shared" si="223"/>
        <v>0</v>
      </c>
      <c r="AQ137" s="644">
        <f t="shared" si="223"/>
        <v>0</v>
      </c>
      <c r="AR137" s="808"/>
      <c r="AS137" s="506"/>
      <c r="AT137" s="506"/>
      <c r="AU137" s="506"/>
      <c r="AV137" s="506"/>
      <c r="AW137" s="506"/>
      <c r="AX137" s="506"/>
      <c r="AY137" s="506"/>
      <c r="AZ137" s="506"/>
      <c r="BA137" s="506"/>
      <c r="BB137" s="506"/>
      <c r="BC137" s="506"/>
      <c r="BD137" s="506"/>
      <c r="BE137" s="14"/>
      <c r="BF137" s="930"/>
      <c r="BG137"/>
      <c r="BH137"/>
      <c r="BI137"/>
      <c r="BJ137"/>
      <c r="BK137"/>
      <c r="BL137"/>
      <c r="BM137" s="931"/>
      <c r="BN137" s="931"/>
      <c r="BO137" s="931"/>
      <c r="BP137" s="902"/>
      <c r="BQ137" s="902"/>
      <c r="BR137" s="931"/>
      <c r="BS137" s="931"/>
    </row>
    <row r="138" spans="1:71" s="19" customFormat="1" ht="12.75" hidden="1" customHeight="1" outlineLevel="1">
      <c r="A138" s="644" t="s">
        <v>623</v>
      </c>
      <c r="B138" s="506"/>
      <c r="C138" s="506"/>
      <c r="D138" s="506"/>
      <c r="E138" s="644">
        <f t="shared" ref="E138:J138" si="225">E140-SUM(E135:E137)</f>
        <v>-263</v>
      </c>
      <c r="F138" s="644">
        <f t="shared" si="225"/>
        <v>-274</v>
      </c>
      <c r="G138" s="800">
        <f t="shared" si="225"/>
        <v>-66</v>
      </c>
      <c r="H138" s="506">
        <f t="shared" si="225"/>
        <v>-82</v>
      </c>
      <c r="I138" s="506">
        <f t="shared" si="225"/>
        <v>-59</v>
      </c>
      <c r="J138" s="1238">
        <f t="shared" si="225"/>
        <v>-62</v>
      </c>
      <c r="K138" s="644">
        <f>SUM(G138:J138)</f>
        <v>-269</v>
      </c>
      <c r="L138" s="800">
        <f>L140-SUM(L135:L137)</f>
        <v>-68</v>
      </c>
      <c r="M138" s="506">
        <f>M140-SUM(M135:M137)</f>
        <v>-70</v>
      </c>
      <c r="N138" s="506">
        <f>N140-SUM(N135:N137)</f>
        <v>-73</v>
      </c>
      <c r="O138" s="1374">
        <f>O140-SUM(O135:O137)</f>
        <v>-76</v>
      </c>
      <c r="P138" s="644">
        <f>SUM(L138:O138)</f>
        <v>-287</v>
      </c>
      <c r="Q138" s="800">
        <f>Q140-SUM(Q135:Q137)</f>
        <v>-51</v>
      </c>
      <c r="R138" s="506">
        <f>R140-SUM(R135:R137)</f>
        <v>-80</v>
      </c>
      <c r="S138" s="506">
        <f>S140-SUM(S135:S137)</f>
        <v>-76</v>
      </c>
      <c r="T138" s="1238">
        <f>T140-SUM(T135:T137)</f>
        <v>-86</v>
      </c>
      <c r="U138" s="644">
        <f>SUM(Q138:T138)</f>
        <v>-293</v>
      </c>
      <c r="V138" s="506">
        <f>V140-SUM(V135:V137)</f>
        <v>-56</v>
      </c>
      <c r="W138" s="506">
        <f>W140-SUM(W135:W137)</f>
        <v>-61</v>
      </c>
      <c r="X138" s="506">
        <f>X140-SUM(X135:X137)</f>
        <v>-60</v>
      </c>
      <c r="Y138" s="2204">
        <f>Y140-SUM(Y135:Y137)</f>
        <v>-51</v>
      </c>
      <c r="Z138" s="2759">
        <f>SUM(V138:Y138)</f>
        <v>-228</v>
      </c>
      <c r="AA138" s="506">
        <f>AA140-SUM(AA135:AA137)</f>
        <v>-58</v>
      </c>
      <c r="AB138" s="506">
        <f>AB140-SUM(AB135:AB137)</f>
        <v>-62</v>
      </c>
      <c r="AC138" s="506">
        <f>AC140-SUM(AC135:AC137)</f>
        <v>-54</v>
      </c>
      <c r="AD138" s="506">
        <f>AD140-SUM(AD135:AD137)</f>
        <v>-47</v>
      </c>
      <c r="AE138" s="644">
        <f>SUM(AA138:AD138)</f>
        <v>-221</v>
      </c>
      <c r="AF138" s="710">
        <f>AF140-SUM(AF135:AF137)</f>
        <v>-33</v>
      </c>
      <c r="AG138" s="710">
        <f>AG140-SUM(AG135:AG137)</f>
        <v>-41</v>
      </c>
      <c r="AH138" s="710">
        <f>AH140-SUM(AH135:AH137)</f>
        <v>-31</v>
      </c>
      <c r="AI138" s="710">
        <f ca="1">AI140-SUM(AI135:AI137)</f>
        <v>-34</v>
      </c>
      <c r="AJ138" s="3545">
        <f ca="1">SUM(AF138:AI138)</f>
        <v>-139</v>
      </c>
      <c r="AK138" s="4134">
        <f ca="1">+AK121-AK137-AK136-AK135</f>
        <v>-41.003358714838157</v>
      </c>
      <c r="AL138" s="3808">
        <f t="shared" ref="AL138:AN138" ca="1" si="226">+AL121-AL137-AL136-AL135</f>
        <v>-29.901286026805224</v>
      </c>
      <c r="AM138" s="3808">
        <f t="shared" ca="1" si="226"/>
        <v>-27.072446346759591</v>
      </c>
      <c r="AN138" s="3808">
        <f t="shared" ca="1" si="226"/>
        <v>-35.949774439199757</v>
      </c>
      <c r="AO138" s="4133">
        <f ca="1">SUM(AK138:AN138)</f>
        <v>-133.92686552760273</v>
      </c>
      <c r="AP138" s="3545">
        <f t="shared" ref="AP138" ca="1" si="227">+AP121-AP137-AP136-AP135</f>
        <v>-133.44552611458926</v>
      </c>
      <c r="AQ138" s="3545">
        <f t="shared" ref="AQ138" ca="1" si="228">+AQ121-AQ137-AQ136-AQ135</f>
        <v>-126.057827572012</v>
      </c>
      <c r="AR138" s="1237"/>
      <c r="AS138" s="506"/>
      <c r="AT138" s="506"/>
      <c r="AU138" s="506"/>
      <c r="AV138" s="506"/>
      <c r="AW138" s="506"/>
      <c r="AX138" s="506"/>
      <c r="AY138" s="506"/>
      <c r="AZ138" s="506"/>
      <c r="BA138" s="506"/>
      <c r="BB138" s="506"/>
      <c r="BC138" s="506"/>
      <c r="BD138" s="506"/>
      <c r="BE138" s="14"/>
      <c r="BF138" s="930"/>
      <c r="BG138"/>
      <c r="BH138"/>
      <c r="BI138"/>
      <c r="BJ138"/>
      <c r="BK138"/>
      <c r="BL138"/>
      <c r="BM138" s="931"/>
      <c r="BN138" s="931"/>
      <c r="BO138" s="931"/>
      <c r="BP138" s="902"/>
      <c r="BQ138" s="902"/>
      <c r="BR138" s="931"/>
      <c r="BS138" s="931"/>
    </row>
    <row r="139" spans="1:71" s="19" customFormat="1" ht="4.5" hidden="1" customHeight="1" outlineLevel="1">
      <c r="A139" s="1940"/>
      <c r="B139" s="506"/>
      <c r="C139" s="506"/>
      <c r="D139" s="506"/>
      <c r="E139" s="1240" t="s">
        <v>1872</v>
      </c>
      <c r="F139" s="1240" t="s">
        <v>1872</v>
      </c>
      <c r="G139" s="804" t="s">
        <v>1872</v>
      </c>
      <c r="H139" s="804" t="s">
        <v>1872</v>
      </c>
      <c r="I139" s="804" t="s">
        <v>1872</v>
      </c>
      <c r="J139" s="1239" t="s">
        <v>1872</v>
      </c>
      <c r="K139" s="1240" t="s">
        <v>1872</v>
      </c>
      <c r="L139" s="804" t="s">
        <v>1872</v>
      </c>
      <c r="M139" s="804" t="s">
        <v>1872</v>
      </c>
      <c r="N139" s="804" t="s">
        <v>1872</v>
      </c>
      <c r="O139" s="1239" t="s">
        <v>1872</v>
      </c>
      <c r="P139" s="1240" t="s">
        <v>1872</v>
      </c>
      <c r="Q139" s="804" t="s">
        <v>1872</v>
      </c>
      <c r="R139" s="804" t="s">
        <v>1872</v>
      </c>
      <c r="S139" s="804" t="s">
        <v>1872</v>
      </c>
      <c r="T139" s="1239" t="s">
        <v>1872</v>
      </c>
      <c r="U139" s="1240" t="s">
        <v>1872</v>
      </c>
      <c r="V139" s="804" t="s">
        <v>1872</v>
      </c>
      <c r="W139" s="804" t="s">
        <v>1872</v>
      </c>
      <c r="X139" s="804" t="s">
        <v>1872</v>
      </c>
      <c r="Y139" s="2431" t="s">
        <v>1872</v>
      </c>
      <c r="Z139" s="2760" t="s">
        <v>1872</v>
      </c>
      <c r="AA139" s="804" t="s">
        <v>1872</v>
      </c>
      <c r="AB139" s="804" t="s">
        <v>1872</v>
      </c>
      <c r="AC139" s="804" t="s">
        <v>1872</v>
      </c>
      <c r="AD139" s="804" t="s">
        <v>1872</v>
      </c>
      <c r="AE139" s="1240" t="s">
        <v>1872</v>
      </c>
      <c r="AF139" s="804" t="s">
        <v>1872</v>
      </c>
      <c r="AG139" s="804" t="s">
        <v>1872</v>
      </c>
      <c r="AH139" s="3989" t="s">
        <v>1872</v>
      </c>
      <c r="AI139" s="804" t="s">
        <v>1872</v>
      </c>
      <c r="AJ139" s="1240" t="s">
        <v>1872</v>
      </c>
      <c r="AK139" s="804" t="s">
        <v>1872</v>
      </c>
      <c r="AL139" s="804" t="s">
        <v>1872</v>
      </c>
      <c r="AM139" s="804" t="s">
        <v>1872</v>
      </c>
      <c r="AN139" s="804" t="s">
        <v>1872</v>
      </c>
      <c r="AO139" s="2760" t="s">
        <v>1872</v>
      </c>
      <c r="AP139" s="1240" t="s">
        <v>1872</v>
      </c>
      <c r="AQ139" s="1240" t="s">
        <v>1872</v>
      </c>
      <c r="AR139" s="1237"/>
      <c r="AS139" s="506"/>
      <c r="AT139" s="506"/>
      <c r="AU139" s="506"/>
      <c r="AV139" s="506"/>
      <c r="AW139" s="506"/>
      <c r="AX139" s="506"/>
      <c r="AY139" s="506"/>
      <c r="AZ139" s="506"/>
      <c r="BA139" s="506"/>
      <c r="BB139" s="506"/>
      <c r="BC139" s="506"/>
      <c r="BD139" s="506"/>
      <c r="BE139" s="14"/>
      <c r="BF139" s="930"/>
      <c r="BG139"/>
      <c r="BH139"/>
      <c r="BI139"/>
      <c r="BJ139"/>
      <c r="BK139"/>
      <c r="BL139"/>
      <c r="BM139" s="931"/>
      <c r="BN139" s="931"/>
      <c r="BO139" s="931"/>
      <c r="BP139" s="931"/>
      <c r="BQ139" s="931"/>
      <c r="BR139" s="931"/>
      <c r="BS139" s="931"/>
    </row>
    <row r="140" spans="1:71" s="11" customFormat="1" ht="12.75" hidden="1" customHeight="1" outlineLevel="1">
      <c r="A140" s="1416" t="s">
        <v>622</v>
      </c>
      <c r="B140" s="955"/>
      <c r="C140" s="955"/>
      <c r="D140" s="955"/>
      <c r="E140" s="1416">
        <f t="shared" ref="E140:AJ140" si="229">E121</f>
        <v>1564</v>
      </c>
      <c r="F140" s="1416">
        <f t="shared" si="229"/>
        <v>1753</v>
      </c>
      <c r="G140" s="954">
        <f t="shared" si="229"/>
        <v>384</v>
      </c>
      <c r="H140" s="955">
        <f t="shared" si="229"/>
        <v>503</v>
      </c>
      <c r="I140" s="955">
        <f t="shared" si="229"/>
        <v>547</v>
      </c>
      <c r="J140" s="956">
        <f t="shared" si="229"/>
        <v>522</v>
      </c>
      <c r="K140" s="1416">
        <f t="shared" si="229"/>
        <v>1956</v>
      </c>
      <c r="L140" s="954">
        <f t="shared" si="229"/>
        <v>447</v>
      </c>
      <c r="M140" s="955">
        <f t="shared" si="229"/>
        <v>590</v>
      </c>
      <c r="N140" s="955">
        <f t="shared" si="229"/>
        <v>570</v>
      </c>
      <c r="O140" s="956">
        <f t="shared" si="229"/>
        <v>603</v>
      </c>
      <c r="P140" s="956">
        <f t="shared" si="229"/>
        <v>2210</v>
      </c>
      <c r="Q140" s="955">
        <f t="shared" si="229"/>
        <v>544</v>
      </c>
      <c r="R140" s="955">
        <f t="shared" si="229"/>
        <v>651</v>
      </c>
      <c r="S140" s="955">
        <f t="shared" si="229"/>
        <v>645</v>
      </c>
      <c r="T140" s="956">
        <f t="shared" si="229"/>
        <v>668</v>
      </c>
      <c r="U140" s="956">
        <f t="shared" si="229"/>
        <v>2508</v>
      </c>
      <c r="V140" s="955">
        <f t="shared" si="229"/>
        <v>599</v>
      </c>
      <c r="W140" s="955">
        <f t="shared" si="229"/>
        <v>777</v>
      </c>
      <c r="X140" s="955">
        <f t="shared" si="229"/>
        <v>758</v>
      </c>
      <c r="Y140" s="2081">
        <f t="shared" si="229"/>
        <v>745</v>
      </c>
      <c r="Z140" s="2081">
        <f t="shared" si="229"/>
        <v>2879</v>
      </c>
      <c r="AA140" s="955">
        <f t="shared" si="229"/>
        <v>653</v>
      </c>
      <c r="AB140" s="955">
        <f t="shared" si="229"/>
        <v>806</v>
      </c>
      <c r="AC140" s="955">
        <f t="shared" si="229"/>
        <v>765</v>
      </c>
      <c r="AD140" s="955">
        <f t="shared" si="229"/>
        <v>751</v>
      </c>
      <c r="AE140" s="1416">
        <f t="shared" si="229"/>
        <v>2975</v>
      </c>
      <c r="AF140" s="955">
        <f t="shared" si="229"/>
        <v>424</v>
      </c>
      <c r="AG140" s="955">
        <f t="shared" si="229"/>
        <v>519</v>
      </c>
      <c r="AH140" s="3988">
        <f t="shared" si="229"/>
        <v>524</v>
      </c>
      <c r="AI140" s="955">
        <f t="shared" ca="1" si="229"/>
        <v>498</v>
      </c>
      <c r="AJ140" s="1416">
        <f t="shared" ca="1" si="229"/>
        <v>1965</v>
      </c>
      <c r="AK140" s="955">
        <f ca="1">+SUM(AK135:AK139)</f>
        <v>424.40718576638011</v>
      </c>
      <c r="AL140" s="955">
        <f t="shared" ref="AL140:AN140" ca="1" si="230">+SUM(AL135:AL139)</f>
        <v>562.41750770047463</v>
      </c>
      <c r="AM140" s="955">
        <f t="shared" ca="1" si="230"/>
        <v>565.03992543766822</v>
      </c>
      <c r="AN140" s="955">
        <f t="shared" ca="1" si="230"/>
        <v>516.79550141766936</v>
      </c>
      <c r="AO140" s="3966">
        <f t="shared" ref="AO140" ca="1" si="231">AO121</f>
        <v>2068.6601203221921</v>
      </c>
      <c r="AP140" s="956">
        <f ca="1">+SUM(AP135:AP139)</f>
        <v>2225.291264860246</v>
      </c>
      <c r="AQ140" s="956">
        <f ca="1">+SUM(AQ135:AQ139)</f>
        <v>2265.167276048126</v>
      </c>
      <c r="AR140" s="1417"/>
      <c r="AS140" s="514"/>
      <c r="AT140" s="514"/>
      <c r="AU140" s="514"/>
      <c r="AV140" s="514"/>
      <c r="AW140" s="514"/>
      <c r="AX140" s="514"/>
      <c r="AY140" s="514"/>
      <c r="AZ140" s="514"/>
      <c r="BA140" s="514"/>
      <c r="BB140" s="514"/>
      <c r="BC140" s="514"/>
      <c r="BD140" s="514"/>
      <c r="BE140" s="14"/>
      <c r="BF140" s="908"/>
      <c r="BG140"/>
      <c r="BH140"/>
      <c r="BI140"/>
      <c r="BJ140"/>
      <c r="BK140"/>
      <c r="BL140"/>
      <c r="BM140" s="909"/>
      <c r="BN140" s="909"/>
      <c r="BO140" s="909"/>
      <c r="BP140" s="902"/>
      <c r="BQ140" s="909"/>
      <c r="BR140" s="909"/>
      <c r="BS140" s="909"/>
    </row>
    <row r="141" spans="1:71" ht="12.75" hidden="1" customHeight="1" outlineLevel="1">
      <c r="A141" s="1941" t="s">
        <v>8</v>
      </c>
      <c r="B141" s="579"/>
      <c r="C141" s="444"/>
      <c r="D141" s="1060"/>
      <c r="E141" s="444"/>
      <c r="F141" s="444">
        <f>F135/E135-1</f>
        <v>5.3779069767441845E-2</v>
      </c>
      <c r="G141" s="471"/>
      <c r="H141" s="471"/>
      <c r="I141" s="471"/>
      <c r="J141" s="471"/>
      <c r="K141" s="444">
        <f>K135/F135-1</f>
        <v>9.3793103448275961E-2</v>
      </c>
      <c r="L141" s="471">
        <f t="shared" ref="L141:Q144" si="232">+L135/G135-1</f>
        <v>0.31818181818181812</v>
      </c>
      <c r="M141" s="471">
        <f t="shared" si="232"/>
        <v>0.21238938053097356</v>
      </c>
      <c r="N141" s="471">
        <f t="shared" si="232"/>
        <v>9.1346153846153744E-2</v>
      </c>
      <c r="O141" s="471">
        <f t="shared" si="232"/>
        <v>0.11894273127753308</v>
      </c>
      <c r="P141" s="444">
        <f>P135/K135-1</f>
        <v>0.17150063051702391</v>
      </c>
      <c r="Q141" s="471">
        <f t="shared" si="232"/>
        <v>2.8735632183908066E-2</v>
      </c>
      <c r="R141" s="471">
        <f t="shared" ref="R141:T144" si="233">+R135/M135-1</f>
        <v>6.2043795620438047E-2</v>
      </c>
      <c r="S141" s="471">
        <f t="shared" si="233"/>
        <v>0.14537444933920707</v>
      </c>
      <c r="T141" s="471">
        <f t="shared" si="233"/>
        <v>5.9055118110236116E-2</v>
      </c>
      <c r="U141" s="444">
        <f>U135/P135-1</f>
        <v>7.5349838536060254E-2</v>
      </c>
      <c r="V141" s="471">
        <f t="shared" ref="V141:Y144" si="234">+V135/Q135-1</f>
        <v>6.1452513966480549E-2</v>
      </c>
      <c r="W141" s="471">
        <f t="shared" si="234"/>
        <v>9.2783505154639068E-2</v>
      </c>
      <c r="X141" s="471">
        <f t="shared" si="234"/>
        <v>8.0769230769230704E-2</v>
      </c>
      <c r="Y141" s="471">
        <f t="shared" si="234"/>
        <v>2.2304832713754719E-2</v>
      </c>
      <c r="Z141" s="444">
        <f>Z135/U135-1</f>
        <v>6.5065065065065042E-2</v>
      </c>
      <c r="AA141" s="471">
        <f t="shared" ref="AA141:AC144" si="235">+AA135/V135-1</f>
        <v>8.9473684210526372E-2</v>
      </c>
      <c r="AB141" s="471">
        <f t="shared" si="235"/>
        <v>-5.9748427672955962E-2</v>
      </c>
      <c r="AC141" s="471">
        <f t="shared" si="235"/>
        <v>-6.0498220640569422E-2</v>
      </c>
      <c r="AD141" s="471">
        <f>+AD135/Y135-1</f>
        <v>-5.8181818181818223E-2</v>
      </c>
      <c r="AE141" s="444">
        <f>AE135/Z135-1</f>
        <v>-3.289473684210531E-2</v>
      </c>
      <c r="AF141" s="471">
        <f t="shared" ref="AF141:AI144" si="236">+AF135/AA135-1</f>
        <v>-0.86473429951690828</v>
      </c>
      <c r="AG141" s="471">
        <f t="shared" si="236"/>
        <v>-0.84280936454849498</v>
      </c>
      <c r="AH141" s="471">
        <f t="shared" si="236"/>
        <v>-0.83712121212121215</v>
      </c>
      <c r="AI141" s="471">
        <f t="shared" si="236"/>
        <v>-0.82239382239382242</v>
      </c>
      <c r="AJ141" s="444">
        <f>AJ135/AE135-1</f>
        <v>-0.84062196307094261</v>
      </c>
      <c r="AK141" s="471">
        <f t="shared" ref="AK141:AK142" si="237">+AK135/AF135-1</f>
        <v>-0.40027046556979584</v>
      </c>
      <c r="AL141" s="471">
        <f t="shared" ref="AL141:AL142" si="238">+AL135/AG135-1</f>
        <v>9.3250214318459257E-2</v>
      </c>
      <c r="AM141" s="471">
        <f t="shared" ref="AM141:AM142" si="239">+AM135/AH135-1</f>
        <v>3.104893031863365E-2</v>
      </c>
      <c r="AN141" s="471">
        <f t="shared" ref="AN141:AN142" si="240">+AN135/AI135-1</f>
        <v>-8.4416259142017225E-4</v>
      </c>
      <c r="AO141" s="444">
        <f>AO135/AJ135-1</f>
        <v>-3.3710612429821873E-2</v>
      </c>
      <c r="AP141" s="444">
        <f t="shared" ref="AP141:AQ144" si="241">+AP135/AO135-1</f>
        <v>2.6579991546175741E-2</v>
      </c>
      <c r="AQ141" s="444">
        <f t="shared" si="241"/>
        <v>-0.13978947265727348</v>
      </c>
      <c r="AR141" s="319"/>
      <c r="AS141" s="1651" t="str">
        <f>+A141</f>
        <v>Ownership - % growth, y/y</v>
      </c>
      <c r="AT141" s="471"/>
      <c r="AU141" s="471">
        <f>+F141</f>
        <v>5.3779069767441845E-2</v>
      </c>
      <c r="AV141" s="471">
        <f>+K141</f>
        <v>9.3793103448275961E-2</v>
      </c>
      <c r="AW141" s="471">
        <f>+P141</f>
        <v>0.17150063051702391</v>
      </c>
      <c r="AX141" s="471">
        <f>+U141</f>
        <v>7.5349838536060254E-2</v>
      </c>
      <c r="AY141" s="471">
        <f>+Z141</f>
        <v>6.5065065065065042E-2</v>
      </c>
      <c r="AZ141" s="579">
        <f>+AE141</f>
        <v>-3.289473684210531E-2</v>
      </c>
      <c r="BA141" s="471">
        <f>+AJ141</f>
        <v>-0.84062196307094261</v>
      </c>
      <c r="BB141" s="471">
        <f t="shared" ref="BB141:BD145" si="242">+AO141</f>
        <v>-3.3710612429821873E-2</v>
      </c>
      <c r="BC141" s="471">
        <f t="shared" si="242"/>
        <v>2.6579991546175741E-2</v>
      </c>
      <c r="BD141" s="579">
        <f t="shared" si="242"/>
        <v>-0.13978947265727348</v>
      </c>
      <c r="BF141" s="900"/>
      <c r="BM141" s="902"/>
      <c r="BN141" s="902"/>
      <c r="BO141" s="902"/>
      <c r="BP141" s="902"/>
      <c r="BQ141" s="902"/>
      <c r="BR141" s="902"/>
      <c r="BS141" s="902"/>
    </row>
    <row r="142" spans="1:71" ht="12.75" hidden="1" customHeight="1" outlineLevel="1">
      <c r="A142" s="1941" t="s">
        <v>9</v>
      </c>
      <c r="B142" s="579"/>
      <c r="C142" s="444"/>
      <c r="D142" s="1060"/>
      <c r="E142" s="444"/>
      <c r="F142" s="444">
        <f>F136/E136-1</f>
        <v>0.13119834710743805</v>
      </c>
      <c r="G142" s="471"/>
      <c r="H142" s="471"/>
      <c r="I142" s="471"/>
      <c r="J142" s="471"/>
      <c r="K142" s="444">
        <f>K136/F136-1</f>
        <v>7.7625570776255648E-2</v>
      </c>
      <c r="L142" s="471">
        <f t="shared" si="232"/>
        <v>6.8181818181818121E-2</v>
      </c>
      <c r="M142" s="471">
        <f t="shared" si="232"/>
        <v>8.666666666666667E-2</v>
      </c>
      <c r="N142" s="471">
        <f t="shared" si="232"/>
        <v>5.4313099041533475E-2</v>
      </c>
      <c r="O142" s="471">
        <f t="shared" si="232"/>
        <v>9.9009900990099098E-2</v>
      </c>
      <c r="P142" s="444">
        <f>P136/K136-1</f>
        <v>7.7118644067796671E-2</v>
      </c>
      <c r="Q142" s="471">
        <f t="shared" si="232"/>
        <v>0.17375886524822692</v>
      </c>
      <c r="R142" s="471">
        <f t="shared" si="233"/>
        <v>0.13803680981595101</v>
      </c>
      <c r="S142" s="471">
        <f t="shared" si="233"/>
        <v>0.16060606060606064</v>
      </c>
      <c r="T142" s="471">
        <f t="shared" si="233"/>
        <v>0.1501501501501501</v>
      </c>
      <c r="U142" s="444">
        <f>U136/P136-1</f>
        <v>0.15499606608969319</v>
      </c>
      <c r="V142" s="471">
        <f t="shared" si="234"/>
        <v>0.18126888217522663</v>
      </c>
      <c r="W142" s="471">
        <f t="shared" si="234"/>
        <v>0.16981132075471694</v>
      </c>
      <c r="X142" s="471">
        <f t="shared" si="234"/>
        <v>0.14360313315926887</v>
      </c>
      <c r="Y142" s="471">
        <f t="shared" si="234"/>
        <v>0.11749347258485643</v>
      </c>
      <c r="Z142" s="444">
        <f>Z136/U136-1</f>
        <v>0.15190735694822899</v>
      </c>
      <c r="AA142" s="471">
        <f t="shared" si="235"/>
        <v>4.6035805626598369E-2</v>
      </c>
      <c r="AB142" s="471">
        <f t="shared" si="235"/>
        <v>8.5253456221198176E-2</v>
      </c>
      <c r="AC142" s="471">
        <f t="shared" si="235"/>
        <v>7.3059360730593603E-2</v>
      </c>
      <c r="AD142" s="471">
        <f>+AD136/Y136-1</f>
        <v>1.8691588785046731E-2</v>
      </c>
      <c r="AE142" s="444">
        <f>AE136/Z136-1</f>
        <v>5.6179775280898792E-2</v>
      </c>
      <c r="AF142" s="471">
        <f t="shared" si="236"/>
        <v>4.8899755501222497E-2</v>
      </c>
      <c r="AG142" s="471">
        <f t="shared" si="236"/>
        <v>8.9171974522292974E-2</v>
      </c>
      <c r="AH142" s="471">
        <f t="shared" si="236"/>
        <v>8.9361702127659592E-2</v>
      </c>
      <c r="AI142" s="471">
        <f t="shared" si="236"/>
        <v>0.1146788990825689</v>
      </c>
      <c r="AJ142" s="444">
        <f>AJ136/AE136-1</f>
        <v>8.6226203807390878E-2</v>
      </c>
      <c r="AK142" s="471">
        <f t="shared" si="237"/>
        <v>4.5729877662406881E-2</v>
      </c>
      <c r="AL142" s="471">
        <f t="shared" si="238"/>
        <v>5.4456205953825165E-2</v>
      </c>
      <c r="AM142" s="471">
        <f t="shared" si="239"/>
        <v>6.9877476134231342E-2</v>
      </c>
      <c r="AN142" s="471">
        <f t="shared" si="240"/>
        <v>4.2765652954885436E-2</v>
      </c>
      <c r="AO142" s="444">
        <f>AO136/AJ136-1</f>
        <v>5.3667797055817257E-2</v>
      </c>
      <c r="AP142" s="444">
        <f t="shared" si="241"/>
        <v>7.4329279884427502E-2</v>
      </c>
      <c r="AQ142" s="444">
        <f t="shared" si="241"/>
        <v>2.5149560316326314E-2</v>
      </c>
      <c r="AR142" s="319"/>
      <c r="AS142" s="1651" t="str">
        <f>+A142</f>
        <v>Management / Franchise Fees - % growth, y/y</v>
      </c>
      <c r="AT142" s="471"/>
      <c r="AU142" s="471">
        <f>+F142</f>
        <v>0.13119834710743805</v>
      </c>
      <c r="AV142" s="471">
        <f>+K142</f>
        <v>7.7625570776255648E-2</v>
      </c>
      <c r="AW142" s="471">
        <f>+P142</f>
        <v>7.7118644067796671E-2</v>
      </c>
      <c r="AX142" s="471">
        <f>+U142</f>
        <v>0.15499606608969319</v>
      </c>
      <c r="AY142" s="471">
        <f>+Z142</f>
        <v>0.15190735694822899</v>
      </c>
      <c r="AZ142" s="579">
        <f>+AE142</f>
        <v>5.6179775280898792E-2</v>
      </c>
      <c r="BA142" s="471">
        <f>+AJ142</f>
        <v>8.6226203807390878E-2</v>
      </c>
      <c r="BB142" s="471">
        <f t="shared" si="242"/>
        <v>5.3667797055817257E-2</v>
      </c>
      <c r="BC142" s="471">
        <f t="shared" si="242"/>
        <v>7.4329279884427502E-2</v>
      </c>
      <c r="BD142" s="579">
        <f t="shared" si="242"/>
        <v>2.5149560316326314E-2</v>
      </c>
      <c r="BF142" s="900"/>
      <c r="BM142" s="902"/>
      <c r="BN142" s="902"/>
      <c r="BO142" s="902"/>
      <c r="BP142" s="902"/>
      <c r="BQ142" s="902"/>
      <c r="BR142" s="902"/>
      <c r="BS142" s="902"/>
    </row>
    <row r="143" spans="1:71" ht="12.75" hidden="1" customHeight="1" outlineLevel="1">
      <c r="A143" s="1941" t="s">
        <v>10</v>
      </c>
      <c r="B143" s="579"/>
      <c r="C143" s="444"/>
      <c r="D143" s="1060"/>
      <c r="E143" s="444"/>
      <c r="F143" s="444">
        <f>F137/E137-1</f>
        <v>0.21052631578947367</v>
      </c>
      <c r="G143" s="471"/>
      <c r="H143" s="471"/>
      <c r="I143" s="471"/>
      <c r="J143" s="471"/>
      <c r="K143" s="444">
        <f>K137/F137-1</f>
        <v>0.21739130434782616</v>
      </c>
      <c r="L143" s="471">
        <f t="shared" si="232"/>
        <v>9.259259259259256E-2</v>
      </c>
      <c r="M143" s="471">
        <f t="shared" si="232"/>
        <v>1.6949152542372836E-2</v>
      </c>
      <c r="N143" s="471">
        <f t="shared" si="232"/>
        <v>1.1764705882352899E-2</v>
      </c>
      <c r="O143" s="471">
        <f t="shared" si="232"/>
        <v>0.70370370370370372</v>
      </c>
      <c r="P143" s="444">
        <f>P137/K137-1</f>
        <v>0.1785714285714286</v>
      </c>
      <c r="Q143" s="471">
        <f t="shared" si="232"/>
        <v>0.44067796610169485</v>
      </c>
      <c r="R143" s="471">
        <f t="shared" si="233"/>
        <v>0.14999999999999991</v>
      </c>
      <c r="S143" s="471">
        <f t="shared" si="233"/>
        <v>-9.3023255813953543E-2</v>
      </c>
      <c r="T143" s="471">
        <f t="shared" si="233"/>
        <v>0.10869565217391308</v>
      </c>
      <c r="U143" s="444">
        <f>U137/P137-1</f>
        <v>0.12457912457912457</v>
      </c>
      <c r="V143" s="471">
        <f t="shared" si="234"/>
        <v>-0.12941176470588234</v>
      </c>
      <c r="W143" s="471">
        <f t="shared" si="234"/>
        <v>0.24637681159420288</v>
      </c>
      <c r="X143" s="471">
        <f t="shared" si="234"/>
        <v>0.26923076923076916</v>
      </c>
      <c r="Y143" s="471">
        <f t="shared" si="234"/>
        <v>-8.8235294117647078E-2</v>
      </c>
      <c r="Z143" s="444">
        <f>Z137/U137-1</f>
        <v>5.3892215568862367E-2</v>
      </c>
      <c r="AA143" s="471">
        <f t="shared" si="235"/>
        <v>0.28378378378378377</v>
      </c>
      <c r="AB143" s="471">
        <f t="shared" si="235"/>
        <v>0.13953488372093026</v>
      </c>
      <c r="AC143" s="471">
        <f t="shared" si="235"/>
        <v>-0.14141414141414144</v>
      </c>
      <c r="AD143" s="471">
        <f>+AD137/Y137-1</f>
        <v>0.10752688172043001</v>
      </c>
      <c r="AE143" s="444">
        <f>AE137/Z137-1</f>
        <v>8.2386363636363535E-2</v>
      </c>
      <c r="AF143" s="471"/>
      <c r="AG143" s="471"/>
      <c r="AH143" s="471"/>
      <c r="AI143" s="471"/>
      <c r="AJ143" s="444"/>
      <c r="AK143" s="471"/>
      <c r="AL143" s="471"/>
      <c r="AM143" s="471"/>
      <c r="AN143" s="471"/>
      <c r="AO143" s="444"/>
      <c r="AP143" s="444"/>
      <c r="AQ143" s="444"/>
      <c r="AR143" s="319"/>
      <c r="AS143" s="1651" t="str">
        <f>+A143</f>
        <v>Timeshare - % growth, y/y</v>
      </c>
      <c r="AT143" s="471"/>
      <c r="AU143" s="471">
        <f>+F143</f>
        <v>0.21052631578947367</v>
      </c>
      <c r="AV143" s="471">
        <f>+K143</f>
        <v>0.21739130434782616</v>
      </c>
      <c r="AW143" s="471">
        <f>+P143</f>
        <v>0.1785714285714286</v>
      </c>
      <c r="AX143" s="471">
        <f>+U143</f>
        <v>0.12457912457912457</v>
      </c>
      <c r="AY143" s="471">
        <f>+Z143</f>
        <v>5.3892215568862367E-2</v>
      </c>
      <c r="AZ143" s="579">
        <f>+AE143</f>
        <v>8.2386363636363535E-2</v>
      </c>
      <c r="BA143" s="471">
        <f>+AJ143</f>
        <v>0</v>
      </c>
      <c r="BB143" s="471">
        <f t="shared" si="242"/>
        <v>0</v>
      </c>
      <c r="BC143" s="471">
        <f t="shared" si="242"/>
        <v>0</v>
      </c>
      <c r="BD143" s="579">
        <f t="shared" si="242"/>
        <v>0</v>
      </c>
      <c r="BF143" s="900"/>
      <c r="BM143" s="902"/>
      <c r="BN143" s="902"/>
      <c r="BO143" s="902"/>
      <c r="BP143" s="902"/>
      <c r="BQ143" s="902"/>
      <c r="BR143" s="902"/>
      <c r="BS143" s="902"/>
    </row>
    <row r="144" spans="1:71" ht="12.75" hidden="1" customHeight="1" outlineLevel="1">
      <c r="A144" s="1941" t="s">
        <v>11</v>
      </c>
      <c r="B144" s="579"/>
      <c r="C144" s="444"/>
      <c r="D144" s="444"/>
      <c r="E144" s="1060"/>
      <c r="F144" s="444">
        <f>F138/E138-1</f>
        <v>4.1825095057034245E-2</v>
      </c>
      <c r="G144" s="471"/>
      <c r="H144" s="471"/>
      <c r="I144" s="471"/>
      <c r="J144" s="471"/>
      <c r="K144" s="444">
        <f>K138/F138-1</f>
        <v>-1.8248175182481785E-2</v>
      </c>
      <c r="L144" s="471">
        <f t="shared" si="232"/>
        <v>3.0303030303030276E-2</v>
      </c>
      <c r="M144" s="471">
        <f t="shared" si="232"/>
        <v>-0.14634146341463417</v>
      </c>
      <c r="N144" s="471">
        <f t="shared" si="232"/>
        <v>0.23728813559322037</v>
      </c>
      <c r="O144" s="471">
        <f t="shared" si="232"/>
        <v>0.22580645161290325</v>
      </c>
      <c r="P144" s="444">
        <f>P138/K138-1</f>
        <v>6.6914498141263934E-2</v>
      </c>
      <c r="Q144" s="471">
        <f t="shared" si="232"/>
        <v>-0.25</v>
      </c>
      <c r="R144" s="471">
        <f t="shared" si="233"/>
        <v>0.14285714285714279</v>
      </c>
      <c r="S144" s="471">
        <f t="shared" si="233"/>
        <v>4.1095890410958846E-2</v>
      </c>
      <c r="T144" s="471">
        <f t="shared" si="233"/>
        <v>0.13157894736842102</v>
      </c>
      <c r="U144" s="444">
        <f>U138/P138-1</f>
        <v>2.0905923344947785E-2</v>
      </c>
      <c r="V144" s="471">
        <f t="shared" si="234"/>
        <v>9.8039215686274606E-2</v>
      </c>
      <c r="W144" s="471">
        <f t="shared" si="234"/>
        <v>-0.23750000000000004</v>
      </c>
      <c r="X144" s="471">
        <f t="shared" si="234"/>
        <v>-0.21052631578947367</v>
      </c>
      <c r="Y144" s="471">
        <f t="shared" si="234"/>
        <v>-0.40697674418604646</v>
      </c>
      <c r="Z144" s="444">
        <f>Z138/U138-1</f>
        <v>-0.22184300341296925</v>
      </c>
      <c r="AA144" s="471">
        <f t="shared" si="235"/>
        <v>3.5714285714285809E-2</v>
      </c>
      <c r="AB144" s="471">
        <f t="shared" si="235"/>
        <v>1.6393442622950838E-2</v>
      </c>
      <c r="AC144" s="471">
        <f t="shared" si="235"/>
        <v>-9.9999999999999978E-2</v>
      </c>
      <c r="AD144" s="471">
        <f>+AD138/Y138-1</f>
        <v>-7.8431372549019662E-2</v>
      </c>
      <c r="AE144" s="444">
        <f>AE138/Z138-1</f>
        <v>-3.0701754385964897E-2</v>
      </c>
      <c r="AF144" s="471">
        <f t="shared" si="236"/>
        <v>-0.43103448275862066</v>
      </c>
      <c r="AG144" s="471">
        <f t="shared" si="236"/>
        <v>-0.33870967741935487</v>
      </c>
      <c r="AH144" s="471">
        <f t="shared" si="236"/>
        <v>-0.42592592592592593</v>
      </c>
      <c r="AI144" s="471">
        <f t="shared" ca="1" si="236"/>
        <v>-0.27659574468085102</v>
      </c>
      <c r="AJ144" s="444">
        <f ca="1">AJ138/AE138-1</f>
        <v>-0.37104072398190047</v>
      </c>
      <c r="AK144" s="471">
        <f t="shared" ref="AK144" ca="1" si="243">+AK138/AF138-1</f>
        <v>0.2425260216617624</v>
      </c>
      <c r="AL144" s="471">
        <f t="shared" ref="AL144" ca="1" si="244">+AL138/AG138-1</f>
        <v>-0.27070034080962868</v>
      </c>
      <c r="AM144" s="471">
        <f t="shared" ref="AM144" ca="1" si="245">+AM138/AH138-1</f>
        <v>-0.12669527913678735</v>
      </c>
      <c r="AN144" s="471">
        <f t="shared" ref="AN144" ca="1" si="246">+AN138/AI138-1</f>
        <v>5.734630703528687E-2</v>
      </c>
      <c r="AO144" s="444">
        <f ca="1">AO138/AJ138-1</f>
        <v>-3.6497370305016319E-2</v>
      </c>
      <c r="AP144" s="444">
        <f t="shared" ca="1" si="241"/>
        <v>-3.594046729289424E-3</v>
      </c>
      <c r="AQ144" s="444">
        <f t="shared" ca="1" si="241"/>
        <v>-5.5361155654131577E-2</v>
      </c>
      <c r="AR144" s="319"/>
      <c r="AS144" s="1651" t="str">
        <f>+A144</f>
        <v>Corporate / Other - % growth, y/y</v>
      </c>
      <c r="AT144" s="471"/>
      <c r="AU144" s="471">
        <f>+F144</f>
        <v>4.1825095057034245E-2</v>
      </c>
      <c r="AV144" s="471">
        <f>+K144</f>
        <v>-1.8248175182481785E-2</v>
      </c>
      <c r="AW144" s="471">
        <f>+P144</f>
        <v>6.6914498141263934E-2</v>
      </c>
      <c r="AX144" s="471">
        <f>+U144</f>
        <v>2.0905923344947785E-2</v>
      </c>
      <c r="AY144" s="471">
        <f>+Z144</f>
        <v>-0.22184300341296925</v>
      </c>
      <c r="AZ144" s="579">
        <f>+AE144</f>
        <v>-3.0701754385964897E-2</v>
      </c>
      <c r="BA144" s="471">
        <f ca="1">+AJ144</f>
        <v>-0.37104072398190047</v>
      </c>
      <c r="BB144" s="471">
        <f t="shared" ca="1" si="242"/>
        <v>-3.6497370305016319E-2</v>
      </c>
      <c r="BC144" s="471">
        <f t="shared" ca="1" si="242"/>
        <v>-3.594046729289424E-3</v>
      </c>
      <c r="BD144" s="579">
        <f t="shared" ca="1" si="242"/>
        <v>-5.5361155654131577E-2</v>
      </c>
      <c r="BF144" s="900"/>
      <c r="BM144" s="902"/>
      <c r="BN144" s="902"/>
      <c r="BO144" s="902"/>
      <c r="BP144" s="902"/>
      <c r="BQ144" s="902"/>
      <c r="BR144" s="902"/>
      <c r="BS144" s="902"/>
    </row>
    <row r="145" spans="1:71" ht="12.75" hidden="1" customHeight="1" outlineLevel="1">
      <c r="A145" s="1941" t="s">
        <v>12</v>
      </c>
      <c r="B145" s="579"/>
      <c r="C145" s="444"/>
      <c r="D145" s="444"/>
      <c r="E145" s="1060"/>
      <c r="F145" s="444">
        <f>F140/E140-1</f>
        <v>0.12084398976982103</v>
      </c>
      <c r="G145" s="471"/>
      <c r="H145" s="471"/>
      <c r="I145" s="471"/>
      <c r="J145" s="471"/>
      <c r="K145" s="444">
        <f>K140/F140-1</f>
        <v>0.11580148317170558</v>
      </c>
      <c r="L145" s="471">
        <f>+L140/G140-1</f>
        <v>0.1640625</v>
      </c>
      <c r="M145" s="471">
        <f>+M140/H140-1</f>
        <v>0.17296222664015914</v>
      </c>
      <c r="N145" s="471">
        <f>+N140/I140-1</f>
        <v>4.2047531992687404E-2</v>
      </c>
      <c r="O145" s="471">
        <f>+O140/J140-1</f>
        <v>0.15517241379310343</v>
      </c>
      <c r="P145" s="444">
        <f>P140/K140-1</f>
        <v>0.12985685071574649</v>
      </c>
      <c r="Q145" s="471">
        <f>+Q140/L140-1</f>
        <v>0.21700223713646527</v>
      </c>
      <c r="R145" s="471">
        <f>+R140/M140-1</f>
        <v>0.10338983050847461</v>
      </c>
      <c r="S145" s="471">
        <f>+S140/N140-1</f>
        <v>0.13157894736842102</v>
      </c>
      <c r="T145" s="471">
        <f>+T140/O140-1</f>
        <v>0.10779436152570487</v>
      </c>
      <c r="U145" s="444">
        <f>U140/P140-1</f>
        <v>0.13484162895927598</v>
      </c>
      <c r="V145" s="471">
        <f>+V140/Q140-1</f>
        <v>0.10110294117647056</v>
      </c>
      <c r="W145" s="471">
        <f>+W140/R140-1</f>
        <v>0.19354838709677424</v>
      </c>
      <c r="X145" s="471">
        <f>+X140/S140-1</f>
        <v>0.17519379844961236</v>
      </c>
      <c r="Y145" s="471">
        <f>+Y140/T140-1</f>
        <v>0.11526946107784442</v>
      </c>
      <c r="Z145" s="444">
        <f>Z140/U140-1</f>
        <v>0.14792663476874002</v>
      </c>
      <c r="AA145" s="471">
        <f>+AA140/V140-1</f>
        <v>9.0150250417362354E-2</v>
      </c>
      <c r="AB145" s="471">
        <f>+AB140/W140-1</f>
        <v>3.7323037323037322E-2</v>
      </c>
      <c r="AC145" s="471">
        <f>+AC140/X140-1</f>
        <v>9.23482849604218E-3</v>
      </c>
      <c r="AD145" s="471">
        <f>+AD140/Y140-1</f>
        <v>8.0536912751678624E-3</v>
      </c>
      <c r="AE145" s="444">
        <f>AE140/Z140-1</f>
        <v>3.3344911427579005E-2</v>
      </c>
      <c r="AF145" s="471">
        <f>+AF140/AA140-1</f>
        <v>-0.35068912710566613</v>
      </c>
      <c r="AG145" s="471">
        <f>+AG140/AB140-1</f>
        <v>-0.35607940446650121</v>
      </c>
      <c r="AH145" s="471">
        <f>+AH140/AC140-1</f>
        <v>-0.31503267973856208</v>
      </c>
      <c r="AI145" s="471">
        <f ca="1">+AI140/AD140-1</f>
        <v>-0.33688415446071907</v>
      </c>
      <c r="AJ145" s="444">
        <f ca="1">AJ140/AE140-1</f>
        <v>-0.33949579831932775</v>
      </c>
      <c r="AK145" s="471">
        <f t="shared" ref="AK145:AN145" ca="1" si="247">+AK140/AF140-1</f>
        <v>9.6034378863230074E-4</v>
      </c>
      <c r="AL145" s="471">
        <f t="shared" ca="1" si="247"/>
        <v>8.3656084201299885E-2</v>
      </c>
      <c r="AM145" s="471">
        <f t="shared" ca="1" si="247"/>
        <v>7.8320468392496512E-2</v>
      </c>
      <c r="AN145" s="471">
        <f t="shared" ca="1" si="247"/>
        <v>3.7741970718211615E-2</v>
      </c>
      <c r="AO145" s="444">
        <f ca="1">AO140/AJ140-1</f>
        <v>5.2753241894245351E-2</v>
      </c>
      <c r="AP145" s="444">
        <f ca="1">+AP140/AO140-1</f>
        <v>7.5716229553291159E-2</v>
      </c>
      <c r="AQ145" s="444">
        <f ca="1">+AQ140/AP140-1</f>
        <v>1.7919457024599517E-2</v>
      </c>
      <c r="AR145" s="319"/>
      <c r="AS145" s="1651" t="str">
        <f>+A145</f>
        <v>Total Adjusted EBITDA - % growth, y/y</v>
      </c>
      <c r="AT145" s="471"/>
      <c r="AU145" s="471">
        <f>+F145</f>
        <v>0.12084398976982103</v>
      </c>
      <c r="AV145" s="471">
        <f>+K145</f>
        <v>0.11580148317170558</v>
      </c>
      <c r="AW145" s="471">
        <f>+P145</f>
        <v>0.12985685071574649</v>
      </c>
      <c r="AX145" s="471">
        <f>+U145</f>
        <v>0.13484162895927598</v>
      </c>
      <c r="AY145" s="471">
        <f>+Z145</f>
        <v>0.14792663476874002</v>
      </c>
      <c r="AZ145" s="579">
        <f>+AE145</f>
        <v>3.3344911427579005E-2</v>
      </c>
      <c r="BA145" s="471">
        <f ca="1">+AJ145</f>
        <v>-0.33949579831932775</v>
      </c>
      <c r="BB145" s="471">
        <f t="shared" ca="1" si="242"/>
        <v>5.2753241894245351E-2</v>
      </c>
      <c r="BC145" s="471">
        <f t="shared" ca="1" si="242"/>
        <v>7.5716229553291159E-2</v>
      </c>
      <c r="BD145" s="579">
        <f t="shared" ca="1" si="242"/>
        <v>1.7919457024599517E-2</v>
      </c>
      <c r="BF145" s="900"/>
      <c r="BM145" s="902"/>
      <c r="BN145" s="902"/>
      <c r="BO145" s="902"/>
      <c r="BP145" s="902"/>
      <c r="BQ145" s="902"/>
      <c r="BR145" s="902"/>
      <c r="BS145" s="902"/>
    </row>
    <row r="146" spans="1:71" ht="12.75" hidden="1" customHeight="1" outlineLevel="1">
      <c r="A146" s="1681"/>
      <c r="B146" s="444"/>
      <c r="C146" s="444"/>
      <c r="D146" s="444"/>
      <c r="E146" s="1060"/>
      <c r="F146" s="444"/>
      <c r="G146" s="471"/>
      <c r="H146" s="471"/>
      <c r="I146" s="471"/>
      <c r="J146" s="471"/>
      <c r="K146" s="444"/>
      <c r="L146" s="471"/>
      <c r="M146" s="471"/>
      <c r="N146" s="471"/>
      <c r="O146" s="471"/>
      <c r="P146" s="444"/>
      <c r="Q146" s="471"/>
      <c r="R146" s="471"/>
      <c r="S146" s="471"/>
      <c r="T146" s="471"/>
      <c r="U146" s="444"/>
      <c r="V146" s="471"/>
      <c r="W146" s="471"/>
      <c r="X146" s="471"/>
      <c r="Y146" s="471"/>
      <c r="Z146" s="444"/>
      <c r="AA146" s="471"/>
      <c r="AB146" s="471"/>
      <c r="AC146" s="471"/>
      <c r="AD146" s="471"/>
      <c r="AE146" s="444"/>
      <c r="AF146" s="471"/>
      <c r="AG146" s="471"/>
      <c r="AH146" s="471"/>
      <c r="AI146" s="471"/>
      <c r="AJ146" s="444"/>
      <c r="AK146" s="471"/>
      <c r="AL146" s="471"/>
      <c r="AM146" s="471"/>
      <c r="AN146" s="471"/>
      <c r="AO146" s="444"/>
      <c r="AP146" s="444"/>
      <c r="AQ146" s="444"/>
      <c r="AR146" s="319"/>
      <c r="AS146" s="1651"/>
      <c r="AT146" s="471"/>
      <c r="AU146" s="471"/>
      <c r="AV146" s="471"/>
      <c r="AW146" s="471"/>
      <c r="AX146" s="471"/>
      <c r="AY146" s="471"/>
      <c r="AZ146" s="579"/>
      <c r="BA146" s="471"/>
      <c r="BB146" s="471"/>
      <c r="BC146" s="471"/>
      <c r="BD146" s="579"/>
      <c r="BF146" s="900"/>
      <c r="BM146" s="902"/>
      <c r="BN146" s="902"/>
      <c r="BO146" s="902"/>
      <c r="BP146" s="902"/>
      <c r="BQ146" s="902"/>
      <c r="BR146" s="902"/>
      <c r="BS146" s="902"/>
    </row>
    <row r="147" spans="1:71" s="902" customFormat="1" ht="12.75" hidden="1" customHeight="1" outlineLevel="1">
      <c r="A147" s="949" t="s">
        <v>1713</v>
      </c>
      <c r="B147" s="964"/>
      <c r="C147" s="964"/>
      <c r="D147" s="964"/>
      <c r="E147" s="964">
        <f t="shared" ref="E147:AH147" si="248">E43-E46+E65</f>
        <v>1151</v>
      </c>
      <c r="F147" s="1092">
        <f t="shared" si="248"/>
        <v>1559</v>
      </c>
      <c r="G147" s="964">
        <f t="shared" si="248"/>
        <v>323</v>
      </c>
      <c r="H147" s="964">
        <f t="shared" si="248"/>
        <v>444</v>
      </c>
      <c r="I147" s="964">
        <f t="shared" si="248"/>
        <v>497</v>
      </c>
      <c r="J147" s="964">
        <f t="shared" si="248"/>
        <v>440</v>
      </c>
      <c r="K147" s="1092">
        <f t="shared" si="248"/>
        <v>1704</v>
      </c>
      <c r="L147" s="964">
        <f t="shared" si="248"/>
        <v>412</v>
      </c>
      <c r="M147" s="964">
        <f t="shared" si="248"/>
        <v>553</v>
      </c>
      <c r="N147" s="964">
        <f t="shared" si="248"/>
        <v>503</v>
      </c>
      <c r="O147" s="964">
        <f t="shared" si="248"/>
        <v>312</v>
      </c>
      <c r="P147" s="1092">
        <f t="shared" si="248"/>
        <v>1780</v>
      </c>
      <c r="Q147" s="964">
        <f t="shared" si="248"/>
        <v>491</v>
      </c>
      <c r="R147" s="964">
        <f t="shared" si="248"/>
        <v>593</v>
      </c>
      <c r="S147" s="964">
        <f t="shared" si="248"/>
        <v>595</v>
      </c>
      <c r="T147" s="964">
        <f t="shared" si="248"/>
        <v>620</v>
      </c>
      <c r="U147" s="1092">
        <f t="shared" si="248"/>
        <v>2299</v>
      </c>
      <c r="V147" s="964">
        <f t="shared" si="248"/>
        <v>630</v>
      </c>
      <c r="W147" s="964">
        <f t="shared" si="248"/>
        <v>685</v>
      </c>
      <c r="X147" s="964">
        <f t="shared" si="248"/>
        <v>785</v>
      </c>
      <c r="Y147" s="2734">
        <f t="shared" si="248"/>
        <v>64</v>
      </c>
      <c r="Z147" s="2761">
        <f>Z43-Z46+Z65</f>
        <v>2164</v>
      </c>
      <c r="AA147" s="964">
        <f t="shared" si="248"/>
        <v>440</v>
      </c>
      <c r="AB147" s="964">
        <f t="shared" si="248"/>
        <v>734</v>
      </c>
      <c r="AC147" s="964">
        <f t="shared" si="248"/>
        <v>706</v>
      </c>
      <c r="AD147" s="964">
        <f t="shared" si="248"/>
        <v>1203</v>
      </c>
      <c r="AE147" s="1092">
        <f t="shared" si="248"/>
        <v>3083</v>
      </c>
      <c r="AF147" s="964">
        <f t="shared" si="248"/>
        <v>403</v>
      </c>
      <c r="AG147" s="964">
        <f t="shared" si="248"/>
        <v>448</v>
      </c>
      <c r="AH147" s="964">
        <f t="shared" si="248"/>
        <v>451</v>
      </c>
      <c r="AI147" s="964">
        <f>AI43-AI46+AI65</f>
        <v>-242</v>
      </c>
      <c r="AJ147" s="1092">
        <f>AJ47+AJ45</f>
        <v>1719</v>
      </c>
      <c r="AK147" s="964">
        <f t="shared" ref="AK147:AN147" si="249">AK43-AK46+AK65</f>
        <v>370.91054448121827</v>
      </c>
      <c r="AL147" s="964">
        <f t="shared" si="249"/>
        <v>487.01879372727984</v>
      </c>
      <c r="AM147" s="964">
        <f t="shared" si="249"/>
        <v>487.07237178442773</v>
      </c>
      <c r="AN147" s="964">
        <f t="shared" si="249"/>
        <v>441.50527585686905</v>
      </c>
      <c r="AO147" s="2761">
        <f>AO47+AO45</f>
        <v>1835.5069858497936</v>
      </c>
      <c r="AP147" s="1092">
        <f>AP47+AP45</f>
        <v>1987.4959909748359</v>
      </c>
      <c r="AQ147" s="1092">
        <f>AQ47+AQ45</f>
        <v>2019.9843036201382</v>
      </c>
      <c r="AR147" s="965"/>
      <c r="AS147" s="989" t="str">
        <f>+A147</f>
        <v>EBITDA, for Consensus</v>
      </c>
      <c r="AT147" s="964">
        <f t="shared" ref="AT147:AU149" si="250">+E147</f>
        <v>1151</v>
      </c>
      <c r="AU147" s="964">
        <f t="shared" si="250"/>
        <v>1559</v>
      </c>
      <c r="AV147" s="964">
        <f>+K147</f>
        <v>1704</v>
      </c>
      <c r="AW147" s="964">
        <f>+P147</f>
        <v>1780</v>
      </c>
      <c r="AX147" s="964">
        <f>+U147</f>
        <v>2299</v>
      </c>
      <c r="AY147" s="964">
        <f>+Z147</f>
        <v>2164</v>
      </c>
      <c r="AZ147" s="964">
        <f>+AE147</f>
        <v>3083</v>
      </c>
      <c r="BA147" s="964">
        <f>+AJ147</f>
        <v>1719</v>
      </c>
      <c r="BB147" s="964">
        <f t="shared" ref="BB147:BD149" si="251">+AO147</f>
        <v>1835.5069858497936</v>
      </c>
      <c r="BC147" s="964">
        <f t="shared" si="251"/>
        <v>1987.4959909748359</v>
      </c>
      <c r="BD147" s="991">
        <f t="shared" si="251"/>
        <v>2019.9843036201382</v>
      </c>
      <c r="BE147" s="14"/>
      <c r="BG147"/>
      <c r="BH147"/>
      <c r="BI147"/>
      <c r="BJ147"/>
      <c r="BK147"/>
      <c r="BL147"/>
    </row>
    <row r="148" spans="1:71" s="902" customFormat="1" ht="12.75" hidden="1" customHeight="1" outlineLevel="1">
      <c r="A148" s="949" t="s">
        <v>1817</v>
      </c>
      <c r="B148" s="139"/>
      <c r="C148" s="139"/>
      <c r="D148" s="139"/>
      <c r="E148" s="139">
        <f t="shared" ref="E148:AQ148" si="252">E121-E147</f>
        <v>413</v>
      </c>
      <c r="F148" s="450">
        <f t="shared" si="252"/>
        <v>194</v>
      </c>
      <c r="G148" s="139">
        <f t="shared" si="252"/>
        <v>61</v>
      </c>
      <c r="H148" s="139">
        <f t="shared" si="252"/>
        <v>59</v>
      </c>
      <c r="I148" s="139">
        <f t="shared" si="252"/>
        <v>50</v>
      </c>
      <c r="J148" s="139">
        <f t="shared" si="252"/>
        <v>82</v>
      </c>
      <c r="K148" s="450">
        <f t="shared" si="252"/>
        <v>252</v>
      </c>
      <c r="L148" s="139">
        <f t="shared" si="252"/>
        <v>35</v>
      </c>
      <c r="M148" s="139">
        <f t="shared" si="252"/>
        <v>37</v>
      </c>
      <c r="N148" s="139">
        <f t="shared" si="252"/>
        <v>67</v>
      </c>
      <c r="O148" s="139">
        <f t="shared" si="252"/>
        <v>291</v>
      </c>
      <c r="P148" s="450">
        <f t="shared" si="252"/>
        <v>430</v>
      </c>
      <c r="Q148" s="139">
        <f t="shared" si="252"/>
        <v>53</v>
      </c>
      <c r="R148" s="139">
        <f t="shared" si="252"/>
        <v>58</v>
      </c>
      <c r="S148" s="139">
        <f t="shared" si="252"/>
        <v>50</v>
      </c>
      <c r="T148" s="139">
        <f t="shared" si="252"/>
        <v>48</v>
      </c>
      <c r="U148" s="450">
        <f t="shared" si="252"/>
        <v>209</v>
      </c>
      <c r="V148" s="139">
        <f t="shared" si="252"/>
        <v>-31</v>
      </c>
      <c r="W148" s="139">
        <f t="shared" si="252"/>
        <v>92</v>
      </c>
      <c r="X148" s="139">
        <f t="shared" si="252"/>
        <v>-27</v>
      </c>
      <c r="Y148" s="2735">
        <f t="shared" si="252"/>
        <v>681</v>
      </c>
      <c r="Z148" s="2762">
        <f t="shared" si="252"/>
        <v>715</v>
      </c>
      <c r="AA148" s="139">
        <f t="shared" si="252"/>
        <v>213</v>
      </c>
      <c r="AB148" s="139">
        <f t="shared" si="252"/>
        <v>72</v>
      </c>
      <c r="AC148" s="139">
        <f t="shared" si="252"/>
        <v>59</v>
      </c>
      <c r="AD148" s="139">
        <f t="shared" si="252"/>
        <v>-452</v>
      </c>
      <c r="AE148" s="450">
        <f t="shared" si="252"/>
        <v>-108</v>
      </c>
      <c r="AF148" s="139">
        <f t="shared" si="252"/>
        <v>21</v>
      </c>
      <c r="AG148" s="139">
        <f t="shared" si="252"/>
        <v>71</v>
      </c>
      <c r="AH148" s="139">
        <f t="shared" si="252"/>
        <v>73</v>
      </c>
      <c r="AI148" s="139">
        <f t="shared" ca="1" si="252"/>
        <v>740</v>
      </c>
      <c r="AJ148" s="450">
        <f ca="1">AJ121-AJ147</f>
        <v>246</v>
      </c>
      <c r="AK148" s="139">
        <f t="shared" ref="AK148:AN148" ca="1" si="253">AK121-AK147</f>
        <v>53.496641285161843</v>
      </c>
      <c r="AL148" s="139">
        <f t="shared" ca="1" si="253"/>
        <v>75.398713973194788</v>
      </c>
      <c r="AM148" s="139">
        <f t="shared" ca="1" si="253"/>
        <v>77.967553653240373</v>
      </c>
      <c r="AN148" s="139">
        <f t="shared" ca="1" si="253"/>
        <v>75.290225560800195</v>
      </c>
      <c r="AO148" s="2762">
        <f ca="1">AO121-AO147</f>
        <v>233.15313447239851</v>
      </c>
      <c r="AP148" s="450">
        <f t="shared" ca="1" si="252"/>
        <v>237.79527388541055</v>
      </c>
      <c r="AQ148" s="450">
        <f t="shared" ca="1" si="252"/>
        <v>245.18297242798781</v>
      </c>
      <c r="AR148" s="965"/>
      <c r="AS148" s="989" t="str">
        <f>+A148</f>
        <v>Adjusted EBITDA delta</v>
      </c>
      <c r="AT148" s="139">
        <f t="shared" si="250"/>
        <v>413</v>
      </c>
      <c r="AU148" s="139">
        <f t="shared" si="250"/>
        <v>194</v>
      </c>
      <c r="AV148" s="139">
        <f>+K148</f>
        <v>252</v>
      </c>
      <c r="AW148" s="139">
        <f>+P148</f>
        <v>430</v>
      </c>
      <c r="AX148" s="139">
        <f>+U148</f>
        <v>209</v>
      </c>
      <c r="AY148" s="139">
        <f>+Z148</f>
        <v>715</v>
      </c>
      <c r="AZ148" s="139">
        <f>+AE148</f>
        <v>-108</v>
      </c>
      <c r="BA148" s="139">
        <f ca="1">+AJ148</f>
        <v>246</v>
      </c>
      <c r="BB148" s="139">
        <f t="shared" ca="1" si="251"/>
        <v>233.15313447239851</v>
      </c>
      <c r="BC148" s="139">
        <f t="shared" ca="1" si="251"/>
        <v>237.79527388541055</v>
      </c>
      <c r="BD148" s="692">
        <f t="shared" ca="1" si="251"/>
        <v>245.18297242798781</v>
      </c>
      <c r="BE148" s="14"/>
      <c r="BG148"/>
      <c r="BH148"/>
      <c r="BI148"/>
      <c r="BJ148"/>
      <c r="BK148"/>
      <c r="BL148"/>
    </row>
    <row r="149" spans="1:71" s="902" customFormat="1" ht="12.75" hidden="1" customHeight="1" outlineLevel="1">
      <c r="A149" s="1011" t="s">
        <v>1816</v>
      </c>
      <c r="B149" s="1012"/>
      <c r="C149" s="1012"/>
      <c r="D149" s="1012"/>
      <c r="E149" s="1012">
        <v>1</v>
      </c>
      <c r="F149" s="1093">
        <v>1</v>
      </c>
      <c r="G149" s="1012">
        <v>1</v>
      </c>
      <c r="H149" s="1012">
        <v>1</v>
      </c>
      <c r="I149" s="1012">
        <v>1</v>
      </c>
      <c r="J149" s="1012">
        <v>1</v>
      </c>
      <c r="K149" s="1093">
        <v>1</v>
      </c>
      <c r="L149" s="1012">
        <v>1</v>
      </c>
      <c r="M149" s="1012">
        <v>1</v>
      </c>
      <c r="N149" s="1012">
        <v>1</v>
      </c>
      <c r="O149" s="1012">
        <v>1</v>
      </c>
      <c r="P149" s="1093">
        <v>1</v>
      </c>
      <c r="Q149" s="1012">
        <v>1</v>
      </c>
      <c r="R149" s="1012">
        <v>1</v>
      </c>
      <c r="S149" s="1012">
        <v>1</v>
      </c>
      <c r="T149" s="1012">
        <v>1</v>
      </c>
      <c r="U149" s="1093">
        <v>1</v>
      </c>
      <c r="V149" s="1012">
        <v>1</v>
      </c>
      <c r="W149" s="1012">
        <v>1</v>
      </c>
      <c r="X149" s="1012">
        <v>1</v>
      </c>
      <c r="Y149" s="2736">
        <v>1</v>
      </c>
      <c r="Z149" s="2763">
        <v>1</v>
      </c>
      <c r="AA149" s="1012">
        <v>1</v>
      </c>
      <c r="AB149" s="1012">
        <v>1</v>
      </c>
      <c r="AC149" s="1012">
        <v>1</v>
      </c>
      <c r="AD149" s="1012">
        <v>1</v>
      </c>
      <c r="AE149" s="1093">
        <v>1</v>
      </c>
      <c r="AF149" s="1012">
        <v>1</v>
      </c>
      <c r="AG149" s="1012">
        <v>1</v>
      </c>
      <c r="AH149" s="1012">
        <v>1</v>
      </c>
      <c r="AI149" s="1012">
        <v>1</v>
      </c>
      <c r="AJ149" s="1093">
        <v>1</v>
      </c>
      <c r="AK149" s="1012">
        <v>1</v>
      </c>
      <c r="AL149" s="1012">
        <v>1</v>
      </c>
      <c r="AM149" s="1012">
        <v>1</v>
      </c>
      <c r="AN149" s="1012">
        <v>1</v>
      </c>
      <c r="AO149" s="2763">
        <v>1</v>
      </c>
      <c r="AP149" s="1093">
        <v>1</v>
      </c>
      <c r="AQ149" s="1093">
        <v>1</v>
      </c>
      <c r="AR149" s="965"/>
      <c r="AS149" s="1013" t="str">
        <f>+A149</f>
        <v>Indicator to send Adjusted EBITDA</v>
      </c>
      <c r="AT149" s="1012">
        <f t="shared" si="250"/>
        <v>1</v>
      </c>
      <c r="AU149" s="1012">
        <f t="shared" si="250"/>
        <v>1</v>
      </c>
      <c r="AV149" s="1012">
        <f>+K149</f>
        <v>1</v>
      </c>
      <c r="AW149" s="1012">
        <f>+P149</f>
        <v>1</v>
      </c>
      <c r="AX149" s="1012">
        <f>+U149</f>
        <v>1</v>
      </c>
      <c r="AY149" s="1012">
        <f>+Z149</f>
        <v>1</v>
      </c>
      <c r="AZ149" s="1012">
        <f>+AE149</f>
        <v>1</v>
      </c>
      <c r="BA149" s="1012">
        <f>+AJ149</f>
        <v>1</v>
      </c>
      <c r="BB149" s="1012">
        <f t="shared" si="251"/>
        <v>1</v>
      </c>
      <c r="BC149" s="1012">
        <f t="shared" si="251"/>
        <v>1</v>
      </c>
      <c r="BD149" s="1014">
        <f t="shared" si="251"/>
        <v>1</v>
      </c>
      <c r="BE149" s="14"/>
      <c r="BG149"/>
      <c r="BH149"/>
      <c r="BI149"/>
      <c r="BJ149"/>
      <c r="BK149"/>
      <c r="BL149"/>
    </row>
    <row r="150" spans="1:71" ht="12.75" hidden="1" customHeight="1" outlineLevel="1">
      <c r="A150" s="287"/>
      <c r="B150" s="148"/>
      <c r="C150" s="148"/>
      <c r="D150" s="148"/>
      <c r="E150" s="1787"/>
      <c r="F150" s="552"/>
      <c r="G150" s="148"/>
      <c r="H150" s="148"/>
      <c r="I150" s="148"/>
      <c r="J150" s="148"/>
      <c r="K150" s="1787"/>
      <c r="L150" s="1800"/>
      <c r="M150" s="1799"/>
      <c r="N150" s="148"/>
      <c r="O150" s="1786"/>
      <c r="P150" s="552"/>
      <c r="Q150" s="1800"/>
      <c r="R150" s="1799"/>
      <c r="S150" s="148"/>
      <c r="T150" s="1786"/>
      <c r="U150" s="1804"/>
      <c r="V150" s="148"/>
      <c r="W150" s="148"/>
      <c r="X150" s="148"/>
      <c r="Y150" s="2737"/>
      <c r="Z150" s="2764"/>
      <c r="AA150" s="1804"/>
      <c r="AB150" s="1804"/>
      <c r="AC150" s="1804"/>
      <c r="AD150" s="1804"/>
      <c r="AE150" s="2657"/>
      <c r="AF150" s="1804"/>
      <c r="AG150" s="1804"/>
      <c r="AH150" s="1804"/>
      <c r="AI150" s="1804"/>
      <c r="AJ150" s="2657"/>
      <c r="AK150" s="1804"/>
      <c r="AL150" s="1804"/>
      <c r="AM150" s="1804"/>
      <c r="AN150" s="1804"/>
      <c r="AO150" s="390"/>
      <c r="AP150" s="633"/>
      <c r="AQ150" s="633"/>
      <c r="AR150" s="148"/>
      <c r="AS150" s="990"/>
      <c r="AT150" s="148"/>
      <c r="AU150" s="148"/>
      <c r="AV150" s="148"/>
      <c r="AW150" s="148"/>
      <c r="AX150" s="148"/>
      <c r="AY150" s="148"/>
      <c r="AZ150" s="1580"/>
      <c r="BA150" s="1580"/>
      <c r="BB150" s="1580"/>
      <c r="BC150" s="1580"/>
      <c r="BD150" s="992"/>
      <c r="BF150" s="900"/>
      <c r="BM150" s="902"/>
      <c r="BN150" s="902"/>
      <c r="BO150" s="902"/>
      <c r="BP150" s="902"/>
      <c r="BQ150" s="902"/>
      <c r="BR150" s="902"/>
      <c r="BS150" s="902"/>
    </row>
    <row r="151" spans="1:71" s="12" customFormat="1" ht="12.75" customHeight="1" collapsed="1">
      <c r="A151" s="291" t="s">
        <v>906</v>
      </c>
      <c r="B151" s="766"/>
      <c r="C151" s="766"/>
      <c r="D151" s="766"/>
      <c r="E151" s="766" t="str">
        <f>E$5</f>
        <v>2010</v>
      </c>
      <c r="F151" s="766" t="str">
        <f>F$5</f>
        <v>2011</v>
      </c>
      <c r="G151" s="767" t="str">
        <f t="shared" ref="G151:AQ151" si="254">G$5</f>
        <v>1Q12</v>
      </c>
      <c r="H151" s="767" t="str">
        <f t="shared" si="254"/>
        <v>2Q12</v>
      </c>
      <c r="I151" s="767" t="str">
        <f t="shared" si="254"/>
        <v>3Q12</v>
      </c>
      <c r="J151" s="767" t="str">
        <f t="shared" si="254"/>
        <v>4Q12</v>
      </c>
      <c r="K151" s="766">
        <f t="shared" si="254"/>
        <v>2012</v>
      </c>
      <c r="L151" s="767" t="str">
        <f t="shared" si="254"/>
        <v>1Q13</v>
      </c>
      <c r="M151" s="767" t="str">
        <f t="shared" si="254"/>
        <v>2Q13</v>
      </c>
      <c r="N151" s="767" t="str">
        <f t="shared" si="254"/>
        <v>3Q13</v>
      </c>
      <c r="O151" s="767" t="str">
        <f t="shared" si="254"/>
        <v>4Q13</v>
      </c>
      <c r="P151" s="766">
        <f t="shared" si="254"/>
        <v>2013</v>
      </c>
      <c r="Q151" s="767" t="str">
        <f t="shared" si="254"/>
        <v>1Q14</v>
      </c>
      <c r="R151" s="767" t="str">
        <f t="shared" si="254"/>
        <v>2Q14</v>
      </c>
      <c r="S151" s="767" t="str">
        <f t="shared" si="254"/>
        <v>3Q14</v>
      </c>
      <c r="T151" s="767" t="str">
        <f t="shared" si="254"/>
        <v>4Q14</v>
      </c>
      <c r="U151" s="766">
        <f t="shared" si="254"/>
        <v>2014</v>
      </c>
      <c r="V151" s="767" t="str">
        <f t="shared" si="254"/>
        <v>1Q15</v>
      </c>
      <c r="W151" s="767" t="str">
        <f t="shared" si="254"/>
        <v>2Q15</v>
      </c>
      <c r="X151" s="767" t="str">
        <f t="shared" si="254"/>
        <v>3Q15</v>
      </c>
      <c r="Y151" s="767" t="str">
        <f t="shared" si="254"/>
        <v>4Q15</v>
      </c>
      <c r="Z151" s="766">
        <f t="shared" si="254"/>
        <v>2015</v>
      </c>
      <c r="AA151" s="767" t="str">
        <f t="shared" si="254"/>
        <v>1Q16</v>
      </c>
      <c r="AB151" s="767" t="str">
        <f t="shared" si="254"/>
        <v>2Q16</v>
      </c>
      <c r="AC151" s="767" t="str">
        <f t="shared" si="254"/>
        <v>3Q16</v>
      </c>
      <c r="AD151" s="767" t="str">
        <f t="shared" si="254"/>
        <v>4Q16</v>
      </c>
      <c r="AE151" s="766">
        <f t="shared" si="254"/>
        <v>2016</v>
      </c>
      <c r="AF151" s="767" t="str">
        <f t="shared" si="254"/>
        <v>1Q17</v>
      </c>
      <c r="AG151" s="767" t="str">
        <f t="shared" si="254"/>
        <v>2Q17</v>
      </c>
      <c r="AH151" s="767" t="str">
        <f t="shared" si="254"/>
        <v>3Q17</v>
      </c>
      <c r="AI151" s="767" t="str">
        <f t="shared" si="254"/>
        <v>4Q17A</v>
      </c>
      <c r="AJ151" s="766" t="str">
        <f t="shared" si="254"/>
        <v>2017A</v>
      </c>
      <c r="AK151" s="767" t="str">
        <f t="shared" si="254"/>
        <v>1Q18E</v>
      </c>
      <c r="AL151" s="767" t="str">
        <f t="shared" si="254"/>
        <v>2Q18E</v>
      </c>
      <c r="AM151" s="767" t="str">
        <f t="shared" si="254"/>
        <v>3Q18E</v>
      </c>
      <c r="AN151" s="767" t="str">
        <f t="shared" si="254"/>
        <v>4Q18E</v>
      </c>
      <c r="AO151" s="766" t="str">
        <f t="shared" si="254"/>
        <v>2018E</v>
      </c>
      <c r="AP151" s="766" t="str">
        <f t="shared" si="254"/>
        <v>2019E</v>
      </c>
      <c r="AQ151" s="766" t="str">
        <f t="shared" si="254"/>
        <v>2020E</v>
      </c>
      <c r="AR151" s="431"/>
      <c r="AS151" s="291" t="str">
        <f t="shared" ref="AS151:AS157" si="255">+A151</f>
        <v>Free Cash Flow Summary</v>
      </c>
      <c r="AT151" s="767" t="str">
        <f t="shared" ref="AT151:AU157" si="256">+E151</f>
        <v>2010</v>
      </c>
      <c r="AU151" s="767" t="str">
        <f t="shared" si="256"/>
        <v>2011</v>
      </c>
      <c r="AV151" s="767">
        <f t="shared" ref="AV151:AV157" si="257">+K151</f>
        <v>2012</v>
      </c>
      <c r="AW151" s="767">
        <f t="shared" ref="AW151:AW157" si="258">+P151</f>
        <v>2013</v>
      </c>
      <c r="AX151" s="767">
        <f t="shared" ref="AX151:AX157" si="259">+U151</f>
        <v>2014</v>
      </c>
      <c r="AY151" s="767">
        <f t="shared" ref="AY151:AY157" si="260">+Z151</f>
        <v>2015</v>
      </c>
      <c r="AZ151" s="865">
        <f t="shared" ref="AZ151:AZ157" si="261">+AE151</f>
        <v>2016</v>
      </c>
      <c r="BA151" s="767" t="str">
        <f t="shared" ref="BA151:BA157" si="262">+AJ151</f>
        <v>2017A</v>
      </c>
      <c r="BB151" s="767" t="str">
        <f t="shared" ref="BB151:BB157" si="263">+AO151</f>
        <v>2018E</v>
      </c>
      <c r="BC151" s="767" t="str">
        <f t="shared" ref="BC151:BC157" si="264">+AP151</f>
        <v>2019E</v>
      </c>
      <c r="BD151" s="865" t="str">
        <f t="shared" ref="BD151:BD157" si="265">+AQ151</f>
        <v>2020E</v>
      </c>
      <c r="BE151" s="14"/>
      <c r="BF151" s="900"/>
      <c r="BG151"/>
      <c r="BH151"/>
      <c r="BI151"/>
      <c r="BJ151"/>
      <c r="BK151"/>
      <c r="BL151"/>
      <c r="BM151" s="902"/>
      <c r="BN151" s="902"/>
      <c r="BO151" s="902"/>
      <c r="BP151" s="902"/>
      <c r="BQ151" s="902"/>
      <c r="BR151" s="902"/>
      <c r="BS151" s="902"/>
    </row>
    <row r="152" spans="1:71" ht="12.75" customHeight="1">
      <c r="A152" s="384" t="s">
        <v>396</v>
      </c>
      <c r="B152" s="623"/>
      <c r="C152" s="623"/>
      <c r="D152" s="623"/>
      <c r="E152" s="623">
        <f t="shared" ref="E152:AQ152" si="266">E60</f>
        <v>128</v>
      </c>
      <c r="F152" s="623">
        <f t="shared" si="266"/>
        <v>253</v>
      </c>
      <c r="G152" s="624">
        <f t="shared" si="266"/>
        <v>48</v>
      </c>
      <c r="H152" s="624">
        <f t="shared" si="266"/>
        <v>66</v>
      </c>
      <c r="I152" s="624">
        <f t="shared" si="266"/>
        <v>177</v>
      </c>
      <c r="J152" s="624">
        <f t="shared" si="266"/>
        <v>61</v>
      </c>
      <c r="K152" s="623">
        <f t="shared" si="266"/>
        <v>352</v>
      </c>
      <c r="L152" s="624">
        <f t="shared" si="266"/>
        <v>34</v>
      </c>
      <c r="M152" s="624">
        <f t="shared" si="266"/>
        <v>155</v>
      </c>
      <c r="N152" s="624">
        <f t="shared" si="266"/>
        <v>200</v>
      </c>
      <c r="O152" s="624">
        <f t="shared" si="266"/>
        <v>26</v>
      </c>
      <c r="P152" s="623">
        <f t="shared" si="266"/>
        <v>415</v>
      </c>
      <c r="Q152" s="624">
        <f t="shared" si="266"/>
        <v>123</v>
      </c>
      <c r="R152" s="624">
        <f t="shared" si="266"/>
        <v>209</v>
      </c>
      <c r="S152" s="624">
        <f t="shared" si="266"/>
        <v>183</v>
      </c>
      <c r="T152" s="624">
        <f t="shared" si="266"/>
        <v>158</v>
      </c>
      <c r="U152" s="623">
        <f t="shared" si="266"/>
        <v>673</v>
      </c>
      <c r="V152" s="624">
        <f t="shared" si="266"/>
        <v>150</v>
      </c>
      <c r="W152" s="624">
        <f t="shared" si="266"/>
        <v>161</v>
      </c>
      <c r="X152" s="624">
        <f t="shared" si="266"/>
        <v>279</v>
      </c>
      <c r="Y152" s="2738">
        <f t="shared" si="266"/>
        <v>814</v>
      </c>
      <c r="Z152" s="2567">
        <f t="shared" si="266"/>
        <v>1404</v>
      </c>
      <c r="AA152" s="624">
        <f t="shared" si="266"/>
        <v>309</v>
      </c>
      <c r="AB152" s="624">
        <f t="shared" si="266"/>
        <v>239</v>
      </c>
      <c r="AC152" s="624">
        <f t="shared" si="266"/>
        <v>187</v>
      </c>
      <c r="AD152" s="624">
        <f t="shared" si="266"/>
        <v>-387</v>
      </c>
      <c r="AE152" s="2567">
        <f t="shared" si="266"/>
        <v>348</v>
      </c>
      <c r="AF152" s="624">
        <f t="shared" si="266"/>
        <v>74</v>
      </c>
      <c r="AG152" s="624">
        <f t="shared" si="266"/>
        <v>166</v>
      </c>
      <c r="AH152" s="624">
        <f t="shared" si="266"/>
        <v>179</v>
      </c>
      <c r="AI152" s="624">
        <f t="shared" ca="1" si="266"/>
        <v>841</v>
      </c>
      <c r="AJ152" s="2567">
        <f t="shared" ca="1" si="266"/>
        <v>1260</v>
      </c>
      <c r="AK152" s="624">
        <f t="shared" ref="AK152:AO152" ca="1" si="267">AK60</f>
        <v>148.27959376912989</v>
      </c>
      <c r="AL152" s="624">
        <f t="shared" ca="1" si="267"/>
        <v>236.35132859233701</v>
      </c>
      <c r="AM152" s="624">
        <f t="shared" ca="1" si="267"/>
        <v>241.43265143574433</v>
      </c>
      <c r="AN152" s="624">
        <f t="shared" ca="1" si="267"/>
        <v>203.29851663154517</v>
      </c>
      <c r="AO152" s="2567">
        <f t="shared" ca="1" si="267"/>
        <v>829.3620904287551</v>
      </c>
      <c r="AP152" s="623">
        <f t="shared" ca="1" si="266"/>
        <v>935.28070305077483</v>
      </c>
      <c r="AQ152" s="623">
        <f t="shared" ca="1" si="266"/>
        <v>958.30317099416948</v>
      </c>
      <c r="AR152" s="809"/>
      <c r="AS152" s="384" t="str">
        <f t="shared" si="255"/>
        <v>Net Income</v>
      </c>
      <c r="AT152" s="624">
        <f t="shared" si="256"/>
        <v>128</v>
      </c>
      <c r="AU152" s="624">
        <f t="shared" si="256"/>
        <v>253</v>
      </c>
      <c r="AV152" s="624">
        <f t="shared" si="257"/>
        <v>352</v>
      </c>
      <c r="AW152" s="624">
        <f t="shared" si="258"/>
        <v>415</v>
      </c>
      <c r="AX152" s="624">
        <f t="shared" si="259"/>
        <v>673</v>
      </c>
      <c r="AY152" s="624">
        <f t="shared" si="260"/>
        <v>1404</v>
      </c>
      <c r="AZ152" s="869">
        <f t="shared" si="261"/>
        <v>348</v>
      </c>
      <c r="BA152" s="624">
        <f t="shared" ca="1" si="262"/>
        <v>1260</v>
      </c>
      <c r="BB152" s="624">
        <f t="shared" ca="1" si="263"/>
        <v>829.3620904287551</v>
      </c>
      <c r="BC152" s="624">
        <f t="shared" ca="1" si="264"/>
        <v>935.28070305077483</v>
      </c>
      <c r="BD152" s="869">
        <f t="shared" ca="1" si="265"/>
        <v>958.30317099416948</v>
      </c>
      <c r="BF152" s="900"/>
      <c r="BM152" s="902"/>
      <c r="BN152" s="902"/>
      <c r="BO152" s="902"/>
      <c r="BP152" s="902"/>
      <c r="BQ152" s="902"/>
      <c r="BR152" s="902"/>
      <c r="BS152" s="902"/>
    </row>
    <row r="153" spans="1:71" ht="12.75" customHeight="1">
      <c r="A153" s="384" t="s">
        <v>737</v>
      </c>
      <c r="B153" s="171"/>
      <c r="C153" s="171"/>
      <c r="D153" s="171"/>
      <c r="E153" s="171">
        <f t="shared" ref="E153:AQ153" si="268">E45</f>
        <v>574</v>
      </c>
      <c r="F153" s="171">
        <f t="shared" si="268"/>
        <v>564</v>
      </c>
      <c r="G153" s="170">
        <f t="shared" si="268"/>
        <v>128</v>
      </c>
      <c r="H153" s="170">
        <f t="shared" si="268"/>
        <v>131</v>
      </c>
      <c r="I153" s="170">
        <f t="shared" si="268"/>
        <v>135</v>
      </c>
      <c r="J153" s="170">
        <f t="shared" si="268"/>
        <v>156</v>
      </c>
      <c r="K153" s="171">
        <f t="shared" si="268"/>
        <v>550</v>
      </c>
      <c r="L153" s="170">
        <f t="shared" si="268"/>
        <v>160</v>
      </c>
      <c r="M153" s="170">
        <f t="shared" si="268"/>
        <v>149</v>
      </c>
      <c r="N153" s="170">
        <f t="shared" si="268"/>
        <v>146</v>
      </c>
      <c r="O153" s="170">
        <f t="shared" si="268"/>
        <v>148</v>
      </c>
      <c r="P153" s="171">
        <f t="shared" si="268"/>
        <v>603</v>
      </c>
      <c r="Q153" s="170">
        <f t="shared" si="268"/>
        <v>153</v>
      </c>
      <c r="R153" s="170">
        <f t="shared" si="268"/>
        <v>158</v>
      </c>
      <c r="S153" s="170">
        <f t="shared" si="268"/>
        <v>159</v>
      </c>
      <c r="T153" s="170">
        <f t="shared" si="268"/>
        <v>158</v>
      </c>
      <c r="U153" s="171">
        <f t="shared" si="268"/>
        <v>628</v>
      </c>
      <c r="V153" s="170">
        <f t="shared" si="268"/>
        <v>175</v>
      </c>
      <c r="W153" s="170">
        <f t="shared" si="268"/>
        <v>173</v>
      </c>
      <c r="X153" s="170">
        <f t="shared" si="268"/>
        <v>171</v>
      </c>
      <c r="Y153" s="2725">
        <f t="shared" si="268"/>
        <v>173</v>
      </c>
      <c r="Z153" s="2568">
        <f t="shared" si="268"/>
        <v>692</v>
      </c>
      <c r="AA153" s="170">
        <f t="shared" si="268"/>
        <v>169</v>
      </c>
      <c r="AB153" s="170">
        <f t="shared" si="268"/>
        <v>171</v>
      </c>
      <c r="AC153" s="170">
        <f t="shared" si="268"/>
        <v>169</v>
      </c>
      <c r="AD153" s="170">
        <f t="shared" si="268"/>
        <v>177</v>
      </c>
      <c r="AE153" s="2568">
        <f t="shared" si="268"/>
        <v>686</v>
      </c>
      <c r="AF153" s="170">
        <f t="shared" si="268"/>
        <v>89</v>
      </c>
      <c r="AG153" s="170">
        <f t="shared" si="268"/>
        <v>87</v>
      </c>
      <c r="AH153" s="170">
        <f t="shared" si="268"/>
        <v>83</v>
      </c>
      <c r="AI153" s="170">
        <f t="shared" si="268"/>
        <v>88</v>
      </c>
      <c r="AJ153" s="2568">
        <f t="shared" si="268"/>
        <v>347</v>
      </c>
      <c r="AK153" s="170">
        <f t="shared" ref="AK153:AO153" si="269">AK45</f>
        <v>82</v>
      </c>
      <c r="AL153" s="170">
        <f t="shared" si="269"/>
        <v>85.5</v>
      </c>
      <c r="AM153" s="170">
        <f t="shared" si="269"/>
        <v>81.5</v>
      </c>
      <c r="AN153" s="170">
        <f t="shared" si="269"/>
        <v>86.5</v>
      </c>
      <c r="AO153" s="2568">
        <f t="shared" si="269"/>
        <v>335.5</v>
      </c>
      <c r="AP153" s="171">
        <f t="shared" si="268"/>
        <v>335.5</v>
      </c>
      <c r="AQ153" s="171">
        <f t="shared" si="268"/>
        <v>335.5</v>
      </c>
      <c r="AR153" s="809"/>
      <c r="AS153" s="384" t="str">
        <f t="shared" si="255"/>
        <v>Plus: Depreciation &amp; amortization</v>
      </c>
      <c r="AT153" s="170">
        <f t="shared" si="256"/>
        <v>574</v>
      </c>
      <c r="AU153" s="170">
        <f t="shared" si="256"/>
        <v>564</v>
      </c>
      <c r="AV153" s="170">
        <f t="shared" si="257"/>
        <v>550</v>
      </c>
      <c r="AW153" s="170">
        <f t="shared" si="258"/>
        <v>603</v>
      </c>
      <c r="AX153" s="170">
        <f t="shared" si="259"/>
        <v>628</v>
      </c>
      <c r="AY153" s="170">
        <f t="shared" si="260"/>
        <v>692</v>
      </c>
      <c r="AZ153" s="843">
        <f t="shared" si="261"/>
        <v>686</v>
      </c>
      <c r="BA153" s="170">
        <f t="shared" si="262"/>
        <v>347</v>
      </c>
      <c r="BB153" s="170">
        <f t="shared" si="263"/>
        <v>335.5</v>
      </c>
      <c r="BC153" s="170">
        <f t="shared" si="264"/>
        <v>335.5</v>
      </c>
      <c r="BD153" s="843">
        <f t="shared" si="265"/>
        <v>335.5</v>
      </c>
      <c r="BF153" s="900"/>
      <c r="BM153" s="902"/>
      <c r="BN153" s="902"/>
      <c r="BO153" s="902"/>
      <c r="BP153" s="902"/>
      <c r="BQ153" s="902"/>
      <c r="BR153" s="902"/>
      <c r="BS153" s="902"/>
    </row>
    <row r="154" spans="1:71" ht="12.75" customHeight="1">
      <c r="A154" s="384" t="s">
        <v>1349</v>
      </c>
      <c r="B154" s="171"/>
      <c r="C154" s="171"/>
      <c r="D154" s="171"/>
      <c r="E154" s="551">
        <f>E106-686</f>
        <v>260</v>
      </c>
      <c r="F154" s="551">
        <f>F106-470</f>
        <v>173</v>
      </c>
      <c r="G154" s="162">
        <f>+$K$154/4</f>
        <v>20.75</v>
      </c>
      <c r="H154" s="162">
        <f>+$K$154/4</f>
        <v>20.75</v>
      </c>
      <c r="I154" s="162">
        <f>+$K$154/4</f>
        <v>20.75</v>
      </c>
      <c r="J154" s="162">
        <f>+$K$154/4</f>
        <v>20.75</v>
      </c>
      <c r="K154" s="551">
        <f>K106-486</f>
        <v>83</v>
      </c>
      <c r="L154" s="162">
        <f>+$P$154/4</f>
        <v>21.25</v>
      </c>
      <c r="M154" s="162">
        <f>+$P$154/4</f>
        <v>21.25</v>
      </c>
      <c r="N154" s="162">
        <f>+$P$154/4</f>
        <v>21.25</v>
      </c>
      <c r="O154" s="162">
        <f>+$P$154/4</f>
        <v>21.25</v>
      </c>
      <c r="P154" s="551">
        <f>P106-535</f>
        <v>85</v>
      </c>
      <c r="Q154" s="162">
        <f>+$U$154/4</f>
        <v>29.25</v>
      </c>
      <c r="R154" s="162">
        <f>+$U$154/4</f>
        <v>29.25</v>
      </c>
      <c r="S154" s="162">
        <f>+$U$154/4</f>
        <v>29.25</v>
      </c>
      <c r="T154" s="162">
        <f>+$U$154/4</f>
        <v>29.25</v>
      </c>
      <c r="U154" s="551">
        <f>+P154+32</f>
        <v>117</v>
      </c>
      <c r="V154" s="162">
        <f>+$Z$154/4</f>
        <v>29.25</v>
      </c>
      <c r="W154" s="162">
        <f>+$Z$154/4</f>
        <v>29.25</v>
      </c>
      <c r="X154" s="162">
        <f>+$Z$154/4</f>
        <v>29.25</v>
      </c>
      <c r="Y154" s="2600">
        <f>+$Z$154/4</f>
        <v>29.25</v>
      </c>
      <c r="Z154" s="551">
        <f>U154</f>
        <v>117</v>
      </c>
      <c r="AA154" s="2605">
        <f>V154</f>
        <v>29.25</v>
      </c>
      <c r="AB154" s="2605">
        <f>W154</f>
        <v>29.25</v>
      </c>
      <c r="AC154" s="2605">
        <f>X154</f>
        <v>29.25</v>
      </c>
      <c r="AD154" s="2605">
        <f>Y154</f>
        <v>29.25</v>
      </c>
      <c r="AE154" s="2569">
        <f>SUM(AA154:AD154)</f>
        <v>117</v>
      </c>
      <c r="AF154" s="3495">
        <v>0</v>
      </c>
      <c r="AG154" s="3495">
        <v>0</v>
      </c>
      <c r="AH154" s="3495">
        <v>0</v>
      </c>
      <c r="AI154" s="3495">
        <v>0</v>
      </c>
      <c r="AJ154" s="2569">
        <f>SUM(AF154:AI154)</f>
        <v>0</v>
      </c>
      <c r="AK154" s="3495">
        <v>0</v>
      </c>
      <c r="AL154" s="3495">
        <v>0</v>
      </c>
      <c r="AM154" s="3495">
        <v>0</v>
      </c>
      <c r="AN154" s="3495">
        <v>0</v>
      </c>
      <c r="AO154" s="2569">
        <f>SUM(AK154:AN154)</f>
        <v>0</v>
      </c>
      <c r="AP154" s="1550">
        <f>AO154</f>
        <v>0</v>
      </c>
      <c r="AQ154" s="1550">
        <f>AP154</f>
        <v>0</v>
      </c>
      <c r="AR154" s="809"/>
      <c r="AS154" s="384" t="str">
        <f t="shared" si="255"/>
        <v>Plus: Non-cash interest expense</v>
      </c>
      <c r="AT154" s="170">
        <f t="shared" si="256"/>
        <v>260</v>
      </c>
      <c r="AU154" s="170">
        <f t="shared" si="256"/>
        <v>173</v>
      </c>
      <c r="AV154" s="170">
        <f t="shared" si="257"/>
        <v>83</v>
      </c>
      <c r="AW154" s="170">
        <f t="shared" si="258"/>
        <v>85</v>
      </c>
      <c r="AX154" s="170">
        <f t="shared" si="259"/>
        <v>117</v>
      </c>
      <c r="AY154" s="170">
        <f t="shared" si="260"/>
        <v>117</v>
      </c>
      <c r="AZ154" s="843">
        <f t="shared" si="261"/>
        <v>117</v>
      </c>
      <c r="BA154" s="170">
        <f t="shared" si="262"/>
        <v>0</v>
      </c>
      <c r="BB154" s="170">
        <f t="shared" si="263"/>
        <v>0</v>
      </c>
      <c r="BC154" s="170">
        <f t="shared" si="264"/>
        <v>0</v>
      </c>
      <c r="BD154" s="843">
        <f t="shared" si="265"/>
        <v>0</v>
      </c>
      <c r="BF154" s="900"/>
      <c r="BM154" s="902"/>
      <c r="BN154" s="902"/>
      <c r="BO154" s="902"/>
      <c r="BP154" s="902"/>
      <c r="BQ154" s="902"/>
      <c r="BR154" s="902"/>
      <c r="BS154" s="902"/>
    </row>
    <row r="155" spans="1:71" ht="12.75" customHeight="1">
      <c r="A155" s="384" t="s">
        <v>1788</v>
      </c>
      <c r="B155" s="171"/>
      <c r="C155" s="171"/>
      <c r="D155" s="171"/>
      <c r="E155" s="171">
        <f t="shared" ref="E155:W155" si="270">E498</f>
        <v>31</v>
      </c>
      <c r="F155" s="171">
        <f t="shared" si="270"/>
        <v>6</v>
      </c>
      <c r="G155" s="170">
        <f t="shared" si="270"/>
        <v>0</v>
      </c>
      <c r="H155" s="170">
        <f t="shared" si="270"/>
        <v>0</v>
      </c>
      <c r="I155" s="170">
        <f t="shared" si="270"/>
        <v>0</v>
      </c>
      <c r="J155" s="170">
        <f t="shared" si="270"/>
        <v>0</v>
      </c>
      <c r="K155" s="171">
        <f t="shared" si="270"/>
        <v>0</v>
      </c>
      <c r="L155" s="170">
        <f t="shared" si="270"/>
        <v>0</v>
      </c>
      <c r="M155" s="170">
        <f t="shared" si="270"/>
        <v>0</v>
      </c>
      <c r="N155" s="170">
        <f t="shared" si="270"/>
        <v>0</v>
      </c>
      <c r="O155" s="170">
        <f t="shared" si="270"/>
        <v>25</v>
      </c>
      <c r="P155" s="171">
        <f t="shared" si="270"/>
        <v>25</v>
      </c>
      <c r="Q155" s="170">
        <f t="shared" si="270"/>
        <v>0</v>
      </c>
      <c r="R155" s="170">
        <f t="shared" si="270"/>
        <v>0</v>
      </c>
      <c r="S155" s="170">
        <f t="shared" si="270"/>
        <v>0</v>
      </c>
      <c r="T155" s="170">
        <f t="shared" si="270"/>
        <v>50</v>
      </c>
      <c r="U155" s="171">
        <f t="shared" si="270"/>
        <v>50</v>
      </c>
      <c r="V155" s="170">
        <f t="shared" si="270"/>
        <v>0</v>
      </c>
      <c r="W155" s="170">
        <f t="shared" si="270"/>
        <v>0</v>
      </c>
      <c r="X155" s="170">
        <f t="shared" ref="X155:AQ155" si="271">X498</f>
        <v>0</v>
      </c>
      <c r="Y155" s="2725">
        <f t="shared" si="271"/>
        <v>38</v>
      </c>
      <c r="Z155" s="2568">
        <f t="shared" si="271"/>
        <v>38</v>
      </c>
      <c r="AA155" s="170">
        <f t="shared" si="271"/>
        <v>0</v>
      </c>
      <c r="AB155" s="170">
        <f t="shared" si="271"/>
        <v>0</v>
      </c>
      <c r="AC155" s="170">
        <f t="shared" si="271"/>
        <v>0</v>
      </c>
      <c r="AD155" s="170">
        <f t="shared" si="271"/>
        <v>32</v>
      </c>
      <c r="AE155" s="2568">
        <f t="shared" si="271"/>
        <v>32</v>
      </c>
      <c r="AF155" s="170">
        <f t="shared" si="271"/>
        <v>0</v>
      </c>
      <c r="AG155" s="170">
        <f t="shared" si="271"/>
        <v>0</v>
      </c>
      <c r="AH155" s="170">
        <f t="shared" si="271"/>
        <v>0</v>
      </c>
      <c r="AI155" s="170">
        <f t="shared" si="271"/>
        <v>0</v>
      </c>
      <c r="AJ155" s="2568">
        <f t="shared" si="271"/>
        <v>0</v>
      </c>
      <c r="AK155" s="170">
        <f t="shared" ref="AK155:AO155" si="272">AK498</f>
        <v>0</v>
      </c>
      <c r="AL155" s="170">
        <f t="shared" si="272"/>
        <v>0</v>
      </c>
      <c r="AM155" s="170">
        <f t="shared" si="272"/>
        <v>0</v>
      </c>
      <c r="AN155" s="170">
        <f t="shared" si="272"/>
        <v>0</v>
      </c>
      <c r="AO155" s="2568">
        <f t="shared" si="272"/>
        <v>0</v>
      </c>
      <c r="AP155" s="171">
        <f t="shared" si="271"/>
        <v>0</v>
      </c>
      <c r="AQ155" s="171">
        <f t="shared" si="271"/>
        <v>0</v>
      </c>
      <c r="AR155" s="170"/>
      <c r="AS155" s="384" t="str">
        <f t="shared" si="255"/>
        <v>Less: Amortization of Deferred Financing Costs</v>
      </c>
      <c r="AT155" s="170">
        <f t="shared" si="256"/>
        <v>31</v>
      </c>
      <c r="AU155" s="170">
        <f t="shared" si="256"/>
        <v>6</v>
      </c>
      <c r="AV155" s="170">
        <f t="shared" si="257"/>
        <v>0</v>
      </c>
      <c r="AW155" s="170">
        <f t="shared" si="258"/>
        <v>25</v>
      </c>
      <c r="AX155" s="170">
        <f t="shared" si="259"/>
        <v>50</v>
      </c>
      <c r="AY155" s="170">
        <f t="shared" si="260"/>
        <v>38</v>
      </c>
      <c r="AZ155" s="843">
        <f t="shared" si="261"/>
        <v>32</v>
      </c>
      <c r="BA155" s="170">
        <f t="shared" si="262"/>
        <v>0</v>
      </c>
      <c r="BB155" s="170">
        <f t="shared" si="263"/>
        <v>0</v>
      </c>
      <c r="BC155" s="170">
        <f t="shared" si="264"/>
        <v>0</v>
      </c>
      <c r="BD155" s="843">
        <f t="shared" si="265"/>
        <v>0</v>
      </c>
      <c r="BF155" s="900"/>
      <c r="BM155" s="902"/>
      <c r="BN155" s="902"/>
      <c r="BO155" s="902"/>
      <c r="BP155" s="902"/>
      <c r="BQ155" s="902"/>
      <c r="BR155" s="902"/>
      <c r="BS155" s="902"/>
    </row>
    <row r="156" spans="1:71" ht="12.75" customHeight="1">
      <c r="A156" s="492" t="s">
        <v>1214</v>
      </c>
      <c r="B156" s="166"/>
      <c r="C156" s="166"/>
      <c r="D156" s="166"/>
      <c r="E156" s="166">
        <f t="shared" ref="E156:U156" si="273">SUM(E502:E507)-E503</f>
        <v>-127</v>
      </c>
      <c r="F156" s="166">
        <f t="shared" si="273"/>
        <v>72</v>
      </c>
      <c r="G156" s="165">
        <f t="shared" si="273"/>
        <v>0</v>
      </c>
      <c r="H156" s="165">
        <f t="shared" si="273"/>
        <v>0</v>
      </c>
      <c r="I156" s="165">
        <f t="shared" si="273"/>
        <v>0</v>
      </c>
      <c r="J156" s="165">
        <f t="shared" si="273"/>
        <v>0</v>
      </c>
      <c r="K156" s="166">
        <f t="shared" si="273"/>
        <v>0</v>
      </c>
      <c r="L156" s="165">
        <f t="shared" si="273"/>
        <v>0</v>
      </c>
      <c r="M156" s="165">
        <f t="shared" si="273"/>
        <v>0</v>
      </c>
      <c r="N156" s="165">
        <f t="shared" si="273"/>
        <v>0</v>
      </c>
      <c r="O156" s="165">
        <f t="shared" si="273"/>
        <v>0</v>
      </c>
      <c r="P156" s="166">
        <f t="shared" si="273"/>
        <v>0</v>
      </c>
      <c r="Q156" s="165">
        <f t="shared" si="273"/>
        <v>0</v>
      </c>
      <c r="R156" s="165">
        <f t="shared" si="273"/>
        <v>0</v>
      </c>
      <c r="S156" s="165">
        <f t="shared" si="273"/>
        <v>0</v>
      </c>
      <c r="T156" s="165">
        <f t="shared" si="273"/>
        <v>0</v>
      </c>
      <c r="U156" s="166">
        <f t="shared" si="273"/>
        <v>0</v>
      </c>
      <c r="V156" s="165">
        <f t="shared" ref="V156:AE156" si="274">+V501+V500+V497</f>
        <v>57</v>
      </c>
      <c r="W156" s="165">
        <f t="shared" si="274"/>
        <v>50</v>
      </c>
      <c r="X156" s="165">
        <f t="shared" si="274"/>
        <v>57</v>
      </c>
      <c r="Y156" s="165">
        <f t="shared" si="274"/>
        <v>-493</v>
      </c>
      <c r="Z156" s="166">
        <f t="shared" si="274"/>
        <v>-329</v>
      </c>
      <c r="AA156" s="165">
        <f t="shared" si="274"/>
        <v>-182</v>
      </c>
      <c r="AB156" s="165">
        <f t="shared" si="274"/>
        <v>-94</v>
      </c>
      <c r="AC156" s="165">
        <f t="shared" si="274"/>
        <v>-81</v>
      </c>
      <c r="AD156" s="165">
        <f t="shared" si="274"/>
        <v>542</v>
      </c>
      <c r="AE156" s="166">
        <f t="shared" si="274"/>
        <v>185</v>
      </c>
      <c r="AF156" s="165">
        <f t="shared" ref="AF156:AP156" si="275">+AF501+AF500+AF497</f>
        <v>-23</v>
      </c>
      <c r="AG156" s="165">
        <f t="shared" si="275"/>
        <v>63</v>
      </c>
      <c r="AH156" s="165">
        <f t="shared" si="275"/>
        <v>7</v>
      </c>
      <c r="AI156" s="165">
        <f t="shared" ca="1" si="275"/>
        <v>-658.48</v>
      </c>
      <c r="AJ156" s="166">
        <f t="shared" ca="1" si="275"/>
        <v>-611.48</v>
      </c>
      <c r="AK156" s="165">
        <f t="shared" ca="1" si="275"/>
        <v>15.845823134685123</v>
      </c>
      <c r="AL156" s="165">
        <f t="shared" ca="1" si="275"/>
        <v>114.30980617355172</v>
      </c>
      <c r="AM156" s="165">
        <f t="shared" ca="1" si="275"/>
        <v>29.746272371047048</v>
      </c>
      <c r="AN156" s="165">
        <f t="shared" ca="1" si="275"/>
        <v>37.929105720360525</v>
      </c>
      <c r="AO156" s="166">
        <f t="shared" ca="1" si="275"/>
        <v>197.83100739964442</v>
      </c>
      <c r="AP156" s="166">
        <f t="shared" ca="1" si="275"/>
        <v>221.27498293241686</v>
      </c>
      <c r="AQ156" s="166">
        <f ca="1">+AQ501+AQ500+AQ497</f>
        <v>225.60913013917215</v>
      </c>
      <c r="AR156" s="165"/>
      <c r="AS156" s="492" t="str">
        <f t="shared" si="255"/>
        <v>Plus: Change in working cap, ex. inventory</v>
      </c>
      <c r="AT156" s="165">
        <f t="shared" si="256"/>
        <v>-127</v>
      </c>
      <c r="AU156" s="165">
        <f t="shared" si="256"/>
        <v>72</v>
      </c>
      <c r="AV156" s="165">
        <f t="shared" si="257"/>
        <v>0</v>
      </c>
      <c r="AW156" s="165">
        <f t="shared" si="258"/>
        <v>0</v>
      </c>
      <c r="AX156" s="165">
        <f t="shared" si="259"/>
        <v>0</v>
      </c>
      <c r="AY156" s="165">
        <f t="shared" si="260"/>
        <v>-329</v>
      </c>
      <c r="AZ156" s="839">
        <f t="shared" si="261"/>
        <v>185</v>
      </c>
      <c r="BA156" s="165">
        <f t="shared" ca="1" si="262"/>
        <v>-611.48</v>
      </c>
      <c r="BB156" s="165">
        <f t="shared" ca="1" si="263"/>
        <v>197.83100739964442</v>
      </c>
      <c r="BC156" s="165">
        <f t="shared" ca="1" si="264"/>
        <v>221.27498293241686</v>
      </c>
      <c r="BD156" s="839">
        <f t="shared" ca="1" si="265"/>
        <v>225.60913013917215</v>
      </c>
      <c r="BF156" s="900"/>
      <c r="BM156" s="902"/>
      <c r="BN156" s="902"/>
      <c r="BO156" s="902"/>
      <c r="BP156" s="902"/>
      <c r="BQ156" s="902"/>
      <c r="BR156" s="902"/>
      <c r="BS156" s="902"/>
    </row>
    <row r="157" spans="1:71" s="11" customFormat="1" ht="12.75" customHeight="1">
      <c r="A157" s="1576" t="s">
        <v>5</v>
      </c>
      <c r="B157" s="1577"/>
      <c r="C157" s="1577"/>
      <c r="D157" s="1577"/>
      <c r="E157" s="1577">
        <f t="shared" ref="E157:O157" si="276">SUM(E152:E156)</f>
        <v>866</v>
      </c>
      <c r="F157" s="1577">
        <f t="shared" si="276"/>
        <v>1068</v>
      </c>
      <c r="G157" s="1578">
        <f t="shared" si="276"/>
        <v>196.75</v>
      </c>
      <c r="H157" s="1578">
        <f t="shared" si="276"/>
        <v>217.75</v>
      </c>
      <c r="I157" s="1578">
        <f t="shared" si="276"/>
        <v>332.75</v>
      </c>
      <c r="J157" s="1578">
        <f t="shared" si="276"/>
        <v>237.75</v>
      </c>
      <c r="K157" s="1577">
        <f t="shared" si="276"/>
        <v>985</v>
      </c>
      <c r="L157" s="1578">
        <f t="shared" si="276"/>
        <v>215.25</v>
      </c>
      <c r="M157" s="1578">
        <f t="shared" si="276"/>
        <v>325.25</v>
      </c>
      <c r="N157" s="1578">
        <f t="shared" si="276"/>
        <v>367.25</v>
      </c>
      <c r="O157" s="1578">
        <f t="shared" si="276"/>
        <v>220.25</v>
      </c>
      <c r="P157" s="1577">
        <f t="shared" ref="P157:U157" si="277">SUM(P152:P156)</f>
        <v>1128</v>
      </c>
      <c r="Q157" s="1578">
        <f t="shared" si="277"/>
        <v>305.25</v>
      </c>
      <c r="R157" s="1578">
        <f t="shared" si="277"/>
        <v>396.25</v>
      </c>
      <c r="S157" s="1578">
        <f t="shared" si="277"/>
        <v>371.25</v>
      </c>
      <c r="T157" s="1578">
        <f t="shared" si="277"/>
        <v>395.25</v>
      </c>
      <c r="U157" s="1577">
        <f t="shared" si="277"/>
        <v>1468</v>
      </c>
      <c r="V157" s="1578">
        <f t="shared" ref="V157:AE157" si="278">SUM(V152:V156)</f>
        <v>411.25</v>
      </c>
      <c r="W157" s="1578">
        <f t="shared" si="278"/>
        <v>413.25</v>
      </c>
      <c r="X157" s="1578">
        <f t="shared" si="278"/>
        <v>536.25</v>
      </c>
      <c r="Y157" s="1578">
        <f t="shared" si="278"/>
        <v>561.25</v>
      </c>
      <c r="Z157" s="1577">
        <f t="shared" si="278"/>
        <v>1922</v>
      </c>
      <c r="AA157" s="1578">
        <f t="shared" si="278"/>
        <v>325.25</v>
      </c>
      <c r="AB157" s="1578">
        <f t="shared" si="278"/>
        <v>345.25</v>
      </c>
      <c r="AC157" s="1578">
        <f t="shared" si="278"/>
        <v>304.25</v>
      </c>
      <c r="AD157" s="1578">
        <f t="shared" si="278"/>
        <v>393.25</v>
      </c>
      <c r="AE157" s="1577">
        <f t="shared" si="278"/>
        <v>1368</v>
      </c>
      <c r="AF157" s="1578">
        <f t="shared" ref="AF157:AQ157" si="279">SUM(AF152:AF156)</f>
        <v>140</v>
      </c>
      <c r="AG157" s="1578">
        <f t="shared" si="279"/>
        <v>316</v>
      </c>
      <c r="AH157" s="1578">
        <f t="shared" si="279"/>
        <v>269</v>
      </c>
      <c r="AI157" s="1578">
        <f t="shared" ca="1" si="279"/>
        <v>270.52</v>
      </c>
      <c r="AJ157" s="1577">
        <f t="shared" ca="1" si="279"/>
        <v>995.52</v>
      </c>
      <c r="AK157" s="1578">
        <f t="shared" ref="AK157:AO157" ca="1" si="280">SUM(AK152:AK156)</f>
        <v>246.12541690381502</v>
      </c>
      <c r="AL157" s="1578">
        <f t="shared" ca="1" si="280"/>
        <v>436.16113476588873</v>
      </c>
      <c r="AM157" s="1578">
        <f t="shared" ca="1" si="280"/>
        <v>352.67892380679137</v>
      </c>
      <c r="AN157" s="1578">
        <f t="shared" ca="1" si="280"/>
        <v>327.72762235190567</v>
      </c>
      <c r="AO157" s="1577">
        <f t="shared" ca="1" si="280"/>
        <v>1362.6930978283995</v>
      </c>
      <c r="AP157" s="1577">
        <f t="shared" ca="1" si="279"/>
        <v>1492.0556859831916</v>
      </c>
      <c r="AQ157" s="1577">
        <f t="shared" ca="1" si="279"/>
        <v>1519.4123011333415</v>
      </c>
      <c r="AR157" s="1578"/>
      <c r="AS157" s="1576" t="str">
        <f t="shared" si="255"/>
        <v>Operating Free Cash Flow ex. Capex</v>
      </c>
      <c r="AT157" s="1578">
        <f t="shared" si="256"/>
        <v>866</v>
      </c>
      <c r="AU157" s="1578">
        <f t="shared" si="256"/>
        <v>1068</v>
      </c>
      <c r="AV157" s="1578">
        <f t="shared" si="257"/>
        <v>985</v>
      </c>
      <c r="AW157" s="1578">
        <f t="shared" si="258"/>
        <v>1128</v>
      </c>
      <c r="AX157" s="1578">
        <f t="shared" si="259"/>
        <v>1468</v>
      </c>
      <c r="AY157" s="1578">
        <f t="shared" si="260"/>
        <v>1922</v>
      </c>
      <c r="AZ157" s="1579">
        <f t="shared" si="261"/>
        <v>1368</v>
      </c>
      <c r="BA157" s="1578">
        <f t="shared" ca="1" si="262"/>
        <v>995.52</v>
      </c>
      <c r="BB157" s="1578">
        <f t="shared" ca="1" si="263"/>
        <v>1362.6930978283995</v>
      </c>
      <c r="BC157" s="1578">
        <f t="shared" ca="1" si="264"/>
        <v>1492.0556859831916</v>
      </c>
      <c r="BD157" s="1579">
        <f t="shared" ca="1" si="265"/>
        <v>1519.4123011333415</v>
      </c>
      <c r="BE157" s="14"/>
      <c r="BF157" s="908"/>
      <c r="BG157"/>
      <c r="BH157"/>
      <c r="BI157"/>
      <c r="BJ157"/>
      <c r="BK157"/>
      <c r="BL157"/>
      <c r="BM157" s="909"/>
      <c r="BN157" s="909"/>
      <c r="BO157" s="909"/>
      <c r="BP157" s="902"/>
      <c r="BQ157" s="902"/>
      <c r="BR157" s="909"/>
      <c r="BS157" s="909"/>
    </row>
    <row r="158" spans="1:71" ht="12.75" customHeight="1">
      <c r="A158" s="384"/>
      <c r="B158" s="184"/>
      <c r="C158" s="184"/>
      <c r="D158" s="184"/>
      <c r="E158" s="184"/>
      <c r="F158" s="184"/>
      <c r="G158" s="190"/>
      <c r="H158" s="190"/>
      <c r="I158" s="190"/>
      <c r="J158" s="190"/>
      <c r="K158" s="184"/>
      <c r="L158" s="190"/>
      <c r="M158" s="190"/>
      <c r="N158" s="190"/>
      <c r="O158" s="190"/>
      <c r="P158" s="184"/>
      <c r="Q158" s="190"/>
      <c r="R158" s="190"/>
      <c r="S158" s="190"/>
      <c r="T158" s="190"/>
      <c r="U158" s="184"/>
      <c r="V158" s="190"/>
      <c r="W158" s="190"/>
      <c r="X158" s="190"/>
      <c r="Y158" s="2739"/>
      <c r="Z158" s="2570"/>
      <c r="AA158" s="190"/>
      <c r="AB158" s="190"/>
      <c r="AC158" s="190"/>
      <c r="AD158" s="190"/>
      <c r="AE158" s="2570"/>
      <c r="AF158" s="190"/>
      <c r="AG158" s="190"/>
      <c r="AH158" s="190"/>
      <c r="AI158" s="190"/>
      <c r="AJ158" s="2570"/>
      <c r="AK158" s="190"/>
      <c r="AL158" s="190"/>
      <c r="AM158" s="190"/>
      <c r="AN158" s="190"/>
      <c r="AO158" s="2570"/>
      <c r="AP158" s="184"/>
      <c r="AQ158" s="184"/>
      <c r="AR158" s="190"/>
      <c r="AS158" s="384"/>
      <c r="AT158" s="190"/>
      <c r="AU158" s="190"/>
      <c r="AV158" s="190"/>
      <c r="AW158" s="190"/>
      <c r="AX158" s="190"/>
      <c r="AY158" s="190"/>
      <c r="AZ158" s="871"/>
      <c r="BA158" s="190"/>
      <c r="BB158" s="190"/>
      <c r="BC158" s="190"/>
      <c r="BD158" s="871"/>
      <c r="BF158" s="900"/>
      <c r="BM158" s="902"/>
      <c r="BN158" s="902"/>
      <c r="BO158" s="902"/>
      <c r="BP158" s="902"/>
      <c r="BQ158" s="902"/>
      <c r="BR158" s="902"/>
      <c r="BS158" s="902"/>
    </row>
    <row r="159" spans="1:71" ht="12.75" customHeight="1">
      <c r="A159" s="384" t="s">
        <v>1790</v>
      </c>
      <c r="B159" s="164"/>
      <c r="C159" s="164"/>
      <c r="D159" s="164"/>
      <c r="E159" s="164">
        <f t="shared" ref="E159:N159" si="281">-E472</f>
        <v>-174</v>
      </c>
      <c r="F159" s="164">
        <f t="shared" si="281"/>
        <v>-419</v>
      </c>
      <c r="G159" s="162">
        <f t="shared" si="281"/>
        <v>-261</v>
      </c>
      <c r="H159" s="162">
        <f t="shared" si="281"/>
        <v>-287</v>
      </c>
      <c r="I159" s="162">
        <f t="shared" si="281"/>
        <v>-210</v>
      </c>
      <c r="J159" s="162">
        <f t="shared" si="281"/>
        <v>-242</v>
      </c>
      <c r="K159" s="164">
        <f t="shared" si="281"/>
        <v>-427</v>
      </c>
      <c r="L159" s="162">
        <f t="shared" si="281"/>
        <v>-67</v>
      </c>
      <c r="M159" s="162">
        <f t="shared" si="281"/>
        <v>-86</v>
      </c>
      <c r="N159" s="162">
        <f t="shared" si="281"/>
        <v>-70</v>
      </c>
      <c r="O159" s="162">
        <f t="shared" ref="O159:W159" si="282">-O472</f>
        <v>-222</v>
      </c>
      <c r="P159" s="164">
        <f t="shared" si="282"/>
        <v>-358</v>
      </c>
      <c r="Q159" s="162">
        <f t="shared" si="282"/>
        <v>-72</v>
      </c>
      <c r="R159" s="162">
        <f t="shared" si="282"/>
        <v>-87</v>
      </c>
      <c r="S159" s="162">
        <f t="shared" si="282"/>
        <v>-118</v>
      </c>
      <c r="T159" s="162">
        <f t="shared" si="282"/>
        <v>-130</v>
      </c>
      <c r="U159" s="164">
        <f t="shared" si="282"/>
        <v>-407</v>
      </c>
      <c r="V159" s="162">
        <f t="shared" si="282"/>
        <v>-122</v>
      </c>
      <c r="W159" s="162">
        <f t="shared" si="282"/>
        <v>-93</v>
      </c>
      <c r="X159" s="162">
        <f t="shared" ref="X159:AE159" si="283">-X472</f>
        <v>-84</v>
      </c>
      <c r="Y159" s="2600">
        <f t="shared" si="283"/>
        <v>-143</v>
      </c>
      <c r="Z159" s="2569">
        <f t="shared" si="283"/>
        <v>-442</v>
      </c>
      <c r="AA159" s="162">
        <f t="shared" si="283"/>
        <v>-107</v>
      </c>
      <c r="AB159" s="162">
        <f t="shared" si="283"/>
        <v>-104</v>
      </c>
      <c r="AC159" s="162">
        <f t="shared" si="283"/>
        <v>-82</v>
      </c>
      <c r="AD159" s="162">
        <f t="shared" si="283"/>
        <v>-133</v>
      </c>
      <c r="AE159" s="2569">
        <f t="shared" si="283"/>
        <v>-426</v>
      </c>
      <c r="AF159" s="162">
        <f t="shared" ref="AF159:AQ159" si="284">-AF472</f>
        <v>-31</v>
      </c>
      <c r="AG159" s="162">
        <f t="shared" si="284"/>
        <v>-48</v>
      </c>
      <c r="AH159" s="162">
        <f t="shared" si="284"/>
        <v>-53</v>
      </c>
      <c r="AI159" s="162">
        <f t="shared" si="284"/>
        <v>-76</v>
      </c>
      <c r="AJ159" s="2569">
        <f t="shared" si="284"/>
        <v>-208</v>
      </c>
      <c r="AK159" s="162">
        <f t="shared" ref="AK159:AO159" si="285">-AK472</f>
        <v>-29.87145013939643</v>
      </c>
      <c r="AL159" s="162">
        <f t="shared" si="285"/>
        <v>-49.963439100972771</v>
      </c>
      <c r="AM159" s="162">
        <f t="shared" si="285"/>
        <v>-45.72712668585438</v>
      </c>
      <c r="AN159" s="162">
        <f t="shared" si="285"/>
        <v>-64.260974126126968</v>
      </c>
      <c r="AO159" s="2569">
        <f t="shared" si="285"/>
        <v>-189.82299005235055</v>
      </c>
      <c r="AP159" s="164">
        <f t="shared" si="284"/>
        <v>-190.88148479128546</v>
      </c>
      <c r="AQ159" s="164">
        <f t="shared" si="284"/>
        <v>-189.09658467712001</v>
      </c>
      <c r="AR159" s="162"/>
      <c r="AS159" s="384" t="str">
        <f>+A159</f>
        <v>Less: Capital Expenditure</v>
      </c>
      <c r="AT159" s="162">
        <f t="shared" ref="AT159:AU161" si="286">+E159</f>
        <v>-174</v>
      </c>
      <c r="AU159" s="162">
        <f t="shared" si="286"/>
        <v>-419</v>
      </c>
      <c r="AV159" s="162">
        <f>+K159</f>
        <v>-427</v>
      </c>
      <c r="AW159" s="162">
        <f>+P159</f>
        <v>-358</v>
      </c>
      <c r="AX159" s="162">
        <f>+U159</f>
        <v>-407</v>
      </c>
      <c r="AY159" s="162">
        <f>+Z159</f>
        <v>-442</v>
      </c>
      <c r="AZ159" s="838">
        <f>+AE159</f>
        <v>-426</v>
      </c>
      <c r="BA159" s="162">
        <f>+AJ159</f>
        <v>-208</v>
      </c>
      <c r="BB159" s="162">
        <f t="shared" ref="BB159:BD161" si="287">+AO159</f>
        <v>-189.82299005235055</v>
      </c>
      <c r="BC159" s="162">
        <f t="shared" si="287"/>
        <v>-190.88148479128546</v>
      </c>
      <c r="BD159" s="838">
        <f t="shared" si="287"/>
        <v>-189.09658467712001</v>
      </c>
      <c r="BF159" s="900"/>
      <c r="BM159" s="902"/>
      <c r="BN159" s="902"/>
      <c r="BO159" s="902"/>
      <c r="BP159" s="902"/>
      <c r="BQ159" s="902"/>
      <c r="BR159" s="902"/>
      <c r="BS159" s="902"/>
    </row>
    <row r="160" spans="1:71" ht="12.75" customHeight="1">
      <c r="A160" s="492" t="s">
        <v>242</v>
      </c>
      <c r="B160" s="166"/>
      <c r="C160" s="166"/>
      <c r="D160" s="166"/>
      <c r="E160" s="166">
        <f t="shared" ref="E160:W160" si="288">E521</f>
        <v>0</v>
      </c>
      <c r="F160" s="166">
        <f t="shared" si="288"/>
        <v>88</v>
      </c>
      <c r="G160" s="165">
        <f t="shared" si="288"/>
        <v>0</v>
      </c>
      <c r="H160" s="165">
        <f t="shared" si="288"/>
        <v>8</v>
      </c>
      <c r="I160" s="165">
        <f t="shared" si="288"/>
        <v>0</v>
      </c>
      <c r="J160" s="165">
        <f t="shared" si="288"/>
        <v>0</v>
      </c>
      <c r="K160" s="166">
        <f t="shared" si="288"/>
        <v>8</v>
      </c>
      <c r="L160" s="165">
        <f t="shared" si="288"/>
        <v>0</v>
      </c>
      <c r="M160" s="165">
        <f t="shared" si="288"/>
        <v>0</v>
      </c>
      <c r="N160" s="165">
        <f t="shared" si="288"/>
        <v>0</v>
      </c>
      <c r="O160" s="165">
        <f t="shared" si="288"/>
        <v>0</v>
      </c>
      <c r="P160" s="166">
        <f t="shared" si="288"/>
        <v>0</v>
      </c>
      <c r="Q160" s="165">
        <f t="shared" si="288"/>
        <v>0</v>
      </c>
      <c r="R160" s="165">
        <f t="shared" si="288"/>
        <v>35</v>
      </c>
      <c r="S160" s="165">
        <f t="shared" si="288"/>
        <v>5</v>
      </c>
      <c r="T160" s="165">
        <f t="shared" si="288"/>
        <v>4</v>
      </c>
      <c r="U160" s="166">
        <f t="shared" si="288"/>
        <v>44</v>
      </c>
      <c r="V160" s="165">
        <f t="shared" si="288"/>
        <v>1869</v>
      </c>
      <c r="W160" s="165">
        <f t="shared" si="288"/>
        <v>0</v>
      </c>
      <c r="X160" s="165">
        <f t="shared" ref="X160:AQ160" si="289">X521</f>
        <v>328</v>
      </c>
      <c r="Y160" s="165">
        <f t="shared" si="289"/>
        <v>8</v>
      </c>
      <c r="Z160" s="166">
        <f t="shared" si="289"/>
        <v>2205</v>
      </c>
      <c r="AA160" s="165">
        <f t="shared" si="289"/>
        <v>0</v>
      </c>
      <c r="AB160" s="165">
        <f t="shared" si="289"/>
        <v>1</v>
      </c>
      <c r="AC160" s="165">
        <f t="shared" si="289"/>
        <v>0</v>
      </c>
      <c r="AD160" s="165">
        <f t="shared" si="289"/>
        <v>10</v>
      </c>
      <c r="AE160" s="166">
        <f t="shared" si="289"/>
        <v>11</v>
      </c>
      <c r="AF160" s="165">
        <f t="shared" si="289"/>
        <v>0</v>
      </c>
      <c r="AG160" s="165">
        <f t="shared" si="289"/>
        <v>0</v>
      </c>
      <c r="AH160" s="165">
        <f t="shared" si="289"/>
        <v>0</v>
      </c>
      <c r="AI160" s="165">
        <f t="shared" si="289"/>
        <v>0</v>
      </c>
      <c r="AJ160" s="166">
        <f t="shared" si="289"/>
        <v>0</v>
      </c>
      <c r="AK160" s="165">
        <f t="shared" ref="AK160:AO160" si="290">AK521</f>
        <v>0</v>
      </c>
      <c r="AL160" s="165">
        <f t="shared" si="290"/>
        <v>0</v>
      </c>
      <c r="AM160" s="165">
        <f t="shared" si="290"/>
        <v>0</v>
      </c>
      <c r="AN160" s="165">
        <f t="shared" si="290"/>
        <v>0</v>
      </c>
      <c r="AO160" s="166">
        <f t="shared" si="290"/>
        <v>0</v>
      </c>
      <c r="AP160" s="166">
        <f t="shared" si="289"/>
        <v>0</v>
      </c>
      <c r="AQ160" s="166">
        <f t="shared" si="289"/>
        <v>0</v>
      </c>
      <c r="AR160" s="162"/>
      <c r="AS160" s="492" t="str">
        <f>+A160</f>
        <v>Add Back: Asset Dispositions</v>
      </c>
      <c r="AT160" s="165">
        <f t="shared" si="286"/>
        <v>0</v>
      </c>
      <c r="AU160" s="165">
        <f t="shared" si="286"/>
        <v>88</v>
      </c>
      <c r="AV160" s="165">
        <f>+K160</f>
        <v>8</v>
      </c>
      <c r="AW160" s="165">
        <f>+P160</f>
        <v>0</v>
      </c>
      <c r="AX160" s="165">
        <f>+U160</f>
        <v>44</v>
      </c>
      <c r="AY160" s="165">
        <f>+Z160</f>
        <v>2205</v>
      </c>
      <c r="AZ160" s="839">
        <f>+AE160</f>
        <v>11</v>
      </c>
      <c r="BA160" s="165">
        <f>+AJ160</f>
        <v>0</v>
      </c>
      <c r="BB160" s="165">
        <f t="shared" si="287"/>
        <v>0</v>
      </c>
      <c r="BC160" s="165">
        <f t="shared" si="287"/>
        <v>0</v>
      </c>
      <c r="BD160" s="839">
        <f t="shared" si="287"/>
        <v>0</v>
      </c>
      <c r="BF160" s="900"/>
      <c r="BM160" s="902"/>
      <c r="BN160" s="902"/>
      <c r="BO160" s="902"/>
      <c r="BP160" s="902"/>
      <c r="BQ160" s="902"/>
      <c r="BR160" s="902"/>
      <c r="BS160" s="902"/>
    </row>
    <row r="161" spans="1:71" s="11" customFormat="1" ht="12.75" customHeight="1">
      <c r="A161" s="1576" t="s">
        <v>2220</v>
      </c>
      <c r="B161" s="936"/>
      <c r="C161" s="936"/>
      <c r="D161" s="936"/>
      <c r="E161" s="936">
        <f t="shared" ref="E161:O161" si="291">SUM(E157:E160)</f>
        <v>692</v>
      </c>
      <c r="F161" s="936">
        <f t="shared" si="291"/>
        <v>737</v>
      </c>
      <c r="G161" s="777">
        <f t="shared" si="291"/>
        <v>-64.25</v>
      </c>
      <c r="H161" s="777">
        <f t="shared" si="291"/>
        <v>-61.25</v>
      </c>
      <c r="I161" s="777">
        <f t="shared" si="291"/>
        <v>122.75</v>
      </c>
      <c r="J161" s="777">
        <f t="shared" si="291"/>
        <v>-4.25</v>
      </c>
      <c r="K161" s="936">
        <f t="shared" si="291"/>
        <v>566</v>
      </c>
      <c r="L161" s="777">
        <f t="shared" si="291"/>
        <v>148.25</v>
      </c>
      <c r="M161" s="777">
        <f t="shared" si="291"/>
        <v>239.25</v>
      </c>
      <c r="N161" s="777">
        <f t="shared" si="291"/>
        <v>297.25</v>
      </c>
      <c r="O161" s="777">
        <f t="shared" si="291"/>
        <v>-1.75</v>
      </c>
      <c r="P161" s="936">
        <f t="shared" ref="P161:U161" si="292">SUM(P157:P160)</f>
        <v>770</v>
      </c>
      <c r="Q161" s="777">
        <f t="shared" si="292"/>
        <v>233.25</v>
      </c>
      <c r="R161" s="777">
        <f t="shared" si="292"/>
        <v>344.25</v>
      </c>
      <c r="S161" s="777">
        <f t="shared" si="292"/>
        <v>258.25</v>
      </c>
      <c r="T161" s="777">
        <f t="shared" si="292"/>
        <v>269.25</v>
      </c>
      <c r="U161" s="936">
        <f t="shared" si="292"/>
        <v>1105</v>
      </c>
      <c r="V161" s="777">
        <f t="shared" ref="V161:AE161" si="293">SUM(V157:V160)</f>
        <v>2158.25</v>
      </c>
      <c r="W161" s="777">
        <f t="shared" si="293"/>
        <v>320.25</v>
      </c>
      <c r="X161" s="777">
        <f t="shared" si="293"/>
        <v>780.25</v>
      </c>
      <c r="Y161" s="777">
        <f t="shared" si="293"/>
        <v>426.25</v>
      </c>
      <c r="Z161" s="936">
        <f t="shared" si="293"/>
        <v>3685</v>
      </c>
      <c r="AA161" s="777">
        <f t="shared" si="293"/>
        <v>218.25</v>
      </c>
      <c r="AB161" s="777">
        <f t="shared" si="293"/>
        <v>242.25</v>
      </c>
      <c r="AC161" s="777">
        <f t="shared" si="293"/>
        <v>222.25</v>
      </c>
      <c r="AD161" s="777">
        <f t="shared" si="293"/>
        <v>270.25</v>
      </c>
      <c r="AE161" s="936">
        <f t="shared" si="293"/>
        <v>953</v>
      </c>
      <c r="AF161" s="777">
        <f t="shared" ref="AF161:AQ161" si="294">SUM(AF157:AF160)</f>
        <v>109</v>
      </c>
      <c r="AG161" s="777">
        <f t="shared" si="294"/>
        <v>268</v>
      </c>
      <c r="AH161" s="777">
        <f t="shared" si="294"/>
        <v>216</v>
      </c>
      <c r="AI161" s="777">
        <f t="shared" ca="1" si="294"/>
        <v>194.51999999999998</v>
      </c>
      <c r="AJ161" s="936">
        <f t="shared" ca="1" si="294"/>
        <v>787.52</v>
      </c>
      <c r="AK161" s="777">
        <f t="shared" ref="AK161:AO161" ca="1" si="295">SUM(AK157:AK160)</f>
        <v>216.25396676441858</v>
      </c>
      <c r="AL161" s="777">
        <f t="shared" ca="1" si="295"/>
        <v>386.19769566491595</v>
      </c>
      <c r="AM161" s="777">
        <f t="shared" ca="1" si="295"/>
        <v>306.95179712093699</v>
      </c>
      <c r="AN161" s="777">
        <f t="shared" ca="1" si="295"/>
        <v>263.46664822577873</v>
      </c>
      <c r="AO161" s="936">
        <f t="shared" ca="1" si="295"/>
        <v>1172.8701077760488</v>
      </c>
      <c r="AP161" s="936">
        <f t="shared" ca="1" si="294"/>
        <v>1301.1742011919061</v>
      </c>
      <c r="AQ161" s="936">
        <f t="shared" ca="1" si="294"/>
        <v>1330.3157164562215</v>
      </c>
      <c r="AR161" s="486"/>
      <c r="AS161" s="1576" t="str">
        <f>+A161</f>
        <v>Operating Free Cash Flow</v>
      </c>
      <c r="AT161" s="777">
        <f t="shared" si="286"/>
        <v>692</v>
      </c>
      <c r="AU161" s="777">
        <f t="shared" si="286"/>
        <v>737</v>
      </c>
      <c r="AV161" s="777">
        <f>+K161</f>
        <v>566</v>
      </c>
      <c r="AW161" s="777">
        <f>+P161</f>
        <v>770</v>
      </c>
      <c r="AX161" s="777">
        <f>+U161</f>
        <v>1105</v>
      </c>
      <c r="AY161" s="777">
        <f>+Z161</f>
        <v>3685</v>
      </c>
      <c r="AZ161" s="937">
        <f>+AE161</f>
        <v>953</v>
      </c>
      <c r="BA161" s="777">
        <f ca="1">+AJ161</f>
        <v>787.52</v>
      </c>
      <c r="BB161" s="777">
        <f t="shared" ca="1" si="287"/>
        <v>1172.8701077760488</v>
      </c>
      <c r="BC161" s="777">
        <f t="shared" ca="1" si="287"/>
        <v>1301.1742011919061</v>
      </c>
      <c r="BD161" s="937">
        <f t="shared" ca="1" si="287"/>
        <v>1330.3157164562215</v>
      </c>
      <c r="BE161" s="14"/>
      <c r="BF161" s="908"/>
      <c r="BG161"/>
      <c r="BH161"/>
      <c r="BI161"/>
      <c r="BJ161"/>
      <c r="BK161"/>
      <c r="BL161"/>
      <c r="BM161" s="909"/>
      <c r="BN161" s="909"/>
      <c r="BO161" s="909"/>
      <c r="BP161" s="909"/>
      <c r="BQ161" s="909"/>
      <c r="BR161" s="909"/>
      <c r="BS161" s="909"/>
    </row>
    <row r="162" spans="1:71" ht="12.75" customHeight="1">
      <c r="A162" s="3496" t="s">
        <v>2942</v>
      </c>
      <c r="B162" s="164"/>
      <c r="C162" s="164"/>
      <c r="D162" s="164"/>
      <c r="E162" s="164"/>
      <c r="F162" s="164"/>
      <c r="G162" s="162"/>
      <c r="H162" s="162"/>
      <c r="I162" s="162"/>
      <c r="J162" s="162"/>
      <c r="K162" s="164"/>
      <c r="L162" s="162"/>
      <c r="M162" s="162"/>
      <c r="N162" s="162"/>
      <c r="O162" s="162"/>
      <c r="P162" s="164"/>
      <c r="Q162" s="162"/>
      <c r="R162" s="162"/>
      <c r="S162" s="162"/>
      <c r="T162" s="162"/>
      <c r="U162" s="1702"/>
      <c r="V162" s="162"/>
      <c r="W162" s="162"/>
      <c r="X162" s="162"/>
      <c r="Y162" s="2600"/>
      <c r="Z162" s="2571"/>
      <c r="AA162" s="162"/>
      <c r="AB162" s="162"/>
      <c r="AC162" s="162"/>
      <c r="AD162" s="162"/>
      <c r="AE162" s="2571"/>
      <c r="AF162" s="162"/>
      <c r="AG162" s="162"/>
      <c r="AH162" s="162"/>
      <c r="AI162" s="162"/>
      <c r="AJ162" s="2571"/>
      <c r="AK162" s="162"/>
      <c r="AL162" s="162"/>
      <c r="AM162" s="162"/>
      <c r="AN162" s="162"/>
      <c r="AO162" s="2569"/>
      <c r="AP162" s="3497">
        <f ca="1">SUM(AJ161:AP161)</f>
        <v>4434.4344167440049</v>
      </c>
      <c r="AQ162" s="164"/>
      <c r="AR162" s="162"/>
      <c r="AS162" s="493"/>
      <c r="AT162" s="162"/>
      <c r="AU162" s="162"/>
      <c r="AV162" s="162"/>
      <c r="AW162" s="162"/>
      <c r="AX162" s="162"/>
      <c r="AY162" s="162"/>
      <c r="AZ162" s="838"/>
      <c r="BA162" s="162"/>
      <c r="BB162" s="162"/>
      <c r="BC162" s="162"/>
      <c r="BD162" s="838"/>
      <c r="BF162" s="900"/>
      <c r="BM162" s="902"/>
      <c r="BN162" s="902"/>
      <c r="BO162" s="902"/>
      <c r="BP162" s="902"/>
      <c r="BQ162" s="902"/>
      <c r="BR162" s="902"/>
      <c r="BS162" s="902"/>
    </row>
    <row r="163" spans="1:71" ht="12.75" customHeight="1">
      <c r="A163" s="3496" t="s">
        <v>2943</v>
      </c>
      <c r="B163" s="164"/>
      <c r="C163" s="164"/>
      <c r="D163" s="164"/>
      <c r="E163" s="164"/>
      <c r="F163" s="164"/>
      <c r="G163" s="162"/>
      <c r="H163" s="162"/>
      <c r="I163" s="162"/>
      <c r="J163" s="162"/>
      <c r="K163" s="164"/>
      <c r="L163" s="162"/>
      <c r="M163" s="162"/>
      <c r="N163" s="162"/>
      <c r="O163" s="162"/>
      <c r="P163" s="164"/>
      <c r="Q163" s="162"/>
      <c r="R163" s="162"/>
      <c r="S163" s="162"/>
      <c r="T163" s="162"/>
      <c r="U163" s="1702"/>
      <c r="V163" s="162"/>
      <c r="W163" s="162"/>
      <c r="X163" s="162"/>
      <c r="Y163" s="2600"/>
      <c r="Z163" s="2571"/>
      <c r="AA163" s="162"/>
      <c r="AB163" s="162"/>
      <c r="AC163" s="162"/>
      <c r="AD163" s="162"/>
      <c r="AE163" s="2571"/>
      <c r="AF163" s="162"/>
      <c r="AG163" s="162"/>
      <c r="AH163" s="162"/>
      <c r="AI163" s="162"/>
      <c r="AJ163" s="2571"/>
      <c r="AK163" s="162"/>
      <c r="AL163" s="162"/>
      <c r="AM163" s="162"/>
      <c r="AN163" s="162"/>
      <c r="AO163" s="2569"/>
      <c r="AP163" s="3498" t="s">
        <v>2944</v>
      </c>
      <c r="AQ163" s="164"/>
      <c r="AR163" s="162"/>
      <c r="AS163" s="493"/>
      <c r="AT163" s="162"/>
      <c r="AU163" s="162"/>
      <c r="AV163" s="162"/>
      <c r="AW163" s="162"/>
      <c r="AX163" s="162"/>
      <c r="AY163" s="162"/>
      <c r="AZ163" s="838"/>
      <c r="BA163" s="162"/>
      <c r="BB163" s="162"/>
      <c r="BC163" s="162"/>
      <c r="BD163" s="838"/>
      <c r="BF163" s="900"/>
      <c r="BM163" s="902"/>
      <c r="BN163" s="902"/>
      <c r="BO163" s="902"/>
      <c r="BP163" s="902"/>
      <c r="BQ163" s="902"/>
      <c r="BR163" s="902"/>
      <c r="BS163" s="902"/>
    </row>
    <row r="164" spans="1:71" ht="12.75" customHeight="1">
      <c r="A164" s="493"/>
      <c r="B164" s="164"/>
      <c r="C164" s="164"/>
      <c r="D164" s="164"/>
      <c r="E164" s="164"/>
      <c r="F164" s="164"/>
      <c r="G164" s="162"/>
      <c r="H164" s="162"/>
      <c r="I164" s="162"/>
      <c r="J164" s="162"/>
      <c r="K164" s="164"/>
      <c r="L164" s="162"/>
      <c r="M164" s="162"/>
      <c r="N164" s="162"/>
      <c r="O164" s="162"/>
      <c r="P164" s="164"/>
      <c r="Q164" s="162"/>
      <c r="R164" s="162"/>
      <c r="S164" s="162"/>
      <c r="T164" s="162"/>
      <c r="U164" s="1702"/>
      <c r="V164" s="162"/>
      <c r="W164" s="162"/>
      <c r="X164" s="162"/>
      <c r="Y164" s="2600"/>
      <c r="Z164" s="2571"/>
      <c r="AA164" s="162"/>
      <c r="AB164" s="162"/>
      <c r="AC164" s="162"/>
      <c r="AD164" s="162"/>
      <c r="AE164" s="2571"/>
      <c r="AF164" s="162"/>
      <c r="AG164" s="162"/>
      <c r="AH164" s="162"/>
      <c r="AI164" s="162"/>
      <c r="AJ164" s="2571"/>
      <c r="AK164" s="162"/>
      <c r="AL164" s="162"/>
      <c r="AM164" s="162"/>
      <c r="AN164" s="162"/>
      <c r="AO164" s="2569"/>
      <c r="AP164" s="164"/>
      <c r="AQ164" s="164"/>
      <c r="AR164" s="162"/>
      <c r="AS164" s="493"/>
      <c r="AT164" s="162"/>
      <c r="AU164" s="162"/>
      <c r="AV164" s="162"/>
      <c r="AW164" s="162"/>
      <c r="AX164" s="162"/>
      <c r="AY164" s="162"/>
      <c r="AZ164" s="838"/>
      <c r="BA164" s="162"/>
      <c r="BB164" s="162"/>
      <c r="BC164" s="162"/>
      <c r="BD164" s="838"/>
      <c r="BF164" s="900"/>
      <c r="BM164" s="902"/>
      <c r="BN164" s="902"/>
      <c r="BO164" s="902"/>
      <c r="BP164" s="902"/>
      <c r="BQ164" s="902"/>
      <c r="BR164" s="902"/>
      <c r="BS164" s="902"/>
    </row>
    <row r="165" spans="1:71" ht="12.75" customHeight="1">
      <c r="A165" s="384" t="s">
        <v>1329</v>
      </c>
      <c r="B165" s="164"/>
      <c r="C165" s="164"/>
      <c r="D165" s="164"/>
      <c r="E165" s="164">
        <f t="shared" ref="E165:W165" si="296">E520</f>
        <v>-4</v>
      </c>
      <c r="F165" s="164">
        <f t="shared" si="296"/>
        <v>-11</v>
      </c>
      <c r="G165" s="162">
        <f t="shared" si="296"/>
        <v>0</v>
      </c>
      <c r="H165" s="162">
        <f t="shared" si="296"/>
        <v>-2</v>
      </c>
      <c r="I165" s="162">
        <f t="shared" si="296"/>
        <v>-1</v>
      </c>
      <c r="J165" s="162">
        <f t="shared" si="296"/>
        <v>0</v>
      </c>
      <c r="K165" s="164">
        <f t="shared" si="296"/>
        <v>-3</v>
      </c>
      <c r="L165" s="162">
        <f t="shared" si="296"/>
        <v>12</v>
      </c>
      <c r="M165" s="162">
        <f t="shared" si="296"/>
        <v>-2</v>
      </c>
      <c r="N165" s="162">
        <f t="shared" si="296"/>
        <v>2</v>
      </c>
      <c r="O165" s="162">
        <f t="shared" si="296"/>
        <v>-16</v>
      </c>
      <c r="P165" s="164">
        <f t="shared" si="296"/>
        <v>-4</v>
      </c>
      <c r="Q165" s="162">
        <f t="shared" si="296"/>
        <v>1</v>
      </c>
      <c r="R165" s="162">
        <f t="shared" si="296"/>
        <v>-6</v>
      </c>
      <c r="S165" s="162">
        <f t="shared" si="296"/>
        <v>-1</v>
      </c>
      <c r="T165" s="162">
        <f t="shared" si="296"/>
        <v>-3</v>
      </c>
      <c r="U165" s="164">
        <f t="shared" si="296"/>
        <v>-9</v>
      </c>
      <c r="V165" s="162">
        <f t="shared" si="296"/>
        <v>0</v>
      </c>
      <c r="W165" s="162">
        <f t="shared" si="296"/>
        <v>-5</v>
      </c>
      <c r="X165" s="162">
        <f t="shared" ref="X165:AQ165" si="297">X520</f>
        <v>0</v>
      </c>
      <c r="Y165" s="2600">
        <f t="shared" si="297"/>
        <v>0</v>
      </c>
      <c r="Z165" s="2569">
        <f t="shared" si="297"/>
        <v>-5</v>
      </c>
      <c r="AA165" s="162">
        <f t="shared" si="297"/>
        <v>2</v>
      </c>
      <c r="AB165" s="162">
        <f t="shared" si="297"/>
        <v>-2</v>
      </c>
      <c r="AC165" s="162">
        <f t="shared" si="297"/>
        <v>0</v>
      </c>
      <c r="AD165" s="162">
        <f t="shared" si="297"/>
        <v>0</v>
      </c>
      <c r="AE165" s="2569">
        <f t="shared" si="297"/>
        <v>0</v>
      </c>
      <c r="AF165" s="162">
        <f t="shared" si="297"/>
        <v>0</v>
      </c>
      <c r="AG165" s="162">
        <f t="shared" si="297"/>
        <v>0</v>
      </c>
      <c r="AH165" s="162">
        <f t="shared" si="297"/>
        <v>0</v>
      </c>
      <c r="AI165" s="162">
        <f t="shared" si="297"/>
        <v>0</v>
      </c>
      <c r="AJ165" s="2569">
        <f t="shared" si="297"/>
        <v>0</v>
      </c>
      <c r="AK165" s="162">
        <f t="shared" ref="AK165:AO165" si="298">AK520</f>
        <v>0</v>
      </c>
      <c r="AL165" s="162">
        <f t="shared" si="298"/>
        <v>0</v>
      </c>
      <c r="AM165" s="162">
        <f t="shared" si="298"/>
        <v>0</v>
      </c>
      <c r="AN165" s="162">
        <f t="shared" si="298"/>
        <v>0</v>
      </c>
      <c r="AO165" s="2569">
        <f t="shared" si="298"/>
        <v>0</v>
      </c>
      <c r="AP165" s="164">
        <f t="shared" si="297"/>
        <v>0</v>
      </c>
      <c r="AQ165" s="164">
        <f t="shared" si="297"/>
        <v>0</v>
      </c>
      <c r="AR165" s="162"/>
      <c r="AS165" s="384" t="str">
        <f t="shared" ref="AS165:AS172" si="299">+A165</f>
        <v>Investments</v>
      </c>
      <c r="AT165" s="162">
        <f t="shared" ref="AT165:AU172" si="300">+E165</f>
        <v>-4</v>
      </c>
      <c r="AU165" s="162">
        <f t="shared" si="300"/>
        <v>-11</v>
      </c>
      <c r="AV165" s="162">
        <f t="shared" ref="AV165:AV172" si="301">+K165</f>
        <v>-3</v>
      </c>
      <c r="AW165" s="162">
        <f t="shared" ref="AW165:AW172" si="302">+P165</f>
        <v>-4</v>
      </c>
      <c r="AX165" s="162">
        <f t="shared" ref="AX165:AX172" si="303">+U165</f>
        <v>-9</v>
      </c>
      <c r="AY165" s="162">
        <f t="shared" ref="AY165:AY172" si="304">+Z165</f>
        <v>-5</v>
      </c>
      <c r="AZ165" s="838">
        <f t="shared" ref="AZ165:AZ172" si="305">+AE165</f>
        <v>0</v>
      </c>
      <c r="BA165" s="162">
        <f t="shared" ref="BA165:BA172" si="306">+AJ165</f>
        <v>0</v>
      </c>
      <c r="BB165" s="162">
        <f t="shared" ref="BB165:BB172" si="307">+AO165</f>
        <v>0</v>
      </c>
      <c r="BC165" s="162">
        <f t="shared" ref="BC165:BC172" si="308">+AP165</f>
        <v>0</v>
      </c>
      <c r="BD165" s="838">
        <f t="shared" ref="BD165:BD172" si="309">+AQ165</f>
        <v>0</v>
      </c>
      <c r="BF165" s="900"/>
      <c r="BM165" s="902"/>
      <c r="BN165" s="902"/>
      <c r="BO165" s="902"/>
      <c r="BP165" s="902"/>
      <c r="BQ165" s="902"/>
      <c r="BR165" s="902"/>
      <c r="BS165" s="902"/>
    </row>
    <row r="166" spans="1:71" ht="12.75" customHeight="1">
      <c r="A166" s="384" t="s">
        <v>1789</v>
      </c>
      <c r="B166" s="164"/>
      <c r="C166" s="164"/>
      <c r="D166" s="164"/>
      <c r="E166" s="164">
        <f t="shared" ref="E166:W166" si="310">E503+E518+E519</f>
        <v>157</v>
      </c>
      <c r="F166" s="164">
        <f t="shared" si="310"/>
        <v>126</v>
      </c>
      <c r="G166" s="162">
        <f t="shared" si="310"/>
        <v>1</v>
      </c>
      <c r="H166" s="162">
        <f t="shared" si="310"/>
        <v>2</v>
      </c>
      <c r="I166" s="162">
        <f t="shared" si="310"/>
        <v>1</v>
      </c>
      <c r="J166" s="162">
        <f t="shared" si="310"/>
        <v>0</v>
      </c>
      <c r="K166" s="164">
        <f t="shared" si="310"/>
        <v>4</v>
      </c>
      <c r="L166" s="162">
        <f t="shared" si="310"/>
        <v>-7</v>
      </c>
      <c r="M166" s="162">
        <f t="shared" si="310"/>
        <v>1</v>
      </c>
      <c r="N166" s="162">
        <f t="shared" si="310"/>
        <v>1</v>
      </c>
      <c r="O166" s="162">
        <f t="shared" si="310"/>
        <v>0</v>
      </c>
      <c r="P166" s="164">
        <f t="shared" si="310"/>
        <v>-5</v>
      </c>
      <c r="Q166" s="162">
        <f t="shared" si="310"/>
        <v>0</v>
      </c>
      <c r="R166" s="162">
        <f t="shared" si="310"/>
        <v>1</v>
      </c>
      <c r="S166" s="162">
        <f t="shared" si="310"/>
        <v>16</v>
      </c>
      <c r="T166" s="162">
        <f t="shared" si="310"/>
        <v>2</v>
      </c>
      <c r="U166" s="164">
        <f t="shared" si="310"/>
        <v>19</v>
      </c>
      <c r="V166" s="162">
        <f t="shared" si="310"/>
        <v>-1</v>
      </c>
      <c r="W166" s="162">
        <f t="shared" si="310"/>
        <v>-3</v>
      </c>
      <c r="X166" s="162">
        <f t="shared" ref="X166:AQ166" si="311">X503+X518+X519</f>
        <v>-2</v>
      </c>
      <c r="Y166" s="2600">
        <f t="shared" si="311"/>
        <v>0</v>
      </c>
      <c r="Z166" s="2569">
        <f t="shared" si="311"/>
        <v>-6</v>
      </c>
      <c r="AA166" s="162">
        <f t="shared" si="311"/>
        <v>-8</v>
      </c>
      <c r="AB166" s="162">
        <f t="shared" si="311"/>
        <v>-9</v>
      </c>
      <c r="AC166" s="162">
        <f t="shared" si="311"/>
        <v>-14</v>
      </c>
      <c r="AD166" s="162">
        <f t="shared" si="311"/>
        <v>31</v>
      </c>
      <c r="AE166" s="2569">
        <f t="shared" si="311"/>
        <v>0</v>
      </c>
      <c r="AF166" s="162">
        <f t="shared" si="311"/>
        <v>0</v>
      </c>
      <c r="AG166" s="162">
        <f t="shared" si="311"/>
        <v>0</v>
      </c>
      <c r="AH166" s="162">
        <f t="shared" si="311"/>
        <v>0</v>
      </c>
      <c r="AI166" s="162">
        <f t="shared" si="311"/>
        <v>0</v>
      </c>
      <c r="AJ166" s="2569">
        <f t="shared" si="311"/>
        <v>0</v>
      </c>
      <c r="AK166" s="162">
        <f t="shared" ref="AK166:AO166" si="312">AK503+AK518+AK519</f>
        <v>0</v>
      </c>
      <c r="AL166" s="162">
        <f t="shared" si="312"/>
        <v>0</v>
      </c>
      <c r="AM166" s="162">
        <f t="shared" si="312"/>
        <v>0</v>
      </c>
      <c r="AN166" s="162">
        <f t="shared" si="312"/>
        <v>0</v>
      </c>
      <c r="AO166" s="2569">
        <f t="shared" si="312"/>
        <v>0</v>
      </c>
      <c r="AP166" s="164">
        <f t="shared" si="311"/>
        <v>0</v>
      </c>
      <c r="AQ166" s="164">
        <f t="shared" si="311"/>
        <v>0</v>
      </c>
      <c r="AR166" s="162"/>
      <c r="AS166" s="384" t="str">
        <f t="shared" si="299"/>
        <v>Inventory and Financing receivables issuance (payments), net</v>
      </c>
      <c r="AT166" s="162">
        <f t="shared" si="300"/>
        <v>157</v>
      </c>
      <c r="AU166" s="162">
        <f t="shared" si="300"/>
        <v>126</v>
      </c>
      <c r="AV166" s="162">
        <f t="shared" si="301"/>
        <v>4</v>
      </c>
      <c r="AW166" s="162">
        <f t="shared" si="302"/>
        <v>-5</v>
      </c>
      <c r="AX166" s="162">
        <f t="shared" si="303"/>
        <v>19</v>
      </c>
      <c r="AY166" s="162">
        <f t="shared" si="304"/>
        <v>-6</v>
      </c>
      <c r="AZ166" s="838">
        <f t="shared" si="305"/>
        <v>0</v>
      </c>
      <c r="BA166" s="162">
        <f t="shared" si="306"/>
        <v>0</v>
      </c>
      <c r="BB166" s="162">
        <f t="shared" si="307"/>
        <v>0</v>
      </c>
      <c r="BC166" s="162">
        <f t="shared" si="308"/>
        <v>0</v>
      </c>
      <c r="BD166" s="838">
        <f t="shared" si="309"/>
        <v>0</v>
      </c>
      <c r="BF166" s="900"/>
      <c r="BM166" s="902"/>
      <c r="BN166" s="902"/>
      <c r="BO166" s="902"/>
      <c r="BP166" s="902"/>
      <c r="BQ166" s="902"/>
      <c r="BR166" s="902"/>
      <c r="BS166" s="902"/>
    </row>
    <row r="167" spans="1:71" ht="12.75" customHeight="1">
      <c r="A167" s="494" t="s">
        <v>1149</v>
      </c>
      <c r="B167" s="164"/>
      <c r="C167" s="164"/>
      <c r="D167" s="164"/>
      <c r="E167" s="164">
        <f>E528</f>
        <v>-260</v>
      </c>
      <c r="F167" s="164">
        <f t="shared" ref="F167:AQ167" si="313">F528</f>
        <v>-686</v>
      </c>
      <c r="G167" s="162">
        <f t="shared" si="313"/>
        <v>-83</v>
      </c>
      <c r="H167" s="162">
        <f t="shared" si="313"/>
        <v>-98</v>
      </c>
      <c r="I167" s="162">
        <f t="shared" si="313"/>
        <v>-81</v>
      </c>
      <c r="J167" s="162">
        <f t="shared" si="313"/>
        <v>-496</v>
      </c>
      <c r="K167" s="164">
        <f t="shared" si="313"/>
        <v>-758</v>
      </c>
      <c r="L167" s="162">
        <f t="shared" si="313"/>
        <v>-102</v>
      </c>
      <c r="M167" s="162">
        <f t="shared" si="313"/>
        <v>-399</v>
      </c>
      <c r="N167" s="162">
        <f t="shared" si="313"/>
        <v>-399</v>
      </c>
      <c r="O167" s="162">
        <f t="shared" si="313"/>
        <v>-2215</v>
      </c>
      <c r="P167" s="164">
        <f t="shared" si="313"/>
        <v>-3115</v>
      </c>
      <c r="Q167" s="162">
        <f t="shared" si="313"/>
        <v>-219</v>
      </c>
      <c r="R167" s="162">
        <f t="shared" si="313"/>
        <v>-214</v>
      </c>
      <c r="S167" s="162">
        <f t="shared" si="313"/>
        <v>-292</v>
      </c>
      <c r="T167" s="162">
        <f t="shared" si="313"/>
        <v>-349</v>
      </c>
      <c r="U167" s="164">
        <f t="shared" si="313"/>
        <v>-1074</v>
      </c>
      <c r="V167" s="162">
        <f t="shared" si="313"/>
        <v>-710</v>
      </c>
      <c r="W167" s="162">
        <f t="shared" si="313"/>
        <v>-217</v>
      </c>
      <c r="X167" s="162">
        <f t="shared" ref="X167:AE167" si="314">X528</f>
        <v>-380</v>
      </c>
      <c r="Y167" s="2600">
        <f t="shared" si="314"/>
        <v>-269</v>
      </c>
      <c r="Z167" s="2569">
        <f t="shared" si="314"/>
        <v>-1576</v>
      </c>
      <c r="AA167" s="162">
        <f t="shared" si="314"/>
        <v>-32</v>
      </c>
      <c r="AB167" s="162">
        <f t="shared" si="314"/>
        <v>-32</v>
      </c>
      <c r="AC167" s="162">
        <f t="shared" si="314"/>
        <v>-65</v>
      </c>
      <c r="AD167" s="162">
        <f t="shared" si="314"/>
        <v>409</v>
      </c>
      <c r="AE167" s="2569">
        <f t="shared" si="314"/>
        <v>280</v>
      </c>
      <c r="AF167" s="162">
        <f>AF528</f>
        <v>-67</v>
      </c>
      <c r="AG167" s="162">
        <f>AG528</f>
        <v>54</v>
      </c>
      <c r="AH167" s="162">
        <f>AH528</f>
        <v>-12</v>
      </c>
      <c r="AI167" s="162">
        <f>AI528</f>
        <v>100</v>
      </c>
      <c r="AJ167" s="2569">
        <f>AJ528</f>
        <v>75</v>
      </c>
      <c r="AK167" s="162">
        <f t="shared" ref="AK167:AN167" si="315">AK528</f>
        <v>62.5</v>
      </c>
      <c r="AL167" s="162">
        <f t="shared" si="315"/>
        <v>62.5</v>
      </c>
      <c r="AM167" s="162">
        <f t="shared" si="315"/>
        <v>62.5</v>
      </c>
      <c r="AN167" s="162">
        <f t="shared" si="315"/>
        <v>62.5</v>
      </c>
      <c r="AO167" s="2569">
        <f>AO528</f>
        <v>250</v>
      </c>
      <c r="AP167" s="164">
        <f t="shared" si="313"/>
        <v>250</v>
      </c>
      <c r="AQ167" s="164">
        <f t="shared" si="313"/>
        <v>250</v>
      </c>
      <c r="AR167" s="162"/>
      <c r="AS167" s="494" t="str">
        <f t="shared" si="299"/>
        <v>Proceeds (Payments) on Long-term Debt</v>
      </c>
      <c r="AT167" s="162">
        <f t="shared" si="300"/>
        <v>-260</v>
      </c>
      <c r="AU167" s="162">
        <f t="shared" si="300"/>
        <v>-686</v>
      </c>
      <c r="AV167" s="162">
        <f t="shared" si="301"/>
        <v>-758</v>
      </c>
      <c r="AW167" s="162">
        <f t="shared" si="302"/>
        <v>-3115</v>
      </c>
      <c r="AX167" s="162">
        <f t="shared" si="303"/>
        <v>-1074</v>
      </c>
      <c r="AY167" s="162">
        <f t="shared" si="304"/>
        <v>-1576</v>
      </c>
      <c r="AZ167" s="838">
        <f t="shared" si="305"/>
        <v>280</v>
      </c>
      <c r="BA167" s="162">
        <f t="shared" si="306"/>
        <v>75</v>
      </c>
      <c r="BB167" s="162">
        <f t="shared" si="307"/>
        <v>250</v>
      </c>
      <c r="BC167" s="162">
        <f t="shared" si="308"/>
        <v>250</v>
      </c>
      <c r="BD167" s="838">
        <f t="shared" si="309"/>
        <v>250</v>
      </c>
      <c r="BF167" s="900"/>
      <c r="BM167" s="902"/>
      <c r="BN167" s="902"/>
      <c r="BO167" s="902"/>
      <c r="BP167" s="902"/>
      <c r="BQ167" s="902"/>
      <c r="BR167" s="902"/>
      <c r="BS167" s="902"/>
    </row>
    <row r="168" spans="1:71" ht="12.75" customHeight="1">
      <c r="A168" s="494" t="s">
        <v>470</v>
      </c>
      <c r="B168" s="164"/>
      <c r="C168" s="164"/>
      <c r="D168" s="164"/>
      <c r="E168" s="551">
        <v>0</v>
      </c>
      <c r="F168" s="551">
        <v>0</v>
      </c>
      <c r="G168" s="160">
        <v>0</v>
      </c>
      <c r="H168" s="160">
        <v>0</v>
      </c>
      <c r="I168" s="160">
        <v>0</v>
      </c>
      <c r="J168" s="160">
        <v>0</v>
      </c>
      <c r="K168" s="551">
        <v>0</v>
      </c>
      <c r="L168" s="160">
        <v>0</v>
      </c>
      <c r="M168" s="160">
        <v>0</v>
      </c>
      <c r="N168" s="160">
        <v>0</v>
      </c>
      <c r="O168" s="160">
        <v>0</v>
      </c>
      <c r="P168" s="551">
        <f>SUM(L168:O168)</f>
        <v>0</v>
      </c>
      <c r="Q168" s="160">
        <v>0</v>
      </c>
      <c r="R168" s="160">
        <v>0</v>
      </c>
      <c r="S168" s="160">
        <v>0</v>
      </c>
      <c r="T168" s="160">
        <v>0</v>
      </c>
      <c r="U168" s="164">
        <f>SUM(Q168:T168)</f>
        <v>0</v>
      </c>
      <c r="V168" s="160">
        <v>0</v>
      </c>
      <c r="W168" s="160">
        <v>0</v>
      </c>
      <c r="X168" s="160">
        <v>0</v>
      </c>
      <c r="Y168" s="160">
        <v>0</v>
      </c>
      <c r="Z168" s="2569">
        <f>SUM(V168:Y168)</f>
        <v>0</v>
      </c>
      <c r="AA168" s="160">
        <v>0</v>
      </c>
      <c r="AB168" s="160">
        <v>0</v>
      </c>
      <c r="AC168" s="160">
        <v>0</v>
      </c>
      <c r="AD168" s="2600">
        <f>+AD529</f>
        <v>0</v>
      </c>
      <c r="AE168" s="2569">
        <f>SUM(AA168:AD168)</f>
        <v>0</v>
      </c>
      <c r="AF168" s="2600">
        <f>+AF529</f>
        <v>-70</v>
      </c>
      <c r="AG168" s="2600">
        <f t="shared" ref="AG168:AQ168" si="316">+AG529</f>
        <v>-282</v>
      </c>
      <c r="AH168" s="2600">
        <f t="shared" si="316"/>
        <v>-273</v>
      </c>
      <c r="AI168" s="2600">
        <f t="shared" si="316"/>
        <v>-275</v>
      </c>
      <c r="AJ168" s="2569">
        <f t="shared" si="316"/>
        <v>-900</v>
      </c>
      <c r="AK168" s="2600">
        <f t="shared" ref="AK168:AO168" si="317">+AK529</f>
        <v>-300</v>
      </c>
      <c r="AL168" s="2600">
        <f t="shared" si="317"/>
        <v>-300</v>
      </c>
      <c r="AM168" s="2600">
        <f t="shared" si="317"/>
        <v>-300</v>
      </c>
      <c r="AN168" s="2600">
        <f t="shared" si="317"/>
        <v>-300</v>
      </c>
      <c r="AO168" s="2569">
        <f t="shared" si="317"/>
        <v>-1200</v>
      </c>
      <c r="AP168" s="2569">
        <f t="shared" si="316"/>
        <v>-1200</v>
      </c>
      <c r="AQ168" s="2569">
        <f t="shared" si="316"/>
        <v>-600</v>
      </c>
      <c r="AR168" s="162"/>
      <c r="AS168" s="494" t="str">
        <f t="shared" si="299"/>
        <v>Share Repurchases</v>
      </c>
      <c r="AT168" s="162">
        <f t="shared" si="300"/>
        <v>0</v>
      </c>
      <c r="AU168" s="162">
        <f t="shared" si="300"/>
        <v>0</v>
      </c>
      <c r="AV168" s="162">
        <f t="shared" si="301"/>
        <v>0</v>
      </c>
      <c r="AW168" s="162">
        <f t="shared" si="302"/>
        <v>0</v>
      </c>
      <c r="AX168" s="162">
        <f t="shared" si="303"/>
        <v>0</v>
      </c>
      <c r="AY168" s="162">
        <f t="shared" si="304"/>
        <v>0</v>
      </c>
      <c r="AZ168" s="838">
        <f t="shared" si="305"/>
        <v>0</v>
      </c>
      <c r="BA168" s="162">
        <f t="shared" si="306"/>
        <v>-900</v>
      </c>
      <c r="BB168" s="162">
        <f t="shared" si="307"/>
        <v>-1200</v>
      </c>
      <c r="BC168" s="162">
        <f t="shared" si="308"/>
        <v>-1200</v>
      </c>
      <c r="BD168" s="838">
        <f t="shared" si="309"/>
        <v>-600</v>
      </c>
      <c r="BE168" s="2690" t="s">
        <v>2945</v>
      </c>
      <c r="BF168" s="930">
        <f>-SUM(AJ168:AP169)</f>
        <v>5319.7314482905385</v>
      </c>
      <c r="BM168" s="902"/>
      <c r="BN168" s="902"/>
      <c r="BO168" s="931"/>
      <c r="BP168" s="931"/>
      <c r="BQ168" s="902"/>
      <c r="BR168" s="902"/>
      <c r="BS168" s="902"/>
    </row>
    <row r="169" spans="1:71" ht="12.75" customHeight="1">
      <c r="A169" s="2354" t="s">
        <v>2397</v>
      </c>
      <c r="B169" s="164"/>
      <c r="C169" s="164"/>
      <c r="D169" s="164"/>
      <c r="E169" s="551">
        <v>0</v>
      </c>
      <c r="F169" s="551">
        <v>0</v>
      </c>
      <c r="G169" s="160">
        <v>0</v>
      </c>
      <c r="H169" s="160">
        <v>0</v>
      </c>
      <c r="I169" s="160">
        <v>0</v>
      </c>
      <c r="J169" s="160">
        <v>0</v>
      </c>
      <c r="K169" s="551">
        <v>0</v>
      </c>
      <c r="L169" s="160">
        <v>0</v>
      </c>
      <c r="M169" s="160">
        <v>0</v>
      </c>
      <c r="N169" s="160">
        <v>0</v>
      </c>
      <c r="O169" s="160">
        <v>0</v>
      </c>
      <c r="P169" s="551">
        <f>SUM(L169:O169)</f>
        <v>0</v>
      </c>
      <c r="Q169" s="160">
        <v>0</v>
      </c>
      <c r="R169" s="160">
        <v>0</v>
      </c>
      <c r="S169" s="160">
        <v>0</v>
      </c>
      <c r="T169" s="160">
        <v>0</v>
      </c>
      <c r="U169" s="164">
        <f>SUM(Q169:T169)</f>
        <v>0</v>
      </c>
      <c r="V169" s="160">
        <v>0</v>
      </c>
      <c r="W169" s="160">
        <v>0</v>
      </c>
      <c r="X169" s="160">
        <v>0</v>
      </c>
      <c r="Y169" s="160">
        <v>0</v>
      </c>
      <c r="Z169" s="2569">
        <f>SUM(V169:Y169)</f>
        <v>0</v>
      </c>
      <c r="AA169" s="160">
        <v>0</v>
      </c>
      <c r="AB169" s="160">
        <v>0</v>
      </c>
      <c r="AC169" s="160">
        <v>0</v>
      </c>
      <c r="AD169" s="160">
        <v>0</v>
      </c>
      <c r="AE169" s="2569">
        <f>SUM(AA169:AD169)</f>
        <v>0</v>
      </c>
      <c r="AF169" s="2600">
        <f>+AF530</f>
        <v>-49</v>
      </c>
      <c r="AG169" s="2600">
        <f>+AG530</f>
        <v>-49</v>
      </c>
      <c r="AH169" s="2600">
        <f>+AH530</f>
        <v>-49</v>
      </c>
      <c r="AI169" s="2600">
        <f>+AI530</f>
        <v>-47.620806125980572</v>
      </c>
      <c r="AJ169" s="2569">
        <f>SUM(AF169:AI169)</f>
        <v>-194.62080612598058</v>
      </c>
      <c r="AK169" s="2600">
        <f t="shared" ref="AK169:AN169" si="318">+AK530</f>
        <v>-52.787159263219209</v>
      </c>
      <c r="AL169" s="2600">
        <f t="shared" si="318"/>
        <v>-52.206578800045015</v>
      </c>
      <c r="AM169" s="2600">
        <f t="shared" si="318"/>
        <v>-51.640158835972635</v>
      </c>
      <c r="AN169" s="2600">
        <f t="shared" si="318"/>
        <v>-51.087553992975181</v>
      </c>
      <c r="AO169" s="2569">
        <f>SUM(AK169:AN169)</f>
        <v>-207.72145089221206</v>
      </c>
      <c r="AP169" s="164">
        <f>+AP530</f>
        <v>-209.66774038013435</v>
      </c>
      <c r="AQ169" s="164">
        <f>+AQ530</f>
        <v>-205.83147535436697</v>
      </c>
      <c r="AR169" s="162"/>
      <c r="AS169" s="494" t="str">
        <f t="shared" si="299"/>
        <v>Dividends Paid</v>
      </c>
      <c r="AT169" s="162">
        <f t="shared" si="300"/>
        <v>0</v>
      </c>
      <c r="AU169" s="162">
        <f t="shared" si="300"/>
        <v>0</v>
      </c>
      <c r="AV169" s="162">
        <f t="shared" si="301"/>
        <v>0</v>
      </c>
      <c r="AW169" s="162">
        <f t="shared" si="302"/>
        <v>0</v>
      </c>
      <c r="AX169" s="162">
        <f t="shared" si="303"/>
        <v>0</v>
      </c>
      <c r="AY169" s="162">
        <f t="shared" si="304"/>
        <v>0</v>
      </c>
      <c r="AZ169" s="838">
        <f t="shared" si="305"/>
        <v>0</v>
      </c>
      <c r="BA169" s="162">
        <f t="shared" si="306"/>
        <v>-194.62080612598058</v>
      </c>
      <c r="BB169" s="162">
        <f t="shared" si="307"/>
        <v>-207.72145089221206</v>
      </c>
      <c r="BC169" s="162">
        <f t="shared" si="308"/>
        <v>-209.66774038013435</v>
      </c>
      <c r="BD169" s="838">
        <f t="shared" si="309"/>
        <v>-205.83147535436697</v>
      </c>
      <c r="BE169" s="2690" t="s">
        <v>2946</v>
      </c>
      <c r="BF169" s="3500" t="s">
        <v>2947</v>
      </c>
      <c r="BM169" s="902"/>
      <c r="BN169" s="902"/>
      <c r="BO169" s="902"/>
      <c r="BP169" s="902"/>
      <c r="BQ169" s="902"/>
      <c r="BR169" s="902"/>
      <c r="BS169" s="902"/>
    </row>
    <row r="170" spans="1:71" s="130" customFormat="1" ht="12.75" customHeight="1">
      <c r="A170" s="384" t="s">
        <v>395</v>
      </c>
      <c r="B170" s="164"/>
      <c r="C170" s="164"/>
      <c r="D170" s="164"/>
      <c r="E170" s="551">
        <v>0</v>
      </c>
      <c r="F170" s="551">
        <v>0</v>
      </c>
      <c r="G170" s="160">
        <v>0</v>
      </c>
      <c r="H170" s="160">
        <v>0</v>
      </c>
      <c r="I170" s="160">
        <v>0</v>
      </c>
      <c r="J170" s="160">
        <v>0</v>
      </c>
      <c r="K170" s="551">
        <v>0</v>
      </c>
      <c r="L170" s="160">
        <v>0</v>
      </c>
      <c r="M170" s="160">
        <v>0</v>
      </c>
      <c r="N170" s="160">
        <v>0</v>
      </c>
      <c r="O170" s="162">
        <v>0</v>
      </c>
      <c r="P170" s="164">
        <f>SUM(L170:O170)</f>
        <v>0</v>
      </c>
      <c r="Q170" s="160">
        <f>+Q538</f>
        <v>0</v>
      </c>
      <c r="R170" s="160">
        <f>+R538</f>
        <v>13</v>
      </c>
      <c r="S170" s="160">
        <f>+S538</f>
        <v>-13</v>
      </c>
      <c r="T170" s="160">
        <f>+T538</f>
        <v>0</v>
      </c>
      <c r="U170" s="164">
        <f>SUM(Q170:T170)</f>
        <v>0</v>
      </c>
      <c r="V170" s="160">
        <f>+V538</f>
        <v>8</v>
      </c>
      <c r="W170" s="160">
        <f>+W538</f>
        <v>0</v>
      </c>
      <c r="X170" s="160">
        <f>+X538</f>
        <v>0</v>
      </c>
      <c r="Y170" s="2600">
        <f>+Y538</f>
        <v>0</v>
      </c>
      <c r="Z170" s="2569">
        <f>SUM(V170:Y170)</f>
        <v>8</v>
      </c>
      <c r="AA170" s="2600">
        <f>+AA538</f>
        <v>0</v>
      </c>
      <c r="AB170" s="2600">
        <f>+AB538</f>
        <v>0</v>
      </c>
      <c r="AC170" s="2600">
        <f>+AC538</f>
        <v>0</v>
      </c>
      <c r="AD170" s="2600">
        <f>+AD538</f>
        <v>0</v>
      </c>
      <c r="AE170" s="2569">
        <f>SUM(AA170:AD170)</f>
        <v>0</v>
      </c>
      <c r="AF170" s="2600">
        <f>+AF538</f>
        <v>-529</v>
      </c>
      <c r="AG170" s="2600">
        <f>+AG538</f>
        <v>0</v>
      </c>
      <c r="AH170" s="2600">
        <f>+AH538</f>
        <v>0</v>
      </c>
      <c r="AI170" s="2600">
        <f>+AI538</f>
        <v>0</v>
      </c>
      <c r="AJ170" s="2569">
        <f>SUM(AF170:AI170)</f>
        <v>-529</v>
      </c>
      <c r="AK170" s="2600">
        <f t="shared" ref="AK170:AN170" si="319">+AK538</f>
        <v>0</v>
      </c>
      <c r="AL170" s="2600">
        <f t="shared" si="319"/>
        <v>0</v>
      </c>
      <c r="AM170" s="2600">
        <f t="shared" si="319"/>
        <v>0</v>
      </c>
      <c r="AN170" s="2600">
        <f t="shared" si="319"/>
        <v>0</v>
      </c>
      <c r="AO170" s="2569">
        <f>SUM(AK170:AN170)</f>
        <v>0</v>
      </c>
      <c r="AP170" s="164">
        <f>+AP538</f>
        <v>0</v>
      </c>
      <c r="AQ170" s="551">
        <f>+AQ538</f>
        <v>0</v>
      </c>
      <c r="AR170" s="165"/>
      <c r="AS170" s="384" t="str">
        <f t="shared" si="299"/>
        <v>Other</v>
      </c>
      <c r="AT170" s="162">
        <f t="shared" si="300"/>
        <v>0</v>
      </c>
      <c r="AU170" s="162">
        <f t="shared" si="300"/>
        <v>0</v>
      </c>
      <c r="AV170" s="162">
        <f t="shared" si="301"/>
        <v>0</v>
      </c>
      <c r="AW170" s="162">
        <f t="shared" si="302"/>
        <v>0</v>
      </c>
      <c r="AX170" s="162">
        <f t="shared" si="303"/>
        <v>0</v>
      </c>
      <c r="AY170" s="162">
        <f t="shared" si="304"/>
        <v>8</v>
      </c>
      <c r="AZ170" s="838">
        <f t="shared" si="305"/>
        <v>0</v>
      </c>
      <c r="BA170" s="162">
        <f t="shared" si="306"/>
        <v>-529</v>
      </c>
      <c r="BB170" s="162">
        <f t="shared" si="307"/>
        <v>0</v>
      </c>
      <c r="BC170" s="162">
        <f t="shared" si="308"/>
        <v>0</v>
      </c>
      <c r="BD170" s="838">
        <f t="shared" si="309"/>
        <v>0</v>
      </c>
      <c r="BE170" s="14"/>
      <c r="BF170" s="900"/>
      <c r="BG170"/>
      <c r="BH170"/>
      <c r="BI170"/>
      <c r="BJ170"/>
      <c r="BK170"/>
      <c r="BL170"/>
      <c r="BM170" s="902"/>
      <c r="BN170" s="902"/>
      <c r="BO170" s="902"/>
      <c r="BP170" s="902"/>
      <c r="BQ170" s="902"/>
      <c r="BR170" s="902"/>
      <c r="BS170" s="902"/>
    </row>
    <row r="171" spans="1:71" ht="12.75" customHeight="1">
      <c r="A171" s="291" t="s">
        <v>1330</v>
      </c>
      <c r="B171" s="1480"/>
      <c r="C171" s="1480"/>
      <c r="D171" s="1480"/>
      <c r="E171" s="1480">
        <f t="shared" ref="E171:AE171" si="320">SUM(E161:E170)</f>
        <v>585</v>
      </c>
      <c r="F171" s="1480">
        <f t="shared" si="320"/>
        <v>166</v>
      </c>
      <c r="G171" s="1481">
        <f t="shared" si="320"/>
        <v>-146.25</v>
      </c>
      <c r="H171" s="1481">
        <f t="shared" si="320"/>
        <v>-159.25</v>
      </c>
      <c r="I171" s="1481">
        <f t="shared" si="320"/>
        <v>41.75</v>
      </c>
      <c r="J171" s="1481">
        <f t="shared" si="320"/>
        <v>-500.25</v>
      </c>
      <c r="K171" s="1480">
        <f t="shared" si="320"/>
        <v>-191</v>
      </c>
      <c r="L171" s="1481">
        <f t="shared" si="320"/>
        <v>51.25</v>
      </c>
      <c r="M171" s="1481">
        <f t="shared" si="320"/>
        <v>-160.75</v>
      </c>
      <c r="N171" s="1481">
        <f t="shared" si="320"/>
        <v>-98.75</v>
      </c>
      <c r="O171" s="1481">
        <f t="shared" si="320"/>
        <v>-2232.75</v>
      </c>
      <c r="P171" s="1480">
        <f t="shared" si="320"/>
        <v>-2354</v>
      </c>
      <c r="Q171" s="1481">
        <f t="shared" si="320"/>
        <v>15.25</v>
      </c>
      <c r="R171" s="1481">
        <f t="shared" si="320"/>
        <v>138.25</v>
      </c>
      <c r="S171" s="1481">
        <f t="shared" si="320"/>
        <v>-31.75</v>
      </c>
      <c r="T171" s="1481">
        <f t="shared" si="320"/>
        <v>-80.75</v>
      </c>
      <c r="U171" s="1480">
        <f t="shared" si="320"/>
        <v>41</v>
      </c>
      <c r="V171" s="1481">
        <f t="shared" si="320"/>
        <v>1455.25</v>
      </c>
      <c r="W171" s="1481">
        <f t="shared" si="320"/>
        <v>95.25</v>
      </c>
      <c r="X171" s="1481">
        <f t="shared" si="320"/>
        <v>398.25</v>
      </c>
      <c r="Y171" s="1481">
        <f t="shared" si="320"/>
        <v>157.25</v>
      </c>
      <c r="Z171" s="1480">
        <f t="shared" si="320"/>
        <v>2106</v>
      </c>
      <c r="AA171" s="1481">
        <f t="shared" si="320"/>
        <v>180.25</v>
      </c>
      <c r="AB171" s="1481">
        <f t="shared" si="320"/>
        <v>199.25</v>
      </c>
      <c r="AC171" s="1481">
        <f t="shared" si="320"/>
        <v>143.25</v>
      </c>
      <c r="AD171" s="1481">
        <f t="shared" si="320"/>
        <v>710.25</v>
      </c>
      <c r="AE171" s="1480">
        <f t="shared" si="320"/>
        <v>1233</v>
      </c>
      <c r="AF171" s="3501">
        <f>SUM(AF165:AF170,AF161)</f>
        <v>-606</v>
      </c>
      <c r="AG171" s="1481">
        <f t="shared" ref="AG171:AQ171" si="321">SUM(AG165:AG170,AG161)</f>
        <v>-9</v>
      </c>
      <c r="AH171" s="1481">
        <f t="shared" si="321"/>
        <v>-118</v>
      </c>
      <c r="AI171" s="1481">
        <f t="shared" ca="1" si="321"/>
        <v>-28.100806125980597</v>
      </c>
      <c r="AJ171" s="1480">
        <f t="shared" ca="1" si="321"/>
        <v>-761.10080612598063</v>
      </c>
      <c r="AK171" s="1481">
        <f t="shared" ref="AK171:AO171" ca="1" si="322">SUM(AK165:AK170,AK161)</f>
        <v>-74.033192498800645</v>
      </c>
      <c r="AL171" s="1481">
        <f t="shared" ca="1" si="322"/>
        <v>96.491116864870946</v>
      </c>
      <c r="AM171" s="1481">
        <f t="shared" ca="1" si="322"/>
        <v>17.811638284964374</v>
      </c>
      <c r="AN171" s="1481">
        <f t="shared" ca="1" si="322"/>
        <v>-25.120905767196462</v>
      </c>
      <c r="AO171" s="1480">
        <f t="shared" ca="1" si="322"/>
        <v>15.148656883836793</v>
      </c>
      <c r="AP171" s="1480">
        <f t="shared" ca="1" si="321"/>
        <v>141.50646081177183</v>
      </c>
      <c r="AQ171" s="1480">
        <f t="shared" ca="1" si="321"/>
        <v>774.48424110185454</v>
      </c>
      <c r="AR171" s="168"/>
      <c r="AS171" s="291" t="str">
        <f t="shared" si="299"/>
        <v>Net FCF</v>
      </c>
      <c r="AT171" s="1481">
        <f t="shared" si="300"/>
        <v>585</v>
      </c>
      <c r="AU171" s="1481">
        <f t="shared" si="300"/>
        <v>166</v>
      </c>
      <c r="AV171" s="1481">
        <f t="shared" si="301"/>
        <v>-191</v>
      </c>
      <c r="AW171" s="1481">
        <f t="shared" si="302"/>
        <v>-2354</v>
      </c>
      <c r="AX171" s="1481">
        <f t="shared" si="303"/>
        <v>41</v>
      </c>
      <c r="AY171" s="1481">
        <f t="shared" si="304"/>
        <v>2106</v>
      </c>
      <c r="AZ171" s="1499">
        <f t="shared" si="305"/>
        <v>1233</v>
      </c>
      <c r="BA171" s="1481">
        <f t="shared" ca="1" si="306"/>
        <v>-761.10080612598063</v>
      </c>
      <c r="BB171" s="1481">
        <f t="shared" ca="1" si="307"/>
        <v>15.148656883836793</v>
      </c>
      <c r="BC171" s="1481">
        <f t="shared" ca="1" si="308"/>
        <v>141.50646081177183</v>
      </c>
      <c r="BD171" s="1499">
        <f t="shared" ca="1" si="309"/>
        <v>774.48424110185454</v>
      </c>
      <c r="BF171" s="900"/>
      <c r="BM171" s="902"/>
      <c r="BN171" s="902"/>
      <c r="BO171" s="902"/>
      <c r="BP171" s="902"/>
      <c r="BQ171" s="902"/>
      <c r="BR171" s="902"/>
      <c r="BS171" s="902"/>
    </row>
    <row r="172" spans="1:71" ht="12.75" customHeight="1">
      <c r="A172" s="602" t="s">
        <v>2309</v>
      </c>
      <c r="B172" s="518"/>
      <c r="C172" s="518"/>
      <c r="D172" s="518"/>
      <c r="E172" s="518"/>
      <c r="F172" s="518">
        <f>F171/E171-1</f>
        <v>-0.71623931623931625</v>
      </c>
      <c r="G172" s="517"/>
      <c r="H172" s="517"/>
      <c r="I172" s="517"/>
      <c r="J172" s="517"/>
      <c r="K172" s="518">
        <f t="shared" ref="K172:U172" si="323">K171/F171-1</f>
        <v>-2.1506024096385543</v>
      </c>
      <c r="L172" s="517">
        <f t="shared" si="323"/>
        <v>-1.3504273504273505</v>
      </c>
      <c r="M172" s="517">
        <f t="shared" si="323"/>
        <v>9.4191522762951951E-3</v>
      </c>
      <c r="N172" s="517">
        <f t="shared" si="323"/>
        <v>-3.3652694610778444</v>
      </c>
      <c r="O172" s="517">
        <f t="shared" si="323"/>
        <v>3.4632683658170915</v>
      </c>
      <c r="P172" s="518">
        <f t="shared" si="323"/>
        <v>11.324607329842932</v>
      </c>
      <c r="Q172" s="517">
        <f t="shared" si="323"/>
        <v>-0.70243902439024386</v>
      </c>
      <c r="R172" s="517">
        <f t="shared" si="323"/>
        <v>-1.8600311041990669</v>
      </c>
      <c r="S172" s="517">
        <f t="shared" si="323"/>
        <v>-0.67848101265822791</v>
      </c>
      <c r="T172" s="517">
        <f t="shared" si="323"/>
        <v>-0.96383383719628257</v>
      </c>
      <c r="U172" s="518">
        <f t="shared" si="323"/>
        <v>-1.0174171622769754</v>
      </c>
      <c r="V172" s="517">
        <f t="shared" ref="V172:AC172" si="324">V171/Q171-1</f>
        <v>94.426229508196727</v>
      </c>
      <c r="W172" s="517">
        <f t="shared" si="324"/>
        <v>-0.31103074141048825</v>
      </c>
      <c r="X172" s="517">
        <f t="shared" si="324"/>
        <v>-13.543307086614174</v>
      </c>
      <c r="Y172" s="517">
        <f t="shared" si="324"/>
        <v>-2.9473684210526319</v>
      </c>
      <c r="Z172" s="518">
        <f t="shared" si="324"/>
        <v>50.365853658536587</v>
      </c>
      <c r="AA172" s="517">
        <f t="shared" si="324"/>
        <v>-0.87613812059783547</v>
      </c>
      <c r="AB172" s="517">
        <f t="shared" si="324"/>
        <v>1.0918635170603674</v>
      </c>
      <c r="AC172" s="517">
        <f t="shared" si="324"/>
        <v>-0.64030131826741998</v>
      </c>
      <c r="AD172" s="517">
        <f t="shared" ref="AD172:AJ172" si="325">AD171/Y171-1</f>
        <v>3.5166931637519872</v>
      </c>
      <c r="AE172" s="518">
        <f t="shared" si="325"/>
        <v>-0.4145299145299145</v>
      </c>
      <c r="AF172" s="517">
        <f t="shared" si="325"/>
        <v>-4.3619972260748963</v>
      </c>
      <c r="AG172" s="517">
        <f t="shared" si="325"/>
        <v>-1.0451693851944792</v>
      </c>
      <c r="AH172" s="517">
        <f t="shared" si="325"/>
        <v>-1.8237347294938919</v>
      </c>
      <c r="AI172" s="517">
        <f t="shared" ca="1" si="325"/>
        <v>-1.0395646689559741</v>
      </c>
      <c r="AJ172" s="518">
        <f t="shared" ca="1" si="325"/>
        <v>-1.6172755929651101</v>
      </c>
      <c r="AK172" s="517">
        <f t="shared" ref="AK172" ca="1" si="326">AK171/AF171-1</f>
        <v>-0.87783301567854677</v>
      </c>
      <c r="AL172" s="517">
        <f t="shared" ref="AL172" ca="1" si="327">AL171/AG171-1</f>
        <v>-11.721235207207883</v>
      </c>
      <c r="AM172" s="517">
        <f t="shared" ref="AM172" ca="1" si="328">AM171/AH171-1</f>
        <v>-1.1509460871607151</v>
      </c>
      <c r="AN172" s="517">
        <f t="shared" ref="AN172:AO172" ca="1" si="329">AN171/AI171-1</f>
        <v>-0.10604323397075321</v>
      </c>
      <c r="AO172" s="518">
        <f t="shared" ca="1" si="329"/>
        <v>-1.0199036142938065</v>
      </c>
      <c r="AP172" s="518">
        <f ca="1">AP171/AO171-1</f>
        <v>8.3411885883266255</v>
      </c>
      <c r="AQ172" s="518">
        <f ca="1">AQ171/AP171-1</f>
        <v>4.4731369625027444</v>
      </c>
      <c r="AR172" s="316"/>
      <c r="AS172" s="602" t="str">
        <f t="shared" si="299"/>
        <v>% growth, y/y</v>
      </c>
      <c r="AT172" s="205">
        <f t="shared" si="300"/>
        <v>0</v>
      </c>
      <c r="AU172" s="205">
        <f t="shared" si="300"/>
        <v>-0.71623931623931625</v>
      </c>
      <c r="AV172" s="205">
        <f t="shared" si="301"/>
        <v>-2.1506024096385543</v>
      </c>
      <c r="AW172" s="205">
        <f t="shared" si="302"/>
        <v>11.324607329842932</v>
      </c>
      <c r="AX172" s="205">
        <f t="shared" si="303"/>
        <v>-1.0174171622769754</v>
      </c>
      <c r="AY172" s="205">
        <f t="shared" si="304"/>
        <v>50.365853658536587</v>
      </c>
      <c r="AZ172" s="205">
        <f t="shared" si="305"/>
        <v>-0.4145299145299145</v>
      </c>
      <c r="BA172" s="205">
        <f t="shared" ca="1" si="306"/>
        <v>-1.6172755929651101</v>
      </c>
      <c r="BB172" s="205">
        <f t="shared" ca="1" si="307"/>
        <v>-1.0199036142938065</v>
      </c>
      <c r="BC172" s="205">
        <f t="shared" ca="1" si="308"/>
        <v>8.3411885883266255</v>
      </c>
      <c r="BD172" s="657">
        <f t="shared" ca="1" si="309"/>
        <v>4.4731369625027444</v>
      </c>
      <c r="BF172" s="900"/>
      <c r="BM172" s="902"/>
      <c r="BN172" s="902"/>
      <c r="BO172" s="902"/>
      <c r="BP172" s="902"/>
      <c r="BQ172" s="902"/>
      <c r="BR172" s="902"/>
      <c r="BS172" s="902"/>
    </row>
    <row r="173" spans="1:71" ht="12.75" customHeight="1">
      <c r="A173" s="493"/>
      <c r="B173" s="169"/>
      <c r="C173" s="169"/>
      <c r="D173" s="169"/>
      <c r="E173" s="169"/>
      <c r="F173" s="169"/>
      <c r="G173" s="168"/>
      <c r="H173" s="168"/>
      <c r="I173" s="168"/>
      <c r="J173" s="168"/>
      <c r="K173" s="169"/>
      <c r="L173" s="168"/>
      <c r="M173" s="168"/>
      <c r="N173" s="168"/>
      <c r="O173" s="168"/>
      <c r="P173" s="169"/>
      <c r="Q173" s="168"/>
      <c r="R173" s="168"/>
      <c r="S173" s="168"/>
      <c r="T173" s="168"/>
      <c r="U173" s="169"/>
      <c r="V173" s="168"/>
      <c r="W173" s="168"/>
      <c r="X173" s="168"/>
      <c r="Y173" s="168"/>
      <c r="Z173" s="169"/>
      <c r="AA173" s="168"/>
      <c r="AB173" s="168"/>
      <c r="AC173" s="168"/>
      <c r="AD173" s="168"/>
      <c r="AE173" s="169"/>
      <c r="AF173" s="168"/>
      <c r="AG173" s="168"/>
      <c r="AH173" s="168"/>
      <c r="AI173" s="168"/>
      <c r="AJ173" s="169"/>
      <c r="AK173" s="168"/>
      <c r="AL173" s="168"/>
      <c r="AM173" s="168"/>
      <c r="AN173" s="168"/>
      <c r="AO173" s="169"/>
      <c r="AP173" s="169"/>
      <c r="AQ173" s="169"/>
      <c r="AR173" s="168"/>
      <c r="AS173" s="493"/>
      <c r="AT173" s="168"/>
      <c r="AU173" s="168"/>
      <c r="AV173" s="168"/>
      <c r="AW173" s="168"/>
      <c r="AX173" s="168"/>
      <c r="AY173" s="168"/>
      <c r="AZ173" s="168"/>
      <c r="BA173" s="168"/>
      <c r="BB173" s="168"/>
      <c r="BC173" s="168"/>
      <c r="BD173" s="870"/>
      <c r="BF173" s="900"/>
      <c r="BM173" s="902"/>
      <c r="BN173" s="902"/>
      <c r="BO173" s="902"/>
      <c r="BP173" s="902"/>
      <c r="BQ173" s="902"/>
      <c r="BR173" s="902"/>
      <c r="BS173" s="902"/>
    </row>
    <row r="174" spans="1:71" s="125" customFormat="1" ht="12.75" customHeight="1">
      <c r="A174" s="495" t="s">
        <v>6</v>
      </c>
      <c r="B174" s="416"/>
      <c r="C174" s="416"/>
      <c r="D174" s="416"/>
      <c r="E174" s="416">
        <f t="shared" ref="E174:AQ174" si="330">+E161/E70</f>
        <v>0.75135722041259501</v>
      </c>
      <c r="F174" s="416">
        <f t="shared" si="330"/>
        <v>0.80021715526601522</v>
      </c>
      <c r="G174" s="415">
        <f t="shared" si="330"/>
        <v>-6.9761129207383282E-2</v>
      </c>
      <c r="H174" s="415">
        <f t="shared" si="330"/>
        <v>-6.6503800217155268E-2</v>
      </c>
      <c r="I174" s="415">
        <f t="shared" si="330"/>
        <v>0.13327904451682954</v>
      </c>
      <c r="J174" s="415">
        <f t="shared" si="330"/>
        <v>-4.6145494028230188E-3</v>
      </c>
      <c r="K174" s="416">
        <f t="shared" si="330"/>
        <v>0.61454940282301851</v>
      </c>
      <c r="L174" s="415">
        <f t="shared" si="330"/>
        <v>0.16096634093376763</v>
      </c>
      <c r="M174" s="415">
        <f t="shared" si="330"/>
        <v>0.27605769230769228</v>
      </c>
      <c r="N174" s="415">
        <f t="shared" si="330"/>
        <v>0.3429807692307692</v>
      </c>
      <c r="O174" s="415">
        <f t="shared" si="330"/>
        <v>-2.0192307692307693E-3</v>
      </c>
      <c r="P174" s="416">
        <f t="shared" si="330"/>
        <v>0.83423618634886243</v>
      </c>
      <c r="Q174" s="415">
        <f t="shared" si="330"/>
        <v>0.2368020304568528</v>
      </c>
      <c r="R174" s="415">
        <f t="shared" si="330"/>
        <v>0.34949238578680203</v>
      </c>
      <c r="S174" s="415">
        <f t="shared" si="330"/>
        <v>0.26178408514951851</v>
      </c>
      <c r="T174" s="415">
        <f t="shared" si="330"/>
        <v>0.27279635258358664</v>
      </c>
      <c r="U174" s="416">
        <f t="shared" si="330"/>
        <v>1.1208317484468111</v>
      </c>
      <c r="V174" s="415">
        <f t="shared" si="330"/>
        <v>2.1844635627530367</v>
      </c>
      <c r="W174" s="415">
        <f t="shared" si="330"/>
        <v>0.32381193124368046</v>
      </c>
      <c r="X174" s="415">
        <f t="shared" si="330"/>
        <v>0.79052684903748738</v>
      </c>
      <c r="Y174" s="415">
        <f t="shared" si="330"/>
        <v>0.43055555555555558</v>
      </c>
      <c r="Z174" s="416">
        <f t="shared" si="330"/>
        <v>3.7278705108750634</v>
      </c>
      <c r="AA174" s="415">
        <f t="shared" si="330"/>
        <v>0.22067745197168859</v>
      </c>
      <c r="AB174" s="415">
        <f t="shared" si="330"/>
        <v>0.24445005045408677</v>
      </c>
      <c r="AC174" s="415">
        <f t="shared" si="330"/>
        <v>0.22404233870967741</v>
      </c>
      <c r="AD174" s="415">
        <f t="shared" si="330"/>
        <v>0.27215508559919438</v>
      </c>
      <c r="AE174" s="416">
        <f t="shared" si="330"/>
        <v>0.96141235813366965</v>
      </c>
      <c r="AF174" s="415">
        <f t="shared" si="330"/>
        <v>0.32930513595166161</v>
      </c>
      <c r="AG174" s="415">
        <f t="shared" si="330"/>
        <v>0.81582952815829524</v>
      </c>
      <c r="AH174" s="415">
        <f t="shared" si="330"/>
        <v>0.66461538461538461</v>
      </c>
      <c r="AI174" s="415">
        <f t="shared" ca="1" si="330"/>
        <v>0.6040993788819875</v>
      </c>
      <c r="AJ174" s="416">
        <f t="shared" ca="1" si="330"/>
        <v>2.4110830463069268</v>
      </c>
      <c r="AK174" s="415">
        <f t="shared" ref="AK174:AO174" ca="1" si="331">+AK161/AK70</f>
        <v>0.66947886252507072</v>
      </c>
      <c r="AL174" s="415">
        <f t="shared" ca="1" si="331"/>
        <v>1.2087576374437616</v>
      </c>
      <c r="AM174" s="415">
        <f t="shared" ca="1" si="331"/>
        <v>0.97116100900330138</v>
      </c>
      <c r="AN174" s="415">
        <f t="shared" ca="1" si="331"/>
        <v>0.84250628122206206</v>
      </c>
      <c r="AO174" s="416">
        <f t="shared" ca="1" si="331"/>
        <v>3.690293971405274</v>
      </c>
      <c r="AP174" s="416">
        <f t="shared" ca="1" si="330"/>
        <v>4.2571137223869888</v>
      </c>
      <c r="AQ174" s="416">
        <f t="shared" ca="1" si="330"/>
        <v>4.4327411392735039</v>
      </c>
      <c r="AR174" s="415"/>
      <c r="AS174" s="834" t="str">
        <f>+A174</f>
        <v>Operating FCF per Share</v>
      </c>
      <c r="AT174" s="415">
        <f>+E174</f>
        <v>0.75135722041259501</v>
      </c>
      <c r="AU174" s="415">
        <f>+F174</f>
        <v>0.80021715526601522</v>
      </c>
      <c r="AV174" s="415">
        <f>+K174</f>
        <v>0.61454940282301851</v>
      </c>
      <c r="AW174" s="415">
        <f>+P174</f>
        <v>0.83423618634886243</v>
      </c>
      <c r="AX174" s="415">
        <f>+U174</f>
        <v>1.1208317484468111</v>
      </c>
      <c r="AY174" s="415">
        <f>+Z174</f>
        <v>3.7278705108750634</v>
      </c>
      <c r="AZ174" s="415">
        <f>+AE174</f>
        <v>0.96141235813366965</v>
      </c>
      <c r="BA174" s="415">
        <f ca="1">+AJ174</f>
        <v>2.4110830463069268</v>
      </c>
      <c r="BB174" s="415">
        <f t="shared" ref="BB174:BD175" ca="1" si="332">+AO174</f>
        <v>3.690293971405274</v>
      </c>
      <c r="BC174" s="415">
        <f t="shared" ca="1" si="332"/>
        <v>4.2571137223869888</v>
      </c>
      <c r="BD174" s="872">
        <f t="shared" ca="1" si="332"/>
        <v>4.4327411392735039</v>
      </c>
      <c r="BE174" s="14"/>
      <c r="BF174" s="900"/>
      <c r="BG174"/>
      <c r="BH174"/>
      <c r="BI174"/>
      <c r="BJ174"/>
      <c r="BK174"/>
      <c r="BL174"/>
      <c r="BM174" s="902"/>
      <c r="BN174" s="902"/>
      <c r="BO174" s="902"/>
      <c r="BP174" s="902"/>
      <c r="BQ174" s="902"/>
      <c r="BR174" s="902"/>
      <c r="BS174" s="902"/>
    </row>
    <row r="175" spans="1:71" s="15" customFormat="1" ht="12.75" customHeight="1">
      <c r="A175" s="1931" t="s">
        <v>2309</v>
      </c>
      <c r="B175" s="1171"/>
      <c r="C175" s="1171"/>
      <c r="D175" s="1171"/>
      <c r="E175" s="1171"/>
      <c r="F175" s="1171">
        <f>F174/E174-1</f>
        <v>6.5028901734104139E-2</v>
      </c>
      <c r="G175" s="1170"/>
      <c r="H175" s="1170"/>
      <c r="I175" s="1170"/>
      <c r="J175" s="1170"/>
      <c r="K175" s="1171">
        <f t="shared" ref="K175:U175" si="333">K174/F174-1</f>
        <v>-0.23202170963364988</v>
      </c>
      <c r="L175" s="1170">
        <f t="shared" si="333"/>
        <v>-3.3073929961089492</v>
      </c>
      <c r="M175" s="1170">
        <f t="shared" si="333"/>
        <v>-5.1510062794348501</v>
      </c>
      <c r="N175" s="1170">
        <f t="shared" si="333"/>
        <v>1.5734035719880932</v>
      </c>
      <c r="O175" s="1170">
        <f t="shared" si="333"/>
        <v>-0.5624208144796381</v>
      </c>
      <c r="P175" s="1171">
        <f t="shared" si="333"/>
        <v>0.35747619722138202</v>
      </c>
      <c r="Q175" s="1170">
        <f t="shared" si="333"/>
        <v>0.47112762260210084</v>
      </c>
      <c r="R175" s="1170">
        <f t="shared" si="333"/>
        <v>0.26601212545550035</v>
      </c>
      <c r="S175" s="1170">
        <f t="shared" si="333"/>
        <v>-0.23673829953602676</v>
      </c>
      <c r="T175" s="1170">
        <f t="shared" si="333"/>
        <v>-136.0991460413953</v>
      </c>
      <c r="U175" s="1171">
        <f t="shared" si="333"/>
        <v>0.34354247248883985</v>
      </c>
      <c r="V175" s="1170">
        <f t="shared" ref="V175:AC175" si="334">V174/Q174-1</f>
        <v>8.2248514868670561</v>
      </c>
      <c r="W175" s="1170">
        <f t="shared" si="334"/>
        <v>-7.3479296223601276E-2</v>
      </c>
      <c r="X175" s="1170">
        <f t="shared" si="334"/>
        <v>2.0197666469524926</v>
      </c>
      <c r="Y175" s="1170">
        <f t="shared" si="334"/>
        <v>0.57830393067161867</v>
      </c>
      <c r="Z175" s="1171">
        <f t="shared" si="334"/>
        <v>2.3259858279719037</v>
      </c>
      <c r="AA175" s="1170">
        <f t="shared" si="334"/>
        <v>-0.89897865282148581</v>
      </c>
      <c r="AB175" s="1170">
        <f t="shared" si="334"/>
        <v>-0.24508633911290612</v>
      </c>
      <c r="AC175" s="1170">
        <f t="shared" si="334"/>
        <v>-0.71659110758545141</v>
      </c>
      <c r="AD175" s="1170">
        <f t="shared" ref="AD175:AJ175" si="335">AD174/Y174-1</f>
        <v>-0.36789786570509697</v>
      </c>
      <c r="AE175" s="1171">
        <f t="shared" si="335"/>
        <v>-0.74210146105423813</v>
      </c>
      <c r="AF175" s="1170">
        <f t="shared" si="335"/>
        <v>0.4922464121704162</v>
      </c>
      <c r="AG175" s="1170">
        <f t="shared" si="335"/>
        <v>2.337407894344151</v>
      </c>
      <c r="AH175" s="1170">
        <f t="shared" si="335"/>
        <v>1.966472267889591</v>
      </c>
      <c r="AI175" s="1170">
        <f t="shared" ca="1" si="335"/>
        <v>1.2196880045506515</v>
      </c>
      <c r="AJ175" s="1171">
        <f t="shared" ca="1" si="335"/>
        <v>1.5078552672106413</v>
      </c>
      <c r="AK175" s="1170">
        <f t="shared" ref="AK175" ca="1" si="336">AK174/AF174-1</f>
        <v>1.0330046192275084</v>
      </c>
      <c r="AL175" s="1170">
        <f t="shared" ref="AL175" ca="1" si="337">AL174/AG174-1</f>
        <v>0.48163016380699886</v>
      </c>
      <c r="AM175" s="1170">
        <f t="shared" ref="AM175" ca="1" si="338">AM174/AH174-1</f>
        <v>0.46123762928737477</v>
      </c>
      <c r="AN175" s="1170">
        <f t="shared" ref="AN175:AO175" ca="1" si="339">AN174/AI174-1</f>
        <v>0.39464848115105911</v>
      </c>
      <c r="AO175" s="1171">
        <f t="shared" ca="1" si="339"/>
        <v>0.5305544854863975</v>
      </c>
      <c r="AP175" s="1171">
        <f ca="1">AP174/AO174-1</f>
        <v>0.15359745195742991</v>
      </c>
      <c r="AQ175" s="1171">
        <f ca="1">AQ174/AP174-1</f>
        <v>4.12550446944695E-2</v>
      </c>
      <c r="AR175" s="170"/>
      <c r="AS175" s="1932" t="str">
        <f>+A175</f>
        <v>% growth, y/y</v>
      </c>
      <c r="AT175" s="1170">
        <f>+E175</f>
        <v>0</v>
      </c>
      <c r="AU175" s="1170">
        <f>+F175</f>
        <v>6.5028901734104139E-2</v>
      </c>
      <c r="AV175" s="1170">
        <f>+K175</f>
        <v>-0.23202170963364988</v>
      </c>
      <c r="AW175" s="1170">
        <f>+P175</f>
        <v>0.35747619722138202</v>
      </c>
      <c r="AX175" s="1170">
        <f>+U175</f>
        <v>0.34354247248883985</v>
      </c>
      <c r="AY175" s="1170">
        <f>+Z175</f>
        <v>2.3259858279719037</v>
      </c>
      <c r="AZ175" s="1170">
        <f>+AE175</f>
        <v>-0.74210146105423813</v>
      </c>
      <c r="BA175" s="1170">
        <f ca="1">+AJ175</f>
        <v>1.5078552672106413</v>
      </c>
      <c r="BB175" s="1170">
        <f t="shared" ca="1" si="332"/>
        <v>0.5305544854863975</v>
      </c>
      <c r="BC175" s="1170">
        <f t="shared" ca="1" si="332"/>
        <v>0.15359745195742991</v>
      </c>
      <c r="BD175" s="1172">
        <f t="shared" ca="1" si="332"/>
        <v>4.12550446944695E-2</v>
      </c>
      <c r="BE175" s="14"/>
      <c r="BF175" s="948"/>
      <c r="BG175"/>
      <c r="BH175"/>
      <c r="BI175"/>
      <c r="BJ175"/>
      <c r="BK175"/>
      <c r="BL175"/>
      <c r="BM175" s="949"/>
      <c r="BN175" s="949"/>
      <c r="BO175" s="949"/>
      <c r="BP175" s="949"/>
      <c r="BQ175" s="949"/>
      <c r="BR175" s="949"/>
      <c r="BS175" s="949"/>
    </row>
    <row r="176" spans="1:71" s="701" customFormat="1" ht="12.75" customHeight="1">
      <c r="A176" s="4054" t="s">
        <v>535</v>
      </c>
      <c r="B176" s="3976"/>
      <c r="C176" s="3976"/>
      <c r="D176" s="3976"/>
      <c r="E176" s="3976">
        <f ca="1">+E174/'EBITDA Val'!$H$16</f>
        <v>9.0090793814459821E-3</v>
      </c>
      <c r="F176" s="3976">
        <f ca="1">+F174/'EBITDA Val'!$H$16</f>
        <v>9.5949299192567769E-3</v>
      </c>
      <c r="G176" s="1008">
        <f ca="1">+G174/'EBITDA Val'!$H$16</f>
        <v>-8.3646437898541096E-4</v>
      </c>
      <c r="H176" s="1008">
        <f ca="1">+H174/'EBITDA Val'!$H$16</f>
        <v>-7.9740767646469142E-4</v>
      </c>
      <c r="I176" s="1008">
        <f ca="1">+I174/'EBITDA Val'!$H$16</f>
        <v>1.5980700781394429E-3</v>
      </c>
      <c r="J176" s="1008">
        <f ca="1">+J174/'EBITDA Val'!$H$16</f>
        <v>-5.5330328571019405E-5</v>
      </c>
      <c r="K176" s="3976">
        <f ca="1">+K174/'EBITDA Val'!$H$16</f>
        <v>7.3686978755757608E-3</v>
      </c>
      <c r="L176" s="1008">
        <f ca="1">+L174/'EBITDA Val'!$H$16</f>
        <v>1.9300520495655589E-3</v>
      </c>
      <c r="M176" s="1008">
        <f ca="1">+M174/'EBITDA Val'!$H$16</f>
        <v>3.3100442722744875E-3</v>
      </c>
      <c r="N176" s="1008">
        <f ca="1">+N174/'EBITDA Val'!$H$16</f>
        <v>4.1124792473713331E-3</v>
      </c>
      <c r="O176" s="1008">
        <f ca="1">+O174/'EBITDA Val'!$H$16</f>
        <v>-2.4211400110680684E-5</v>
      </c>
      <c r="P176" s="3976">
        <f ca="1">+P174/'EBITDA Val'!$H$16</f>
        <v>1.000283197060986E-2</v>
      </c>
      <c r="Q176" s="1008">
        <f ca="1">+Q174/'EBITDA Val'!$H$16</f>
        <v>2.839352883175693E-3</v>
      </c>
      <c r="R176" s="1008">
        <f ca="1">+R174/'EBITDA Val'!$H$16</f>
        <v>4.1905561844940292E-3</v>
      </c>
      <c r="S176" s="1008">
        <f ca="1">+S174/'EBITDA Val'!$H$16</f>
        <v>3.1388979034714447E-3</v>
      </c>
      <c r="T176" s="1008">
        <f ca="1">+T174/'EBITDA Val'!$H$16</f>
        <v>3.2709394794195037E-3</v>
      </c>
      <c r="U176" s="3976">
        <f ca="1">+U174/'EBITDA Val'!$H$16</f>
        <v>1.3439229597683585E-2</v>
      </c>
      <c r="V176" s="1008">
        <f ca="1">+V174/'EBITDA Val'!$H$16</f>
        <v>2.6192608666103557E-2</v>
      </c>
      <c r="W176" s="1008">
        <f ca="1">+W174/'EBITDA Val'!$H$16</f>
        <v>3.8826370652719475E-3</v>
      </c>
      <c r="X176" s="1008">
        <f ca="1">+X174/'EBITDA Val'!$H$16</f>
        <v>9.4787391970921741E-3</v>
      </c>
      <c r="Y176" s="1008">
        <f ca="1">+Y174/'EBITDA Val'!$H$16</f>
        <v>5.1625366373567808E-3</v>
      </c>
      <c r="Z176" s="3976">
        <f ca="1">+Z174/'EBITDA Val'!$H$16</f>
        <v>4.4698687180756154E-2</v>
      </c>
      <c r="AA176" s="1008">
        <f ca="1">+AA174/'EBITDA Val'!$H$16</f>
        <v>2.6460126135694072E-3</v>
      </c>
      <c r="AB176" s="1008">
        <f ca="1">+AB174/'EBITDA Val'!$H$16</f>
        <v>2.9310557608403687E-3</v>
      </c>
      <c r="AC176" s="1008">
        <f ca="1">+AC174/'EBITDA Val'!$H$16</f>
        <v>2.6863589773342615E-3</v>
      </c>
      <c r="AD176" s="1008">
        <f ca="1">+AD174/'EBITDA Val'!$H$16</f>
        <v>3.2632504268488532E-3</v>
      </c>
      <c r="AE176" s="3976">
        <f ca="1">+AE174/'EBITDA Val'!$H$16</f>
        <v>1.1527726116710666E-2</v>
      </c>
      <c r="AF176" s="1008">
        <f ca="1">+AF174/'EBITDA Val'!$H$16</f>
        <v>3.9485028291566136E-3</v>
      </c>
      <c r="AG176" s="1008">
        <f ca="1">+AG174/'EBITDA Val'!$H$16</f>
        <v>9.7821286349915482E-3</v>
      </c>
      <c r="AH176" s="1008">
        <f ca="1">+AH174/'EBITDA Val'!$H$16</f>
        <v>7.9690094078583278E-3</v>
      </c>
      <c r="AI176" s="1008">
        <f ca="1">+AI174/'EBITDA Val'!$H$16</f>
        <v>7.2433978283211924E-3</v>
      </c>
      <c r="AJ176" s="3976">
        <f ca="1">+AJ174/'EBITDA Val'!$H$16</f>
        <v>2.8909868660754515E-2</v>
      </c>
      <c r="AK176" s="1008">
        <f ca="1">+AK174/'EBITDA Val'!$H$16</f>
        <v>8.0273244907082819E-3</v>
      </c>
      <c r="AL176" s="1008">
        <f ca="1">+AL174/'EBITDA Val'!$H$16</f>
        <v>1.4493496851843663E-2</v>
      </c>
      <c r="AM176" s="1008">
        <f ca="1">+AM174/'EBITDA Val'!$H$16</f>
        <v>1.164461641490769E-2</v>
      </c>
      <c r="AN176" s="1008">
        <f ca="1">+AN174/'EBITDA Val'!$H$16</f>
        <v>1.0101993779641031E-2</v>
      </c>
      <c r="AO176" s="3976">
        <f ca="1">+AO174/'EBITDA Val'!$H$16</f>
        <v>4.4248129153540455E-2</v>
      </c>
      <c r="AP176" s="3976">
        <f ca="1">+AP174/'EBITDA Val'!$H$16</f>
        <v>5.1044529045407537E-2</v>
      </c>
      <c r="AQ176" s="3976">
        <f ca="1">+AQ174/'EBITDA Val'!$H$16</f>
        <v>5.3150373372583978E-2</v>
      </c>
      <c r="AR176" s="4055"/>
      <c r="AS176" s="4056"/>
      <c r="AT176" s="1008"/>
      <c r="AU176" s="1008"/>
      <c r="AV176" s="1008"/>
      <c r="AW176" s="1008"/>
      <c r="AX176" s="1008"/>
      <c r="AY176" s="1008"/>
      <c r="AZ176" s="1008"/>
      <c r="BA176" s="1008"/>
      <c r="BB176" s="1008"/>
      <c r="BC176" s="1008"/>
      <c r="BD176" s="1009"/>
      <c r="BE176" s="256"/>
      <c r="BF176" s="1423"/>
      <c r="BG176"/>
      <c r="BH176"/>
      <c r="BI176"/>
      <c r="BJ176"/>
      <c r="BK176"/>
      <c r="BL176"/>
      <c r="BM176" s="1424"/>
      <c r="BN176" s="1424"/>
      <c r="BO176" s="1424"/>
      <c r="BP176" s="1424"/>
      <c r="BQ176" s="1424"/>
      <c r="BR176" s="1424"/>
      <c r="BS176" s="1424"/>
    </row>
    <row r="177" spans="1:71" s="125" customFormat="1" ht="12.75" customHeight="1">
      <c r="A177" s="495" t="s">
        <v>907</v>
      </c>
      <c r="B177" s="416"/>
      <c r="C177" s="416"/>
      <c r="D177" s="416"/>
      <c r="E177" s="416">
        <f t="shared" ref="E177:AQ177" si="340">+E171/E70</f>
        <v>0.63517915309446249</v>
      </c>
      <c r="F177" s="416">
        <f t="shared" si="340"/>
        <v>0.18023887079261672</v>
      </c>
      <c r="G177" s="415">
        <f t="shared" si="340"/>
        <v>-0.15879478827361562</v>
      </c>
      <c r="H177" s="415">
        <f t="shared" si="340"/>
        <v>-0.17290988056460369</v>
      </c>
      <c r="I177" s="415">
        <f t="shared" si="340"/>
        <v>4.5331161780673181E-2</v>
      </c>
      <c r="J177" s="415">
        <f t="shared" si="340"/>
        <v>-0.54315960912052119</v>
      </c>
      <c r="K177" s="416">
        <f t="shared" si="340"/>
        <v>-0.20738327904451684</v>
      </c>
      <c r="L177" s="415">
        <f t="shared" si="340"/>
        <v>5.564603691639522E-2</v>
      </c>
      <c r="M177" s="415">
        <f t="shared" si="340"/>
        <v>-0.18548076923076923</v>
      </c>
      <c r="N177" s="415">
        <f t="shared" si="340"/>
        <v>-0.11394230769230768</v>
      </c>
      <c r="O177" s="415">
        <f t="shared" si="340"/>
        <v>-2.5762499999999999</v>
      </c>
      <c r="P177" s="416">
        <f t="shared" si="340"/>
        <v>-2.5503791982665223</v>
      </c>
      <c r="Q177" s="415">
        <f t="shared" si="340"/>
        <v>1.5482233502538072E-2</v>
      </c>
      <c r="R177" s="415">
        <f t="shared" si="340"/>
        <v>0.14035532994923858</v>
      </c>
      <c r="S177" s="415">
        <f t="shared" si="340"/>
        <v>-3.218449062341612E-2</v>
      </c>
      <c r="T177" s="415">
        <f t="shared" si="340"/>
        <v>-8.1813576494427553E-2</v>
      </c>
      <c r="U177" s="416">
        <f t="shared" si="340"/>
        <v>4.1587422340560419E-2</v>
      </c>
      <c r="V177" s="415">
        <f t="shared" si="340"/>
        <v>1.472925101214575</v>
      </c>
      <c r="W177" s="415">
        <f t="shared" si="340"/>
        <v>9.630940343781598E-2</v>
      </c>
      <c r="X177" s="415">
        <f t="shared" si="340"/>
        <v>0.40349544072948329</v>
      </c>
      <c r="Y177" s="415">
        <f t="shared" si="340"/>
        <v>0.15883838383838383</v>
      </c>
      <c r="Z177" s="416">
        <f t="shared" si="340"/>
        <v>2.1305007587253413</v>
      </c>
      <c r="AA177" s="415">
        <f t="shared" si="340"/>
        <v>0.18225480283114256</v>
      </c>
      <c r="AB177" s="415">
        <f t="shared" si="340"/>
        <v>0.2010595358224016</v>
      </c>
      <c r="AC177" s="415">
        <f t="shared" si="340"/>
        <v>0.14440524193548387</v>
      </c>
      <c r="AD177" s="415">
        <f t="shared" si="340"/>
        <v>0.71525679758308158</v>
      </c>
      <c r="AE177" s="416">
        <f t="shared" si="340"/>
        <v>1.2438839848675913</v>
      </c>
      <c r="AF177" s="415">
        <f t="shared" si="340"/>
        <v>-1.8308157099697886</v>
      </c>
      <c r="AG177" s="415">
        <f t="shared" si="340"/>
        <v>-2.7397260273972601E-2</v>
      </c>
      <c r="AH177" s="415">
        <f t="shared" si="340"/>
        <v>-0.36307692307692307</v>
      </c>
      <c r="AI177" s="415">
        <f t="shared" ca="1" si="340"/>
        <v>-8.7269584242175763E-2</v>
      </c>
      <c r="AJ177" s="416">
        <f t="shared" ca="1" si="340"/>
        <v>-2.3301976460037679</v>
      </c>
      <c r="AK177" s="415">
        <f t="shared" ref="AK177:AO177" ca="1" si="341">+AK171/AK70</f>
        <v>-0.22919189989791036</v>
      </c>
      <c r="AL177" s="415">
        <f t="shared" ca="1" si="341"/>
        <v>0.30200691450290013</v>
      </c>
      <c r="AM177" s="415">
        <f t="shared" ca="1" si="341"/>
        <v>5.6354022915241476E-2</v>
      </c>
      <c r="AN177" s="415">
        <f t="shared" ca="1" si="341"/>
        <v>-8.033093008688344E-2</v>
      </c>
      <c r="AO177" s="416">
        <f t="shared" ca="1" si="341"/>
        <v>4.7663417118977508E-2</v>
      </c>
      <c r="AP177" s="416">
        <f t="shared" ca="1" si="340"/>
        <v>0.46297344012538033</v>
      </c>
      <c r="AQ177" s="416">
        <f t="shared" ca="1" si="340"/>
        <v>2.5806566928311465</v>
      </c>
      <c r="AR177" s="415"/>
      <c r="AS177" s="834" t="str">
        <f>+A177</f>
        <v>Net FCF per Share</v>
      </c>
      <c r="AT177" s="415">
        <f>+E177</f>
        <v>0.63517915309446249</v>
      </c>
      <c r="AU177" s="415">
        <f>+F177</f>
        <v>0.18023887079261672</v>
      </c>
      <c r="AV177" s="415">
        <f>+K177</f>
        <v>-0.20738327904451684</v>
      </c>
      <c r="AW177" s="415">
        <f>+P177</f>
        <v>-2.5503791982665223</v>
      </c>
      <c r="AX177" s="415">
        <f>+U177</f>
        <v>4.1587422340560419E-2</v>
      </c>
      <c r="AY177" s="415">
        <f>+Z177</f>
        <v>2.1305007587253413</v>
      </c>
      <c r="AZ177" s="415">
        <f>+AE177</f>
        <v>1.2438839848675913</v>
      </c>
      <c r="BA177" s="415">
        <f ca="1">+AJ177</f>
        <v>-2.3301976460037679</v>
      </c>
      <c r="BB177" s="415">
        <f t="shared" ref="BB177:BD178" ca="1" si="342">+AO177</f>
        <v>4.7663417118977508E-2</v>
      </c>
      <c r="BC177" s="415">
        <f t="shared" ca="1" si="342"/>
        <v>0.46297344012538033</v>
      </c>
      <c r="BD177" s="872">
        <f t="shared" ca="1" si="342"/>
        <v>2.5806566928311465</v>
      </c>
      <c r="BE177" s="14"/>
      <c r="BF177" s="900"/>
      <c r="BG177"/>
      <c r="BH177"/>
      <c r="BI177"/>
      <c r="BJ177"/>
      <c r="BK177"/>
      <c r="BL177"/>
      <c r="BM177" s="902"/>
      <c r="BN177" s="902"/>
      <c r="BO177" s="902"/>
      <c r="BP177" s="902"/>
      <c r="BQ177" s="902"/>
      <c r="BR177" s="902"/>
      <c r="BS177" s="902"/>
    </row>
    <row r="178" spans="1:71" s="15" customFormat="1" ht="12.75" customHeight="1">
      <c r="A178" s="1931" t="s">
        <v>2309</v>
      </c>
      <c r="B178" s="1171"/>
      <c r="C178" s="1171"/>
      <c r="D178" s="1171"/>
      <c r="E178" s="1171"/>
      <c r="F178" s="1171">
        <f>F177/E177-1</f>
        <v>-0.71623931623931625</v>
      </c>
      <c r="G178" s="1170"/>
      <c r="H178" s="1170"/>
      <c r="I178" s="1170"/>
      <c r="J178" s="1170"/>
      <c r="K178" s="1171">
        <f t="shared" ref="K178:U178" si="343">K177/F177-1</f>
        <v>-2.1506024096385543</v>
      </c>
      <c r="L178" s="1170">
        <f t="shared" si="343"/>
        <v>-1.3504273504273505</v>
      </c>
      <c r="M178" s="1170">
        <f t="shared" si="343"/>
        <v>7.2701968361309044E-2</v>
      </c>
      <c r="N178" s="1170">
        <f t="shared" si="343"/>
        <v>-3.513553661906955</v>
      </c>
      <c r="O178" s="1170">
        <f t="shared" si="343"/>
        <v>3.7430809595202392</v>
      </c>
      <c r="P178" s="1171">
        <f t="shared" si="343"/>
        <v>11.297901788499827</v>
      </c>
      <c r="Q178" s="1170">
        <f t="shared" si="343"/>
        <v>-0.72177293549585242</v>
      </c>
      <c r="R178" s="1170">
        <f t="shared" si="343"/>
        <v>-1.7567109546252366</v>
      </c>
      <c r="S178" s="1170">
        <f t="shared" si="343"/>
        <v>-0.7175369599295125</v>
      </c>
      <c r="T178" s="1170">
        <f t="shared" si="343"/>
        <v>-0.9682431532287521</v>
      </c>
      <c r="U178" s="1171">
        <f t="shared" si="343"/>
        <v>-1.0163063682329385</v>
      </c>
      <c r="V178" s="1170">
        <f t="shared" ref="V178:AC178" si="344">V177/Q177-1</f>
        <v>94.136473750580734</v>
      </c>
      <c r="W178" s="1170">
        <f t="shared" si="344"/>
        <v>-0.31381727026221529</v>
      </c>
      <c r="X178" s="1170">
        <f t="shared" si="344"/>
        <v>-13.536952827705047</v>
      </c>
      <c r="Y178" s="1170">
        <f t="shared" si="344"/>
        <v>-2.9414673046251991</v>
      </c>
      <c r="Z178" s="1171">
        <f t="shared" si="344"/>
        <v>50.229449646545014</v>
      </c>
      <c r="AA178" s="1170">
        <f t="shared" si="344"/>
        <v>-0.87626336011189221</v>
      </c>
      <c r="AB178" s="1170">
        <f t="shared" si="344"/>
        <v>1.0876417945234138</v>
      </c>
      <c r="AC178" s="1170">
        <f t="shared" si="344"/>
        <v>-0.64211431565518495</v>
      </c>
      <c r="AD178" s="1170">
        <f t="shared" ref="AD178:AJ178" si="345">AD177/Y177-1</f>
        <v>3.5030475650699575</v>
      </c>
      <c r="AE178" s="1171">
        <f t="shared" si="345"/>
        <v>-0.41615416949590978</v>
      </c>
      <c r="AF178" s="1170">
        <f t="shared" si="345"/>
        <v>-11.045363312954901</v>
      </c>
      <c r="AG178" s="1170">
        <f t="shared" si="345"/>
        <v>-1.1362644162183531</v>
      </c>
      <c r="AH178" s="1170">
        <f t="shared" si="345"/>
        <v>-3.5142918512552019</v>
      </c>
      <c r="AI178" s="1170">
        <f t="shared" ca="1" si="345"/>
        <v>-1.1220115412213736</v>
      </c>
      <c r="AJ178" s="1171">
        <f t="shared" ca="1" si="345"/>
        <v>-2.8733239388493388</v>
      </c>
      <c r="AK178" s="1170">
        <f t="shared" ref="AK178" ca="1" si="346">AK177/AF177-1</f>
        <v>-0.87481432530328662</v>
      </c>
      <c r="AL178" s="1170">
        <f t="shared" ref="AL178" ca="1" si="347">AL177/AG177-1</f>
        <v>-12.023252379355855</v>
      </c>
      <c r="AM178" s="1170">
        <f t="shared" ref="AM178" ca="1" si="348">AM177/AH177-1</f>
        <v>-1.1552123512496058</v>
      </c>
      <c r="AN178" s="1170">
        <f t="shared" ref="AN178:AO178" ca="1" si="349">AN177/AI177-1</f>
        <v>-7.9508275598487388E-2</v>
      </c>
      <c r="AO178" s="1171">
        <f t="shared" ca="1" si="349"/>
        <v>-1.0204546670968959</v>
      </c>
      <c r="AP178" s="1171">
        <f ca="1">AP177/AO177-1</f>
        <v>8.7133916976557764</v>
      </c>
      <c r="AQ178" s="1171">
        <f ca="1">AQ177/AP177-1</f>
        <v>4.5740923110670559</v>
      </c>
      <c r="AR178" s="170"/>
      <c r="AS178" s="1932" t="str">
        <f>+A178</f>
        <v>% growth, y/y</v>
      </c>
      <c r="AT178" s="1170">
        <f>+E178</f>
        <v>0</v>
      </c>
      <c r="AU178" s="1170">
        <f>+F178</f>
        <v>-0.71623931623931625</v>
      </c>
      <c r="AV178" s="1170">
        <f>+K178</f>
        <v>-2.1506024096385543</v>
      </c>
      <c r="AW178" s="1170">
        <f>+P178</f>
        <v>11.297901788499827</v>
      </c>
      <c r="AX178" s="1170">
        <f>+U178</f>
        <v>-1.0163063682329385</v>
      </c>
      <c r="AY178" s="1170">
        <f>+Z178</f>
        <v>50.229449646545014</v>
      </c>
      <c r="AZ178" s="1170">
        <f>+AE178</f>
        <v>-0.41615416949590978</v>
      </c>
      <c r="BA178" s="1170">
        <f ca="1">+AJ178</f>
        <v>-2.8733239388493388</v>
      </c>
      <c r="BB178" s="1170">
        <f t="shared" ca="1" si="342"/>
        <v>-1.0204546670968959</v>
      </c>
      <c r="BC178" s="1170">
        <f t="shared" ca="1" si="342"/>
        <v>8.7133916976557764</v>
      </c>
      <c r="BD178" s="1172">
        <f t="shared" ca="1" si="342"/>
        <v>4.5740923110670559</v>
      </c>
      <c r="BE178" s="14"/>
      <c r="BF178" s="948"/>
      <c r="BG178"/>
      <c r="BH178"/>
      <c r="BI178"/>
      <c r="BJ178"/>
      <c r="BK178"/>
      <c r="BL178"/>
      <c r="BM178" s="949"/>
      <c r="BN178" s="949"/>
      <c r="BO178" s="949"/>
      <c r="BP178" s="949"/>
      <c r="BQ178" s="949"/>
      <c r="BR178" s="949"/>
      <c r="BS178" s="949"/>
    </row>
    <row r="179" spans="1:71" ht="12.75" customHeight="1">
      <c r="A179" s="1667" t="s">
        <v>535</v>
      </c>
      <c r="B179" s="640"/>
      <c r="C179" s="640"/>
      <c r="D179" s="640"/>
      <c r="E179" s="640">
        <f ca="1">+E177/'EBITDA Val'!$H$16</f>
        <v>7.6160569915403173E-3</v>
      </c>
      <c r="F179" s="640">
        <f ca="1">+F177/'EBITDA Val'!$H$16</f>
        <v>2.1611375394798168E-3</v>
      </c>
      <c r="G179" s="641">
        <f ca="1">+G177/'EBITDA Val'!$H$16</f>
        <v>-1.9040142478850793E-3</v>
      </c>
      <c r="H179" s="641">
        <f ca="1">+H177/'EBITDA Val'!$H$16</f>
        <v>-2.0732599588081974E-3</v>
      </c>
      <c r="I179" s="641">
        <f ca="1">+I177/'EBITDA Val'!$H$16</f>
        <v>5.4353911008001412E-4</v>
      </c>
      <c r="J179" s="641">
        <f ca="1">+J177/'EBITDA Val'!$H$16</f>
        <v>-6.5127051453299899E-3</v>
      </c>
      <c r="K179" s="640">
        <f ca="1">+K177/'EBITDA Val'!$H$16</f>
        <v>-2.4866100604858132E-3</v>
      </c>
      <c r="L179" s="641">
        <f ca="1">+L177/'EBITDA Val'!$H$16</f>
        <v>6.6721866806229279E-4</v>
      </c>
      <c r="M179" s="641">
        <f ca="1">+M177/'EBITDA Val'!$H$16</f>
        <v>-2.22399003873824E-3</v>
      </c>
      <c r="N179" s="641">
        <f ca="1">+N177/'EBITDA Val'!$H$16</f>
        <v>-1.366214720531267E-3</v>
      </c>
      <c r="O179" s="641">
        <f ca="1">+O177/'EBITDA Val'!$H$16</f>
        <v>-3.0890287769784169E-2</v>
      </c>
      <c r="P179" s="640">
        <f ca="1">+P177/'EBITDA Val'!$H$16</f>
        <v>-3.0580086310150145E-2</v>
      </c>
      <c r="Q179" s="641">
        <f ca="1">+Q177/'EBITDA Val'!$H$16</f>
        <v>1.8563829139733897E-4</v>
      </c>
      <c r="R179" s="641">
        <f ca="1">+R177/'EBITDA Val'!$H$16</f>
        <v>1.6829176252906304E-3</v>
      </c>
      <c r="S179" s="641">
        <f ca="1">+S177/'EBITDA Val'!$H$16</f>
        <v>-3.8590516335031317E-4</v>
      </c>
      <c r="T179" s="641">
        <f ca="1">+T177/'EBITDA Val'!$H$16</f>
        <v>-9.8097813542479071E-4</v>
      </c>
      <c r="U179" s="640">
        <f ca="1">+U177/'EBITDA Val'!$H$16</f>
        <v>4.9865014796835036E-4</v>
      </c>
      <c r="V179" s="641">
        <f ca="1">+V177/'EBITDA Val'!$H$16</f>
        <v>1.7660972436625597E-2</v>
      </c>
      <c r="W179" s="641">
        <f ca="1">+W177/'EBITDA Val'!$H$16</f>
        <v>1.1547890100457551E-3</v>
      </c>
      <c r="X179" s="641">
        <f ca="1">+X177/'EBITDA Val'!$H$16</f>
        <v>4.8380748288906865E-3</v>
      </c>
      <c r="Y179" s="641">
        <f ca="1">+Y177/'EBITDA Val'!$H$16</f>
        <v>1.9045369764794224E-3</v>
      </c>
      <c r="Z179" s="640">
        <f ca="1">+Z177/'EBITDA Val'!$H$16</f>
        <v>2.5545572646586825E-2</v>
      </c>
      <c r="AA179" s="641">
        <f ca="1">+AA177/'EBITDA Val'!$H$16</f>
        <v>2.1853093864645391E-3</v>
      </c>
      <c r="AB179" s="641">
        <f ca="1">+AB177/'EBITDA Val'!$H$16</f>
        <v>2.4107858012278366E-3</v>
      </c>
      <c r="AC179" s="641">
        <f ca="1">+AC177/'EBITDA Val'!$H$16</f>
        <v>1.7314777210489672E-3</v>
      </c>
      <c r="AD179" s="641">
        <f ca="1">+AD177/'EBITDA Val'!$H$16</f>
        <v>8.5762205945213617E-3</v>
      </c>
      <c r="AE179" s="640">
        <f ca="1">+AE177/'EBITDA Val'!$H$16</f>
        <v>1.4914676077549056E-2</v>
      </c>
      <c r="AF179" s="641">
        <f ca="1">+AF177/'EBITDA Val'!$H$16</f>
        <v>-2.1952226738246865E-2</v>
      </c>
      <c r="AG179" s="641">
        <f ca="1">+AG177/'EBITDA Val'!$H$16</f>
        <v>-3.2850431983180576E-4</v>
      </c>
      <c r="AH179" s="641">
        <f ca="1">+AH177/'EBITDA Val'!$H$16</f>
        <v>-4.3534403246633458E-3</v>
      </c>
      <c r="AI179" s="641">
        <f ca="1">+AI177/'EBITDA Val'!$H$16</f>
        <v>-1.0463978925920353E-3</v>
      </c>
      <c r="AJ179" s="640">
        <f ca="1">+AJ177/'EBITDA Val'!$H$16</f>
        <v>-2.7940019736256209E-2</v>
      </c>
      <c r="AK179" s="641">
        <f ca="1">+AK177/'EBITDA Val'!$H$16</f>
        <v>-2.7481043153226659E-3</v>
      </c>
      <c r="AL179" s="641">
        <f ca="1">+AL177/'EBITDA Val'!$H$16</f>
        <v>3.6211860252146296E-3</v>
      </c>
      <c r="AM179" s="641">
        <f ca="1">+AM177/'EBITDA Val'!$H$16</f>
        <v>6.7570770881584499E-4</v>
      </c>
      <c r="AN179" s="641">
        <f ca="1">+AN177/'EBITDA Val'!$H$16</f>
        <v>-9.6320060056215154E-4</v>
      </c>
      <c r="AO179" s="640">
        <f ca="1">+AO177/'EBITDA Val'!$H$16</f>
        <v>5.7150380238582142E-4</v>
      </c>
      <c r="AP179" s="640">
        <f ca="1">+AP177/'EBITDA Val'!$H$16</f>
        <v>5.5512402892731452E-3</v>
      </c>
      <c r="AQ179" s="640">
        <f ca="1">+AQ177/'EBITDA Val'!$H$16</f>
        <v>3.0943125813323098E-2</v>
      </c>
      <c r="AR179" s="170"/>
      <c r="AS179" s="833" t="str">
        <f>+A179</f>
        <v>FCF yield</v>
      </c>
      <c r="AT179" s="641"/>
      <c r="AU179" s="641"/>
      <c r="AV179" s="641"/>
      <c r="AW179" s="641"/>
      <c r="AX179" s="641"/>
      <c r="AY179" s="641"/>
      <c r="AZ179" s="641"/>
      <c r="BA179" s="641"/>
      <c r="BB179" s="641"/>
      <c r="BC179" s="641"/>
      <c r="BD179" s="873"/>
      <c r="BF179" s="900"/>
      <c r="BM179" s="902"/>
      <c r="BN179" s="902"/>
      <c r="BO179" s="902"/>
      <c r="BP179" s="902"/>
      <c r="BQ179" s="902"/>
      <c r="BR179" s="902"/>
      <c r="BS179" s="902"/>
    </row>
    <row r="180" spans="1:71" ht="12.75" customHeight="1">
      <c r="A180" s="259"/>
      <c r="B180" s="170"/>
      <c r="C180" s="170"/>
      <c r="D180" s="170"/>
      <c r="E180" s="170"/>
      <c r="F180" s="170"/>
      <c r="G180" s="170"/>
      <c r="H180" s="170"/>
      <c r="I180" s="170"/>
      <c r="J180" s="170"/>
      <c r="K180" s="170"/>
      <c r="L180" s="170"/>
      <c r="M180" s="170"/>
      <c r="N180" s="170"/>
      <c r="O180" s="170"/>
      <c r="P180" s="170"/>
      <c r="Q180" s="170"/>
      <c r="R180" s="170"/>
      <c r="S180" s="170"/>
      <c r="T180" s="170"/>
      <c r="U180" s="170"/>
      <c r="V180" s="170"/>
      <c r="W180" s="170"/>
      <c r="X180" s="170"/>
      <c r="Y180" s="2725"/>
      <c r="Z180" s="2725"/>
      <c r="AA180" s="170"/>
      <c r="AB180" s="170"/>
      <c r="AC180" s="170"/>
      <c r="AD180" s="170"/>
      <c r="AE180" s="170"/>
      <c r="AF180" s="170"/>
      <c r="AG180" s="170"/>
      <c r="AH180" s="170"/>
      <c r="AI180" s="170"/>
      <c r="AJ180" s="170"/>
      <c r="AK180" s="170"/>
      <c r="AL180" s="170"/>
      <c r="AM180" s="170"/>
      <c r="AN180" s="170"/>
      <c r="AO180" s="170"/>
      <c r="AP180" s="170"/>
      <c r="AQ180" s="170"/>
      <c r="AR180" s="170"/>
      <c r="AS180" s="251"/>
      <c r="AT180" s="170"/>
      <c r="AU180" s="170"/>
      <c r="AV180" s="170"/>
      <c r="AW180" s="170"/>
      <c r="AX180" s="170"/>
      <c r="AY180" s="170"/>
      <c r="AZ180" s="170"/>
      <c r="BA180" s="170"/>
      <c r="BB180" s="170"/>
      <c r="BC180" s="170"/>
      <c r="BD180" s="170"/>
      <c r="BF180" s="900"/>
      <c r="BM180" s="902"/>
      <c r="BN180" s="902"/>
      <c r="BO180" s="902"/>
      <c r="BP180" s="902"/>
      <c r="BQ180" s="902"/>
      <c r="BR180" s="902"/>
      <c r="BS180" s="902"/>
    </row>
    <row r="181" spans="1:71" ht="12.75" customHeight="1">
      <c r="A181" s="1"/>
      <c r="B181" s="340"/>
      <c r="C181" s="340"/>
      <c r="D181" s="340"/>
      <c r="E181" s="340"/>
      <c r="F181" s="340"/>
      <c r="G181" s="340"/>
      <c r="H181" s="340"/>
      <c r="I181" s="340"/>
      <c r="J181" s="340"/>
      <c r="K181" s="340"/>
      <c r="L181" s="340"/>
      <c r="M181" s="340"/>
      <c r="N181" s="340"/>
      <c r="O181" s="340"/>
      <c r="P181" s="340"/>
      <c r="Q181" s="340"/>
      <c r="R181" s="340"/>
      <c r="S181" s="340"/>
      <c r="T181" s="340"/>
      <c r="U181" s="340"/>
      <c r="V181" s="340"/>
      <c r="W181" s="340"/>
      <c r="X181" s="340"/>
      <c r="Y181" s="2740"/>
      <c r="Z181" s="2740"/>
      <c r="AA181" s="340"/>
      <c r="AB181" s="340"/>
      <c r="AC181" s="340"/>
      <c r="AD181" s="340"/>
      <c r="AE181" s="340"/>
      <c r="AF181" s="340"/>
      <c r="AG181" s="340"/>
      <c r="AH181" s="340"/>
      <c r="AI181" s="340"/>
      <c r="AJ181" s="340"/>
      <c r="AK181" s="340"/>
      <c r="AL181" s="340"/>
      <c r="AM181" s="340"/>
      <c r="AN181" s="340"/>
      <c r="AO181" s="340"/>
      <c r="AP181" s="340"/>
      <c r="AQ181" s="340"/>
      <c r="AR181" s="188"/>
      <c r="AS181" s="1"/>
      <c r="AT181" s="340"/>
      <c r="AU181" s="340"/>
      <c r="AV181" s="340"/>
      <c r="AW181" s="340"/>
      <c r="AX181" s="340"/>
      <c r="AY181" s="340"/>
      <c r="AZ181" s="340"/>
      <c r="BA181" s="340"/>
      <c r="BB181" s="340"/>
      <c r="BC181" s="340"/>
      <c r="BD181" s="340"/>
      <c r="BF181" s="900"/>
      <c r="BM181" s="902"/>
      <c r="BN181" s="902"/>
      <c r="BO181" s="902"/>
      <c r="BP181" s="902"/>
      <c r="BQ181" s="902"/>
      <c r="BR181" s="902"/>
      <c r="BS181" s="902"/>
    </row>
    <row r="182" spans="1:71" s="12" customFormat="1" ht="12.75" customHeight="1">
      <c r="A182" s="341" t="s">
        <v>1233</v>
      </c>
      <c r="B182" s="766"/>
      <c r="C182" s="766"/>
      <c r="D182" s="766"/>
      <c r="E182" s="766" t="str">
        <f>E$5</f>
        <v>2010</v>
      </c>
      <c r="F182" s="766" t="str">
        <f>F$5</f>
        <v>2011</v>
      </c>
      <c r="G182" s="767" t="str">
        <f t="shared" ref="G182:AQ182" si="350">G$5</f>
        <v>1Q12</v>
      </c>
      <c r="H182" s="767" t="str">
        <f t="shared" si="350"/>
        <v>2Q12</v>
      </c>
      <c r="I182" s="767" t="str">
        <f t="shared" si="350"/>
        <v>3Q12</v>
      </c>
      <c r="J182" s="767" t="str">
        <f t="shared" si="350"/>
        <v>4Q12</v>
      </c>
      <c r="K182" s="766">
        <f t="shared" si="350"/>
        <v>2012</v>
      </c>
      <c r="L182" s="767" t="str">
        <f t="shared" si="350"/>
        <v>1Q13</v>
      </c>
      <c r="M182" s="767" t="str">
        <f t="shared" si="350"/>
        <v>2Q13</v>
      </c>
      <c r="N182" s="767" t="str">
        <f t="shared" si="350"/>
        <v>3Q13</v>
      </c>
      <c r="O182" s="767" t="str">
        <f t="shared" si="350"/>
        <v>4Q13</v>
      </c>
      <c r="P182" s="766">
        <f t="shared" si="350"/>
        <v>2013</v>
      </c>
      <c r="Q182" s="767" t="str">
        <f t="shared" si="350"/>
        <v>1Q14</v>
      </c>
      <c r="R182" s="767" t="str">
        <f t="shared" si="350"/>
        <v>2Q14</v>
      </c>
      <c r="S182" s="767" t="str">
        <f t="shared" si="350"/>
        <v>3Q14</v>
      </c>
      <c r="T182" s="767" t="str">
        <f t="shared" si="350"/>
        <v>4Q14</v>
      </c>
      <c r="U182" s="766">
        <f t="shared" si="350"/>
        <v>2014</v>
      </c>
      <c r="V182" s="767" t="str">
        <f t="shared" si="350"/>
        <v>1Q15</v>
      </c>
      <c r="W182" s="767" t="str">
        <f t="shared" si="350"/>
        <v>2Q15</v>
      </c>
      <c r="X182" s="767" t="str">
        <f t="shared" si="350"/>
        <v>3Q15</v>
      </c>
      <c r="Y182" s="767" t="str">
        <f t="shared" si="350"/>
        <v>4Q15</v>
      </c>
      <c r="Z182" s="766">
        <f t="shared" si="350"/>
        <v>2015</v>
      </c>
      <c r="AA182" s="767" t="str">
        <f t="shared" si="350"/>
        <v>1Q16</v>
      </c>
      <c r="AB182" s="767" t="str">
        <f t="shared" si="350"/>
        <v>2Q16</v>
      </c>
      <c r="AC182" s="767" t="str">
        <f t="shared" si="350"/>
        <v>3Q16</v>
      </c>
      <c r="AD182" s="767" t="str">
        <f t="shared" si="350"/>
        <v>4Q16</v>
      </c>
      <c r="AE182" s="766">
        <f t="shared" si="350"/>
        <v>2016</v>
      </c>
      <c r="AF182" s="767" t="str">
        <f t="shared" si="350"/>
        <v>1Q17</v>
      </c>
      <c r="AG182" s="767" t="str">
        <f t="shared" si="350"/>
        <v>2Q17</v>
      </c>
      <c r="AH182" s="767" t="str">
        <f t="shared" si="350"/>
        <v>3Q17</v>
      </c>
      <c r="AI182" s="767" t="str">
        <f t="shared" si="350"/>
        <v>4Q17A</v>
      </c>
      <c r="AJ182" s="766" t="str">
        <f t="shared" si="350"/>
        <v>2017A</v>
      </c>
      <c r="AK182" s="767" t="str">
        <f t="shared" si="350"/>
        <v>1Q18E</v>
      </c>
      <c r="AL182" s="767" t="str">
        <f t="shared" si="350"/>
        <v>2Q18E</v>
      </c>
      <c r="AM182" s="767" t="str">
        <f t="shared" si="350"/>
        <v>3Q18E</v>
      </c>
      <c r="AN182" s="767" t="str">
        <f t="shared" si="350"/>
        <v>4Q18E</v>
      </c>
      <c r="AO182" s="766" t="str">
        <f t="shared" si="350"/>
        <v>2018E</v>
      </c>
      <c r="AP182" s="766" t="str">
        <f t="shared" si="350"/>
        <v>2019E</v>
      </c>
      <c r="AQ182" s="766" t="str">
        <f t="shared" si="350"/>
        <v>2020E</v>
      </c>
      <c r="AR182" s="431"/>
      <c r="AS182" s="341" t="str">
        <f>+A182</f>
        <v>Ownership</v>
      </c>
      <c r="AT182" s="767" t="str">
        <f>+E182</f>
        <v>2010</v>
      </c>
      <c r="AU182" s="767" t="str">
        <f>+F182</f>
        <v>2011</v>
      </c>
      <c r="AV182" s="767">
        <f>+K182</f>
        <v>2012</v>
      </c>
      <c r="AW182" s="767">
        <f>+P182</f>
        <v>2013</v>
      </c>
      <c r="AX182" s="767">
        <f>+U182</f>
        <v>2014</v>
      </c>
      <c r="AY182" s="767">
        <f>+Z182</f>
        <v>2015</v>
      </c>
      <c r="AZ182" s="767">
        <f>+AE182</f>
        <v>2016</v>
      </c>
      <c r="BA182" s="767" t="str">
        <f>+AJ182</f>
        <v>2017A</v>
      </c>
      <c r="BB182" s="767" t="str">
        <f>+AO182</f>
        <v>2018E</v>
      </c>
      <c r="BC182" s="767" t="str">
        <f>+AP182</f>
        <v>2019E</v>
      </c>
      <c r="BD182" s="865" t="str">
        <f>+AQ182</f>
        <v>2020E</v>
      </c>
      <c r="BE182" s="14"/>
      <c r="BF182" s="900"/>
      <c r="BG182"/>
      <c r="BH182"/>
      <c r="BI182"/>
      <c r="BJ182"/>
      <c r="BK182"/>
      <c r="BL182"/>
      <c r="BM182" s="902"/>
      <c r="BN182" s="902"/>
      <c r="BO182" s="902"/>
      <c r="BP182" s="902"/>
      <c r="BQ182" s="902"/>
      <c r="BR182" s="902"/>
      <c r="BS182" s="902"/>
    </row>
    <row r="183" spans="1:71" ht="12.75" customHeight="1">
      <c r="A183" s="488"/>
      <c r="B183" s="351"/>
      <c r="C183" s="351"/>
      <c r="D183" s="351"/>
      <c r="E183" s="351"/>
      <c r="F183" s="351"/>
      <c r="G183" s="145"/>
      <c r="H183" s="145"/>
      <c r="I183" s="145"/>
      <c r="J183" s="145"/>
      <c r="K183" s="351"/>
      <c r="L183" s="145"/>
      <c r="M183" s="145"/>
      <c r="N183" s="145"/>
      <c r="O183" s="145"/>
      <c r="P183" s="460"/>
      <c r="Q183" s="145"/>
      <c r="R183" s="145"/>
      <c r="S183" s="145"/>
      <c r="T183" s="145"/>
      <c r="U183" s="460"/>
      <c r="V183" s="145"/>
      <c r="W183" s="145"/>
      <c r="X183" s="145"/>
      <c r="Y183" s="2741"/>
      <c r="Z183" s="460"/>
      <c r="AA183" s="2511"/>
      <c r="AB183" s="2512"/>
      <c r="AC183" s="2512"/>
      <c r="AD183" s="2513"/>
      <c r="AE183" s="460"/>
      <c r="AF183" s="2512"/>
      <c r="AG183" s="2512"/>
      <c r="AH183" s="2512"/>
      <c r="AI183" s="2513"/>
      <c r="AJ183" s="460"/>
      <c r="AK183" s="2512"/>
      <c r="AL183" s="2512"/>
      <c r="AM183" s="2512"/>
      <c r="AN183" s="2513"/>
      <c r="AO183" s="460"/>
      <c r="AP183" s="460"/>
      <c r="AQ183" s="460"/>
      <c r="AR183" s="328"/>
      <c r="AS183" s="488"/>
      <c r="AT183" s="928"/>
      <c r="AU183" s="928"/>
      <c r="AV183" s="928"/>
      <c r="AW183" s="928"/>
      <c r="AX183" s="928"/>
      <c r="AY183" s="928"/>
      <c r="AZ183" s="928"/>
      <c r="BA183" s="928"/>
      <c r="BB183" s="928"/>
      <c r="BC183" s="928"/>
      <c r="BD183" s="924"/>
      <c r="BF183" s="900"/>
      <c r="BM183" s="902"/>
      <c r="BN183" s="902"/>
      <c r="BO183" s="902"/>
      <c r="BP183" s="902"/>
      <c r="BQ183" s="902"/>
      <c r="BR183" s="902"/>
      <c r="BS183" s="902"/>
    </row>
    <row r="184" spans="1:71" ht="12.75" hidden="1" customHeight="1" outlineLevel="1">
      <c r="A184" s="489" t="s">
        <v>706</v>
      </c>
      <c r="B184" s="351"/>
      <c r="C184" s="351"/>
      <c r="D184" s="351"/>
      <c r="E184" s="351"/>
      <c r="F184" s="351"/>
      <c r="G184" s="145"/>
      <c r="H184" s="145"/>
      <c r="I184" s="145"/>
      <c r="J184" s="145"/>
      <c r="K184" s="351"/>
      <c r="L184" s="145"/>
      <c r="M184" s="145"/>
      <c r="N184" s="145"/>
      <c r="O184" s="145"/>
      <c r="P184" s="351"/>
      <c r="Q184" s="145"/>
      <c r="R184" s="145"/>
      <c r="S184" s="145"/>
      <c r="T184" s="145"/>
      <c r="U184" s="351"/>
      <c r="V184" s="145"/>
      <c r="W184" s="145"/>
      <c r="X184" s="145"/>
      <c r="Y184" s="2741"/>
      <c r="Z184" s="351"/>
      <c r="AA184" s="2514"/>
      <c r="AB184" s="328"/>
      <c r="AC184" s="328"/>
      <c r="AD184" s="2515"/>
      <c r="AE184" s="351"/>
      <c r="AF184" s="328"/>
      <c r="AG184" s="328"/>
      <c r="AH184" s="328"/>
      <c r="AI184" s="2515"/>
      <c r="AJ184" s="351"/>
      <c r="AK184" s="328"/>
      <c r="AL184" s="328"/>
      <c r="AM184" s="328"/>
      <c r="AN184" s="2515"/>
      <c r="AO184" s="351"/>
      <c r="AP184" s="351"/>
      <c r="AQ184" s="351"/>
      <c r="AR184" s="328"/>
      <c r="AS184" s="488"/>
      <c r="AT184" s="191"/>
      <c r="AU184" s="191"/>
      <c r="AV184" s="191"/>
      <c r="AW184" s="191"/>
      <c r="AX184" s="191"/>
      <c r="AY184" s="191"/>
      <c r="AZ184" s="191"/>
      <c r="BA184" s="191"/>
      <c r="BB184" s="191"/>
      <c r="BC184" s="191"/>
      <c r="BD184" s="420"/>
      <c r="BF184" s="900"/>
      <c r="BM184" s="902"/>
      <c r="BN184" s="902"/>
      <c r="BO184" s="902"/>
      <c r="BP184" s="902"/>
      <c r="BQ184" s="902"/>
      <c r="BR184" s="902"/>
      <c r="BS184" s="902"/>
    </row>
    <row r="185" spans="1:71" ht="12.75" hidden="1" customHeight="1" outlineLevel="1">
      <c r="A185" s="489" t="s">
        <v>707</v>
      </c>
      <c r="B185" s="351"/>
      <c r="C185" s="351"/>
      <c r="D185" s="351"/>
      <c r="E185" s="351"/>
      <c r="F185" s="351"/>
      <c r="G185" s="145"/>
      <c r="H185" s="145"/>
      <c r="I185" s="145"/>
      <c r="J185" s="145"/>
      <c r="K185" s="351"/>
      <c r="L185" s="145"/>
      <c r="M185" s="145"/>
      <c r="N185" s="145"/>
      <c r="O185" s="145"/>
      <c r="P185" s="351"/>
      <c r="Q185" s="145"/>
      <c r="R185" s="145"/>
      <c r="S185" s="145"/>
      <c r="T185" s="145"/>
      <c r="U185" s="351"/>
      <c r="V185" s="145"/>
      <c r="W185" s="145"/>
      <c r="X185" s="145"/>
      <c r="Y185" s="2741"/>
      <c r="Z185" s="351"/>
      <c r="AA185" s="2514"/>
      <c r="AB185" s="328"/>
      <c r="AC185" s="328"/>
      <c r="AD185" s="2515"/>
      <c r="AE185" s="351"/>
      <c r="AF185" s="328"/>
      <c r="AG185" s="328"/>
      <c r="AH185" s="328"/>
      <c r="AI185" s="2515"/>
      <c r="AJ185" s="351"/>
      <c r="AK185" s="328"/>
      <c r="AL185" s="328"/>
      <c r="AM185" s="328"/>
      <c r="AN185" s="2515"/>
      <c r="AO185" s="351"/>
      <c r="AP185" s="351"/>
      <c r="AQ185" s="351"/>
      <c r="AR185" s="328"/>
      <c r="AS185" s="488"/>
      <c r="AT185" s="191"/>
      <c r="AU185" s="191"/>
      <c r="AV185" s="191"/>
      <c r="AW185" s="191"/>
      <c r="AX185" s="191"/>
      <c r="AY185" s="191"/>
      <c r="AZ185" s="191"/>
      <c r="BA185" s="191"/>
      <c r="BB185" s="191"/>
      <c r="BC185" s="191"/>
      <c r="BD185" s="420"/>
      <c r="BF185" s="900"/>
      <c r="BM185" s="902"/>
      <c r="BN185" s="902"/>
      <c r="BO185" s="902"/>
      <c r="BP185" s="902"/>
      <c r="BQ185" s="902"/>
      <c r="BR185" s="902"/>
      <c r="BS185" s="902"/>
    </row>
    <row r="186" spans="1:71" ht="12.75" hidden="1" customHeight="1" outlineLevel="1">
      <c r="A186" s="489"/>
      <c r="B186" s="351"/>
      <c r="C186" s="351"/>
      <c r="D186" s="351"/>
      <c r="E186" s="351"/>
      <c r="F186" s="351"/>
      <c r="G186" s="145"/>
      <c r="H186" s="145"/>
      <c r="I186" s="145"/>
      <c r="J186" s="145"/>
      <c r="K186" s="351"/>
      <c r="L186" s="145"/>
      <c r="M186" s="145"/>
      <c r="N186" s="145"/>
      <c r="O186" s="145"/>
      <c r="P186" s="351"/>
      <c r="Q186" s="145"/>
      <c r="R186" s="145"/>
      <c r="S186" s="145"/>
      <c r="T186" s="145"/>
      <c r="U186" s="351"/>
      <c r="V186" s="145"/>
      <c r="W186" s="145"/>
      <c r="X186" s="145"/>
      <c r="Y186" s="2741"/>
      <c r="Z186" s="351"/>
      <c r="AA186" s="2514"/>
      <c r="AB186" s="328"/>
      <c r="AC186" s="328"/>
      <c r="AD186" s="2515"/>
      <c r="AE186" s="351"/>
      <c r="AF186" s="328"/>
      <c r="AG186" s="328"/>
      <c r="AH186" s="328"/>
      <c r="AI186" s="2515"/>
      <c r="AJ186" s="351"/>
      <c r="AK186" s="328"/>
      <c r="AL186" s="328"/>
      <c r="AM186" s="328"/>
      <c r="AN186" s="2515"/>
      <c r="AO186" s="351"/>
      <c r="AP186" s="351"/>
      <c r="AQ186" s="351"/>
      <c r="AR186" s="328"/>
      <c r="AS186" s="488"/>
      <c r="AT186" s="191"/>
      <c r="AU186" s="191"/>
      <c r="AV186" s="191"/>
      <c r="AW186" s="191"/>
      <c r="AX186" s="191"/>
      <c r="AY186" s="191"/>
      <c r="AZ186" s="191"/>
      <c r="BA186" s="191"/>
      <c r="BB186" s="191"/>
      <c r="BC186" s="191"/>
      <c r="BD186" s="420"/>
      <c r="BF186" s="900"/>
      <c r="BM186" s="902"/>
      <c r="BN186" s="902"/>
      <c r="BO186" s="902"/>
      <c r="BP186" s="902"/>
      <c r="BQ186" s="902"/>
      <c r="BR186" s="902"/>
      <c r="BS186" s="902"/>
    </row>
    <row r="187" spans="1:71" ht="12.75" customHeight="1" collapsed="1">
      <c r="A187" s="489" t="s">
        <v>434</v>
      </c>
      <c r="B187" s="351"/>
      <c r="C187" s="351"/>
      <c r="D187" s="351"/>
      <c r="E187" s="355">
        <f>'QTR Rooms'!B379</f>
        <v>199</v>
      </c>
      <c r="F187" s="355">
        <f>'QTR Rooms'!C379</f>
        <v>161</v>
      </c>
      <c r="G187" s="145">
        <f>'QTR Rooms'!D379</f>
        <v>161</v>
      </c>
      <c r="H187" s="145">
        <f>'QTR Rooms'!E379</f>
        <v>161</v>
      </c>
      <c r="I187" s="145">
        <f>'QTR Rooms'!F379</f>
        <v>161</v>
      </c>
      <c r="J187" s="145">
        <f>'QTR Rooms'!G379</f>
        <v>161</v>
      </c>
      <c r="K187" s="355">
        <f>'QTR Rooms'!H379</f>
        <v>161</v>
      </c>
      <c r="L187" s="145">
        <f>'QTR Rooms'!I379</f>
        <v>158</v>
      </c>
      <c r="M187" s="145">
        <f>'QTR Rooms'!J379</f>
        <v>157</v>
      </c>
      <c r="N187" s="145">
        <f>'QTR Rooms'!K379</f>
        <v>156</v>
      </c>
      <c r="O187" s="145">
        <f>'QTR Rooms'!L379</f>
        <v>155</v>
      </c>
      <c r="P187" s="355">
        <f>'QTR Rooms'!M379</f>
        <v>155</v>
      </c>
      <c r="Q187" s="145">
        <f>'QTR Rooms'!N379</f>
        <v>154</v>
      </c>
      <c r="R187" s="145">
        <f>'QTR Rooms'!O379</f>
        <v>152</v>
      </c>
      <c r="S187" s="145">
        <f>'QTR Rooms'!P379</f>
        <v>145</v>
      </c>
      <c r="T187" s="145">
        <f>'QTR Rooms'!Q379</f>
        <v>144</v>
      </c>
      <c r="U187" s="355">
        <f>'QTR Rooms'!R379</f>
        <v>144</v>
      </c>
      <c r="V187" s="145">
        <f>'QTR Rooms'!S379</f>
        <v>148</v>
      </c>
      <c r="W187" s="145">
        <f>'QTR Rooms'!T379</f>
        <v>149</v>
      </c>
      <c r="X187" s="145">
        <f>'QTR Rooms'!U379</f>
        <v>147</v>
      </c>
      <c r="Y187" s="2741">
        <f>'QTR Rooms'!V379</f>
        <v>146</v>
      </c>
      <c r="Z187" s="2765">
        <f>'QTR Rooms'!W379</f>
        <v>146</v>
      </c>
      <c r="AA187" s="145">
        <f>'QTR Rooms'!X379</f>
        <v>144</v>
      </c>
      <c r="AB187" s="145">
        <f>'QTR Rooms'!Y379</f>
        <v>143</v>
      </c>
      <c r="AC187" s="145">
        <f>'QTR Rooms'!Z379</f>
        <v>143</v>
      </c>
      <c r="AD187" s="145">
        <f>'QTR Rooms'!AA379</f>
        <v>142</v>
      </c>
      <c r="AE187" s="355">
        <f>'QTR Rooms'!AB379</f>
        <v>142</v>
      </c>
      <c r="AF187" s="145">
        <f>'QTR Rooms'!AC379</f>
        <v>75</v>
      </c>
      <c r="AG187" s="145">
        <f>'QTR Rooms'!AD379</f>
        <v>74</v>
      </c>
      <c r="AH187" s="145">
        <f>'QTR Rooms'!AE379</f>
        <v>73</v>
      </c>
      <c r="AI187" s="145">
        <f>'QTR Rooms'!AF379</f>
        <v>73</v>
      </c>
      <c r="AJ187" s="355">
        <f>'QTR Rooms'!AG379</f>
        <v>73</v>
      </c>
      <c r="AK187" s="145">
        <f>'QTR Rooms'!AH379</f>
        <v>73</v>
      </c>
      <c r="AL187" s="145">
        <f>'QTR Rooms'!AI379</f>
        <v>73</v>
      </c>
      <c r="AM187" s="145">
        <f>'QTR Rooms'!AJ379</f>
        <v>73</v>
      </c>
      <c r="AN187" s="145">
        <f>'QTR Rooms'!AK379</f>
        <v>73</v>
      </c>
      <c r="AO187" s="355">
        <f>'QTR Rooms'!AL379</f>
        <v>73</v>
      </c>
      <c r="AP187" s="355">
        <f>'QTR Rooms'!AM379</f>
        <v>73</v>
      </c>
      <c r="AQ187" s="355">
        <f>'QTR Rooms'!AN379</f>
        <v>73</v>
      </c>
      <c r="AR187" s="328"/>
      <c r="AS187" s="489" t="str">
        <f>+A187</f>
        <v>Hotels</v>
      </c>
      <c r="AT187" s="191">
        <f t="shared" ref="AT187:AU189" si="351">+E187</f>
        <v>199</v>
      </c>
      <c r="AU187" s="191">
        <f t="shared" si="351"/>
        <v>161</v>
      </c>
      <c r="AV187" s="191">
        <f>+K187</f>
        <v>161</v>
      </c>
      <c r="AW187" s="191">
        <f>+P187</f>
        <v>155</v>
      </c>
      <c r="AX187" s="191">
        <f>+U187</f>
        <v>144</v>
      </c>
      <c r="AY187" s="191">
        <f>+Z187</f>
        <v>146</v>
      </c>
      <c r="AZ187" s="191">
        <f>+AE187</f>
        <v>142</v>
      </c>
      <c r="BA187" s="191">
        <f>+AJ187</f>
        <v>73</v>
      </c>
      <c r="BB187" s="191">
        <f t="shared" ref="BB187:BD189" si="352">+AO187</f>
        <v>73</v>
      </c>
      <c r="BC187" s="191">
        <f t="shared" si="352"/>
        <v>73</v>
      </c>
      <c r="BD187" s="420">
        <f t="shared" si="352"/>
        <v>73</v>
      </c>
      <c r="BF187" s="900"/>
      <c r="BM187" s="902"/>
      <c r="BN187" s="902"/>
      <c r="BO187" s="902"/>
      <c r="BP187" s="902"/>
      <c r="BQ187" s="902"/>
      <c r="BR187" s="902"/>
      <c r="BS187" s="902"/>
    </row>
    <row r="188" spans="1:71" ht="12.75" customHeight="1">
      <c r="A188" s="490" t="s">
        <v>435</v>
      </c>
      <c r="B188" s="355"/>
      <c r="C188" s="355"/>
      <c r="D188" s="355"/>
      <c r="E188" s="355"/>
      <c r="F188" s="355">
        <f>+F187-E187</f>
        <v>-38</v>
      </c>
      <c r="G188" s="1066">
        <f>+G187-F187</f>
        <v>0</v>
      </c>
      <c r="H188" s="1066">
        <f>+H187-G187</f>
        <v>0</v>
      </c>
      <c r="I188" s="1066">
        <f>+I187-H187</f>
        <v>0</v>
      </c>
      <c r="J188" s="1066">
        <f>+J187-I187</f>
        <v>0</v>
      </c>
      <c r="K188" s="355">
        <f>SUM(G188:J188)</f>
        <v>0</v>
      </c>
      <c r="L188" s="1066">
        <f>+L187-J187</f>
        <v>-3</v>
      </c>
      <c r="M188" s="1066">
        <f>+M187-L187</f>
        <v>-1</v>
      </c>
      <c r="N188" s="1066">
        <f>+N187-M187</f>
        <v>-1</v>
      </c>
      <c r="O188" s="1066">
        <f>+O187-N187</f>
        <v>-1</v>
      </c>
      <c r="P188" s="355">
        <f>SUM(L188:O188)</f>
        <v>-6</v>
      </c>
      <c r="Q188" s="1066">
        <f>+Q187-O187</f>
        <v>-1</v>
      </c>
      <c r="R188" s="1066">
        <f>+R187-Q187</f>
        <v>-2</v>
      </c>
      <c r="S188" s="1066">
        <f>+S187-R187</f>
        <v>-7</v>
      </c>
      <c r="T188" s="1066">
        <f>+T187-S187</f>
        <v>-1</v>
      </c>
      <c r="U188" s="355">
        <f>SUM(Q188:T188)</f>
        <v>-11</v>
      </c>
      <c r="V188" s="1066">
        <f>+V187-U187</f>
        <v>4</v>
      </c>
      <c r="W188" s="1066">
        <f>+W187-V187</f>
        <v>1</v>
      </c>
      <c r="X188" s="1066">
        <f>+X187-W187</f>
        <v>-2</v>
      </c>
      <c r="Y188" s="1066">
        <f>+Y187-X187</f>
        <v>-1</v>
      </c>
      <c r="Z188" s="2765">
        <f>SUM(V188:Y188)</f>
        <v>2</v>
      </c>
      <c r="AA188" s="1066">
        <f>+AA187-Z187</f>
        <v>-2</v>
      </c>
      <c r="AB188" s="1066">
        <f>+AB187-AA187</f>
        <v>-1</v>
      </c>
      <c r="AC188" s="1066">
        <f>+AC187-AB187</f>
        <v>0</v>
      </c>
      <c r="AD188" s="1066">
        <f>+AD187-AC187</f>
        <v>-1</v>
      </c>
      <c r="AE188" s="355">
        <f>SUM(AA188:AD188)</f>
        <v>-4</v>
      </c>
      <c r="AF188" s="1066">
        <f>+AF187-AE187</f>
        <v>-67</v>
      </c>
      <c r="AG188" s="1066">
        <f>+AG187-AF187</f>
        <v>-1</v>
      </c>
      <c r="AH188" s="1066">
        <f>+AH187-AG187</f>
        <v>-1</v>
      </c>
      <c r="AI188" s="1066">
        <f>+AI187-AH187</f>
        <v>0</v>
      </c>
      <c r="AJ188" s="355">
        <f>SUM(AF188:AI188)</f>
        <v>-69</v>
      </c>
      <c r="AK188" s="1066">
        <f t="shared" ref="AK188:AN188" si="353">+AK187-AJ187</f>
        <v>0</v>
      </c>
      <c r="AL188" s="1066">
        <f t="shared" si="353"/>
        <v>0</v>
      </c>
      <c r="AM188" s="1066">
        <f t="shared" si="353"/>
        <v>0</v>
      </c>
      <c r="AN188" s="1066">
        <f t="shared" si="353"/>
        <v>0</v>
      </c>
      <c r="AO188" s="355">
        <f>SUM(AK188:AN188)</f>
        <v>0</v>
      </c>
      <c r="AP188" s="355">
        <f>+AP187-AO187</f>
        <v>0</v>
      </c>
      <c r="AQ188" s="355">
        <f>+AQ187-AP187</f>
        <v>0</v>
      </c>
      <c r="AR188" s="191"/>
      <c r="AS188" s="490" t="str">
        <f>+A188</f>
        <v>Net Additions (Q/Q)</v>
      </c>
      <c r="AT188" s="330">
        <f t="shared" si="351"/>
        <v>0</v>
      </c>
      <c r="AU188" s="330">
        <f t="shared" si="351"/>
        <v>-38</v>
      </c>
      <c r="AV188" s="330">
        <f>+K188</f>
        <v>0</v>
      </c>
      <c r="AW188" s="330">
        <f>+P188</f>
        <v>-6</v>
      </c>
      <c r="AX188" s="330">
        <f>+U188</f>
        <v>-11</v>
      </c>
      <c r="AY188" s="330">
        <f>+Z188</f>
        <v>2</v>
      </c>
      <c r="AZ188" s="330">
        <f>+AE188</f>
        <v>-4</v>
      </c>
      <c r="BA188" s="330">
        <f>+AJ188</f>
        <v>-69</v>
      </c>
      <c r="BB188" s="330">
        <f t="shared" si="352"/>
        <v>0</v>
      </c>
      <c r="BC188" s="330">
        <f t="shared" si="352"/>
        <v>0</v>
      </c>
      <c r="BD188" s="882">
        <f t="shared" si="352"/>
        <v>0</v>
      </c>
      <c r="BF188" s="900"/>
      <c r="BM188" s="902"/>
      <c r="BN188" s="902"/>
      <c r="BO188" s="902"/>
      <c r="BP188" s="902"/>
      <c r="BQ188" s="902"/>
      <c r="BR188" s="902"/>
      <c r="BS188" s="902"/>
    </row>
    <row r="189" spans="1:71" ht="12.75" customHeight="1">
      <c r="A189" s="490" t="s">
        <v>1226</v>
      </c>
      <c r="B189" s="355"/>
      <c r="C189" s="355"/>
      <c r="D189" s="355"/>
      <c r="E189" s="355"/>
      <c r="F189" s="1081">
        <f>F187/E187-1</f>
        <v>-0.19095477386934678</v>
      </c>
      <c r="G189" s="239">
        <f>G187/F187-1</f>
        <v>0</v>
      </c>
      <c r="H189" s="239">
        <f>H187/G187-1</f>
        <v>0</v>
      </c>
      <c r="I189" s="239">
        <f>I187/H187-1</f>
        <v>0</v>
      </c>
      <c r="J189" s="239">
        <f>J187/I187-1</f>
        <v>0</v>
      </c>
      <c r="K189" s="240">
        <f>K187/F187-1</f>
        <v>0</v>
      </c>
      <c r="L189" s="239">
        <f>L187/J187-1</f>
        <v>-1.8633540372670843E-2</v>
      </c>
      <c r="M189" s="239">
        <f>M187/L187-1</f>
        <v>-6.3291139240506666E-3</v>
      </c>
      <c r="N189" s="239">
        <f>N187/M187-1</f>
        <v>-6.3694267515923553E-3</v>
      </c>
      <c r="O189" s="239">
        <f>O187/N187-1</f>
        <v>-6.4102564102563875E-3</v>
      </c>
      <c r="P189" s="240">
        <f>P187/K187-1</f>
        <v>-3.7267080745341574E-2</v>
      </c>
      <c r="Q189" s="239">
        <f>Q187/O187-1</f>
        <v>-6.4516129032258229E-3</v>
      </c>
      <c r="R189" s="239">
        <f>R187/Q187-1</f>
        <v>-1.2987012987012991E-2</v>
      </c>
      <c r="S189" s="239">
        <f>S187/R187-1</f>
        <v>-4.6052631578947345E-2</v>
      </c>
      <c r="T189" s="239">
        <f>T187/S187-1</f>
        <v>-6.8965517241379448E-3</v>
      </c>
      <c r="U189" s="240">
        <f>U187/P187-1</f>
        <v>-7.096774193548383E-2</v>
      </c>
      <c r="V189" s="239">
        <f>V187/U187-1</f>
        <v>2.7777777777777679E-2</v>
      </c>
      <c r="W189" s="239">
        <f>W187/V187-1</f>
        <v>6.7567567567567988E-3</v>
      </c>
      <c r="X189" s="239">
        <f>X187/W187-1</f>
        <v>-1.3422818791946289E-2</v>
      </c>
      <c r="Y189" s="239">
        <f>Y187/X187-1</f>
        <v>-6.8027210884353817E-3</v>
      </c>
      <c r="Z189" s="240">
        <f>Z187/U187-1</f>
        <v>1.388888888888884E-2</v>
      </c>
      <c r="AA189" s="239">
        <f>AA187/Z187-1</f>
        <v>-1.3698630136986356E-2</v>
      </c>
      <c r="AB189" s="239">
        <f>AB187/AA187-1</f>
        <v>-6.9444444444444198E-3</v>
      </c>
      <c r="AC189" s="239">
        <f>AC187/AB187-1</f>
        <v>0</v>
      </c>
      <c r="AD189" s="239">
        <f>AD187/AC187-1</f>
        <v>-6.9930069930069783E-3</v>
      </c>
      <c r="AE189" s="240">
        <f>AE187/Z187-1</f>
        <v>-2.7397260273972601E-2</v>
      </c>
      <c r="AF189" s="239">
        <f>AF187/AE187-1</f>
        <v>-0.471830985915493</v>
      </c>
      <c r="AG189" s="239">
        <f>AG187/AF187-1</f>
        <v>-1.3333333333333308E-2</v>
      </c>
      <c r="AH189" s="239">
        <f>AH187/AG187-1</f>
        <v>-1.3513513513513487E-2</v>
      </c>
      <c r="AI189" s="239">
        <f>AI187/AH187-1</f>
        <v>0</v>
      </c>
      <c r="AJ189" s="240">
        <f>AJ187/AE187-1</f>
        <v>-0.4859154929577465</v>
      </c>
      <c r="AK189" s="239">
        <f t="shared" ref="AK189:AN189" si="354">AK187/AJ187-1</f>
        <v>0</v>
      </c>
      <c r="AL189" s="239">
        <f t="shared" si="354"/>
        <v>0</v>
      </c>
      <c r="AM189" s="239">
        <f t="shared" si="354"/>
        <v>0</v>
      </c>
      <c r="AN189" s="239">
        <f t="shared" si="354"/>
        <v>0</v>
      </c>
      <c r="AO189" s="240">
        <f>AO187/AJ187-1</f>
        <v>0</v>
      </c>
      <c r="AP189" s="240">
        <f>AP187/AO187-1</f>
        <v>0</v>
      </c>
      <c r="AQ189" s="240">
        <f>AQ187/AP187-1</f>
        <v>0</v>
      </c>
      <c r="AR189" s="191"/>
      <c r="AS189" s="500" t="str">
        <f>+A189</f>
        <v>% growth, seq.</v>
      </c>
      <c r="AT189" s="419">
        <f t="shared" si="351"/>
        <v>0</v>
      </c>
      <c r="AU189" s="419">
        <f t="shared" si="351"/>
        <v>-0.19095477386934678</v>
      </c>
      <c r="AV189" s="419">
        <f>+K189</f>
        <v>0</v>
      </c>
      <c r="AW189" s="419">
        <f>+P189</f>
        <v>-3.7267080745341574E-2</v>
      </c>
      <c r="AX189" s="419">
        <f>+U189</f>
        <v>-7.096774193548383E-2</v>
      </c>
      <c r="AY189" s="419">
        <f>+Z189</f>
        <v>1.388888888888884E-2</v>
      </c>
      <c r="AZ189" s="419">
        <f>+AE189</f>
        <v>-2.7397260273972601E-2</v>
      </c>
      <c r="BA189" s="419">
        <f>+AJ189</f>
        <v>-0.4859154929577465</v>
      </c>
      <c r="BB189" s="419">
        <f t="shared" si="352"/>
        <v>0</v>
      </c>
      <c r="BC189" s="419">
        <f t="shared" si="352"/>
        <v>0</v>
      </c>
      <c r="BD189" s="876">
        <f t="shared" si="352"/>
        <v>0</v>
      </c>
      <c r="BF189" s="900"/>
      <c r="BM189" s="902"/>
      <c r="BN189" s="902"/>
      <c r="BO189" s="902"/>
      <c r="BP189" s="902"/>
      <c r="BQ189" s="902"/>
      <c r="BR189" s="902"/>
      <c r="BS189" s="902"/>
    </row>
    <row r="190" spans="1:71" ht="12.75" customHeight="1">
      <c r="A190" s="490"/>
      <c r="B190" s="351"/>
      <c r="C190" s="351"/>
      <c r="D190" s="351"/>
      <c r="E190" s="351"/>
      <c r="F190" s="351"/>
      <c r="G190" s="145"/>
      <c r="H190" s="145"/>
      <c r="I190" s="145"/>
      <c r="J190" s="145"/>
      <c r="K190" s="351"/>
      <c r="L190" s="145"/>
      <c r="M190" s="145"/>
      <c r="N190" s="145"/>
      <c r="O190" s="145"/>
      <c r="P190" s="351"/>
      <c r="Q190" s="145"/>
      <c r="R190" s="145"/>
      <c r="S190" s="145"/>
      <c r="T190" s="145"/>
      <c r="U190" s="351"/>
      <c r="V190" s="145"/>
      <c r="W190" s="145"/>
      <c r="X190" s="145"/>
      <c r="Y190" s="2741"/>
      <c r="Z190" s="351"/>
      <c r="AA190" s="145"/>
      <c r="AB190" s="145"/>
      <c r="AC190" s="145"/>
      <c r="AD190" s="145"/>
      <c r="AE190" s="351"/>
      <c r="AF190" s="145"/>
      <c r="AG190" s="145"/>
      <c r="AH190" s="145"/>
      <c r="AI190" s="145"/>
      <c r="AJ190" s="351"/>
      <c r="AK190" s="145"/>
      <c r="AL190" s="145"/>
      <c r="AM190" s="145"/>
      <c r="AN190" s="145"/>
      <c r="AO190" s="351"/>
      <c r="AP190" s="351"/>
      <c r="AQ190" s="351"/>
      <c r="AR190" s="328"/>
      <c r="AS190" s="488"/>
      <c r="AT190" s="191"/>
      <c r="AU190" s="191"/>
      <c r="AV190" s="191"/>
      <c r="AW190" s="191"/>
      <c r="AX190" s="191"/>
      <c r="AY190" s="191"/>
      <c r="AZ190" s="191"/>
      <c r="BA190" s="191"/>
      <c r="BB190" s="191"/>
      <c r="BC190" s="191"/>
      <c r="BD190" s="420"/>
      <c r="BF190" s="900"/>
      <c r="BM190" s="902"/>
      <c r="BN190" s="902"/>
      <c r="BO190" s="902"/>
      <c r="BP190" s="902"/>
      <c r="BQ190" s="902"/>
      <c r="BR190" s="902"/>
      <c r="BS190" s="902"/>
    </row>
    <row r="191" spans="1:71" ht="12.75" hidden="1" customHeight="1" outlineLevel="1">
      <c r="A191" s="741" t="s">
        <v>2076</v>
      </c>
      <c r="B191" s="351"/>
      <c r="C191" s="351"/>
      <c r="D191" s="351"/>
      <c r="E191" s="351"/>
      <c r="F191" s="351"/>
      <c r="G191" s="145"/>
      <c r="H191" s="145"/>
      <c r="I191" s="145"/>
      <c r="J191" s="145"/>
      <c r="K191" s="351"/>
      <c r="L191" s="145"/>
      <c r="M191" s="145"/>
      <c r="N191" s="145"/>
      <c r="O191" s="145"/>
      <c r="P191" s="2078"/>
      <c r="Q191" s="145"/>
      <c r="R191" s="145"/>
      <c r="S191" s="145"/>
      <c r="T191" s="145"/>
      <c r="U191" s="351"/>
      <c r="V191" s="145"/>
      <c r="W191" s="145"/>
      <c r="X191" s="145"/>
      <c r="Y191" s="2741"/>
      <c r="Z191" s="351"/>
      <c r="AA191" s="145"/>
      <c r="AB191" s="145"/>
      <c r="AC191" s="145"/>
      <c r="AD191" s="145"/>
      <c r="AE191" s="351"/>
      <c r="AF191" s="145"/>
      <c r="AG191" s="145"/>
      <c r="AH191" s="145"/>
      <c r="AI191" s="145"/>
      <c r="AJ191" s="351"/>
      <c r="AK191" s="145"/>
      <c r="AL191" s="145"/>
      <c r="AM191" s="145"/>
      <c r="AN191" s="145"/>
      <c r="AO191" s="351"/>
      <c r="AP191" s="351"/>
      <c r="AQ191" s="351"/>
      <c r="AR191" s="328"/>
      <c r="AS191" s="488"/>
      <c r="AT191" s="191"/>
      <c r="AU191" s="191"/>
      <c r="AV191" s="191"/>
      <c r="AW191" s="191"/>
      <c r="AX191" s="191"/>
      <c r="AY191" s="191"/>
      <c r="AZ191" s="191"/>
      <c r="BA191" s="191"/>
      <c r="BB191" s="191"/>
      <c r="BC191" s="191"/>
      <c r="BD191" s="420"/>
      <c r="BF191" s="900"/>
      <c r="BM191" s="902"/>
      <c r="BN191" s="902"/>
      <c r="BO191" s="902"/>
      <c r="BP191" s="902"/>
      <c r="BQ191" s="902"/>
      <c r="BR191" s="902"/>
      <c r="BS191" s="902"/>
    </row>
    <row r="192" spans="1:71" ht="12.75" hidden="1" customHeight="1" outlineLevel="1">
      <c r="A192" s="489" t="s">
        <v>709</v>
      </c>
      <c r="B192" s="351"/>
      <c r="C192" s="351"/>
      <c r="D192" s="351"/>
      <c r="E192" s="351"/>
      <c r="F192" s="351"/>
      <c r="G192" s="145"/>
      <c r="H192" s="145"/>
      <c r="I192" s="145"/>
      <c r="J192" s="145"/>
      <c r="K192" s="351"/>
      <c r="L192" s="145"/>
      <c r="M192" s="145"/>
      <c r="N192" s="150">
        <v>1413</v>
      </c>
      <c r="O192" s="150">
        <v>1413</v>
      </c>
      <c r="P192" s="356">
        <f>O192</f>
        <v>1413</v>
      </c>
      <c r="Q192" s="150">
        <v>1413</v>
      </c>
      <c r="R192" s="145"/>
      <c r="S192" s="145"/>
      <c r="T192" s="145"/>
      <c r="U192" s="351"/>
      <c r="V192" s="145"/>
      <c r="W192" s="145"/>
      <c r="X192" s="145"/>
      <c r="Y192" s="2741"/>
      <c r="Z192" s="351"/>
      <c r="AA192" s="145"/>
      <c r="AB192" s="145"/>
      <c r="AC192" s="145"/>
      <c r="AD192" s="145"/>
      <c r="AE192" s="351"/>
      <c r="AF192" s="145"/>
      <c r="AG192" s="145"/>
      <c r="AH192" s="145"/>
      <c r="AI192" s="145"/>
      <c r="AJ192" s="351"/>
      <c r="AK192" s="145"/>
      <c r="AL192" s="145"/>
      <c r="AM192" s="145"/>
      <c r="AN192" s="145"/>
      <c r="AO192" s="351"/>
      <c r="AP192" s="351"/>
      <c r="AQ192" s="351"/>
      <c r="AR192" s="328"/>
      <c r="AS192" s="488"/>
      <c r="AT192" s="191"/>
      <c r="AU192" s="191"/>
      <c r="AV192" s="191"/>
      <c r="AW192" s="191"/>
      <c r="AX192" s="191"/>
      <c r="AY192" s="191"/>
      <c r="AZ192" s="191"/>
      <c r="BA192" s="191"/>
      <c r="BB192" s="191"/>
      <c r="BC192" s="191"/>
      <c r="BD192" s="420"/>
      <c r="BF192" s="900"/>
      <c r="BM192" s="902"/>
      <c r="BN192" s="902"/>
      <c r="BO192" s="902"/>
      <c r="BP192" s="902"/>
      <c r="BQ192" s="902"/>
      <c r="BR192" s="902"/>
      <c r="BS192" s="902"/>
    </row>
    <row r="193" spans="1:71" ht="12.75" hidden="1" customHeight="1" outlineLevel="1">
      <c r="A193" s="489" t="s">
        <v>710</v>
      </c>
      <c r="B193" s="351"/>
      <c r="C193" s="351"/>
      <c r="D193" s="351"/>
      <c r="E193" s="351"/>
      <c r="F193" s="351"/>
      <c r="G193" s="145"/>
      <c r="H193" s="145"/>
      <c r="I193" s="145"/>
      <c r="J193" s="145"/>
      <c r="K193" s="351"/>
      <c r="L193" s="145"/>
      <c r="M193" s="145"/>
      <c r="N193" s="150">
        <v>2860</v>
      </c>
      <c r="O193" s="150">
        <v>2860</v>
      </c>
      <c r="P193" s="356">
        <f t="shared" ref="P193:P199" si="355">O193</f>
        <v>2860</v>
      </c>
      <c r="Q193" s="150">
        <v>2860</v>
      </c>
      <c r="R193" s="145"/>
      <c r="S193" s="145"/>
      <c r="T193" s="145"/>
      <c r="U193" s="351"/>
      <c r="V193" s="145"/>
      <c r="W193" s="145"/>
      <c r="X193" s="145"/>
      <c r="Y193" s="2741"/>
      <c r="Z193" s="351"/>
      <c r="AA193" s="145"/>
      <c r="AB193" s="145"/>
      <c r="AC193" s="145"/>
      <c r="AD193" s="145"/>
      <c r="AE193" s="351"/>
      <c r="AF193" s="145"/>
      <c r="AG193" s="145"/>
      <c r="AH193" s="145"/>
      <c r="AI193" s="145"/>
      <c r="AJ193" s="351"/>
      <c r="AK193" s="145"/>
      <c r="AL193" s="145"/>
      <c r="AM193" s="145"/>
      <c r="AN193" s="145"/>
      <c r="AO193" s="351"/>
      <c r="AP193" s="351"/>
      <c r="AQ193" s="351"/>
      <c r="AR193" s="328"/>
      <c r="AS193" s="488"/>
      <c r="AT193" s="191"/>
      <c r="AU193" s="191"/>
      <c r="AV193" s="191"/>
      <c r="AW193" s="191"/>
      <c r="AX193" s="191"/>
      <c r="AY193" s="191"/>
      <c r="AZ193" s="191"/>
      <c r="BA193" s="191"/>
      <c r="BB193" s="191"/>
      <c r="BC193" s="191"/>
      <c r="BD193" s="420"/>
      <c r="BF193" s="900"/>
      <c r="BM193" s="902"/>
      <c r="BN193" s="902"/>
      <c r="BO193" s="902"/>
      <c r="BP193" s="902"/>
      <c r="BQ193" s="902"/>
      <c r="BR193" s="902"/>
      <c r="BS193" s="902"/>
    </row>
    <row r="194" spans="1:71" ht="12.75" hidden="1" customHeight="1" outlineLevel="1">
      <c r="A194" s="489" t="s">
        <v>711</v>
      </c>
      <c r="B194" s="351"/>
      <c r="C194" s="351"/>
      <c r="D194" s="351"/>
      <c r="E194" s="351"/>
      <c r="F194" s="351"/>
      <c r="G194" s="145"/>
      <c r="H194" s="145"/>
      <c r="I194" s="145"/>
      <c r="J194" s="145"/>
      <c r="K194" s="351"/>
      <c r="L194" s="145"/>
      <c r="M194" s="145"/>
      <c r="N194" s="150">
        <v>1981</v>
      </c>
      <c r="O194" s="150">
        <v>1981</v>
      </c>
      <c r="P194" s="356">
        <f t="shared" si="355"/>
        <v>1981</v>
      </c>
      <c r="Q194" s="150">
        <v>1981</v>
      </c>
      <c r="R194" s="145"/>
      <c r="S194" s="145"/>
      <c r="T194" s="145"/>
      <c r="U194" s="351"/>
      <c r="V194" s="145"/>
      <c r="W194" s="145"/>
      <c r="X194" s="145"/>
      <c r="Y194" s="2741"/>
      <c r="Z194" s="351"/>
      <c r="AA194" s="145"/>
      <c r="AB194" s="145"/>
      <c r="AC194" s="145"/>
      <c r="AD194" s="145"/>
      <c r="AE194" s="351"/>
      <c r="AF194" s="145"/>
      <c r="AG194" s="145"/>
      <c r="AH194" s="145"/>
      <c r="AI194" s="145"/>
      <c r="AJ194" s="351"/>
      <c r="AK194" s="145"/>
      <c r="AL194" s="145"/>
      <c r="AM194" s="145"/>
      <c r="AN194" s="145"/>
      <c r="AO194" s="351"/>
      <c r="AP194" s="351"/>
      <c r="AQ194" s="351"/>
      <c r="AR194" s="328"/>
      <c r="AS194" s="488"/>
      <c r="AT194" s="191"/>
      <c r="AU194" s="191"/>
      <c r="AV194" s="191"/>
      <c r="AW194" s="191"/>
      <c r="AX194" s="191"/>
      <c r="AY194" s="191"/>
      <c r="AZ194" s="191"/>
      <c r="BA194" s="191"/>
      <c r="BB194" s="191"/>
      <c r="BC194" s="191"/>
      <c r="BD194" s="420"/>
      <c r="BF194" s="900"/>
      <c r="BM194" s="902"/>
      <c r="BN194" s="902"/>
      <c r="BO194" s="902"/>
      <c r="BP194" s="902"/>
      <c r="BQ194" s="902"/>
      <c r="BR194" s="902"/>
      <c r="BS194" s="902"/>
    </row>
    <row r="195" spans="1:71" ht="12.75" hidden="1" customHeight="1" outlineLevel="1">
      <c r="A195" s="489" t="s">
        <v>712</v>
      </c>
      <c r="B195" s="351"/>
      <c r="C195" s="351"/>
      <c r="D195" s="351"/>
      <c r="E195" s="351"/>
      <c r="F195" s="351"/>
      <c r="G195" s="145"/>
      <c r="H195" s="145"/>
      <c r="I195" s="145"/>
      <c r="J195" s="145"/>
      <c r="K195" s="351"/>
      <c r="L195" s="145"/>
      <c r="M195" s="145"/>
      <c r="N195" s="150">
        <v>1908</v>
      </c>
      <c r="O195" s="150">
        <v>1908</v>
      </c>
      <c r="P195" s="356">
        <f t="shared" si="355"/>
        <v>1908</v>
      </c>
      <c r="Q195" s="150">
        <v>1908</v>
      </c>
      <c r="R195" s="145"/>
      <c r="S195" s="145"/>
      <c r="T195" s="145"/>
      <c r="U195" s="351"/>
      <c r="V195" s="145"/>
      <c r="W195" s="145"/>
      <c r="X195" s="145"/>
      <c r="Y195" s="2741"/>
      <c r="Z195" s="351"/>
      <c r="AA195" s="145"/>
      <c r="AB195" s="145"/>
      <c r="AC195" s="145"/>
      <c r="AD195" s="145"/>
      <c r="AE195" s="351"/>
      <c r="AF195" s="145"/>
      <c r="AG195" s="145"/>
      <c r="AH195" s="145"/>
      <c r="AI195" s="145"/>
      <c r="AJ195" s="351"/>
      <c r="AK195" s="145"/>
      <c r="AL195" s="145"/>
      <c r="AM195" s="145"/>
      <c r="AN195" s="145"/>
      <c r="AO195" s="351"/>
      <c r="AP195" s="351"/>
      <c r="AQ195" s="351"/>
      <c r="AR195" s="328"/>
      <c r="AS195" s="488"/>
      <c r="AT195" s="191"/>
      <c r="AU195" s="191"/>
      <c r="AV195" s="191"/>
      <c r="AW195" s="191"/>
      <c r="AX195" s="191"/>
      <c r="AY195" s="191"/>
      <c r="AZ195" s="191"/>
      <c r="BA195" s="191"/>
      <c r="BB195" s="191"/>
      <c r="BC195" s="191"/>
      <c r="BD195" s="420"/>
      <c r="BF195" s="900"/>
      <c r="BM195" s="902"/>
      <c r="BN195" s="902"/>
      <c r="BO195" s="902"/>
      <c r="BP195" s="902"/>
      <c r="BQ195" s="902"/>
      <c r="BR195" s="902"/>
      <c r="BS195" s="902"/>
    </row>
    <row r="196" spans="1:71" ht="12.75" hidden="1" customHeight="1" outlineLevel="1">
      <c r="A196" s="489" t="s">
        <v>713</v>
      </c>
      <c r="B196" s="351"/>
      <c r="C196" s="351"/>
      <c r="D196" s="351"/>
      <c r="E196" s="351"/>
      <c r="F196" s="351"/>
      <c r="G196" s="145"/>
      <c r="H196" s="145"/>
      <c r="I196" s="145"/>
      <c r="J196" s="145"/>
      <c r="K196" s="351"/>
      <c r="L196" s="145"/>
      <c r="M196" s="145"/>
      <c r="N196" s="150">
        <v>1241</v>
      </c>
      <c r="O196" s="150">
        <v>1241</v>
      </c>
      <c r="P196" s="356">
        <f t="shared" si="355"/>
        <v>1241</v>
      </c>
      <c r="Q196" s="2206"/>
      <c r="R196" s="145"/>
      <c r="S196" s="145"/>
      <c r="T196" s="145"/>
      <c r="U196" s="351"/>
      <c r="V196" s="145"/>
      <c r="W196" s="145"/>
      <c r="X196" s="145"/>
      <c r="Y196" s="2741"/>
      <c r="Z196" s="351"/>
      <c r="AA196" s="145"/>
      <c r="AB196" s="145"/>
      <c r="AC196" s="145"/>
      <c r="AD196" s="145"/>
      <c r="AE196" s="351"/>
      <c r="AF196" s="145"/>
      <c r="AG196" s="145"/>
      <c r="AH196" s="145"/>
      <c r="AI196" s="145"/>
      <c r="AJ196" s="351"/>
      <c r="AK196" s="145"/>
      <c r="AL196" s="145"/>
      <c r="AM196" s="145"/>
      <c r="AN196" s="145"/>
      <c r="AO196" s="351"/>
      <c r="AP196" s="351"/>
      <c r="AQ196" s="351"/>
      <c r="AR196" s="328"/>
      <c r="AS196" s="488"/>
      <c r="AT196" s="191"/>
      <c r="AU196" s="191"/>
      <c r="AV196" s="191"/>
      <c r="AW196" s="191"/>
      <c r="AX196" s="191"/>
      <c r="AY196" s="191"/>
      <c r="AZ196" s="191"/>
      <c r="BA196" s="191"/>
      <c r="BB196" s="191"/>
      <c r="BC196" s="191"/>
      <c r="BD196" s="420"/>
      <c r="BF196" s="900"/>
      <c r="BM196" s="902"/>
      <c r="BN196" s="902"/>
      <c r="BO196" s="902"/>
      <c r="BP196" s="902"/>
      <c r="BQ196" s="902"/>
      <c r="BR196" s="902"/>
      <c r="BS196" s="902"/>
    </row>
    <row r="197" spans="1:71" ht="12.75" hidden="1" customHeight="1" outlineLevel="1">
      <c r="A197" s="489" t="s">
        <v>714</v>
      </c>
      <c r="B197" s="351"/>
      <c r="C197" s="351"/>
      <c r="D197" s="351"/>
      <c r="E197" s="351"/>
      <c r="F197" s="351"/>
      <c r="G197" s="145"/>
      <c r="H197" s="145"/>
      <c r="I197" s="145"/>
      <c r="J197" s="145"/>
      <c r="K197" s="351"/>
      <c r="L197" s="145"/>
      <c r="M197" s="145"/>
      <c r="N197" s="150">
        <v>1544</v>
      </c>
      <c r="O197" s="150">
        <v>1544</v>
      </c>
      <c r="P197" s="356">
        <f t="shared" si="355"/>
        <v>1544</v>
      </c>
      <c r="Q197" s="150">
        <v>1544</v>
      </c>
      <c r="R197" s="145"/>
      <c r="S197" s="145"/>
      <c r="T197" s="145"/>
      <c r="U197" s="351"/>
      <c r="V197" s="145"/>
      <c r="W197" s="145"/>
      <c r="X197" s="145"/>
      <c r="Y197" s="2741"/>
      <c r="Z197" s="351"/>
      <c r="AA197" s="145"/>
      <c r="AB197" s="145"/>
      <c r="AC197" s="145"/>
      <c r="AD197" s="145"/>
      <c r="AE197" s="351"/>
      <c r="AF197" s="145"/>
      <c r="AG197" s="145"/>
      <c r="AH197" s="145"/>
      <c r="AI197" s="145"/>
      <c r="AJ197" s="351"/>
      <c r="AK197" s="145"/>
      <c r="AL197" s="145"/>
      <c r="AM197" s="145"/>
      <c r="AN197" s="145"/>
      <c r="AO197" s="351"/>
      <c r="AP197" s="351"/>
      <c r="AQ197" s="351"/>
      <c r="AR197" s="328"/>
      <c r="AS197" s="488"/>
      <c r="AT197" s="191"/>
      <c r="AU197" s="191"/>
      <c r="AV197" s="191"/>
      <c r="AW197" s="191"/>
      <c r="AX197" s="191"/>
      <c r="AY197" s="191"/>
      <c r="AZ197" s="191"/>
      <c r="BA197" s="191"/>
      <c r="BB197" s="191"/>
      <c r="BC197" s="191"/>
      <c r="BD197" s="420"/>
      <c r="BF197" s="900"/>
      <c r="BM197" s="902"/>
      <c r="BN197" s="902"/>
      <c r="BO197" s="902"/>
      <c r="BP197" s="902"/>
      <c r="BQ197" s="902"/>
      <c r="BR197" s="902"/>
      <c r="BS197" s="902"/>
    </row>
    <row r="198" spans="1:71" ht="12.75" hidden="1" customHeight="1" outlineLevel="1">
      <c r="A198" s="489" t="s">
        <v>715</v>
      </c>
      <c r="B198" s="351"/>
      <c r="C198" s="351"/>
      <c r="D198" s="351"/>
      <c r="E198" s="351"/>
      <c r="F198" s="351"/>
      <c r="G198" s="145"/>
      <c r="H198" s="145"/>
      <c r="I198" s="145"/>
      <c r="J198" s="145"/>
      <c r="K198" s="351"/>
      <c r="L198" s="145"/>
      <c r="M198" s="145"/>
      <c r="N198" s="150">
        <v>860</v>
      </c>
      <c r="O198" s="150">
        <v>860</v>
      </c>
      <c r="P198" s="356">
        <f t="shared" si="355"/>
        <v>860</v>
      </c>
      <c r="Q198" s="2206"/>
      <c r="R198" s="145"/>
      <c r="S198" s="145"/>
      <c r="T198" s="145"/>
      <c r="U198" s="351"/>
      <c r="V198" s="145"/>
      <c r="W198" s="145"/>
      <c r="X198" s="145"/>
      <c r="Y198" s="2741"/>
      <c r="Z198" s="351"/>
      <c r="AA198" s="145"/>
      <c r="AB198" s="145"/>
      <c r="AC198" s="145"/>
      <c r="AD198" s="145"/>
      <c r="AE198" s="351"/>
      <c r="AF198" s="145"/>
      <c r="AG198" s="145"/>
      <c r="AH198" s="145"/>
      <c r="AI198" s="145"/>
      <c r="AJ198" s="351"/>
      <c r="AK198" s="145"/>
      <c r="AL198" s="145"/>
      <c r="AM198" s="145"/>
      <c r="AN198" s="145"/>
      <c r="AO198" s="351"/>
      <c r="AP198" s="351"/>
      <c r="AQ198" s="351"/>
      <c r="AR198" s="328"/>
      <c r="AS198" s="488"/>
      <c r="AT198" s="191"/>
      <c r="AU198" s="191"/>
      <c r="AV198" s="191"/>
      <c r="AW198" s="191"/>
      <c r="AX198" s="191"/>
      <c r="AY198" s="191"/>
      <c r="AZ198" s="191"/>
      <c r="BA198" s="191"/>
      <c r="BB198" s="191"/>
      <c r="BC198" s="191"/>
      <c r="BD198" s="420"/>
      <c r="BF198" s="900"/>
      <c r="BM198" s="902"/>
      <c r="BN198" s="902"/>
      <c r="BO198" s="902"/>
      <c r="BP198" s="902"/>
      <c r="BQ198" s="902"/>
      <c r="BR198" s="902"/>
      <c r="BS198" s="902"/>
    </row>
    <row r="199" spans="1:71" ht="12.75" hidden="1" customHeight="1" outlineLevel="1">
      <c r="A199" s="489" t="s">
        <v>716</v>
      </c>
      <c r="B199" s="351"/>
      <c r="C199" s="351"/>
      <c r="D199" s="351"/>
      <c r="E199" s="351"/>
      <c r="F199" s="351"/>
      <c r="G199" s="145"/>
      <c r="H199" s="145"/>
      <c r="I199" s="145"/>
      <c r="J199" s="145"/>
      <c r="K199" s="351"/>
      <c r="L199" s="145"/>
      <c r="M199" s="145"/>
      <c r="N199" s="150">
        <v>1622</v>
      </c>
      <c r="O199" s="150">
        <v>1622</v>
      </c>
      <c r="P199" s="356">
        <f t="shared" si="355"/>
        <v>1622</v>
      </c>
      <c r="Q199" s="2206"/>
      <c r="R199" s="145"/>
      <c r="S199" s="145"/>
      <c r="T199" s="145"/>
      <c r="U199" s="351"/>
      <c r="V199" s="145"/>
      <c r="W199" s="145"/>
      <c r="X199" s="145"/>
      <c r="Y199" s="2741"/>
      <c r="Z199" s="351"/>
      <c r="AA199" s="145"/>
      <c r="AB199" s="145"/>
      <c r="AC199" s="145"/>
      <c r="AD199" s="145"/>
      <c r="AE199" s="351"/>
      <c r="AF199" s="145"/>
      <c r="AG199" s="145"/>
      <c r="AH199" s="145"/>
      <c r="AI199" s="145"/>
      <c r="AJ199" s="351"/>
      <c r="AK199" s="145"/>
      <c r="AL199" s="145"/>
      <c r="AM199" s="145"/>
      <c r="AN199" s="145"/>
      <c r="AO199" s="351"/>
      <c r="AP199" s="351"/>
      <c r="AQ199" s="351"/>
      <c r="AR199" s="328"/>
      <c r="AS199" s="488"/>
      <c r="AT199" s="191"/>
      <c r="AU199" s="191"/>
      <c r="AV199" s="191"/>
      <c r="AW199" s="191"/>
      <c r="AX199" s="191"/>
      <c r="AY199" s="191"/>
      <c r="AZ199" s="191"/>
      <c r="BA199" s="191"/>
      <c r="BB199" s="191"/>
      <c r="BC199" s="191"/>
      <c r="BD199" s="420"/>
      <c r="BF199" s="900"/>
      <c r="BM199" s="902"/>
      <c r="BN199" s="902"/>
      <c r="BO199" s="902"/>
      <c r="BP199" s="902"/>
      <c r="BQ199" s="902"/>
      <c r="BR199" s="902"/>
      <c r="BS199" s="902"/>
    </row>
    <row r="200" spans="1:71" ht="12.75" hidden="1" customHeight="1" outlineLevel="1">
      <c r="A200" s="489" t="s">
        <v>708</v>
      </c>
      <c r="B200" s="351"/>
      <c r="C200" s="351"/>
      <c r="D200" s="351"/>
      <c r="E200" s="351"/>
      <c r="F200" s="351"/>
      <c r="G200" s="145"/>
      <c r="H200" s="145"/>
      <c r="I200" s="145"/>
      <c r="J200" s="145"/>
      <c r="K200" s="351"/>
      <c r="L200" s="145"/>
      <c r="M200" s="145"/>
      <c r="N200" s="150"/>
      <c r="O200" s="145"/>
      <c r="P200" s="351"/>
      <c r="Q200" s="145"/>
      <c r="R200" s="145"/>
      <c r="S200" s="145"/>
      <c r="T200" s="145"/>
      <c r="U200" s="351"/>
      <c r="V200" s="145"/>
      <c r="W200" s="145"/>
      <c r="X200" s="145"/>
      <c r="Y200" s="2741"/>
      <c r="Z200" s="351"/>
      <c r="AA200" s="145"/>
      <c r="AB200" s="145"/>
      <c r="AC200" s="145"/>
      <c r="AD200" s="145"/>
      <c r="AE200" s="351"/>
      <c r="AF200" s="145"/>
      <c r="AG200" s="145"/>
      <c r="AH200" s="145"/>
      <c r="AI200" s="145"/>
      <c r="AJ200" s="351"/>
      <c r="AK200" s="145"/>
      <c r="AL200" s="145"/>
      <c r="AM200" s="145"/>
      <c r="AN200" s="145"/>
      <c r="AO200" s="351"/>
      <c r="AP200" s="351"/>
      <c r="AQ200" s="351"/>
      <c r="AR200" s="328"/>
      <c r="AS200" s="488"/>
      <c r="AT200" s="191"/>
      <c r="AU200" s="191"/>
      <c r="AV200" s="191"/>
      <c r="AW200" s="191"/>
      <c r="AX200" s="191"/>
      <c r="AY200" s="191"/>
      <c r="AZ200" s="191"/>
      <c r="BA200" s="191"/>
      <c r="BB200" s="191"/>
      <c r="BC200" s="191"/>
      <c r="BD200" s="420"/>
      <c r="BF200" s="900"/>
      <c r="BM200" s="902"/>
      <c r="BN200" s="902"/>
      <c r="BO200" s="902"/>
      <c r="BP200" s="902"/>
      <c r="BQ200" s="902"/>
      <c r="BR200" s="902"/>
      <c r="BS200" s="902"/>
    </row>
    <row r="201" spans="1:71" s="729" customFormat="1" ht="3.95" hidden="1" customHeight="1" outlineLevel="1">
      <c r="A201" s="741"/>
      <c r="B201" s="353"/>
      <c r="C201" s="353"/>
      <c r="D201" s="353"/>
      <c r="E201" s="353"/>
      <c r="F201" s="353"/>
      <c r="G201" s="331"/>
      <c r="H201" s="331"/>
      <c r="I201" s="331"/>
      <c r="J201" s="331"/>
      <c r="K201" s="353"/>
      <c r="L201" s="331"/>
      <c r="M201" s="331"/>
      <c r="N201" s="331"/>
      <c r="O201" s="331"/>
      <c r="P201" s="353"/>
      <c r="Q201" s="331"/>
      <c r="R201" s="331"/>
      <c r="S201" s="331"/>
      <c r="T201" s="331"/>
      <c r="U201" s="353"/>
      <c r="V201" s="331"/>
      <c r="W201" s="331"/>
      <c r="X201" s="331"/>
      <c r="Y201" s="331"/>
      <c r="Z201" s="353"/>
      <c r="AA201" s="331"/>
      <c r="AB201" s="331"/>
      <c r="AC201" s="331"/>
      <c r="AD201" s="331"/>
      <c r="AE201" s="353"/>
      <c r="AF201" s="331"/>
      <c r="AG201" s="331"/>
      <c r="AH201" s="331"/>
      <c r="AI201" s="331"/>
      <c r="AJ201" s="353"/>
      <c r="AK201" s="331"/>
      <c r="AL201" s="331"/>
      <c r="AM201" s="331"/>
      <c r="AN201" s="331"/>
      <c r="AO201" s="353"/>
      <c r="AP201" s="353"/>
      <c r="AQ201" s="353"/>
      <c r="AR201" s="331"/>
      <c r="AS201" s="741"/>
      <c r="AT201" s="327"/>
      <c r="AU201" s="327"/>
      <c r="AV201" s="327"/>
      <c r="AW201" s="327"/>
      <c r="AX201" s="327"/>
      <c r="AY201" s="327"/>
      <c r="AZ201" s="327"/>
      <c r="BA201" s="327"/>
      <c r="BB201" s="327"/>
      <c r="BC201" s="327"/>
      <c r="BD201" s="1007"/>
      <c r="BE201" s="14"/>
      <c r="BF201" s="900"/>
      <c r="BG201"/>
      <c r="BH201"/>
      <c r="BI201"/>
      <c r="BJ201"/>
      <c r="BK201"/>
      <c r="BL201"/>
      <c r="BM201" s="902"/>
      <c r="BN201" s="902"/>
      <c r="BO201" s="902"/>
      <c r="BP201" s="902"/>
      <c r="BQ201" s="902"/>
      <c r="BR201" s="902"/>
      <c r="BS201" s="902"/>
    </row>
    <row r="202" spans="1:71" ht="12.75" customHeight="1" collapsed="1">
      <c r="A202" s="489" t="s">
        <v>588</v>
      </c>
      <c r="B202" s="398"/>
      <c r="C202" s="398"/>
      <c r="D202" s="398"/>
      <c r="E202" s="398">
        <f>'QTR Rooms'!B797</f>
        <v>67326</v>
      </c>
      <c r="F202" s="398">
        <f>'QTR Rooms'!C797</f>
        <v>62527</v>
      </c>
      <c r="G202" s="406">
        <f>'QTR Rooms'!D797</f>
        <v>62509</v>
      </c>
      <c r="H202" s="406">
        <f>'QTR Rooms'!E797</f>
        <v>62511</v>
      </c>
      <c r="I202" s="406">
        <f>'QTR Rooms'!F797</f>
        <v>62542</v>
      </c>
      <c r="J202" s="406">
        <f>'QTR Rooms'!G797</f>
        <v>62543</v>
      </c>
      <c r="K202" s="398">
        <f>'QTR Rooms'!H797</f>
        <v>62543</v>
      </c>
      <c r="L202" s="406">
        <f>'QTR Rooms'!I797</f>
        <v>62096</v>
      </c>
      <c r="M202" s="406">
        <f>'QTR Rooms'!J797</f>
        <v>62498</v>
      </c>
      <c r="N202" s="406">
        <f>'QTR Rooms'!K797</f>
        <v>62251</v>
      </c>
      <c r="O202" s="188">
        <f>'QTR Rooms'!L797</f>
        <v>61670</v>
      </c>
      <c r="P202" s="282">
        <f>'QTR Rooms'!M797</f>
        <v>61670</v>
      </c>
      <c r="Q202" s="188">
        <f>'QTR Rooms'!N797</f>
        <v>61348</v>
      </c>
      <c r="R202" s="188">
        <f>'QTR Rooms'!O797</f>
        <v>60830</v>
      </c>
      <c r="S202" s="188">
        <f>'QTR Rooms'!P797</f>
        <v>59330</v>
      </c>
      <c r="T202" s="188">
        <f>'QTR Rooms'!Q797</f>
        <v>58954</v>
      </c>
      <c r="U202" s="282">
        <f>'QTR Rooms'!R797</f>
        <v>58954</v>
      </c>
      <c r="V202" s="188">
        <f>'QTR Rooms'!S797</f>
        <v>60532</v>
      </c>
      <c r="W202" s="188">
        <f>'QTR Rooms'!T797</f>
        <v>60759</v>
      </c>
      <c r="X202" s="188">
        <f>'QTR Rooms'!U797</f>
        <v>59962</v>
      </c>
      <c r="Y202" s="2726">
        <f>'QTR Rooms'!V797</f>
        <v>59463</v>
      </c>
      <c r="Z202" s="2585">
        <f>'QTR Rooms'!W797</f>
        <v>59463</v>
      </c>
      <c r="AA202" s="188">
        <f>'QTR Rooms'!X797</f>
        <v>58326</v>
      </c>
      <c r="AB202" s="188">
        <f>'QTR Rooms'!Y797</f>
        <v>57996</v>
      </c>
      <c r="AC202" s="188">
        <f>'QTR Rooms'!Z797</f>
        <v>57868</v>
      </c>
      <c r="AD202" s="188">
        <f>'QTR Rooms'!AA797</f>
        <v>57716</v>
      </c>
      <c r="AE202" s="282">
        <f>'QTR Rooms'!AB797</f>
        <v>57716</v>
      </c>
      <c r="AF202" s="188">
        <f>'QTR Rooms'!AC797</f>
        <v>22298</v>
      </c>
      <c r="AG202" s="188">
        <f>'QTR Rooms'!AD797</f>
        <v>22334</v>
      </c>
      <c r="AH202" s="188">
        <f>'QTR Rooms'!AE797</f>
        <v>22204</v>
      </c>
      <c r="AI202" s="188">
        <f>'QTR Rooms'!AF797</f>
        <v>22206</v>
      </c>
      <c r="AJ202" s="282">
        <f>'QTR Rooms'!AG797</f>
        <v>22206</v>
      </c>
      <c r="AK202" s="188">
        <f>'QTR Rooms'!AH797</f>
        <v>22206</v>
      </c>
      <c r="AL202" s="188">
        <f>'QTR Rooms'!AI797</f>
        <v>22206</v>
      </c>
      <c r="AM202" s="188">
        <f>'QTR Rooms'!AJ797</f>
        <v>22206</v>
      </c>
      <c r="AN202" s="188">
        <f>'QTR Rooms'!AK797</f>
        <v>22206</v>
      </c>
      <c r="AO202" s="282">
        <f>'QTR Rooms'!AL797</f>
        <v>22206</v>
      </c>
      <c r="AP202" s="282">
        <f>'QTR Rooms'!AM797</f>
        <v>22206</v>
      </c>
      <c r="AQ202" s="282">
        <f>'QTR Rooms'!AN797</f>
        <v>22206</v>
      </c>
      <c r="AR202" s="188"/>
      <c r="AS202" s="489" t="str">
        <f>+A202</f>
        <v>Rooms (EOP)</v>
      </c>
      <c r="AT202" s="188">
        <f t="shared" ref="AT202:AU205" si="356">+E202</f>
        <v>67326</v>
      </c>
      <c r="AU202" s="188">
        <f t="shared" si="356"/>
        <v>62527</v>
      </c>
      <c r="AV202" s="188">
        <f>+K202</f>
        <v>62543</v>
      </c>
      <c r="AW202" s="188">
        <f>+P202</f>
        <v>61670</v>
      </c>
      <c r="AX202" s="188">
        <f>+U202</f>
        <v>58954</v>
      </c>
      <c r="AY202" s="188">
        <f>+Z202</f>
        <v>59463</v>
      </c>
      <c r="AZ202" s="188">
        <f>+AE202</f>
        <v>57716</v>
      </c>
      <c r="BA202" s="188">
        <f>+AJ202</f>
        <v>22206</v>
      </c>
      <c r="BB202" s="188">
        <f t="shared" ref="BB202:BD205" si="357">+AO202</f>
        <v>22206</v>
      </c>
      <c r="BC202" s="188">
        <f t="shared" si="357"/>
        <v>22206</v>
      </c>
      <c r="BD202" s="849">
        <f t="shared" si="357"/>
        <v>22206</v>
      </c>
      <c r="BF202" s="900"/>
      <c r="BM202" s="902"/>
      <c r="BN202" s="902"/>
      <c r="BO202" s="902"/>
      <c r="BP202" s="902"/>
      <c r="BQ202" s="902"/>
      <c r="BR202" s="902"/>
      <c r="BS202" s="902"/>
    </row>
    <row r="203" spans="1:71" ht="12.75" customHeight="1">
      <c r="A203" s="489" t="s">
        <v>1784</v>
      </c>
      <c r="B203" s="343"/>
      <c r="C203" s="343"/>
      <c r="D203" s="343"/>
      <c r="E203" s="343">
        <f>E202</f>
        <v>67326</v>
      </c>
      <c r="F203" s="343">
        <f>AVERAGE(E202:F202)</f>
        <v>64926.5</v>
      </c>
      <c r="G203" s="148">
        <f>AVERAGE(F202:G202)</f>
        <v>62518</v>
      </c>
      <c r="H203" s="148">
        <f>AVERAGE(G202:H202)</f>
        <v>62510</v>
      </c>
      <c r="I203" s="148">
        <f>AVERAGE(H202:I202)</f>
        <v>62526.5</v>
      </c>
      <c r="J203" s="148">
        <f>AVERAGE(I202:J202)</f>
        <v>62542.5</v>
      </c>
      <c r="K203" s="343">
        <f>AVERAGE(G203:J203)</f>
        <v>62524.25</v>
      </c>
      <c r="L203" s="148">
        <f>AVERAGE(K202:L202)</f>
        <v>62319.5</v>
      </c>
      <c r="M203" s="148">
        <f>AVERAGE(L202:M202)</f>
        <v>62297</v>
      </c>
      <c r="N203" s="148">
        <f>AVERAGE(M202:N202)</f>
        <v>62374.5</v>
      </c>
      <c r="O203" s="148">
        <f>AVERAGE(N202:O202)</f>
        <v>61960.5</v>
      </c>
      <c r="P203" s="343">
        <f>AVERAGE(L203:O203)</f>
        <v>62237.875</v>
      </c>
      <c r="Q203" s="148">
        <f>AVERAGE(P202:Q202)</f>
        <v>61509</v>
      </c>
      <c r="R203" s="148">
        <f>AVERAGE(Q202:R202)</f>
        <v>61089</v>
      </c>
      <c r="S203" s="148">
        <f>AVERAGE(R202:S202)</f>
        <v>60080</v>
      </c>
      <c r="T203" s="148">
        <f>AVERAGE(S202:T202)</f>
        <v>59142</v>
      </c>
      <c r="U203" s="343">
        <f>AVERAGE(Q203:T203)</f>
        <v>60455</v>
      </c>
      <c r="V203" s="148">
        <f>AVERAGE(U202:V202)</f>
        <v>59743</v>
      </c>
      <c r="W203" s="148">
        <f>AVERAGE(V202:W202)</f>
        <v>60645.5</v>
      </c>
      <c r="X203" s="148">
        <f>AVERAGE(W202:X202)</f>
        <v>60360.5</v>
      </c>
      <c r="Y203" s="2732">
        <f>AVERAGE(X202:Y202)</f>
        <v>59712.5</v>
      </c>
      <c r="Z203" s="343">
        <f>AVERAGE(V203:Y203)</f>
        <v>60115.375</v>
      </c>
      <c r="AA203" s="148">
        <f>AVERAGE(Z202:AA202)</f>
        <v>58894.5</v>
      </c>
      <c r="AB203" s="148">
        <f>AVERAGE(AA202:AB202)</f>
        <v>58161</v>
      </c>
      <c r="AC203" s="148">
        <f>AVERAGE(AB202:AC202)</f>
        <v>57932</v>
      </c>
      <c r="AD203" s="148">
        <f>AVERAGE(AC202:AD202)</f>
        <v>57792</v>
      </c>
      <c r="AE203" s="343">
        <f>AVERAGE(AA203:AD203)</f>
        <v>58194.875</v>
      </c>
      <c r="AF203" s="2947">
        <f>+AF202</f>
        <v>22298</v>
      </c>
      <c r="AG203" s="2947">
        <f>+AG202</f>
        <v>22334</v>
      </c>
      <c r="AH203" s="2947">
        <f>+AH202</f>
        <v>22204</v>
      </c>
      <c r="AI203" s="148">
        <f>AVERAGE(AH202:AI202)</f>
        <v>22205</v>
      </c>
      <c r="AJ203" s="343">
        <f>AVERAGE(AF203:AI203)</f>
        <v>22260.25</v>
      </c>
      <c r="AK203" s="148">
        <f t="shared" ref="AK203:AN203" si="358">AVERAGE(AJ202:AK202)</f>
        <v>22206</v>
      </c>
      <c r="AL203" s="148">
        <f t="shared" si="358"/>
        <v>22206</v>
      </c>
      <c r="AM203" s="148">
        <f t="shared" si="358"/>
        <v>22206</v>
      </c>
      <c r="AN203" s="148">
        <f t="shared" si="358"/>
        <v>22206</v>
      </c>
      <c r="AO203" s="343">
        <f>AVERAGE(AK203:AN203)</f>
        <v>22206</v>
      </c>
      <c r="AP203" s="343">
        <f>AVERAGE(AO202:AP202)</f>
        <v>22206</v>
      </c>
      <c r="AQ203" s="343">
        <f>AVERAGE(AP202:AQ202)</f>
        <v>22206</v>
      </c>
      <c r="AR203" s="195"/>
      <c r="AS203" s="489" t="str">
        <f>+A203</f>
        <v>Rooms, avg.</v>
      </c>
      <c r="AT203" s="162">
        <f t="shared" si="356"/>
        <v>67326</v>
      </c>
      <c r="AU203" s="162">
        <f t="shared" si="356"/>
        <v>64926.5</v>
      </c>
      <c r="AV203" s="162">
        <f>+K203</f>
        <v>62524.25</v>
      </c>
      <c r="AW203" s="162">
        <f>+P203</f>
        <v>62237.875</v>
      </c>
      <c r="AX203" s="162">
        <f>+U203</f>
        <v>60455</v>
      </c>
      <c r="AY203" s="162">
        <f>+Z203</f>
        <v>60115.375</v>
      </c>
      <c r="AZ203" s="162">
        <f>+AE203</f>
        <v>58194.875</v>
      </c>
      <c r="BA203" s="162">
        <f>+AJ203</f>
        <v>22260.25</v>
      </c>
      <c r="BB203" s="162">
        <f t="shared" si="357"/>
        <v>22206</v>
      </c>
      <c r="BC203" s="162">
        <f t="shared" si="357"/>
        <v>22206</v>
      </c>
      <c r="BD203" s="838">
        <f t="shared" si="357"/>
        <v>22206</v>
      </c>
      <c r="BF203" s="900"/>
      <c r="BM203" s="902"/>
      <c r="BN203" s="902"/>
      <c r="BO203" s="902"/>
      <c r="BP203" s="902"/>
      <c r="BQ203" s="902"/>
      <c r="BR203" s="902"/>
      <c r="BS203" s="902"/>
    </row>
    <row r="204" spans="1:71" ht="12.75" customHeight="1">
      <c r="A204" s="490" t="s">
        <v>1226</v>
      </c>
      <c r="B204" s="240"/>
      <c r="C204" s="240"/>
      <c r="D204" s="240"/>
      <c r="E204" s="240"/>
      <c r="F204" s="680">
        <f>F202/E202-1</f>
        <v>-7.128004040043967E-2</v>
      </c>
      <c r="G204" s="421">
        <f>G202/F202-1</f>
        <v>-2.8787563772447733E-4</v>
      </c>
      <c r="H204" s="421">
        <f>H202/G202-1</f>
        <v>3.1995392663519695E-5</v>
      </c>
      <c r="I204" s="421">
        <f>I202/H202-1</f>
        <v>4.9591271936133552E-4</v>
      </c>
      <c r="J204" s="419">
        <f>J202/I202-1</f>
        <v>1.5989255220505427E-5</v>
      </c>
      <c r="K204" s="680">
        <f>K202/F202-1</f>
        <v>2.5588945575516497E-4</v>
      </c>
      <c r="L204" s="421">
        <f>L202/K202-1</f>
        <v>-7.1470828070288039E-3</v>
      </c>
      <c r="M204" s="421">
        <f>M202/L202-1</f>
        <v>6.4738469466631976E-3</v>
      </c>
      <c r="N204" s="421">
        <f>N202/M202-1</f>
        <v>-3.9521264680469903E-3</v>
      </c>
      <c r="O204" s="419">
        <f>O202/N202-1</f>
        <v>-9.3331834026763039E-3</v>
      </c>
      <c r="P204" s="680">
        <f>P202/K202-1</f>
        <v>-1.3958396623123259E-2</v>
      </c>
      <c r="Q204" s="421">
        <f>Q202/P202-1</f>
        <v>-5.2213393870601532E-3</v>
      </c>
      <c r="R204" s="421">
        <f>R202/Q202-1</f>
        <v>-8.4436330442719809E-3</v>
      </c>
      <c r="S204" s="421">
        <f>S202/R202-1</f>
        <v>-2.4658885418379128E-2</v>
      </c>
      <c r="T204" s="419">
        <f>T202/S202-1</f>
        <v>-6.3374346873419363E-3</v>
      </c>
      <c r="U204" s="680">
        <f>U202/P202-1</f>
        <v>-4.4040862656072655E-2</v>
      </c>
      <c r="V204" s="421">
        <f>V202/U202-1</f>
        <v>2.6766631611086611E-2</v>
      </c>
      <c r="W204" s="421">
        <f>W202/V202-1</f>
        <v>3.7500826009384536E-3</v>
      </c>
      <c r="X204" s="421">
        <f>X202/W202-1</f>
        <v>-1.3117398245527379E-2</v>
      </c>
      <c r="Y204" s="419">
        <f>Y202/X202-1</f>
        <v>-8.3219372269103253E-3</v>
      </c>
      <c r="Z204" s="680">
        <f>Z202/U202-1</f>
        <v>8.6338501204328288E-3</v>
      </c>
      <c r="AA204" s="421">
        <f>AA202/Z202-1</f>
        <v>-1.9121134150648311E-2</v>
      </c>
      <c r="AB204" s="421">
        <f>AB202/AA202-1</f>
        <v>-5.6578541302335639E-3</v>
      </c>
      <c r="AC204" s="421">
        <f>AC202/AB202-1</f>
        <v>-2.2070487619836321E-3</v>
      </c>
      <c r="AD204" s="421">
        <f>AD202/AC202-1</f>
        <v>-2.6266675883044321E-3</v>
      </c>
      <c r="AE204" s="680">
        <f>AE202/Z202-1</f>
        <v>-2.9379614213880911E-2</v>
      </c>
      <c r="AF204" s="421">
        <f>AF202/AE202-1</f>
        <v>-0.61365999029731788</v>
      </c>
      <c r="AG204" s="421">
        <f>AG202/AF202-1</f>
        <v>1.614494573504377E-3</v>
      </c>
      <c r="AH204" s="421">
        <f>AH202/AG202-1</f>
        <v>-5.8207217694994373E-3</v>
      </c>
      <c r="AI204" s="421">
        <f>AI202/AH202-1</f>
        <v>9.0073860565587083E-5</v>
      </c>
      <c r="AJ204" s="680">
        <f>AJ202/AE202-1</f>
        <v>-0.61525400235636563</v>
      </c>
      <c r="AK204" s="421">
        <f t="shared" ref="AK204:AN204" si="359">AK202/AJ202-1</f>
        <v>0</v>
      </c>
      <c r="AL204" s="421">
        <f t="shared" si="359"/>
        <v>0</v>
      </c>
      <c r="AM204" s="421">
        <f t="shared" si="359"/>
        <v>0</v>
      </c>
      <c r="AN204" s="421">
        <f t="shared" si="359"/>
        <v>0</v>
      </c>
      <c r="AO204" s="680">
        <f>AO202/AJ202-1</f>
        <v>0</v>
      </c>
      <c r="AP204" s="680">
        <f>AP202/AO202-1</f>
        <v>0</v>
      </c>
      <c r="AQ204" s="422">
        <f>AQ202/AP202-1</f>
        <v>0</v>
      </c>
      <c r="AR204" s="195"/>
      <c r="AS204" s="490" t="str">
        <f>+A204</f>
        <v>% growth, seq.</v>
      </c>
      <c r="AT204" s="1008">
        <f t="shared" si="356"/>
        <v>0</v>
      </c>
      <c r="AU204" s="1008">
        <f t="shared" si="356"/>
        <v>-7.128004040043967E-2</v>
      </c>
      <c r="AV204" s="1008">
        <f>+K204</f>
        <v>2.5588945575516497E-4</v>
      </c>
      <c r="AW204" s="1008">
        <f>+P204</f>
        <v>-1.3958396623123259E-2</v>
      </c>
      <c r="AX204" s="1008">
        <f>+U204</f>
        <v>-4.4040862656072655E-2</v>
      </c>
      <c r="AY204" s="1008">
        <f>+Z204</f>
        <v>8.6338501204328288E-3</v>
      </c>
      <c r="AZ204" s="1008">
        <f>+AE204</f>
        <v>-2.9379614213880911E-2</v>
      </c>
      <c r="BA204" s="1008">
        <f>+AJ204</f>
        <v>-0.61525400235636563</v>
      </c>
      <c r="BB204" s="1008">
        <f t="shared" si="357"/>
        <v>0</v>
      </c>
      <c r="BC204" s="1008">
        <f t="shared" si="357"/>
        <v>0</v>
      </c>
      <c r="BD204" s="1009">
        <f t="shared" si="357"/>
        <v>0</v>
      </c>
      <c r="BF204" s="900"/>
      <c r="BM204" s="902"/>
      <c r="BN204" s="902"/>
      <c r="BO204" s="902"/>
      <c r="BP204" s="902"/>
      <c r="BQ204" s="902"/>
      <c r="BR204" s="902"/>
      <c r="BS204" s="902"/>
    </row>
    <row r="205" spans="1:71" ht="12.75" customHeight="1">
      <c r="A205" s="490" t="s">
        <v>632</v>
      </c>
      <c r="B205" s="428"/>
      <c r="C205" s="428"/>
      <c r="D205" s="428"/>
      <c r="E205" s="428">
        <f t="shared" ref="E205:W205" si="360">E202/E187</f>
        <v>338.321608040201</v>
      </c>
      <c r="F205" s="428">
        <f t="shared" si="360"/>
        <v>388.36645962732922</v>
      </c>
      <c r="G205" s="334">
        <f t="shared" si="360"/>
        <v>388.25465838509319</v>
      </c>
      <c r="H205" s="334">
        <f t="shared" si="360"/>
        <v>388.26708074534162</v>
      </c>
      <c r="I205" s="334">
        <f t="shared" si="360"/>
        <v>388.45962732919253</v>
      </c>
      <c r="J205" s="334">
        <f t="shared" si="360"/>
        <v>388.46583850931677</v>
      </c>
      <c r="K205" s="428">
        <f t="shared" si="360"/>
        <v>388.46583850931677</v>
      </c>
      <c r="L205" s="334">
        <f t="shared" si="360"/>
        <v>393.01265822784808</v>
      </c>
      <c r="M205" s="334">
        <f t="shared" si="360"/>
        <v>398.07643312101914</v>
      </c>
      <c r="N205" s="334">
        <f t="shared" si="360"/>
        <v>399.04487179487177</v>
      </c>
      <c r="O205" s="334">
        <f t="shared" si="360"/>
        <v>397.87096774193549</v>
      </c>
      <c r="P205" s="428">
        <f t="shared" si="360"/>
        <v>397.87096774193549</v>
      </c>
      <c r="Q205" s="334">
        <f t="shared" si="360"/>
        <v>398.36363636363637</v>
      </c>
      <c r="R205" s="334">
        <f t="shared" si="360"/>
        <v>400.19736842105266</v>
      </c>
      <c r="S205" s="334">
        <f t="shared" si="360"/>
        <v>409.17241379310343</v>
      </c>
      <c r="T205" s="334">
        <f t="shared" si="360"/>
        <v>409.40277777777777</v>
      </c>
      <c r="U205" s="428">
        <f t="shared" si="360"/>
        <v>409.40277777777777</v>
      </c>
      <c r="V205" s="334">
        <f>V202/V187</f>
        <v>409</v>
      </c>
      <c r="W205" s="334">
        <f t="shared" si="360"/>
        <v>407.77852348993287</v>
      </c>
      <c r="X205" s="334">
        <f t="shared" ref="X205:AQ205" si="361">X202/X187</f>
        <v>407.90476190476193</v>
      </c>
      <c r="Y205" s="334">
        <f t="shared" si="361"/>
        <v>407.28082191780823</v>
      </c>
      <c r="Z205" s="428">
        <f t="shared" si="361"/>
        <v>407.28082191780823</v>
      </c>
      <c r="AA205" s="334">
        <f t="shared" si="361"/>
        <v>405.04166666666669</v>
      </c>
      <c r="AB205" s="334">
        <f t="shared" si="361"/>
        <v>405.56643356643355</v>
      </c>
      <c r="AC205" s="334">
        <f t="shared" si="361"/>
        <v>404.67132867132869</v>
      </c>
      <c r="AD205" s="334">
        <f t="shared" si="361"/>
        <v>406.45070422535213</v>
      </c>
      <c r="AE205" s="428">
        <f t="shared" si="361"/>
        <v>406.45070422535213</v>
      </c>
      <c r="AF205" s="334">
        <f t="shared" si="361"/>
        <v>297.30666666666667</v>
      </c>
      <c r="AG205" s="334">
        <f t="shared" si="361"/>
        <v>301.81081081081084</v>
      </c>
      <c r="AH205" s="334">
        <f t="shared" si="361"/>
        <v>304.16438356164383</v>
      </c>
      <c r="AI205" s="334">
        <f t="shared" si="361"/>
        <v>304.1917808219178</v>
      </c>
      <c r="AJ205" s="428">
        <f t="shared" si="361"/>
        <v>304.1917808219178</v>
      </c>
      <c r="AK205" s="334">
        <f t="shared" ref="AK205:AO205" si="362">AK202/AK187</f>
        <v>304.1917808219178</v>
      </c>
      <c r="AL205" s="334">
        <f t="shared" si="362"/>
        <v>304.1917808219178</v>
      </c>
      <c r="AM205" s="334">
        <f t="shared" si="362"/>
        <v>304.1917808219178</v>
      </c>
      <c r="AN205" s="334">
        <f t="shared" si="362"/>
        <v>304.1917808219178</v>
      </c>
      <c r="AO205" s="428">
        <f t="shared" si="362"/>
        <v>304.1917808219178</v>
      </c>
      <c r="AP205" s="428">
        <f t="shared" si="361"/>
        <v>304.1917808219178</v>
      </c>
      <c r="AQ205" s="428">
        <f t="shared" si="361"/>
        <v>304.1917808219178</v>
      </c>
      <c r="AR205" s="195"/>
      <c r="AS205" s="490" t="str">
        <f>+A205</f>
        <v>Rooms per Hotel</v>
      </c>
      <c r="AT205" s="1005">
        <f t="shared" si="356"/>
        <v>338.321608040201</v>
      </c>
      <c r="AU205" s="1005">
        <f t="shared" si="356"/>
        <v>388.36645962732922</v>
      </c>
      <c r="AV205" s="1005">
        <f>+K205</f>
        <v>388.46583850931677</v>
      </c>
      <c r="AW205" s="1005">
        <f>+P205</f>
        <v>397.87096774193549</v>
      </c>
      <c r="AX205" s="1005">
        <f>+U205</f>
        <v>409.40277777777777</v>
      </c>
      <c r="AY205" s="1005">
        <f>+Z205</f>
        <v>407.28082191780823</v>
      </c>
      <c r="AZ205" s="1005">
        <f>+AE205</f>
        <v>406.45070422535213</v>
      </c>
      <c r="BA205" s="1005">
        <f>+AJ205</f>
        <v>304.1917808219178</v>
      </c>
      <c r="BB205" s="1005">
        <f t="shared" si="357"/>
        <v>304.1917808219178</v>
      </c>
      <c r="BC205" s="1005">
        <f t="shared" si="357"/>
        <v>304.1917808219178</v>
      </c>
      <c r="BD205" s="1006">
        <f t="shared" si="357"/>
        <v>304.1917808219178</v>
      </c>
      <c r="BF205" s="900"/>
      <c r="BM205" s="902"/>
      <c r="BN205" s="902"/>
      <c r="BO205" s="902"/>
      <c r="BP205" s="902"/>
      <c r="BQ205" s="902"/>
      <c r="BR205" s="902"/>
      <c r="BS205" s="902"/>
    </row>
    <row r="206" spans="1:71" s="15" customFormat="1" ht="12.75" customHeight="1">
      <c r="A206" s="490"/>
      <c r="B206" s="353"/>
      <c r="C206" s="353"/>
      <c r="D206" s="353"/>
      <c r="E206" s="353"/>
      <c r="F206" s="353"/>
      <c r="G206" s="331"/>
      <c r="H206" s="331"/>
      <c r="I206" s="331"/>
      <c r="J206" s="331"/>
      <c r="K206" s="353"/>
      <c r="L206" s="331"/>
      <c r="M206" s="331"/>
      <c r="N206" s="331"/>
      <c r="O206" s="331"/>
      <c r="P206" s="353"/>
      <c r="Q206" s="331"/>
      <c r="R206" s="331"/>
      <c r="S206" s="331"/>
      <c r="T206" s="331"/>
      <c r="U206" s="353"/>
      <c r="V206" s="331"/>
      <c r="W206" s="331"/>
      <c r="X206" s="331"/>
      <c r="Y206" s="331"/>
      <c r="Z206" s="353"/>
      <c r="AA206" s="331"/>
      <c r="AB206" s="331"/>
      <c r="AC206" s="331"/>
      <c r="AD206" s="331"/>
      <c r="AE206" s="353"/>
      <c r="AF206" s="331"/>
      <c r="AG206" s="331"/>
      <c r="AH206" s="331"/>
      <c r="AI206" s="331"/>
      <c r="AJ206" s="353"/>
      <c r="AK206" s="331"/>
      <c r="AL206" s="331"/>
      <c r="AM206" s="331"/>
      <c r="AN206" s="331"/>
      <c r="AO206" s="353"/>
      <c r="AP206" s="353"/>
      <c r="AQ206" s="353"/>
      <c r="AR206" s="331"/>
      <c r="AS206" s="490"/>
      <c r="AT206" s="327"/>
      <c r="AU206" s="327"/>
      <c r="AV206" s="327"/>
      <c r="AW206" s="327"/>
      <c r="AX206" s="327"/>
      <c r="AY206" s="327"/>
      <c r="AZ206" s="327"/>
      <c r="BA206" s="327"/>
      <c r="BB206" s="327"/>
      <c r="BC206" s="327"/>
      <c r="BD206" s="1007"/>
      <c r="BE206" s="14"/>
      <c r="BF206" s="900"/>
      <c r="BG206"/>
      <c r="BH206"/>
      <c r="BI206"/>
      <c r="BJ206"/>
      <c r="BK206"/>
      <c r="BL206"/>
      <c r="BM206" s="902"/>
      <c r="BN206" s="902"/>
      <c r="BO206" s="902"/>
      <c r="BP206" s="902"/>
      <c r="BQ206" s="902"/>
      <c r="BR206" s="902"/>
      <c r="BS206" s="902"/>
    </row>
    <row r="207" spans="1:71" s="729" customFormat="1" ht="12.75" customHeight="1">
      <c r="A207" s="741" t="s">
        <v>1354</v>
      </c>
      <c r="B207" s="353"/>
      <c r="C207" s="353"/>
      <c r="D207" s="353"/>
      <c r="E207" s="353"/>
      <c r="F207" s="353"/>
      <c r="G207" s="331"/>
      <c r="H207" s="331"/>
      <c r="I207" s="331"/>
      <c r="J207" s="331"/>
      <c r="K207" s="353"/>
      <c r="L207" s="331"/>
      <c r="M207" s="331"/>
      <c r="N207" s="331"/>
      <c r="O207" s="331"/>
      <c r="P207" s="353"/>
      <c r="Q207" s="331"/>
      <c r="R207" s="331"/>
      <c r="S207" s="331"/>
      <c r="T207" s="331"/>
      <c r="U207" s="353"/>
      <c r="V207" s="331"/>
      <c r="W207" s="331"/>
      <c r="X207" s="331"/>
      <c r="Y207" s="331"/>
      <c r="Z207" s="353"/>
      <c r="AA207" s="331"/>
      <c r="AB207" s="331"/>
      <c r="AC207" s="331"/>
      <c r="AD207" s="331"/>
      <c r="AE207" s="353"/>
      <c r="AF207" s="331"/>
      <c r="AG207" s="331"/>
      <c r="AH207" s="331"/>
      <c r="AI207" s="331"/>
      <c r="AJ207" s="353"/>
      <c r="AK207" s="331"/>
      <c r="AL207" s="331"/>
      <c r="AM207" s="331"/>
      <c r="AN207" s="331"/>
      <c r="AO207" s="353"/>
      <c r="AP207" s="353"/>
      <c r="AQ207" s="353"/>
      <c r="AR207" s="331"/>
      <c r="AS207" s="741" t="str">
        <f>+A207</f>
        <v>Worldwide</v>
      </c>
      <c r="AT207" s="327"/>
      <c r="AU207" s="327"/>
      <c r="AV207" s="327"/>
      <c r="AW207" s="327"/>
      <c r="AX207" s="327"/>
      <c r="AY207" s="327"/>
      <c r="AZ207" s="327"/>
      <c r="BA207" s="327"/>
      <c r="BB207" s="327"/>
      <c r="BC207" s="327"/>
      <c r="BD207" s="1007"/>
      <c r="BE207" s="14"/>
      <c r="BF207" s="900"/>
      <c r="BG207"/>
      <c r="BH207"/>
      <c r="BI207"/>
      <c r="BJ207"/>
      <c r="BK207"/>
      <c r="BL207"/>
      <c r="BM207" s="902"/>
      <c r="BN207" s="902"/>
      <c r="BO207" s="902"/>
      <c r="BP207" s="902"/>
      <c r="BQ207" s="902"/>
      <c r="BR207" s="902"/>
      <c r="BS207" s="902"/>
    </row>
    <row r="208" spans="1:71" s="729" customFormat="1" ht="12.75" customHeight="1">
      <c r="A208" s="543" t="s">
        <v>436</v>
      </c>
      <c r="B208" s="353"/>
      <c r="C208" s="353"/>
      <c r="D208" s="353"/>
      <c r="E208" s="242"/>
      <c r="F208" s="242">
        <f>RevPAR!C65</f>
        <v>4.2999999999999997E-2</v>
      </c>
      <c r="G208" s="241">
        <f>RevPAR!D65</f>
        <v>0.03</v>
      </c>
      <c r="H208" s="241">
        <f>RevPAR!E65</f>
        <v>4.2999999999999997E-2</v>
      </c>
      <c r="I208" s="241">
        <f>RevPAR!F65</f>
        <v>4.3999999999999997E-2</v>
      </c>
      <c r="J208" s="241">
        <f>RevPAR!G65</f>
        <v>5.2999999999999999E-2</v>
      </c>
      <c r="K208" s="242">
        <f>RevPAR!H65</f>
        <v>4.2000000000000003E-2</v>
      </c>
      <c r="L208" s="241">
        <f>RevPAR!I65</f>
        <v>5.2999999999999936E-2</v>
      </c>
      <c r="M208" s="241">
        <f>RevPAR!J65</f>
        <v>5.0999999999999934E-2</v>
      </c>
      <c r="N208" s="241">
        <f>RevPAR!K65</f>
        <v>3.0000000000000027E-2</v>
      </c>
      <c r="O208" s="241">
        <f>RevPAR!L65</f>
        <v>4.6000000000000041E-2</v>
      </c>
      <c r="P208" s="242">
        <f>RevPAR!M65</f>
        <v>4.7108949980364079E-2</v>
      </c>
      <c r="Q208" s="241">
        <f>RevPAR!N65</f>
        <v>5.0999999999999934E-2</v>
      </c>
      <c r="R208" s="241">
        <f>RevPAR!O65</f>
        <v>4.8000000000000043E-2</v>
      </c>
      <c r="S208" s="241">
        <f>RevPAR!P65</f>
        <v>7.2999999999999954E-2</v>
      </c>
      <c r="T208" s="241">
        <f>RevPAR!Q65</f>
        <v>5.8999999999999941E-2</v>
      </c>
      <c r="U208" s="242">
        <f>RevPAR!R65</f>
        <v>5.8000000000000052E-2</v>
      </c>
      <c r="V208" s="241">
        <f>RevPAR!S65</f>
        <v>4.2999999999999927E-2</v>
      </c>
      <c r="W208" s="241">
        <f>RevPAR!T65</f>
        <v>5.2000000000000046E-2</v>
      </c>
      <c r="X208" s="241">
        <f>RevPAR!U65</f>
        <v>6.0000000000000053E-2</v>
      </c>
      <c r="Y208" s="241">
        <f>RevPAR!V65</f>
        <v>3.6000000000000032E-2</v>
      </c>
      <c r="Z208" s="242">
        <f>RevPAR!W65</f>
        <v>4.7750000000000015E-2</v>
      </c>
      <c r="AA208" s="241">
        <f>RevPAR!X65</f>
        <v>3.0999999999999917E-2</v>
      </c>
      <c r="AB208" s="241">
        <f>RevPAR!Y65</f>
        <v>6.9999999999998952E-3</v>
      </c>
      <c r="AC208" s="241">
        <f>RevPAR!Z65</f>
        <v>0</v>
      </c>
      <c r="AD208" s="241">
        <f>RevPAR!AA65</f>
        <v>-3.0000000000000001E-3</v>
      </c>
      <c r="AE208" s="242">
        <f>RevPAR!AB65</f>
        <v>1.1509127086819504E-3</v>
      </c>
      <c r="AF208" s="241">
        <f>RevPAR!AC65</f>
        <v>0.03</v>
      </c>
      <c r="AG208" s="241">
        <f>RevPAR!AD65</f>
        <v>5.1999999999999998E-2</v>
      </c>
      <c r="AH208" s="241">
        <f>RevPAR!AE65</f>
        <v>6.2E-2</v>
      </c>
      <c r="AI208" s="241">
        <f>RevPAR!AF65</f>
        <v>0.04</v>
      </c>
      <c r="AJ208" s="242">
        <f>RevPAR!AG65</f>
        <v>5.3999999999999999E-2</v>
      </c>
      <c r="AK208" s="241">
        <f>RevPAR!AH65</f>
        <v>5.3887796623161677E-2</v>
      </c>
      <c r="AL208" s="241">
        <f>RevPAR!AI65</f>
        <v>4.7722881853532906E-2</v>
      </c>
      <c r="AM208" s="241">
        <f>RevPAR!AJ65</f>
        <v>5.0133539171170582E-2</v>
      </c>
      <c r="AN208" s="241">
        <f>RevPAR!AK65</f>
        <v>5.0967160754962659E-2</v>
      </c>
      <c r="AO208" s="242">
        <f>RevPAR!AL65</f>
        <v>5.0727154939713692E-2</v>
      </c>
      <c r="AP208" s="242">
        <f>RevPAR!AM65</f>
        <v>2.8305916432210143E-2</v>
      </c>
      <c r="AQ208" s="242">
        <f>RevPAR!AN65</f>
        <v>-3.117919866591512E-2</v>
      </c>
      <c r="AR208" s="331"/>
      <c r="AS208" s="543" t="str">
        <f>+A208</f>
        <v>RevPar</v>
      </c>
      <c r="AT208" s="429">
        <f t="shared" ref="AT208:AU211" si="363">+E208</f>
        <v>0</v>
      </c>
      <c r="AU208" s="429">
        <f t="shared" si="363"/>
        <v>4.2999999999999997E-2</v>
      </c>
      <c r="AV208" s="429">
        <f>+K208</f>
        <v>4.2000000000000003E-2</v>
      </c>
      <c r="AW208" s="429">
        <f>+P208</f>
        <v>4.7108949980364079E-2</v>
      </c>
      <c r="AX208" s="429">
        <f>+U208</f>
        <v>5.8000000000000052E-2</v>
      </c>
      <c r="AY208" s="429">
        <f>+Z208</f>
        <v>4.7750000000000015E-2</v>
      </c>
      <c r="AZ208" s="429">
        <f>+AE208</f>
        <v>1.1509127086819504E-3</v>
      </c>
      <c r="BA208" s="429">
        <f>+AJ208</f>
        <v>5.3999999999999999E-2</v>
      </c>
      <c r="BB208" s="429">
        <f t="shared" ref="BB208:BD211" si="364">+AO208</f>
        <v>5.0727154939713692E-2</v>
      </c>
      <c r="BC208" s="429">
        <f t="shared" si="364"/>
        <v>2.8305916432210143E-2</v>
      </c>
      <c r="BD208" s="1010">
        <f t="shared" si="364"/>
        <v>-3.117919866591512E-2</v>
      </c>
      <c r="BE208" s="14"/>
      <c r="BF208" s="900"/>
      <c r="BG208"/>
      <c r="BH208"/>
      <c r="BI208"/>
      <c r="BJ208"/>
      <c r="BK208"/>
      <c r="BL208"/>
      <c r="BM208" s="902"/>
      <c r="BN208" s="902"/>
      <c r="BO208" s="902"/>
      <c r="BP208" s="902"/>
      <c r="BQ208" s="902"/>
      <c r="BR208" s="902"/>
      <c r="BS208" s="902"/>
    </row>
    <row r="209" spans="1:71" s="729" customFormat="1" ht="12.75" customHeight="1">
      <c r="A209" s="543" t="s">
        <v>45</v>
      </c>
      <c r="B209" s="353"/>
      <c r="C209" s="353"/>
      <c r="D209" s="353"/>
      <c r="E209" s="242"/>
      <c r="F209" s="242"/>
      <c r="G209" s="241"/>
      <c r="H209" s="241"/>
      <c r="I209" s="241"/>
      <c r="J209" s="241"/>
      <c r="K209" s="242"/>
      <c r="L209" s="241">
        <f>RevPAR!I66</f>
        <v>2.8999999999999915E-2</v>
      </c>
      <c r="M209" s="241">
        <f>RevPAR!J66</f>
        <v>3.8999999999999924E-2</v>
      </c>
      <c r="N209" s="241">
        <f>RevPAR!K66</f>
        <v>2.8999999999999915E-2</v>
      </c>
      <c r="O209" s="241">
        <f>RevPAR!L66</f>
        <v>3.400000000000003E-2</v>
      </c>
      <c r="P209" s="242">
        <f>RevPAR!M66</f>
        <v>4.4558738697537681E-2</v>
      </c>
      <c r="Q209" s="241">
        <f>RevPAR!N66</f>
        <v>3.6000000000000032E-2</v>
      </c>
      <c r="R209" s="241">
        <f>RevPAR!O66</f>
        <v>3.0000000000000027E-2</v>
      </c>
      <c r="S209" s="241">
        <f>RevPAR!P66</f>
        <v>3.2999999999999918E-2</v>
      </c>
      <c r="T209" s="241">
        <f>RevPAR!Q66</f>
        <v>1.8999999999999906E-2</v>
      </c>
      <c r="U209" s="242">
        <f>RevPAR!R66</f>
        <v>2.8999999999999915E-2</v>
      </c>
      <c r="V209" s="241">
        <f>RevPAR!S66</f>
        <v>1.6999999999999904E-2</v>
      </c>
      <c r="W209" s="241">
        <f>RevPAR!T66</f>
        <v>2.2999999999999909E-2</v>
      </c>
      <c r="X209" s="241">
        <f>RevPAR!U66</f>
        <v>4.2999999999999927E-2</v>
      </c>
      <c r="Y209" s="241">
        <f>RevPAR!V66</f>
        <v>3.400000000000003E-2</v>
      </c>
      <c r="Z209" s="242">
        <f>RevPAR!W66</f>
        <v>2.9249999999999943E-2</v>
      </c>
      <c r="AA209" s="241">
        <f>RevPAR!X66</f>
        <v>4.2999999999999927E-2</v>
      </c>
      <c r="AB209" s="241">
        <f>RevPAR!Y66</f>
        <v>4.0000000000000036E-3</v>
      </c>
      <c r="AC209" s="241">
        <f>RevPAR!Z66</f>
        <v>4.9999999999998934E-3</v>
      </c>
      <c r="AD209" s="241">
        <f>RevPAR!AA66</f>
        <v>-5.0000000000000001E-3</v>
      </c>
      <c r="AE209" s="242">
        <f>RevPAR!AB66</f>
        <v>1.1749999999999957E-2</v>
      </c>
      <c r="AF209" s="241">
        <f>RevPAR!AC66</f>
        <v>6.0000000000000001E-3</v>
      </c>
      <c r="AG209" s="241">
        <f>RevPAR!AD66</f>
        <v>0.03</v>
      </c>
      <c r="AH209" s="241">
        <f>RevPAR!AE66</f>
        <v>0.05</v>
      </c>
      <c r="AI209" s="241">
        <f>RevPAR!AF66</f>
        <v>3.5000000000000003E-2</v>
      </c>
      <c r="AJ209" s="242">
        <f>RevPAR!AG66</f>
        <v>3.1E-2</v>
      </c>
      <c r="AK209" s="241">
        <f>RevPAR!AH66</f>
        <v>1.3022814354696877E-2</v>
      </c>
      <c r="AL209" s="241">
        <f>RevPAR!AI66</f>
        <v>1.303104676867739E-2</v>
      </c>
      <c r="AM209" s="241">
        <f>RevPAR!AJ66</f>
        <v>1.2999999999999678E-2</v>
      </c>
      <c r="AN209" s="241">
        <f>RevPAR!AK66</f>
        <v>1.3055885788619381E-2</v>
      </c>
      <c r="AO209" s="242">
        <f>RevPAR!AL66</f>
        <v>1.3027436727998332E-2</v>
      </c>
      <c r="AP209" s="242">
        <f>RevPAR!AM66</f>
        <v>9.9999999999997868E-3</v>
      </c>
      <c r="AQ209" s="242">
        <f>RevPAR!AN66</f>
        <v>-1.9135295758643256E-4</v>
      </c>
      <c r="AR209" s="331"/>
      <c r="AS209" s="543" t="str">
        <f>+A209</f>
        <v>ADR</v>
      </c>
      <c r="AT209" s="429">
        <f t="shared" si="363"/>
        <v>0</v>
      </c>
      <c r="AU209" s="429">
        <f t="shared" si="363"/>
        <v>0</v>
      </c>
      <c r="AV209" s="429">
        <f>+K209</f>
        <v>0</v>
      </c>
      <c r="AW209" s="429">
        <f>+P209</f>
        <v>4.4558738697537681E-2</v>
      </c>
      <c r="AX209" s="429">
        <f>+U209</f>
        <v>2.8999999999999915E-2</v>
      </c>
      <c r="AY209" s="429">
        <f>+Z209</f>
        <v>2.9249999999999943E-2</v>
      </c>
      <c r="AZ209" s="429">
        <f>+AE209</f>
        <v>1.1749999999999957E-2</v>
      </c>
      <c r="BA209" s="429">
        <f>+AJ209</f>
        <v>3.1E-2</v>
      </c>
      <c r="BB209" s="429">
        <f t="shared" si="364"/>
        <v>1.3027436727998332E-2</v>
      </c>
      <c r="BC209" s="429">
        <f t="shared" si="364"/>
        <v>9.9999999999997868E-3</v>
      </c>
      <c r="BD209" s="1010">
        <f t="shared" si="364"/>
        <v>-1.9135295758643256E-4</v>
      </c>
      <c r="BE209" s="14"/>
      <c r="BF209" s="900"/>
      <c r="BG209"/>
      <c r="BH209"/>
      <c r="BI209"/>
      <c r="BJ209"/>
      <c r="BK209"/>
      <c r="BL209"/>
      <c r="BM209" s="902"/>
      <c r="BN209" s="902"/>
      <c r="BO209" s="902"/>
      <c r="BP209" s="902"/>
      <c r="BQ209" s="902"/>
      <c r="BR209" s="902"/>
      <c r="BS209" s="902"/>
    </row>
    <row r="210" spans="1:71" s="729" customFormat="1" ht="12.75" customHeight="1">
      <c r="A210" s="543" t="s">
        <v>2077</v>
      </c>
      <c r="B210" s="353"/>
      <c r="C210" s="353"/>
      <c r="D210" s="353"/>
      <c r="E210" s="242"/>
      <c r="F210" s="242"/>
      <c r="G210" s="241"/>
      <c r="H210" s="241"/>
      <c r="I210" s="241"/>
      <c r="J210" s="241"/>
      <c r="K210" s="242"/>
      <c r="L210" s="241">
        <f>RevPAR!I67</f>
        <v>1.7000000000000015E-2</v>
      </c>
      <c r="M210" s="241">
        <f>RevPAR!J67</f>
        <v>1.0000000000000009E-2</v>
      </c>
      <c r="N210" s="241">
        <f>RevPAR!K67</f>
        <v>1.0000000000000009E-3</v>
      </c>
      <c r="O210" s="241">
        <f>RevPAR!L67</f>
        <v>8.0000000000000071E-3</v>
      </c>
      <c r="P210" s="242">
        <f>RevPAR!M67</f>
        <v>1.8415353180045724E-3</v>
      </c>
      <c r="Q210" s="241">
        <f>RevPAR!N67</f>
        <v>1.0000000000000009E-2</v>
      </c>
      <c r="R210" s="241">
        <f>RevPAR!O67</f>
        <v>1.4000000000000012E-2</v>
      </c>
      <c r="S210" s="241">
        <f>RevPAR!P67</f>
        <v>3.0000000000000027E-2</v>
      </c>
      <c r="T210" s="241">
        <f>RevPAR!Q67</f>
        <v>2.9000000000000026E-2</v>
      </c>
      <c r="U210" s="242">
        <f>RevPAR!R67</f>
        <v>2.1000000000000019E-2</v>
      </c>
      <c r="V210" s="241">
        <f>RevPAR!S67</f>
        <v>1.9000000000000017E-2</v>
      </c>
      <c r="W210" s="241">
        <f>RevPAR!T67</f>
        <v>2.300000000000002E-2</v>
      </c>
      <c r="X210" s="241">
        <f>RevPAR!U67</f>
        <v>1.3000000000000012E-2</v>
      </c>
      <c r="Y210" s="241">
        <f>RevPAR!V67</f>
        <v>1.0000000000000009E-3</v>
      </c>
      <c r="Z210" s="242">
        <f>RevPAR!W67</f>
        <v>1.4000000000000012E-2</v>
      </c>
      <c r="AA210" s="241">
        <f>RevPAR!X67</f>
        <v>-7.0000000000000062E-3</v>
      </c>
      <c r="AB210" s="241">
        <f>RevPAR!Y67</f>
        <v>-1.3000000000000012E-2</v>
      </c>
      <c r="AC210" s="241">
        <f>RevPAR!Z67</f>
        <v>-4.0000000000000036E-3</v>
      </c>
      <c r="AD210" s="241">
        <f>RevPAR!AA67</f>
        <v>1E-3</v>
      </c>
      <c r="AE210" s="242">
        <f>RevPAR!AB67</f>
        <v>-5.7500000000000051E-3</v>
      </c>
      <c r="AF210" s="241">
        <f>RevPAR!AC67</f>
        <v>1.6E-2</v>
      </c>
      <c r="AG210" s="241">
        <f>RevPAR!AD67</f>
        <v>1.7000000000000001E-2</v>
      </c>
      <c r="AH210" s="241">
        <f>RevPAR!AE67</f>
        <v>8.9999999999999993E-3</v>
      </c>
      <c r="AI210" s="241">
        <f>RevPAR!AF67</f>
        <v>3.0000000000000001E-3</v>
      </c>
      <c r="AJ210" s="242">
        <f>RevPAR!AG67</f>
        <v>1.6E-2</v>
      </c>
      <c r="AK210" s="241">
        <f>RevPAR!AH67</f>
        <v>3.0024624595072491E-2</v>
      </c>
      <c r="AL210" s="241">
        <f>RevPAR!AI67</f>
        <v>2.8268992156166295E-2</v>
      </c>
      <c r="AM210" s="241">
        <f>RevPAR!AJ67</f>
        <v>3.1560095468883942E-2</v>
      </c>
      <c r="AN210" s="241">
        <f>RevPAR!AK67</f>
        <v>2.9784709586968772E-2</v>
      </c>
      <c r="AO210" s="242">
        <f>RevPAR!AL67</f>
        <v>2.9909605451772875E-2</v>
      </c>
      <c r="AP210" s="242">
        <f>RevPAR!AM67</f>
        <v>1.5167835573838051E-2</v>
      </c>
      <c r="AQ210" s="242">
        <f>RevPAR!AN67</f>
        <v>-2.640760209930415E-2</v>
      </c>
      <c r="AR210" s="331"/>
      <c r="AS210" s="543" t="str">
        <f>+A210</f>
        <v>Occupancy</v>
      </c>
      <c r="AT210" s="429">
        <f t="shared" si="363"/>
        <v>0</v>
      </c>
      <c r="AU210" s="429">
        <f t="shared" si="363"/>
        <v>0</v>
      </c>
      <c r="AV210" s="429">
        <f>+K210</f>
        <v>0</v>
      </c>
      <c r="AW210" s="429">
        <f>+P210</f>
        <v>1.8415353180045724E-3</v>
      </c>
      <c r="AX210" s="429">
        <f>+U210</f>
        <v>2.1000000000000019E-2</v>
      </c>
      <c r="AY210" s="429">
        <f>+Z210</f>
        <v>1.4000000000000012E-2</v>
      </c>
      <c r="AZ210" s="429">
        <f>+AE210</f>
        <v>-5.7500000000000051E-3</v>
      </c>
      <c r="BA210" s="429">
        <f>+AJ210</f>
        <v>1.6E-2</v>
      </c>
      <c r="BB210" s="429">
        <f t="shared" si="364"/>
        <v>2.9909605451772875E-2</v>
      </c>
      <c r="BC210" s="429">
        <f t="shared" si="364"/>
        <v>1.5167835573838051E-2</v>
      </c>
      <c r="BD210" s="1010">
        <f t="shared" si="364"/>
        <v>-2.640760209930415E-2</v>
      </c>
      <c r="BE210" s="14"/>
      <c r="BF210" s="900"/>
      <c r="BG210"/>
      <c r="BH210"/>
      <c r="BI210"/>
      <c r="BJ210"/>
      <c r="BK210"/>
      <c r="BL210"/>
      <c r="BM210" s="902"/>
      <c r="BN210" s="902"/>
      <c r="BO210" s="902"/>
      <c r="BP210" s="902"/>
      <c r="BQ210" s="902"/>
      <c r="BR210" s="902"/>
      <c r="BS210" s="902"/>
    </row>
    <row r="211" spans="1:71" s="729" customFormat="1" ht="12.75" customHeight="1">
      <c r="A211" s="543" t="s">
        <v>1879</v>
      </c>
      <c r="B211" s="353"/>
      <c r="C211" s="353"/>
      <c r="D211" s="353"/>
      <c r="E211" s="242"/>
      <c r="F211" s="242"/>
      <c r="G211" s="241"/>
      <c r="H211" s="241"/>
      <c r="I211" s="241"/>
      <c r="J211" s="241"/>
      <c r="K211" s="242"/>
      <c r="L211" s="241"/>
      <c r="M211" s="241"/>
      <c r="N211" s="241"/>
      <c r="O211" s="1116">
        <v>5.8999999999999997E-2</v>
      </c>
      <c r="P211" s="1117">
        <v>4.9000000000000002E-2</v>
      </c>
      <c r="Q211" s="1118">
        <v>3.5000000000000003E-2</v>
      </c>
      <c r="R211" s="1118">
        <v>4.8000000000000001E-2</v>
      </c>
      <c r="S211" s="1118">
        <v>7.5999999999999998E-2</v>
      </c>
      <c r="T211" s="1118">
        <v>5.5E-2</v>
      </c>
      <c r="U211" s="1115" t="s">
        <v>1880</v>
      </c>
      <c r="V211" s="2468"/>
      <c r="W211" s="1118"/>
      <c r="X211" s="1118"/>
      <c r="Y211" s="1118"/>
      <c r="Z211" s="2414" t="s">
        <v>1833</v>
      </c>
      <c r="AA211" s="2520" t="s">
        <v>2428</v>
      </c>
      <c r="AB211" s="2521" t="s">
        <v>2429</v>
      </c>
      <c r="AC211" s="3568" t="s">
        <v>2428</v>
      </c>
      <c r="AD211" s="2522" t="s">
        <v>2815</v>
      </c>
      <c r="AE211" s="2414" t="s">
        <v>2550</v>
      </c>
      <c r="AF211" s="2521"/>
      <c r="AG211" s="2521"/>
      <c r="AH211" s="2521"/>
      <c r="AI211" s="2522"/>
      <c r="AJ211" s="2414"/>
      <c r="AK211" s="2521"/>
      <c r="AL211" s="2521"/>
      <c r="AM211" s="2521"/>
      <c r="AN211" s="2521"/>
      <c r="AO211" s="1115"/>
      <c r="AP211" s="1115"/>
      <c r="AQ211" s="1143"/>
      <c r="AR211" s="331"/>
      <c r="AS211" s="543" t="str">
        <f>+A211</f>
        <v>Owned RevPAR guidance</v>
      </c>
      <c r="AT211" s="327">
        <f t="shared" si="363"/>
        <v>0</v>
      </c>
      <c r="AU211" s="327">
        <f t="shared" si="363"/>
        <v>0</v>
      </c>
      <c r="AV211" s="327">
        <f>+K211</f>
        <v>0</v>
      </c>
      <c r="AW211" s="327">
        <f>+P211</f>
        <v>4.9000000000000002E-2</v>
      </c>
      <c r="AX211" s="327" t="str">
        <f>+U211</f>
        <v>4.5%-6.5%</v>
      </c>
      <c r="AY211" s="327" t="str">
        <f>+Z211</f>
        <v>4-6%</v>
      </c>
      <c r="AZ211" s="327" t="str">
        <f>+AE211</f>
        <v>1-3%</v>
      </c>
      <c r="BA211" s="327">
        <f>+AJ211</f>
        <v>0</v>
      </c>
      <c r="BB211" s="327">
        <f t="shared" si="364"/>
        <v>0</v>
      </c>
      <c r="BC211" s="327">
        <f t="shared" si="364"/>
        <v>0</v>
      </c>
      <c r="BD211" s="1007">
        <f t="shared" si="364"/>
        <v>0</v>
      </c>
      <c r="BE211" s="14"/>
      <c r="BF211" s="900"/>
      <c r="BG211"/>
      <c r="BH211"/>
      <c r="BI211"/>
      <c r="BJ211"/>
      <c r="BK211"/>
      <c r="BL211"/>
      <c r="BM211" s="902"/>
      <c r="BN211" s="902"/>
      <c r="BO211" s="902"/>
      <c r="BP211" s="902"/>
      <c r="BQ211" s="902"/>
      <c r="BR211" s="902"/>
      <c r="BS211" s="902"/>
    </row>
    <row r="212" spans="1:71" s="729" customFormat="1" ht="12.75" hidden="1" customHeight="1" outlineLevel="1">
      <c r="A212" s="741"/>
      <c r="B212" s="353"/>
      <c r="C212" s="353"/>
      <c r="D212" s="353"/>
      <c r="E212" s="353"/>
      <c r="F212" s="353"/>
      <c r="G212" s="331"/>
      <c r="H212" s="331"/>
      <c r="I212" s="331"/>
      <c r="J212" s="331"/>
      <c r="K212" s="353"/>
      <c r="L212" s="331"/>
      <c r="M212" s="331"/>
      <c r="N212" s="331"/>
      <c r="O212" s="331"/>
      <c r="P212" s="353"/>
      <c r="Q212" s="331"/>
      <c r="R212" s="331"/>
      <c r="S212" s="331"/>
      <c r="T212" s="331"/>
      <c r="U212" s="353"/>
      <c r="V212" s="331"/>
      <c r="W212" s="331"/>
      <c r="X212" s="331"/>
      <c r="Y212" s="331"/>
      <c r="Z212" s="353"/>
      <c r="AA212" s="1121"/>
      <c r="AB212" s="331"/>
      <c r="AC212" s="331"/>
      <c r="AD212" s="2516"/>
      <c r="AE212" s="353"/>
      <c r="AF212" s="331"/>
      <c r="AG212" s="331"/>
      <c r="AH212" s="331"/>
      <c r="AI212" s="2516"/>
      <c r="AJ212" s="353"/>
      <c r="AK212" s="331"/>
      <c r="AL212" s="331"/>
      <c r="AM212" s="331"/>
      <c r="AN212" s="2516"/>
      <c r="AO212" s="353"/>
      <c r="AP212" s="353"/>
      <c r="AQ212" s="353"/>
      <c r="AR212" s="331"/>
      <c r="AS212" s="741"/>
      <c r="AT212" s="327"/>
      <c r="AU212" s="327"/>
      <c r="AV212" s="327"/>
      <c r="AW212" s="327"/>
      <c r="AX212" s="327"/>
      <c r="AY212" s="327"/>
      <c r="AZ212" s="327"/>
      <c r="BA212" s="327"/>
      <c r="BB212" s="327"/>
      <c r="BC212" s="327"/>
      <c r="BD212" s="1007"/>
      <c r="BE212" s="14"/>
      <c r="BF212" s="900"/>
      <c r="BG212"/>
      <c r="BH212"/>
      <c r="BI212"/>
      <c r="BJ212"/>
      <c r="BK212"/>
      <c r="BL212"/>
      <c r="BM212" s="902"/>
      <c r="BN212" s="902"/>
      <c r="BO212" s="902"/>
      <c r="BP212" s="902"/>
      <c r="BQ212" s="902"/>
      <c r="BR212" s="902"/>
      <c r="BS212" s="902"/>
    </row>
    <row r="213" spans="1:71" s="1376" customFormat="1" ht="12.75" hidden="1" customHeight="1" outlineLevel="1">
      <c r="A213" s="741" t="s">
        <v>2086</v>
      </c>
      <c r="B213" s="353"/>
      <c r="C213" s="353"/>
      <c r="D213" s="353"/>
      <c r="E213" s="353"/>
      <c r="F213" s="353"/>
      <c r="G213" s="331"/>
      <c r="H213" s="331"/>
      <c r="I213" s="331"/>
      <c r="J213" s="331"/>
      <c r="K213" s="353"/>
      <c r="L213" s="331"/>
      <c r="M213" s="331"/>
      <c r="N213" s="331"/>
      <c r="O213" s="331"/>
      <c r="P213" s="353"/>
      <c r="Q213" s="331"/>
      <c r="R213" s="331"/>
      <c r="S213" s="331"/>
      <c r="T213" s="331"/>
      <c r="U213" s="353"/>
      <c r="V213" s="331"/>
      <c r="W213" s="331"/>
      <c r="X213" s="331"/>
      <c r="Y213" s="331"/>
      <c r="Z213" s="353"/>
      <c r="AA213" s="1121"/>
      <c r="AB213" s="331"/>
      <c r="AC213" s="331"/>
      <c r="AD213" s="2516"/>
      <c r="AE213" s="353"/>
      <c r="AF213" s="331"/>
      <c r="AG213" s="331"/>
      <c r="AH213" s="331"/>
      <c r="AI213" s="2516"/>
      <c r="AJ213" s="353"/>
      <c r="AK213" s="331"/>
      <c r="AL213" s="331"/>
      <c r="AM213" s="331"/>
      <c r="AN213" s="2516"/>
      <c r="AO213" s="353"/>
      <c r="AP213" s="353"/>
      <c r="AQ213" s="353"/>
      <c r="AR213" s="331"/>
      <c r="AS213" s="741"/>
      <c r="AT213" s="327"/>
      <c r="AU213" s="327"/>
      <c r="AV213" s="327"/>
      <c r="AW213" s="327"/>
      <c r="AX213" s="327"/>
      <c r="AY213" s="327"/>
      <c r="AZ213" s="327"/>
      <c r="BA213" s="327"/>
      <c r="BB213" s="327"/>
      <c r="BC213" s="327"/>
      <c r="BD213" s="1007"/>
      <c r="BE213" s="14"/>
      <c r="BF213" s="902"/>
      <c r="BG213"/>
      <c r="BH213"/>
      <c r="BI213"/>
      <c r="BJ213"/>
      <c r="BK213"/>
      <c r="BL213"/>
      <c r="BM213" s="902"/>
      <c r="BN213" s="902"/>
      <c r="BO213" s="902"/>
      <c r="BP213" s="902"/>
      <c r="BQ213" s="902"/>
      <c r="BR213" s="902"/>
      <c r="BS213" s="902"/>
    </row>
    <row r="214" spans="1:71" s="1376" customFormat="1" ht="12.75" hidden="1" customHeight="1" outlineLevel="1">
      <c r="A214" s="489" t="s">
        <v>709</v>
      </c>
      <c r="B214" s="353"/>
      <c r="C214" s="353"/>
      <c r="D214" s="353"/>
      <c r="E214" s="917" t="s">
        <v>1263</v>
      </c>
      <c r="F214" s="917" t="s">
        <v>1263</v>
      </c>
      <c r="G214" s="192"/>
      <c r="H214" s="192"/>
      <c r="I214" s="192"/>
      <c r="J214" s="192"/>
      <c r="K214" s="917" t="s">
        <v>1263</v>
      </c>
      <c r="L214" s="192"/>
      <c r="M214" s="192"/>
      <c r="N214" s="192"/>
      <c r="O214" s="192"/>
      <c r="P214" s="917" t="s">
        <v>1263</v>
      </c>
      <c r="Q214" s="331"/>
      <c r="R214" s="331"/>
      <c r="S214" s="331"/>
      <c r="T214" s="331"/>
      <c r="U214" s="353"/>
      <c r="V214" s="331"/>
      <c r="W214" s="331"/>
      <c r="X214" s="331"/>
      <c r="Y214" s="331"/>
      <c r="Z214" s="353"/>
      <c r="AA214" s="1121"/>
      <c r="AB214" s="331"/>
      <c r="AC214" s="331"/>
      <c r="AD214" s="2516"/>
      <c r="AE214" s="353"/>
      <c r="AF214" s="331"/>
      <c r="AG214" s="331"/>
      <c r="AH214" s="331"/>
      <c r="AI214" s="2516"/>
      <c r="AJ214" s="353"/>
      <c r="AK214" s="331"/>
      <c r="AL214" s="331"/>
      <c r="AM214" s="331"/>
      <c r="AN214" s="2516"/>
      <c r="AO214" s="353"/>
      <c r="AP214" s="353"/>
      <c r="AQ214" s="353"/>
      <c r="AR214" s="331"/>
      <c r="AS214" s="489" t="str">
        <f t="shared" ref="AS214:AS221" si="365">+A214</f>
        <v>Waldorf Astoria NYC</v>
      </c>
      <c r="AT214" s="327" t="str">
        <f t="shared" ref="AT214:AU221" si="366">+E214</f>
        <v>ND</v>
      </c>
      <c r="AU214" s="327" t="str">
        <f t="shared" si="366"/>
        <v>ND</v>
      </c>
      <c r="AV214" s="327" t="str">
        <f t="shared" ref="AV214:AV221" si="367">+K214</f>
        <v>ND</v>
      </c>
      <c r="AW214" s="327" t="str">
        <f t="shared" ref="AW214:AW221" si="368">+P214</f>
        <v>ND</v>
      </c>
      <c r="AX214" s="327">
        <f t="shared" ref="AX214:AX221" si="369">+U214</f>
        <v>0</v>
      </c>
      <c r="AY214" s="327">
        <f t="shared" ref="AY214:AY221" si="370">+Z214</f>
        <v>0</v>
      </c>
      <c r="AZ214" s="327">
        <f t="shared" ref="AZ214:AZ224" si="371">+AE214</f>
        <v>0</v>
      </c>
      <c r="BA214" s="327">
        <f t="shared" ref="BA214:BA224" si="372">+AJ214</f>
        <v>0</v>
      </c>
      <c r="BB214" s="327">
        <f t="shared" ref="BB214:BB224" si="373">+AO214</f>
        <v>0</v>
      </c>
      <c r="BC214" s="327">
        <f t="shared" ref="BC214:BC224" si="374">+AP214</f>
        <v>0</v>
      </c>
      <c r="BD214" s="1007">
        <f t="shared" ref="BD214:BD224" si="375">+AQ214</f>
        <v>0</v>
      </c>
      <c r="BE214" s="14"/>
      <c r="BF214" s="902"/>
      <c r="BG214"/>
      <c r="BH214"/>
      <c r="BI214"/>
      <c r="BJ214"/>
      <c r="BK214"/>
      <c r="BL214"/>
      <c r="BM214" s="902"/>
      <c r="BN214" s="902"/>
      <c r="BO214" s="902"/>
      <c r="BP214" s="902"/>
      <c r="BQ214" s="902"/>
      <c r="BR214" s="902"/>
      <c r="BS214" s="902"/>
    </row>
    <row r="215" spans="1:71" s="1376" customFormat="1" ht="12.75" hidden="1" customHeight="1" outlineLevel="1">
      <c r="A215" s="489" t="s">
        <v>710</v>
      </c>
      <c r="B215" s="353"/>
      <c r="C215" s="353"/>
      <c r="D215" s="353"/>
      <c r="E215" s="356">
        <v>160.57</v>
      </c>
      <c r="F215" s="356">
        <v>167.64</v>
      </c>
      <c r="G215" s="192"/>
      <c r="H215" s="192"/>
      <c r="I215" s="192"/>
      <c r="J215" s="192"/>
      <c r="K215" s="356">
        <v>196.27</v>
      </c>
      <c r="L215" s="192"/>
      <c r="M215" s="192"/>
      <c r="N215" s="192"/>
      <c r="O215" s="192"/>
      <c r="P215" s="356">
        <v>217.84</v>
      </c>
      <c r="Q215" s="331"/>
      <c r="R215" s="331"/>
      <c r="S215" s="331"/>
      <c r="T215" s="331"/>
      <c r="U215" s="353"/>
      <c r="V215" s="331"/>
      <c r="W215" s="331"/>
      <c r="X215" s="331"/>
      <c r="Y215" s="331"/>
      <c r="Z215" s="353"/>
      <c r="AA215" s="1121"/>
      <c r="AB215" s="331"/>
      <c r="AC215" s="331"/>
      <c r="AD215" s="2516"/>
      <c r="AE215" s="353"/>
      <c r="AF215" s="331"/>
      <c r="AG215" s="331"/>
      <c r="AH215" s="331"/>
      <c r="AI215" s="2516"/>
      <c r="AJ215" s="353"/>
      <c r="AK215" s="331"/>
      <c r="AL215" s="331"/>
      <c r="AM215" s="331"/>
      <c r="AN215" s="2516"/>
      <c r="AO215" s="353"/>
      <c r="AP215" s="353"/>
      <c r="AQ215" s="353"/>
      <c r="AR215" s="331"/>
      <c r="AS215" s="489" t="str">
        <f t="shared" si="365"/>
        <v>Hilton Hawaiian Village</v>
      </c>
      <c r="AT215" s="327">
        <f t="shared" si="366"/>
        <v>160.57</v>
      </c>
      <c r="AU215" s="327">
        <f t="shared" si="366"/>
        <v>167.64</v>
      </c>
      <c r="AV215" s="327">
        <f t="shared" si="367"/>
        <v>196.27</v>
      </c>
      <c r="AW215" s="327">
        <f t="shared" si="368"/>
        <v>217.84</v>
      </c>
      <c r="AX215" s="327">
        <f t="shared" si="369"/>
        <v>0</v>
      </c>
      <c r="AY215" s="327">
        <f t="shared" si="370"/>
        <v>0</v>
      </c>
      <c r="AZ215" s="327">
        <f t="shared" si="371"/>
        <v>0</v>
      </c>
      <c r="BA215" s="327">
        <f t="shared" si="372"/>
        <v>0</v>
      </c>
      <c r="BB215" s="327">
        <f t="shared" si="373"/>
        <v>0</v>
      </c>
      <c r="BC215" s="327">
        <f t="shared" si="374"/>
        <v>0</v>
      </c>
      <c r="BD215" s="1007">
        <f t="shared" si="375"/>
        <v>0</v>
      </c>
      <c r="BE215" s="14"/>
      <c r="BF215" s="902"/>
      <c r="BG215"/>
      <c r="BH215"/>
      <c r="BI215"/>
      <c r="BJ215"/>
      <c r="BK215"/>
      <c r="BL215"/>
      <c r="BM215" s="902"/>
      <c r="BN215" s="902"/>
      <c r="BO215" s="902"/>
      <c r="BP215" s="902"/>
      <c r="BQ215" s="902"/>
      <c r="BR215" s="902"/>
      <c r="BS215" s="902"/>
    </row>
    <row r="216" spans="1:71" s="1376" customFormat="1" ht="12.75" hidden="1" customHeight="1" outlineLevel="1">
      <c r="A216" s="489" t="s">
        <v>711</v>
      </c>
      <c r="B216" s="353"/>
      <c r="C216" s="353"/>
      <c r="D216" s="353"/>
      <c r="E216" s="356">
        <v>247.06</v>
      </c>
      <c r="F216" s="356">
        <v>266.2</v>
      </c>
      <c r="G216" s="192"/>
      <c r="H216" s="192"/>
      <c r="I216" s="192"/>
      <c r="J216" s="192"/>
      <c r="K216" s="356">
        <v>277.79000000000002</v>
      </c>
      <c r="L216" s="192"/>
      <c r="M216" s="192"/>
      <c r="N216" s="192"/>
      <c r="O216" s="192"/>
      <c r="P216" s="356">
        <v>292.2</v>
      </c>
      <c r="Q216" s="331"/>
      <c r="R216" s="331"/>
      <c r="S216" s="331"/>
      <c r="T216" s="331"/>
      <c r="U216" s="353"/>
      <c r="V216" s="331"/>
      <c r="W216" s="331"/>
      <c r="X216" s="331"/>
      <c r="Y216" s="331"/>
      <c r="Z216" s="353"/>
      <c r="AA216" s="1121"/>
      <c r="AB216" s="331"/>
      <c r="AC216" s="331"/>
      <c r="AD216" s="2516"/>
      <c r="AE216" s="353"/>
      <c r="AF216" s="331"/>
      <c r="AG216" s="331"/>
      <c r="AH216" s="331"/>
      <c r="AI216" s="2516"/>
      <c r="AJ216" s="353"/>
      <c r="AK216" s="331"/>
      <c r="AL216" s="331"/>
      <c r="AM216" s="331"/>
      <c r="AN216" s="2516"/>
      <c r="AO216" s="353"/>
      <c r="AP216" s="353"/>
      <c r="AQ216" s="353"/>
      <c r="AR216" s="331"/>
      <c r="AS216" s="489" t="str">
        <f t="shared" si="365"/>
        <v>Hilton New York</v>
      </c>
      <c r="AT216" s="327">
        <f t="shared" si="366"/>
        <v>247.06</v>
      </c>
      <c r="AU216" s="327">
        <f t="shared" si="366"/>
        <v>266.2</v>
      </c>
      <c r="AV216" s="327">
        <f t="shared" si="367"/>
        <v>277.79000000000002</v>
      </c>
      <c r="AW216" s="327">
        <f t="shared" si="368"/>
        <v>292.2</v>
      </c>
      <c r="AX216" s="327">
        <f t="shared" si="369"/>
        <v>0</v>
      </c>
      <c r="AY216" s="327">
        <f t="shared" si="370"/>
        <v>0</v>
      </c>
      <c r="AZ216" s="327">
        <f t="shared" si="371"/>
        <v>0</v>
      </c>
      <c r="BA216" s="327">
        <f t="shared" si="372"/>
        <v>0</v>
      </c>
      <c r="BB216" s="327">
        <f t="shared" si="373"/>
        <v>0</v>
      </c>
      <c r="BC216" s="327">
        <f t="shared" si="374"/>
        <v>0</v>
      </c>
      <c r="BD216" s="1007">
        <f t="shared" si="375"/>
        <v>0</v>
      </c>
      <c r="BE216" s="14"/>
      <c r="BF216" s="902"/>
      <c r="BG216"/>
      <c r="BH216"/>
      <c r="BI216"/>
      <c r="BJ216"/>
      <c r="BK216"/>
      <c r="BL216"/>
      <c r="BM216" s="902"/>
      <c r="BN216" s="902"/>
      <c r="BO216" s="902"/>
      <c r="BP216" s="902"/>
      <c r="BQ216" s="902"/>
      <c r="BR216" s="902"/>
      <c r="BS216" s="902"/>
    </row>
    <row r="217" spans="1:71" s="1376" customFormat="1" ht="12.75" hidden="1" customHeight="1" outlineLevel="1">
      <c r="A217" s="489" t="s">
        <v>712</v>
      </c>
      <c r="B217" s="353"/>
      <c r="C217" s="353"/>
      <c r="D217" s="353"/>
      <c r="E217" s="356">
        <v>122.96</v>
      </c>
      <c r="F217" s="356">
        <v>148.65</v>
      </c>
      <c r="G217" s="192"/>
      <c r="H217" s="192"/>
      <c r="I217" s="192"/>
      <c r="J217" s="192"/>
      <c r="K217" s="356">
        <v>141.97999999999999</v>
      </c>
      <c r="L217" s="192"/>
      <c r="M217" s="192"/>
      <c r="N217" s="192"/>
      <c r="O217" s="192"/>
      <c r="P217" s="356">
        <v>182.48</v>
      </c>
      <c r="Q217" s="331"/>
      <c r="R217" s="331"/>
      <c r="S217" s="331"/>
      <c r="T217" s="331"/>
      <c r="U217" s="353"/>
      <c r="V217" s="331"/>
      <c r="W217" s="331"/>
      <c r="X217" s="331"/>
      <c r="Y217" s="331"/>
      <c r="Z217" s="353"/>
      <c r="AA217" s="1121"/>
      <c r="AB217" s="331"/>
      <c r="AC217" s="331"/>
      <c r="AD217" s="2516"/>
      <c r="AE217" s="353"/>
      <c r="AF217" s="331"/>
      <c r="AG217" s="331"/>
      <c r="AH217" s="331"/>
      <c r="AI217" s="2516"/>
      <c r="AJ217" s="353"/>
      <c r="AK217" s="331"/>
      <c r="AL217" s="331"/>
      <c r="AM217" s="331"/>
      <c r="AN217" s="2516"/>
      <c r="AO217" s="353"/>
      <c r="AP217" s="353"/>
      <c r="AQ217" s="353"/>
      <c r="AR217" s="331"/>
      <c r="AS217" s="489" t="str">
        <f t="shared" si="365"/>
        <v>Hilton San Francisco</v>
      </c>
      <c r="AT217" s="327">
        <f t="shared" si="366"/>
        <v>122.96</v>
      </c>
      <c r="AU217" s="327">
        <f t="shared" si="366"/>
        <v>148.65</v>
      </c>
      <c r="AV217" s="327">
        <f t="shared" si="367"/>
        <v>141.97999999999999</v>
      </c>
      <c r="AW217" s="327">
        <f t="shared" si="368"/>
        <v>182.48</v>
      </c>
      <c r="AX217" s="327">
        <f t="shared" si="369"/>
        <v>0</v>
      </c>
      <c r="AY217" s="327">
        <f t="shared" si="370"/>
        <v>0</v>
      </c>
      <c r="AZ217" s="327">
        <f t="shared" si="371"/>
        <v>0</v>
      </c>
      <c r="BA217" s="327">
        <f t="shared" si="372"/>
        <v>0</v>
      </c>
      <c r="BB217" s="327">
        <f t="shared" si="373"/>
        <v>0</v>
      </c>
      <c r="BC217" s="327">
        <f t="shared" si="374"/>
        <v>0</v>
      </c>
      <c r="BD217" s="1007">
        <f t="shared" si="375"/>
        <v>0</v>
      </c>
      <c r="BE217" s="14"/>
      <c r="BF217" s="902"/>
      <c r="BG217"/>
      <c r="BH217"/>
      <c r="BI217"/>
      <c r="BJ217"/>
      <c r="BK217"/>
      <c r="BL217"/>
      <c r="BM217" s="902"/>
      <c r="BN217" s="902"/>
      <c r="BO217" s="902"/>
      <c r="BP217" s="902"/>
      <c r="BQ217" s="902"/>
      <c r="BR217" s="902"/>
      <c r="BS217" s="902"/>
    </row>
    <row r="218" spans="1:71" s="1376" customFormat="1" ht="12.75" hidden="1" customHeight="1" outlineLevel="1">
      <c r="A218" s="489" t="s">
        <v>713</v>
      </c>
      <c r="B218" s="353"/>
      <c r="C218" s="353"/>
      <c r="D218" s="353"/>
      <c r="E218" s="356">
        <v>113.87</v>
      </c>
      <c r="F218" s="356">
        <v>120.36</v>
      </c>
      <c r="G218" s="192"/>
      <c r="H218" s="192"/>
      <c r="I218" s="192"/>
      <c r="J218" s="192"/>
      <c r="K218" s="356">
        <v>132.24</v>
      </c>
      <c r="L218" s="192"/>
      <c r="M218" s="192"/>
      <c r="N218" s="192"/>
      <c r="O218" s="192"/>
      <c r="P218" s="356">
        <v>146.29</v>
      </c>
      <c r="Q218" s="331"/>
      <c r="R218" s="331"/>
      <c r="S218" s="331"/>
      <c r="T218" s="331"/>
      <c r="U218" s="353"/>
      <c r="V218" s="331"/>
      <c r="W218" s="331"/>
      <c r="X218" s="331"/>
      <c r="Y218" s="331"/>
      <c r="Z218" s="353"/>
      <c r="AA218" s="1121"/>
      <c r="AB218" s="331"/>
      <c r="AC218" s="331"/>
      <c r="AD218" s="2516"/>
      <c r="AE218" s="353"/>
      <c r="AF218" s="331"/>
      <c r="AG218" s="331"/>
      <c r="AH218" s="331"/>
      <c r="AI218" s="2516"/>
      <c r="AJ218" s="353"/>
      <c r="AK218" s="331"/>
      <c r="AL218" s="331"/>
      <c r="AM218" s="331"/>
      <c r="AN218" s="2516"/>
      <c r="AO218" s="353"/>
      <c r="AP218" s="353"/>
      <c r="AQ218" s="353"/>
      <c r="AR218" s="331"/>
      <c r="AS218" s="489" t="str">
        <f t="shared" si="365"/>
        <v>Hilton Waikoloa Village</v>
      </c>
      <c r="AT218" s="327">
        <f t="shared" si="366"/>
        <v>113.87</v>
      </c>
      <c r="AU218" s="327">
        <f t="shared" si="366"/>
        <v>120.36</v>
      </c>
      <c r="AV218" s="327">
        <f t="shared" si="367"/>
        <v>132.24</v>
      </c>
      <c r="AW218" s="327">
        <f t="shared" si="368"/>
        <v>146.29</v>
      </c>
      <c r="AX218" s="327">
        <f t="shared" si="369"/>
        <v>0</v>
      </c>
      <c r="AY218" s="327">
        <f t="shared" si="370"/>
        <v>0</v>
      </c>
      <c r="AZ218" s="327">
        <f t="shared" si="371"/>
        <v>0</v>
      </c>
      <c r="BA218" s="327">
        <f t="shared" si="372"/>
        <v>0</v>
      </c>
      <c r="BB218" s="327">
        <f t="shared" si="373"/>
        <v>0</v>
      </c>
      <c r="BC218" s="327">
        <f t="shared" si="374"/>
        <v>0</v>
      </c>
      <c r="BD218" s="1007">
        <f t="shared" si="375"/>
        <v>0</v>
      </c>
      <c r="BE218" s="14"/>
      <c r="BF218" s="902"/>
      <c r="BG218"/>
      <c r="BH218"/>
      <c r="BI218"/>
      <c r="BJ218"/>
      <c r="BK218"/>
      <c r="BL218"/>
      <c r="BM218" s="902"/>
      <c r="BN218" s="902"/>
      <c r="BO218" s="902"/>
      <c r="BP218" s="902"/>
      <c r="BQ218" s="902"/>
      <c r="BR218" s="902"/>
      <c r="BS218" s="902"/>
    </row>
    <row r="219" spans="1:71" s="1376" customFormat="1" ht="12.75" hidden="1" customHeight="1" outlineLevel="1">
      <c r="A219" s="489" t="s">
        <v>714</v>
      </c>
      <c r="B219" s="353"/>
      <c r="C219" s="353"/>
      <c r="D219" s="353"/>
      <c r="E219" s="356">
        <v>112.51</v>
      </c>
      <c r="F219" s="356">
        <v>117.92</v>
      </c>
      <c r="G219" s="192"/>
      <c r="H219" s="192"/>
      <c r="I219" s="192"/>
      <c r="J219" s="192"/>
      <c r="K219" s="356">
        <v>131.06</v>
      </c>
      <c r="L219" s="192"/>
      <c r="M219" s="192"/>
      <c r="N219" s="192"/>
      <c r="O219" s="192"/>
      <c r="P219" s="356">
        <v>137.08000000000001</v>
      </c>
      <c r="Q219" s="331"/>
      <c r="R219" s="331"/>
      <c r="S219" s="331"/>
      <c r="T219" s="331"/>
      <c r="U219" s="353"/>
      <c r="V219" s="331"/>
      <c r="W219" s="331"/>
      <c r="X219" s="331"/>
      <c r="Y219" s="331"/>
      <c r="Z219" s="353"/>
      <c r="AA219" s="1121"/>
      <c r="AB219" s="331"/>
      <c r="AC219" s="331"/>
      <c r="AD219" s="2516"/>
      <c r="AE219" s="353"/>
      <c r="AF219" s="331"/>
      <c r="AG219" s="331"/>
      <c r="AH219" s="331"/>
      <c r="AI219" s="2516"/>
      <c r="AJ219" s="353"/>
      <c r="AK219" s="331"/>
      <c r="AL219" s="331"/>
      <c r="AM219" s="331"/>
      <c r="AN219" s="2516"/>
      <c r="AO219" s="353"/>
      <c r="AP219" s="353"/>
      <c r="AQ219" s="353"/>
      <c r="AR219" s="331"/>
      <c r="AS219" s="489" t="str">
        <f t="shared" si="365"/>
        <v>Hilton Chicago</v>
      </c>
      <c r="AT219" s="327">
        <f t="shared" si="366"/>
        <v>112.51</v>
      </c>
      <c r="AU219" s="327">
        <f t="shared" si="366"/>
        <v>117.92</v>
      </c>
      <c r="AV219" s="327">
        <f t="shared" si="367"/>
        <v>131.06</v>
      </c>
      <c r="AW219" s="327">
        <f t="shared" si="368"/>
        <v>137.08000000000001</v>
      </c>
      <c r="AX219" s="327">
        <f t="shared" si="369"/>
        <v>0</v>
      </c>
      <c r="AY219" s="327">
        <f t="shared" si="370"/>
        <v>0</v>
      </c>
      <c r="AZ219" s="327">
        <f t="shared" si="371"/>
        <v>0</v>
      </c>
      <c r="BA219" s="327">
        <f t="shared" si="372"/>
        <v>0</v>
      </c>
      <c r="BB219" s="327">
        <f t="shared" si="373"/>
        <v>0</v>
      </c>
      <c r="BC219" s="327">
        <f t="shared" si="374"/>
        <v>0</v>
      </c>
      <c r="BD219" s="1007">
        <f t="shared" si="375"/>
        <v>0</v>
      </c>
      <c r="BE219" s="14"/>
      <c r="BF219" s="902"/>
      <c r="BG219"/>
      <c r="BH219"/>
      <c r="BI219"/>
      <c r="BJ219"/>
      <c r="BK219"/>
      <c r="BL219"/>
      <c r="BM219" s="902"/>
      <c r="BN219" s="902"/>
      <c r="BO219" s="902"/>
      <c r="BP219" s="902"/>
      <c r="BQ219" s="902"/>
      <c r="BR219" s="902"/>
      <c r="BS219" s="902"/>
    </row>
    <row r="220" spans="1:71" s="1376" customFormat="1" ht="12.75" hidden="1" customHeight="1" outlineLevel="1">
      <c r="A220" s="489" t="s">
        <v>715</v>
      </c>
      <c r="B220" s="353"/>
      <c r="C220" s="353"/>
      <c r="D220" s="353"/>
      <c r="E220" s="917" t="s">
        <v>1263</v>
      </c>
      <c r="F220" s="917" t="s">
        <v>1263</v>
      </c>
      <c r="G220" s="192"/>
      <c r="H220" s="192"/>
      <c r="I220" s="192"/>
      <c r="J220" s="192"/>
      <c r="K220" s="917" t="s">
        <v>1263</v>
      </c>
      <c r="L220" s="192"/>
      <c r="M220" s="192"/>
      <c r="N220" s="192"/>
      <c r="O220" s="192"/>
      <c r="P220" s="917" t="s">
        <v>1263</v>
      </c>
      <c r="Q220" s="331"/>
      <c r="R220" s="331"/>
      <c r="S220" s="331"/>
      <c r="T220" s="331"/>
      <c r="U220" s="353"/>
      <c r="V220" s="331"/>
      <c r="W220" s="331"/>
      <c r="X220" s="331"/>
      <c r="Y220" s="331"/>
      <c r="Z220" s="353"/>
      <c r="AA220" s="1121"/>
      <c r="AB220" s="331"/>
      <c r="AC220" s="331"/>
      <c r="AD220" s="2516"/>
      <c r="AE220" s="353"/>
      <c r="AF220" s="331"/>
      <c r="AG220" s="331"/>
      <c r="AH220" s="331"/>
      <c r="AI220" s="2516"/>
      <c r="AJ220" s="353"/>
      <c r="AK220" s="331"/>
      <c r="AL220" s="331"/>
      <c r="AM220" s="331"/>
      <c r="AN220" s="2516"/>
      <c r="AO220" s="353"/>
      <c r="AP220" s="353"/>
      <c r="AQ220" s="353"/>
      <c r="AR220" s="331"/>
      <c r="AS220" s="489" t="str">
        <f t="shared" si="365"/>
        <v>Hilton Chicago O'Hare</v>
      </c>
      <c r="AT220" s="327" t="str">
        <f t="shared" si="366"/>
        <v>ND</v>
      </c>
      <c r="AU220" s="327" t="str">
        <f t="shared" si="366"/>
        <v>ND</v>
      </c>
      <c r="AV220" s="327" t="str">
        <f t="shared" si="367"/>
        <v>ND</v>
      </c>
      <c r="AW220" s="327" t="str">
        <f t="shared" si="368"/>
        <v>ND</v>
      </c>
      <c r="AX220" s="327">
        <f t="shared" si="369"/>
        <v>0</v>
      </c>
      <c r="AY220" s="327">
        <f t="shared" si="370"/>
        <v>0</v>
      </c>
      <c r="AZ220" s="327">
        <f t="shared" si="371"/>
        <v>0</v>
      </c>
      <c r="BA220" s="327">
        <f t="shared" si="372"/>
        <v>0</v>
      </c>
      <c r="BB220" s="327">
        <f t="shared" si="373"/>
        <v>0</v>
      </c>
      <c r="BC220" s="327">
        <f t="shared" si="374"/>
        <v>0</v>
      </c>
      <c r="BD220" s="1007">
        <f t="shared" si="375"/>
        <v>0</v>
      </c>
      <c r="BE220" s="14"/>
      <c r="BF220" s="902"/>
      <c r="BG220"/>
      <c r="BH220"/>
      <c r="BI220"/>
      <c r="BJ220"/>
      <c r="BK220"/>
      <c r="BL220"/>
      <c r="BM220" s="902"/>
      <c r="BN220" s="902"/>
      <c r="BO220" s="902"/>
      <c r="BP220" s="902"/>
      <c r="BQ220" s="902"/>
      <c r="BR220" s="902"/>
      <c r="BS220" s="902"/>
    </row>
    <row r="221" spans="1:71" s="1376" customFormat="1" ht="12.75" hidden="1" customHeight="1" outlineLevel="1">
      <c r="A221" s="489" t="s">
        <v>716</v>
      </c>
      <c r="B221" s="353"/>
      <c r="C221" s="353"/>
      <c r="D221" s="353"/>
      <c r="E221" s="356">
        <v>110.36</v>
      </c>
      <c r="F221" s="356">
        <v>114.8</v>
      </c>
      <c r="G221" s="192"/>
      <c r="H221" s="192"/>
      <c r="I221" s="192"/>
      <c r="J221" s="192"/>
      <c r="K221" s="356">
        <v>120.45</v>
      </c>
      <c r="L221" s="192"/>
      <c r="M221" s="192"/>
      <c r="N221" s="192"/>
      <c r="O221" s="192"/>
      <c r="P221" s="356">
        <v>128.06</v>
      </c>
      <c r="Q221" s="331"/>
      <c r="R221" s="331"/>
      <c r="S221" s="331"/>
      <c r="T221" s="331"/>
      <c r="U221" s="353"/>
      <c r="V221" s="331"/>
      <c r="W221" s="331"/>
      <c r="X221" s="331"/>
      <c r="Y221" s="331"/>
      <c r="Z221" s="353"/>
      <c r="AA221" s="1121"/>
      <c r="AB221" s="331"/>
      <c r="AC221" s="331"/>
      <c r="AD221" s="2516"/>
      <c r="AE221" s="353"/>
      <c r="AF221" s="331"/>
      <c r="AG221" s="331"/>
      <c r="AH221" s="331"/>
      <c r="AI221" s="2516"/>
      <c r="AJ221" s="353"/>
      <c r="AK221" s="331"/>
      <c r="AL221" s="331"/>
      <c r="AM221" s="331"/>
      <c r="AN221" s="2516"/>
      <c r="AO221" s="353"/>
      <c r="AP221" s="353"/>
      <c r="AQ221" s="353"/>
      <c r="AR221" s="331"/>
      <c r="AS221" s="489" t="str">
        <f t="shared" si="365"/>
        <v>Hilton New Orleans Riverside</v>
      </c>
      <c r="AT221" s="327">
        <f t="shared" si="366"/>
        <v>110.36</v>
      </c>
      <c r="AU221" s="327">
        <f t="shared" si="366"/>
        <v>114.8</v>
      </c>
      <c r="AV221" s="327">
        <f t="shared" si="367"/>
        <v>120.45</v>
      </c>
      <c r="AW221" s="327">
        <f t="shared" si="368"/>
        <v>128.06</v>
      </c>
      <c r="AX221" s="327">
        <f t="shared" si="369"/>
        <v>0</v>
      </c>
      <c r="AY221" s="327">
        <f t="shared" si="370"/>
        <v>0</v>
      </c>
      <c r="AZ221" s="327">
        <f t="shared" si="371"/>
        <v>0</v>
      </c>
      <c r="BA221" s="327">
        <f t="shared" si="372"/>
        <v>0</v>
      </c>
      <c r="BB221" s="327">
        <f t="shared" si="373"/>
        <v>0</v>
      </c>
      <c r="BC221" s="327">
        <f t="shared" si="374"/>
        <v>0</v>
      </c>
      <c r="BD221" s="1007">
        <f t="shared" si="375"/>
        <v>0</v>
      </c>
      <c r="BE221" s="14"/>
      <c r="BF221" s="902"/>
      <c r="BG221"/>
      <c r="BH221"/>
      <c r="BI221"/>
      <c r="BJ221"/>
      <c r="BK221"/>
      <c r="BL221"/>
      <c r="BM221" s="902"/>
      <c r="BN221" s="902"/>
      <c r="BO221" s="902"/>
      <c r="BP221" s="902"/>
      <c r="BQ221" s="902"/>
      <c r="BR221" s="902"/>
      <c r="BS221" s="902"/>
    </row>
    <row r="222" spans="1:71" s="1376" customFormat="1" ht="3.95" hidden="1" customHeight="1" outlineLevel="1">
      <c r="A222" s="741"/>
      <c r="B222" s="353"/>
      <c r="C222" s="353"/>
      <c r="D222" s="353"/>
      <c r="E222" s="353"/>
      <c r="F222" s="353"/>
      <c r="G222" s="331"/>
      <c r="H222" s="331"/>
      <c r="I222" s="331"/>
      <c r="J222" s="331"/>
      <c r="K222" s="353"/>
      <c r="L222" s="331"/>
      <c r="M222" s="331"/>
      <c r="N222" s="331"/>
      <c r="O222" s="331"/>
      <c r="P222" s="353"/>
      <c r="Q222" s="331"/>
      <c r="R222" s="331"/>
      <c r="S222" s="331"/>
      <c r="T222" s="331"/>
      <c r="U222" s="353"/>
      <c r="V222" s="331"/>
      <c r="W222" s="331"/>
      <c r="X222" s="331"/>
      <c r="Y222" s="331"/>
      <c r="Z222" s="353"/>
      <c r="AA222" s="1121"/>
      <c r="AB222" s="331"/>
      <c r="AC222" s="331"/>
      <c r="AD222" s="2516"/>
      <c r="AE222" s="353"/>
      <c r="AF222" s="331"/>
      <c r="AG222" s="331"/>
      <c r="AH222" s="331"/>
      <c r="AI222" s="2516"/>
      <c r="AJ222" s="353"/>
      <c r="AK222" s="331"/>
      <c r="AL222" s="331"/>
      <c r="AM222" s="331"/>
      <c r="AN222" s="2516"/>
      <c r="AO222" s="353"/>
      <c r="AP222" s="353"/>
      <c r="AQ222" s="353"/>
      <c r="AR222" s="331"/>
      <c r="AS222" s="489"/>
      <c r="AT222" s="327"/>
      <c r="AU222" s="327"/>
      <c r="AV222" s="327"/>
      <c r="AW222" s="327"/>
      <c r="AX222" s="327"/>
      <c r="AY222" s="327"/>
      <c r="AZ222" s="327"/>
      <c r="BA222" s="327"/>
      <c r="BB222" s="327"/>
      <c r="BC222" s="327"/>
      <c r="BD222" s="1007"/>
      <c r="BE222" s="14"/>
      <c r="BF222" s="902"/>
      <c r="BG222"/>
      <c r="BH222"/>
      <c r="BI222"/>
      <c r="BJ222"/>
      <c r="BK222"/>
      <c r="BL222"/>
      <c r="BM222" s="902"/>
      <c r="BN222" s="902"/>
      <c r="BO222" s="902"/>
      <c r="BP222" s="902"/>
      <c r="BQ222" s="902"/>
      <c r="BR222" s="902"/>
      <c r="BS222" s="902"/>
    </row>
    <row r="223" spans="1:71" s="1135" customFormat="1" ht="12.75" hidden="1" customHeight="1" outlineLevel="1">
      <c r="A223" s="987" t="s">
        <v>71</v>
      </c>
      <c r="B223" s="743"/>
      <c r="C223" s="743"/>
      <c r="D223" s="743"/>
      <c r="E223" s="743"/>
      <c r="F223" s="681">
        <v>6.5000000000000002E-2</v>
      </c>
      <c r="G223" s="392">
        <v>0.06</v>
      </c>
      <c r="H223" s="913">
        <v>0.04</v>
      </c>
      <c r="I223" s="392">
        <v>3.2000000000000001E-2</v>
      </c>
      <c r="J223" s="392">
        <v>4.1000000000000002E-2</v>
      </c>
      <c r="K223" s="681">
        <v>4.2000000000000003E-2</v>
      </c>
      <c r="L223" s="392">
        <v>9.5000000000000001E-2</v>
      </c>
      <c r="M223" s="392">
        <v>6.4000000000000001E-2</v>
      </c>
      <c r="N223" s="392">
        <v>5.7000000000000002E-2</v>
      </c>
      <c r="O223" s="2038" t="s">
        <v>1263</v>
      </c>
      <c r="P223" s="681">
        <v>9.1999999999999998E-2</v>
      </c>
      <c r="Q223" s="2038" t="s">
        <v>1263</v>
      </c>
      <c r="R223" s="1118">
        <v>0.08</v>
      </c>
      <c r="S223" s="1118">
        <v>0.106</v>
      </c>
      <c r="T223" s="1118">
        <v>6.8000000000000005E-2</v>
      </c>
      <c r="U223" s="1117">
        <f>AVERAGE(Q223:T223)</f>
        <v>8.4666666666666668E-2</v>
      </c>
      <c r="V223" s="1118"/>
      <c r="W223" s="1118"/>
      <c r="X223" s="1118"/>
      <c r="Y223" s="1118"/>
      <c r="Z223" s="1117">
        <v>7.0000000000000007E-2</v>
      </c>
      <c r="AA223" s="2523"/>
      <c r="AB223" s="1118"/>
      <c r="AC223" s="1118"/>
      <c r="AD223" s="1119"/>
      <c r="AE223" s="1117">
        <v>0.05</v>
      </c>
      <c r="AF223" s="1118"/>
      <c r="AG223" s="1118"/>
      <c r="AH223" s="1118"/>
      <c r="AI223" s="1119"/>
      <c r="AJ223" s="1117">
        <v>0.04</v>
      </c>
      <c r="AK223" s="1118"/>
      <c r="AL223" s="1118"/>
      <c r="AM223" s="1118"/>
      <c r="AN223" s="1119"/>
      <c r="AO223" s="1117">
        <v>0.03</v>
      </c>
      <c r="AP223" s="1117">
        <v>0</v>
      </c>
      <c r="AQ223" s="1117">
        <v>-0.08</v>
      </c>
      <c r="AR223" s="421"/>
      <c r="AS223" s="742" t="str">
        <f>+A223</f>
        <v>Big 8 RevPAR (YOY % Change)</v>
      </c>
      <c r="AT223" s="1008">
        <f>+E223</f>
        <v>0</v>
      </c>
      <c r="AU223" s="1008">
        <f>+F223</f>
        <v>6.5000000000000002E-2</v>
      </c>
      <c r="AV223" s="1008">
        <f>+K223</f>
        <v>4.2000000000000003E-2</v>
      </c>
      <c r="AW223" s="1008">
        <f>+P223</f>
        <v>9.1999999999999998E-2</v>
      </c>
      <c r="AX223" s="1008">
        <f>+U223</f>
        <v>8.4666666666666668E-2</v>
      </c>
      <c r="AY223" s="1008">
        <f>+Z223</f>
        <v>7.0000000000000007E-2</v>
      </c>
      <c r="AZ223" s="1008">
        <f t="shared" si="371"/>
        <v>0.05</v>
      </c>
      <c r="BA223" s="1008">
        <f t="shared" si="372"/>
        <v>0.04</v>
      </c>
      <c r="BB223" s="1008">
        <f t="shared" si="373"/>
        <v>0.03</v>
      </c>
      <c r="BC223" s="1008">
        <f t="shared" si="374"/>
        <v>0</v>
      </c>
      <c r="BD223" s="1009">
        <f t="shared" si="375"/>
        <v>-0.08</v>
      </c>
      <c r="BE223" s="14"/>
      <c r="BF223" s="902"/>
      <c r="BG223"/>
      <c r="BH223"/>
      <c r="BI223"/>
      <c r="BJ223"/>
      <c r="BK223"/>
      <c r="BL223"/>
      <c r="BM223" s="902"/>
      <c r="BN223" s="902"/>
      <c r="BO223" s="902"/>
      <c r="BP223" s="902"/>
      <c r="BQ223" s="902"/>
      <c r="BR223" s="902"/>
      <c r="BS223" s="902"/>
    </row>
    <row r="224" spans="1:71" s="1135" customFormat="1" ht="12.75" hidden="1" customHeight="1" outlineLevel="1">
      <c r="A224" s="987" t="s">
        <v>717</v>
      </c>
      <c r="B224" s="743"/>
      <c r="C224" s="743"/>
      <c r="D224" s="743"/>
      <c r="E224" s="743"/>
      <c r="F224" s="681"/>
      <c r="G224" s="392"/>
      <c r="H224" s="913"/>
      <c r="I224" s="392"/>
      <c r="J224" s="392"/>
      <c r="K224" s="681"/>
      <c r="L224" s="392"/>
      <c r="M224" s="392"/>
      <c r="N224" s="392"/>
      <c r="O224" s="1113"/>
      <c r="P224" s="680"/>
      <c r="Q224" s="1113"/>
      <c r="R224" s="1113"/>
      <c r="S224" s="1113"/>
      <c r="T224" s="1113"/>
      <c r="U224" s="680"/>
      <c r="V224" s="1113"/>
      <c r="W224" s="1113"/>
      <c r="X224" s="1113"/>
      <c r="Y224" s="1113"/>
      <c r="Z224" s="680"/>
      <c r="AA224" s="2518"/>
      <c r="AB224" s="419"/>
      <c r="AC224" s="419"/>
      <c r="AD224" s="876"/>
      <c r="AE224" s="680"/>
      <c r="AF224" s="419"/>
      <c r="AG224" s="419"/>
      <c r="AH224" s="419"/>
      <c r="AI224" s="876"/>
      <c r="AJ224" s="680"/>
      <c r="AK224" s="419"/>
      <c r="AL224" s="419"/>
      <c r="AM224" s="419"/>
      <c r="AN224" s="876"/>
      <c r="AO224" s="680"/>
      <c r="AP224" s="680"/>
      <c r="AQ224" s="1114"/>
      <c r="AR224" s="421"/>
      <c r="AS224" s="742" t="str">
        <f>+A224</f>
        <v>Other RevPAR</v>
      </c>
      <c r="AT224" s="1008">
        <f>+E224</f>
        <v>0</v>
      </c>
      <c r="AU224" s="1008">
        <f>+F224</f>
        <v>0</v>
      </c>
      <c r="AV224" s="1008">
        <f>+K224</f>
        <v>0</v>
      </c>
      <c r="AW224" s="1008">
        <f>+P224</f>
        <v>0</v>
      </c>
      <c r="AX224" s="1008">
        <f>+U224</f>
        <v>0</v>
      </c>
      <c r="AY224" s="1008">
        <f>+Z224</f>
        <v>0</v>
      </c>
      <c r="AZ224" s="1008">
        <f t="shared" si="371"/>
        <v>0</v>
      </c>
      <c r="BA224" s="1008">
        <f t="shared" si="372"/>
        <v>0</v>
      </c>
      <c r="BB224" s="1008">
        <f t="shared" si="373"/>
        <v>0</v>
      </c>
      <c r="BC224" s="1008">
        <f t="shared" si="374"/>
        <v>0</v>
      </c>
      <c r="BD224" s="1009">
        <f t="shared" si="375"/>
        <v>0</v>
      </c>
      <c r="BE224" s="14"/>
      <c r="BF224" s="902"/>
      <c r="BG224"/>
      <c r="BH224"/>
      <c r="BI224"/>
      <c r="BJ224"/>
      <c r="BK224"/>
      <c r="BL224"/>
      <c r="BM224" s="902"/>
      <c r="BN224" s="902"/>
      <c r="BO224" s="902"/>
      <c r="BP224" s="902"/>
      <c r="BQ224" s="902"/>
      <c r="BR224" s="902"/>
      <c r="BS224" s="902"/>
    </row>
    <row r="225" spans="1:71" s="1135" customFormat="1" ht="12.75" customHeight="1" collapsed="1">
      <c r="A225" s="987"/>
      <c r="B225" s="743"/>
      <c r="C225" s="743"/>
      <c r="D225" s="743"/>
      <c r="E225" s="743"/>
      <c r="F225" s="681"/>
      <c r="G225" s="392"/>
      <c r="H225" s="913"/>
      <c r="I225" s="392"/>
      <c r="J225" s="392"/>
      <c r="K225" s="681"/>
      <c r="L225" s="392"/>
      <c r="M225" s="913"/>
      <c r="N225" s="392"/>
      <c r="O225" s="392"/>
      <c r="P225" s="681"/>
      <c r="Q225" s="392"/>
      <c r="R225" s="913"/>
      <c r="S225" s="392"/>
      <c r="T225" s="392"/>
      <c r="U225" s="681"/>
      <c r="V225" s="392"/>
      <c r="W225" s="392"/>
      <c r="X225" s="392"/>
      <c r="Y225" s="392"/>
      <c r="Z225" s="681"/>
      <c r="AA225" s="2524"/>
      <c r="AB225" s="392"/>
      <c r="AC225" s="392"/>
      <c r="AD225" s="1718"/>
      <c r="AE225" s="681"/>
      <c r="AF225" s="2415"/>
      <c r="AG225" s="2415"/>
      <c r="AH225" s="2415"/>
      <c r="AI225" s="2554"/>
      <c r="AJ225" s="2554"/>
      <c r="AK225" s="2415"/>
      <c r="AL225" s="2415"/>
      <c r="AM225" s="2415"/>
      <c r="AN225" s="2554"/>
      <c r="AO225" s="2952"/>
      <c r="AP225" s="2952"/>
      <c r="AQ225" s="2952"/>
      <c r="AR225" s="421"/>
      <c r="AS225" s="742"/>
      <c r="AT225" s="1008"/>
      <c r="AU225" s="1008"/>
      <c r="AV225" s="1008"/>
      <c r="AW225" s="1008"/>
      <c r="AX225" s="1008"/>
      <c r="AY225" s="1008"/>
      <c r="AZ225" s="1008"/>
      <c r="BA225" s="1008"/>
      <c r="BB225" s="1008"/>
      <c r="BC225" s="1008"/>
      <c r="BD225" s="1009"/>
      <c r="BE225" s="14"/>
      <c r="BF225" s="902"/>
      <c r="BG225"/>
      <c r="BH225"/>
      <c r="BI225"/>
      <c r="BJ225"/>
      <c r="BK225"/>
      <c r="BL225"/>
      <c r="BM225" s="902"/>
      <c r="BN225" s="902"/>
      <c r="BO225" s="902"/>
      <c r="BP225" s="902"/>
      <c r="BQ225" s="902"/>
      <c r="BR225" s="902"/>
      <c r="BS225" s="902"/>
    </row>
    <row r="226" spans="1:71" s="1376" customFormat="1" ht="12.75" hidden="1" customHeight="1" outlineLevel="1">
      <c r="A226" s="741" t="s">
        <v>718</v>
      </c>
      <c r="B226" s="353"/>
      <c r="C226" s="353"/>
      <c r="D226" s="353"/>
      <c r="E226" s="353"/>
      <c r="F226" s="353"/>
      <c r="G226" s="331"/>
      <c r="H226" s="331"/>
      <c r="I226" s="331"/>
      <c r="J226" s="331"/>
      <c r="K226" s="353"/>
      <c r="L226" s="331"/>
      <c r="M226" s="331"/>
      <c r="N226" s="331"/>
      <c r="O226" s="331"/>
      <c r="P226" s="353"/>
      <c r="Q226" s="331"/>
      <c r="R226" s="331"/>
      <c r="S226" s="331"/>
      <c r="T226" s="331"/>
      <c r="U226" s="353"/>
      <c r="V226" s="331"/>
      <c r="W226" s="331"/>
      <c r="X226" s="331"/>
      <c r="Y226" s="331"/>
      <c r="Z226" s="353"/>
      <c r="AA226" s="1121"/>
      <c r="AB226" s="331"/>
      <c r="AC226" s="331"/>
      <c r="AD226" s="2516"/>
      <c r="AE226" s="353"/>
      <c r="AF226" s="331"/>
      <c r="AG226" s="331"/>
      <c r="AH226" s="331"/>
      <c r="AI226" s="2516"/>
      <c r="AJ226" s="353"/>
      <c r="AK226" s="331"/>
      <c r="AL226" s="331"/>
      <c r="AM226" s="331"/>
      <c r="AN226" s="2516"/>
      <c r="AO226" s="353"/>
      <c r="AP226" s="353"/>
      <c r="AQ226" s="353"/>
      <c r="AR226" s="331"/>
      <c r="AS226" s="741"/>
      <c r="AT226" s="327"/>
      <c r="AU226" s="327"/>
      <c r="AV226" s="327"/>
      <c r="AW226" s="327"/>
      <c r="AX226" s="327"/>
      <c r="AY226" s="327"/>
      <c r="AZ226" s="327"/>
      <c r="BA226" s="327"/>
      <c r="BB226" s="327"/>
      <c r="BC226" s="327"/>
      <c r="BD226" s="1007"/>
      <c r="BE226" s="14"/>
      <c r="BF226" s="902"/>
      <c r="BG226"/>
      <c r="BH226"/>
      <c r="BI226"/>
      <c r="BJ226"/>
      <c r="BK226"/>
      <c r="BL226"/>
      <c r="BM226" s="902"/>
      <c r="BN226" s="902"/>
      <c r="BO226" s="902"/>
      <c r="BP226" s="902"/>
      <c r="BQ226" s="902"/>
      <c r="BR226" s="902"/>
      <c r="BS226" s="902"/>
    </row>
    <row r="227" spans="1:71" s="1376" customFormat="1" ht="12.75" hidden="1" customHeight="1" outlineLevel="1">
      <c r="A227" s="489" t="s">
        <v>709</v>
      </c>
      <c r="B227" s="353"/>
      <c r="C227" s="353"/>
      <c r="D227" s="353"/>
      <c r="E227" s="917" t="s">
        <v>1263</v>
      </c>
      <c r="F227" s="917" t="s">
        <v>1263</v>
      </c>
      <c r="G227" s="192"/>
      <c r="H227" s="192"/>
      <c r="I227" s="192"/>
      <c r="J227" s="192"/>
      <c r="K227" s="917" t="s">
        <v>1263</v>
      </c>
      <c r="L227" s="192"/>
      <c r="M227" s="192"/>
      <c r="N227" s="192"/>
      <c r="O227" s="192"/>
      <c r="P227" s="2039" t="s">
        <v>1263</v>
      </c>
      <c r="Q227" s="2207"/>
      <c r="R227" s="331"/>
      <c r="S227" s="331"/>
      <c r="T227" s="331"/>
      <c r="U227" s="353"/>
      <c r="V227" s="331"/>
      <c r="W227" s="331"/>
      <c r="X227" s="331"/>
      <c r="Y227" s="331"/>
      <c r="Z227" s="353"/>
      <c r="AA227" s="1121"/>
      <c r="AB227" s="331"/>
      <c r="AC227" s="331"/>
      <c r="AD227" s="2516"/>
      <c r="AE227" s="353"/>
      <c r="AF227" s="331"/>
      <c r="AG227" s="331"/>
      <c r="AH227" s="331"/>
      <c r="AI227" s="2516"/>
      <c r="AJ227" s="353"/>
      <c r="AK227" s="331"/>
      <c r="AL227" s="331"/>
      <c r="AM227" s="331"/>
      <c r="AN227" s="2516"/>
      <c r="AO227" s="353"/>
      <c r="AP227" s="353"/>
      <c r="AQ227" s="353"/>
      <c r="AR227" s="331"/>
      <c r="AS227" s="489" t="str">
        <f t="shared" ref="AS227:AS235" si="376">+A227</f>
        <v>Waldorf Astoria NYC</v>
      </c>
      <c r="AT227" s="170" t="str">
        <f t="shared" ref="AT227:AT235" si="377">+E227</f>
        <v>ND</v>
      </c>
      <c r="AU227" s="170" t="str">
        <f t="shared" ref="AU227:AU235" si="378">+F227</f>
        <v>ND</v>
      </c>
      <c r="AV227" s="170" t="str">
        <f t="shared" ref="AV227:AV235" si="379">+K227</f>
        <v>ND</v>
      </c>
      <c r="AW227" s="170" t="str">
        <f t="shared" ref="AW227:AW235" si="380">+P227</f>
        <v>ND</v>
      </c>
      <c r="AX227" s="170">
        <f t="shared" ref="AX227:AX235" si="381">+U227</f>
        <v>0</v>
      </c>
      <c r="AY227" s="170">
        <f t="shared" ref="AY227:AY235" si="382">+Z227</f>
        <v>0</v>
      </c>
      <c r="AZ227" s="170">
        <f t="shared" ref="AZ227:AZ235" si="383">+AE227</f>
        <v>0</v>
      </c>
      <c r="BA227" s="170">
        <f t="shared" ref="BA227:BA235" si="384">+AJ227</f>
        <v>0</v>
      </c>
      <c r="BB227" s="170">
        <f t="shared" ref="BB227:BB235" si="385">+AO227</f>
        <v>0</v>
      </c>
      <c r="BC227" s="170">
        <f t="shared" ref="BC227:BC235" si="386">+AP227</f>
        <v>0</v>
      </c>
      <c r="BD227" s="843">
        <f t="shared" ref="BD227:BD235" si="387">+AQ227</f>
        <v>0</v>
      </c>
      <c r="BE227" s="14"/>
      <c r="BF227" s="902"/>
      <c r="BG227"/>
      <c r="BH227"/>
      <c r="BI227"/>
      <c r="BJ227"/>
      <c r="BK227"/>
      <c r="BL227"/>
      <c r="BM227" s="902"/>
      <c r="BN227" s="902"/>
      <c r="BO227" s="902"/>
      <c r="BP227" s="902"/>
      <c r="BQ227" s="902"/>
      <c r="BR227" s="902"/>
      <c r="BS227" s="902"/>
    </row>
    <row r="228" spans="1:71" s="1376" customFormat="1" ht="12.75" hidden="1" customHeight="1" outlineLevel="1">
      <c r="A228" s="489" t="s">
        <v>710</v>
      </c>
      <c r="B228" s="353"/>
      <c r="C228" s="353"/>
      <c r="D228" s="353"/>
      <c r="E228" s="356">
        <v>167.62014300000001</v>
      </c>
      <c r="F228" s="356">
        <v>174.996217</v>
      </c>
      <c r="G228" s="192"/>
      <c r="H228" s="192"/>
      <c r="I228" s="192"/>
      <c r="J228" s="192"/>
      <c r="K228" s="356">
        <v>205.45056</v>
      </c>
      <c r="L228" s="192"/>
      <c r="M228" s="192"/>
      <c r="N228" s="192"/>
      <c r="O228" s="192"/>
      <c r="P228" s="2040">
        <v>227.39922799999999</v>
      </c>
      <c r="Q228" s="2207"/>
      <c r="R228" s="331"/>
      <c r="S228" s="331"/>
      <c r="T228" s="331"/>
      <c r="U228" s="353"/>
      <c r="V228" s="331"/>
      <c r="W228" s="331"/>
      <c r="X228" s="331"/>
      <c r="Y228" s="331"/>
      <c r="Z228" s="353"/>
      <c r="AA228" s="1121"/>
      <c r="AB228" s="331"/>
      <c r="AC228" s="331"/>
      <c r="AD228" s="2516"/>
      <c r="AE228" s="353"/>
      <c r="AF228" s="331"/>
      <c r="AG228" s="331"/>
      <c r="AH228" s="331"/>
      <c r="AI228" s="2516"/>
      <c r="AJ228" s="353"/>
      <c r="AK228" s="331"/>
      <c r="AL228" s="331"/>
      <c r="AM228" s="331"/>
      <c r="AN228" s="2516"/>
      <c r="AO228" s="353"/>
      <c r="AP228" s="353"/>
      <c r="AQ228" s="353"/>
      <c r="AR228" s="331"/>
      <c r="AS228" s="489" t="str">
        <f t="shared" si="376"/>
        <v>Hilton Hawaiian Village</v>
      </c>
      <c r="AT228" s="170">
        <f t="shared" si="377"/>
        <v>167.62014300000001</v>
      </c>
      <c r="AU228" s="170">
        <f t="shared" si="378"/>
        <v>174.996217</v>
      </c>
      <c r="AV228" s="170">
        <f t="shared" si="379"/>
        <v>205.45056</v>
      </c>
      <c r="AW228" s="170">
        <f t="shared" si="380"/>
        <v>227.39922799999999</v>
      </c>
      <c r="AX228" s="170">
        <f t="shared" si="381"/>
        <v>0</v>
      </c>
      <c r="AY228" s="170">
        <f t="shared" si="382"/>
        <v>0</v>
      </c>
      <c r="AZ228" s="170">
        <f t="shared" si="383"/>
        <v>0</v>
      </c>
      <c r="BA228" s="170">
        <f t="shared" si="384"/>
        <v>0</v>
      </c>
      <c r="BB228" s="170">
        <f t="shared" si="385"/>
        <v>0</v>
      </c>
      <c r="BC228" s="170">
        <f t="shared" si="386"/>
        <v>0</v>
      </c>
      <c r="BD228" s="843">
        <f t="shared" si="387"/>
        <v>0</v>
      </c>
      <c r="BE228" s="14"/>
      <c r="BF228" s="902"/>
      <c r="BG228"/>
      <c r="BH228"/>
      <c r="BI228"/>
      <c r="BJ228"/>
      <c r="BK228"/>
      <c r="BL228"/>
      <c r="BM228" s="902"/>
      <c r="BN228" s="902"/>
      <c r="BO228" s="902"/>
      <c r="BP228" s="902"/>
      <c r="BQ228" s="902"/>
      <c r="BR228" s="902"/>
      <c r="BS228" s="902"/>
    </row>
    <row r="229" spans="1:71" s="1376" customFormat="1" ht="12.75" hidden="1" customHeight="1" outlineLevel="1">
      <c r="A229" s="489" t="s">
        <v>711</v>
      </c>
      <c r="B229" s="353"/>
      <c r="C229" s="353"/>
      <c r="D229" s="353"/>
      <c r="E229" s="356">
        <v>178.638158</v>
      </c>
      <c r="F229" s="356">
        <v>192.48037400000001</v>
      </c>
      <c r="G229" s="192"/>
      <c r="H229" s="192"/>
      <c r="I229" s="192"/>
      <c r="J229" s="192"/>
      <c r="K229" s="356">
        <v>201.40850499999999</v>
      </c>
      <c r="L229" s="192"/>
      <c r="M229" s="192"/>
      <c r="N229" s="192"/>
      <c r="O229" s="192"/>
      <c r="P229" s="2040">
        <v>211.281147</v>
      </c>
      <c r="Q229" s="2207"/>
      <c r="R229" s="331"/>
      <c r="S229" s="331"/>
      <c r="T229" s="331"/>
      <c r="U229" s="353"/>
      <c r="V229" s="331"/>
      <c r="W229" s="331"/>
      <c r="X229" s="331"/>
      <c r="Y229" s="331"/>
      <c r="Z229" s="353"/>
      <c r="AA229" s="1121"/>
      <c r="AB229" s="331"/>
      <c r="AC229" s="331"/>
      <c r="AD229" s="2516"/>
      <c r="AE229" s="353"/>
      <c r="AF229" s="331"/>
      <c r="AG229" s="331"/>
      <c r="AH229" s="331"/>
      <c r="AI229" s="2516"/>
      <c r="AJ229" s="353"/>
      <c r="AK229" s="331"/>
      <c r="AL229" s="331"/>
      <c r="AM229" s="331"/>
      <c r="AN229" s="2516"/>
      <c r="AO229" s="353"/>
      <c r="AP229" s="353"/>
      <c r="AQ229" s="353"/>
      <c r="AR229" s="331"/>
      <c r="AS229" s="489" t="str">
        <f t="shared" si="376"/>
        <v>Hilton New York</v>
      </c>
      <c r="AT229" s="170">
        <f t="shared" si="377"/>
        <v>178.638158</v>
      </c>
      <c r="AU229" s="170">
        <f t="shared" si="378"/>
        <v>192.48037400000001</v>
      </c>
      <c r="AV229" s="170">
        <f t="shared" si="379"/>
        <v>201.40850499999999</v>
      </c>
      <c r="AW229" s="170">
        <f t="shared" si="380"/>
        <v>211.281147</v>
      </c>
      <c r="AX229" s="170">
        <f t="shared" si="381"/>
        <v>0</v>
      </c>
      <c r="AY229" s="170">
        <f t="shared" si="382"/>
        <v>0</v>
      </c>
      <c r="AZ229" s="170">
        <f t="shared" si="383"/>
        <v>0</v>
      </c>
      <c r="BA229" s="170">
        <f t="shared" si="384"/>
        <v>0</v>
      </c>
      <c r="BB229" s="170">
        <f t="shared" si="385"/>
        <v>0</v>
      </c>
      <c r="BC229" s="170">
        <f t="shared" si="386"/>
        <v>0</v>
      </c>
      <c r="BD229" s="843">
        <f t="shared" si="387"/>
        <v>0</v>
      </c>
      <c r="BE229" s="14"/>
      <c r="BF229" s="902"/>
      <c r="BG229"/>
      <c r="BH229"/>
      <c r="BI229"/>
      <c r="BJ229"/>
      <c r="BK229"/>
      <c r="BL229"/>
      <c r="BM229" s="902"/>
      <c r="BN229" s="902"/>
      <c r="BO229" s="902"/>
      <c r="BP229" s="902"/>
      <c r="BQ229" s="902"/>
      <c r="BR229" s="902"/>
      <c r="BS229" s="902"/>
    </row>
    <row r="230" spans="1:71" s="1376" customFormat="1" ht="12.75" hidden="1" customHeight="1" outlineLevel="1">
      <c r="A230" s="489" t="s">
        <v>712</v>
      </c>
      <c r="B230" s="353"/>
      <c r="C230" s="353"/>
      <c r="D230" s="353"/>
      <c r="E230" s="356">
        <v>85.634989000000004</v>
      </c>
      <c r="F230" s="356">
        <v>103.526127</v>
      </c>
      <c r="G230" s="192"/>
      <c r="H230" s="192"/>
      <c r="I230" s="192"/>
      <c r="J230" s="192"/>
      <c r="K230" s="356">
        <v>99.145702999999997</v>
      </c>
      <c r="L230" s="192"/>
      <c r="M230" s="192"/>
      <c r="N230" s="192"/>
      <c r="O230" s="192"/>
      <c r="P230" s="2040">
        <v>127.08126799999999</v>
      </c>
      <c r="Q230" s="2207"/>
      <c r="R230" s="331"/>
      <c r="S230" s="331"/>
      <c r="T230" s="331"/>
      <c r="U230" s="353"/>
      <c r="V230" s="331"/>
      <c r="W230" s="331"/>
      <c r="X230" s="331"/>
      <c r="Y230" s="331"/>
      <c r="Z230" s="353"/>
      <c r="AA230" s="1121"/>
      <c r="AB230" s="331"/>
      <c r="AC230" s="331"/>
      <c r="AD230" s="2516"/>
      <c r="AE230" s="353"/>
      <c r="AF230" s="331"/>
      <c r="AG230" s="331"/>
      <c r="AH230" s="331"/>
      <c r="AI230" s="2516"/>
      <c r="AJ230" s="353"/>
      <c r="AK230" s="331"/>
      <c r="AL230" s="331"/>
      <c r="AM230" s="331"/>
      <c r="AN230" s="2516"/>
      <c r="AO230" s="353"/>
      <c r="AP230" s="353"/>
      <c r="AQ230" s="353"/>
      <c r="AR230" s="331"/>
      <c r="AS230" s="489" t="str">
        <f t="shared" si="376"/>
        <v>Hilton San Francisco</v>
      </c>
      <c r="AT230" s="170">
        <f t="shared" si="377"/>
        <v>85.634989000000004</v>
      </c>
      <c r="AU230" s="170">
        <f t="shared" si="378"/>
        <v>103.526127</v>
      </c>
      <c r="AV230" s="170">
        <f t="shared" si="379"/>
        <v>99.145702999999997</v>
      </c>
      <c r="AW230" s="170">
        <f t="shared" si="380"/>
        <v>127.08126799999999</v>
      </c>
      <c r="AX230" s="170">
        <f t="shared" si="381"/>
        <v>0</v>
      </c>
      <c r="AY230" s="170">
        <f t="shared" si="382"/>
        <v>0</v>
      </c>
      <c r="AZ230" s="170">
        <f t="shared" si="383"/>
        <v>0</v>
      </c>
      <c r="BA230" s="170">
        <f t="shared" si="384"/>
        <v>0</v>
      </c>
      <c r="BB230" s="170">
        <f t="shared" si="385"/>
        <v>0</v>
      </c>
      <c r="BC230" s="170">
        <f t="shared" si="386"/>
        <v>0</v>
      </c>
      <c r="BD230" s="843">
        <f t="shared" si="387"/>
        <v>0</v>
      </c>
      <c r="BE230" s="14"/>
      <c r="BF230" s="902"/>
      <c r="BG230"/>
      <c r="BH230"/>
      <c r="BI230"/>
      <c r="BJ230"/>
      <c r="BK230"/>
      <c r="BL230"/>
      <c r="BM230" s="902"/>
      <c r="BN230" s="902"/>
      <c r="BO230" s="902"/>
      <c r="BP230" s="902"/>
      <c r="BQ230" s="902"/>
      <c r="BR230" s="902"/>
      <c r="BS230" s="902"/>
    </row>
    <row r="231" spans="1:71" s="1376" customFormat="1" ht="12.75" hidden="1" customHeight="1" outlineLevel="1">
      <c r="A231" s="489" t="s">
        <v>713</v>
      </c>
      <c r="B231" s="353"/>
      <c r="C231" s="353"/>
      <c r="D231" s="353"/>
      <c r="E231" s="356">
        <v>51.539586</v>
      </c>
      <c r="F231" s="356">
        <v>54.472746999999998</v>
      </c>
      <c r="G231" s="192"/>
      <c r="H231" s="192"/>
      <c r="I231" s="192"/>
      <c r="J231" s="192"/>
      <c r="K231" s="356">
        <v>60.065133000000003</v>
      </c>
      <c r="L231" s="192"/>
      <c r="M231" s="192"/>
      <c r="N231" s="192"/>
      <c r="O231" s="192"/>
      <c r="P231" s="2040">
        <v>66.264576000000005</v>
      </c>
      <c r="Q231" s="2207"/>
      <c r="R231" s="331"/>
      <c r="S231" s="331"/>
      <c r="T231" s="331"/>
      <c r="U231" s="353"/>
      <c r="V231" s="331"/>
      <c r="W231" s="331"/>
      <c r="X231" s="331"/>
      <c r="Y231" s="331"/>
      <c r="Z231" s="353"/>
      <c r="AA231" s="1121"/>
      <c r="AB231" s="331"/>
      <c r="AC231" s="331"/>
      <c r="AD231" s="2516"/>
      <c r="AE231" s="353"/>
      <c r="AF231" s="331"/>
      <c r="AG231" s="331"/>
      <c r="AH231" s="331"/>
      <c r="AI231" s="2516"/>
      <c r="AJ231" s="353"/>
      <c r="AK231" s="331"/>
      <c r="AL231" s="331"/>
      <c r="AM231" s="331"/>
      <c r="AN231" s="2516"/>
      <c r="AO231" s="353"/>
      <c r="AP231" s="353"/>
      <c r="AQ231" s="353"/>
      <c r="AR231" s="331"/>
      <c r="AS231" s="489" t="str">
        <f t="shared" si="376"/>
        <v>Hilton Waikoloa Village</v>
      </c>
      <c r="AT231" s="170">
        <f t="shared" si="377"/>
        <v>51.539586</v>
      </c>
      <c r="AU231" s="170">
        <f t="shared" si="378"/>
        <v>54.472746999999998</v>
      </c>
      <c r="AV231" s="170">
        <f t="shared" si="379"/>
        <v>60.065133000000003</v>
      </c>
      <c r="AW231" s="170">
        <f t="shared" si="380"/>
        <v>66.264576000000005</v>
      </c>
      <c r="AX231" s="170">
        <f t="shared" si="381"/>
        <v>0</v>
      </c>
      <c r="AY231" s="170">
        <f t="shared" si="382"/>
        <v>0</v>
      </c>
      <c r="AZ231" s="170">
        <f t="shared" si="383"/>
        <v>0</v>
      </c>
      <c r="BA231" s="170">
        <f t="shared" si="384"/>
        <v>0</v>
      </c>
      <c r="BB231" s="170">
        <f t="shared" si="385"/>
        <v>0</v>
      </c>
      <c r="BC231" s="170">
        <f t="shared" si="386"/>
        <v>0</v>
      </c>
      <c r="BD231" s="843">
        <f t="shared" si="387"/>
        <v>0</v>
      </c>
      <c r="BE231" s="14"/>
      <c r="BF231" s="902"/>
      <c r="BG231"/>
      <c r="BH231"/>
      <c r="BI231"/>
      <c r="BJ231"/>
      <c r="BK231"/>
      <c r="BL231"/>
      <c r="BM231" s="902"/>
      <c r="BN231" s="902"/>
      <c r="BO231" s="902"/>
      <c r="BP231" s="902"/>
      <c r="BQ231" s="902"/>
      <c r="BR231" s="902"/>
      <c r="BS231" s="902"/>
    </row>
    <row r="232" spans="1:71" s="1376" customFormat="1" ht="12.75" hidden="1" customHeight="1" outlineLevel="1">
      <c r="A232" s="489" t="s">
        <v>714</v>
      </c>
      <c r="B232" s="353"/>
      <c r="C232" s="353"/>
      <c r="D232" s="353"/>
      <c r="E232" s="356">
        <v>63.406880000000001</v>
      </c>
      <c r="F232" s="356">
        <v>66.455091999999993</v>
      </c>
      <c r="G232" s="192"/>
      <c r="H232" s="192"/>
      <c r="I232" s="192"/>
      <c r="J232" s="192"/>
      <c r="K232" s="356">
        <v>74.059938000000002</v>
      </c>
      <c r="L232" s="192"/>
      <c r="M232" s="192"/>
      <c r="N232" s="192"/>
      <c r="O232" s="192"/>
      <c r="P232" s="2040">
        <v>77.252561</v>
      </c>
      <c r="Q232" s="2207"/>
      <c r="R232" s="331"/>
      <c r="S232" s="331"/>
      <c r="T232" s="331"/>
      <c r="U232" s="353"/>
      <c r="V232" s="331"/>
      <c r="W232" s="331"/>
      <c r="X232" s="331"/>
      <c r="Y232" s="331"/>
      <c r="Z232" s="353"/>
      <c r="AA232" s="1121"/>
      <c r="AB232" s="331"/>
      <c r="AC232" s="331"/>
      <c r="AD232" s="2516"/>
      <c r="AE232" s="353"/>
      <c r="AF232" s="331"/>
      <c r="AG232" s="331"/>
      <c r="AH232" s="331"/>
      <c r="AI232" s="2516"/>
      <c r="AJ232" s="353"/>
      <c r="AK232" s="331"/>
      <c r="AL232" s="331"/>
      <c r="AM232" s="331"/>
      <c r="AN232" s="2516"/>
      <c r="AO232" s="353"/>
      <c r="AP232" s="353"/>
      <c r="AQ232" s="353"/>
      <c r="AR232" s="331"/>
      <c r="AS232" s="489" t="str">
        <f t="shared" si="376"/>
        <v>Hilton Chicago</v>
      </c>
      <c r="AT232" s="170">
        <f t="shared" si="377"/>
        <v>63.406880000000001</v>
      </c>
      <c r="AU232" s="170">
        <f t="shared" si="378"/>
        <v>66.455091999999993</v>
      </c>
      <c r="AV232" s="170">
        <f t="shared" si="379"/>
        <v>74.059938000000002</v>
      </c>
      <c r="AW232" s="170">
        <f t="shared" si="380"/>
        <v>77.252561</v>
      </c>
      <c r="AX232" s="170">
        <f t="shared" si="381"/>
        <v>0</v>
      </c>
      <c r="AY232" s="170">
        <f t="shared" si="382"/>
        <v>0</v>
      </c>
      <c r="AZ232" s="170">
        <f t="shared" si="383"/>
        <v>0</v>
      </c>
      <c r="BA232" s="170">
        <f t="shared" si="384"/>
        <v>0</v>
      </c>
      <c r="BB232" s="170">
        <f t="shared" si="385"/>
        <v>0</v>
      </c>
      <c r="BC232" s="170">
        <f t="shared" si="386"/>
        <v>0</v>
      </c>
      <c r="BD232" s="843">
        <f t="shared" si="387"/>
        <v>0</v>
      </c>
      <c r="BE232" s="14"/>
      <c r="BF232" s="902"/>
      <c r="BG232"/>
      <c r="BH232"/>
      <c r="BI232"/>
      <c r="BJ232"/>
      <c r="BK232"/>
      <c r="BL232"/>
      <c r="BM232" s="902"/>
      <c r="BN232" s="902"/>
      <c r="BO232" s="902"/>
      <c r="BP232" s="902"/>
      <c r="BQ232" s="902"/>
      <c r="BR232" s="902"/>
      <c r="BS232" s="902"/>
    </row>
    <row r="233" spans="1:71" s="1376" customFormat="1" ht="12.75" hidden="1" customHeight="1" outlineLevel="1">
      <c r="A233" s="489" t="s">
        <v>715</v>
      </c>
      <c r="B233" s="353"/>
      <c r="C233" s="353"/>
      <c r="D233" s="353"/>
      <c r="E233" s="917" t="s">
        <v>1263</v>
      </c>
      <c r="F233" s="917" t="s">
        <v>1263</v>
      </c>
      <c r="G233" s="192"/>
      <c r="H233" s="192"/>
      <c r="I233" s="192"/>
      <c r="J233" s="192"/>
      <c r="K233" s="917" t="s">
        <v>1263</v>
      </c>
      <c r="L233" s="192"/>
      <c r="M233" s="192"/>
      <c r="N233" s="192"/>
      <c r="O233" s="192"/>
      <c r="P233" s="2039" t="s">
        <v>1263</v>
      </c>
      <c r="Q233" s="2207"/>
      <c r="R233" s="331"/>
      <c r="S233" s="331"/>
      <c r="T233" s="331"/>
      <c r="U233" s="353"/>
      <c r="V233" s="331"/>
      <c r="W233" s="331"/>
      <c r="X233" s="331"/>
      <c r="Y233" s="331"/>
      <c r="Z233" s="353"/>
      <c r="AA233" s="1121"/>
      <c r="AB233" s="331"/>
      <c r="AC233" s="331"/>
      <c r="AD233" s="2516"/>
      <c r="AE233" s="353"/>
      <c r="AF233" s="331"/>
      <c r="AG233" s="331"/>
      <c r="AH233" s="331"/>
      <c r="AI233" s="2516"/>
      <c r="AJ233" s="353"/>
      <c r="AK233" s="331"/>
      <c r="AL233" s="331"/>
      <c r="AM233" s="331"/>
      <c r="AN233" s="2516"/>
      <c r="AO233" s="353"/>
      <c r="AP233" s="353"/>
      <c r="AQ233" s="353"/>
      <c r="AR233" s="331"/>
      <c r="AS233" s="489" t="str">
        <f t="shared" si="376"/>
        <v>Hilton Chicago O'Hare</v>
      </c>
      <c r="AT233" s="170" t="str">
        <f t="shared" si="377"/>
        <v>ND</v>
      </c>
      <c r="AU233" s="170" t="str">
        <f t="shared" si="378"/>
        <v>ND</v>
      </c>
      <c r="AV233" s="170" t="str">
        <f t="shared" si="379"/>
        <v>ND</v>
      </c>
      <c r="AW233" s="170" t="str">
        <f t="shared" si="380"/>
        <v>ND</v>
      </c>
      <c r="AX233" s="170">
        <f t="shared" si="381"/>
        <v>0</v>
      </c>
      <c r="AY233" s="170">
        <f t="shared" si="382"/>
        <v>0</v>
      </c>
      <c r="AZ233" s="170">
        <f t="shared" si="383"/>
        <v>0</v>
      </c>
      <c r="BA233" s="170">
        <f t="shared" si="384"/>
        <v>0</v>
      </c>
      <c r="BB233" s="170">
        <f t="shared" si="385"/>
        <v>0</v>
      </c>
      <c r="BC233" s="170">
        <f t="shared" si="386"/>
        <v>0</v>
      </c>
      <c r="BD233" s="843">
        <f t="shared" si="387"/>
        <v>0</v>
      </c>
      <c r="BE233" s="14"/>
      <c r="BF233" s="902"/>
      <c r="BG233"/>
      <c r="BH233"/>
      <c r="BI233"/>
      <c r="BJ233"/>
      <c r="BK233"/>
      <c r="BL233"/>
      <c r="BM233" s="902"/>
      <c r="BN233" s="902"/>
      <c r="BO233" s="902"/>
      <c r="BP233" s="902"/>
      <c r="BQ233" s="902"/>
      <c r="BR233" s="902"/>
      <c r="BS233" s="902"/>
    </row>
    <row r="234" spans="1:71" s="1376" customFormat="1" ht="12.75" hidden="1" customHeight="1" outlineLevel="1">
      <c r="A234" s="489" t="s">
        <v>716</v>
      </c>
      <c r="B234" s="353"/>
      <c r="C234" s="353"/>
      <c r="D234" s="353"/>
      <c r="E234" s="356">
        <v>65.334445000000002</v>
      </c>
      <c r="F234" s="356">
        <v>67.965307999999993</v>
      </c>
      <c r="G234" s="192"/>
      <c r="H234" s="192"/>
      <c r="I234" s="192"/>
      <c r="J234" s="192"/>
      <c r="K234" s="356">
        <v>71.505932999999999</v>
      </c>
      <c r="L234" s="192"/>
      <c r="M234" s="192"/>
      <c r="N234" s="192"/>
      <c r="O234" s="192"/>
      <c r="P234" s="2040">
        <v>75.815320999999997</v>
      </c>
      <c r="Q234" s="2207"/>
      <c r="R234" s="331"/>
      <c r="S234" s="331"/>
      <c r="T234" s="331"/>
      <c r="U234" s="353"/>
      <c r="V234" s="331"/>
      <c r="W234" s="331"/>
      <c r="X234" s="331"/>
      <c r="Y234" s="331"/>
      <c r="Z234" s="353"/>
      <c r="AA234" s="1121"/>
      <c r="AB234" s="331"/>
      <c r="AC234" s="331"/>
      <c r="AD234" s="2516"/>
      <c r="AE234" s="353"/>
      <c r="AF234" s="331"/>
      <c r="AG234" s="331"/>
      <c r="AH234" s="331"/>
      <c r="AI234" s="2516"/>
      <c r="AJ234" s="353"/>
      <c r="AK234" s="331"/>
      <c r="AL234" s="331"/>
      <c r="AM234" s="331"/>
      <c r="AN234" s="2516"/>
      <c r="AO234" s="353"/>
      <c r="AP234" s="353"/>
      <c r="AQ234" s="353"/>
      <c r="AR234" s="331"/>
      <c r="AS234" s="489" t="str">
        <f t="shared" si="376"/>
        <v>Hilton New Orleans Riverside</v>
      </c>
      <c r="AT234" s="170">
        <f t="shared" si="377"/>
        <v>65.334445000000002</v>
      </c>
      <c r="AU234" s="170">
        <f t="shared" si="378"/>
        <v>67.965307999999993</v>
      </c>
      <c r="AV234" s="170">
        <f t="shared" si="379"/>
        <v>71.505932999999999</v>
      </c>
      <c r="AW234" s="170">
        <f t="shared" si="380"/>
        <v>75.815320999999997</v>
      </c>
      <c r="AX234" s="170">
        <f t="shared" si="381"/>
        <v>0</v>
      </c>
      <c r="AY234" s="170">
        <f t="shared" si="382"/>
        <v>0</v>
      </c>
      <c r="AZ234" s="170">
        <f t="shared" si="383"/>
        <v>0</v>
      </c>
      <c r="BA234" s="170">
        <f t="shared" si="384"/>
        <v>0</v>
      </c>
      <c r="BB234" s="170">
        <f t="shared" si="385"/>
        <v>0</v>
      </c>
      <c r="BC234" s="170">
        <f t="shared" si="386"/>
        <v>0</v>
      </c>
      <c r="BD234" s="843">
        <f t="shared" si="387"/>
        <v>0</v>
      </c>
      <c r="BE234" s="14"/>
      <c r="BF234" s="902"/>
      <c r="BG234"/>
      <c r="BH234"/>
      <c r="BI234"/>
      <c r="BJ234"/>
      <c r="BK234"/>
      <c r="BL234"/>
      <c r="BM234" s="902"/>
      <c r="BN234" s="902"/>
      <c r="BO234" s="902"/>
      <c r="BP234" s="902"/>
      <c r="BQ234" s="902"/>
      <c r="BR234" s="902"/>
      <c r="BS234" s="902"/>
    </row>
    <row r="235" spans="1:71" s="1376" customFormat="1" ht="12.75" hidden="1" customHeight="1" outlineLevel="1">
      <c r="A235" s="489" t="s">
        <v>395</v>
      </c>
      <c r="B235" s="353"/>
      <c r="C235" s="353"/>
      <c r="D235" s="353"/>
      <c r="E235" s="353"/>
      <c r="F235" s="353"/>
      <c r="G235" s="331"/>
      <c r="H235" s="331"/>
      <c r="I235" s="331"/>
      <c r="J235" s="331"/>
      <c r="K235" s="353"/>
      <c r="L235" s="331"/>
      <c r="M235" s="331"/>
      <c r="N235" s="331"/>
      <c r="O235" s="331"/>
      <c r="P235" s="353"/>
      <c r="Q235" s="331"/>
      <c r="R235" s="331"/>
      <c r="S235" s="331"/>
      <c r="T235" s="331"/>
      <c r="U235" s="353"/>
      <c r="V235" s="331"/>
      <c r="W235" s="331"/>
      <c r="X235" s="331"/>
      <c r="Y235" s="331"/>
      <c r="Z235" s="353"/>
      <c r="AA235" s="1121"/>
      <c r="AB235" s="331"/>
      <c r="AC235" s="331"/>
      <c r="AD235" s="2516"/>
      <c r="AE235" s="353"/>
      <c r="AF235" s="331"/>
      <c r="AG235" s="331"/>
      <c r="AH235" s="331"/>
      <c r="AI235" s="2516"/>
      <c r="AJ235" s="353"/>
      <c r="AK235" s="331"/>
      <c r="AL235" s="331"/>
      <c r="AM235" s="331"/>
      <c r="AN235" s="2516"/>
      <c r="AO235" s="353"/>
      <c r="AP235" s="353"/>
      <c r="AQ235" s="353"/>
      <c r="AR235" s="331"/>
      <c r="AS235" s="489" t="str">
        <f t="shared" si="376"/>
        <v>Other</v>
      </c>
      <c r="AT235" s="170">
        <f t="shared" si="377"/>
        <v>0</v>
      </c>
      <c r="AU235" s="170">
        <f t="shared" si="378"/>
        <v>0</v>
      </c>
      <c r="AV235" s="170">
        <f t="shared" si="379"/>
        <v>0</v>
      </c>
      <c r="AW235" s="170">
        <f t="shared" si="380"/>
        <v>0</v>
      </c>
      <c r="AX235" s="170">
        <f t="shared" si="381"/>
        <v>0</v>
      </c>
      <c r="AY235" s="170">
        <f t="shared" si="382"/>
        <v>0</v>
      </c>
      <c r="AZ235" s="170">
        <f t="shared" si="383"/>
        <v>0</v>
      </c>
      <c r="BA235" s="170">
        <f t="shared" si="384"/>
        <v>0</v>
      </c>
      <c r="BB235" s="170">
        <f t="shared" si="385"/>
        <v>0</v>
      </c>
      <c r="BC235" s="170">
        <f t="shared" si="386"/>
        <v>0</v>
      </c>
      <c r="BD235" s="843">
        <f t="shared" si="387"/>
        <v>0</v>
      </c>
      <c r="BE235" s="14"/>
      <c r="BF235" s="902"/>
      <c r="BG235"/>
      <c r="BH235"/>
      <c r="BI235"/>
      <c r="BJ235"/>
      <c r="BK235"/>
      <c r="BL235"/>
      <c r="BM235" s="902"/>
      <c r="BN235" s="902"/>
      <c r="BO235" s="902"/>
      <c r="BP235" s="902"/>
      <c r="BQ235" s="902"/>
      <c r="BR235" s="902"/>
      <c r="BS235" s="902"/>
    </row>
    <row r="236" spans="1:71" s="729" customFormat="1" ht="3.95" hidden="1" customHeight="1" outlineLevel="1">
      <c r="A236" s="741"/>
      <c r="B236" s="353"/>
      <c r="C236" s="353"/>
      <c r="D236" s="353"/>
      <c r="E236" s="353"/>
      <c r="F236" s="353"/>
      <c r="G236" s="331"/>
      <c r="H236" s="331"/>
      <c r="I236" s="331"/>
      <c r="J236" s="331"/>
      <c r="K236" s="353"/>
      <c r="L236" s="331"/>
      <c r="M236" s="331"/>
      <c r="N236" s="331"/>
      <c r="O236" s="331"/>
      <c r="P236" s="353"/>
      <c r="Q236" s="331"/>
      <c r="R236" s="331"/>
      <c r="S236" s="331"/>
      <c r="T236" s="331"/>
      <c r="U236" s="353"/>
      <c r="V236" s="331"/>
      <c r="W236" s="331"/>
      <c r="X236" s="331"/>
      <c r="Y236" s="331"/>
      <c r="Z236" s="353"/>
      <c r="AA236" s="1121"/>
      <c r="AB236" s="331"/>
      <c r="AC236" s="331"/>
      <c r="AD236" s="2516"/>
      <c r="AE236" s="353"/>
      <c r="AF236" s="331"/>
      <c r="AG236" s="331"/>
      <c r="AH236" s="331"/>
      <c r="AI236" s="2516"/>
      <c r="AJ236" s="353"/>
      <c r="AK236" s="331"/>
      <c r="AL236" s="331"/>
      <c r="AM236" s="331"/>
      <c r="AN236" s="2516"/>
      <c r="AO236" s="353"/>
      <c r="AP236" s="353"/>
      <c r="AQ236" s="353"/>
      <c r="AR236" s="331"/>
      <c r="AS236" s="741"/>
      <c r="AT236" s="327"/>
      <c r="AU236" s="327"/>
      <c r="AV236" s="327"/>
      <c r="AW236" s="327"/>
      <c r="AX236" s="327"/>
      <c r="AY236" s="327"/>
      <c r="AZ236" s="327"/>
      <c r="BA236" s="327"/>
      <c r="BB236" s="327"/>
      <c r="BC236" s="327"/>
      <c r="BD236" s="1007"/>
      <c r="BE236" s="14"/>
      <c r="BF236" s="900"/>
      <c r="BG236"/>
      <c r="BH236"/>
      <c r="BI236"/>
      <c r="BJ236"/>
      <c r="BK236"/>
      <c r="BL236"/>
      <c r="BM236" s="902"/>
      <c r="BN236" s="902"/>
      <c r="BO236" s="902"/>
      <c r="BP236" s="902"/>
      <c r="BQ236" s="902"/>
      <c r="BR236" s="902"/>
      <c r="BS236" s="902"/>
    </row>
    <row r="237" spans="1:71" s="514" customFormat="1" ht="12.75" customHeight="1" collapsed="1">
      <c r="A237" s="1359" t="s">
        <v>1881</v>
      </c>
      <c r="B237" s="1360"/>
      <c r="C237" s="1360"/>
      <c r="D237" s="1360"/>
      <c r="E237" s="1360"/>
      <c r="F237" s="1361"/>
      <c r="G237" s="1362">
        <f>RevPAR!D71*Hilton!G203*Hilton!G6/1000000</f>
        <v>700.14757209876552</v>
      </c>
      <c r="H237" s="1362">
        <f>RevPAR!E71*Hilton!H203*Hilton!H6/1000000</f>
        <v>831.2331187440534</v>
      </c>
      <c r="I237" s="1362">
        <f>RevPAR!F71*Hilton!I203*Hilton!I6/1000000</f>
        <v>830.92012198058239</v>
      </c>
      <c r="J237" s="1362">
        <f>RevPAR!G71*Hilton!J203*Hilton!J6/1000000</f>
        <v>774.63184016477135</v>
      </c>
      <c r="K237" s="1361">
        <f>SUM(G237:J237)</f>
        <v>3136.9326529881728</v>
      </c>
      <c r="L237" s="1362">
        <f>RevPAR!I71*Hilton!L203*Hilton!L6/1000000</f>
        <v>726.83856045000005</v>
      </c>
      <c r="M237" s="1362">
        <f>RevPAR!J71*Hilton!M203*Hilton!M6/1000000</f>
        <v>870.64916666000022</v>
      </c>
      <c r="N237" s="1362">
        <f>RevPAR!K71*Hilton!N203*Hilton!N6/1000000</f>
        <v>853.76718611999991</v>
      </c>
      <c r="O237" s="1362">
        <f>RevPAR!L71*Hilton!O203*Hilton!O6/1000000</f>
        <v>806.25976703999993</v>
      </c>
      <c r="P237" s="1361">
        <f>SUM(L237:O237)</f>
        <v>3257.5146802700001</v>
      </c>
      <c r="Q237" s="1362">
        <f>RevPAR!N71*Hilton!Q203*Hilton!Q6/1000000</f>
        <v>757.68631470000003</v>
      </c>
      <c r="R237" s="1362">
        <f>RevPAR!O71*Hilton!R203*Hilton!R6/1000000</f>
        <v>900.79640195999991</v>
      </c>
      <c r="S237" s="1362">
        <f>RevPAR!P71*Hilton!S203*Hilton!S6/1000000</f>
        <v>902.12042559999998</v>
      </c>
      <c r="T237" s="1363">
        <f>RevPAR!Q71*Hilton!T203*Hilton!T6/1000000</f>
        <v>825.24617687999989</v>
      </c>
      <c r="U237" s="1361">
        <f>SUM(Q237:T237)</f>
        <v>3385.8493191399998</v>
      </c>
      <c r="V237" s="1362">
        <f>RevPAR!S71*Hilton!V203*Hilton!V6/1000000</f>
        <v>707.11217369999997</v>
      </c>
      <c r="W237" s="1362">
        <f>RevPAR!T71*Hilton!W203*Hilton!W6/1000000</f>
        <v>861.14426762000005</v>
      </c>
      <c r="X237" s="1362">
        <f>RevPAR!U71*Hilton!X203*Hilton!X6/1000000</f>
        <v>871.95812532000002</v>
      </c>
      <c r="Y237" s="2742">
        <f>RevPAR!V71*Hilton!Y203*Hilton!Y6/1000000</f>
        <v>782.11671349999995</v>
      </c>
      <c r="Z237" s="2572">
        <f>SUM(V237:Y237)</f>
        <v>3222.3312801400002</v>
      </c>
      <c r="AA237" s="1362">
        <f>RevPAR!X71*Hilton!AA203*Hilton!AA6/1000000</f>
        <v>718.21312699499993</v>
      </c>
      <c r="AB237" s="1362">
        <f>RevPAR!Y71*Hilton!AB203*Hilton!AB6/1000000</f>
        <v>829.99352981999994</v>
      </c>
      <c r="AC237" s="1362">
        <f>RevPAR!Z71*Hilton!AC203*Hilton!AC6/1000000</f>
        <v>829.25486896000007</v>
      </c>
      <c r="AD237" s="1362">
        <f>RevPAR!AA71*Hilton!AD203*Hilton!AD6/1000000</f>
        <v>752.28308735999997</v>
      </c>
      <c r="AE237" s="2572">
        <f>SUM(AA237:AD237)</f>
        <v>3129.7446131350002</v>
      </c>
      <c r="AF237" s="1362">
        <f>RevPAR!AC71*Hilton!AF203*Hilton!AF6/1000000</f>
        <v>253.6446513874501</v>
      </c>
      <c r="AG237" s="1362">
        <f>RevPAR!AD71*Hilton!AG203*Hilton!AG6/1000000</f>
        <v>288.39670860000001</v>
      </c>
      <c r="AH237" s="1362">
        <f>RevPAR!AE71*Hilton!AH203*Hilton!AH6/1000000</f>
        <v>305.02611775999998</v>
      </c>
      <c r="AI237" s="1362">
        <f>RevPAR!AF71*Hilton!AI203*Hilton!AI6/1000000</f>
        <v>283.16082460000001</v>
      </c>
      <c r="AJ237" s="2572">
        <f>SUM(AF237:AI237)</f>
        <v>1130.2283023474502</v>
      </c>
      <c r="AK237" s="1362">
        <f>RevPAR!AH71*Hilton!AK203*Hilton!AK6/1000000</f>
        <v>266.2068302027871</v>
      </c>
      <c r="AL237" s="1362">
        <f>RevPAR!AI71*Hilton!AL203*Hilton!AL6/1000000</f>
        <v>335.47159168775488</v>
      </c>
      <c r="AM237" s="1362">
        <f>RevPAR!AJ71*Hilton!AM203*Hilton!AM6/1000000</f>
        <v>337.32513481503679</v>
      </c>
      <c r="AN237" s="1362">
        <f>RevPAR!AK71*Hilton!AN203*Hilton!AN6/1000000</f>
        <v>301.870742312039</v>
      </c>
      <c r="AO237" s="1361">
        <f>SUM(AK237:AN237)</f>
        <v>1240.8742990176179</v>
      </c>
      <c r="AP237" s="1361">
        <f>RevPAR!AM71*Hilton!AP203*Hilton!AP6/1000000</f>
        <v>1273.8567273953722</v>
      </c>
      <c r="AQ237" s="1361">
        <f>RevPAR!AN71*Hilton!AQ203*Hilton!AQ6/1000000</f>
        <v>1237.5200978732048</v>
      </c>
      <c r="AR237" s="1364"/>
      <c r="AS237" s="1365" t="str">
        <f>+A237</f>
        <v>Room revenues</v>
      </c>
      <c r="AT237" s="486">
        <f>+E237</f>
        <v>0</v>
      </c>
      <c r="AU237" s="486">
        <f>+F237</f>
        <v>0</v>
      </c>
      <c r="AV237" s="486">
        <f>+K237</f>
        <v>3136.9326529881728</v>
      </c>
      <c r="AW237" s="486">
        <f>+P237</f>
        <v>3257.5146802700001</v>
      </c>
      <c r="AX237" s="486">
        <f>+U237</f>
        <v>3385.8493191399998</v>
      </c>
      <c r="AY237" s="486">
        <f>+Z237</f>
        <v>3222.3312801400002</v>
      </c>
      <c r="AZ237" s="486">
        <f>+AE237</f>
        <v>3129.7446131350002</v>
      </c>
      <c r="BA237" s="486">
        <f>+AJ237</f>
        <v>1130.2283023474502</v>
      </c>
      <c r="BB237" s="486">
        <f t="shared" ref="BB237:BD238" si="388">+AO237</f>
        <v>1240.8742990176179</v>
      </c>
      <c r="BC237" s="486">
        <f t="shared" si="388"/>
        <v>1273.8567273953722</v>
      </c>
      <c r="BD237" s="875">
        <f t="shared" si="388"/>
        <v>1237.5200978732048</v>
      </c>
      <c r="BE237" s="14"/>
      <c r="BF237" s="908"/>
      <c r="BG237"/>
      <c r="BH237"/>
      <c r="BI237"/>
      <c r="BJ237"/>
      <c r="BK237"/>
      <c r="BL237"/>
      <c r="BM237" s="909"/>
      <c r="BN237" s="909"/>
      <c r="BO237" s="909"/>
      <c r="BP237" s="902"/>
      <c r="BQ237" s="902"/>
      <c r="BR237" s="909"/>
      <c r="BS237" s="909"/>
    </row>
    <row r="238" spans="1:71" ht="12.75" customHeight="1">
      <c r="A238" s="490" t="s">
        <v>2309</v>
      </c>
      <c r="B238" s="242"/>
      <c r="C238" s="242"/>
      <c r="D238" s="242"/>
      <c r="E238" s="242"/>
      <c r="F238" s="242"/>
      <c r="G238" s="241"/>
      <c r="H238" s="241"/>
      <c r="I238" s="241"/>
      <c r="J238" s="241"/>
      <c r="K238" s="242"/>
      <c r="L238" s="241">
        <f t="shared" ref="L238:V238" si="389">L237/G237-1</f>
        <v>3.8121946593666634E-2</v>
      </c>
      <c r="M238" s="241">
        <f t="shared" si="389"/>
        <v>4.741876499760056E-2</v>
      </c>
      <c r="N238" s="241">
        <f t="shared" si="389"/>
        <v>2.7496101652899174E-2</v>
      </c>
      <c r="O238" s="241">
        <f t="shared" si="389"/>
        <v>4.0829624132802333E-2</v>
      </c>
      <c r="P238" s="242">
        <f t="shared" si="389"/>
        <v>3.8439469577698393E-2</v>
      </c>
      <c r="Q238" s="241">
        <f t="shared" si="389"/>
        <v>4.2440998494771121E-2</v>
      </c>
      <c r="R238" s="241">
        <f t="shared" si="389"/>
        <v>3.4626157647001499E-2</v>
      </c>
      <c r="S238" s="241">
        <f t="shared" si="389"/>
        <v>5.6635157998686347E-2</v>
      </c>
      <c r="T238" s="241">
        <f t="shared" si="389"/>
        <v>2.3548750187181389E-2</v>
      </c>
      <c r="U238" s="242">
        <f t="shared" si="389"/>
        <v>3.9396488263673035E-2</v>
      </c>
      <c r="V238" s="241">
        <f t="shared" si="389"/>
        <v>-6.6748125205381981E-2</v>
      </c>
      <c r="W238" s="241">
        <f t="shared" ref="W238:AC238" si="390">W237/R237-1</f>
        <v>-4.4018975046661635E-2</v>
      </c>
      <c r="X238" s="241">
        <f t="shared" si="390"/>
        <v>-3.3434893417848333E-2</v>
      </c>
      <c r="Y238" s="241">
        <f t="shared" si="390"/>
        <v>-5.2262542485272845E-2</v>
      </c>
      <c r="Z238" s="242">
        <f t="shared" si="390"/>
        <v>-4.8294541069988539E-2</v>
      </c>
      <c r="AA238" s="241">
        <f t="shared" si="390"/>
        <v>1.5698998981892309E-2</v>
      </c>
      <c r="AB238" s="241">
        <f t="shared" si="390"/>
        <v>-3.6173657505836343E-2</v>
      </c>
      <c r="AC238" s="241">
        <f t="shared" si="390"/>
        <v>-4.8973976066027602E-2</v>
      </c>
      <c r="AD238" s="241">
        <f t="shared" ref="AD238:AJ238" si="391">AD237/Y237-1</f>
        <v>-3.8144723958772664E-2</v>
      </c>
      <c r="AE238" s="362">
        <f t="shared" si="391"/>
        <v>-2.8732820730020481E-2</v>
      </c>
      <c r="AF238" s="241">
        <f t="shared" si="391"/>
        <v>-0.64683929901323578</v>
      </c>
      <c r="AG238" s="241">
        <f t="shared" si="391"/>
        <v>-0.65253137736803279</v>
      </c>
      <c r="AH238" s="241">
        <f t="shared" si="391"/>
        <v>-0.63216843315910243</v>
      </c>
      <c r="AI238" s="241">
        <f t="shared" si="391"/>
        <v>-0.62359804526019436</v>
      </c>
      <c r="AJ238" s="362">
        <f t="shared" si="391"/>
        <v>-0.63887523039289651</v>
      </c>
      <c r="AK238" s="241">
        <f t="shared" ref="AK238" si="392">AK237/AF237-1</f>
        <v>4.9526685252857527E-2</v>
      </c>
      <c r="AL238" s="241">
        <f t="shared" ref="AL238" si="393">AL237/AG237-1</f>
        <v>0.16322961283530701</v>
      </c>
      <c r="AM238" s="241">
        <f t="shared" ref="AM238" si="394">AM237/AH237-1</f>
        <v>0.10588934905715264</v>
      </c>
      <c r="AN238" s="241">
        <f t="shared" ref="AN238:AO238" si="395">AN237/AI237-1</f>
        <v>6.6075233883320816E-2</v>
      </c>
      <c r="AO238" s="242">
        <f t="shared" si="395"/>
        <v>9.7897032343252643E-2</v>
      </c>
      <c r="AP238" s="242">
        <f>AP237/AO237-1</f>
        <v>2.6579991546175075E-2</v>
      </c>
      <c r="AQ238" s="242">
        <f>AQ237/AP237-1</f>
        <v>-2.8524895100616288E-2</v>
      </c>
      <c r="AR238" s="194"/>
      <c r="AS238" s="490" t="str">
        <f>+A238</f>
        <v>% growth, y/y</v>
      </c>
      <c r="AT238" s="429">
        <f>+E238</f>
        <v>0</v>
      </c>
      <c r="AU238" s="429">
        <f>+F238</f>
        <v>0</v>
      </c>
      <c r="AV238" s="429">
        <f>+K238</f>
        <v>0</v>
      </c>
      <c r="AW238" s="429">
        <f>+P238</f>
        <v>3.8439469577698393E-2</v>
      </c>
      <c r="AX238" s="429">
        <f>+U238</f>
        <v>3.9396488263673035E-2</v>
      </c>
      <c r="AY238" s="429">
        <f>+Z238</f>
        <v>-4.8294541069988539E-2</v>
      </c>
      <c r="AZ238" s="429">
        <f>+AE238</f>
        <v>-2.8732820730020481E-2</v>
      </c>
      <c r="BA238" s="429">
        <f>+AJ238</f>
        <v>-0.63887523039289651</v>
      </c>
      <c r="BB238" s="429">
        <f t="shared" si="388"/>
        <v>9.7897032343252643E-2</v>
      </c>
      <c r="BC238" s="429">
        <f t="shared" si="388"/>
        <v>2.6579991546175075E-2</v>
      </c>
      <c r="BD238" s="1010">
        <f t="shared" si="388"/>
        <v>-2.8524895100616288E-2</v>
      </c>
      <c r="BF238" s="900"/>
      <c r="BM238" s="902"/>
      <c r="BN238" s="902"/>
      <c r="BO238" s="902"/>
      <c r="BP238" s="902"/>
      <c r="BQ238" s="902"/>
      <c r="BR238" s="902"/>
      <c r="BS238" s="902"/>
    </row>
    <row r="239" spans="1:71" ht="12.75" customHeight="1">
      <c r="A239" s="490"/>
      <c r="B239" s="242"/>
      <c r="C239" s="242"/>
      <c r="D239" s="242"/>
      <c r="E239" s="242"/>
      <c r="F239" s="242"/>
      <c r="G239" s="241"/>
      <c r="H239" s="241"/>
      <c r="I239" s="241"/>
      <c r="J239" s="241"/>
      <c r="K239" s="242"/>
      <c r="L239" s="241"/>
      <c r="M239" s="241"/>
      <c r="N239" s="241"/>
      <c r="O239" s="241"/>
      <c r="P239" s="242"/>
      <c r="Q239" s="241"/>
      <c r="R239" s="241"/>
      <c r="S239" s="241"/>
      <c r="T239" s="241"/>
      <c r="U239" s="242"/>
      <c r="V239" s="241"/>
      <c r="W239" s="241"/>
      <c r="X239" s="241"/>
      <c r="Y239" s="241"/>
      <c r="Z239" s="242"/>
      <c r="AA239" s="241"/>
      <c r="AB239" s="241"/>
      <c r="AC239" s="241"/>
      <c r="AD239" s="241"/>
      <c r="AE239" s="362"/>
      <c r="AF239" s="2415"/>
      <c r="AG239" s="2415"/>
      <c r="AH239" s="2415"/>
      <c r="AI239" s="2554"/>
      <c r="AJ239" s="2554"/>
      <c r="AK239" s="2415"/>
      <c r="AL239" s="2415"/>
      <c r="AM239" s="2415"/>
      <c r="AN239" s="2554"/>
      <c r="AO239" s="2952"/>
      <c r="AP239" s="2952"/>
      <c r="AQ239" s="2952"/>
      <c r="AR239" s="194"/>
      <c r="AS239" s="490"/>
      <c r="AT239" s="429"/>
      <c r="AU239" s="429"/>
      <c r="AV239" s="429"/>
      <c r="AW239" s="429"/>
      <c r="AX239" s="429"/>
      <c r="AY239" s="429"/>
      <c r="AZ239" s="429"/>
      <c r="BA239" s="429"/>
      <c r="BB239" s="429"/>
      <c r="BC239" s="429"/>
      <c r="BD239" s="1010"/>
      <c r="BF239" s="900"/>
      <c r="BM239" s="902"/>
      <c r="BN239" s="902"/>
      <c r="BO239" s="902"/>
      <c r="BP239" s="902"/>
      <c r="BQ239" s="902"/>
      <c r="BR239" s="902"/>
      <c r="BS239" s="902"/>
    </row>
    <row r="240" spans="1:71" s="701" customFormat="1" ht="12.75" customHeight="1">
      <c r="A240" s="2409" t="s">
        <v>2339</v>
      </c>
      <c r="B240" s="1132"/>
      <c r="C240" s="1132"/>
      <c r="D240" s="1132"/>
      <c r="E240" s="1132"/>
      <c r="F240" s="1136"/>
      <c r="G240" s="1345">
        <f>G244-G237</f>
        <v>194.85242790123448</v>
      </c>
      <c r="H240" s="1345">
        <f>H244-H237</f>
        <v>215.7668812559466</v>
      </c>
      <c r="I240" s="1345">
        <f>I244-I237</f>
        <v>178.07987801941761</v>
      </c>
      <c r="J240" s="1345">
        <f>J244-J237</f>
        <v>280.36815983522865</v>
      </c>
      <c r="K240" s="1136">
        <f>SUM(G240:J240)</f>
        <v>869.06734701182734</v>
      </c>
      <c r="L240" s="1345">
        <f>L244-L237</f>
        <v>193.16143954999995</v>
      </c>
      <c r="M240" s="1345">
        <f>M244-M237</f>
        <v>207.35083333999978</v>
      </c>
      <c r="N240" s="1345">
        <f>N244-N237</f>
        <v>151.23281388000009</v>
      </c>
      <c r="O240" s="1345">
        <f>O244-O237</f>
        <v>265.74023296000007</v>
      </c>
      <c r="P240" s="1136">
        <f>SUM(L240:O240)</f>
        <v>817.4853197299999</v>
      </c>
      <c r="Q240" s="1345">
        <f>Q244-Q237</f>
        <v>194.31368529999997</v>
      </c>
      <c r="R240" s="1345">
        <f>R244-R237</f>
        <v>225.20359804000009</v>
      </c>
      <c r="S240" s="1345">
        <f>S244-S237</f>
        <v>184.87957440000002</v>
      </c>
      <c r="T240" s="1345">
        <f>T244-T237</f>
        <v>280.75382312000011</v>
      </c>
      <c r="U240" s="1136">
        <f>SUM(Q240:T240)</f>
        <v>885.15068086000019</v>
      </c>
      <c r="V240" s="1345">
        <f>V244-V237</f>
        <v>256.88782630000003</v>
      </c>
      <c r="W240" s="1345">
        <f>W244-W237</f>
        <v>279.85573237999995</v>
      </c>
      <c r="X240" s="1345">
        <f>X244-X237</f>
        <v>217.04187467999998</v>
      </c>
      <c r="Y240" s="1345">
        <f>Y244-Y237</f>
        <v>285.88328650000005</v>
      </c>
      <c r="Z240" s="2573">
        <f>SUM(V240:Y240)</f>
        <v>1039.66871986</v>
      </c>
      <c r="AA240" s="1345">
        <f>AA244-AA237</f>
        <v>255.78687300500007</v>
      </c>
      <c r="AB240" s="1345">
        <f>AB244-AB237</f>
        <v>284.00647018000006</v>
      </c>
      <c r="AC240" s="1345">
        <f>AC244-AC237</f>
        <v>210.74513103999993</v>
      </c>
      <c r="AD240" s="1345">
        <f>AD244-AD237</f>
        <v>276.71691264000003</v>
      </c>
      <c r="AE240" s="2573">
        <f>SUM(AA240:AD240)</f>
        <v>1027.2553868650002</v>
      </c>
      <c r="AF240" s="3779">
        <f>+AF244-AF237</f>
        <v>46.355348612549903</v>
      </c>
      <c r="AG240" s="3779">
        <f>+AG244-AG237</f>
        <v>88.603291399999989</v>
      </c>
      <c r="AH240" s="3779">
        <f>+AH244-AH237</f>
        <v>82.973882240000023</v>
      </c>
      <c r="AI240" s="3779">
        <f>+AI244-AI237</f>
        <v>101.83917539999999</v>
      </c>
      <c r="AJ240" s="2573">
        <f>SUM(AF240:AI240)</f>
        <v>319.7716976525499</v>
      </c>
      <c r="AK240" s="3943">
        <f t="shared" ref="AK240:AN240" si="396">AK237*AK242</f>
        <v>48.651175373070146</v>
      </c>
      <c r="AL240" s="414">
        <f t="shared" si="396"/>
        <v>103.06597235115588</v>
      </c>
      <c r="AM240" s="414">
        <f t="shared" si="396"/>
        <v>91.759932619138482</v>
      </c>
      <c r="AN240" s="3944">
        <f t="shared" si="396"/>
        <v>108.56822273303952</v>
      </c>
      <c r="AO240" s="1136">
        <f>SUM(AK240:AN240)</f>
        <v>352.04530307640402</v>
      </c>
      <c r="AP240" s="1136">
        <f>AP237*AP242</f>
        <v>361.40266425604557</v>
      </c>
      <c r="AQ240" s="1136">
        <f>AQ237*AQ242</f>
        <v>326.34328921159448</v>
      </c>
      <c r="AR240" s="1133"/>
      <c r="AS240" s="1134" t="str">
        <f>+A240</f>
        <v>Other owned revenues</v>
      </c>
      <c r="AT240" s="1179">
        <f t="shared" ref="AT240:AU242" si="397">+E240</f>
        <v>0</v>
      </c>
      <c r="AU240" s="1179">
        <f t="shared" si="397"/>
        <v>0</v>
      </c>
      <c r="AV240" s="1179">
        <f>+K240</f>
        <v>869.06734701182734</v>
      </c>
      <c r="AW240" s="1179">
        <f>+P240</f>
        <v>817.4853197299999</v>
      </c>
      <c r="AX240" s="1179">
        <f>+U240</f>
        <v>885.15068086000019</v>
      </c>
      <c r="AY240" s="1179">
        <f>+Z240</f>
        <v>1039.66871986</v>
      </c>
      <c r="AZ240" s="1179">
        <f>+AE240</f>
        <v>1027.2553868650002</v>
      </c>
      <c r="BA240" s="1179">
        <f>+AJ240</f>
        <v>319.7716976525499</v>
      </c>
      <c r="BB240" s="1179">
        <f t="shared" ref="BB240:BD242" si="398">+AO240</f>
        <v>352.04530307640402</v>
      </c>
      <c r="BC240" s="1179">
        <f t="shared" si="398"/>
        <v>361.40266425604557</v>
      </c>
      <c r="BD240" s="1180">
        <f t="shared" si="398"/>
        <v>326.34328921159448</v>
      </c>
      <c r="BE240" s="14"/>
      <c r="BF240" s="900"/>
      <c r="BG240"/>
      <c r="BH240"/>
      <c r="BI240"/>
      <c r="BJ240"/>
      <c r="BK240"/>
      <c r="BL240"/>
      <c r="BM240" s="902"/>
      <c r="BN240" s="902"/>
      <c r="BO240" s="902"/>
      <c r="BP240" s="902"/>
      <c r="BQ240" s="902"/>
      <c r="BR240" s="902"/>
      <c r="BS240" s="902"/>
    </row>
    <row r="241" spans="1:71" ht="12.75" customHeight="1">
      <c r="A241" s="490" t="s">
        <v>2309</v>
      </c>
      <c r="B241" s="242"/>
      <c r="C241" s="242"/>
      <c r="D241" s="242"/>
      <c r="E241" s="242"/>
      <c r="F241" s="242"/>
      <c r="G241" s="241"/>
      <c r="H241" s="241"/>
      <c r="I241" s="241"/>
      <c r="J241" s="241"/>
      <c r="K241" s="242"/>
      <c r="L241" s="241">
        <f t="shared" ref="L241:X241" si="399">L240/G240-1</f>
        <v>-8.6783027003987101E-3</v>
      </c>
      <c r="M241" s="241">
        <f t="shared" si="399"/>
        <v>-3.9005281380340984E-2</v>
      </c>
      <c r="N241" s="241">
        <f t="shared" si="399"/>
        <v>-0.15075854969133651</v>
      </c>
      <c r="O241" s="1120">
        <f t="shared" si="399"/>
        <v>-5.2173994664106549E-2</v>
      </c>
      <c r="P241" s="1120">
        <f t="shared" si="399"/>
        <v>-5.9353314169707794E-2</v>
      </c>
      <c r="Q241" s="241">
        <f t="shared" si="399"/>
        <v>5.9651955001183143E-3</v>
      </c>
      <c r="R241" s="241">
        <f t="shared" si="399"/>
        <v>8.6099314926439519E-2</v>
      </c>
      <c r="S241" s="241">
        <f t="shared" si="399"/>
        <v>0.2224832009453841</v>
      </c>
      <c r="T241" s="1120">
        <f t="shared" si="399"/>
        <v>5.6497241658774122E-2</v>
      </c>
      <c r="U241" s="1120">
        <f t="shared" si="399"/>
        <v>8.2772570340894802E-2</v>
      </c>
      <c r="V241" s="2459">
        <f t="shared" si="399"/>
        <v>0.32202642291196382</v>
      </c>
      <c r="W241" s="241">
        <f t="shared" si="399"/>
        <v>0.24267877962719187</v>
      </c>
      <c r="X241" s="241">
        <f t="shared" si="399"/>
        <v>0.17396351319164416</v>
      </c>
      <c r="Y241" s="1120">
        <f t="shared" ref="Y241:AO241" si="400">Y240/T240-1</f>
        <v>1.8270324239921365E-2</v>
      </c>
      <c r="Z241" s="1120">
        <f t="shared" si="400"/>
        <v>0.17456693232148024</v>
      </c>
      <c r="AA241" s="241">
        <f t="shared" si="400"/>
        <v>-4.2857355712693224E-3</v>
      </c>
      <c r="AB241" s="241">
        <f t="shared" si="400"/>
        <v>1.4831705481608948E-2</v>
      </c>
      <c r="AC241" s="241">
        <f t="shared" si="400"/>
        <v>-2.9011653393078096E-2</v>
      </c>
      <c r="AD241" s="1120">
        <f t="shared" si="400"/>
        <v>-3.2063342954468332E-2</v>
      </c>
      <c r="AE241" s="362">
        <f t="shared" si="400"/>
        <v>-1.1939700365969808E-2</v>
      </c>
      <c r="AF241" s="241">
        <f t="shared" si="400"/>
        <v>-0.81877354350532383</v>
      </c>
      <c r="AG241" s="241">
        <f t="shared" si="400"/>
        <v>-0.68802368712288764</v>
      </c>
      <c r="AH241" s="241">
        <f t="shared" si="400"/>
        <v>-0.60628327767035639</v>
      </c>
      <c r="AI241" s="1120">
        <f t="shared" si="400"/>
        <v>-0.63197343296291564</v>
      </c>
      <c r="AJ241" s="362">
        <f t="shared" si="400"/>
        <v>-0.68871256189910479</v>
      </c>
      <c r="AK241" s="241">
        <f t="shared" si="400"/>
        <v>4.9526685252857527E-2</v>
      </c>
      <c r="AL241" s="241">
        <f t="shared" si="400"/>
        <v>0.16322961283530701</v>
      </c>
      <c r="AM241" s="241">
        <f t="shared" si="400"/>
        <v>0.10588934905715286</v>
      </c>
      <c r="AN241" s="1120">
        <f t="shared" si="400"/>
        <v>6.6075233883320816E-2</v>
      </c>
      <c r="AO241" s="1120">
        <f t="shared" si="400"/>
        <v>0.10092702281276078</v>
      </c>
      <c r="AP241" s="1120">
        <f>AP240/AO240-1</f>
        <v>2.6579991546175297E-2</v>
      </c>
      <c r="AQ241" s="242">
        <f>AQ240/AP240-1</f>
        <v>-9.7009177053582363E-2</v>
      </c>
      <c r="AR241" s="194"/>
      <c r="AS241" s="490" t="str">
        <f>+A241</f>
        <v>% growth, y/y</v>
      </c>
      <c r="AT241" s="429">
        <f t="shared" si="397"/>
        <v>0</v>
      </c>
      <c r="AU241" s="429">
        <f t="shared" si="397"/>
        <v>0</v>
      </c>
      <c r="AV241" s="429">
        <f>+K241</f>
        <v>0</v>
      </c>
      <c r="AW241" s="429">
        <f>+P241</f>
        <v>-5.9353314169707794E-2</v>
      </c>
      <c r="AX241" s="429">
        <f>+U241</f>
        <v>8.2772570340894802E-2</v>
      </c>
      <c r="AY241" s="429">
        <f>+Z241</f>
        <v>0.17456693232148024</v>
      </c>
      <c r="AZ241" s="429">
        <f>+AE241</f>
        <v>-1.1939700365969808E-2</v>
      </c>
      <c r="BA241" s="429">
        <f>+AJ241</f>
        <v>-0.68871256189910479</v>
      </c>
      <c r="BB241" s="429">
        <f t="shared" si="398"/>
        <v>0.10092702281276078</v>
      </c>
      <c r="BC241" s="429">
        <f t="shared" si="398"/>
        <v>2.6579991546175297E-2</v>
      </c>
      <c r="BD241" s="1010">
        <f t="shared" si="398"/>
        <v>-9.7009177053582363E-2</v>
      </c>
      <c r="BF241" s="900"/>
      <c r="BM241" s="902"/>
      <c r="BN241" s="902"/>
      <c r="BO241" s="902"/>
      <c r="BP241" s="902"/>
      <c r="BQ241" s="902"/>
      <c r="BR241" s="902"/>
      <c r="BS241" s="902"/>
    </row>
    <row r="242" spans="1:71" s="130" customFormat="1" ht="12.75" customHeight="1">
      <c r="A242" s="490" t="s">
        <v>1882</v>
      </c>
      <c r="B242" s="242"/>
      <c r="C242" s="242"/>
      <c r="D242" s="242"/>
      <c r="E242" s="242"/>
      <c r="F242" s="242"/>
      <c r="G242" s="241">
        <f>G240/G237</f>
        <v>0.27830194042827849</v>
      </c>
      <c r="H242" s="241">
        <f t="shared" ref="H242:P242" si="401">H240/H237</f>
        <v>0.25957445196836992</v>
      </c>
      <c r="I242" s="241">
        <f t="shared" si="401"/>
        <v>0.21431648278651161</v>
      </c>
      <c r="J242" s="1120">
        <f t="shared" si="401"/>
        <v>0.36193730401734037</v>
      </c>
      <c r="K242" s="242">
        <f t="shared" si="401"/>
        <v>0.27704367391629303</v>
      </c>
      <c r="L242" s="241">
        <f>L240/L237</f>
        <v>0.26575563001281866</v>
      </c>
      <c r="M242" s="241">
        <f t="shared" si="401"/>
        <v>0.23815658623489266</v>
      </c>
      <c r="N242" s="241">
        <f t="shared" si="401"/>
        <v>0.17713589411568673</v>
      </c>
      <c r="O242" s="1120">
        <f>O240/O237</f>
        <v>0.32959629616098185</v>
      </c>
      <c r="P242" s="242">
        <f t="shared" si="401"/>
        <v>0.25095368707969795</v>
      </c>
      <c r="Q242" s="241">
        <f t="shared" ref="Q242:V242" si="402">Q240/Q237</f>
        <v>0.256456638492853</v>
      </c>
      <c r="R242" s="241">
        <f t="shared" si="402"/>
        <v>0.25000499285964101</v>
      </c>
      <c r="S242" s="241">
        <f t="shared" si="402"/>
        <v>0.20493890743803597</v>
      </c>
      <c r="T242" s="241">
        <f t="shared" si="402"/>
        <v>0.34020614815986583</v>
      </c>
      <c r="U242" s="242">
        <f t="shared" si="402"/>
        <v>0.2614264834103211</v>
      </c>
      <c r="V242" s="241">
        <f t="shared" si="402"/>
        <v>0.36329147744101414</v>
      </c>
      <c r="W242" s="241">
        <f t="shared" ref="W242:AF242" si="403">W240/W237</f>
        <v>0.32498124054573957</v>
      </c>
      <c r="X242" s="241">
        <f t="shared" si="403"/>
        <v>0.24891318559632408</v>
      </c>
      <c r="Y242" s="241">
        <f t="shared" si="403"/>
        <v>0.365525095635231</v>
      </c>
      <c r="Z242" s="242">
        <f t="shared" si="403"/>
        <v>0.32264488951453485</v>
      </c>
      <c r="AA242" s="241">
        <f t="shared" si="403"/>
        <v>0.35614341118382375</v>
      </c>
      <c r="AB242" s="241">
        <f t="shared" si="403"/>
        <v>0.34217913751880974</v>
      </c>
      <c r="AC242" s="241">
        <f t="shared" si="403"/>
        <v>0.25413794832981007</v>
      </c>
      <c r="AD242" s="241">
        <f t="shared" si="403"/>
        <v>0.36783614744163329</v>
      </c>
      <c r="AE242" s="362">
        <f>AE240/AE237</f>
        <v>0.32822339003437723</v>
      </c>
      <c r="AF242" s="241">
        <f t="shared" si="403"/>
        <v>0.182757051485153</v>
      </c>
      <c r="AG242" s="241">
        <f t="shared" ref="AG242:AI242" si="404">AG240/AG237</f>
        <v>0.30722712415865616</v>
      </c>
      <c r="AH242" s="241">
        <f t="shared" si="404"/>
        <v>0.27202222173409218</v>
      </c>
      <c r="AI242" s="241">
        <f t="shared" si="404"/>
        <v>0.35965135906021084</v>
      </c>
      <c r="AJ242" s="362">
        <f>AJ240/AJ237</f>
        <v>0.2829266414479214</v>
      </c>
      <c r="AK242" s="3938">
        <f>+AF242</f>
        <v>0.182757051485153</v>
      </c>
      <c r="AL242" s="3938">
        <f t="shared" ref="AL242:AN242" si="405">+AG242</f>
        <v>0.30722712415865616</v>
      </c>
      <c r="AM242" s="3938">
        <f t="shared" si="405"/>
        <v>0.27202222173409218</v>
      </c>
      <c r="AN242" s="3938">
        <f t="shared" si="405"/>
        <v>0.35965135906021084</v>
      </c>
      <c r="AO242" s="362">
        <f>AO240/AO237</f>
        <v>0.283707466062528</v>
      </c>
      <c r="AP242" s="363">
        <f>+AO242</f>
        <v>0.283707466062528</v>
      </c>
      <c r="AQ242" s="363">
        <f>+AP242-2%</f>
        <v>0.26370746606252798</v>
      </c>
      <c r="AR242" s="194"/>
      <c r="AS242" s="490" t="str">
        <f>+A242</f>
        <v>% of room revenues</v>
      </c>
      <c r="AT242" s="429">
        <f t="shared" si="397"/>
        <v>0</v>
      </c>
      <c r="AU242" s="429">
        <f t="shared" si="397"/>
        <v>0</v>
      </c>
      <c r="AV242" s="429">
        <f>+K242</f>
        <v>0.27704367391629303</v>
      </c>
      <c r="AW242" s="429">
        <f>+P242</f>
        <v>0.25095368707969795</v>
      </c>
      <c r="AX242" s="429">
        <f>+U242</f>
        <v>0.2614264834103211</v>
      </c>
      <c r="AY242" s="429">
        <f>+Z242</f>
        <v>0.32264488951453485</v>
      </c>
      <c r="AZ242" s="429">
        <f>+AE242</f>
        <v>0.32822339003437723</v>
      </c>
      <c r="BA242" s="429">
        <f>+AJ242</f>
        <v>0.2829266414479214</v>
      </c>
      <c r="BB242" s="429">
        <f t="shared" si="398"/>
        <v>0.283707466062528</v>
      </c>
      <c r="BC242" s="429">
        <f t="shared" si="398"/>
        <v>0.283707466062528</v>
      </c>
      <c r="BD242" s="1010">
        <f t="shared" si="398"/>
        <v>0.26370746606252798</v>
      </c>
      <c r="BE242" s="2402"/>
      <c r="BF242" s="902"/>
      <c r="BG242"/>
      <c r="BH242"/>
      <c r="BI242"/>
      <c r="BJ242"/>
      <c r="BK242"/>
      <c r="BL242"/>
      <c r="BM242" s="902"/>
      <c r="BN242" s="902"/>
      <c r="BO242" s="902"/>
      <c r="BP242" s="902"/>
      <c r="BQ242" s="902"/>
      <c r="BR242" s="902"/>
      <c r="BS242" s="902"/>
    </row>
    <row r="243" spans="1:71" s="15" customFormat="1" ht="12.75" customHeight="1">
      <c r="A243" s="490"/>
      <c r="B243" s="353"/>
      <c r="C243" s="353"/>
      <c r="D243" s="353"/>
      <c r="E243" s="353"/>
      <c r="F243" s="353"/>
      <c r="G243" s="331"/>
      <c r="H243" s="331"/>
      <c r="I243" s="331"/>
      <c r="J243" s="331"/>
      <c r="K243" s="353"/>
      <c r="L243" s="331"/>
      <c r="M243" s="331"/>
      <c r="N243" s="331"/>
      <c r="O243" s="486"/>
      <c r="P243" s="487"/>
      <c r="Q243" s="486"/>
      <c r="R243" s="486"/>
      <c r="S243" s="486"/>
      <c r="T243" s="486"/>
      <c r="U243" s="487"/>
      <c r="V243" s="486"/>
      <c r="W243" s="486"/>
      <c r="X243" s="486"/>
      <c r="Y243" s="2418"/>
      <c r="Z243" s="2588"/>
      <c r="AA243" s="486"/>
      <c r="AB243" s="486"/>
      <c r="AC243" s="486"/>
      <c r="AD243" s="875"/>
      <c r="AE243" s="2555"/>
      <c r="AF243" s="2415"/>
      <c r="AG243" s="2415"/>
      <c r="AH243" s="2415"/>
      <c r="AI243" s="2554"/>
      <c r="AJ243" s="2554"/>
      <c r="AK243" s="2415"/>
      <c r="AL243" s="2415"/>
      <c r="AM243" s="2415"/>
      <c r="AN243" s="2554"/>
      <c r="AO243" s="2952"/>
      <c r="AP243" s="2952"/>
      <c r="AQ243" s="2952"/>
      <c r="AR243" s="331"/>
      <c r="AS243" s="490"/>
      <c r="AT243" s="486"/>
      <c r="AU243" s="486"/>
      <c r="AV243" s="486"/>
      <c r="AW243" s="486"/>
      <c r="AX243" s="486"/>
      <c r="AY243" s="486"/>
      <c r="AZ243" s="486"/>
      <c r="BA243" s="486"/>
      <c r="BB243" s="486"/>
      <c r="BC243" s="486"/>
      <c r="BD243" s="875"/>
      <c r="BE243" s="14"/>
      <c r="BF243" s="900"/>
      <c r="BG243"/>
      <c r="BH243"/>
      <c r="BI243"/>
      <c r="BJ243"/>
      <c r="BK243"/>
      <c r="BL243"/>
      <c r="BM243" s="902"/>
      <c r="BN243" s="902"/>
      <c r="BO243" s="902"/>
      <c r="BP243" s="902"/>
      <c r="BQ243" s="902"/>
      <c r="BR243" s="902"/>
      <c r="BS243" s="902"/>
    </row>
    <row r="244" spans="1:71" s="2" customFormat="1" ht="12.75" customHeight="1">
      <c r="A244" s="493" t="s">
        <v>1246</v>
      </c>
      <c r="B244" s="936"/>
      <c r="C244" s="936"/>
      <c r="D244" s="936"/>
      <c r="E244" s="1646">
        <v>3684</v>
      </c>
      <c r="F244" s="1646">
        <v>3926</v>
      </c>
      <c r="G244" s="1647">
        <v>895</v>
      </c>
      <c r="H244" s="1647">
        <v>1047</v>
      </c>
      <c r="I244" s="1647">
        <v>1009</v>
      </c>
      <c r="J244" s="1647">
        <v>1055</v>
      </c>
      <c r="K244" s="936">
        <f>SUM(G244:J244)</f>
        <v>4006</v>
      </c>
      <c r="L244" s="1647">
        <v>920</v>
      </c>
      <c r="M244" s="1647">
        <v>1078</v>
      </c>
      <c r="N244" s="1647">
        <v>1005</v>
      </c>
      <c r="O244" s="1647">
        <v>1072</v>
      </c>
      <c r="P244" s="936">
        <f>SUM(L244:O244)</f>
        <v>4075</v>
      </c>
      <c r="Q244" s="1647">
        <v>952</v>
      </c>
      <c r="R244" s="1647">
        <v>1126</v>
      </c>
      <c r="S244" s="1647">
        <v>1087</v>
      </c>
      <c r="T244" s="1647">
        <v>1106</v>
      </c>
      <c r="U244" s="936">
        <f>SUM(Q244:T244)</f>
        <v>4271</v>
      </c>
      <c r="V244" s="1647">
        <v>964</v>
      </c>
      <c r="W244" s="1647">
        <v>1141</v>
      </c>
      <c r="X244" s="1647">
        <v>1089</v>
      </c>
      <c r="Y244" s="1647">
        <v>1068</v>
      </c>
      <c r="Z244" s="936">
        <f>SUM(V244:Y244)</f>
        <v>4262</v>
      </c>
      <c r="AA244" s="1647">
        <v>974</v>
      </c>
      <c r="AB244" s="1647">
        <v>1114</v>
      </c>
      <c r="AC244" s="1647">
        <v>1040</v>
      </c>
      <c r="AD244" s="3586">
        <v>1029</v>
      </c>
      <c r="AE244" s="937">
        <f>SUM(AA244:AD244)</f>
        <v>4157</v>
      </c>
      <c r="AF244" s="3875">
        <v>300</v>
      </c>
      <c r="AG244" s="3875">
        <v>377</v>
      </c>
      <c r="AH244" s="3875">
        <v>388</v>
      </c>
      <c r="AI244" s="3875">
        <v>385</v>
      </c>
      <c r="AJ244" s="936">
        <f>SUM(AF244:AI244)</f>
        <v>1450</v>
      </c>
      <c r="AK244" s="3940">
        <f t="shared" ref="AK244:AN244" si="406">AK237+AK240</f>
        <v>314.85800557585725</v>
      </c>
      <c r="AL244" s="777">
        <f t="shared" si="406"/>
        <v>438.53756403891077</v>
      </c>
      <c r="AM244" s="777">
        <f t="shared" si="406"/>
        <v>429.08506743417524</v>
      </c>
      <c r="AN244" s="937">
        <f t="shared" si="406"/>
        <v>410.43896504507853</v>
      </c>
      <c r="AO244" s="936">
        <f>SUM(AK244:AN244)</f>
        <v>1592.9196020940217</v>
      </c>
      <c r="AP244" s="936">
        <f>AP237+AP240</f>
        <v>1635.2593916514179</v>
      </c>
      <c r="AQ244" s="936">
        <f>AQ237+AQ240</f>
        <v>1563.8633870847993</v>
      </c>
      <c r="AR244"/>
      <c r="AS244" s="493" t="str">
        <f>+A244</f>
        <v>Ownership revenues, gross</v>
      </c>
      <c r="AT244" s="777">
        <f t="shared" ref="AT244:AU246" si="407">+E244</f>
        <v>3684</v>
      </c>
      <c r="AU244" s="777">
        <f t="shared" si="407"/>
        <v>3926</v>
      </c>
      <c r="AV244" s="777">
        <f>+K244</f>
        <v>4006</v>
      </c>
      <c r="AW244" s="777">
        <f>+P244</f>
        <v>4075</v>
      </c>
      <c r="AX244" s="777">
        <f>+U244</f>
        <v>4271</v>
      </c>
      <c r="AY244" s="777">
        <f>+Z244</f>
        <v>4262</v>
      </c>
      <c r="AZ244" s="777">
        <f>+AE244</f>
        <v>4157</v>
      </c>
      <c r="BA244" s="777">
        <f>+AJ244</f>
        <v>1450</v>
      </c>
      <c r="BB244" s="777">
        <f t="shared" ref="BB244:BD246" si="408">+AO244</f>
        <v>1592.9196020940217</v>
      </c>
      <c r="BC244" s="777">
        <f t="shared" si="408"/>
        <v>1635.2593916514179</v>
      </c>
      <c r="BD244" s="937">
        <f t="shared" si="408"/>
        <v>1563.8633870847993</v>
      </c>
      <c r="BE244" s="14"/>
      <c r="BF244" s="938"/>
      <c r="BG244"/>
      <c r="BH244"/>
      <c r="BI244"/>
      <c r="BJ244"/>
      <c r="BK244"/>
      <c r="BL244"/>
      <c r="BM244" s="939"/>
      <c r="BN244" s="939"/>
      <c r="BO244" s="939"/>
      <c r="BP244" s="902"/>
      <c r="BQ244" s="902"/>
      <c r="BR244" s="939"/>
      <c r="BS244" s="939"/>
    </row>
    <row r="245" spans="1:71" ht="12.75" customHeight="1">
      <c r="A245" s="490" t="s">
        <v>2309</v>
      </c>
      <c r="B245" s="242"/>
      <c r="C245" s="242"/>
      <c r="D245" s="242"/>
      <c r="E245" s="242"/>
      <c r="F245" s="242">
        <f>F244/E244-1</f>
        <v>6.5689467969598292E-2</v>
      </c>
      <c r="G245" s="241"/>
      <c r="H245" s="241"/>
      <c r="I245" s="241"/>
      <c r="J245" s="241"/>
      <c r="K245" s="242">
        <f t="shared" ref="K245:Q245" si="409">K244/F244-1</f>
        <v>2.0376974019358229E-2</v>
      </c>
      <c r="L245" s="241">
        <f t="shared" si="409"/>
        <v>2.7932960893854775E-2</v>
      </c>
      <c r="M245" s="241">
        <f t="shared" si="409"/>
        <v>2.9608404966571245E-2</v>
      </c>
      <c r="N245" s="241">
        <f t="shared" si="409"/>
        <v>-3.964321110009883E-3</v>
      </c>
      <c r="O245" s="241">
        <f t="shared" si="409"/>
        <v>1.6113744075829439E-2</v>
      </c>
      <c r="P245" s="242">
        <f t="shared" si="409"/>
        <v>1.7224163754368416E-2</v>
      </c>
      <c r="Q245" s="241">
        <f t="shared" si="409"/>
        <v>3.4782608695652195E-2</v>
      </c>
      <c r="R245" s="241">
        <f t="shared" ref="R245:Z245" si="410">R244/M244-1</f>
        <v>4.4526901669758923E-2</v>
      </c>
      <c r="S245" s="241">
        <f t="shared" si="410"/>
        <v>8.1592039800995053E-2</v>
      </c>
      <c r="T245" s="241">
        <f t="shared" si="410"/>
        <v>3.1716417910447658E-2</v>
      </c>
      <c r="U245" s="242">
        <f t="shared" si="410"/>
        <v>4.8098159509202487E-2</v>
      </c>
      <c r="V245" s="241">
        <f t="shared" si="410"/>
        <v>1.2605042016806678E-2</v>
      </c>
      <c r="W245" s="241">
        <f t="shared" si="410"/>
        <v>1.3321492007104752E-2</v>
      </c>
      <c r="X245" s="241">
        <f t="shared" si="410"/>
        <v>1.8399264029438367E-3</v>
      </c>
      <c r="Y245" s="241">
        <f t="shared" si="410"/>
        <v>-3.4358047016274873E-2</v>
      </c>
      <c r="Z245" s="242">
        <f t="shared" si="410"/>
        <v>-2.1072348396160567E-3</v>
      </c>
      <c r="AA245" s="241">
        <f t="shared" ref="AA245:AO245" si="411">AA244/V244-1</f>
        <v>1.0373443983402453E-2</v>
      </c>
      <c r="AB245" s="241">
        <f t="shared" si="411"/>
        <v>-2.366345311130591E-2</v>
      </c>
      <c r="AC245" s="241">
        <f t="shared" si="411"/>
        <v>-4.4995408631772316E-2</v>
      </c>
      <c r="AD245" s="1120">
        <f t="shared" si="411"/>
        <v>-3.6516853932584303E-2</v>
      </c>
      <c r="AE245" s="789">
        <f t="shared" si="411"/>
        <v>-2.4636320976067605E-2</v>
      </c>
      <c r="AF245" s="241">
        <f t="shared" si="411"/>
        <v>-0.69199178644763859</v>
      </c>
      <c r="AG245" s="241">
        <f t="shared" si="411"/>
        <v>-0.66157989228007175</v>
      </c>
      <c r="AH245" s="241">
        <f t="shared" si="411"/>
        <v>-0.62692307692307692</v>
      </c>
      <c r="AI245" s="1120">
        <f t="shared" si="411"/>
        <v>-0.62585034013605445</v>
      </c>
      <c r="AJ245" s="789">
        <f t="shared" si="411"/>
        <v>-0.65119076256916042</v>
      </c>
      <c r="AK245" s="2459">
        <f t="shared" si="411"/>
        <v>4.9526685252857527E-2</v>
      </c>
      <c r="AL245" s="241">
        <f t="shared" si="411"/>
        <v>0.16322961283530701</v>
      </c>
      <c r="AM245" s="241">
        <f t="shared" si="411"/>
        <v>0.10588934905715264</v>
      </c>
      <c r="AN245" s="1120">
        <f t="shared" si="411"/>
        <v>6.6075233883320816E-2</v>
      </c>
      <c r="AO245" s="242">
        <f t="shared" si="411"/>
        <v>9.8565242823463128E-2</v>
      </c>
      <c r="AP245" s="242">
        <f>AP244/AO244-1</f>
        <v>2.6579991546175519E-2</v>
      </c>
      <c r="AQ245" s="242">
        <f>AQ244/AP244-1</f>
        <v>-4.3660354394612022E-2</v>
      </c>
      <c r="AR245"/>
      <c r="AS245" s="490" t="str">
        <f>+A245</f>
        <v>% growth, y/y</v>
      </c>
      <c r="AT245" s="429">
        <f t="shared" si="407"/>
        <v>0</v>
      </c>
      <c r="AU245" s="429">
        <f t="shared" si="407"/>
        <v>6.5689467969598292E-2</v>
      </c>
      <c r="AV245" s="429">
        <f>+K245</f>
        <v>2.0376974019358229E-2</v>
      </c>
      <c r="AW245" s="429">
        <f>+P245</f>
        <v>1.7224163754368416E-2</v>
      </c>
      <c r="AX245" s="429">
        <f>+U245</f>
        <v>4.8098159509202487E-2</v>
      </c>
      <c r="AY245" s="429">
        <f>+Z245</f>
        <v>-2.1072348396160567E-3</v>
      </c>
      <c r="AZ245" s="429">
        <f>+AE245</f>
        <v>-2.4636320976067605E-2</v>
      </c>
      <c r="BA245" s="429">
        <f>+AJ245</f>
        <v>-0.65119076256916042</v>
      </c>
      <c r="BB245" s="429">
        <f t="shared" si="408"/>
        <v>9.8565242823463128E-2</v>
      </c>
      <c r="BC245" s="429">
        <f t="shared" si="408"/>
        <v>2.6579991546175519E-2</v>
      </c>
      <c r="BD245" s="1010">
        <f t="shared" si="408"/>
        <v>-4.3660354394612022E-2</v>
      </c>
      <c r="BF245" s="900"/>
      <c r="BM245" s="902"/>
      <c r="BN245" s="902"/>
      <c r="BO245" s="902"/>
      <c r="BP245" s="902"/>
      <c r="BQ245" s="902"/>
      <c r="BR245" s="902"/>
      <c r="BS245" s="902"/>
    </row>
    <row r="246" spans="1:71" s="1141" customFormat="1" ht="12.75" customHeight="1">
      <c r="A246" s="1144" t="s">
        <v>1420</v>
      </c>
      <c r="B246" s="1138"/>
      <c r="C246" s="1138"/>
      <c r="D246" s="1138"/>
      <c r="E246" s="1138"/>
      <c r="F246" s="1138"/>
      <c r="G246" s="1139"/>
      <c r="H246" s="1139"/>
      <c r="I246" s="1139"/>
      <c r="J246" s="1139"/>
      <c r="K246" s="1138"/>
      <c r="L246" s="1139"/>
      <c r="M246" s="1139"/>
      <c r="N246" s="1139"/>
      <c r="O246" s="1139">
        <v>1053</v>
      </c>
      <c r="P246" s="1138">
        <v>4056</v>
      </c>
      <c r="Q246" s="1139">
        <v>918</v>
      </c>
      <c r="R246" s="1139">
        <v>1090</v>
      </c>
      <c r="S246" s="1139">
        <v>1046</v>
      </c>
      <c r="T246" s="1139">
        <v>1090</v>
      </c>
      <c r="U246" s="1138">
        <v>4144</v>
      </c>
      <c r="V246" s="2469"/>
      <c r="W246" s="1139"/>
      <c r="X246" s="1139"/>
      <c r="Y246" s="1139"/>
      <c r="Z246" s="1138"/>
      <c r="AA246" s="1139"/>
      <c r="AB246" s="1139"/>
      <c r="AC246" s="1139"/>
      <c r="AD246" s="2525"/>
      <c r="AE246" s="2525"/>
      <c r="AF246" s="1139"/>
      <c r="AG246" s="1139"/>
      <c r="AH246" s="1139"/>
      <c r="AI246" s="2525"/>
      <c r="AJ246" s="2525"/>
      <c r="AK246" s="1139"/>
      <c r="AL246" s="1139"/>
      <c r="AM246" s="1139"/>
      <c r="AN246" s="2525"/>
      <c r="AO246" s="2525"/>
      <c r="AP246" s="1138"/>
      <c r="AQ246" s="1138"/>
      <c r="AR246"/>
      <c r="AS246" s="1144" t="str">
        <f>+A246</f>
        <v>Guidance</v>
      </c>
      <c r="AT246" s="1181">
        <f t="shared" si="407"/>
        <v>0</v>
      </c>
      <c r="AU246" s="1181">
        <f t="shared" si="407"/>
        <v>0</v>
      </c>
      <c r="AV246" s="1181">
        <f>+K246</f>
        <v>0</v>
      </c>
      <c r="AW246" s="1181">
        <f>+P246</f>
        <v>4056</v>
      </c>
      <c r="AX246" s="1181">
        <f>+U246</f>
        <v>4144</v>
      </c>
      <c r="AY246" s="1181">
        <f>+Z246</f>
        <v>0</v>
      </c>
      <c r="AZ246" s="1181">
        <f>+AE246</f>
        <v>0</v>
      </c>
      <c r="BA246" s="1181">
        <f>+AJ246</f>
        <v>0</v>
      </c>
      <c r="BB246" s="1181">
        <f t="shared" si="408"/>
        <v>0</v>
      </c>
      <c r="BC246" s="1181">
        <f t="shared" si="408"/>
        <v>0</v>
      </c>
      <c r="BD246" s="1182">
        <f t="shared" si="408"/>
        <v>0</v>
      </c>
      <c r="BE246" s="14"/>
      <c r="BG246"/>
      <c r="BH246"/>
      <c r="BI246"/>
      <c r="BJ246"/>
      <c r="BK246"/>
      <c r="BL246"/>
      <c r="BM246" s="1142"/>
      <c r="BN246" s="1142"/>
      <c r="BO246" s="1142"/>
      <c r="BP246" s="1142"/>
      <c r="BQ246" s="1142"/>
      <c r="BR246" s="1142"/>
      <c r="BS246" s="1142"/>
    </row>
    <row r="247" spans="1:71" ht="12.75" customHeight="1">
      <c r="A247" s="490"/>
      <c r="B247" s="242"/>
      <c r="C247" s="242"/>
      <c r="D247" s="242"/>
      <c r="E247" s="242"/>
      <c r="F247" s="242"/>
      <c r="G247" s="241"/>
      <c r="H247" s="241"/>
      <c r="I247" s="241"/>
      <c r="J247" s="241"/>
      <c r="K247" s="242"/>
      <c r="L247" s="241"/>
      <c r="M247" s="241"/>
      <c r="N247" s="241"/>
      <c r="O247" s="277"/>
      <c r="P247" s="242"/>
      <c r="Q247" s="277"/>
      <c r="R247" s="277"/>
      <c r="S247" s="277"/>
      <c r="T247" s="277"/>
      <c r="U247" s="242"/>
      <c r="V247" s="277"/>
      <c r="W247" s="277"/>
      <c r="X247" s="277"/>
      <c r="Y247" s="277"/>
      <c r="Z247" s="3489"/>
      <c r="AA247" s="277"/>
      <c r="AB247" s="277"/>
      <c r="AC247" s="277"/>
      <c r="AD247" s="1137"/>
      <c r="AE247" s="3488"/>
      <c r="AF247" s="277"/>
      <c r="AG247" s="277"/>
      <c r="AH247" s="277"/>
      <c r="AI247" s="1137"/>
      <c r="AJ247" s="3488"/>
      <c r="AK247" s="277"/>
      <c r="AL247" s="277"/>
      <c r="AM247" s="277"/>
      <c r="AN247" s="1137"/>
      <c r="AO247" s="242"/>
      <c r="AP247" s="242"/>
      <c r="AQ247" s="363"/>
      <c r="AR247"/>
      <c r="AS247" s="490"/>
      <c r="AT247" s="238"/>
      <c r="AU247" s="238"/>
      <c r="AV247" s="238"/>
      <c r="AW247" s="238"/>
      <c r="AX247" s="238"/>
      <c r="AY247" s="238"/>
      <c r="AZ247" s="238"/>
      <c r="BA247" s="238"/>
      <c r="BB247" s="238"/>
      <c r="BC247" s="238"/>
      <c r="BD247" s="789"/>
      <c r="BF247" s="900"/>
      <c r="BM247" s="902"/>
      <c r="BN247" s="902"/>
      <c r="BO247" s="902"/>
      <c r="BP247" s="902"/>
      <c r="BQ247" s="902"/>
      <c r="BR247" s="902"/>
      <c r="BS247" s="902"/>
    </row>
    <row r="248" spans="1:71" s="19" customFormat="1" ht="12.75" customHeight="1">
      <c r="A248" s="708" t="s">
        <v>764</v>
      </c>
      <c r="B248" s="932"/>
      <c r="C248" s="932"/>
      <c r="D248" s="932"/>
      <c r="E248" s="1444">
        <f>E244-E249</f>
        <v>17</v>
      </c>
      <c r="F248" s="1444">
        <f t="shared" ref="F248:N248" si="412">F244-F249</f>
        <v>28</v>
      </c>
      <c r="G248" s="1443">
        <f>G244-G249</f>
        <v>9</v>
      </c>
      <c r="H248" s="1443">
        <f t="shared" si="412"/>
        <v>8</v>
      </c>
      <c r="I248" s="1443">
        <f t="shared" si="412"/>
        <v>3</v>
      </c>
      <c r="J248" s="1443">
        <f t="shared" si="412"/>
        <v>7</v>
      </c>
      <c r="K248" s="933">
        <f>SUM(G248:J248)</f>
        <v>27</v>
      </c>
      <c r="L248" s="1443">
        <f t="shared" si="412"/>
        <v>6</v>
      </c>
      <c r="M248" s="1443">
        <f t="shared" si="412"/>
        <v>8</v>
      </c>
      <c r="N248" s="1443">
        <f t="shared" si="412"/>
        <v>7</v>
      </c>
      <c r="O248" s="1443">
        <f>O244-O249</f>
        <v>8</v>
      </c>
      <c r="P248" s="933">
        <f>SUM(L248:O248)</f>
        <v>29</v>
      </c>
      <c r="Q248" s="1443">
        <f>Q244-Q249</f>
        <v>7</v>
      </c>
      <c r="R248" s="1443">
        <f>R244-R249</f>
        <v>9</v>
      </c>
      <c r="S248" s="1443">
        <f>S244-S249</f>
        <v>8</v>
      </c>
      <c r="T248" s="1443">
        <f>T244-T249</f>
        <v>8</v>
      </c>
      <c r="U248" s="933">
        <f>SUM(Q248:T248)</f>
        <v>32</v>
      </c>
      <c r="V248" s="1443">
        <f>V244-V249</f>
        <v>7</v>
      </c>
      <c r="W248" s="1443">
        <f>W244-W249</f>
        <v>6</v>
      </c>
      <c r="X248" s="1443">
        <f>X244-X249</f>
        <v>7</v>
      </c>
      <c r="Y248" s="1443">
        <f>Y244-Y249</f>
        <v>9</v>
      </c>
      <c r="Z248" s="2577">
        <f>SUM(V248:Y248)</f>
        <v>29</v>
      </c>
      <c r="AA248" s="1443">
        <f>AA244-AA249</f>
        <v>7</v>
      </c>
      <c r="AB248" s="1443">
        <f>AB244-AB249</f>
        <v>9</v>
      </c>
      <c r="AC248" s="1443">
        <f>AC244-AC249</f>
        <v>7</v>
      </c>
      <c r="AD248" s="3587">
        <f>AD244-AD249</f>
        <v>8</v>
      </c>
      <c r="AE248" s="2574">
        <f>SUM(AA248:AD248)</f>
        <v>31</v>
      </c>
      <c r="AF248" s="3850">
        <f>AF244-AF249</f>
        <v>0</v>
      </c>
      <c r="AG248" s="1443">
        <f>AG244-AG249</f>
        <v>0</v>
      </c>
      <c r="AH248" s="1443">
        <f>AH244-AH249</f>
        <v>0</v>
      </c>
      <c r="AI248" s="1443">
        <f>AI244-AI249</f>
        <v>0</v>
      </c>
      <c r="AJ248" s="2577">
        <f>SUM(AF248:AI248)</f>
        <v>0</v>
      </c>
      <c r="AK248" s="3941">
        <f>AF248</f>
        <v>0</v>
      </c>
      <c r="AL248" s="3942">
        <f t="shared" ref="AL248:AN248" si="413">AG248</f>
        <v>0</v>
      </c>
      <c r="AM248" s="3942">
        <f t="shared" si="413"/>
        <v>0</v>
      </c>
      <c r="AN248" s="3942">
        <f t="shared" si="413"/>
        <v>0</v>
      </c>
      <c r="AO248" s="3780">
        <f>SUM(AK248:AN248)</f>
        <v>0</v>
      </c>
      <c r="AP248" s="3780">
        <f>AO248</f>
        <v>0</v>
      </c>
      <c r="AQ248" s="3780">
        <f>AP248</f>
        <v>0</v>
      </c>
      <c r="AR248"/>
      <c r="AS248" s="708" t="str">
        <f>+A248</f>
        <v>Intersegment fees eliminations</v>
      </c>
      <c r="AT248" s="934">
        <f t="shared" ref="AT248:AU251" si="414">+E248</f>
        <v>17</v>
      </c>
      <c r="AU248" s="934">
        <f t="shared" si="414"/>
        <v>28</v>
      </c>
      <c r="AV248" s="934">
        <f>+K248</f>
        <v>27</v>
      </c>
      <c r="AW248" s="934">
        <f>+P248</f>
        <v>29</v>
      </c>
      <c r="AX248" s="934">
        <f>+U248</f>
        <v>32</v>
      </c>
      <c r="AY248" s="934">
        <f>+Z248</f>
        <v>29</v>
      </c>
      <c r="AZ248" s="934">
        <f>+AE248</f>
        <v>31</v>
      </c>
      <c r="BA248" s="934">
        <f>+AJ248</f>
        <v>0</v>
      </c>
      <c r="BB248" s="934">
        <f t="shared" ref="BB248:BD251" si="415">+AO248</f>
        <v>0</v>
      </c>
      <c r="BC248" s="934">
        <f t="shared" si="415"/>
        <v>0</v>
      </c>
      <c r="BD248" s="935">
        <f t="shared" si="415"/>
        <v>0</v>
      </c>
      <c r="BE248" s="14"/>
      <c r="BF248" s="930"/>
      <c r="BG248"/>
      <c r="BH248"/>
      <c r="BI248"/>
      <c r="BJ248"/>
      <c r="BK248"/>
      <c r="BL248"/>
      <c r="BM248" s="931"/>
      <c r="BN248" s="931"/>
      <c r="BO248" s="931"/>
      <c r="BP248" s="931"/>
      <c r="BQ248" s="931"/>
      <c r="BR248" s="931"/>
      <c r="BS248" s="931"/>
    </row>
    <row r="249" spans="1:71" s="2" customFormat="1" ht="12.75" customHeight="1">
      <c r="A249" s="493" t="s">
        <v>765</v>
      </c>
      <c r="B249" s="936"/>
      <c r="C249" s="936"/>
      <c r="D249" s="936"/>
      <c r="E249" s="1445">
        <f t="shared" ref="E249:T249" si="416">E9</f>
        <v>3667</v>
      </c>
      <c r="F249" s="1445">
        <f t="shared" si="416"/>
        <v>3898</v>
      </c>
      <c r="G249" s="1145">
        <f t="shared" si="416"/>
        <v>886</v>
      </c>
      <c r="H249" s="1145">
        <f t="shared" si="416"/>
        <v>1039</v>
      </c>
      <c r="I249" s="1145">
        <f t="shared" si="416"/>
        <v>1006</v>
      </c>
      <c r="J249" s="1145">
        <f t="shared" si="416"/>
        <v>1048</v>
      </c>
      <c r="K249" s="936">
        <f t="shared" si="416"/>
        <v>3979</v>
      </c>
      <c r="L249" s="1145">
        <f t="shared" si="416"/>
        <v>914</v>
      </c>
      <c r="M249" s="1145">
        <f t="shared" si="416"/>
        <v>1070</v>
      </c>
      <c r="N249" s="1145">
        <f t="shared" si="416"/>
        <v>998</v>
      </c>
      <c r="O249" s="1145">
        <f t="shared" si="416"/>
        <v>1064</v>
      </c>
      <c r="P249" s="936">
        <f t="shared" si="416"/>
        <v>4046</v>
      </c>
      <c r="Q249" s="1145">
        <f t="shared" si="416"/>
        <v>945</v>
      </c>
      <c r="R249" s="1145">
        <f t="shared" si="416"/>
        <v>1117</v>
      </c>
      <c r="S249" s="1145">
        <f t="shared" si="416"/>
        <v>1079</v>
      </c>
      <c r="T249" s="1145">
        <f t="shared" si="416"/>
        <v>1098</v>
      </c>
      <c r="U249" s="936">
        <f>+SUM(Q249:T249)</f>
        <v>4239</v>
      </c>
      <c r="V249" s="1145">
        <f>V9</f>
        <v>957</v>
      </c>
      <c r="W249" s="1145">
        <f>W9</f>
        <v>1135</v>
      </c>
      <c r="X249" s="1145">
        <f>X9</f>
        <v>1082</v>
      </c>
      <c r="Y249" s="1145">
        <f>Y9</f>
        <v>1059</v>
      </c>
      <c r="Z249" s="936">
        <f>+SUM(V249:Y249)</f>
        <v>4233</v>
      </c>
      <c r="AA249" s="1145">
        <f>AA9</f>
        <v>967</v>
      </c>
      <c r="AB249" s="1145">
        <f>AB9</f>
        <v>1105</v>
      </c>
      <c r="AC249" s="1145">
        <f>AC9</f>
        <v>1033</v>
      </c>
      <c r="AD249" s="3588">
        <f>AD9</f>
        <v>1021</v>
      </c>
      <c r="AE249" s="937">
        <f>+SUM(AA249:AD249)</f>
        <v>4126</v>
      </c>
      <c r="AF249" s="3876">
        <f>AF9</f>
        <v>300</v>
      </c>
      <c r="AG249" s="1145">
        <f>AG9</f>
        <v>377</v>
      </c>
      <c r="AH249" s="1145">
        <f>AH9</f>
        <v>388</v>
      </c>
      <c r="AI249" s="1145">
        <f>AI9</f>
        <v>385</v>
      </c>
      <c r="AJ249" s="936">
        <f>+SUM(AF249:AI249)</f>
        <v>1450</v>
      </c>
      <c r="AK249" s="3940">
        <f t="shared" ref="AK249:AN249" si="417">AK244-AK248</f>
        <v>314.85800557585725</v>
      </c>
      <c r="AL249" s="777">
        <f t="shared" si="417"/>
        <v>438.53756403891077</v>
      </c>
      <c r="AM249" s="777">
        <f t="shared" si="417"/>
        <v>429.08506743417524</v>
      </c>
      <c r="AN249" s="937">
        <f t="shared" si="417"/>
        <v>410.43896504507853</v>
      </c>
      <c r="AO249" s="936">
        <f>+SUM(AK249:AN249)</f>
        <v>1592.9196020940217</v>
      </c>
      <c r="AP249" s="936">
        <f>AP244-AP248</f>
        <v>1635.2593916514179</v>
      </c>
      <c r="AQ249" s="936">
        <f>AQ244-AQ248</f>
        <v>1563.8633870847993</v>
      </c>
      <c r="AR249"/>
      <c r="AS249" s="493" t="str">
        <f>+A249</f>
        <v>Ownership revenues, net</v>
      </c>
      <c r="AT249" s="777">
        <f t="shared" si="414"/>
        <v>3667</v>
      </c>
      <c r="AU249" s="777">
        <f t="shared" si="414"/>
        <v>3898</v>
      </c>
      <c r="AV249" s="777">
        <f>+K249</f>
        <v>3979</v>
      </c>
      <c r="AW249" s="777">
        <f>+P249</f>
        <v>4046</v>
      </c>
      <c r="AX249" s="777">
        <f>+U249</f>
        <v>4239</v>
      </c>
      <c r="AY249" s="777">
        <f>+Z249</f>
        <v>4233</v>
      </c>
      <c r="AZ249" s="777">
        <f>+AE249</f>
        <v>4126</v>
      </c>
      <c r="BA249" s="777">
        <f>+AJ249</f>
        <v>1450</v>
      </c>
      <c r="BB249" s="777">
        <f t="shared" si="415"/>
        <v>1592.9196020940217</v>
      </c>
      <c r="BC249" s="777">
        <f t="shared" si="415"/>
        <v>1635.2593916514179</v>
      </c>
      <c r="BD249" s="937">
        <f t="shared" si="415"/>
        <v>1563.8633870847993</v>
      </c>
      <c r="BE249" s="14"/>
      <c r="BF249" s="938"/>
      <c r="BG249"/>
      <c r="BH249"/>
      <c r="BI249"/>
      <c r="BJ249"/>
      <c r="BK249"/>
      <c r="BL249"/>
      <c r="BM249" s="939"/>
      <c r="BN249" s="939"/>
      <c r="BO249" s="939"/>
      <c r="BP249" s="902"/>
      <c r="BQ249" s="902"/>
      <c r="BR249" s="939"/>
      <c r="BS249" s="939"/>
    </row>
    <row r="250" spans="1:71" ht="12.75" customHeight="1">
      <c r="A250" s="490" t="s">
        <v>2309</v>
      </c>
      <c r="B250" s="242"/>
      <c r="C250" s="242"/>
      <c r="D250" s="242"/>
      <c r="E250" s="242"/>
      <c r="F250" s="242">
        <f>F249/E249-1</f>
        <v>6.2994273247886534E-2</v>
      </c>
      <c r="G250" s="241"/>
      <c r="H250" s="241"/>
      <c r="I250" s="241"/>
      <c r="J250" s="241"/>
      <c r="K250" s="242">
        <f t="shared" ref="K250:X250" si="418">K249/F249-1</f>
        <v>2.0779887121600726E-2</v>
      </c>
      <c r="L250" s="241">
        <f t="shared" si="418"/>
        <v>3.1602708803611712E-2</v>
      </c>
      <c r="M250" s="241">
        <f t="shared" si="418"/>
        <v>2.9836381135707413E-2</v>
      </c>
      <c r="N250" s="241">
        <f t="shared" si="418"/>
        <v>-7.9522862823061535E-3</v>
      </c>
      <c r="O250" s="241">
        <f t="shared" si="418"/>
        <v>1.5267175572519109E-2</v>
      </c>
      <c r="P250" s="242">
        <f t="shared" si="418"/>
        <v>1.6838401608444409E-2</v>
      </c>
      <c r="Q250" s="241">
        <f t="shared" si="418"/>
        <v>3.3916849015317219E-2</v>
      </c>
      <c r="R250" s="241">
        <f t="shared" si="418"/>
        <v>4.3925233644859896E-2</v>
      </c>
      <c r="S250" s="241">
        <f t="shared" si="418"/>
        <v>8.1162324649298512E-2</v>
      </c>
      <c r="T250" s="241">
        <f t="shared" si="418"/>
        <v>3.1954887218045069E-2</v>
      </c>
      <c r="U250" s="242">
        <f t="shared" si="418"/>
        <v>4.7701433514582225E-2</v>
      </c>
      <c r="V250" s="241">
        <f t="shared" si="418"/>
        <v>1.2698412698412653E-2</v>
      </c>
      <c r="W250" s="241">
        <f t="shared" si="418"/>
        <v>1.6114592658907689E-2</v>
      </c>
      <c r="X250" s="241">
        <f t="shared" si="418"/>
        <v>2.780352177942591E-3</v>
      </c>
      <c r="Y250" s="241">
        <f t="shared" ref="Y250:AE250" si="419">Y249/T249-1</f>
        <v>-3.5519125683060149E-2</v>
      </c>
      <c r="Z250" s="242">
        <f t="shared" si="419"/>
        <v>-1.4154281670205604E-3</v>
      </c>
      <c r="AA250" s="241">
        <f t="shared" si="419"/>
        <v>1.0449320794148287E-2</v>
      </c>
      <c r="AB250" s="241">
        <f t="shared" si="419"/>
        <v>-2.6431718061673992E-2</v>
      </c>
      <c r="AC250" s="241">
        <f t="shared" si="419"/>
        <v>-4.5286506469500942E-2</v>
      </c>
      <c r="AD250" s="1120">
        <f t="shared" si="419"/>
        <v>-3.5882908404154867E-2</v>
      </c>
      <c r="AE250" s="789">
        <f t="shared" si="419"/>
        <v>-2.5277580911882813E-2</v>
      </c>
      <c r="AF250" s="4136">
        <f>AF249/319-1</f>
        <v>-5.9561128526645746E-2</v>
      </c>
      <c r="AG250" s="4136">
        <f>AG249/398-1</f>
        <v>-5.2763819095477338E-2</v>
      </c>
      <c r="AH250" s="4136">
        <f>AH249/372-1</f>
        <v>4.3010752688172005E-2</v>
      </c>
      <c r="AI250" s="4137">
        <f>AI249/363-1</f>
        <v>6.0606060606060552E-2</v>
      </c>
      <c r="AJ250" s="4137">
        <f>AJ249/1452-1</f>
        <v>-1.3774104683195176E-3</v>
      </c>
      <c r="AK250" s="241">
        <f t="shared" ref="AK250" si="420">AK249/AF249-1</f>
        <v>4.9526685252857527E-2</v>
      </c>
      <c r="AL250" s="241">
        <f t="shared" ref="AL250" si="421">AL249/AG249-1</f>
        <v>0.16322961283530701</v>
      </c>
      <c r="AM250" s="241">
        <f t="shared" ref="AM250" si="422">AM249/AH249-1</f>
        <v>0.10588934905715264</v>
      </c>
      <c r="AN250" s="241">
        <f t="shared" ref="AN250:AO250" si="423">AN249/AI249-1</f>
        <v>6.6075233883320816E-2</v>
      </c>
      <c r="AO250" s="242">
        <f t="shared" si="423"/>
        <v>9.8565242823463128E-2</v>
      </c>
      <c r="AP250" s="242">
        <f>AP249/AO249-1</f>
        <v>2.6579991546175519E-2</v>
      </c>
      <c r="AQ250" s="242">
        <f>AQ249/AP249-1</f>
        <v>-4.3660354394612022E-2</v>
      </c>
      <c r="AR250"/>
      <c r="AS250" s="490" t="str">
        <f>+A250</f>
        <v>% growth, y/y</v>
      </c>
      <c r="AT250" s="429">
        <f t="shared" si="414"/>
        <v>0</v>
      </c>
      <c r="AU250" s="429">
        <f t="shared" si="414"/>
        <v>6.2994273247886534E-2</v>
      </c>
      <c r="AV250" s="429">
        <f>+K250</f>
        <v>2.0779887121600726E-2</v>
      </c>
      <c r="AW250" s="429">
        <f>+P250</f>
        <v>1.6838401608444409E-2</v>
      </c>
      <c r="AX250" s="429">
        <f>+U250</f>
        <v>4.7701433514582225E-2</v>
      </c>
      <c r="AY250" s="429">
        <f>+Z250</f>
        <v>-1.4154281670205604E-3</v>
      </c>
      <c r="AZ250" s="429">
        <f>+AE250</f>
        <v>-2.5277580911882813E-2</v>
      </c>
      <c r="BA250" s="429">
        <f>+AJ250</f>
        <v>-1.3774104683195176E-3</v>
      </c>
      <c r="BB250" s="429">
        <f t="shared" si="415"/>
        <v>9.8565242823463128E-2</v>
      </c>
      <c r="BC250" s="429">
        <f t="shared" si="415"/>
        <v>2.6579991546175519E-2</v>
      </c>
      <c r="BD250" s="1010">
        <f t="shared" si="415"/>
        <v>-4.3660354394612022E-2</v>
      </c>
      <c r="BF250" s="900"/>
      <c r="BM250" s="902"/>
      <c r="BN250" s="902"/>
      <c r="BO250" s="902"/>
      <c r="BP250" s="902"/>
      <c r="BQ250" s="902"/>
      <c r="BR250" s="902"/>
      <c r="BS250" s="902"/>
    </row>
    <row r="251" spans="1:71" s="1141" customFormat="1" ht="12.75" customHeight="1">
      <c r="A251" s="1144" t="s">
        <v>1420</v>
      </c>
      <c r="B251" s="1138"/>
      <c r="C251" s="1138"/>
      <c r="D251" s="1138"/>
      <c r="E251" s="1138"/>
      <c r="F251" s="1138"/>
      <c r="G251" s="1139"/>
      <c r="H251" s="1139"/>
      <c r="I251" s="1139"/>
      <c r="J251" s="1139"/>
      <c r="K251" s="1138"/>
      <c r="L251" s="1139"/>
      <c r="M251" s="1139"/>
      <c r="N251" s="1139"/>
      <c r="O251" s="1139">
        <v>1041</v>
      </c>
      <c r="P251" s="1138">
        <v>4023</v>
      </c>
      <c r="Q251" s="1139">
        <v>908</v>
      </c>
      <c r="R251" s="1139">
        <v>1081</v>
      </c>
      <c r="S251" s="1139">
        <v>1037</v>
      </c>
      <c r="T251" s="1139">
        <v>1081</v>
      </c>
      <c r="U251" s="1138">
        <v>4107</v>
      </c>
      <c r="V251" s="1139"/>
      <c r="W251" s="1139"/>
      <c r="X251" s="1139"/>
      <c r="Y251" s="1139"/>
      <c r="Z251" s="3485"/>
      <c r="AA251" s="1139"/>
      <c r="AB251" s="1139"/>
      <c r="AC251" s="1139"/>
      <c r="AD251" s="2525"/>
      <c r="AE251" s="2530"/>
      <c r="AF251" s="1139"/>
      <c r="AG251" s="1139"/>
      <c r="AH251" s="1139"/>
      <c r="AI251" s="2525"/>
      <c r="AJ251" s="2530"/>
      <c r="AK251" s="1139"/>
      <c r="AL251" s="1139"/>
      <c r="AM251" s="1139"/>
      <c r="AN251" s="2525"/>
      <c r="AO251" s="1138"/>
      <c r="AP251" s="1138"/>
      <c r="AQ251" s="1138"/>
      <c r="AR251"/>
      <c r="AS251" s="1144" t="str">
        <f>+A251</f>
        <v>Guidance</v>
      </c>
      <c r="AT251" s="1181">
        <f t="shared" si="414"/>
        <v>0</v>
      </c>
      <c r="AU251" s="1181">
        <f t="shared" si="414"/>
        <v>0</v>
      </c>
      <c r="AV251" s="1181">
        <f>+K251</f>
        <v>0</v>
      </c>
      <c r="AW251" s="1181">
        <f>+P251</f>
        <v>4023</v>
      </c>
      <c r="AX251" s="1181">
        <f>+U251</f>
        <v>4107</v>
      </c>
      <c r="AY251" s="1181">
        <f>+Z251</f>
        <v>0</v>
      </c>
      <c r="AZ251" s="1181">
        <f>+AE251</f>
        <v>0</v>
      </c>
      <c r="BA251" s="1181">
        <f>+AJ251</f>
        <v>0</v>
      </c>
      <c r="BB251" s="1181">
        <f t="shared" si="415"/>
        <v>0</v>
      </c>
      <c r="BC251" s="1181">
        <f t="shared" si="415"/>
        <v>0</v>
      </c>
      <c r="BD251" s="1182">
        <f t="shared" si="415"/>
        <v>0</v>
      </c>
      <c r="BE251" s="14"/>
      <c r="BG251"/>
      <c r="BH251"/>
      <c r="BI251"/>
      <c r="BJ251"/>
      <c r="BK251"/>
      <c r="BL251"/>
      <c r="BM251" s="1142"/>
      <c r="BN251" s="1142"/>
      <c r="BO251" s="1142"/>
      <c r="BP251" s="1142"/>
      <c r="BQ251" s="1142"/>
      <c r="BR251" s="1142"/>
      <c r="BS251" s="1142"/>
    </row>
    <row r="252" spans="1:71" s="1141" customFormat="1" ht="12.75" customHeight="1">
      <c r="A252" s="1144"/>
      <c r="B252" s="1138"/>
      <c r="C252" s="1138"/>
      <c r="D252" s="1138"/>
      <c r="E252" s="1138"/>
      <c r="F252" s="1138"/>
      <c r="G252" s="1139"/>
      <c r="H252" s="1139"/>
      <c r="I252" s="1139"/>
      <c r="J252" s="1139"/>
      <c r="K252" s="1138"/>
      <c r="L252" s="1139"/>
      <c r="M252" s="1139"/>
      <c r="N252" s="1139"/>
      <c r="O252" s="1139"/>
      <c r="P252" s="1138"/>
      <c r="Q252" s="1139"/>
      <c r="R252" s="1139"/>
      <c r="S252" s="1139"/>
      <c r="T252" s="1139"/>
      <c r="U252" s="1138"/>
      <c r="V252" s="1139"/>
      <c r="W252" s="1139"/>
      <c r="X252" s="1139"/>
      <c r="Y252" s="1139"/>
      <c r="Z252" s="3485"/>
      <c r="AA252" s="1139"/>
      <c r="AB252" s="1139"/>
      <c r="AC252" s="1139"/>
      <c r="AD252" s="2525"/>
      <c r="AE252" s="2530"/>
      <c r="AF252" s="1139"/>
      <c r="AG252" s="1139"/>
      <c r="AH252" s="1139"/>
      <c r="AI252" s="2525"/>
      <c r="AJ252" s="2530"/>
      <c r="AK252" s="1139"/>
      <c r="AL252" s="1139"/>
      <c r="AM252" s="1139"/>
      <c r="AN252" s="2525"/>
      <c r="AO252" s="1138"/>
      <c r="AP252" s="1138"/>
      <c r="AQ252" s="1138"/>
      <c r="AR252"/>
      <c r="AS252" s="1144"/>
      <c r="AT252" s="1181"/>
      <c r="AU252" s="1181"/>
      <c r="AV252" s="1181"/>
      <c r="AW252" s="1181"/>
      <c r="AX252" s="1181"/>
      <c r="AY252" s="1181"/>
      <c r="AZ252" s="1181"/>
      <c r="BA252" s="1181"/>
      <c r="BB252" s="1181"/>
      <c r="BC252" s="1181"/>
      <c r="BD252" s="1182"/>
      <c r="BE252" s="14"/>
      <c r="BG252"/>
      <c r="BH252"/>
      <c r="BI252"/>
      <c r="BJ252"/>
      <c r="BK252"/>
      <c r="BL252"/>
      <c r="BM252" s="1142"/>
      <c r="BN252" s="1142"/>
      <c r="BO252" s="1142"/>
      <c r="BP252" s="1142"/>
      <c r="BQ252" s="1142"/>
      <c r="BR252" s="1142"/>
      <c r="BS252" s="1142"/>
    </row>
    <row r="253" spans="1:71" s="1141" customFormat="1" ht="12.75" customHeight="1">
      <c r="A253" s="3029" t="s">
        <v>2865</v>
      </c>
      <c r="B253" s="3030"/>
      <c r="C253" s="3030"/>
      <c r="D253" s="3030"/>
      <c r="E253" s="3030"/>
      <c r="F253" s="3030"/>
      <c r="G253" s="3030"/>
      <c r="H253" s="3030"/>
      <c r="I253" s="3030"/>
      <c r="J253" s="3030"/>
      <c r="K253" s="3030"/>
      <c r="L253" s="3030"/>
      <c r="M253" s="3030"/>
      <c r="N253" s="3030"/>
      <c r="O253" s="3030"/>
      <c r="P253" s="3031"/>
      <c r="Q253" s="3031"/>
      <c r="R253" s="3031"/>
      <c r="S253" s="3031"/>
      <c r="T253" s="3031"/>
      <c r="U253" s="3032"/>
      <c r="V253" s="3031"/>
      <c r="W253" s="3031"/>
      <c r="X253" s="3031"/>
      <c r="Y253" s="3031"/>
      <c r="Z253" s="3032"/>
      <c r="AA253" s="3030"/>
      <c r="AB253" s="3030"/>
      <c r="AC253" s="3030"/>
      <c r="AD253" s="3030"/>
      <c r="AE253" s="3032"/>
      <c r="AF253" s="3030"/>
      <c r="AG253" s="3030"/>
      <c r="AH253" s="3030"/>
      <c r="AI253" s="3030"/>
      <c r="AJ253" s="3033">
        <f>+AJ249+'Owned Assets Spun Out'!J12</f>
        <v>4222.8914100000002</v>
      </c>
      <c r="AK253" s="3030"/>
      <c r="AL253" s="3030"/>
      <c r="AM253" s="3030"/>
      <c r="AN253" s="3030"/>
      <c r="AO253" s="3033">
        <f>+AO249+'Owned Assets Spun Out'!K12</f>
        <v>4408.7908289490215</v>
      </c>
      <c r="AP253" s="3033">
        <f>+AP249+'Owned Assets Spun Out'!L12</f>
        <v>4479.2893307749673</v>
      </c>
      <c r="AQ253" s="3034">
        <f>+AQ249+'Owned Assets Spun Out'!M12</f>
        <v>4324.0493140403632</v>
      </c>
      <c r="AR253" s="677"/>
      <c r="AS253" s="3023"/>
      <c r="AT253" s="1181"/>
      <c r="AU253" s="1181"/>
      <c r="AV253" s="1181"/>
      <c r="AW253" s="1181"/>
      <c r="AX253" s="1181"/>
      <c r="AY253" s="1181"/>
      <c r="AZ253" s="1181"/>
      <c r="BA253" s="1181"/>
      <c r="BB253" s="1181"/>
      <c r="BC253" s="1181"/>
      <c r="BD253" s="1181"/>
      <c r="BE253" s="14"/>
      <c r="BG253"/>
      <c r="BH253"/>
      <c r="BI253"/>
      <c r="BJ253"/>
      <c r="BK253"/>
      <c r="BL253"/>
      <c r="BM253" s="1142"/>
      <c r="BN253" s="1142"/>
      <c r="BO253" s="1142"/>
      <c r="BP253" s="902"/>
      <c r="BQ253"/>
      <c r="BR253"/>
      <c r="BS253"/>
    </row>
    <row r="254" spans="1:71" s="3027" customFormat="1" ht="12.75" customHeight="1">
      <c r="A254" s="490" t="s">
        <v>2309</v>
      </c>
      <c r="B254" s="1139"/>
      <c r="C254" s="1139"/>
      <c r="D254" s="1139"/>
      <c r="E254" s="1139"/>
      <c r="F254" s="1139"/>
      <c r="G254" s="1139"/>
      <c r="H254" s="1139"/>
      <c r="I254" s="1139"/>
      <c r="J254" s="1139"/>
      <c r="K254" s="1139"/>
      <c r="L254" s="1139"/>
      <c r="M254" s="1139"/>
      <c r="N254" s="1139"/>
      <c r="O254" s="1139"/>
      <c r="P254" s="1138"/>
      <c r="Q254" s="1138"/>
      <c r="R254" s="1138"/>
      <c r="S254" s="1138"/>
      <c r="T254" s="1138"/>
      <c r="U254" s="1190"/>
      <c r="V254" s="1138"/>
      <c r="W254" s="1138"/>
      <c r="X254" s="1138"/>
      <c r="Y254" s="1138"/>
      <c r="Z254" s="1190"/>
      <c r="AA254" s="1139"/>
      <c r="AB254" s="1139"/>
      <c r="AC254" s="1139"/>
      <c r="AD254" s="1139"/>
      <c r="AE254" s="1190"/>
      <c r="AF254" s="1139"/>
      <c r="AG254" s="1139"/>
      <c r="AH254" s="1139"/>
      <c r="AI254" s="1139"/>
      <c r="AJ254" s="362">
        <f>+AJ253/AE249-1</f>
        <v>2.3483133785748844E-2</v>
      </c>
      <c r="AK254" s="1139"/>
      <c r="AL254" s="1139"/>
      <c r="AM254" s="1139"/>
      <c r="AN254" s="1139"/>
      <c r="AO254" s="362">
        <f>+AO253/AJ253-1</f>
        <v>4.4021832649734582E-2</v>
      </c>
      <c r="AP254" s="362">
        <f>+AP253/AO253-1</f>
        <v>1.5990439229513598E-2</v>
      </c>
      <c r="AQ254" s="362">
        <f>+AQ253/AP253-1</f>
        <v>-3.4657287187953467E-2</v>
      </c>
      <c r="AR254" s="677"/>
      <c r="AS254" s="3023"/>
      <c r="AT254" s="1181"/>
      <c r="AU254" s="1181"/>
      <c r="AV254" s="1181"/>
      <c r="AW254" s="1181"/>
      <c r="AX254" s="1181"/>
      <c r="AY254" s="1181"/>
      <c r="AZ254" s="1181"/>
      <c r="BA254" s="1181"/>
      <c r="BB254" s="1181"/>
      <c r="BC254" s="1181"/>
      <c r="BD254" s="1181"/>
      <c r="BE254" s="1929"/>
      <c r="BG254"/>
      <c r="BH254"/>
      <c r="BI254"/>
      <c r="BJ254"/>
      <c r="BK254"/>
      <c r="BL254"/>
      <c r="BM254" s="1140"/>
      <c r="BN254" s="1140"/>
      <c r="BO254" s="1140"/>
      <c r="BP254" s="1140"/>
      <c r="BQ254" s="2310"/>
      <c r="BR254" s="2310"/>
      <c r="BS254" s="2310"/>
    </row>
    <row r="255" spans="1:71" ht="12.75" customHeight="1">
      <c r="A255" s="2266"/>
      <c r="B255" s="487"/>
      <c r="C255" s="487"/>
      <c r="D255" s="487"/>
      <c r="E255" s="487"/>
      <c r="F255" s="487"/>
      <c r="G255" s="1146"/>
      <c r="H255" s="1146"/>
      <c r="I255" s="1146"/>
      <c r="J255" s="1146"/>
      <c r="K255" s="487"/>
      <c r="L255" s="1146"/>
      <c r="M255" s="1146"/>
      <c r="N255" s="1146"/>
      <c r="O255" s="1146"/>
      <c r="P255" s="487"/>
      <c r="Q255" s="1146"/>
      <c r="R255" s="1146"/>
      <c r="S255" s="1146"/>
      <c r="T255" s="1146"/>
      <c r="U255" s="487"/>
      <c r="V255" s="1146"/>
      <c r="W255" s="1146"/>
      <c r="X255" s="1146"/>
      <c r="Y255" s="1146"/>
      <c r="Z255" s="2588"/>
      <c r="AA255" s="1146"/>
      <c r="AB255" s="1146"/>
      <c r="AC255" s="1146"/>
      <c r="AD255" s="2418"/>
      <c r="AE255" s="2588"/>
      <c r="AF255" s="2418"/>
      <c r="AG255" s="2418"/>
      <c r="AH255" s="2418"/>
      <c r="AI255" s="2555"/>
      <c r="AJ255" s="2555"/>
      <c r="AK255" s="2418"/>
      <c r="AL255" s="2418"/>
      <c r="AM255" s="2418"/>
      <c r="AN255" s="2555"/>
      <c r="AO255" s="487"/>
      <c r="AP255" s="487"/>
      <c r="AQ255" s="875"/>
      <c r="AR255"/>
      <c r="AS255" s="384"/>
      <c r="AT255" s="486"/>
      <c r="AU255" s="486"/>
      <c r="AV255" s="486"/>
      <c r="AW255" s="486"/>
      <c r="AX255" s="486"/>
      <c r="AY255" s="486"/>
      <c r="AZ255" s="486"/>
      <c r="BA255" s="486"/>
      <c r="BB255" s="486"/>
      <c r="BC255" s="486"/>
      <c r="BD255" s="875"/>
      <c r="BF255" s="900"/>
      <c r="BM255" s="902"/>
      <c r="BN255" s="902"/>
      <c r="BO255" s="902"/>
      <c r="BP255" s="902"/>
      <c r="BQ255"/>
      <c r="BR255"/>
      <c r="BS255"/>
    </row>
    <row r="256" spans="1:71" ht="12.75" customHeight="1">
      <c r="A256" s="2266" t="s">
        <v>2338</v>
      </c>
      <c r="B256" s="487"/>
      <c r="C256" s="487"/>
      <c r="D256" s="487"/>
      <c r="E256" s="487">
        <f t="shared" ref="E256:T256" si="424">+E31</f>
        <v>3009</v>
      </c>
      <c r="F256" s="487">
        <f t="shared" si="424"/>
        <v>3213</v>
      </c>
      <c r="G256" s="1146">
        <f t="shared" si="424"/>
        <v>767</v>
      </c>
      <c r="H256" s="1146">
        <f t="shared" si="424"/>
        <v>828</v>
      </c>
      <c r="I256" s="1146">
        <f t="shared" si="424"/>
        <v>806</v>
      </c>
      <c r="J256" s="1146">
        <f t="shared" si="424"/>
        <v>829</v>
      </c>
      <c r="K256" s="487">
        <f t="shared" si="424"/>
        <v>3230</v>
      </c>
      <c r="L256" s="1146">
        <f t="shared" si="424"/>
        <v>743</v>
      </c>
      <c r="M256" s="1146">
        <f t="shared" si="424"/>
        <v>804</v>
      </c>
      <c r="N256" s="1146">
        <f t="shared" si="424"/>
        <v>780</v>
      </c>
      <c r="O256" s="1146">
        <f t="shared" si="424"/>
        <v>820</v>
      </c>
      <c r="P256" s="487">
        <f t="shared" si="424"/>
        <v>3147</v>
      </c>
      <c r="Q256" s="1146">
        <f t="shared" si="424"/>
        <v>771</v>
      </c>
      <c r="R256" s="1146">
        <f t="shared" si="424"/>
        <v>833</v>
      </c>
      <c r="S256" s="1146">
        <f t="shared" si="424"/>
        <v>816</v>
      </c>
      <c r="T256" s="1146">
        <f t="shared" si="424"/>
        <v>832</v>
      </c>
      <c r="U256" s="487">
        <f>+SUM(Q256:T256)</f>
        <v>3252</v>
      </c>
      <c r="V256" s="1146">
        <f>+V31</f>
        <v>768</v>
      </c>
      <c r="W256" s="1146">
        <f>+W31</f>
        <v>817</v>
      </c>
      <c r="X256" s="1146">
        <f>+X31</f>
        <v>798</v>
      </c>
      <c r="Y256" s="1146">
        <f>+Y31</f>
        <v>785</v>
      </c>
      <c r="Z256" s="2588">
        <f>+SUM(V256:Y256)</f>
        <v>3168</v>
      </c>
      <c r="AA256" s="1146">
        <f>+AA31</f>
        <v>756</v>
      </c>
      <c r="AB256" s="1146">
        <f>+AB31</f>
        <v>808</v>
      </c>
      <c r="AC256" s="1146">
        <f>+AC31</f>
        <v>771</v>
      </c>
      <c r="AD256" s="1146">
        <f>+AD31</f>
        <v>765</v>
      </c>
      <c r="AE256" s="2588">
        <f>+SUM(AA256:AD256)</f>
        <v>3100</v>
      </c>
      <c r="AF256" s="1146">
        <f>+AF31</f>
        <v>272</v>
      </c>
      <c r="AG256" s="1146">
        <f>+AG31</f>
        <v>330</v>
      </c>
      <c r="AH256" s="1146">
        <f>+AH31</f>
        <v>345</v>
      </c>
      <c r="AI256" s="1146">
        <f>+AI31</f>
        <v>339</v>
      </c>
      <c r="AJ256" s="2588">
        <f>+SUM(AF256:AI256)</f>
        <v>1286</v>
      </c>
      <c r="AK256" s="3939">
        <f t="shared" ref="AK256:AN256" si="425">AK249*(1-AK261)</f>
        <v>298.06557861181153</v>
      </c>
      <c r="AL256" s="486">
        <f t="shared" si="425"/>
        <v>387.15480396594319</v>
      </c>
      <c r="AM256" s="486">
        <f t="shared" si="425"/>
        <v>384.749963430474</v>
      </c>
      <c r="AN256" s="875">
        <f t="shared" si="425"/>
        <v>364.47779652428386</v>
      </c>
      <c r="AO256" s="2588">
        <f>+SUM(AK256:AN256)</f>
        <v>1434.4481425325125</v>
      </c>
      <c r="AP256" s="487">
        <f>AP249*(1-AP261)</f>
        <v>1472.5757620344536</v>
      </c>
      <c r="AQ256" s="875">
        <f>AQ249*(1-AQ261)</f>
        <v>1423.9212162619617</v>
      </c>
      <c r="AR256"/>
      <c r="AS256" s="384" t="str">
        <f>+A256</f>
        <v>Expenses (includes FX Impact)</v>
      </c>
      <c r="AT256" s="486">
        <f>+E256</f>
        <v>3009</v>
      </c>
      <c r="AU256" s="486">
        <f>+F256</f>
        <v>3213</v>
      </c>
      <c r="AV256" s="486">
        <f>+K256</f>
        <v>3230</v>
      </c>
      <c r="AW256" s="486">
        <f>+P256</f>
        <v>3147</v>
      </c>
      <c r="AX256" s="486">
        <f>+U256</f>
        <v>3252</v>
      </c>
      <c r="AY256" s="486">
        <f>+Z256</f>
        <v>3168</v>
      </c>
      <c r="AZ256" s="486">
        <f>+AE256</f>
        <v>3100</v>
      </c>
      <c r="BA256" s="486">
        <f>+AJ256</f>
        <v>1286</v>
      </c>
      <c r="BB256" s="486">
        <f t="shared" ref="BB256:BD257" si="426">+AO256</f>
        <v>1434.4481425325125</v>
      </c>
      <c r="BC256" s="486">
        <f t="shared" si="426"/>
        <v>1472.5757620344536</v>
      </c>
      <c r="BD256" s="875">
        <f t="shared" si="426"/>
        <v>1423.9212162619617</v>
      </c>
      <c r="BF256" s="900"/>
      <c r="BM256" s="902"/>
      <c r="BN256" s="902"/>
      <c r="BO256" s="902"/>
      <c r="BP256" s="902"/>
      <c r="BQ256" s="902"/>
      <c r="BR256"/>
      <c r="BS256"/>
    </row>
    <row r="257" spans="1:71" ht="12.75" customHeight="1">
      <c r="A257" s="490" t="s">
        <v>2309</v>
      </c>
      <c r="B257" s="242"/>
      <c r="C257" s="242"/>
      <c r="D257" s="242"/>
      <c r="E257" s="242"/>
      <c r="F257" s="242">
        <f>F256/E256-1</f>
        <v>6.7796610169491567E-2</v>
      </c>
      <c r="G257" s="241"/>
      <c r="H257" s="241"/>
      <c r="I257" s="241"/>
      <c r="J257" s="241"/>
      <c r="K257" s="242">
        <f>+K256/F256-1</f>
        <v>5.2910052910053462E-3</v>
      </c>
      <c r="L257" s="241">
        <f>L256/G256-1</f>
        <v>-3.1290743155149903E-2</v>
      </c>
      <c r="M257" s="241">
        <f>M256/H256-1</f>
        <v>-2.8985507246376829E-2</v>
      </c>
      <c r="N257" s="241">
        <f>N256/I256-1</f>
        <v>-3.2258064516129004E-2</v>
      </c>
      <c r="O257" s="241">
        <f>O256/J256-1</f>
        <v>-1.0856453558504175E-2</v>
      </c>
      <c r="P257" s="242">
        <f>+P256/K256-1</f>
        <v>-2.569659442724459E-2</v>
      </c>
      <c r="Q257" s="241">
        <f>Q256/L256-1</f>
        <v>3.7685060565275874E-2</v>
      </c>
      <c r="R257" s="241">
        <f>R256/M256-1</f>
        <v>3.6069651741293507E-2</v>
      </c>
      <c r="S257" s="241">
        <f>S256/N256-1</f>
        <v>4.6153846153846212E-2</v>
      </c>
      <c r="T257" s="241">
        <f>T256/O256-1</f>
        <v>1.4634146341463428E-2</v>
      </c>
      <c r="U257" s="242">
        <f>+U256/P256-1</f>
        <v>3.336510962821726E-2</v>
      </c>
      <c r="V257" s="241">
        <f>V256/Q256-1</f>
        <v>-3.8910505836575737E-3</v>
      </c>
      <c r="W257" s="241">
        <f>W256/R256-1</f>
        <v>-1.9207683073229287E-2</v>
      </c>
      <c r="X257" s="241">
        <f>X256/S256-1</f>
        <v>-2.2058823529411797E-2</v>
      </c>
      <c r="Y257" s="241">
        <f>Y256/T256-1</f>
        <v>-5.6490384615384581E-2</v>
      </c>
      <c r="Z257" s="242">
        <f>+Z256/U256-1</f>
        <v>-2.5830258302583009E-2</v>
      </c>
      <c r="AA257" s="241">
        <f>AA256/V256-1</f>
        <v>-1.5625E-2</v>
      </c>
      <c r="AB257" s="241">
        <f>AB256/W256-1</f>
        <v>-1.1015911872705009E-2</v>
      </c>
      <c r="AC257" s="241">
        <f>AC256/X256-1</f>
        <v>-3.3834586466165439E-2</v>
      </c>
      <c r="AD257" s="241">
        <f>AD256/Y256-1</f>
        <v>-2.5477707006369421E-2</v>
      </c>
      <c r="AE257" s="362">
        <f>+AE256/Z256-1</f>
        <v>-2.146464646464652E-2</v>
      </c>
      <c r="AF257" s="4136">
        <f>AF256/307-1</f>
        <v>-0.11400651465798051</v>
      </c>
      <c r="AG257" s="4136">
        <f>AG256/349-1</f>
        <v>-5.4441260744985676E-2</v>
      </c>
      <c r="AH257" s="4136">
        <f>AH256/325-1</f>
        <v>6.1538461538461542E-2</v>
      </c>
      <c r="AI257" s="4136">
        <f>AI256/314-1</f>
        <v>7.9617834394904552E-2</v>
      </c>
      <c r="AJ257" s="4138">
        <f>+AJ256/1295-1</f>
        <v>-6.9498069498069581E-3</v>
      </c>
      <c r="AK257" s="241">
        <f t="shared" ref="AK257:AN257" si="427">AK256/AF256-1</f>
        <v>9.5829333131659977E-2</v>
      </c>
      <c r="AL257" s="241">
        <f t="shared" si="427"/>
        <v>0.17319637565437329</v>
      </c>
      <c r="AM257" s="241">
        <f t="shared" si="427"/>
        <v>0.11521728530572184</v>
      </c>
      <c r="AN257" s="241">
        <f t="shared" si="427"/>
        <v>7.5155741959539446E-2</v>
      </c>
      <c r="AO257" s="362">
        <f>+AO256/AJ256-1</f>
        <v>0.11543401441097401</v>
      </c>
      <c r="AP257" s="242">
        <f>AP256/AO256-1</f>
        <v>2.6579991546175297E-2</v>
      </c>
      <c r="AQ257" s="1120">
        <f>AQ256/AP256-1</f>
        <v>-3.304043637474563E-2</v>
      </c>
      <c r="AR257"/>
      <c r="AS257" s="490" t="str">
        <f>+A257</f>
        <v>% growth, y/y</v>
      </c>
      <c r="AT257" s="238"/>
      <c r="AU257" s="238">
        <f>+F257</f>
        <v>6.7796610169491567E-2</v>
      </c>
      <c r="AV257" s="238">
        <f>+K257</f>
        <v>5.2910052910053462E-3</v>
      </c>
      <c r="AW257" s="238">
        <f>+P257</f>
        <v>-2.569659442724459E-2</v>
      </c>
      <c r="AX257" s="238">
        <f>+U257</f>
        <v>3.336510962821726E-2</v>
      </c>
      <c r="AY257" s="238">
        <f>+Z257</f>
        <v>-2.5830258302583009E-2</v>
      </c>
      <c r="AZ257" s="238">
        <f>+AE257</f>
        <v>-2.146464646464652E-2</v>
      </c>
      <c r="BA257" s="238">
        <f>+AJ257</f>
        <v>-6.9498069498069581E-3</v>
      </c>
      <c r="BB257" s="238">
        <f t="shared" si="426"/>
        <v>0.11543401441097401</v>
      </c>
      <c r="BC257" s="238">
        <f t="shared" si="426"/>
        <v>2.6579991546175297E-2</v>
      </c>
      <c r="BD257" s="789">
        <f t="shared" si="426"/>
        <v>-3.304043637474563E-2</v>
      </c>
      <c r="BF257" s="900"/>
      <c r="BM257" s="902"/>
      <c r="BN257" s="902"/>
      <c r="BO257" s="902"/>
      <c r="BP257" s="902"/>
      <c r="BQ257"/>
      <c r="BR257"/>
      <c r="BS257"/>
    </row>
    <row r="258" spans="1:71" ht="12.75" customHeight="1">
      <c r="A258" s="384"/>
      <c r="B258" s="164"/>
      <c r="C258" s="164"/>
      <c r="D258" s="164"/>
      <c r="E258" s="164"/>
      <c r="F258" s="164"/>
      <c r="G258" s="161"/>
      <c r="H258" s="161"/>
      <c r="I258" s="759"/>
      <c r="J258" s="162"/>
      <c r="K258" s="164"/>
      <c r="L258" s="162"/>
      <c r="M258" s="162"/>
      <c r="N258" s="162"/>
      <c r="O258" s="162"/>
      <c r="P258" s="164"/>
      <c r="Q258" s="162"/>
      <c r="R258" s="162"/>
      <c r="S258" s="162"/>
      <c r="T258" s="162"/>
      <c r="U258" s="164"/>
      <c r="V258" s="162"/>
      <c r="W258" s="162"/>
      <c r="X258" s="162"/>
      <c r="Y258" s="2600"/>
      <c r="Z258" s="2569"/>
      <c r="AA258" s="162"/>
      <c r="AB258" s="162"/>
      <c r="AC258" s="162"/>
      <c r="AD258" s="2600"/>
      <c r="AE258" s="2569"/>
      <c r="AF258" s="162"/>
      <c r="AG258" s="162"/>
      <c r="AH258" s="162"/>
      <c r="AI258" s="2415"/>
      <c r="AJ258" s="2952"/>
      <c r="AK258" s="162"/>
      <c r="AL258" s="162"/>
      <c r="AM258" s="2415"/>
      <c r="AN258" s="2554"/>
      <c r="AO258" s="2569"/>
      <c r="AP258" s="2952"/>
      <c r="AQ258" s="2952"/>
      <c r="AR258"/>
      <c r="AS258" s="384"/>
      <c r="AT258" s="162"/>
      <c r="AU258" s="162"/>
      <c r="AV258" s="162"/>
      <c r="AW258" s="162"/>
      <c r="AX258" s="162"/>
      <c r="AY258" s="162"/>
      <c r="AZ258" s="162"/>
      <c r="BA258" s="162"/>
      <c r="BB258" s="162"/>
      <c r="BC258" s="162"/>
      <c r="BD258" s="838"/>
      <c r="BF258" s="900"/>
      <c r="BM258" s="902"/>
      <c r="BN258" s="902"/>
      <c r="BO258" s="902"/>
      <c r="BP258" s="902"/>
      <c r="BQ258" s="902"/>
      <c r="BR258"/>
      <c r="BS258"/>
    </row>
    <row r="259" spans="1:71" ht="12.75" customHeight="1">
      <c r="A259" s="497" t="s">
        <v>199</v>
      </c>
      <c r="B259" s="625"/>
      <c r="C259" s="625"/>
      <c r="D259" s="625"/>
      <c r="E259" s="625">
        <f t="shared" ref="E259:V259" si="428">+E249-E256</f>
        <v>658</v>
      </c>
      <c r="F259" s="625">
        <f t="shared" si="428"/>
        <v>685</v>
      </c>
      <c r="G259" s="626">
        <f t="shared" si="428"/>
        <v>119</v>
      </c>
      <c r="H259" s="626">
        <f t="shared" si="428"/>
        <v>211</v>
      </c>
      <c r="I259" s="626">
        <f t="shared" si="428"/>
        <v>200</v>
      </c>
      <c r="J259" s="626">
        <f t="shared" si="428"/>
        <v>219</v>
      </c>
      <c r="K259" s="625">
        <f>+K249-K256</f>
        <v>749</v>
      </c>
      <c r="L259" s="626">
        <f t="shared" si="428"/>
        <v>171</v>
      </c>
      <c r="M259" s="626">
        <f t="shared" ref="M259:T259" si="429">+M249-M256</f>
        <v>266</v>
      </c>
      <c r="N259" s="626">
        <f t="shared" si="429"/>
        <v>218</v>
      </c>
      <c r="O259" s="626">
        <f t="shared" si="429"/>
        <v>244</v>
      </c>
      <c r="P259" s="625">
        <f t="shared" si="429"/>
        <v>899</v>
      </c>
      <c r="Q259" s="626">
        <f t="shared" si="429"/>
        <v>174</v>
      </c>
      <c r="R259" s="626">
        <f t="shared" si="429"/>
        <v>284</v>
      </c>
      <c r="S259" s="626">
        <f t="shared" si="429"/>
        <v>263</v>
      </c>
      <c r="T259" s="626">
        <f t="shared" si="429"/>
        <v>266</v>
      </c>
      <c r="U259" s="625">
        <f t="shared" si="428"/>
        <v>987</v>
      </c>
      <c r="V259" s="626">
        <f t="shared" si="428"/>
        <v>189</v>
      </c>
      <c r="W259" s="626">
        <f t="shared" ref="W259:AQ259" si="430">+W249-W256</f>
        <v>318</v>
      </c>
      <c r="X259" s="626">
        <f t="shared" si="430"/>
        <v>284</v>
      </c>
      <c r="Y259" s="626">
        <f t="shared" si="430"/>
        <v>274</v>
      </c>
      <c r="Z259" s="625">
        <f t="shared" si="430"/>
        <v>1065</v>
      </c>
      <c r="AA259" s="626">
        <f t="shared" si="430"/>
        <v>211</v>
      </c>
      <c r="AB259" s="626">
        <f t="shared" si="430"/>
        <v>297</v>
      </c>
      <c r="AC259" s="626">
        <f t="shared" si="430"/>
        <v>262</v>
      </c>
      <c r="AD259" s="626">
        <f t="shared" si="430"/>
        <v>256</v>
      </c>
      <c r="AE259" s="620">
        <f t="shared" si="430"/>
        <v>1026</v>
      </c>
      <c r="AF259" s="626">
        <f t="shared" ref="AF259:AG259" si="431">+AF249-AF256</f>
        <v>28</v>
      </c>
      <c r="AG259" s="626">
        <f t="shared" si="431"/>
        <v>47</v>
      </c>
      <c r="AH259" s="626">
        <f t="shared" ref="AH259" si="432">+AH249-AH256</f>
        <v>43</v>
      </c>
      <c r="AI259" s="626">
        <f t="shared" si="430"/>
        <v>46</v>
      </c>
      <c r="AJ259" s="620">
        <f t="shared" si="430"/>
        <v>164</v>
      </c>
      <c r="AK259" s="3945">
        <f t="shared" ref="AK259:AO259" si="433">+AK249-AK256</f>
        <v>16.792426964045717</v>
      </c>
      <c r="AL259" s="626">
        <f t="shared" si="433"/>
        <v>51.382760072967585</v>
      </c>
      <c r="AM259" s="626">
        <f t="shared" si="433"/>
        <v>44.335104003701247</v>
      </c>
      <c r="AN259" s="2526">
        <f t="shared" si="433"/>
        <v>45.961168520794672</v>
      </c>
      <c r="AO259" s="620">
        <f t="shared" si="433"/>
        <v>158.47145956150916</v>
      </c>
      <c r="AP259" s="625">
        <f t="shared" si="430"/>
        <v>162.68362961696425</v>
      </c>
      <c r="AQ259" s="625">
        <f t="shared" si="430"/>
        <v>139.94217082283762</v>
      </c>
      <c r="AR259"/>
      <c r="AS259" s="497" t="str">
        <f>+A259</f>
        <v>Operating Income</v>
      </c>
      <c r="AT259" s="621">
        <f>+E259</f>
        <v>658</v>
      </c>
      <c r="AU259" s="621">
        <f>+F259</f>
        <v>685</v>
      </c>
      <c r="AV259" s="621">
        <f>+K259</f>
        <v>749</v>
      </c>
      <c r="AW259" s="621">
        <f>+P259</f>
        <v>899</v>
      </c>
      <c r="AX259" s="621">
        <f>+U259</f>
        <v>987</v>
      </c>
      <c r="AY259" s="621">
        <f>+Z259</f>
        <v>1065</v>
      </c>
      <c r="AZ259" s="621">
        <f>+AE259</f>
        <v>1026</v>
      </c>
      <c r="BA259" s="621">
        <f>+AJ259</f>
        <v>164</v>
      </c>
      <c r="BB259" s="621">
        <f t="shared" ref="BB259:BD260" si="434">+AO259</f>
        <v>158.47145956150916</v>
      </c>
      <c r="BC259" s="621">
        <f t="shared" si="434"/>
        <v>162.68362961696425</v>
      </c>
      <c r="BD259" s="630">
        <f t="shared" si="434"/>
        <v>139.94217082283762</v>
      </c>
      <c r="BF259" s="900"/>
      <c r="BM259" s="902"/>
      <c r="BN259" s="902"/>
      <c r="BO259" s="902"/>
      <c r="BP259" s="902"/>
      <c r="BQ259" s="902"/>
      <c r="BR259"/>
      <c r="BS259"/>
    </row>
    <row r="260" spans="1:71" ht="12.75" customHeight="1">
      <c r="A260" s="490" t="s">
        <v>2309</v>
      </c>
      <c r="B260" s="242"/>
      <c r="C260" s="242"/>
      <c r="D260" s="242"/>
      <c r="E260" s="242"/>
      <c r="F260" s="242">
        <f>F259/E259-1</f>
        <v>4.1033434650455947E-2</v>
      </c>
      <c r="G260" s="241"/>
      <c r="H260" s="241"/>
      <c r="I260" s="241"/>
      <c r="J260" s="241"/>
      <c r="K260" s="242">
        <f>+K259/F259-1</f>
        <v>9.3430656934306633E-2</v>
      </c>
      <c r="L260" s="241">
        <f>L259/G259-1</f>
        <v>0.43697478991596639</v>
      </c>
      <c r="M260" s="241">
        <f>M259/H259-1</f>
        <v>0.26066350710900466</v>
      </c>
      <c r="N260" s="241">
        <f>N259/I259-1</f>
        <v>9.000000000000008E-2</v>
      </c>
      <c r="O260" s="241">
        <f>O259/J259-1</f>
        <v>0.11415525114155245</v>
      </c>
      <c r="P260" s="242">
        <f t="shared" ref="P260:X260" si="435">+P259/K259-1</f>
        <v>0.2002670226969292</v>
      </c>
      <c r="Q260" s="241">
        <f>Q259/L259-1</f>
        <v>1.7543859649122862E-2</v>
      </c>
      <c r="R260" s="238">
        <f t="shared" si="435"/>
        <v>6.7669172932330879E-2</v>
      </c>
      <c r="S260" s="238">
        <f t="shared" si="435"/>
        <v>0.20642201834862384</v>
      </c>
      <c r="T260" s="238">
        <f t="shared" si="435"/>
        <v>9.0163934426229497E-2</v>
      </c>
      <c r="U260" s="242">
        <f t="shared" si="435"/>
        <v>9.7886540600667482E-2</v>
      </c>
      <c r="V260" s="238">
        <f t="shared" si="435"/>
        <v>8.6206896551724199E-2</v>
      </c>
      <c r="W260" s="238">
        <f t="shared" si="435"/>
        <v>0.11971830985915499</v>
      </c>
      <c r="X260" s="238">
        <f t="shared" si="435"/>
        <v>7.9847908745247054E-2</v>
      </c>
      <c r="Y260" s="238">
        <f t="shared" ref="Y260:AO260" si="436">+Y259/T259-1</f>
        <v>3.007518796992481E-2</v>
      </c>
      <c r="Z260" s="242">
        <f t="shared" si="436"/>
        <v>7.9027355623100259E-2</v>
      </c>
      <c r="AA260" s="238">
        <f t="shared" si="436"/>
        <v>0.11640211640211651</v>
      </c>
      <c r="AB260" s="238">
        <f t="shared" si="436"/>
        <v>-6.6037735849056589E-2</v>
      </c>
      <c r="AC260" s="238">
        <f t="shared" si="436"/>
        <v>-7.7464788732394374E-2</v>
      </c>
      <c r="AD260" s="238">
        <f t="shared" si="436"/>
        <v>-6.5693430656934337E-2</v>
      </c>
      <c r="AE260" s="362">
        <f t="shared" si="436"/>
        <v>-3.6619718309859106E-2</v>
      </c>
      <c r="AF260" s="4136">
        <f>+AF259/12-1</f>
        <v>1.3333333333333335</v>
      </c>
      <c r="AG260" s="4136">
        <f>+AG259/49-1</f>
        <v>-4.081632653061229E-2</v>
      </c>
      <c r="AH260" s="4136">
        <f>+AH259/43-1</f>
        <v>0</v>
      </c>
      <c r="AI260" s="4136">
        <f>+AI259/49-1</f>
        <v>-6.1224489795918324E-2</v>
      </c>
      <c r="AJ260" s="362">
        <f t="shared" si="436"/>
        <v>-0.84015594541910332</v>
      </c>
      <c r="AK260" s="2459">
        <f t="shared" si="436"/>
        <v>-0.40027046556979584</v>
      </c>
      <c r="AL260" s="241">
        <f t="shared" si="436"/>
        <v>9.3250214318459257E-2</v>
      </c>
      <c r="AM260" s="241">
        <f t="shared" si="436"/>
        <v>3.104893031863365E-2</v>
      </c>
      <c r="AN260" s="1120">
        <f t="shared" si="436"/>
        <v>-8.4416259142017225E-4</v>
      </c>
      <c r="AO260" s="362">
        <f t="shared" si="436"/>
        <v>-3.3710612429822207E-2</v>
      </c>
      <c r="AP260" s="242">
        <f>+AP259/AO259-1</f>
        <v>2.6579991546175963E-2</v>
      </c>
      <c r="AQ260" s="362">
        <f>+AQ259/AP259-1</f>
        <v>-0.13978947265727348</v>
      </c>
      <c r="AR260"/>
      <c r="AS260" s="490" t="str">
        <f>+A260</f>
        <v>% growth, y/y</v>
      </c>
      <c r="AT260" s="238"/>
      <c r="AU260" s="238">
        <f>+F260</f>
        <v>4.1033434650455947E-2</v>
      </c>
      <c r="AV260" s="238">
        <f>+K260</f>
        <v>9.3430656934306633E-2</v>
      </c>
      <c r="AW260" s="238">
        <f>+P260</f>
        <v>0.2002670226969292</v>
      </c>
      <c r="AX260" s="238">
        <f>+U260</f>
        <v>9.7886540600667482E-2</v>
      </c>
      <c r="AY260" s="238">
        <f>+Z260</f>
        <v>7.9027355623100259E-2</v>
      </c>
      <c r="AZ260" s="238">
        <f>+AE260</f>
        <v>-3.6619718309859106E-2</v>
      </c>
      <c r="BA260" s="238">
        <f>+AJ260</f>
        <v>-0.84015594541910332</v>
      </c>
      <c r="BB260" s="238">
        <f t="shared" si="434"/>
        <v>-3.3710612429822207E-2</v>
      </c>
      <c r="BC260" s="238">
        <f t="shared" si="434"/>
        <v>2.6579991546175963E-2</v>
      </c>
      <c r="BD260" s="789">
        <f t="shared" si="434"/>
        <v>-0.13978947265727348</v>
      </c>
      <c r="BF260" s="900"/>
      <c r="BM260" s="902"/>
      <c r="BN260" s="902"/>
      <c r="BO260" s="902"/>
      <c r="BP260" s="902"/>
      <c r="BQ260"/>
      <c r="BR260"/>
      <c r="BS260"/>
    </row>
    <row r="261" spans="1:71" ht="12.75" customHeight="1">
      <c r="A261" s="490" t="s">
        <v>1883</v>
      </c>
      <c r="B261" s="242"/>
      <c r="C261" s="242"/>
      <c r="D261" s="242"/>
      <c r="E261" s="242"/>
      <c r="F261" s="1387">
        <f t="shared" ref="F261:N261" si="437">(F249-F256)/F249</f>
        <v>0.17573114417650076</v>
      </c>
      <c r="G261" s="1388">
        <f t="shared" si="437"/>
        <v>0.13431151241534989</v>
      </c>
      <c r="H261" s="1388">
        <f t="shared" si="437"/>
        <v>0.20307988450433109</v>
      </c>
      <c r="I261" s="1388">
        <f t="shared" si="437"/>
        <v>0.19880715705765409</v>
      </c>
      <c r="J261" s="1389">
        <f t="shared" si="437"/>
        <v>0.20896946564885496</v>
      </c>
      <c r="K261" s="1389">
        <f t="shared" si="437"/>
        <v>0.18823825081678813</v>
      </c>
      <c r="L261" s="1388">
        <f t="shared" si="437"/>
        <v>0.18708971553610504</v>
      </c>
      <c r="M261" s="1388">
        <f t="shared" si="437"/>
        <v>0.24859813084112151</v>
      </c>
      <c r="N261" s="1388">
        <f t="shared" si="437"/>
        <v>0.21843687374749499</v>
      </c>
      <c r="O261" s="1389">
        <f t="shared" ref="O261:U261" si="438">(O249-O256)/O249</f>
        <v>0.22932330827067668</v>
      </c>
      <c r="P261" s="1389">
        <f t="shared" si="438"/>
        <v>0.22219476025704399</v>
      </c>
      <c r="Q261" s="1388">
        <f t="shared" si="438"/>
        <v>0.18412698412698414</v>
      </c>
      <c r="R261" s="1388">
        <f t="shared" si="438"/>
        <v>0.25425246195165624</v>
      </c>
      <c r="S261" s="1388">
        <f t="shared" si="438"/>
        <v>0.24374420759962928</v>
      </c>
      <c r="T261" s="1389">
        <f t="shared" si="438"/>
        <v>0.24225865209471767</v>
      </c>
      <c r="U261" s="1120">
        <f t="shared" si="438"/>
        <v>0.23283793347487616</v>
      </c>
      <c r="V261" s="2460">
        <f t="shared" ref="V261:AA261" si="439">(V249-V256)/V249</f>
        <v>0.19749216300940439</v>
      </c>
      <c r="W261" s="1388">
        <f t="shared" si="439"/>
        <v>0.28017621145374449</v>
      </c>
      <c r="X261" s="1388">
        <f t="shared" si="439"/>
        <v>0.26247689463955637</v>
      </c>
      <c r="Y261" s="1388">
        <f t="shared" si="439"/>
        <v>0.25873465533522189</v>
      </c>
      <c r="Z261" s="242">
        <f t="shared" si="439"/>
        <v>0.25159461374911413</v>
      </c>
      <c r="AA261" s="1388">
        <f t="shared" si="439"/>
        <v>0.21820062047569805</v>
      </c>
      <c r="AB261" s="1388">
        <f>(AB249-AB256)/AB249</f>
        <v>0.26877828054298641</v>
      </c>
      <c r="AC261" s="1388">
        <f>(AC249-AC256)/AC249</f>
        <v>0.2536302032913843</v>
      </c>
      <c r="AD261" s="1388">
        <f>(AD249-AD256)/AD249</f>
        <v>0.25073457394711068</v>
      </c>
      <c r="AE261" s="362">
        <f>(AE249-AE256)/AE249</f>
        <v>0.24866698982064955</v>
      </c>
      <c r="AF261" s="1388">
        <f t="shared" ref="AF261:AG261" si="440">(AF249-AF256)/AF249</f>
        <v>9.3333333333333338E-2</v>
      </c>
      <c r="AG261" s="1388">
        <f t="shared" si="440"/>
        <v>0.12466843501326259</v>
      </c>
      <c r="AH261" s="1388">
        <f t="shared" ref="AH261:AI261" si="441">(AH249-AH256)/AH249</f>
        <v>0.11082474226804123</v>
      </c>
      <c r="AI261" s="1388">
        <f t="shared" si="441"/>
        <v>0.11948051948051948</v>
      </c>
      <c r="AJ261" s="362">
        <f>(AJ249-AJ256)/AJ249</f>
        <v>0.11310344827586206</v>
      </c>
      <c r="AK261" s="3938">
        <f>+AF261-0.04</f>
        <v>5.3333333333333337E-2</v>
      </c>
      <c r="AL261" s="3938">
        <f>+AG261-0.0075</f>
        <v>0.1171684350132626</v>
      </c>
      <c r="AM261" s="3938">
        <f t="shared" ref="AM261:AN261" si="442">+AH261-0.0075</f>
        <v>0.10332474226804123</v>
      </c>
      <c r="AN261" s="3938">
        <f t="shared" si="442"/>
        <v>0.11198051948051949</v>
      </c>
      <c r="AO261" s="362">
        <f>(AO249-AO256)/AO249</f>
        <v>9.9484907683467266E-2</v>
      </c>
      <c r="AP261" s="1137">
        <f>+AO261</f>
        <v>9.9484907683467266E-2</v>
      </c>
      <c r="AQ261" s="1137">
        <f>+AP261-0.01</f>
        <v>8.9484907683467271E-2</v>
      </c>
      <c r="AR261"/>
      <c r="AS261" s="490"/>
      <c r="AT261" s="238"/>
      <c r="AU261" s="238"/>
      <c r="AV261" s="238"/>
      <c r="AW261" s="238"/>
      <c r="AX261" s="238"/>
      <c r="AY261" s="238"/>
      <c r="AZ261" s="238"/>
      <c r="BA261" s="238"/>
      <c r="BB261" s="238"/>
      <c r="BC261" s="238"/>
      <c r="BD261" s="789"/>
      <c r="BF261" s="900"/>
      <c r="BM261" s="902"/>
      <c r="BN261" s="902"/>
      <c r="BO261" s="902"/>
      <c r="BP261" s="902"/>
      <c r="BQ261"/>
      <c r="BR261"/>
      <c r="BS261"/>
    </row>
    <row r="262" spans="1:71" ht="12.75" customHeight="1">
      <c r="A262" s="490"/>
      <c r="B262" s="242"/>
      <c r="C262" s="242"/>
      <c r="D262" s="242"/>
      <c r="E262" s="242"/>
      <c r="F262" s="242"/>
      <c r="G262" s="241"/>
      <c r="H262" s="241"/>
      <c r="I262" s="241"/>
      <c r="J262" s="241"/>
      <c r="K262" s="242"/>
      <c r="L262" s="241"/>
      <c r="M262" s="241"/>
      <c r="N262" s="241"/>
      <c r="O262" s="241"/>
      <c r="P262" s="242"/>
      <c r="Q262" s="238"/>
      <c r="R262" s="238"/>
      <c r="S262" s="2369"/>
      <c r="T262" s="2369"/>
      <c r="U262" s="2370"/>
      <c r="V262" s="2369"/>
      <c r="W262" s="2369"/>
      <c r="X262" s="2369"/>
      <c r="Y262" s="2369"/>
      <c r="Z262" s="242"/>
      <c r="AA262" s="2369"/>
      <c r="AB262" s="2369"/>
      <c r="AC262" s="2369"/>
      <c r="AD262" s="2369"/>
      <c r="AE262" s="2370"/>
      <c r="AF262" s="2369"/>
      <c r="AG262" s="2369"/>
      <c r="AH262" s="2369"/>
      <c r="AI262" s="2556"/>
      <c r="AJ262" s="2527"/>
      <c r="AK262" s="2369"/>
      <c r="AL262" s="2369"/>
      <c r="AM262" s="2369"/>
      <c r="AN262" s="2556"/>
      <c r="AO262" s="2556"/>
      <c r="AP262" s="2370"/>
      <c r="AQ262" s="2371"/>
      <c r="AR262" s="194"/>
      <c r="AS262" s="490"/>
      <c r="AT262" s="238"/>
      <c r="AU262" s="238"/>
      <c r="AV262" s="238"/>
      <c r="AW262" s="238"/>
      <c r="AX262" s="238"/>
      <c r="AY262" s="238"/>
      <c r="AZ262" s="238"/>
      <c r="BA262" s="238"/>
      <c r="BB262" s="238"/>
      <c r="BC262" s="238"/>
      <c r="BD262" s="789"/>
      <c r="BF262" s="900"/>
      <c r="BM262" s="902"/>
      <c r="BN262" s="902"/>
      <c r="BO262" s="902"/>
      <c r="BP262" s="902"/>
      <c r="BQ262"/>
      <c r="BR262"/>
      <c r="BS262"/>
    </row>
    <row r="263" spans="1:71" s="19" customFormat="1" ht="12.75" customHeight="1">
      <c r="A263" s="1448" t="s">
        <v>1668</v>
      </c>
      <c r="B263" s="1148"/>
      <c r="C263" s="1148"/>
      <c r="D263" s="1148"/>
      <c r="E263" s="1148">
        <f t="shared" ref="E263:J263" si="443">E264-E259</f>
        <v>30</v>
      </c>
      <c r="F263" s="1148">
        <f t="shared" si="443"/>
        <v>40</v>
      </c>
      <c r="G263" s="1151">
        <f t="shared" si="443"/>
        <v>13</v>
      </c>
      <c r="H263" s="1149">
        <f t="shared" si="443"/>
        <v>15</v>
      </c>
      <c r="I263" s="1149">
        <f t="shared" si="443"/>
        <v>8</v>
      </c>
      <c r="J263" s="1152">
        <f t="shared" si="443"/>
        <v>8</v>
      </c>
      <c r="K263" s="1148">
        <f>SUM(G263:J263)</f>
        <v>44</v>
      </c>
      <c r="L263" s="1151">
        <f>L264-L259</f>
        <v>3</v>
      </c>
      <c r="M263" s="1149">
        <f>M264-M259</f>
        <v>8</v>
      </c>
      <c r="N263" s="1149">
        <f>N264-N259</f>
        <v>9</v>
      </c>
      <c r="O263" s="1152">
        <f>O264-O259</f>
        <v>10</v>
      </c>
      <c r="P263" s="1148">
        <f>SUM(L263:O263)</f>
        <v>30</v>
      </c>
      <c r="Q263" s="1151">
        <f>Q264-Q259</f>
        <v>5</v>
      </c>
      <c r="R263" s="2360">
        <f>R264-R259</f>
        <v>7</v>
      </c>
      <c r="S263" s="2360">
        <f>S264-S259</f>
        <v>-3</v>
      </c>
      <c r="T263" s="2360">
        <f>T264-T259</f>
        <v>3</v>
      </c>
      <c r="U263" s="1075">
        <f>SUM(Q263:T263)</f>
        <v>12</v>
      </c>
      <c r="V263" s="2360">
        <f>V264-V259</f>
        <v>1</v>
      </c>
      <c r="W263" s="2360">
        <f>W264-W259</f>
        <v>0</v>
      </c>
      <c r="X263" s="2360">
        <f>X264-X259</f>
        <v>-3</v>
      </c>
      <c r="Y263" s="2360">
        <f>Y264-Y259</f>
        <v>1</v>
      </c>
      <c r="Z263" s="2580">
        <f>SUM(V263:Y263)</f>
        <v>-1</v>
      </c>
      <c r="AA263" s="2360">
        <f>AA264-AA259</f>
        <v>-4</v>
      </c>
      <c r="AB263" s="2360">
        <f>AB264-AB259</f>
        <v>2</v>
      </c>
      <c r="AC263" s="2360">
        <f>AC264-AC259</f>
        <v>2</v>
      </c>
      <c r="AD263" s="2360">
        <f>AD264-AD259</f>
        <v>3</v>
      </c>
      <c r="AE263" s="1075">
        <f>SUM(AA263:AD263)</f>
        <v>3</v>
      </c>
      <c r="AF263" s="3781">
        <v>0</v>
      </c>
      <c r="AG263" s="3781">
        <v>0</v>
      </c>
      <c r="AH263" s="3781">
        <v>0</v>
      </c>
      <c r="AI263" s="3781">
        <v>0</v>
      </c>
      <c r="AJ263" s="1075">
        <f>SUM(AF263:AI263)</f>
        <v>0</v>
      </c>
      <c r="AK263" s="3935">
        <f>AF263</f>
        <v>0</v>
      </c>
      <c r="AL263" s="3935">
        <f t="shared" ref="AL263:AN263" si="444">AG263</f>
        <v>0</v>
      </c>
      <c r="AM263" s="3935">
        <f t="shared" si="444"/>
        <v>0</v>
      </c>
      <c r="AN263" s="3935">
        <f t="shared" si="444"/>
        <v>0</v>
      </c>
      <c r="AO263" s="2580">
        <f>SUM(AK263:AN263)</f>
        <v>0</v>
      </c>
      <c r="AP263" s="1390">
        <f>AO263</f>
        <v>0</v>
      </c>
      <c r="AQ263" s="1391">
        <f>AP263</f>
        <v>0</v>
      </c>
      <c r="AR263" s="1149"/>
      <c r="AS263" s="1147"/>
      <c r="AT263" s="1074"/>
      <c r="AU263" s="1074"/>
      <c r="AV263" s="1074"/>
      <c r="AW263" s="1074"/>
      <c r="AX263" s="1074"/>
      <c r="AY263" s="1074"/>
      <c r="AZ263" s="1074"/>
      <c r="BA263" s="1074"/>
      <c r="BB263" s="1074"/>
      <c r="BC263" s="1074"/>
      <c r="BD263" s="1150"/>
      <c r="BE263" s="14"/>
      <c r="BF263" s="930"/>
      <c r="BG263"/>
      <c r="BH263"/>
      <c r="BI263"/>
      <c r="BJ263"/>
      <c r="BK263"/>
      <c r="BL263"/>
      <c r="BM263" s="931"/>
      <c r="BN263" s="931"/>
      <c r="BO263" s="931"/>
      <c r="BP263" s="931"/>
      <c r="BQ263"/>
      <c r="BR263"/>
      <c r="BS263"/>
    </row>
    <row r="264" spans="1:71" ht="12.75" customHeight="1">
      <c r="A264" s="291" t="s">
        <v>72</v>
      </c>
      <c r="B264" s="1482"/>
      <c r="C264" s="1482"/>
      <c r="D264" s="1483"/>
      <c r="E264" s="1484">
        <v>688</v>
      </c>
      <c r="F264" s="1484">
        <v>725</v>
      </c>
      <c r="G264" s="1485">
        <v>132</v>
      </c>
      <c r="H264" s="1485">
        <v>226</v>
      </c>
      <c r="I264" s="1485">
        <v>208</v>
      </c>
      <c r="J264" s="1485">
        <v>227</v>
      </c>
      <c r="K264" s="1482">
        <f>SUM(G264:J264)</f>
        <v>793</v>
      </c>
      <c r="L264" s="1485">
        <v>174</v>
      </c>
      <c r="M264" s="1485">
        <v>274</v>
      </c>
      <c r="N264" s="1485">
        <v>227</v>
      </c>
      <c r="O264" s="1485">
        <v>254</v>
      </c>
      <c r="P264" s="1482">
        <f>SUM(L264:O264)</f>
        <v>929</v>
      </c>
      <c r="Q264" s="1485">
        <v>179</v>
      </c>
      <c r="R264" s="1485">
        <v>291</v>
      </c>
      <c r="S264" s="1485">
        <v>260</v>
      </c>
      <c r="T264" s="1485">
        <v>269</v>
      </c>
      <c r="U264" s="1482">
        <f>SUM(Q264:T264)</f>
        <v>999</v>
      </c>
      <c r="V264" s="1485">
        <v>190</v>
      </c>
      <c r="W264" s="1485">
        <v>318</v>
      </c>
      <c r="X264" s="1485">
        <v>281</v>
      </c>
      <c r="Y264" s="1485">
        <v>275</v>
      </c>
      <c r="Z264" s="1482">
        <f>SUM(V264:Y264)</f>
        <v>1064</v>
      </c>
      <c r="AA264" s="2783">
        <v>207</v>
      </c>
      <c r="AB264" s="2783">
        <v>299</v>
      </c>
      <c r="AC264" s="2783">
        <v>264</v>
      </c>
      <c r="AD264" s="1485">
        <v>259</v>
      </c>
      <c r="AE264" s="1482">
        <f>SUM(AA264:AD264)</f>
        <v>1029</v>
      </c>
      <c r="AF264" s="1481">
        <f>AF259+AF263</f>
        <v>28</v>
      </c>
      <c r="AG264" s="1481">
        <f>AG259+AG263</f>
        <v>47</v>
      </c>
      <c r="AH264" s="1481">
        <f>AH259+AH263</f>
        <v>43</v>
      </c>
      <c r="AI264" s="1481">
        <f>AI259+AI263</f>
        <v>46</v>
      </c>
      <c r="AJ264" s="1482">
        <f>SUM(AF264:AI264)</f>
        <v>164</v>
      </c>
      <c r="AK264" s="1483">
        <f t="shared" ref="AK264:AN264" si="445">AK259+AK263</f>
        <v>16.792426964045717</v>
      </c>
      <c r="AL264" s="3937">
        <f t="shared" si="445"/>
        <v>51.382760072967585</v>
      </c>
      <c r="AM264" s="3937">
        <f t="shared" si="445"/>
        <v>44.335104003701247</v>
      </c>
      <c r="AN264" s="3936">
        <f t="shared" si="445"/>
        <v>45.961168520794672</v>
      </c>
      <c r="AO264" s="1482">
        <f>SUM(AK264:AN264)</f>
        <v>158.47145956150922</v>
      </c>
      <c r="AP264" s="1482">
        <f>AP259+AP263</f>
        <v>162.68362961696425</v>
      </c>
      <c r="AQ264" s="1480">
        <f>AQ259+AQ263</f>
        <v>139.94217082283762</v>
      </c>
      <c r="AR264" s="173"/>
      <c r="AS264" s="274" t="str">
        <f>+A264</f>
        <v>Total Ownership Adjusted EBITDA</v>
      </c>
      <c r="AT264" s="622">
        <f>+E264</f>
        <v>688</v>
      </c>
      <c r="AU264" s="622">
        <f>+F264</f>
        <v>725</v>
      </c>
      <c r="AV264" s="622">
        <f>+K264</f>
        <v>793</v>
      </c>
      <c r="AW264" s="622">
        <f>+P264</f>
        <v>929</v>
      </c>
      <c r="AX264" s="622">
        <f>+U264</f>
        <v>999</v>
      </c>
      <c r="AY264" s="622">
        <f>+Z264</f>
        <v>1064</v>
      </c>
      <c r="AZ264" s="622">
        <f>+AE264</f>
        <v>1029</v>
      </c>
      <c r="BA264" s="622">
        <f>+AJ264</f>
        <v>164</v>
      </c>
      <c r="BB264" s="622">
        <f t="shared" ref="BB264:BD268" si="446">+AO264</f>
        <v>158.47145956150922</v>
      </c>
      <c r="BC264" s="622">
        <f t="shared" si="446"/>
        <v>162.68362961696425</v>
      </c>
      <c r="BD264" s="631">
        <f t="shared" si="446"/>
        <v>139.94217082283762</v>
      </c>
      <c r="BF264" s="900"/>
      <c r="BM264" s="902"/>
      <c r="BN264" s="902"/>
      <c r="BO264" s="902"/>
      <c r="BP264" s="902"/>
      <c r="BQ264" s="902"/>
      <c r="BR264"/>
      <c r="BS264"/>
    </row>
    <row r="265" spans="1:71" s="15" customFormat="1" ht="12.75" customHeight="1">
      <c r="A265" s="490" t="s">
        <v>2309</v>
      </c>
      <c r="B265" s="242"/>
      <c r="C265" s="242"/>
      <c r="D265" s="242"/>
      <c r="E265" s="242"/>
      <c r="F265" s="242">
        <f>F264/E264-1</f>
        <v>5.3779069767441845E-2</v>
      </c>
      <c r="G265" s="241"/>
      <c r="H265" s="241"/>
      <c r="I265" s="241"/>
      <c r="J265" s="241"/>
      <c r="K265" s="242">
        <f>+K264/F264-1</f>
        <v>9.3793103448275961E-2</v>
      </c>
      <c r="L265" s="241">
        <f>L264/G264-1</f>
        <v>0.31818181818181812</v>
      </c>
      <c r="M265" s="241">
        <f>M264/H264-1</f>
        <v>0.21238938053097356</v>
      </c>
      <c r="N265" s="241">
        <f>N264/I264-1</f>
        <v>9.1346153846153744E-2</v>
      </c>
      <c r="O265" s="238">
        <f t="shared" ref="O265:V265" si="447">+O264/J264-1</f>
        <v>0.11894273127753308</v>
      </c>
      <c r="P265" s="362">
        <f t="shared" si="447"/>
        <v>0.17150063051702391</v>
      </c>
      <c r="Q265" s="241">
        <f>Q264/L264-1</f>
        <v>2.8735632183908066E-2</v>
      </c>
      <c r="R265" s="238">
        <f t="shared" si="447"/>
        <v>6.2043795620438047E-2</v>
      </c>
      <c r="S265" s="238">
        <f t="shared" si="447"/>
        <v>0.14537444933920707</v>
      </c>
      <c r="T265" s="238">
        <f t="shared" si="447"/>
        <v>5.9055118110236116E-2</v>
      </c>
      <c r="U265" s="242">
        <f t="shared" si="447"/>
        <v>7.5349838536060254E-2</v>
      </c>
      <c r="V265" s="238">
        <f t="shared" si="447"/>
        <v>6.1452513966480549E-2</v>
      </c>
      <c r="W265" s="238">
        <f t="shared" ref="W265:AD265" si="448">+W264/R264-1</f>
        <v>9.2783505154639068E-2</v>
      </c>
      <c r="X265" s="238">
        <f t="shared" si="448"/>
        <v>8.0769230769230704E-2</v>
      </c>
      <c r="Y265" s="238">
        <f t="shared" si="448"/>
        <v>2.2304832713754719E-2</v>
      </c>
      <c r="Z265" s="242">
        <f t="shared" si="448"/>
        <v>6.5065065065065042E-2</v>
      </c>
      <c r="AA265" s="238">
        <f t="shared" si="448"/>
        <v>8.9473684210526372E-2</v>
      </c>
      <c r="AB265" s="238">
        <f t="shared" si="448"/>
        <v>-5.9748427672955962E-2</v>
      </c>
      <c r="AC265" s="238">
        <f t="shared" si="448"/>
        <v>-6.0498220640569422E-2</v>
      </c>
      <c r="AD265" s="238">
        <f t="shared" si="448"/>
        <v>-5.8181818181818223E-2</v>
      </c>
      <c r="AE265" s="242">
        <f>+AE264/Z264-1</f>
        <v>-3.289473684210531E-2</v>
      </c>
      <c r="AF265" s="4136">
        <f>+AF264/12-1</f>
        <v>1.3333333333333335</v>
      </c>
      <c r="AG265" s="4136">
        <f>+AG264/49-1</f>
        <v>-4.081632653061229E-2</v>
      </c>
      <c r="AH265" s="4136">
        <f>+AH264/43-1</f>
        <v>0</v>
      </c>
      <c r="AI265" s="4136">
        <f>+AI264/49-1</f>
        <v>-6.1224489795918324E-2</v>
      </c>
      <c r="AJ265" s="3487">
        <f>+AJ264/157-1</f>
        <v>4.4585987261146487E-2</v>
      </c>
      <c r="AK265" s="238">
        <f t="shared" ref="AK265:AN265" si="449">+AK264/AF264-1</f>
        <v>-0.40027046556979584</v>
      </c>
      <c r="AL265" s="238">
        <f t="shared" si="449"/>
        <v>9.3250214318459257E-2</v>
      </c>
      <c r="AM265" s="238">
        <f t="shared" si="449"/>
        <v>3.104893031863365E-2</v>
      </c>
      <c r="AN265" s="238">
        <f t="shared" si="449"/>
        <v>-8.4416259142017225E-4</v>
      </c>
      <c r="AO265" s="242">
        <f>+AO264/AJ264-1</f>
        <v>-3.3710612429821873E-2</v>
      </c>
      <c r="AP265" s="242">
        <f>+AP264/AO264-1</f>
        <v>2.6579991546175741E-2</v>
      </c>
      <c r="AQ265" s="362">
        <f>+AQ264/AP264-1</f>
        <v>-0.13978947265727348</v>
      </c>
      <c r="AR265" s="194"/>
      <c r="AS265" s="490" t="str">
        <f>+A265</f>
        <v>% growth, y/y</v>
      </c>
      <c r="AT265" s="238"/>
      <c r="AU265" s="238">
        <f>+F265</f>
        <v>5.3779069767441845E-2</v>
      </c>
      <c r="AV265" s="238">
        <f>+K265</f>
        <v>9.3793103448275961E-2</v>
      </c>
      <c r="AW265" s="238">
        <f>+P265</f>
        <v>0.17150063051702391</v>
      </c>
      <c r="AX265" s="238">
        <f>+U265</f>
        <v>7.5349838536060254E-2</v>
      </c>
      <c r="AY265" s="238">
        <f>+Z265</f>
        <v>6.5065065065065042E-2</v>
      </c>
      <c r="AZ265" s="238">
        <f>+AE265</f>
        <v>-3.289473684210531E-2</v>
      </c>
      <c r="BA265" s="238">
        <f>+AJ265</f>
        <v>4.4585987261146487E-2</v>
      </c>
      <c r="BB265" s="238">
        <f t="shared" si="446"/>
        <v>-3.3710612429821873E-2</v>
      </c>
      <c r="BC265" s="238">
        <f t="shared" si="446"/>
        <v>2.6579991546175741E-2</v>
      </c>
      <c r="BD265" s="789">
        <f t="shared" si="446"/>
        <v>-0.13978947265727348</v>
      </c>
      <c r="BE265" s="14"/>
      <c r="BF265" s="948"/>
      <c r="BG265"/>
      <c r="BH265"/>
      <c r="BI265"/>
      <c r="BJ265"/>
      <c r="BK265"/>
      <c r="BL265"/>
      <c r="BM265" s="949"/>
      <c r="BN265" s="949"/>
      <c r="BO265" s="949"/>
      <c r="BP265" s="949"/>
      <c r="BQ265"/>
      <c r="BR265"/>
      <c r="BS265"/>
    </row>
    <row r="266" spans="1:71" s="314" customFormat="1" ht="12.75" customHeight="1">
      <c r="A266" s="490" t="s">
        <v>73</v>
      </c>
      <c r="B266" s="1268"/>
      <c r="C266" s="1268"/>
      <c r="D266" s="1268"/>
      <c r="E266" s="985">
        <f t="shared" ref="E266:S266" si="450">E264/E244</f>
        <v>0.18675352877307275</v>
      </c>
      <c r="F266" s="680">
        <f t="shared" si="450"/>
        <v>0.18466632705043301</v>
      </c>
      <c r="G266" s="1008">
        <f t="shared" si="450"/>
        <v>0.14748603351955308</v>
      </c>
      <c r="H266" s="1008">
        <f t="shared" si="450"/>
        <v>0.21585482330468003</v>
      </c>
      <c r="I266" s="1008">
        <f t="shared" si="450"/>
        <v>0.20614469772051536</v>
      </c>
      <c r="J266" s="419">
        <f t="shared" si="450"/>
        <v>0.21516587677725119</v>
      </c>
      <c r="K266" s="680">
        <f t="shared" si="450"/>
        <v>0.19795307039440838</v>
      </c>
      <c r="L266" s="1008">
        <f t="shared" si="450"/>
        <v>0.18913043478260869</v>
      </c>
      <c r="M266" s="1008">
        <f t="shared" si="450"/>
        <v>0.25417439703153988</v>
      </c>
      <c r="N266" s="1008">
        <f t="shared" si="450"/>
        <v>0.22587064676616916</v>
      </c>
      <c r="O266" s="1008">
        <f>O264/O244</f>
        <v>0.23694029850746268</v>
      </c>
      <c r="P266" s="680">
        <f>P264/P244</f>
        <v>0.2279754601226994</v>
      </c>
      <c r="Q266" s="1008">
        <f>Q264/Q244</f>
        <v>0.18802521008403361</v>
      </c>
      <c r="R266" s="1008">
        <f t="shared" si="450"/>
        <v>0.25843694493783304</v>
      </c>
      <c r="S266" s="1008">
        <f t="shared" si="450"/>
        <v>0.23919043238270468</v>
      </c>
      <c r="T266" s="1008">
        <f t="shared" ref="T266:AQ266" si="451">T264/T244</f>
        <v>0.24321880650994576</v>
      </c>
      <c r="U266" s="680">
        <f t="shared" si="451"/>
        <v>0.23390306719737766</v>
      </c>
      <c r="V266" s="1008">
        <f t="shared" si="451"/>
        <v>0.1970954356846473</v>
      </c>
      <c r="W266" s="1008">
        <f t="shared" si="451"/>
        <v>0.27870289219982469</v>
      </c>
      <c r="X266" s="1008">
        <f t="shared" si="451"/>
        <v>0.25803489439853078</v>
      </c>
      <c r="Y266" s="1008">
        <f t="shared" si="451"/>
        <v>0.25749063670411987</v>
      </c>
      <c r="Z266" s="680">
        <f t="shared" si="451"/>
        <v>0.24964805255748476</v>
      </c>
      <c r="AA266" s="1008">
        <f t="shared" si="451"/>
        <v>0.21252566735112938</v>
      </c>
      <c r="AB266" s="1008">
        <f t="shared" si="451"/>
        <v>0.26840215439856374</v>
      </c>
      <c r="AC266" s="1008">
        <f t="shared" si="451"/>
        <v>0.25384615384615383</v>
      </c>
      <c r="AD266" s="1008">
        <f t="shared" si="451"/>
        <v>0.25170068027210885</v>
      </c>
      <c r="AE266" s="680">
        <f t="shared" si="451"/>
        <v>0.24753427952850612</v>
      </c>
      <c r="AF266" s="1008">
        <f>AF264/AF244</f>
        <v>9.3333333333333338E-2</v>
      </c>
      <c r="AG266" s="1008">
        <f>AG264/AG244</f>
        <v>0.12466843501326259</v>
      </c>
      <c r="AH266" s="1008">
        <f>AH264/AH244</f>
        <v>0.11082474226804123</v>
      </c>
      <c r="AI266" s="1008">
        <f>AI264/AI244</f>
        <v>0.11948051948051948</v>
      </c>
      <c r="AJ266" s="680">
        <f>AJ264/AJ244</f>
        <v>0.11310344827586206</v>
      </c>
      <c r="AK266" s="1008">
        <f t="shared" ref="AK266:AN266" si="452">AK264/AK244</f>
        <v>5.3333333333333323E-2</v>
      </c>
      <c r="AL266" s="1008">
        <f t="shared" si="452"/>
        <v>0.11716843501326256</v>
      </c>
      <c r="AM266" s="1008">
        <f t="shared" si="452"/>
        <v>0.10332474226804123</v>
      </c>
      <c r="AN266" s="1008">
        <f t="shared" si="452"/>
        <v>0.11198051948051949</v>
      </c>
      <c r="AO266" s="680">
        <f>AO264/AO244</f>
        <v>9.9484907683467308E-2</v>
      </c>
      <c r="AP266" s="680">
        <f t="shared" si="451"/>
        <v>9.9484907683467322E-2</v>
      </c>
      <c r="AQ266" s="680">
        <f t="shared" si="451"/>
        <v>8.9484907683467216E-2</v>
      </c>
      <c r="AR266" s="433"/>
      <c r="AS266" s="491" t="str">
        <f>+A266</f>
        <v>Ownership Adjusted EBITDA Margin</v>
      </c>
      <c r="AT266" s="916">
        <f>+E266</f>
        <v>0.18675352877307275</v>
      </c>
      <c r="AU266" s="916">
        <f>+F266</f>
        <v>0.18466632705043301</v>
      </c>
      <c r="AV266" s="916">
        <f>+K266</f>
        <v>0.19795307039440838</v>
      </c>
      <c r="AW266" s="916">
        <f>+P266</f>
        <v>0.2279754601226994</v>
      </c>
      <c r="AX266" s="916">
        <f>+U266</f>
        <v>0.23390306719737766</v>
      </c>
      <c r="AY266" s="916">
        <f>+Z266</f>
        <v>0.24964805255748476</v>
      </c>
      <c r="AZ266" s="916">
        <f>+AE266</f>
        <v>0.24753427952850612</v>
      </c>
      <c r="BA266" s="916">
        <f>+AJ266</f>
        <v>0.11310344827586206</v>
      </c>
      <c r="BB266" s="916">
        <f t="shared" si="446"/>
        <v>9.9484907683467308E-2</v>
      </c>
      <c r="BC266" s="916">
        <f t="shared" si="446"/>
        <v>9.9484907683467322E-2</v>
      </c>
      <c r="BD266" s="927">
        <f t="shared" si="446"/>
        <v>8.9484907683467216E-2</v>
      </c>
      <c r="BE266" s="14"/>
      <c r="BF266" s="900"/>
      <c r="BG266"/>
      <c r="BH266"/>
      <c r="BI266"/>
      <c r="BJ266"/>
      <c r="BK266"/>
      <c r="BL266"/>
      <c r="BM266" s="902"/>
      <c r="BN266" s="902"/>
      <c r="BO266" s="902"/>
      <c r="BP266" s="902"/>
      <c r="BQ266"/>
      <c r="BR266"/>
      <c r="BS266"/>
    </row>
    <row r="267" spans="1:71" s="314" customFormat="1" ht="12.75" customHeight="1">
      <c r="A267" s="490" t="s">
        <v>160</v>
      </c>
      <c r="B267" s="1268"/>
      <c r="C267" s="1268"/>
      <c r="D267" s="1268"/>
      <c r="E267" s="985"/>
      <c r="F267" s="680">
        <f>+(F264-E264)/(F244-E244)</f>
        <v>0.15289256198347106</v>
      </c>
      <c r="G267" s="1008"/>
      <c r="H267" s="1008"/>
      <c r="I267" s="1008"/>
      <c r="J267" s="419"/>
      <c r="K267" s="680">
        <f t="shared" ref="K267:V267" si="453">(K264-F264)/(K249-F249)</f>
        <v>0.83950617283950613</v>
      </c>
      <c r="L267" s="1008">
        <f t="shared" si="453"/>
        <v>1.5</v>
      </c>
      <c r="M267" s="1008">
        <f t="shared" si="453"/>
        <v>1.5483870967741935</v>
      </c>
      <c r="N267" s="1008">
        <f t="shared" si="453"/>
        <v>-2.375</v>
      </c>
      <c r="O267" s="1008">
        <f t="shared" si="453"/>
        <v>1.6875</v>
      </c>
      <c r="P267" s="680">
        <f t="shared" si="453"/>
        <v>2.0298507462686568</v>
      </c>
      <c r="Q267" s="1008">
        <f t="shared" si="453"/>
        <v>0.16129032258064516</v>
      </c>
      <c r="R267" s="1008">
        <f t="shared" si="453"/>
        <v>0.36170212765957449</v>
      </c>
      <c r="S267" s="1008">
        <f t="shared" si="453"/>
        <v>0.40740740740740738</v>
      </c>
      <c r="T267" s="1008">
        <f t="shared" si="453"/>
        <v>0.44117647058823528</v>
      </c>
      <c r="U267" s="680">
        <f t="shared" ref="U267:Z267" si="454">(U264-P264)/(U249-P249)</f>
        <v>0.36269430051813473</v>
      </c>
      <c r="V267" s="1008">
        <f t="shared" si="453"/>
        <v>0.91666666666666663</v>
      </c>
      <c r="W267" s="1008">
        <f t="shared" si="454"/>
        <v>1.5</v>
      </c>
      <c r="X267" s="1008">
        <f t="shared" si="454"/>
        <v>7</v>
      </c>
      <c r="Y267" s="1008">
        <f t="shared" si="454"/>
        <v>-0.15384615384615385</v>
      </c>
      <c r="Z267" s="680">
        <f t="shared" si="454"/>
        <v>-10.833333333333334</v>
      </c>
      <c r="AA267" s="1008">
        <f t="shared" ref="AA267:AJ267" si="455">(AA264-V264)/(AA249-V249)</f>
        <v>1.7</v>
      </c>
      <c r="AB267" s="1008">
        <f t="shared" si="455"/>
        <v>0.6333333333333333</v>
      </c>
      <c r="AC267" s="1008">
        <f t="shared" si="455"/>
        <v>0.34693877551020408</v>
      </c>
      <c r="AD267" s="1008">
        <f t="shared" si="455"/>
        <v>0.42105263157894735</v>
      </c>
      <c r="AE267" s="680">
        <f t="shared" si="455"/>
        <v>0.32710280373831774</v>
      </c>
      <c r="AF267" s="1008">
        <f t="shared" si="455"/>
        <v>0.2683658170914543</v>
      </c>
      <c r="AG267" s="1008">
        <f t="shared" si="455"/>
        <v>0.34615384615384615</v>
      </c>
      <c r="AH267" s="1008">
        <f t="shared" si="455"/>
        <v>0.34263565891472869</v>
      </c>
      <c r="AI267" s="1008">
        <f t="shared" si="455"/>
        <v>0.33490566037735847</v>
      </c>
      <c r="AJ267" s="680">
        <f t="shared" si="455"/>
        <v>0.32324364723467863</v>
      </c>
      <c r="AK267" s="1008">
        <f t="shared" ref="AK267" si="456">(AK264-AF264)/(AK249-AF249)</f>
        <v>-0.75431207632371955</v>
      </c>
      <c r="AL267" s="1008">
        <f t="shared" ref="AL267" si="457">(AL264-AG264)/(AL249-AG249)</f>
        <v>7.1220889897369438E-2</v>
      </c>
      <c r="AM267" s="1008">
        <f t="shared" ref="AM267" si="458">(AM264-AH264)/(AM249-AH249)</f>
        <v>3.2496088897512307E-2</v>
      </c>
      <c r="AN267" s="1008">
        <f t="shared" ref="AN267:AO267" si="459">(AN264-AI264)/(AN249-AI249)</f>
        <v>-1.5264567224538221E-3</v>
      </c>
      <c r="AO267" s="680">
        <f t="shared" si="459"/>
        <v>-3.8682870351498394E-2</v>
      </c>
      <c r="AP267" s="680">
        <f>+(AP264-AO264)/(AP244-AO244)</f>
        <v>9.9484907683468182E-2</v>
      </c>
      <c r="AQ267" s="680">
        <f>+(AQ264-AP264)/(AQ244-AP244)</f>
        <v>0.31852565045018605</v>
      </c>
      <c r="AR267" s="433"/>
      <c r="AS267" s="491"/>
      <c r="AT267" s="916"/>
      <c r="AU267" s="916"/>
      <c r="AV267" s="916"/>
      <c r="AW267" s="916"/>
      <c r="AX267" s="916"/>
      <c r="AY267" s="916"/>
      <c r="AZ267" s="916"/>
      <c r="BA267" s="916"/>
      <c r="BB267" s="916"/>
      <c r="BC267" s="916"/>
      <c r="BD267" s="927"/>
      <c r="BE267" s="14"/>
      <c r="BF267" s="900"/>
      <c r="BG267"/>
      <c r="BH267"/>
      <c r="BI267"/>
      <c r="BJ267"/>
      <c r="BK267"/>
      <c r="BL267"/>
      <c r="BM267" s="902"/>
      <c r="BN267" s="902"/>
      <c r="BO267" s="902"/>
      <c r="BP267" s="902"/>
      <c r="BQ267"/>
      <c r="BR267"/>
      <c r="BS267"/>
    </row>
    <row r="268" spans="1:71" s="1141" customFormat="1" ht="12.75" customHeight="1">
      <c r="A268" s="1144" t="s">
        <v>1884</v>
      </c>
      <c r="B268" s="1138"/>
      <c r="C268" s="1138"/>
      <c r="D268" s="1138"/>
      <c r="E268" s="1138"/>
      <c r="F268" s="1138"/>
      <c r="G268" s="1139"/>
      <c r="H268" s="1139"/>
      <c r="I268" s="1139"/>
      <c r="J268" s="1139"/>
      <c r="K268" s="1138"/>
      <c r="L268" s="1139"/>
      <c r="M268" s="1139"/>
      <c r="N268" s="1139"/>
      <c r="O268" s="1139">
        <v>258</v>
      </c>
      <c r="P268" s="1138">
        <v>930</v>
      </c>
      <c r="Q268" s="1139">
        <v>166</v>
      </c>
      <c r="R268" s="1139">
        <v>282</v>
      </c>
      <c r="S268" s="1139">
        <v>254</v>
      </c>
      <c r="T268" s="1139">
        <v>284</v>
      </c>
      <c r="U268" s="1190">
        <f>SUM(Q268:T268)</f>
        <v>986</v>
      </c>
      <c r="V268" s="1139"/>
      <c r="W268" s="1139"/>
      <c r="X268" s="1139"/>
      <c r="Y268" s="1139"/>
      <c r="Z268" s="1190"/>
      <c r="AA268" s="1185"/>
      <c r="AB268" s="1185"/>
      <c r="AC268" s="1185"/>
      <c r="AD268" s="1185"/>
      <c r="AE268" s="3486">
        <v>180</v>
      </c>
      <c r="AF268" s="1185"/>
      <c r="AG268" s="1185"/>
      <c r="AH268" s="1185"/>
      <c r="AI268" s="1185"/>
      <c r="AJ268" s="1190"/>
      <c r="AK268" s="1185"/>
      <c r="AL268" s="1185"/>
      <c r="AM268" s="1185"/>
      <c r="AN268" s="1185"/>
      <c r="AO268" s="1190"/>
      <c r="AP268" s="1190"/>
      <c r="AQ268" s="1138"/>
      <c r="AR268" s="677"/>
      <c r="AS268" s="3024" t="str">
        <f>+A268</f>
        <v>Owned EBITDA Guidance</v>
      </c>
      <c r="AT268" s="3025">
        <f>+E268</f>
        <v>0</v>
      </c>
      <c r="AU268" s="3025">
        <f>+F268</f>
        <v>0</v>
      </c>
      <c r="AV268" s="3025">
        <f>+K268</f>
        <v>0</v>
      </c>
      <c r="AW268" s="3025">
        <f>+P268</f>
        <v>930</v>
      </c>
      <c r="AX268" s="3025">
        <f>+U268</f>
        <v>986</v>
      </c>
      <c r="AY268" s="3025">
        <f>+Z268</f>
        <v>0</v>
      </c>
      <c r="AZ268" s="3025">
        <f>+AE268</f>
        <v>180</v>
      </c>
      <c r="BA268" s="3025">
        <f>+AJ268</f>
        <v>0</v>
      </c>
      <c r="BB268" s="3025">
        <f t="shared" si="446"/>
        <v>0</v>
      </c>
      <c r="BC268" s="3025">
        <f t="shared" si="446"/>
        <v>0</v>
      </c>
      <c r="BD268" s="3026">
        <f t="shared" si="446"/>
        <v>0</v>
      </c>
      <c r="BE268" s="14"/>
      <c r="BG268"/>
      <c r="BH268"/>
      <c r="BI268"/>
      <c r="BJ268"/>
      <c r="BK268"/>
      <c r="BL268"/>
      <c r="BM268" s="1142"/>
      <c r="BN268" s="1142"/>
      <c r="BO268" s="1142"/>
      <c r="BP268" s="1142"/>
      <c r="BQ268"/>
      <c r="BR268"/>
      <c r="BS268"/>
    </row>
    <row r="269" spans="1:71" s="3027" customFormat="1" ht="12.75" customHeight="1">
      <c r="A269" s="1144"/>
      <c r="B269" s="1139"/>
      <c r="C269" s="1139"/>
      <c r="D269" s="1139"/>
      <c r="E269" s="1139"/>
      <c r="F269" s="1139"/>
      <c r="G269" s="1139"/>
      <c r="H269" s="1139"/>
      <c r="I269" s="1139"/>
      <c r="J269" s="1139"/>
      <c r="K269" s="1139"/>
      <c r="L269" s="1139"/>
      <c r="M269" s="1139"/>
      <c r="N269" s="1139"/>
      <c r="O269" s="1139"/>
      <c r="P269" s="1138"/>
      <c r="Q269" s="1138"/>
      <c r="R269" s="1138"/>
      <c r="S269" s="1138"/>
      <c r="T269" s="1138"/>
      <c r="U269" s="1190"/>
      <c r="V269" s="1138"/>
      <c r="W269" s="1138"/>
      <c r="X269" s="1138"/>
      <c r="Y269" s="1138"/>
      <c r="Z269" s="1190"/>
      <c r="AA269" s="1139"/>
      <c r="AB269" s="1139"/>
      <c r="AC269" s="1139"/>
      <c r="AD269" s="1139"/>
      <c r="AE269" s="1190"/>
      <c r="AF269" s="1139"/>
      <c r="AG269" s="1139"/>
      <c r="AH269" s="1139"/>
      <c r="AI269" s="1139"/>
      <c r="AJ269" s="1190"/>
      <c r="AK269" s="1139"/>
      <c r="AL269" s="1139"/>
      <c r="AM269" s="1139"/>
      <c r="AN269" s="1139"/>
      <c r="AO269" s="1190"/>
      <c r="AP269" s="1190"/>
      <c r="AQ269" s="1138"/>
      <c r="AR269" s="677"/>
      <c r="AS269" s="3023"/>
      <c r="AT269" s="1181"/>
      <c r="AU269" s="1181"/>
      <c r="AV269" s="1181"/>
      <c r="AW269" s="1181"/>
      <c r="AX269" s="1181"/>
      <c r="AY269" s="1181"/>
      <c r="AZ269" s="1181"/>
      <c r="BA269" s="1181"/>
      <c r="BB269" s="1181"/>
      <c r="BC269" s="1181"/>
      <c r="BD269" s="1181"/>
      <c r="BE269" s="1929"/>
      <c r="BG269"/>
      <c r="BH269"/>
      <c r="BI269"/>
      <c r="BJ269"/>
      <c r="BK269"/>
      <c r="BL269"/>
      <c r="BM269" s="1140"/>
      <c r="BN269" s="1140"/>
      <c r="BO269" s="1140"/>
      <c r="BP269" s="1140"/>
      <c r="BQ269" s="2310"/>
      <c r="BR269" s="2310"/>
      <c r="BS269" s="2310"/>
    </row>
    <row r="270" spans="1:71" s="1141" customFormat="1" ht="12.75" customHeight="1">
      <c r="A270" s="3029" t="s">
        <v>2838</v>
      </c>
      <c r="B270" s="3030"/>
      <c r="C270" s="3030"/>
      <c r="D270" s="3030"/>
      <c r="E270" s="3030"/>
      <c r="F270" s="3030"/>
      <c r="G270" s="3030"/>
      <c r="H270" s="3030"/>
      <c r="I270" s="3030"/>
      <c r="J270" s="3030"/>
      <c r="K270" s="3030"/>
      <c r="L270" s="3030"/>
      <c r="M270" s="3030"/>
      <c r="N270" s="3030"/>
      <c r="O270" s="3030"/>
      <c r="P270" s="3031"/>
      <c r="Q270" s="3031"/>
      <c r="R270" s="3031"/>
      <c r="S270" s="3031"/>
      <c r="T270" s="3031"/>
      <c r="U270" s="3032"/>
      <c r="V270" s="3031"/>
      <c r="W270" s="3031"/>
      <c r="X270" s="3031"/>
      <c r="Y270" s="3031"/>
      <c r="Z270" s="3032"/>
      <c r="AA270" s="3030"/>
      <c r="AB270" s="3030"/>
      <c r="AC270" s="3030"/>
      <c r="AD270" s="3030"/>
      <c r="AE270" s="3032"/>
      <c r="AF270" s="3030"/>
      <c r="AG270" s="3030"/>
      <c r="AH270" s="3030"/>
      <c r="AI270" s="3030"/>
      <c r="AJ270" s="3033">
        <f>+AJ264+'Owned Assets Spun Out'!J84</f>
        <v>918.46170245283065</v>
      </c>
      <c r="AK270" s="3030"/>
      <c r="AL270" s="3030"/>
      <c r="AM270" s="3030"/>
      <c r="AN270" s="3030"/>
      <c r="AO270" s="3033">
        <f>+AO264+'Owned Assets Spun Out'!K84</f>
        <v>938.22654971839597</v>
      </c>
      <c r="AP270" s="3033">
        <f>+AP264+'Owned Assets Spun Out'!L84</f>
        <v>1036.794149233438</v>
      </c>
      <c r="AQ270" s="3034">
        <f>+AQ264+'Owned Assets Spun Out'!M84</f>
        <v>1053.5288337674344</v>
      </c>
      <c r="AR270" s="677"/>
      <c r="AS270" s="3023"/>
      <c r="AT270" s="1181"/>
      <c r="AU270" s="1181"/>
      <c r="AV270" s="1181"/>
      <c r="AW270" s="1181"/>
      <c r="AX270" s="1181"/>
      <c r="AY270" s="1181"/>
      <c r="AZ270" s="1181"/>
      <c r="BA270" s="1181"/>
      <c r="BB270" s="1181"/>
      <c r="BC270" s="1181"/>
      <c r="BD270" s="1181"/>
      <c r="BE270" s="14"/>
      <c r="BG270"/>
      <c r="BH270"/>
      <c r="BI270"/>
      <c r="BJ270"/>
      <c r="BK270"/>
      <c r="BL270"/>
      <c r="BM270" s="1142"/>
      <c r="BN270" s="1142"/>
      <c r="BO270" s="1142"/>
      <c r="BP270" s="1142"/>
      <c r="BQ270"/>
      <c r="BR270"/>
      <c r="BS270"/>
    </row>
    <row r="271" spans="1:71" s="1141" customFormat="1" ht="12.75" customHeight="1">
      <c r="A271" s="491" t="s">
        <v>2309</v>
      </c>
      <c r="B271" s="1177"/>
      <c r="C271" s="1177"/>
      <c r="D271" s="1177"/>
      <c r="E271" s="1177"/>
      <c r="F271" s="1177"/>
      <c r="G271" s="1177"/>
      <c r="H271" s="1177"/>
      <c r="I271" s="1177"/>
      <c r="J271" s="1177"/>
      <c r="K271" s="1177"/>
      <c r="L271" s="1177"/>
      <c r="M271" s="1177"/>
      <c r="N271" s="1177"/>
      <c r="O271" s="1177"/>
      <c r="P271" s="1176"/>
      <c r="Q271" s="1176"/>
      <c r="R271" s="1176"/>
      <c r="S271" s="1176"/>
      <c r="T271" s="1176"/>
      <c r="U271" s="1178"/>
      <c r="V271" s="1176"/>
      <c r="W271" s="1176"/>
      <c r="X271" s="1176"/>
      <c r="Y271" s="1176"/>
      <c r="Z271" s="1178"/>
      <c r="AA271" s="1177"/>
      <c r="AB271" s="1177"/>
      <c r="AC271" s="1177"/>
      <c r="AD271" s="1177"/>
      <c r="AE271" s="1178"/>
      <c r="AF271" s="1177"/>
      <c r="AG271" s="1177"/>
      <c r="AH271" s="1177"/>
      <c r="AI271" s="1177"/>
      <c r="AJ271" s="3028">
        <f>+AJ270/AE264-1</f>
        <v>-0.1074230296862676</v>
      </c>
      <c r="AK271" s="1177"/>
      <c r="AL271" s="1177"/>
      <c r="AM271" s="1177"/>
      <c r="AN271" s="1177"/>
      <c r="AO271" s="3028">
        <f>+AO270/AJ270-1</f>
        <v>2.1519511605962105E-2</v>
      </c>
      <c r="AP271" s="3028">
        <f>+AP270/AO270-1</f>
        <v>0.10505735479839773</v>
      </c>
      <c r="AQ271" s="3028">
        <f>+AQ270/AP270-1</f>
        <v>1.6140797617703928E-2</v>
      </c>
      <c r="AR271" s="677"/>
      <c r="AS271" s="3023"/>
      <c r="AT271" s="1181"/>
      <c r="AU271" s="1181"/>
      <c r="AV271" s="1181"/>
      <c r="AW271" s="1181"/>
      <c r="AX271" s="1181"/>
      <c r="AY271" s="1181"/>
      <c r="AZ271" s="1181"/>
      <c r="BA271" s="1181"/>
      <c r="BB271" s="1181"/>
      <c r="BC271" s="1181"/>
      <c r="BD271" s="1181"/>
      <c r="BE271" s="14"/>
      <c r="BG271"/>
      <c r="BH271"/>
      <c r="BI271"/>
      <c r="BJ271"/>
      <c r="BK271"/>
      <c r="BL271"/>
      <c r="BM271" s="1142"/>
      <c r="BN271" s="1142"/>
      <c r="BO271" s="1142"/>
      <c r="BP271" s="1142"/>
      <c r="BQ271"/>
      <c r="BR271"/>
      <c r="BS271"/>
    </row>
    <row r="272" spans="1:71" ht="12.75" customHeight="1">
      <c r="A272" s="1"/>
      <c r="B272" s="340"/>
      <c r="C272" s="340"/>
      <c r="D272" s="340"/>
      <c r="E272" s="340"/>
      <c r="F272" s="340"/>
      <c r="G272" s="340"/>
      <c r="H272" s="340"/>
      <c r="I272" s="340"/>
      <c r="J272" s="340"/>
      <c r="K272" s="340"/>
      <c r="L272" s="340"/>
      <c r="M272" s="1805"/>
      <c r="N272" s="340"/>
      <c r="O272" s="1153"/>
      <c r="P272" s="133"/>
      <c r="Q272" s="340"/>
      <c r="R272" s="340"/>
      <c r="S272" s="340"/>
      <c r="T272" s="340"/>
      <c r="U272" s="1806"/>
      <c r="V272" s="2408"/>
      <c r="W272" s="2408"/>
      <c r="X272" s="2408"/>
      <c r="Y272" s="2743"/>
      <c r="Z272" s="2743">
        <f>Z264/Z121</f>
        <v>0.36957276832233416</v>
      </c>
      <c r="AA272" s="2408"/>
      <c r="AB272" s="2408"/>
      <c r="AC272" s="2408"/>
      <c r="AD272" s="2408"/>
      <c r="AE272" s="2743"/>
      <c r="AF272" s="2408"/>
      <c r="AG272" s="2408"/>
      <c r="AH272" s="2408"/>
      <c r="AI272" s="2408"/>
      <c r="AJ272" s="2743"/>
      <c r="AK272" s="2408"/>
      <c r="AL272" s="2408"/>
      <c r="AM272" s="2408"/>
      <c r="AN272" s="2408"/>
      <c r="AO272" s="2743"/>
      <c r="AP272" s="3753"/>
      <c r="AQ272" s="1153"/>
      <c r="AR272" s="188"/>
      <c r="AS272" s="1"/>
      <c r="AT272" s="340"/>
      <c r="AU272" s="340"/>
      <c r="AV272" s="340"/>
      <c r="AW272" s="340"/>
      <c r="AX272" s="340"/>
      <c r="AY272" s="340"/>
      <c r="AZ272" s="340"/>
      <c r="BA272" s="340"/>
      <c r="BB272" s="340"/>
      <c r="BC272" s="340"/>
      <c r="BD272" s="340"/>
      <c r="BF272" s="900"/>
      <c r="BM272" s="902"/>
      <c r="BN272" s="902"/>
      <c r="BO272" s="902"/>
      <c r="BP272" s="902"/>
      <c r="BQ272"/>
      <c r="BR272"/>
      <c r="BS272"/>
    </row>
    <row r="273" spans="1:71" s="12" customFormat="1" ht="12.75" customHeight="1">
      <c r="A273" s="341" t="s">
        <v>887</v>
      </c>
      <c r="B273" s="766"/>
      <c r="C273" s="766"/>
      <c r="D273" s="766"/>
      <c r="E273" s="766" t="str">
        <f>E$5</f>
        <v>2010</v>
      </c>
      <c r="F273" s="766" t="str">
        <f>F$5</f>
        <v>2011</v>
      </c>
      <c r="G273" s="767" t="str">
        <f t="shared" ref="G273:AQ273" si="460">G$5</f>
        <v>1Q12</v>
      </c>
      <c r="H273" s="767" t="str">
        <f t="shared" si="460"/>
        <v>2Q12</v>
      </c>
      <c r="I273" s="767" t="str">
        <f t="shared" si="460"/>
        <v>3Q12</v>
      </c>
      <c r="J273" s="767" t="str">
        <f t="shared" si="460"/>
        <v>4Q12</v>
      </c>
      <c r="K273" s="766">
        <f t="shared" si="460"/>
        <v>2012</v>
      </c>
      <c r="L273" s="767" t="str">
        <f t="shared" si="460"/>
        <v>1Q13</v>
      </c>
      <c r="M273" s="767" t="str">
        <f t="shared" si="460"/>
        <v>2Q13</v>
      </c>
      <c r="N273" s="767" t="str">
        <f t="shared" si="460"/>
        <v>3Q13</v>
      </c>
      <c r="O273" s="767" t="str">
        <f t="shared" si="460"/>
        <v>4Q13</v>
      </c>
      <c r="P273" s="766">
        <f t="shared" si="460"/>
        <v>2013</v>
      </c>
      <c r="Q273" s="767" t="str">
        <f t="shared" si="460"/>
        <v>1Q14</v>
      </c>
      <c r="R273" s="767" t="str">
        <f t="shared" si="460"/>
        <v>2Q14</v>
      </c>
      <c r="S273" s="767" t="str">
        <f t="shared" si="460"/>
        <v>3Q14</v>
      </c>
      <c r="T273" s="767" t="str">
        <f t="shared" si="460"/>
        <v>4Q14</v>
      </c>
      <c r="U273" s="766">
        <f t="shared" si="460"/>
        <v>2014</v>
      </c>
      <c r="V273" s="767" t="str">
        <f t="shared" si="460"/>
        <v>1Q15</v>
      </c>
      <c r="W273" s="767" t="str">
        <f t="shared" si="460"/>
        <v>2Q15</v>
      </c>
      <c r="X273" s="767" t="str">
        <f t="shared" si="460"/>
        <v>3Q15</v>
      </c>
      <c r="Y273" s="767" t="str">
        <f t="shared" si="460"/>
        <v>4Q15</v>
      </c>
      <c r="Z273" s="766">
        <f t="shared" si="460"/>
        <v>2015</v>
      </c>
      <c r="AA273" s="767" t="str">
        <f t="shared" si="460"/>
        <v>1Q16</v>
      </c>
      <c r="AB273" s="767" t="str">
        <f t="shared" si="460"/>
        <v>2Q16</v>
      </c>
      <c r="AC273" s="767" t="str">
        <f t="shared" si="460"/>
        <v>3Q16</v>
      </c>
      <c r="AD273" s="767" t="str">
        <f t="shared" si="460"/>
        <v>4Q16</v>
      </c>
      <c r="AE273" s="766">
        <f t="shared" si="460"/>
        <v>2016</v>
      </c>
      <c r="AF273" s="767" t="str">
        <f t="shared" si="460"/>
        <v>1Q17</v>
      </c>
      <c r="AG273" s="767" t="str">
        <f t="shared" si="460"/>
        <v>2Q17</v>
      </c>
      <c r="AH273" s="767" t="str">
        <f t="shared" si="460"/>
        <v>3Q17</v>
      </c>
      <c r="AI273" s="767" t="str">
        <f t="shared" si="460"/>
        <v>4Q17A</v>
      </c>
      <c r="AJ273" s="766" t="str">
        <f t="shared" si="460"/>
        <v>2017A</v>
      </c>
      <c r="AK273" s="767" t="str">
        <f t="shared" si="460"/>
        <v>1Q18E</v>
      </c>
      <c r="AL273" s="767" t="str">
        <f t="shared" si="460"/>
        <v>2Q18E</v>
      </c>
      <c r="AM273" s="767" t="str">
        <f t="shared" si="460"/>
        <v>3Q18E</v>
      </c>
      <c r="AN273" s="767" t="str">
        <f t="shared" si="460"/>
        <v>4Q18E</v>
      </c>
      <c r="AO273" s="766" t="str">
        <f t="shared" si="460"/>
        <v>2018E</v>
      </c>
      <c r="AP273" s="766" t="str">
        <f t="shared" si="460"/>
        <v>2019E</v>
      </c>
      <c r="AQ273" s="766" t="str">
        <f t="shared" si="460"/>
        <v>2020E</v>
      </c>
      <c r="AR273" s="431"/>
      <c r="AS273" s="341" t="str">
        <f t="shared" ref="AS273:AS283" si="461">+A273</f>
        <v>Managed &amp; Franchised Segment</v>
      </c>
      <c r="AT273" s="767" t="str">
        <f>+E273</f>
        <v>2010</v>
      </c>
      <c r="AU273" s="767" t="str">
        <f>+F273</f>
        <v>2011</v>
      </c>
      <c r="AV273" s="767">
        <f>+K273</f>
        <v>2012</v>
      </c>
      <c r="AW273" s="767">
        <f>+P273</f>
        <v>2013</v>
      </c>
      <c r="AX273" s="767">
        <f>+U273</f>
        <v>2014</v>
      </c>
      <c r="AY273" s="767">
        <f>+Z273</f>
        <v>2015</v>
      </c>
      <c r="AZ273" s="767">
        <f>+AE273</f>
        <v>2016</v>
      </c>
      <c r="BA273" s="767" t="str">
        <f>+AJ273</f>
        <v>2017A</v>
      </c>
      <c r="BB273" s="767" t="str">
        <f>+AO273</f>
        <v>2018E</v>
      </c>
      <c r="BC273" s="767" t="str">
        <f>+AP273</f>
        <v>2019E</v>
      </c>
      <c r="BD273" s="865" t="str">
        <f>+AQ273</f>
        <v>2020E</v>
      </c>
      <c r="BE273" s="14"/>
      <c r="BF273" s="900"/>
      <c r="BG273"/>
      <c r="BH273"/>
      <c r="BI273"/>
      <c r="BJ273"/>
      <c r="BK273"/>
      <c r="BL273"/>
      <c r="BM273" s="902"/>
      <c r="BN273" s="902"/>
      <c r="BO273" s="902"/>
      <c r="BP273" s="902"/>
      <c r="BQ273"/>
      <c r="BR273"/>
      <c r="BS273"/>
    </row>
    <row r="274" spans="1:71" ht="12.75" customHeight="1">
      <c r="A274" s="299" t="s">
        <v>891</v>
      </c>
      <c r="B274" s="200"/>
      <c r="C274" s="200"/>
      <c r="D274" s="200"/>
      <c r="E274" s="200"/>
      <c r="F274" s="200"/>
      <c r="G274" s="159"/>
      <c r="H274" s="159"/>
      <c r="I274" s="159"/>
      <c r="J274" s="159"/>
      <c r="K274" s="200"/>
      <c r="L274" s="801"/>
      <c r="M274" s="159"/>
      <c r="N274" s="159"/>
      <c r="O274" s="159"/>
      <c r="P274" s="200"/>
      <c r="Q274" s="159"/>
      <c r="R274" s="159"/>
      <c r="S274" s="159"/>
      <c r="T274" s="159"/>
      <c r="U274" s="200"/>
      <c r="V274" s="159"/>
      <c r="W274" s="159"/>
      <c r="X274" s="159"/>
      <c r="Y274" s="2744"/>
      <c r="Z274" s="200"/>
      <c r="AA274" s="2528"/>
      <c r="AB274" s="193"/>
      <c r="AC274" s="193"/>
      <c r="AD274" s="2529"/>
      <c r="AE274" s="3549"/>
      <c r="AF274" s="193"/>
      <c r="AG274" s="193"/>
      <c r="AH274" s="193"/>
      <c r="AI274" s="2529"/>
      <c r="AJ274" s="200"/>
      <c r="AK274" s="193"/>
      <c r="AL274" s="193"/>
      <c r="AM274" s="193"/>
      <c r="AN274" s="2529"/>
      <c r="AO274" s="200"/>
      <c r="AP274" s="200"/>
      <c r="AQ274" s="200"/>
      <c r="AR274" s="193"/>
      <c r="AS274" s="764" t="str">
        <f t="shared" si="461"/>
        <v>Fee Summary</v>
      </c>
      <c r="AT274" s="191"/>
      <c r="AU274" s="191"/>
      <c r="AV274" s="191"/>
      <c r="AW274" s="191"/>
      <c r="AX274" s="191"/>
      <c r="AY274" s="191"/>
      <c r="AZ274" s="191"/>
      <c r="BA274" s="191"/>
      <c r="BB274" s="191"/>
      <c r="BC274" s="191"/>
      <c r="BD274" s="420"/>
      <c r="BF274" s="900"/>
      <c r="BM274" s="902"/>
      <c r="BN274" s="902"/>
      <c r="BO274" s="902"/>
      <c r="BP274" s="902"/>
      <c r="BQ274"/>
      <c r="BR274"/>
      <c r="BS274"/>
    </row>
    <row r="275" spans="1:71" ht="12.75" customHeight="1">
      <c r="A275" s="297" t="s">
        <v>592</v>
      </c>
      <c r="B275" s="618"/>
      <c r="C275" s="618"/>
      <c r="D275" s="618"/>
      <c r="E275" s="618">
        <f>E354</f>
        <v>261</v>
      </c>
      <c r="F275" s="618">
        <f>F354</f>
        <v>271</v>
      </c>
      <c r="G275" s="619">
        <f>G354</f>
        <v>66</v>
      </c>
      <c r="H275" s="619">
        <f t="shared" ref="H275:N275" si="462">H354</f>
        <v>74</v>
      </c>
      <c r="I275" s="619">
        <f t="shared" si="462"/>
        <v>76</v>
      </c>
      <c r="J275" s="619">
        <f t="shared" si="462"/>
        <v>73</v>
      </c>
      <c r="K275" s="618">
        <f t="shared" si="462"/>
        <v>289</v>
      </c>
      <c r="L275" s="619">
        <f t="shared" si="462"/>
        <v>67</v>
      </c>
      <c r="M275" s="619">
        <f t="shared" si="462"/>
        <v>79</v>
      </c>
      <c r="N275" s="619">
        <f t="shared" si="462"/>
        <v>73</v>
      </c>
      <c r="O275" s="619">
        <f>O354</f>
        <v>80</v>
      </c>
      <c r="P275" s="618">
        <f>SUM(L275:O275)</f>
        <v>299</v>
      </c>
      <c r="Q275" s="619">
        <f>Q354</f>
        <v>79</v>
      </c>
      <c r="R275" s="619">
        <f>R354</f>
        <v>88</v>
      </c>
      <c r="S275" s="619">
        <f>S354</f>
        <v>78</v>
      </c>
      <c r="T275" s="619">
        <f>T354</f>
        <v>86</v>
      </c>
      <c r="U275" s="618">
        <f>SUM(Q275:T275)</f>
        <v>331</v>
      </c>
      <c r="V275" s="619">
        <f>V354</f>
        <v>81</v>
      </c>
      <c r="W275" s="619">
        <f>W354</f>
        <v>89</v>
      </c>
      <c r="X275" s="619">
        <f>X354</f>
        <v>87</v>
      </c>
      <c r="Y275" s="619">
        <f>Y354</f>
        <v>90</v>
      </c>
      <c r="Z275" s="618">
        <f>SUM(V275:Y275)</f>
        <v>347</v>
      </c>
      <c r="AA275" s="619">
        <f>AA354</f>
        <v>85</v>
      </c>
      <c r="AB275" s="619">
        <f>AB354</f>
        <v>93</v>
      </c>
      <c r="AC275" s="619">
        <f>AC354</f>
        <v>87</v>
      </c>
      <c r="AD275" s="619">
        <f>AD354</f>
        <v>89</v>
      </c>
      <c r="AE275" s="2575">
        <f>SUM(AA275:AD275)</f>
        <v>354</v>
      </c>
      <c r="AF275" s="619">
        <f>AF354</f>
        <v>83</v>
      </c>
      <c r="AG275" s="619">
        <f>AG354</f>
        <v>85</v>
      </c>
      <c r="AH275" s="619">
        <f>AH354</f>
        <v>87</v>
      </c>
      <c r="AI275" s="619">
        <f>AI354</f>
        <v>81</v>
      </c>
      <c r="AJ275" s="2575">
        <f>SUM(AF275:AI275)</f>
        <v>336</v>
      </c>
      <c r="AK275" s="619">
        <f t="shared" ref="AK275:AN275" si="463">AK354</f>
        <v>87.490714831343325</v>
      </c>
      <c r="AL275" s="619">
        <f t="shared" si="463"/>
        <v>87.854599325837114</v>
      </c>
      <c r="AM275" s="619">
        <f t="shared" si="463"/>
        <v>95.697879704518684</v>
      </c>
      <c r="AN275" s="619">
        <f t="shared" si="463"/>
        <v>85.101950020574122</v>
      </c>
      <c r="AO275" s="618">
        <f>SUM(AK275:AN275)</f>
        <v>356.14514388227326</v>
      </c>
      <c r="AP275" s="618">
        <f>AP354</f>
        <v>379.82523516275893</v>
      </c>
      <c r="AQ275" s="618">
        <f>AQ354</f>
        <v>384.72427345049425</v>
      </c>
      <c r="AR275" s="195"/>
      <c r="AS275" s="878" t="str">
        <f t="shared" si="461"/>
        <v>Base</v>
      </c>
      <c r="AT275" s="628">
        <f t="shared" ref="AT275:AU281" si="464">+E275</f>
        <v>261</v>
      </c>
      <c r="AU275" s="628">
        <f t="shared" si="464"/>
        <v>271</v>
      </c>
      <c r="AV275" s="628">
        <f t="shared" ref="AV275:AV283" si="465">+K275</f>
        <v>289</v>
      </c>
      <c r="AW275" s="628">
        <f t="shared" ref="AW275:AW283" si="466">+P275</f>
        <v>299</v>
      </c>
      <c r="AX275" s="628">
        <f t="shared" ref="AX275:AX283" si="467">+U275</f>
        <v>331</v>
      </c>
      <c r="AY275" s="628">
        <f t="shared" ref="AY275:AY283" si="468">+Z275</f>
        <v>347</v>
      </c>
      <c r="AZ275" s="628">
        <f t="shared" ref="AZ275:AZ283" si="469">+AE275</f>
        <v>354</v>
      </c>
      <c r="BA275" s="628">
        <f t="shared" ref="BA275:BA283" si="470">+AJ275</f>
        <v>336</v>
      </c>
      <c r="BB275" s="628">
        <f t="shared" ref="BB275:BB283" si="471">+AO275</f>
        <v>356.14514388227326</v>
      </c>
      <c r="BC275" s="628">
        <f t="shared" ref="BC275:BC283" si="472">+AP275</f>
        <v>379.82523516275893</v>
      </c>
      <c r="BD275" s="629">
        <f t="shared" ref="BD275:BD283" si="473">+AQ275</f>
        <v>384.72427345049425</v>
      </c>
      <c r="BF275" s="900"/>
      <c r="BM275" s="902"/>
      <c r="BN275" s="902"/>
      <c r="BO275" s="902"/>
      <c r="BP275" s="902"/>
      <c r="BQ275" s="902"/>
      <c r="BR275"/>
      <c r="BS275"/>
    </row>
    <row r="276" spans="1:71" ht="12.75" customHeight="1">
      <c r="A276" s="288" t="s">
        <v>17</v>
      </c>
      <c r="B276" s="357"/>
      <c r="C276" s="357"/>
      <c r="D276" s="357"/>
      <c r="E276" s="357">
        <f>E371</f>
        <v>92</v>
      </c>
      <c r="F276" s="357">
        <f>F371</f>
        <v>104</v>
      </c>
      <c r="G276" s="196">
        <f>G371</f>
        <v>28</v>
      </c>
      <c r="H276" s="196">
        <f t="shared" ref="H276:N276" si="474">H371</f>
        <v>24</v>
      </c>
      <c r="I276" s="196">
        <f t="shared" si="474"/>
        <v>24</v>
      </c>
      <c r="J276" s="196">
        <f t="shared" si="474"/>
        <v>36</v>
      </c>
      <c r="K276" s="357">
        <f t="shared" si="474"/>
        <v>112</v>
      </c>
      <c r="L276" s="196">
        <f t="shared" si="474"/>
        <v>29</v>
      </c>
      <c r="M276" s="196">
        <f t="shared" si="474"/>
        <v>27</v>
      </c>
      <c r="N276" s="196">
        <f t="shared" si="474"/>
        <v>24</v>
      </c>
      <c r="O276" s="196">
        <f>O371</f>
        <v>34</v>
      </c>
      <c r="P276" s="357">
        <f>SUM(L276:O276)</f>
        <v>114</v>
      </c>
      <c r="Q276" s="196">
        <f>Q371</f>
        <v>34</v>
      </c>
      <c r="R276" s="196">
        <f>R371</f>
        <v>31</v>
      </c>
      <c r="S276" s="196">
        <f>S371</f>
        <v>34</v>
      </c>
      <c r="T276" s="196">
        <f>T371</f>
        <v>38</v>
      </c>
      <c r="U276" s="357">
        <f>SUM(Q276:T276)</f>
        <v>137</v>
      </c>
      <c r="V276" s="196">
        <f>V371</f>
        <v>37</v>
      </c>
      <c r="W276" s="196">
        <f>W371</f>
        <v>36</v>
      </c>
      <c r="X276" s="196">
        <f>X371</f>
        <v>34</v>
      </c>
      <c r="Y276" s="196">
        <f>Y371</f>
        <v>41</v>
      </c>
      <c r="Z276" s="357">
        <f>SUM(V276:Y276)</f>
        <v>148</v>
      </c>
      <c r="AA276" s="196">
        <f>AA371</f>
        <v>42</v>
      </c>
      <c r="AB276" s="196">
        <f>AB371</f>
        <v>36</v>
      </c>
      <c r="AC276" s="196">
        <f>AC371</f>
        <v>37</v>
      </c>
      <c r="AD276" s="196">
        <f>AD371</f>
        <v>40</v>
      </c>
      <c r="AE276" s="283">
        <f>SUM(AA276:AD276)</f>
        <v>155</v>
      </c>
      <c r="AF276" s="196">
        <f>AF371</f>
        <v>52</v>
      </c>
      <c r="AG276" s="196">
        <f>AG371</f>
        <v>56</v>
      </c>
      <c r="AH276" s="196">
        <f>AH371</f>
        <v>52</v>
      </c>
      <c r="AI276" s="196">
        <f>AI371</f>
        <v>62</v>
      </c>
      <c r="AJ276" s="283">
        <f>SUM(AF276:AI276)</f>
        <v>222</v>
      </c>
      <c r="AK276" s="196">
        <f t="shared" ref="AK276:AN276" si="475">AK371</f>
        <v>49.980000000000004</v>
      </c>
      <c r="AL276" s="196">
        <f t="shared" si="475"/>
        <v>60.42</v>
      </c>
      <c r="AM276" s="196">
        <f t="shared" si="475"/>
        <v>56.18</v>
      </c>
      <c r="AN276" s="196">
        <f t="shared" si="475"/>
        <v>63.63</v>
      </c>
      <c r="AO276" s="357">
        <f>SUM(AK276:AN276)</f>
        <v>230.21</v>
      </c>
      <c r="AP276" s="357">
        <f>AP371</f>
        <v>230.21</v>
      </c>
      <c r="AQ276" s="357">
        <f>AQ371</f>
        <v>218.6995</v>
      </c>
      <c r="AR276" s="195"/>
      <c r="AS276" s="879" t="str">
        <f t="shared" si="461"/>
        <v>Incentive</v>
      </c>
      <c r="AT276" s="284">
        <f t="shared" si="464"/>
        <v>92</v>
      </c>
      <c r="AU276" s="284">
        <f t="shared" si="464"/>
        <v>104</v>
      </c>
      <c r="AV276" s="284">
        <f t="shared" si="465"/>
        <v>112</v>
      </c>
      <c r="AW276" s="284">
        <f t="shared" si="466"/>
        <v>114</v>
      </c>
      <c r="AX276" s="284">
        <f t="shared" si="467"/>
        <v>137</v>
      </c>
      <c r="AY276" s="284">
        <f t="shared" si="468"/>
        <v>148</v>
      </c>
      <c r="AZ276" s="284">
        <f t="shared" si="469"/>
        <v>155</v>
      </c>
      <c r="BA276" s="284">
        <f t="shared" si="470"/>
        <v>222</v>
      </c>
      <c r="BB276" s="284">
        <f t="shared" si="471"/>
        <v>230.21</v>
      </c>
      <c r="BC276" s="284">
        <f t="shared" si="472"/>
        <v>230.21</v>
      </c>
      <c r="BD276" s="788">
        <f t="shared" si="473"/>
        <v>218.6995</v>
      </c>
      <c r="BF276" s="900"/>
      <c r="BM276" s="902"/>
      <c r="BN276" s="902"/>
      <c r="BO276" s="902"/>
      <c r="BP276" s="902"/>
      <c r="BQ276" s="902"/>
      <c r="BR276"/>
      <c r="BS276"/>
    </row>
    <row r="277" spans="1:71" ht="12.75" customHeight="1">
      <c r="A277" s="299" t="s">
        <v>2156</v>
      </c>
      <c r="B277" s="263"/>
      <c r="C277" s="263"/>
      <c r="D277" s="263"/>
      <c r="E277" s="263">
        <f t="shared" ref="E277:P277" si="476">SUM(E275:E276)</f>
        <v>353</v>
      </c>
      <c r="F277" s="263">
        <f t="shared" si="476"/>
        <v>375</v>
      </c>
      <c r="G277" s="262">
        <f t="shared" si="476"/>
        <v>94</v>
      </c>
      <c r="H277" s="262">
        <f t="shared" si="476"/>
        <v>98</v>
      </c>
      <c r="I277" s="262">
        <f t="shared" si="476"/>
        <v>100</v>
      </c>
      <c r="J277" s="262">
        <f t="shared" si="476"/>
        <v>109</v>
      </c>
      <c r="K277" s="263">
        <f t="shared" si="476"/>
        <v>401</v>
      </c>
      <c r="L277" s="262">
        <f t="shared" si="476"/>
        <v>96</v>
      </c>
      <c r="M277" s="262">
        <f t="shared" si="476"/>
        <v>106</v>
      </c>
      <c r="N277" s="262">
        <f t="shared" si="476"/>
        <v>97</v>
      </c>
      <c r="O277" s="262">
        <f t="shared" si="476"/>
        <v>114</v>
      </c>
      <c r="P277" s="263">
        <f t="shared" si="476"/>
        <v>413</v>
      </c>
      <c r="Q277" s="262">
        <f t="shared" ref="Q277:Z277" si="477">SUM(Q275:Q276)</f>
        <v>113</v>
      </c>
      <c r="R277" s="262">
        <f t="shared" si="477"/>
        <v>119</v>
      </c>
      <c r="S277" s="262">
        <f t="shared" si="477"/>
        <v>112</v>
      </c>
      <c r="T277" s="262">
        <f t="shared" si="477"/>
        <v>124</v>
      </c>
      <c r="U277" s="1358">
        <f t="shared" si="477"/>
        <v>468</v>
      </c>
      <c r="V277" s="262">
        <f t="shared" si="477"/>
        <v>118</v>
      </c>
      <c r="W277" s="262">
        <f t="shared" si="477"/>
        <v>125</v>
      </c>
      <c r="X277" s="262">
        <f t="shared" si="477"/>
        <v>121</v>
      </c>
      <c r="Y277" s="262">
        <f t="shared" si="477"/>
        <v>131</v>
      </c>
      <c r="Z277" s="1358">
        <f t="shared" si="477"/>
        <v>495</v>
      </c>
      <c r="AA277" s="262">
        <f t="shared" ref="AA277:AQ277" si="478">SUM(AA275:AA276)</f>
        <v>127</v>
      </c>
      <c r="AB277" s="262">
        <f t="shared" si="478"/>
        <v>129</v>
      </c>
      <c r="AC277" s="262">
        <f t="shared" si="478"/>
        <v>124</v>
      </c>
      <c r="AD277" s="262">
        <f t="shared" si="478"/>
        <v>129</v>
      </c>
      <c r="AE277" s="2576">
        <f t="shared" si="478"/>
        <v>509</v>
      </c>
      <c r="AF277" s="262">
        <f>SUM(AF275:AF276)</f>
        <v>135</v>
      </c>
      <c r="AG277" s="262">
        <f>SUM(AG275:AG276)</f>
        <v>141</v>
      </c>
      <c r="AH277" s="262">
        <f>SUM(AH275:AH276)</f>
        <v>139</v>
      </c>
      <c r="AI277" s="262">
        <f>SUM(AI275:AI276)</f>
        <v>143</v>
      </c>
      <c r="AJ277" s="2576">
        <f>SUM(AJ275:AJ276)</f>
        <v>558</v>
      </c>
      <c r="AK277" s="262">
        <f t="shared" ref="AK277:AN277" si="479">SUM(AK275:AK276)</f>
        <v>137.47071483134334</v>
      </c>
      <c r="AL277" s="262">
        <f t="shared" si="479"/>
        <v>148.27459932583713</v>
      </c>
      <c r="AM277" s="262">
        <f t="shared" si="479"/>
        <v>151.87787970451868</v>
      </c>
      <c r="AN277" s="262">
        <f t="shared" si="479"/>
        <v>148.73195002057412</v>
      </c>
      <c r="AO277" s="1358">
        <f>SUM(AO275:AO276)</f>
        <v>586.3551438822733</v>
      </c>
      <c r="AP277" s="1358">
        <f t="shared" si="478"/>
        <v>610.03523516275891</v>
      </c>
      <c r="AQ277" s="263">
        <f t="shared" si="478"/>
        <v>603.42377345049431</v>
      </c>
      <c r="AR277" s="195"/>
      <c r="AS277" s="764" t="str">
        <f t="shared" si="461"/>
        <v>Management Fees</v>
      </c>
      <c r="AT277" s="285">
        <f t="shared" si="464"/>
        <v>353</v>
      </c>
      <c r="AU277" s="285">
        <f t="shared" si="464"/>
        <v>375</v>
      </c>
      <c r="AV277" s="285">
        <f t="shared" si="465"/>
        <v>401</v>
      </c>
      <c r="AW277" s="285">
        <f t="shared" si="466"/>
        <v>413</v>
      </c>
      <c r="AX277" s="285">
        <f t="shared" si="467"/>
        <v>468</v>
      </c>
      <c r="AY277" s="285">
        <f t="shared" si="468"/>
        <v>495</v>
      </c>
      <c r="AZ277" s="285">
        <f t="shared" si="469"/>
        <v>509</v>
      </c>
      <c r="BA277" s="285">
        <f t="shared" si="470"/>
        <v>558</v>
      </c>
      <c r="BB277" s="285">
        <f t="shared" si="471"/>
        <v>586.3551438822733</v>
      </c>
      <c r="BC277" s="285">
        <f t="shared" si="472"/>
        <v>610.03523516275891</v>
      </c>
      <c r="BD277" s="881">
        <f t="shared" si="473"/>
        <v>603.42377345049431</v>
      </c>
      <c r="BF277" s="900"/>
      <c r="BM277" s="902"/>
      <c r="BN277" s="902"/>
      <c r="BO277" s="902"/>
      <c r="BP277" s="902"/>
      <c r="BQ277" s="902"/>
      <c r="BR277"/>
      <c r="BS277"/>
    </row>
    <row r="278" spans="1:71" ht="12.75" customHeight="1">
      <c r="A278" s="288" t="s">
        <v>1719</v>
      </c>
      <c r="B278" s="357"/>
      <c r="C278" s="357"/>
      <c r="D278" s="357"/>
      <c r="E278" s="357">
        <f t="shared" ref="E278:N278" si="480">E407</f>
        <v>585</v>
      </c>
      <c r="F278" s="357">
        <f t="shared" si="480"/>
        <v>671</v>
      </c>
      <c r="G278" s="196">
        <f t="shared" si="480"/>
        <v>167</v>
      </c>
      <c r="H278" s="196">
        <f t="shared" si="480"/>
        <v>197</v>
      </c>
      <c r="I278" s="196">
        <f t="shared" si="480"/>
        <v>204</v>
      </c>
      <c r="J278" s="196">
        <f t="shared" si="480"/>
        <v>181</v>
      </c>
      <c r="K278" s="357">
        <f t="shared" si="480"/>
        <v>749</v>
      </c>
      <c r="L278" s="196">
        <f t="shared" si="480"/>
        <v>180</v>
      </c>
      <c r="M278" s="196">
        <f t="shared" si="480"/>
        <v>215</v>
      </c>
      <c r="N278" s="196">
        <f t="shared" si="480"/>
        <v>228</v>
      </c>
      <c r="O278" s="196">
        <f>O407</f>
        <v>206</v>
      </c>
      <c r="P278" s="357">
        <f>SUM(L278:O278)</f>
        <v>829</v>
      </c>
      <c r="Q278" s="196">
        <f>Q407</f>
        <v>211</v>
      </c>
      <c r="R278" s="196">
        <f>R407</f>
        <v>247</v>
      </c>
      <c r="S278" s="196">
        <f>S407</f>
        <v>264</v>
      </c>
      <c r="T278" s="196">
        <f>T407</f>
        <v>249</v>
      </c>
      <c r="U278" s="357">
        <f>SUM(Q278:T278)</f>
        <v>971</v>
      </c>
      <c r="V278" s="196">
        <f>V407</f>
        <v>265</v>
      </c>
      <c r="W278" s="196">
        <f>W407</f>
        <v>300</v>
      </c>
      <c r="X278" s="196">
        <f>X407</f>
        <v>310</v>
      </c>
      <c r="Y278" s="196">
        <f>Y407</f>
        <v>290</v>
      </c>
      <c r="Z278" s="357">
        <f>SUM(V278:Y278)</f>
        <v>1165</v>
      </c>
      <c r="AA278" s="196">
        <f>AA407</f>
        <v>273</v>
      </c>
      <c r="AB278" s="196">
        <f>AB407</f>
        <v>332</v>
      </c>
      <c r="AC278" s="196">
        <f>AC407</f>
        <v>336</v>
      </c>
      <c r="AD278" s="196">
        <f>AD407</f>
        <v>296</v>
      </c>
      <c r="AE278" s="283">
        <f>SUM(AA278:AD278)</f>
        <v>1237</v>
      </c>
      <c r="AF278" s="196">
        <f>AF407</f>
        <v>294</v>
      </c>
      <c r="AG278" s="196">
        <f>AG407</f>
        <v>372</v>
      </c>
      <c r="AH278" s="196">
        <f>AH407</f>
        <v>373</v>
      </c>
      <c r="AI278" s="196">
        <f>AI407</f>
        <v>343</v>
      </c>
      <c r="AJ278" s="283">
        <f>SUM(AF278:AI278)</f>
        <v>1382</v>
      </c>
      <c r="AK278" s="196">
        <f t="shared" ref="AK278:AN278" si="481">AK407</f>
        <v>311.14740268582921</v>
      </c>
      <c r="AL278" s="196">
        <f t="shared" si="481"/>
        <v>392.66143432847514</v>
      </c>
      <c r="AM278" s="196">
        <f t="shared" si="481"/>
        <v>395.8993880762078</v>
      </c>
      <c r="AN278" s="196">
        <f t="shared" si="481"/>
        <v>358.05215731550021</v>
      </c>
      <c r="AO278" s="357">
        <f>SUM(AK278:AN278)</f>
        <v>1457.7603824060122</v>
      </c>
      <c r="AP278" s="357">
        <f>AP407</f>
        <v>1586.0179261951123</v>
      </c>
      <c r="AQ278" s="357">
        <f>AQ407</f>
        <v>1647.8591593468063</v>
      </c>
      <c r="AR278" s="196"/>
      <c r="AS278" s="879" t="str">
        <f t="shared" si="461"/>
        <v>Franchise</v>
      </c>
      <c r="AT278" s="284">
        <f t="shared" si="464"/>
        <v>585</v>
      </c>
      <c r="AU278" s="284">
        <f t="shared" si="464"/>
        <v>671</v>
      </c>
      <c r="AV278" s="284">
        <f t="shared" si="465"/>
        <v>749</v>
      </c>
      <c r="AW278" s="284">
        <f t="shared" si="466"/>
        <v>829</v>
      </c>
      <c r="AX278" s="284">
        <f t="shared" si="467"/>
        <v>971</v>
      </c>
      <c r="AY278" s="284">
        <f t="shared" si="468"/>
        <v>1165</v>
      </c>
      <c r="AZ278" s="284">
        <f t="shared" si="469"/>
        <v>1237</v>
      </c>
      <c r="BA278" s="284">
        <f t="shared" si="470"/>
        <v>1382</v>
      </c>
      <c r="BB278" s="284">
        <f t="shared" si="471"/>
        <v>1457.7603824060122</v>
      </c>
      <c r="BC278" s="284">
        <f t="shared" si="472"/>
        <v>1586.0179261951123</v>
      </c>
      <c r="BD278" s="788">
        <f t="shared" si="473"/>
        <v>1647.8591593468063</v>
      </c>
      <c r="BE278" s="127"/>
      <c r="BF278" s="900"/>
      <c r="BM278" s="902"/>
      <c r="BN278" s="902"/>
      <c r="BO278" s="902"/>
      <c r="BP278" s="902"/>
      <c r="BQ278" s="902"/>
      <c r="BR278"/>
      <c r="BS278"/>
    </row>
    <row r="279" spans="1:71" ht="12.75" customHeight="1">
      <c r="A279" s="299" t="s">
        <v>1382</v>
      </c>
      <c r="B279" s="358"/>
      <c r="C279" s="358"/>
      <c r="D279" s="358"/>
      <c r="E279" s="358">
        <f t="shared" ref="E279:M279" si="482">SUM(E277:E278)</f>
        <v>938</v>
      </c>
      <c r="F279" s="358">
        <f t="shared" si="482"/>
        <v>1046</v>
      </c>
      <c r="G279" s="261">
        <f t="shared" si="482"/>
        <v>261</v>
      </c>
      <c r="H279" s="261">
        <f t="shared" si="482"/>
        <v>295</v>
      </c>
      <c r="I279" s="261">
        <f t="shared" si="482"/>
        <v>304</v>
      </c>
      <c r="J279" s="261">
        <f t="shared" si="482"/>
        <v>290</v>
      </c>
      <c r="K279" s="358">
        <f t="shared" si="482"/>
        <v>1150</v>
      </c>
      <c r="L279" s="261">
        <f t="shared" si="482"/>
        <v>276</v>
      </c>
      <c r="M279" s="261">
        <f t="shared" si="482"/>
        <v>321</v>
      </c>
      <c r="N279" s="261">
        <f t="shared" ref="N279:U279" si="483">SUM(N277:N278)</f>
        <v>325</v>
      </c>
      <c r="O279" s="261">
        <f t="shared" si="483"/>
        <v>320</v>
      </c>
      <c r="P279" s="358">
        <f t="shared" si="483"/>
        <v>1242</v>
      </c>
      <c r="Q279" s="261">
        <f t="shared" si="483"/>
        <v>324</v>
      </c>
      <c r="R279" s="261">
        <f t="shared" si="483"/>
        <v>366</v>
      </c>
      <c r="S279" s="261">
        <f t="shared" si="483"/>
        <v>376</v>
      </c>
      <c r="T279" s="261">
        <f t="shared" si="483"/>
        <v>373</v>
      </c>
      <c r="U279" s="358">
        <f t="shared" si="483"/>
        <v>1439</v>
      </c>
      <c r="V279" s="261">
        <f t="shared" ref="V279:AE279" si="484">SUM(V277:V278)</f>
        <v>383</v>
      </c>
      <c r="W279" s="261">
        <f t="shared" si="484"/>
        <v>425</v>
      </c>
      <c r="X279" s="261">
        <f t="shared" si="484"/>
        <v>431</v>
      </c>
      <c r="Y279" s="261">
        <f t="shared" si="484"/>
        <v>421</v>
      </c>
      <c r="Z279" s="358">
        <f t="shared" si="484"/>
        <v>1660</v>
      </c>
      <c r="AA279" s="261">
        <f t="shared" si="484"/>
        <v>400</v>
      </c>
      <c r="AB279" s="261">
        <f t="shared" si="484"/>
        <v>461</v>
      </c>
      <c r="AC279" s="261">
        <f t="shared" si="484"/>
        <v>460</v>
      </c>
      <c r="AD279" s="261">
        <f t="shared" si="484"/>
        <v>425</v>
      </c>
      <c r="AE279" s="358">
        <f t="shared" si="484"/>
        <v>1746</v>
      </c>
      <c r="AF279" s="261">
        <f t="shared" ref="AF279:AQ279" si="485">SUM(AF277:AF278)</f>
        <v>429</v>
      </c>
      <c r="AG279" s="261">
        <f t="shared" si="485"/>
        <v>513</v>
      </c>
      <c r="AH279" s="261">
        <f t="shared" ref="AH279" si="486">SUM(AH277:AH278)</f>
        <v>512</v>
      </c>
      <c r="AI279" s="261">
        <f t="shared" si="485"/>
        <v>486</v>
      </c>
      <c r="AJ279" s="358">
        <f t="shared" si="485"/>
        <v>1940</v>
      </c>
      <c r="AK279" s="261">
        <f t="shared" ref="AK279:AO279" si="487">SUM(AK277:AK278)</f>
        <v>448.61811751717255</v>
      </c>
      <c r="AL279" s="261">
        <f t="shared" si="487"/>
        <v>540.93603365431227</v>
      </c>
      <c r="AM279" s="261">
        <f t="shared" si="487"/>
        <v>547.77726778072645</v>
      </c>
      <c r="AN279" s="261">
        <f t="shared" si="487"/>
        <v>506.78410733607433</v>
      </c>
      <c r="AO279" s="358">
        <f t="shared" si="487"/>
        <v>2044.1155262882855</v>
      </c>
      <c r="AP279" s="358">
        <f t="shared" si="485"/>
        <v>2196.0531613578714</v>
      </c>
      <c r="AQ279" s="358">
        <f t="shared" si="485"/>
        <v>2251.2829327973004</v>
      </c>
      <c r="AR279" s="261"/>
      <c r="AS279" s="764" t="str">
        <f t="shared" si="461"/>
        <v>M&amp;F Fees</v>
      </c>
      <c r="AT279" s="261">
        <f t="shared" si="464"/>
        <v>938</v>
      </c>
      <c r="AU279" s="261">
        <f t="shared" si="464"/>
        <v>1046</v>
      </c>
      <c r="AV279" s="261">
        <f t="shared" si="465"/>
        <v>1150</v>
      </c>
      <c r="AW279" s="261">
        <f t="shared" si="466"/>
        <v>1242</v>
      </c>
      <c r="AX279" s="261">
        <f t="shared" si="467"/>
        <v>1439</v>
      </c>
      <c r="AY279" s="261">
        <f t="shared" si="468"/>
        <v>1660</v>
      </c>
      <c r="AZ279" s="261">
        <f t="shared" si="469"/>
        <v>1746</v>
      </c>
      <c r="BA279" s="261">
        <f t="shared" si="470"/>
        <v>1940</v>
      </c>
      <c r="BB279" s="261">
        <f t="shared" si="471"/>
        <v>2044.1155262882855</v>
      </c>
      <c r="BC279" s="261">
        <f t="shared" si="472"/>
        <v>2196.0531613578714</v>
      </c>
      <c r="BD279" s="787">
        <f t="shared" si="473"/>
        <v>2251.2829327973004</v>
      </c>
      <c r="BF279" s="900"/>
      <c r="BM279" s="902"/>
      <c r="BN279" s="902"/>
      <c r="BO279" s="902"/>
      <c r="BP279" s="902"/>
      <c r="BQ279" s="902"/>
      <c r="BR279"/>
      <c r="BS279"/>
    </row>
    <row r="280" spans="1:71" ht="12.75" customHeight="1">
      <c r="A280" s="387" t="s">
        <v>614</v>
      </c>
      <c r="B280" s="360"/>
      <c r="C280" s="360"/>
      <c r="D280" s="360"/>
      <c r="E280" s="360">
        <v>30</v>
      </c>
      <c r="F280" s="360">
        <v>49</v>
      </c>
      <c r="G280" s="198">
        <v>3</v>
      </c>
      <c r="H280" s="198">
        <v>5</v>
      </c>
      <c r="I280" s="198">
        <v>9</v>
      </c>
      <c r="J280" s="198">
        <v>13</v>
      </c>
      <c r="K280" s="283">
        <f>+SUM(G280:J280)</f>
        <v>30</v>
      </c>
      <c r="L280" s="198">
        <v>6</v>
      </c>
      <c r="M280" s="198">
        <v>5</v>
      </c>
      <c r="N280" s="198">
        <v>5</v>
      </c>
      <c r="O280" s="198">
        <v>13</v>
      </c>
      <c r="P280" s="283">
        <f>+SUM(L280:O280)</f>
        <v>29</v>
      </c>
      <c r="Q280" s="198">
        <v>7</v>
      </c>
      <c r="R280" s="198">
        <v>5</v>
      </c>
      <c r="S280" s="198">
        <v>7</v>
      </c>
      <c r="T280" s="198">
        <v>10</v>
      </c>
      <c r="U280" s="283">
        <f>+SUM(Q280:T280)</f>
        <v>29</v>
      </c>
      <c r="V280" s="198">
        <v>8</v>
      </c>
      <c r="W280" s="198">
        <v>9</v>
      </c>
      <c r="X280" s="198">
        <v>7</v>
      </c>
      <c r="Y280" s="198">
        <v>7</v>
      </c>
      <c r="Z280" s="283">
        <f>+SUM(V280:Y280)</f>
        <v>31</v>
      </c>
      <c r="AA280" s="2784">
        <v>9</v>
      </c>
      <c r="AB280" s="2784">
        <v>10</v>
      </c>
      <c r="AC280" s="2784">
        <v>10</v>
      </c>
      <c r="AD280" s="198">
        <v>11</v>
      </c>
      <c r="AE280" s="283">
        <f>SUM(AA280:AD280)</f>
        <v>40</v>
      </c>
      <c r="AF280" s="198">
        <v>0</v>
      </c>
      <c r="AG280" s="198">
        <v>0</v>
      </c>
      <c r="AH280" s="198">
        <v>0</v>
      </c>
      <c r="AI280" s="198">
        <v>0</v>
      </c>
      <c r="AJ280" s="283">
        <f>SUM(AF280:AI280)</f>
        <v>0</v>
      </c>
      <c r="AK280" s="198">
        <v>0</v>
      </c>
      <c r="AL280" s="198">
        <v>0</v>
      </c>
      <c r="AM280" s="198">
        <v>0</v>
      </c>
      <c r="AN280" s="198">
        <v>0</v>
      </c>
      <c r="AO280" s="732">
        <f>SUM(AK280:AN280)</f>
        <v>0</v>
      </c>
      <c r="AP280" s="732">
        <f>+AO280*(AP279/AO279)</f>
        <v>0</v>
      </c>
      <c r="AQ280" s="732">
        <f>+AP280*(AQ279/AP279)</f>
        <v>0</v>
      </c>
      <c r="AR280" s="261"/>
      <c r="AS280" s="880" t="str">
        <f t="shared" si="461"/>
        <v>Other M&amp;F Revs</v>
      </c>
      <c r="AT280" s="284">
        <f t="shared" si="464"/>
        <v>30</v>
      </c>
      <c r="AU280" s="284">
        <f t="shared" si="464"/>
        <v>49</v>
      </c>
      <c r="AV280" s="284">
        <f t="shared" si="465"/>
        <v>30</v>
      </c>
      <c r="AW280" s="284">
        <f t="shared" si="466"/>
        <v>29</v>
      </c>
      <c r="AX280" s="284">
        <f t="shared" si="467"/>
        <v>29</v>
      </c>
      <c r="AY280" s="284">
        <f t="shared" si="468"/>
        <v>31</v>
      </c>
      <c r="AZ280" s="284">
        <f t="shared" si="469"/>
        <v>40</v>
      </c>
      <c r="BA280" s="284">
        <f t="shared" si="470"/>
        <v>0</v>
      </c>
      <c r="BB280" s="284">
        <f t="shared" si="471"/>
        <v>0</v>
      </c>
      <c r="BC280" s="284">
        <f t="shared" si="472"/>
        <v>0</v>
      </c>
      <c r="BD280" s="788">
        <f t="shared" si="473"/>
        <v>0</v>
      </c>
      <c r="BF280" s="900"/>
      <c r="BM280" s="902"/>
      <c r="BN280" s="902"/>
      <c r="BO280" s="902"/>
      <c r="BP280" s="902"/>
      <c r="BQ280" s="902"/>
      <c r="BR280"/>
      <c r="BS280"/>
    </row>
    <row r="281" spans="1:71" ht="12.75" customHeight="1">
      <c r="A281" s="1" t="s">
        <v>767</v>
      </c>
      <c r="B281" s="620"/>
      <c r="C281" s="620"/>
      <c r="D281" s="620"/>
      <c r="E281" s="620">
        <f t="shared" ref="E281:M281" si="488">SUM(E279:E280)</f>
        <v>968</v>
      </c>
      <c r="F281" s="620">
        <f t="shared" si="488"/>
        <v>1095</v>
      </c>
      <c r="G281" s="621">
        <f t="shared" si="488"/>
        <v>264</v>
      </c>
      <c r="H281" s="621">
        <f t="shared" si="488"/>
        <v>300</v>
      </c>
      <c r="I281" s="621">
        <f t="shared" si="488"/>
        <v>313</v>
      </c>
      <c r="J281" s="621">
        <f t="shared" si="488"/>
        <v>303</v>
      </c>
      <c r="K281" s="620">
        <f t="shared" si="488"/>
        <v>1180</v>
      </c>
      <c r="L281" s="621">
        <f t="shared" si="488"/>
        <v>282</v>
      </c>
      <c r="M281" s="621">
        <f t="shared" si="488"/>
        <v>326</v>
      </c>
      <c r="N281" s="621">
        <f t="shared" ref="N281:U281" si="489">SUM(N279:N280)</f>
        <v>330</v>
      </c>
      <c r="O281" s="621">
        <f t="shared" si="489"/>
        <v>333</v>
      </c>
      <c r="P281" s="620">
        <f t="shared" si="489"/>
        <v>1271</v>
      </c>
      <c r="Q281" s="621">
        <f t="shared" si="489"/>
        <v>331</v>
      </c>
      <c r="R281" s="621">
        <f t="shared" si="489"/>
        <v>371</v>
      </c>
      <c r="S281" s="621">
        <f t="shared" si="489"/>
        <v>383</v>
      </c>
      <c r="T281" s="621">
        <f t="shared" si="489"/>
        <v>383</v>
      </c>
      <c r="U281" s="620">
        <f t="shared" si="489"/>
        <v>1468</v>
      </c>
      <c r="V281" s="621">
        <f t="shared" ref="V281:AE281" si="490">SUM(V279:V280)</f>
        <v>391</v>
      </c>
      <c r="W281" s="621">
        <f t="shared" si="490"/>
        <v>434</v>
      </c>
      <c r="X281" s="621">
        <f t="shared" si="490"/>
        <v>438</v>
      </c>
      <c r="Y281" s="621">
        <f t="shared" si="490"/>
        <v>428</v>
      </c>
      <c r="Z281" s="620">
        <f t="shared" si="490"/>
        <v>1691</v>
      </c>
      <c r="AA281" s="621">
        <f t="shared" si="490"/>
        <v>409</v>
      </c>
      <c r="AB281" s="621">
        <f t="shared" si="490"/>
        <v>471</v>
      </c>
      <c r="AC281" s="621">
        <f t="shared" si="490"/>
        <v>470</v>
      </c>
      <c r="AD281" s="621">
        <f t="shared" si="490"/>
        <v>436</v>
      </c>
      <c r="AE281" s="620">
        <f t="shared" si="490"/>
        <v>1786</v>
      </c>
      <c r="AF281" s="621">
        <f t="shared" ref="AF281:AQ281" si="491">SUM(AF279:AF280)</f>
        <v>429</v>
      </c>
      <c r="AG281" s="621">
        <f t="shared" si="491"/>
        <v>513</v>
      </c>
      <c r="AH281" s="621">
        <f t="shared" ref="AH281" si="492">SUM(AH279:AH280)</f>
        <v>512</v>
      </c>
      <c r="AI281" s="621">
        <f t="shared" si="491"/>
        <v>486</v>
      </c>
      <c r="AJ281" s="620">
        <f t="shared" si="491"/>
        <v>1940</v>
      </c>
      <c r="AK281" s="621">
        <f t="shared" ref="AK281:AO281" si="493">SUM(AK279:AK280)</f>
        <v>448.61811751717255</v>
      </c>
      <c r="AL281" s="621">
        <f t="shared" si="493"/>
        <v>540.93603365431227</v>
      </c>
      <c r="AM281" s="621">
        <f t="shared" si="493"/>
        <v>547.77726778072645</v>
      </c>
      <c r="AN281" s="621">
        <f t="shared" si="493"/>
        <v>506.78410733607433</v>
      </c>
      <c r="AO281" s="620">
        <f t="shared" si="493"/>
        <v>2044.1155262882855</v>
      </c>
      <c r="AP281" s="620">
        <f t="shared" si="491"/>
        <v>2196.0531613578714</v>
      </c>
      <c r="AQ281" s="620">
        <f t="shared" si="491"/>
        <v>2251.2829327973004</v>
      </c>
      <c r="AR281" s="261"/>
      <c r="AS281" s="497" t="str">
        <f t="shared" si="461"/>
        <v>Total M&amp;F Fees, gross</v>
      </c>
      <c r="AT281" s="621">
        <f t="shared" si="464"/>
        <v>968</v>
      </c>
      <c r="AU281" s="621">
        <f t="shared" si="464"/>
        <v>1095</v>
      </c>
      <c r="AV281" s="621">
        <f t="shared" si="465"/>
        <v>1180</v>
      </c>
      <c r="AW281" s="621">
        <f t="shared" si="466"/>
        <v>1271</v>
      </c>
      <c r="AX281" s="621">
        <f t="shared" si="467"/>
        <v>1468</v>
      </c>
      <c r="AY281" s="621">
        <f t="shared" si="468"/>
        <v>1691</v>
      </c>
      <c r="AZ281" s="621">
        <f t="shared" si="469"/>
        <v>1786</v>
      </c>
      <c r="BA281" s="621">
        <f t="shared" si="470"/>
        <v>1940</v>
      </c>
      <c r="BB281" s="621">
        <f t="shared" si="471"/>
        <v>2044.1155262882855</v>
      </c>
      <c r="BC281" s="621">
        <f t="shared" si="472"/>
        <v>2196.0531613578714</v>
      </c>
      <c r="BD281" s="630">
        <f t="shared" si="473"/>
        <v>2251.2829327973004</v>
      </c>
      <c r="BF281" s="900"/>
      <c r="BM281" s="902"/>
      <c r="BN281" s="902"/>
      <c r="BO281" s="902"/>
      <c r="BP281" s="902"/>
      <c r="BQ281" s="902"/>
      <c r="BR281"/>
      <c r="BS281"/>
    </row>
    <row r="282" spans="1:71" s="122" customFormat="1" ht="12.75" customHeight="1">
      <c r="A282" s="310" t="s">
        <v>2310</v>
      </c>
      <c r="B282" s="362"/>
      <c r="C282" s="362"/>
      <c r="D282" s="362"/>
      <c r="E282" s="362"/>
      <c r="F282" s="362">
        <f>F275/E275-1</f>
        <v>3.8314176245210829E-2</v>
      </c>
      <c r="G282" s="238"/>
      <c r="H282" s="238"/>
      <c r="I282" s="238"/>
      <c r="J282" s="238"/>
      <c r="K282" s="362">
        <f t="shared" ref="K282:T286" si="494">K275/F275-1</f>
        <v>6.6420664206642055E-2</v>
      </c>
      <c r="L282" s="238">
        <f t="shared" si="494"/>
        <v>1.5151515151515138E-2</v>
      </c>
      <c r="M282" s="238">
        <f t="shared" si="494"/>
        <v>6.7567567567567544E-2</v>
      </c>
      <c r="N282" s="238">
        <f t="shared" si="494"/>
        <v>-3.9473684210526327E-2</v>
      </c>
      <c r="O282" s="238">
        <f t="shared" si="494"/>
        <v>9.5890410958904049E-2</v>
      </c>
      <c r="P282" s="362">
        <f t="shared" si="494"/>
        <v>3.460207612456756E-2</v>
      </c>
      <c r="Q282" s="238">
        <f t="shared" si="494"/>
        <v>0.17910447761194037</v>
      </c>
      <c r="R282" s="238">
        <f t="shared" si="494"/>
        <v>0.11392405063291133</v>
      </c>
      <c r="S282" s="238">
        <f t="shared" si="494"/>
        <v>6.8493150684931559E-2</v>
      </c>
      <c r="T282" s="238">
        <f t="shared" si="494"/>
        <v>7.4999999999999956E-2</v>
      </c>
      <c r="U282" s="362">
        <f t="shared" ref="U282:AD286" si="495">U275/P275-1</f>
        <v>0.10702341137123739</v>
      </c>
      <c r="V282" s="238">
        <f t="shared" si="495"/>
        <v>2.5316455696202445E-2</v>
      </c>
      <c r="W282" s="238">
        <f t="shared" si="495"/>
        <v>1.1363636363636465E-2</v>
      </c>
      <c r="X282" s="238">
        <f t="shared" si="495"/>
        <v>0.11538461538461542</v>
      </c>
      <c r="Y282" s="238">
        <f t="shared" si="495"/>
        <v>4.6511627906976827E-2</v>
      </c>
      <c r="Z282" s="362">
        <f t="shared" si="495"/>
        <v>4.8338368580060465E-2</v>
      </c>
      <c r="AA282" s="238">
        <f t="shared" si="495"/>
        <v>4.9382716049382713E-2</v>
      </c>
      <c r="AB282" s="238">
        <f t="shared" si="495"/>
        <v>4.4943820224719211E-2</v>
      </c>
      <c r="AC282" s="238">
        <f t="shared" si="495"/>
        <v>0</v>
      </c>
      <c r="AD282" s="238">
        <f t="shared" si="495"/>
        <v>-1.1111111111111072E-2</v>
      </c>
      <c r="AE282" s="362">
        <f t="shared" ref="AE282:AE286" si="496">AE275/Z275-1</f>
        <v>2.0172910662824117E-2</v>
      </c>
      <c r="AF282" s="238">
        <f t="shared" ref="AF282:AK286" si="497">AF275/AA296-1</f>
        <v>7.7922077922077948E-2</v>
      </c>
      <c r="AG282" s="238">
        <f t="shared" si="497"/>
        <v>6.25E-2</v>
      </c>
      <c r="AH282" s="238">
        <f t="shared" si="497"/>
        <v>0.12987012987012991</v>
      </c>
      <c r="AI282" s="3614">
        <f t="shared" si="497"/>
        <v>5.1948051948051965E-2</v>
      </c>
      <c r="AJ282" s="3615">
        <f t="shared" si="497"/>
        <v>8.0385852090032239E-2</v>
      </c>
      <c r="AK282" s="4108">
        <f t="shared" si="497"/>
        <v>8.0132281868436017E-2</v>
      </c>
      <c r="AL282" s="3614">
        <f t="shared" ref="AL282:AO282" si="498">AL275/AG296-1</f>
        <v>8.4624683035026127E-2</v>
      </c>
      <c r="AM282" s="3614">
        <f t="shared" si="498"/>
        <v>9.9975628787571047E-2</v>
      </c>
      <c r="AN282" s="4109">
        <f t="shared" si="498"/>
        <v>9.1050641289411871E-2</v>
      </c>
      <c r="AO282" s="3615">
        <f t="shared" si="498"/>
        <v>8.9128880373924302E-2</v>
      </c>
      <c r="AP282" s="362">
        <f t="shared" ref="AP282:AQ286" si="499">AP275/AO275-1</f>
        <v>6.6490001863715786E-2</v>
      </c>
      <c r="AQ282" s="362">
        <f t="shared" si="499"/>
        <v>1.2898137970311696E-2</v>
      </c>
      <c r="AR282" s="330"/>
      <c r="AS282" s="765" t="str">
        <f t="shared" si="461"/>
        <v>Base % growth, y/y</v>
      </c>
      <c r="AT282" s="238"/>
      <c r="AU282" s="238">
        <f>+F282</f>
        <v>3.8314176245210829E-2</v>
      </c>
      <c r="AV282" s="238">
        <f t="shared" si="465"/>
        <v>6.6420664206642055E-2</v>
      </c>
      <c r="AW282" s="238">
        <f t="shared" si="466"/>
        <v>3.460207612456756E-2</v>
      </c>
      <c r="AX282" s="238">
        <f t="shared" si="467"/>
        <v>0.10702341137123739</v>
      </c>
      <c r="AY282" s="238">
        <f t="shared" si="468"/>
        <v>4.8338368580060465E-2</v>
      </c>
      <c r="AZ282" s="238">
        <f t="shared" si="469"/>
        <v>2.0172910662824117E-2</v>
      </c>
      <c r="BA282" s="238">
        <f t="shared" si="470"/>
        <v>8.0385852090032239E-2</v>
      </c>
      <c r="BB282" s="238">
        <f t="shared" si="471"/>
        <v>8.9128880373924302E-2</v>
      </c>
      <c r="BC282" s="238">
        <f t="shared" si="472"/>
        <v>6.6490001863715786E-2</v>
      </c>
      <c r="BD282" s="789">
        <f t="shared" si="473"/>
        <v>1.2898137970311696E-2</v>
      </c>
      <c r="BE282" s="14"/>
      <c r="BF282" s="900"/>
      <c r="BG282"/>
      <c r="BH282"/>
      <c r="BI282"/>
      <c r="BJ282"/>
      <c r="BK282"/>
      <c r="BL282"/>
      <c r="BM282" s="902"/>
      <c r="BN282" s="902"/>
      <c r="BO282" s="902"/>
      <c r="BP282" s="902"/>
      <c r="BQ282"/>
      <c r="BR282"/>
      <c r="BS282"/>
    </row>
    <row r="283" spans="1:71" s="122" customFormat="1" ht="12.75" customHeight="1">
      <c r="A283" s="310" t="s">
        <v>2311</v>
      </c>
      <c r="B283" s="362"/>
      <c r="C283" s="362"/>
      <c r="D283" s="362"/>
      <c r="E283" s="362"/>
      <c r="F283" s="362">
        <f>F276/E276-1</f>
        <v>0.13043478260869557</v>
      </c>
      <c r="G283" s="238"/>
      <c r="H283" s="238"/>
      <c r="I283" s="238"/>
      <c r="J283" s="238"/>
      <c r="K283" s="362">
        <f t="shared" si="494"/>
        <v>7.6923076923076872E-2</v>
      </c>
      <c r="L283" s="238">
        <f t="shared" si="494"/>
        <v>3.5714285714285809E-2</v>
      </c>
      <c r="M283" s="238">
        <f t="shared" si="494"/>
        <v>0.125</v>
      </c>
      <c r="N283" s="238">
        <f t="shared" si="494"/>
        <v>0</v>
      </c>
      <c r="O283" s="238">
        <f t="shared" si="494"/>
        <v>-5.555555555555558E-2</v>
      </c>
      <c r="P283" s="362">
        <f t="shared" si="494"/>
        <v>1.7857142857142794E-2</v>
      </c>
      <c r="Q283" s="238">
        <f t="shared" si="494"/>
        <v>0.17241379310344818</v>
      </c>
      <c r="R283" s="238">
        <f t="shared" si="494"/>
        <v>0.14814814814814814</v>
      </c>
      <c r="S283" s="238">
        <f t="shared" si="494"/>
        <v>0.41666666666666674</v>
      </c>
      <c r="T283" s="238">
        <f t="shared" si="494"/>
        <v>0.11764705882352944</v>
      </c>
      <c r="U283" s="362">
        <f t="shared" si="495"/>
        <v>0.20175438596491224</v>
      </c>
      <c r="V283" s="238">
        <f t="shared" si="495"/>
        <v>8.8235294117646967E-2</v>
      </c>
      <c r="W283" s="238">
        <f t="shared" si="495"/>
        <v>0.16129032258064524</v>
      </c>
      <c r="X283" s="238">
        <f t="shared" si="495"/>
        <v>0</v>
      </c>
      <c r="Y283" s="238">
        <f t="shared" si="495"/>
        <v>7.8947368421052655E-2</v>
      </c>
      <c r="Z283" s="362">
        <f t="shared" si="495"/>
        <v>8.0291970802919721E-2</v>
      </c>
      <c r="AA283" s="238">
        <f t="shared" si="495"/>
        <v>0.13513513513513509</v>
      </c>
      <c r="AB283" s="238">
        <f t="shared" si="495"/>
        <v>0</v>
      </c>
      <c r="AC283" s="238">
        <f t="shared" si="495"/>
        <v>8.8235294117646967E-2</v>
      </c>
      <c r="AD283" s="238">
        <f t="shared" si="495"/>
        <v>-2.4390243902439046E-2</v>
      </c>
      <c r="AE283" s="362">
        <f t="shared" si="496"/>
        <v>4.7297297297297369E-2</v>
      </c>
      <c r="AF283" s="238">
        <f t="shared" si="497"/>
        <v>4.0000000000000036E-2</v>
      </c>
      <c r="AG283" s="238">
        <f t="shared" si="497"/>
        <v>0.14285714285714279</v>
      </c>
      <c r="AH283" s="238">
        <f t="shared" si="497"/>
        <v>8.3333333333333259E-2</v>
      </c>
      <c r="AI283" s="3614">
        <f t="shared" si="497"/>
        <v>0.14814814814814814</v>
      </c>
      <c r="AJ283" s="3615">
        <f t="shared" si="497"/>
        <v>0.10447761194029859</v>
      </c>
      <c r="AK283" s="4108">
        <f t="shared" si="497"/>
        <v>2.0000000000000018E-2</v>
      </c>
      <c r="AL283" s="3614">
        <f t="shared" ref="AL283:AO283" si="500">AL276/AG297-1</f>
        <v>6.0000000000000053E-2</v>
      </c>
      <c r="AM283" s="3614">
        <f t="shared" si="500"/>
        <v>6.0000000000000053E-2</v>
      </c>
      <c r="AN283" s="4109">
        <f t="shared" si="500"/>
        <v>1.0000000000000009E-2</v>
      </c>
      <c r="AO283" s="3615">
        <f t="shared" si="500"/>
        <v>3.6981981981982104E-2</v>
      </c>
      <c r="AP283" s="362">
        <f t="shared" si="499"/>
        <v>0</v>
      </c>
      <c r="AQ283" s="362">
        <f t="shared" si="499"/>
        <v>-5.0000000000000044E-2</v>
      </c>
      <c r="AR283" s="330"/>
      <c r="AS283" s="765" t="str">
        <f t="shared" si="461"/>
        <v>Incentive % growth, y/y</v>
      </c>
      <c r="AT283" s="238"/>
      <c r="AU283" s="238">
        <f>+F283</f>
        <v>0.13043478260869557</v>
      </c>
      <c r="AV283" s="238">
        <f t="shared" si="465"/>
        <v>7.6923076923076872E-2</v>
      </c>
      <c r="AW283" s="238">
        <f t="shared" si="466"/>
        <v>1.7857142857142794E-2</v>
      </c>
      <c r="AX283" s="238">
        <f t="shared" si="467"/>
        <v>0.20175438596491224</v>
      </c>
      <c r="AY283" s="238">
        <f t="shared" si="468"/>
        <v>8.0291970802919721E-2</v>
      </c>
      <c r="AZ283" s="238">
        <f t="shared" si="469"/>
        <v>4.7297297297297369E-2</v>
      </c>
      <c r="BA283" s="238">
        <f t="shared" si="470"/>
        <v>0.10447761194029859</v>
      </c>
      <c r="BB283" s="238">
        <f t="shared" si="471"/>
        <v>3.6981981981982104E-2</v>
      </c>
      <c r="BC283" s="238">
        <f t="shared" si="472"/>
        <v>0</v>
      </c>
      <c r="BD283" s="789">
        <f t="shared" si="473"/>
        <v>-5.0000000000000044E-2</v>
      </c>
      <c r="BE283" s="14"/>
      <c r="BF283" s="900"/>
      <c r="BG283"/>
      <c r="BH283"/>
      <c r="BI283"/>
      <c r="BJ283"/>
      <c r="BK283"/>
      <c r="BL283"/>
      <c r="BM283" s="902"/>
      <c r="BN283" s="902"/>
      <c r="BO283" s="902"/>
      <c r="BP283" s="902"/>
      <c r="BQ283"/>
      <c r="BR283"/>
      <c r="BS283"/>
    </row>
    <row r="284" spans="1:71" s="122" customFormat="1" ht="12.75" customHeight="1">
      <c r="A284" s="310" t="s">
        <v>2120</v>
      </c>
      <c r="B284" s="362"/>
      <c r="C284" s="362"/>
      <c r="D284" s="362"/>
      <c r="E284" s="362"/>
      <c r="F284" s="362">
        <f>F277/E277-1</f>
        <v>6.2322946175637384E-2</v>
      </c>
      <c r="G284" s="238"/>
      <c r="H284" s="238"/>
      <c r="I284" s="238"/>
      <c r="J284" s="238"/>
      <c r="K284" s="362">
        <f t="shared" si="494"/>
        <v>6.9333333333333247E-2</v>
      </c>
      <c r="L284" s="672">
        <f t="shared" si="494"/>
        <v>2.1276595744680771E-2</v>
      </c>
      <c r="M284" s="238">
        <f t="shared" si="494"/>
        <v>8.163265306122458E-2</v>
      </c>
      <c r="N284" s="238">
        <f t="shared" si="494"/>
        <v>-3.0000000000000027E-2</v>
      </c>
      <c r="O284" s="789">
        <f t="shared" si="494"/>
        <v>4.587155963302747E-2</v>
      </c>
      <c r="P284" s="362">
        <f t="shared" si="494"/>
        <v>2.9925187032418865E-2</v>
      </c>
      <c r="Q284" s="672">
        <f t="shared" si="494"/>
        <v>0.17708333333333326</v>
      </c>
      <c r="R284" s="238">
        <f t="shared" si="494"/>
        <v>0.12264150943396235</v>
      </c>
      <c r="S284" s="238">
        <f t="shared" si="494"/>
        <v>0.15463917525773185</v>
      </c>
      <c r="T284" s="789">
        <f t="shared" si="494"/>
        <v>8.7719298245614086E-2</v>
      </c>
      <c r="U284" s="362">
        <f t="shared" si="495"/>
        <v>0.13317191283292984</v>
      </c>
      <c r="V284" s="238">
        <f t="shared" si="495"/>
        <v>4.4247787610619538E-2</v>
      </c>
      <c r="W284" s="238">
        <f t="shared" si="495"/>
        <v>5.0420168067226934E-2</v>
      </c>
      <c r="X284" s="238">
        <f t="shared" si="495"/>
        <v>8.0357142857142794E-2</v>
      </c>
      <c r="Y284" s="789">
        <f t="shared" si="495"/>
        <v>5.6451612903225756E-2</v>
      </c>
      <c r="Z284" s="362">
        <f t="shared" si="495"/>
        <v>5.7692307692307709E-2</v>
      </c>
      <c r="AA284" s="238">
        <f t="shared" si="495"/>
        <v>7.6271186440677985E-2</v>
      </c>
      <c r="AB284" s="238">
        <f t="shared" si="495"/>
        <v>3.2000000000000028E-2</v>
      </c>
      <c r="AC284" s="238">
        <f t="shared" si="495"/>
        <v>2.4793388429751984E-2</v>
      </c>
      <c r="AD284" s="238">
        <f t="shared" si="495"/>
        <v>-1.5267175572519109E-2</v>
      </c>
      <c r="AE284" s="362">
        <f t="shared" si="496"/>
        <v>2.8282828282828243E-2</v>
      </c>
      <c r="AF284" s="238">
        <f t="shared" si="497"/>
        <v>6.2992125984252079E-2</v>
      </c>
      <c r="AG284" s="238">
        <f t="shared" si="497"/>
        <v>9.3023255813953432E-2</v>
      </c>
      <c r="AH284" s="238">
        <f t="shared" si="497"/>
        <v>0.1120000000000001</v>
      </c>
      <c r="AI284" s="3614">
        <f t="shared" si="497"/>
        <v>9.1603053435114434E-2</v>
      </c>
      <c r="AJ284" s="3615">
        <f t="shared" si="497"/>
        <v>8.984375E-2</v>
      </c>
      <c r="AK284" s="4108">
        <f t="shared" si="497"/>
        <v>5.7467037164179668E-2</v>
      </c>
      <c r="AL284" s="3614">
        <f t="shared" ref="AL284:AO284" si="501">AL277/AG298-1</f>
        <v>7.4453618303167657E-2</v>
      </c>
      <c r="AM284" s="3614">
        <f t="shared" si="501"/>
        <v>8.4841997889419041E-2</v>
      </c>
      <c r="AN284" s="4109">
        <f t="shared" si="501"/>
        <v>5.4836524968610689E-2</v>
      </c>
      <c r="AO284" s="3615">
        <f t="shared" si="501"/>
        <v>6.8042156434013235E-2</v>
      </c>
      <c r="AP284" s="362">
        <f t="shared" si="499"/>
        <v>4.0385236707738414E-2</v>
      </c>
      <c r="AQ284" s="362">
        <f t="shared" si="499"/>
        <v>-1.0837835802223195E-2</v>
      </c>
      <c r="AR284" s="330"/>
      <c r="AS284" s="765"/>
      <c r="AT284" s="238"/>
      <c r="AU284" s="238"/>
      <c r="AV284" s="238"/>
      <c r="AW284" s="238"/>
      <c r="AX284" s="238"/>
      <c r="AY284" s="238"/>
      <c r="AZ284" s="238"/>
      <c r="BA284" s="238"/>
      <c r="BB284" s="238"/>
      <c r="BC284" s="238"/>
      <c r="BD284" s="789"/>
      <c r="BE284" s="14"/>
      <c r="BF284" s="900"/>
      <c r="BG284"/>
      <c r="BH284"/>
      <c r="BI284"/>
      <c r="BJ284"/>
      <c r="BK284"/>
      <c r="BL284"/>
      <c r="BM284" s="902"/>
      <c r="BN284" s="902"/>
      <c r="BO284" s="902"/>
      <c r="BP284" s="902"/>
      <c r="BQ284"/>
      <c r="BR284"/>
      <c r="BS284"/>
    </row>
    <row r="285" spans="1:71" s="122" customFormat="1" ht="12.75" customHeight="1">
      <c r="A285" s="310" t="s">
        <v>2312</v>
      </c>
      <c r="B285" s="362"/>
      <c r="C285" s="362"/>
      <c r="D285" s="362"/>
      <c r="E285" s="362"/>
      <c r="F285" s="362">
        <f>F278/E278-1</f>
        <v>0.14700854700854693</v>
      </c>
      <c r="G285" s="238"/>
      <c r="H285" s="238"/>
      <c r="I285" s="238"/>
      <c r="J285" s="238"/>
      <c r="K285" s="362">
        <f t="shared" si="494"/>
        <v>0.11624441132637853</v>
      </c>
      <c r="L285" s="238">
        <f t="shared" si="494"/>
        <v>7.7844311377245567E-2</v>
      </c>
      <c r="M285" s="238">
        <f t="shared" si="494"/>
        <v>9.137055837563457E-2</v>
      </c>
      <c r="N285" s="238">
        <f t="shared" si="494"/>
        <v>0.11764705882352944</v>
      </c>
      <c r="O285" s="238">
        <f t="shared" si="494"/>
        <v>0.13812154696132595</v>
      </c>
      <c r="P285" s="362">
        <f t="shared" si="494"/>
        <v>0.10680907877169554</v>
      </c>
      <c r="Q285" s="238">
        <f t="shared" si="494"/>
        <v>0.17222222222222228</v>
      </c>
      <c r="R285" s="238">
        <f t="shared" si="494"/>
        <v>0.14883720930232558</v>
      </c>
      <c r="S285" s="238">
        <f t="shared" si="494"/>
        <v>0.15789473684210531</v>
      </c>
      <c r="T285" s="238">
        <f t="shared" si="494"/>
        <v>0.20873786407766981</v>
      </c>
      <c r="U285" s="362">
        <f t="shared" si="495"/>
        <v>0.17129071170084442</v>
      </c>
      <c r="V285" s="238">
        <f t="shared" si="495"/>
        <v>0.25592417061611372</v>
      </c>
      <c r="W285" s="238">
        <f t="shared" si="495"/>
        <v>0.21457489878542502</v>
      </c>
      <c r="X285" s="238">
        <f t="shared" si="495"/>
        <v>0.17424242424242431</v>
      </c>
      <c r="Y285" s="238">
        <f t="shared" si="495"/>
        <v>0.16465863453815266</v>
      </c>
      <c r="Z285" s="362">
        <f t="shared" si="495"/>
        <v>0.19979402677651903</v>
      </c>
      <c r="AA285" s="238">
        <f t="shared" si="495"/>
        <v>3.0188679245283012E-2</v>
      </c>
      <c r="AB285" s="238">
        <f t="shared" si="495"/>
        <v>0.10666666666666669</v>
      </c>
      <c r="AC285" s="238">
        <f t="shared" si="495"/>
        <v>8.3870967741935587E-2</v>
      </c>
      <c r="AD285" s="238">
        <f t="shared" si="495"/>
        <v>2.0689655172413834E-2</v>
      </c>
      <c r="AE285" s="362">
        <f t="shared" si="496"/>
        <v>6.1802575107296143E-2</v>
      </c>
      <c r="AF285" s="238">
        <f t="shared" si="497"/>
        <v>8.4870848708487046E-2</v>
      </c>
      <c r="AG285" s="238">
        <f t="shared" si="497"/>
        <v>0.11711711711711703</v>
      </c>
      <c r="AH285" s="238">
        <f t="shared" si="497"/>
        <v>0.11676646706586835</v>
      </c>
      <c r="AI285" s="3614">
        <f t="shared" si="497"/>
        <v>0.15878378378378377</v>
      </c>
      <c r="AJ285" s="3615">
        <f t="shared" si="497"/>
        <v>0.11993517017828204</v>
      </c>
      <c r="AK285" s="4108">
        <f t="shared" si="497"/>
        <v>0.10335958399230205</v>
      </c>
      <c r="AL285" s="3614">
        <f t="shared" ref="AL285:AO285" si="502">AL278/AG299-1</f>
        <v>0.1060885474041553</v>
      </c>
      <c r="AM285" s="3614">
        <f t="shared" si="502"/>
        <v>0.10586421250337374</v>
      </c>
      <c r="AN285" s="4109">
        <f t="shared" si="502"/>
        <v>9.8319500967791962E-2</v>
      </c>
      <c r="AO285" s="3615">
        <f t="shared" si="502"/>
        <v>0.10352792006511136</v>
      </c>
      <c r="AP285" s="362">
        <f t="shared" si="499"/>
        <v>8.7982596685343362E-2</v>
      </c>
      <c r="AQ285" s="362">
        <f t="shared" si="499"/>
        <v>3.8991509572689598E-2</v>
      </c>
      <c r="AR285" s="330"/>
      <c r="AS285" s="765" t="str">
        <f>+A285</f>
        <v>Franchise % growth, y/y</v>
      </c>
      <c r="AT285" s="238"/>
      <c r="AU285" s="238">
        <f>+F285</f>
        <v>0.14700854700854693</v>
      </c>
      <c r="AV285" s="238">
        <f>+K285</f>
        <v>0.11624441132637853</v>
      </c>
      <c r="AW285" s="238">
        <f>+P285</f>
        <v>0.10680907877169554</v>
      </c>
      <c r="AX285" s="238">
        <f>+U285</f>
        <v>0.17129071170084442</v>
      </c>
      <c r="AY285" s="238">
        <f>+Z285</f>
        <v>0.19979402677651903</v>
      </c>
      <c r="AZ285" s="238">
        <f>+AE285</f>
        <v>6.1802575107296143E-2</v>
      </c>
      <c r="BA285" s="238">
        <f>+AJ285</f>
        <v>0.11993517017828204</v>
      </c>
      <c r="BB285" s="238">
        <f t="shared" ref="BB285:BD287" si="503">+AO285</f>
        <v>0.10352792006511136</v>
      </c>
      <c r="BC285" s="238">
        <f t="shared" si="503"/>
        <v>8.7982596685343362E-2</v>
      </c>
      <c r="BD285" s="789">
        <f t="shared" si="503"/>
        <v>3.8991509572689598E-2</v>
      </c>
      <c r="BE285" s="14"/>
      <c r="BF285" s="900"/>
      <c r="BG285"/>
      <c r="BH285"/>
      <c r="BI285"/>
      <c r="BJ285"/>
      <c r="BK285"/>
      <c r="BL285"/>
      <c r="BM285" s="902"/>
      <c r="BN285" s="902"/>
      <c r="BO285" s="902"/>
      <c r="BP285" s="902"/>
      <c r="BQ285"/>
      <c r="BR285"/>
      <c r="BS285"/>
    </row>
    <row r="286" spans="1:71" s="122" customFormat="1" ht="12.75" customHeight="1">
      <c r="A286" s="310" t="s">
        <v>2313</v>
      </c>
      <c r="B286" s="362"/>
      <c r="C286" s="362"/>
      <c r="D286" s="362"/>
      <c r="E286" s="362"/>
      <c r="F286" s="362">
        <f>F279/E279-1</f>
        <v>0.11513859275053306</v>
      </c>
      <c r="G286" s="238"/>
      <c r="H286" s="238"/>
      <c r="I286" s="238"/>
      <c r="J286" s="238"/>
      <c r="K286" s="362">
        <f t="shared" si="494"/>
        <v>9.9426386233269604E-2</v>
      </c>
      <c r="L286" s="238">
        <f t="shared" si="494"/>
        <v>5.7471264367816133E-2</v>
      </c>
      <c r="M286" s="238">
        <f t="shared" si="494"/>
        <v>8.8135593220338926E-2</v>
      </c>
      <c r="N286" s="238">
        <f t="shared" si="494"/>
        <v>6.9078947368421018E-2</v>
      </c>
      <c r="O286" s="238">
        <f t="shared" si="494"/>
        <v>0.10344827586206895</v>
      </c>
      <c r="P286" s="362">
        <f t="shared" si="494"/>
        <v>8.0000000000000071E-2</v>
      </c>
      <c r="Q286" s="238">
        <f t="shared" si="494"/>
        <v>0.17391304347826098</v>
      </c>
      <c r="R286" s="238">
        <f t="shared" si="494"/>
        <v>0.14018691588785037</v>
      </c>
      <c r="S286" s="238">
        <f t="shared" si="494"/>
        <v>0.15692307692307694</v>
      </c>
      <c r="T286" s="238">
        <f t="shared" si="494"/>
        <v>0.16562499999999991</v>
      </c>
      <c r="U286" s="362">
        <f t="shared" si="495"/>
        <v>0.15861513687600648</v>
      </c>
      <c r="V286" s="238">
        <f t="shared" si="495"/>
        <v>0.18209876543209869</v>
      </c>
      <c r="W286" s="238">
        <f t="shared" si="495"/>
        <v>0.16120218579234979</v>
      </c>
      <c r="X286" s="238">
        <f t="shared" si="495"/>
        <v>0.14627659574468077</v>
      </c>
      <c r="Y286" s="238">
        <f t="shared" si="495"/>
        <v>0.12868632707774807</v>
      </c>
      <c r="Z286" s="362">
        <f t="shared" si="495"/>
        <v>0.15357887421820715</v>
      </c>
      <c r="AA286" s="238">
        <f t="shared" si="495"/>
        <v>4.4386422976501416E-2</v>
      </c>
      <c r="AB286" s="238">
        <f t="shared" si="495"/>
        <v>8.4705882352941186E-2</v>
      </c>
      <c r="AC286" s="238">
        <f t="shared" si="495"/>
        <v>6.728538283062635E-2</v>
      </c>
      <c r="AD286" s="238">
        <f t="shared" si="495"/>
        <v>9.5011876484560887E-3</v>
      </c>
      <c r="AE286" s="362">
        <f t="shared" si="496"/>
        <v>5.1807228915662584E-2</v>
      </c>
      <c r="AF286" s="238">
        <f t="shared" si="497"/>
        <v>7.7889447236180853E-2</v>
      </c>
      <c r="AG286" s="238">
        <f t="shared" si="497"/>
        <v>0.11038961038961048</v>
      </c>
      <c r="AH286" s="238">
        <f t="shared" si="497"/>
        <v>0.11546840958605675</v>
      </c>
      <c r="AI286" s="3614">
        <f t="shared" si="497"/>
        <v>0.13817330210772827</v>
      </c>
      <c r="AJ286" s="3615">
        <f t="shared" si="497"/>
        <v>0.11111111111111116</v>
      </c>
      <c r="AK286" s="4108">
        <f t="shared" si="497"/>
        <v>8.8878926012554649E-2</v>
      </c>
      <c r="AL286" s="3614">
        <f t="shared" ref="AL286:AO286" si="504">AL279/AG300-1</f>
        <v>9.7233333984406256E-2</v>
      </c>
      <c r="AM286" s="3614">
        <f t="shared" si="504"/>
        <v>9.9954352973346206E-2</v>
      </c>
      <c r="AN286" s="4109">
        <f t="shared" si="504"/>
        <v>8.5190808000159102E-2</v>
      </c>
      <c r="AO286" s="3615">
        <f t="shared" si="504"/>
        <v>9.3109907106035061E-2</v>
      </c>
      <c r="AP286" s="362">
        <f t="shared" si="499"/>
        <v>7.4329279884427502E-2</v>
      </c>
      <c r="AQ286" s="362">
        <f t="shared" si="499"/>
        <v>2.5149560316326314E-2</v>
      </c>
      <c r="AR286" s="330"/>
      <c r="AS286" s="765" t="str">
        <f>+A286</f>
        <v>Core Subtotal % growth, y/y</v>
      </c>
      <c r="AT286" s="238"/>
      <c r="AU286" s="238">
        <f>+F286</f>
        <v>0.11513859275053306</v>
      </c>
      <c r="AV286" s="238">
        <f>+K286</f>
        <v>9.9426386233269604E-2</v>
      </c>
      <c r="AW286" s="238">
        <f>+P286</f>
        <v>8.0000000000000071E-2</v>
      </c>
      <c r="AX286" s="238">
        <f>+U286</f>
        <v>0.15861513687600648</v>
      </c>
      <c r="AY286" s="238">
        <f>+Z286</f>
        <v>0.15357887421820715</v>
      </c>
      <c r="AZ286" s="238">
        <f>+AE286</f>
        <v>5.1807228915662584E-2</v>
      </c>
      <c r="BA286" s="238">
        <f>+AJ286</f>
        <v>0.11111111111111116</v>
      </c>
      <c r="BB286" s="238">
        <f t="shared" si="503"/>
        <v>9.3109907106035061E-2</v>
      </c>
      <c r="BC286" s="238">
        <f t="shared" si="503"/>
        <v>7.4329279884427502E-2</v>
      </c>
      <c r="BD286" s="789">
        <f t="shared" si="503"/>
        <v>2.5149560316326314E-2</v>
      </c>
      <c r="BE286" s="14"/>
      <c r="BF286" s="900"/>
      <c r="BG286"/>
      <c r="BH286"/>
      <c r="BI286"/>
      <c r="BJ286"/>
      <c r="BK286"/>
      <c r="BL286"/>
      <c r="BM286" s="902"/>
      <c r="BN286" s="902"/>
      <c r="BO286" s="902"/>
      <c r="BP286" s="902"/>
      <c r="BQ286"/>
      <c r="BR286"/>
      <c r="BS286"/>
    </row>
    <row r="287" spans="1:71" s="122" customFormat="1" ht="12.75" customHeight="1">
      <c r="A287" s="310" t="s">
        <v>2314</v>
      </c>
      <c r="B287" s="362"/>
      <c r="C287" s="362"/>
      <c r="D287" s="362"/>
      <c r="E287" s="362"/>
      <c r="F287" s="362">
        <f>F281/E281-1</f>
        <v>0.13119834710743805</v>
      </c>
      <c r="G287" s="238"/>
      <c r="H287" s="238"/>
      <c r="I287" s="238"/>
      <c r="J287" s="238"/>
      <c r="K287" s="362">
        <f t="shared" ref="K287:AE287" si="505">K281/F281-1</f>
        <v>7.7625570776255648E-2</v>
      </c>
      <c r="L287" s="238">
        <f t="shared" si="505"/>
        <v>6.8181818181818121E-2</v>
      </c>
      <c r="M287" s="238">
        <f t="shared" si="505"/>
        <v>8.666666666666667E-2</v>
      </c>
      <c r="N287" s="238">
        <f t="shared" si="505"/>
        <v>5.4313099041533475E-2</v>
      </c>
      <c r="O287" s="238">
        <f t="shared" si="505"/>
        <v>9.9009900990099098E-2</v>
      </c>
      <c r="P287" s="362">
        <f t="shared" si="505"/>
        <v>7.7118644067796671E-2</v>
      </c>
      <c r="Q287" s="238">
        <f t="shared" si="505"/>
        <v>0.17375886524822692</v>
      </c>
      <c r="R287" s="238">
        <f t="shared" si="505"/>
        <v>0.13803680981595101</v>
      </c>
      <c r="S287" s="238">
        <f t="shared" si="505"/>
        <v>0.16060606060606064</v>
      </c>
      <c r="T287" s="238">
        <f t="shared" si="505"/>
        <v>0.1501501501501501</v>
      </c>
      <c r="U287" s="362">
        <f t="shared" si="505"/>
        <v>0.15499606608969319</v>
      </c>
      <c r="V287" s="238">
        <f t="shared" si="505"/>
        <v>0.18126888217522663</v>
      </c>
      <c r="W287" s="238">
        <f t="shared" si="505"/>
        <v>0.16981132075471694</v>
      </c>
      <c r="X287" s="238">
        <f t="shared" si="505"/>
        <v>0.14360313315926887</v>
      </c>
      <c r="Y287" s="238">
        <f t="shared" si="505"/>
        <v>0.11749347258485643</v>
      </c>
      <c r="Z287" s="362">
        <f t="shared" si="505"/>
        <v>0.15190735694822899</v>
      </c>
      <c r="AA287" s="238">
        <f t="shared" si="505"/>
        <v>4.6035805626598369E-2</v>
      </c>
      <c r="AB287" s="238">
        <f t="shared" si="505"/>
        <v>8.5253456221198176E-2</v>
      </c>
      <c r="AC287" s="238">
        <f t="shared" si="505"/>
        <v>7.3059360730593603E-2</v>
      </c>
      <c r="AD287" s="238">
        <f t="shared" si="505"/>
        <v>1.8691588785046731E-2</v>
      </c>
      <c r="AE287" s="362">
        <f t="shared" si="505"/>
        <v>5.6179775280898792E-2</v>
      </c>
      <c r="AF287" s="238">
        <f t="shared" ref="AF287:AK287" si="506">AF281/AA302-1</f>
        <v>7.2500000000000009E-2</v>
      </c>
      <c r="AG287" s="238">
        <f t="shared" si="506"/>
        <v>0.1056034482758621</v>
      </c>
      <c r="AH287" s="238">
        <f t="shared" si="506"/>
        <v>0.11062906724511934</v>
      </c>
      <c r="AI287" s="3614">
        <f t="shared" si="506"/>
        <v>0.12761020881670526</v>
      </c>
      <c r="AJ287" s="3615">
        <f t="shared" si="506"/>
        <v>0.10478359908883816</v>
      </c>
      <c r="AK287" s="4108">
        <f t="shared" si="506"/>
        <v>8.8878926012554649E-2</v>
      </c>
      <c r="AL287" s="3614">
        <f t="shared" ref="AL287:AO287" si="507">AL281/AG302-1</f>
        <v>9.7233333984406256E-2</v>
      </c>
      <c r="AM287" s="3614">
        <f t="shared" si="507"/>
        <v>9.9954352973346206E-2</v>
      </c>
      <c r="AN287" s="4109">
        <f t="shared" si="507"/>
        <v>8.5190808000159102E-2</v>
      </c>
      <c r="AO287" s="3615">
        <f t="shared" si="507"/>
        <v>9.3109907106035061E-2</v>
      </c>
      <c r="AP287" s="362">
        <f>AP281/AO281-1</f>
        <v>7.4329279884427502E-2</v>
      </c>
      <c r="AQ287" s="362">
        <f>AQ281/AP281-1</f>
        <v>2.5149560316326314E-2</v>
      </c>
      <c r="AR287" s="330"/>
      <c r="AS287" s="765" t="str">
        <f>+A287</f>
        <v>Total % growth, y/y (Ties to Guidance)</v>
      </c>
      <c r="AT287" s="238"/>
      <c r="AU287" s="238">
        <f>+F287</f>
        <v>0.13119834710743805</v>
      </c>
      <c r="AV287" s="238">
        <f>+K287</f>
        <v>7.7625570776255648E-2</v>
      </c>
      <c r="AW287" s="238">
        <f>+P287</f>
        <v>7.7118644067796671E-2</v>
      </c>
      <c r="AX287" s="238">
        <f>+U287</f>
        <v>0.15499606608969319</v>
      </c>
      <c r="AY287" s="238">
        <f>+Z287</f>
        <v>0.15190735694822899</v>
      </c>
      <c r="AZ287" s="238">
        <f>+AE287</f>
        <v>5.6179775280898792E-2</v>
      </c>
      <c r="BA287" s="238">
        <f>+AJ287</f>
        <v>0.10478359908883816</v>
      </c>
      <c r="BB287" s="238">
        <f t="shared" si="503"/>
        <v>9.3109907106035061E-2</v>
      </c>
      <c r="BC287" s="238">
        <f t="shared" si="503"/>
        <v>7.4329279884427502E-2</v>
      </c>
      <c r="BD287" s="789">
        <f t="shared" si="503"/>
        <v>2.5149560316326314E-2</v>
      </c>
      <c r="BE287" s="14"/>
      <c r="BF287" s="900"/>
      <c r="BG287"/>
      <c r="BH287"/>
      <c r="BI287"/>
      <c r="BJ287"/>
      <c r="BK287"/>
      <c r="BL287"/>
      <c r="BM287" s="902"/>
      <c r="BN287" s="902"/>
      <c r="BO287" s="902"/>
      <c r="BP287" s="902"/>
      <c r="BQ287"/>
      <c r="BR287"/>
      <c r="BS287"/>
    </row>
    <row r="288" spans="1:71" s="243" customFormat="1" ht="12.75" customHeight="1">
      <c r="A288" s="311" t="s">
        <v>1420</v>
      </c>
      <c r="B288" s="1183"/>
      <c r="C288" s="1183"/>
      <c r="D288" s="1183"/>
      <c r="E288" s="1183"/>
      <c r="F288" s="1183"/>
      <c r="G288" s="1184"/>
      <c r="H288" s="1184"/>
      <c r="I288" s="1184"/>
      <c r="J288" s="1184"/>
      <c r="K288" s="1183"/>
      <c r="L288" s="1184"/>
      <c r="M288" s="1184"/>
      <c r="N288" s="1184"/>
      <c r="O288" s="1139"/>
      <c r="P288" s="1138"/>
      <c r="Q288" s="2253" t="s">
        <v>543</v>
      </c>
      <c r="R288" s="2253" t="s">
        <v>543</v>
      </c>
      <c r="S288" s="2253" t="s">
        <v>543</v>
      </c>
      <c r="T288" s="2253" t="s">
        <v>2332</v>
      </c>
      <c r="U288" s="2042" t="s">
        <v>2328</v>
      </c>
      <c r="V288" s="2253" t="s">
        <v>2344</v>
      </c>
      <c r="W288" s="2253" t="s">
        <v>2344</v>
      </c>
      <c r="X288" s="2253" t="s">
        <v>543</v>
      </c>
      <c r="Y288" s="2253" t="s">
        <v>2325</v>
      </c>
      <c r="Z288" s="2042" t="s">
        <v>2332</v>
      </c>
      <c r="AA288" s="2253" t="s">
        <v>2428</v>
      </c>
      <c r="AB288" s="2253" t="s">
        <v>2430</v>
      </c>
      <c r="AC288" s="2253" t="s">
        <v>2430</v>
      </c>
      <c r="AD288" s="2253" t="s">
        <v>2428</v>
      </c>
      <c r="AE288" s="2042" t="s">
        <v>2325</v>
      </c>
      <c r="AF288" s="2253" t="s">
        <v>2428</v>
      </c>
      <c r="AG288" s="2253" t="s">
        <v>2430</v>
      </c>
      <c r="AH288" s="2253" t="s">
        <v>2430</v>
      </c>
      <c r="AI288" s="2253" t="s">
        <v>3166</v>
      </c>
      <c r="AJ288" s="2042" t="s">
        <v>3166</v>
      </c>
      <c r="AK288" s="4107" t="s">
        <v>3166</v>
      </c>
      <c r="AL288" s="2253"/>
      <c r="AM288" s="2253"/>
      <c r="AN288" s="1139"/>
      <c r="AO288" s="2042" t="s">
        <v>3166</v>
      </c>
      <c r="AP288" s="1190"/>
      <c r="AQ288" s="1138"/>
      <c r="AR288" s="332"/>
      <c r="AS288" s="1186"/>
      <c r="AT288" s="1184"/>
      <c r="AU288" s="1184"/>
      <c r="AV288" s="1184"/>
      <c r="AW288" s="1184"/>
      <c r="AX288" s="1184"/>
      <c r="AY288" s="1184"/>
      <c r="AZ288" s="1184"/>
      <c r="BA288" s="1184" t="str">
        <f>+AJ288</f>
        <v>8-10%</v>
      </c>
      <c r="BB288" s="1184"/>
      <c r="BC288" s="1184"/>
      <c r="BD288" s="1187"/>
      <c r="BE288" s="14"/>
      <c r="BF288" s="1188"/>
      <c r="BG288"/>
      <c r="BH288"/>
      <c r="BI288"/>
      <c r="BJ288"/>
      <c r="BK288"/>
      <c r="BL288"/>
      <c r="BM288" s="1189"/>
      <c r="BN288" s="1189"/>
      <c r="BO288" s="1189"/>
      <c r="BP288" s="1189"/>
      <c r="BQ288" s="1189"/>
      <c r="BR288" s="1189"/>
      <c r="BS288" s="1189"/>
    </row>
    <row r="289" spans="1:71" ht="12.75" customHeight="1">
      <c r="A289" s="279"/>
      <c r="B289" s="359"/>
      <c r="C289" s="359"/>
      <c r="D289" s="359"/>
      <c r="E289" s="359"/>
      <c r="F289" s="359"/>
      <c r="G289" s="333"/>
      <c r="H289" s="333"/>
      <c r="I289" s="333"/>
      <c r="J289" s="333"/>
      <c r="K289" s="359"/>
      <c r="L289" s="333"/>
      <c r="M289" s="277"/>
      <c r="N289" s="333"/>
      <c r="O289" s="333"/>
      <c r="P289" s="359"/>
      <c r="Q289" s="333"/>
      <c r="R289" s="333"/>
      <c r="S289" s="333"/>
      <c r="T289" s="333"/>
      <c r="U289" s="359"/>
      <c r="V289" s="333"/>
      <c r="W289" s="333"/>
      <c r="X289" s="333"/>
      <c r="Y289" s="333"/>
      <c r="Z289" s="2406"/>
      <c r="AA289" s="333"/>
      <c r="AB289" s="333"/>
      <c r="AC289" s="333"/>
      <c r="AD289" s="333"/>
      <c r="AE289" s="363"/>
      <c r="AF289" s="3"/>
      <c r="AG289" s="333"/>
      <c r="AH289" s="333"/>
      <c r="AI289" s="333"/>
      <c r="AJ289" s="3551"/>
      <c r="AK289" s="3"/>
      <c r="AL289" s="333"/>
      <c r="AM289" s="333"/>
      <c r="AN289" s="333"/>
      <c r="AO289" s="359"/>
      <c r="AP289" s="359"/>
      <c r="AQ289" s="359"/>
      <c r="AR289" s="330"/>
      <c r="AS289" s="500"/>
      <c r="AT289" s="334"/>
      <c r="AU289" s="334"/>
      <c r="AV289" s="334"/>
      <c r="AW289" s="334"/>
      <c r="AX289" s="334"/>
      <c r="AY289" s="334"/>
      <c r="AZ289" s="334"/>
      <c r="BA289" s="334"/>
      <c r="BB289" s="334"/>
      <c r="BC289" s="334"/>
      <c r="BD289" s="874"/>
      <c r="BF289" s="900"/>
      <c r="BM289" s="902"/>
      <c r="BN289" s="902"/>
      <c r="BO289" s="902"/>
      <c r="BP289" s="902"/>
      <c r="BQ289" s="902"/>
      <c r="BR289" s="902"/>
      <c r="BS289" s="902"/>
    </row>
    <row r="290" spans="1:71" ht="12.75" customHeight="1">
      <c r="A290" s="708" t="s">
        <v>2970</v>
      </c>
      <c r="B290" s="359"/>
      <c r="C290" s="359"/>
      <c r="D290" s="359"/>
      <c r="E290" s="359"/>
      <c r="F290" s="359"/>
      <c r="G290" s="333"/>
      <c r="H290" s="333"/>
      <c r="I290" s="333"/>
      <c r="J290" s="333"/>
      <c r="K290" s="359"/>
      <c r="L290" s="185">
        <v>15</v>
      </c>
      <c r="M290" s="185">
        <v>15</v>
      </c>
      <c r="N290" s="185">
        <v>18</v>
      </c>
      <c r="O290" s="185">
        <v>21</v>
      </c>
      <c r="P290" s="2577">
        <f>SUM(L290:O290)</f>
        <v>69</v>
      </c>
      <c r="Q290" s="185">
        <v>21</v>
      </c>
      <c r="R290" s="185">
        <v>25</v>
      </c>
      <c r="S290" s="185">
        <v>24</v>
      </c>
      <c r="T290" s="185">
        <v>29</v>
      </c>
      <c r="U290" s="2577">
        <f>SUM(Q290:T290)</f>
        <v>99</v>
      </c>
      <c r="V290" s="185">
        <v>21</v>
      </c>
      <c r="W290" s="185">
        <v>21</v>
      </c>
      <c r="X290" s="185">
        <v>25</v>
      </c>
      <c r="Y290" s="185">
        <v>24</v>
      </c>
      <c r="Z290" s="2577">
        <f>SUM(V290:Y290)</f>
        <v>91</v>
      </c>
      <c r="AA290" s="185">
        <v>22</v>
      </c>
      <c r="AB290" s="185">
        <v>23</v>
      </c>
      <c r="AC290" s="185">
        <v>24</v>
      </c>
      <c r="AD290" s="185">
        <v>33</v>
      </c>
      <c r="AE290" s="2577">
        <f>SUM(AA290:AD290)</f>
        <v>102</v>
      </c>
      <c r="AF290" s="3674"/>
      <c r="AG290" s="1828"/>
      <c r="AH290" s="1828"/>
      <c r="AI290" s="1828"/>
      <c r="AJ290" s="2577"/>
      <c r="AK290" s="3674"/>
      <c r="AL290" s="1828"/>
      <c r="AM290" s="1828"/>
      <c r="AN290" s="1828"/>
      <c r="AO290" s="3548"/>
      <c r="AP290" s="3548"/>
      <c r="AQ290" s="3548"/>
      <c r="AR290" s="330"/>
      <c r="AS290" s="500"/>
      <c r="AT290" s="334"/>
      <c r="AU290" s="334"/>
      <c r="AV290" s="334"/>
      <c r="AW290" s="334"/>
      <c r="AX290" s="334"/>
      <c r="AY290" s="334"/>
      <c r="AZ290" s="334"/>
      <c r="BA290" s="334"/>
      <c r="BB290" s="334"/>
      <c r="BC290" s="334"/>
      <c r="BD290" s="874"/>
      <c r="BE290" s="2402"/>
      <c r="BF290" s="900"/>
      <c r="BM290" s="902"/>
      <c r="BN290" s="902"/>
      <c r="BO290" s="902"/>
      <c r="BP290" s="902"/>
      <c r="BQ290" s="902"/>
      <c r="BR290" s="902"/>
      <c r="BS290" s="902"/>
    </row>
    <row r="291" spans="1:71" s="19" customFormat="1" ht="12.75" customHeight="1">
      <c r="A291" s="708" t="s">
        <v>764</v>
      </c>
      <c r="B291" s="932"/>
      <c r="C291" s="932"/>
      <c r="D291" s="932"/>
      <c r="E291" s="933">
        <f t="shared" ref="E291:J291" si="508">E281-E292</f>
        <v>67</v>
      </c>
      <c r="F291" s="933">
        <f t="shared" si="508"/>
        <v>81</v>
      </c>
      <c r="G291" s="934">
        <f t="shared" si="508"/>
        <v>16</v>
      </c>
      <c r="H291" s="934">
        <f t="shared" si="508"/>
        <v>27</v>
      </c>
      <c r="I291" s="934">
        <f t="shared" si="508"/>
        <v>27</v>
      </c>
      <c r="J291" s="934">
        <f t="shared" si="508"/>
        <v>22</v>
      </c>
      <c r="K291" s="933">
        <f>SUM(G291:J291)</f>
        <v>92</v>
      </c>
      <c r="L291" s="2416">
        <f>+L292-L290-L281</f>
        <v>-35</v>
      </c>
      <c r="M291" s="2416">
        <f>+M292-M290-M281</f>
        <v>-42</v>
      </c>
      <c r="N291" s="2416">
        <f>+N292-N290-N281</f>
        <v>-41</v>
      </c>
      <c r="O291" s="2416">
        <f>+O292-O290-O281</f>
        <v>-47</v>
      </c>
      <c r="P291" s="2577">
        <f>SUM(L291:O291)</f>
        <v>-165</v>
      </c>
      <c r="Q291" s="2416">
        <f>+Q292-Q290-Q281</f>
        <v>-40</v>
      </c>
      <c r="R291" s="2416">
        <f>+R292-R290-R281</f>
        <v>-42</v>
      </c>
      <c r="S291" s="2416">
        <f>+S292-S290-S281</f>
        <v>-43</v>
      </c>
      <c r="T291" s="2416">
        <f>+T292-T290-T281</f>
        <v>-41</v>
      </c>
      <c r="U291" s="2577">
        <f>SUM(Q291:T291)</f>
        <v>-166</v>
      </c>
      <c r="V291" s="3546">
        <f>+V292-V290-V281</f>
        <v>-41</v>
      </c>
      <c r="W291" s="2416">
        <f>+W292-W290-W281</f>
        <v>-48</v>
      </c>
      <c r="X291" s="2416">
        <f>+X292-X290-X281</f>
        <v>-47</v>
      </c>
      <c r="Y291" s="2416">
        <f>+Y292-Y290-Y281</f>
        <v>-45</v>
      </c>
      <c r="Z291" s="2577">
        <f>SUM(V291:Y291)</f>
        <v>-181</v>
      </c>
      <c r="AA291" s="2416">
        <f>+AA292-AA290-AA281</f>
        <v>-45</v>
      </c>
      <c r="AB291" s="2416">
        <f>+AB292-AB290-AB281</f>
        <v>-50</v>
      </c>
      <c r="AC291" s="2416">
        <f>+AC292-AC290-AC281</f>
        <v>-48</v>
      </c>
      <c r="AD291" s="1443">
        <f>+AD292-AD290-AD281</f>
        <v>-44</v>
      </c>
      <c r="AE291" s="2577">
        <f>SUM(AA291:AD291)</f>
        <v>-187</v>
      </c>
      <c r="AF291" s="2416"/>
      <c r="AG291" s="1828"/>
      <c r="AH291" s="1828"/>
      <c r="AI291" s="1828"/>
      <c r="AJ291" s="2577"/>
      <c r="AK291" s="2416"/>
      <c r="AL291" s="1828"/>
      <c r="AM291" s="1828"/>
      <c r="AN291" s="1828"/>
      <c r="AO291" s="3548"/>
      <c r="AP291" s="3548"/>
      <c r="AQ291" s="3548"/>
      <c r="AR291" s="934"/>
      <c r="AS291" s="708"/>
      <c r="AT291" s="934"/>
      <c r="AU291" s="934"/>
      <c r="AV291" s="934"/>
      <c r="AW291" s="934"/>
      <c r="AX291" s="934"/>
      <c r="AY291" s="934"/>
      <c r="AZ291" s="934"/>
      <c r="BA291" s="934"/>
      <c r="BB291" s="934"/>
      <c r="BC291" s="934"/>
      <c r="BD291" s="935"/>
      <c r="BE291" s="2402"/>
      <c r="BF291" s="930"/>
      <c r="BG291"/>
      <c r="BH291"/>
      <c r="BI291"/>
      <c r="BJ291"/>
      <c r="BK291"/>
      <c r="BL291"/>
      <c r="BM291" s="931"/>
      <c r="BN291" s="931"/>
      <c r="BO291" s="931"/>
      <c r="BP291" s="931"/>
      <c r="BQ291" s="931"/>
      <c r="BR291" s="931"/>
      <c r="BS291" s="931"/>
    </row>
    <row r="292" spans="1:71" ht="12.75" customHeight="1">
      <c r="A292" s="1" t="s">
        <v>768</v>
      </c>
      <c r="B292" s="620"/>
      <c r="C292" s="620"/>
      <c r="D292" s="620"/>
      <c r="E292" s="620">
        <f t="shared" ref="E292:O292" si="509">E16</f>
        <v>901</v>
      </c>
      <c r="F292" s="620">
        <f t="shared" si="509"/>
        <v>1014</v>
      </c>
      <c r="G292" s="621">
        <f t="shared" si="509"/>
        <v>248</v>
      </c>
      <c r="H292" s="621">
        <f t="shared" si="509"/>
        <v>273</v>
      </c>
      <c r="I292" s="621">
        <f t="shared" si="509"/>
        <v>286</v>
      </c>
      <c r="J292" s="621">
        <f t="shared" si="509"/>
        <v>281</v>
      </c>
      <c r="K292" s="620">
        <f t="shared" si="509"/>
        <v>1088</v>
      </c>
      <c r="L292" s="621">
        <f t="shared" si="509"/>
        <v>262</v>
      </c>
      <c r="M292" s="329">
        <f t="shared" si="509"/>
        <v>299</v>
      </c>
      <c r="N292" s="621">
        <f t="shared" si="509"/>
        <v>307</v>
      </c>
      <c r="O292" s="621">
        <f t="shared" si="509"/>
        <v>307</v>
      </c>
      <c r="P292" s="620">
        <f>P281+P291+P290</f>
        <v>1175</v>
      </c>
      <c r="Q292" s="2417">
        <f>Q16</f>
        <v>312</v>
      </c>
      <c r="R292" s="2417">
        <f>R16</f>
        <v>354</v>
      </c>
      <c r="S292" s="2417">
        <f>S16</f>
        <v>364</v>
      </c>
      <c r="T292" s="2417">
        <f>T16</f>
        <v>371</v>
      </c>
      <c r="U292" s="620">
        <f>U281+U291+U290</f>
        <v>1401</v>
      </c>
      <c r="V292" s="2417">
        <f>V16</f>
        <v>371</v>
      </c>
      <c r="W292" s="2417">
        <f>W16</f>
        <v>407</v>
      </c>
      <c r="X292" s="2417">
        <f>X16</f>
        <v>416</v>
      </c>
      <c r="Y292" s="2417">
        <f>Y16</f>
        <v>407</v>
      </c>
      <c r="Z292" s="620">
        <f>Z281+Z291+Z290</f>
        <v>1601</v>
      </c>
      <c r="AA292" s="2417">
        <f>AA16</f>
        <v>386</v>
      </c>
      <c r="AB292" s="2417">
        <f>AB16</f>
        <v>444</v>
      </c>
      <c r="AC292" s="2417">
        <f>AC16</f>
        <v>446</v>
      </c>
      <c r="AD292" s="3589">
        <f>AD16</f>
        <v>425</v>
      </c>
      <c r="AE292" s="620">
        <f>AE281+AE291+AE290</f>
        <v>1701</v>
      </c>
      <c r="AF292" s="2417"/>
      <c r="AG292" s="621"/>
      <c r="AH292" s="621"/>
      <c r="AI292" s="621"/>
      <c r="AJ292" s="620"/>
      <c r="AK292" s="2417"/>
      <c r="AL292" s="621"/>
      <c r="AM292" s="621"/>
      <c r="AN292" s="621"/>
      <c r="AO292" s="620"/>
      <c r="AP292" s="620"/>
      <c r="AQ292" s="620"/>
      <c r="AR292" s="2752"/>
      <c r="AS292" s="497"/>
      <c r="AT292" s="621"/>
      <c r="AU292" s="621"/>
      <c r="AV292" s="621"/>
      <c r="AW292" s="621"/>
      <c r="AX292" s="621"/>
      <c r="AY292" s="621"/>
      <c r="AZ292" s="621"/>
      <c r="BA292" s="621"/>
      <c r="BB292" s="621"/>
      <c r="BC292" s="621"/>
      <c r="BD292" s="630"/>
      <c r="BE292" s="2402"/>
      <c r="BF292" s="900"/>
      <c r="BM292" s="902"/>
      <c r="BN292" s="902"/>
      <c r="BO292" s="902"/>
      <c r="BP292" s="902"/>
      <c r="BQ292" s="902"/>
      <c r="BR292" s="902"/>
      <c r="BS292" s="902"/>
    </row>
    <row r="293" spans="1:71" s="243" customFormat="1" ht="12.75" customHeight="1">
      <c r="A293" s="311" t="s">
        <v>1420</v>
      </c>
      <c r="B293" s="1183"/>
      <c r="C293" s="1183"/>
      <c r="D293" s="1183"/>
      <c r="E293" s="1183"/>
      <c r="F293" s="1183"/>
      <c r="G293" s="1184"/>
      <c r="H293" s="1184"/>
      <c r="I293" s="1184"/>
      <c r="J293" s="1184"/>
      <c r="K293" s="1183"/>
      <c r="L293" s="1184"/>
      <c r="M293" s="1184"/>
      <c r="N293" s="1184"/>
      <c r="O293" s="1139">
        <v>305</v>
      </c>
      <c r="P293" s="1138"/>
      <c r="Q293" s="1139">
        <v>285</v>
      </c>
      <c r="R293" s="1139">
        <v>334</v>
      </c>
      <c r="S293" s="1139">
        <v>340</v>
      </c>
      <c r="T293" s="1139">
        <v>340</v>
      </c>
      <c r="U293" s="1190">
        <f>SUM(Q293:T293)</f>
        <v>1299</v>
      </c>
      <c r="V293" s="1139"/>
      <c r="W293" s="1139"/>
      <c r="X293" s="1139"/>
      <c r="Y293" s="1139"/>
      <c r="Z293" s="1190"/>
      <c r="AA293" s="1139"/>
      <c r="AB293" s="1139"/>
      <c r="AC293" s="1139"/>
      <c r="AD293" s="1139"/>
      <c r="AE293" s="3550"/>
      <c r="AF293" s="1139"/>
      <c r="AG293" s="1139"/>
      <c r="AH293" s="1139"/>
      <c r="AI293" s="1139"/>
      <c r="AJ293" s="362"/>
      <c r="AK293" s="1139"/>
      <c r="AL293" s="1139"/>
      <c r="AM293" s="1139"/>
      <c r="AN293" s="1139"/>
      <c r="AO293" s="1190"/>
      <c r="AP293" s="1190"/>
      <c r="AQ293" s="1138"/>
      <c r="AR293" s="332"/>
      <c r="AS293" s="1186"/>
      <c r="AT293" s="1184"/>
      <c r="AU293" s="1184"/>
      <c r="AV293" s="1184"/>
      <c r="AW293" s="1184"/>
      <c r="AX293" s="1184"/>
      <c r="AY293" s="1184"/>
      <c r="AZ293" s="1184"/>
      <c r="BA293" s="1184"/>
      <c r="BB293" s="1184"/>
      <c r="BC293" s="1184"/>
      <c r="BD293" s="1187"/>
      <c r="BE293" s="14"/>
      <c r="BF293" s="1188"/>
      <c r="BG293"/>
      <c r="BH293"/>
      <c r="BI293"/>
      <c r="BJ293"/>
      <c r="BK293"/>
      <c r="BL293"/>
      <c r="BM293" s="1189"/>
      <c r="BN293" s="1189"/>
      <c r="BO293" s="1189"/>
      <c r="BP293" s="1189"/>
      <c r="BQ293" s="1189"/>
      <c r="BR293" s="1189"/>
      <c r="BS293" s="1189"/>
    </row>
    <row r="294" spans="1:71" ht="12.75" customHeight="1">
      <c r="A294" s="279"/>
      <c r="B294" s="359"/>
      <c r="C294" s="359"/>
      <c r="D294" s="359"/>
      <c r="E294" s="359"/>
      <c r="F294" s="359"/>
      <c r="G294" s="333"/>
      <c r="H294" s="333"/>
      <c r="I294" s="333"/>
      <c r="J294" s="333"/>
      <c r="K294" s="359"/>
      <c r="L294" s="333"/>
      <c r="M294" s="277"/>
      <c r="N294" s="333"/>
      <c r="O294" s="1191"/>
      <c r="P294" s="359"/>
      <c r="Q294" s="333"/>
      <c r="R294" s="333"/>
      <c r="S294" s="333"/>
      <c r="T294" s="1191"/>
      <c r="U294" s="1378"/>
      <c r="V294" s="333"/>
      <c r="W294" s="333"/>
      <c r="X294" s="333"/>
      <c r="Y294" s="1191"/>
      <c r="Z294" s="1378"/>
      <c r="AA294" s="333"/>
      <c r="AB294" s="333"/>
      <c r="AC294" s="333"/>
      <c r="AD294" s="333"/>
      <c r="AE294" s="2578"/>
      <c r="AF294" s="277"/>
      <c r="AG294" s="333"/>
      <c r="AH294" s="333"/>
      <c r="AI294" s="333"/>
      <c r="AJ294" s="2578"/>
      <c r="AK294" s="277"/>
      <c r="AL294" s="333"/>
      <c r="AM294" s="333"/>
      <c r="AN294" s="333"/>
      <c r="AO294" s="1378"/>
      <c r="AP294" s="1378"/>
      <c r="AQ294" s="363"/>
      <c r="AR294" s="330"/>
      <c r="AS294" s="500"/>
      <c r="AT294" s="334"/>
      <c r="AU294" s="334"/>
      <c r="AV294" s="334"/>
      <c r="AW294" s="334"/>
      <c r="AX294" s="334"/>
      <c r="AY294" s="334"/>
      <c r="AZ294" s="334"/>
      <c r="BA294" s="334"/>
      <c r="BB294" s="334"/>
      <c r="BC294" s="334"/>
      <c r="BD294" s="874"/>
      <c r="BF294" s="900"/>
      <c r="BM294" s="902"/>
      <c r="BN294" s="902"/>
      <c r="BO294" s="902"/>
      <c r="BP294" s="902"/>
      <c r="BQ294" s="902"/>
      <c r="BR294" s="902"/>
      <c r="BS294" s="902"/>
    </row>
    <row r="295" spans="1:71" s="1734" customFormat="1" ht="12.75" customHeight="1">
      <c r="A295" s="3616" t="s">
        <v>3011</v>
      </c>
      <c r="B295" s="3617"/>
      <c r="C295" s="3617"/>
      <c r="D295" s="3617"/>
      <c r="E295" s="3617"/>
      <c r="F295" s="3617"/>
      <c r="G295" s="3617"/>
      <c r="H295" s="3617"/>
      <c r="I295" s="3617"/>
      <c r="J295" s="3617"/>
      <c r="K295" s="3617"/>
      <c r="L295" s="3617"/>
      <c r="M295" s="3617"/>
      <c r="N295" s="3617"/>
      <c r="O295" s="3617"/>
      <c r="P295" s="3617"/>
      <c r="Q295" s="3617"/>
      <c r="R295" s="3617"/>
      <c r="S295" s="3617"/>
      <c r="T295" s="3617"/>
      <c r="U295" s="3617"/>
      <c r="V295" s="3617"/>
      <c r="W295" s="3617"/>
      <c r="X295" s="3617"/>
      <c r="Y295" s="3617"/>
      <c r="Z295" s="3618"/>
      <c r="AA295" s="3616" t="s">
        <v>3210</v>
      </c>
      <c r="AB295" s="3619"/>
      <c r="AC295" s="3619"/>
      <c r="AD295" s="3617"/>
      <c r="AE295" s="3618"/>
      <c r="AF295" s="4091" t="s">
        <v>3211</v>
      </c>
      <c r="AG295" s="4092"/>
      <c r="AH295" s="4092"/>
      <c r="AI295" s="4093"/>
      <c r="AJ295" s="4094"/>
      <c r="AK295" s="277"/>
      <c r="AL295" s="333"/>
      <c r="AM295" s="333"/>
      <c r="AN295" s="333"/>
      <c r="AO295" s="1378"/>
      <c r="AP295" s="1378"/>
      <c r="AQ295" s="363"/>
      <c r="AR295" s="330"/>
      <c r="AS295" s="2465"/>
      <c r="AT295" s="334"/>
      <c r="AU295" s="334"/>
      <c r="AV295" s="334"/>
      <c r="AW295" s="334"/>
      <c r="AX295" s="334"/>
      <c r="AY295" s="334"/>
      <c r="AZ295" s="334"/>
      <c r="BA295" s="334"/>
      <c r="BB295" s="334"/>
      <c r="BC295" s="334"/>
      <c r="BD295" s="874"/>
      <c r="BE295" s="2690"/>
      <c r="BF295" s="3590"/>
      <c r="BG295"/>
      <c r="BH295"/>
      <c r="BI295"/>
      <c r="BJ295"/>
      <c r="BK295"/>
      <c r="BL295"/>
      <c r="BM295" s="2838"/>
      <c r="BN295" s="2838"/>
      <c r="BO295" s="2838"/>
      <c r="BP295" s="2838"/>
      <c r="BQ295" s="2838"/>
      <c r="BR295" s="2838"/>
      <c r="BS295" s="2838"/>
    </row>
    <row r="296" spans="1:71" s="1734" customFormat="1" ht="12.75" customHeight="1">
      <c r="A296" s="3620" t="s">
        <v>592</v>
      </c>
      <c r="B296" s="3617"/>
      <c r="C296" s="3617"/>
      <c r="D296" s="3617"/>
      <c r="E296" s="3617"/>
      <c r="F296" s="3617"/>
      <c r="G296" s="3617"/>
      <c r="H296" s="3617"/>
      <c r="I296" s="3617"/>
      <c r="J296" s="3617"/>
      <c r="K296" s="3617"/>
      <c r="L296" s="3617"/>
      <c r="M296" s="3617"/>
      <c r="N296" s="3617"/>
      <c r="O296" s="3617"/>
      <c r="P296" s="3617"/>
      <c r="Q296" s="3617"/>
      <c r="R296" s="3617"/>
      <c r="S296" s="3617"/>
      <c r="T296" s="3617"/>
      <c r="U296" s="3617"/>
      <c r="V296" s="3617"/>
      <c r="W296" s="3617"/>
      <c r="X296" s="3617"/>
      <c r="Y296" s="3617"/>
      <c r="Z296" s="3618"/>
      <c r="AA296" s="3621">
        <f>+AA368</f>
        <v>77</v>
      </c>
      <c r="AB296" s="3621">
        <f>+AB368</f>
        <v>80</v>
      </c>
      <c r="AC296" s="3621">
        <f>+AC368</f>
        <v>77</v>
      </c>
      <c r="AD296" s="3621">
        <f>+AD368</f>
        <v>77</v>
      </c>
      <c r="AE296" s="3622">
        <f>SUM(AA296:AD296)</f>
        <v>311</v>
      </c>
      <c r="AF296" s="4095">
        <f>+AF360</f>
        <v>81</v>
      </c>
      <c r="AG296" s="4095">
        <f>+AG360</f>
        <v>81</v>
      </c>
      <c r="AH296" s="4095">
        <f>+AH360</f>
        <v>87</v>
      </c>
      <c r="AI296" s="4095">
        <f>+AI360</f>
        <v>78</v>
      </c>
      <c r="AJ296" s="4096">
        <f>+AJ360</f>
        <v>327</v>
      </c>
      <c r="AK296" s="277"/>
      <c r="AL296" s="333"/>
      <c r="AM296" s="333"/>
      <c r="AN296" s="333"/>
      <c r="AO296" s="1378"/>
      <c r="AP296" s="1378"/>
      <c r="AQ296" s="363"/>
      <c r="AR296" s="330"/>
      <c r="AS296" s="2465"/>
      <c r="AT296" s="334"/>
      <c r="AU296" s="334"/>
      <c r="AV296" s="334"/>
      <c r="AW296" s="334"/>
      <c r="AX296" s="334"/>
      <c r="AY296" s="334"/>
      <c r="AZ296" s="334"/>
      <c r="BA296" s="334"/>
      <c r="BB296" s="334"/>
      <c r="BC296" s="334"/>
      <c r="BD296" s="874"/>
      <c r="BE296" s="2690"/>
      <c r="BF296" s="3590"/>
      <c r="BG296"/>
      <c r="BH296"/>
      <c r="BI296"/>
      <c r="BJ296"/>
      <c r="BK296"/>
      <c r="BL296"/>
      <c r="BM296" s="2838"/>
      <c r="BN296" s="2838"/>
      <c r="BO296" s="2838"/>
      <c r="BP296" s="2838"/>
      <c r="BQ296" s="2838"/>
      <c r="BR296" s="2838"/>
      <c r="BS296" s="2838"/>
    </row>
    <row r="297" spans="1:71" s="1734" customFormat="1" ht="12.75" customHeight="1">
      <c r="A297" s="3620" t="s">
        <v>17</v>
      </c>
      <c r="B297" s="3617"/>
      <c r="C297" s="3617"/>
      <c r="D297" s="3617"/>
      <c r="E297" s="3617"/>
      <c r="F297" s="3617"/>
      <c r="G297" s="3617"/>
      <c r="H297" s="3617"/>
      <c r="I297" s="3617"/>
      <c r="J297" s="3617"/>
      <c r="K297" s="3617"/>
      <c r="L297" s="3617"/>
      <c r="M297" s="3617"/>
      <c r="N297" s="3617"/>
      <c r="O297" s="3617"/>
      <c r="P297" s="3617"/>
      <c r="Q297" s="3617"/>
      <c r="R297" s="3617"/>
      <c r="S297" s="3617"/>
      <c r="T297" s="3617"/>
      <c r="U297" s="3617"/>
      <c r="V297" s="3617"/>
      <c r="W297" s="3617"/>
      <c r="X297" s="3617"/>
      <c r="Y297" s="3617"/>
      <c r="Z297" s="3618"/>
      <c r="AA297" s="3623">
        <f>+AA379</f>
        <v>50</v>
      </c>
      <c r="AB297" s="3623">
        <f>+AB379</f>
        <v>49</v>
      </c>
      <c r="AC297" s="3623">
        <f>+AC379</f>
        <v>48</v>
      </c>
      <c r="AD297" s="3623">
        <f>+AD379</f>
        <v>54</v>
      </c>
      <c r="AE297" s="3624">
        <f>SUM(AA297:AD297)</f>
        <v>201</v>
      </c>
      <c r="AF297" s="4097">
        <f>+AF377</f>
        <v>49</v>
      </c>
      <c r="AG297" s="4097">
        <f>+AG377</f>
        <v>57</v>
      </c>
      <c r="AH297" s="4097">
        <f>+AH377</f>
        <v>53</v>
      </c>
      <c r="AI297" s="4097">
        <f>+AI377</f>
        <v>63</v>
      </c>
      <c r="AJ297" s="4098">
        <f>+AJ377</f>
        <v>222</v>
      </c>
      <c r="AK297" s="277"/>
      <c r="AL297" s="333"/>
      <c r="AM297" s="333"/>
      <c r="AN297" s="333"/>
      <c r="AO297" s="1378"/>
      <c r="AP297" s="1378"/>
      <c r="AQ297" s="363"/>
      <c r="AR297" s="330"/>
      <c r="AS297" s="2465"/>
      <c r="AT297" s="334"/>
      <c r="AU297" s="334"/>
      <c r="AV297" s="334"/>
      <c r="AW297" s="334"/>
      <c r="AX297" s="334"/>
      <c r="AY297" s="334"/>
      <c r="AZ297" s="334"/>
      <c r="BA297" s="334"/>
      <c r="BB297" s="334"/>
      <c r="BC297" s="334"/>
      <c r="BD297" s="874"/>
      <c r="BE297" s="2690"/>
      <c r="BF297" s="3590"/>
      <c r="BG297"/>
      <c r="BH297"/>
      <c r="BI297"/>
      <c r="BJ297"/>
      <c r="BK297"/>
      <c r="BL297"/>
      <c r="BM297" s="2838"/>
      <c r="BN297" s="2838"/>
      <c r="BO297" s="2838"/>
      <c r="BP297" s="2838"/>
      <c r="BQ297" s="2838"/>
      <c r="BR297" s="2838"/>
      <c r="BS297" s="2838"/>
    </row>
    <row r="298" spans="1:71" s="1734" customFormat="1" ht="12.75" customHeight="1">
      <c r="A298" s="3620" t="s">
        <v>2156</v>
      </c>
      <c r="B298" s="3617"/>
      <c r="C298" s="3617"/>
      <c r="D298" s="3617"/>
      <c r="E298" s="3617"/>
      <c r="F298" s="3617"/>
      <c r="G298" s="3617"/>
      <c r="H298" s="3617"/>
      <c r="I298" s="3617"/>
      <c r="J298" s="3617"/>
      <c r="K298" s="3617"/>
      <c r="L298" s="3617"/>
      <c r="M298" s="3617"/>
      <c r="N298" s="3617"/>
      <c r="O298" s="3617"/>
      <c r="P298" s="3617"/>
      <c r="Q298" s="3617"/>
      <c r="R298" s="3617"/>
      <c r="S298" s="3617"/>
      <c r="T298" s="3617"/>
      <c r="U298" s="3617"/>
      <c r="V298" s="3617"/>
      <c r="W298" s="3617"/>
      <c r="X298" s="3617"/>
      <c r="Y298" s="3617"/>
      <c r="Z298" s="3618"/>
      <c r="AA298" s="3625">
        <f t="shared" ref="AA298:AJ298" si="510">SUM(AA296:AA297)</f>
        <v>127</v>
      </c>
      <c r="AB298" s="3625">
        <f t="shared" si="510"/>
        <v>129</v>
      </c>
      <c r="AC298" s="3625">
        <f t="shared" si="510"/>
        <v>125</v>
      </c>
      <c r="AD298" s="3625">
        <f t="shared" si="510"/>
        <v>131</v>
      </c>
      <c r="AE298" s="3626">
        <f t="shared" si="510"/>
        <v>512</v>
      </c>
      <c r="AF298" s="4099">
        <f t="shared" si="510"/>
        <v>130</v>
      </c>
      <c r="AG298" s="4099">
        <f t="shared" si="510"/>
        <v>138</v>
      </c>
      <c r="AH298" s="4099">
        <f t="shared" si="510"/>
        <v>140</v>
      </c>
      <c r="AI298" s="4099">
        <f t="shared" si="510"/>
        <v>141</v>
      </c>
      <c r="AJ298" s="4100">
        <f t="shared" si="510"/>
        <v>549</v>
      </c>
      <c r="AK298" s="277"/>
      <c r="AL298" s="333"/>
      <c r="AM298" s="333"/>
      <c r="AN298" s="333"/>
      <c r="AO298" s="1378"/>
      <c r="AP298" s="1378"/>
      <c r="AQ298" s="363"/>
      <c r="AR298" s="330"/>
      <c r="AS298" s="2465"/>
      <c r="AT298" s="334"/>
      <c r="AU298" s="334"/>
      <c r="AV298" s="334"/>
      <c r="AW298" s="334"/>
      <c r="AX298" s="334"/>
      <c r="AY298" s="334"/>
      <c r="AZ298" s="334"/>
      <c r="BA298" s="334"/>
      <c r="BB298" s="334"/>
      <c r="BC298" s="334"/>
      <c r="BD298" s="874"/>
      <c r="BE298" s="2690"/>
      <c r="BF298" s="3590"/>
      <c r="BG298"/>
      <c r="BH298"/>
      <c r="BI298"/>
      <c r="BJ298"/>
      <c r="BK298"/>
      <c r="BL298"/>
      <c r="BM298" s="2838"/>
      <c r="BN298" s="2838"/>
      <c r="BO298" s="2838"/>
      <c r="BP298" s="2838"/>
      <c r="BQ298" s="2838"/>
      <c r="BR298" s="2838"/>
      <c r="BS298" s="2838"/>
    </row>
    <row r="299" spans="1:71" s="1734" customFormat="1" ht="12.75" customHeight="1">
      <c r="A299" s="3620" t="s">
        <v>1719</v>
      </c>
      <c r="B299" s="3617"/>
      <c r="C299" s="3617"/>
      <c r="D299" s="3617"/>
      <c r="E299" s="3617"/>
      <c r="F299" s="3617"/>
      <c r="G299" s="3617"/>
      <c r="H299" s="3617"/>
      <c r="I299" s="3617"/>
      <c r="J299" s="3617"/>
      <c r="K299" s="3617"/>
      <c r="L299" s="3617"/>
      <c r="M299" s="3617"/>
      <c r="N299" s="3617"/>
      <c r="O299" s="3617"/>
      <c r="P299" s="3617"/>
      <c r="Q299" s="3617"/>
      <c r="R299" s="3617"/>
      <c r="S299" s="3617"/>
      <c r="T299" s="3617"/>
      <c r="U299" s="3617"/>
      <c r="V299" s="3617"/>
      <c r="W299" s="3617"/>
      <c r="X299" s="3617"/>
      <c r="Y299" s="3617"/>
      <c r="Z299" s="3618"/>
      <c r="AA299" s="3623">
        <f>+AA417</f>
        <v>271</v>
      </c>
      <c r="AB299" s="3623">
        <f>+AB417</f>
        <v>333</v>
      </c>
      <c r="AC299" s="3623">
        <f>+AC417</f>
        <v>334</v>
      </c>
      <c r="AD299" s="3623">
        <f>+AD417</f>
        <v>296</v>
      </c>
      <c r="AE299" s="3624">
        <f>SUM(AA299:AD299)</f>
        <v>1234</v>
      </c>
      <c r="AF299" s="4097">
        <f>+AF414</f>
        <v>282</v>
      </c>
      <c r="AG299" s="4097">
        <f>+AG414</f>
        <v>355</v>
      </c>
      <c r="AH299" s="4097">
        <f>+AH414</f>
        <v>358</v>
      </c>
      <c r="AI299" s="4097">
        <f>+AI414</f>
        <v>326</v>
      </c>
      <c r="AJ299" s="4098">
        <f>+AJ414</f>
        <v>1321</v>
      </c>
      <c r="AK299" s="277"/>
      <c r="AL299" s="333"/>
      <c r="AM299" s="333"/>
      <c r="AN299" s="333"/>
      <c r="AO299" s="1378"/>
      <c r="AP299" s="1378"/>
      <c r="AQ299" s="363"/>
      <c r="AR299" s="330"/>
      <c r="AS299" s="2465"/>
      <c r="AT299" s="334"/>
      <c r="AU299" s="334"/>
      <c r="AV299" s="334"/>
      <c r="AW299" s="334"/>
      <c r="AX299" s="334"/>
      <c r="AY299" s="334"/>
      <c r="AZ299" s="334"/>
      <c r="BA299" s="334"/>
      <c r="BB299" s="334"/>
      <c r="BC299" s="334"/>
      <c r="BD299" s="874"/>
      <c r="BE299" s="2690"/>
      <c r="BF299" s="3590"/>
      <c r="BG299"/>
      <c r="BH299"/>
      <c r="BI299"/>
      <c r="BJ299"/>
      <c r="BK299"/>
      <c r="BL299"/>
      <c r="BM299" s="2838"/>
      <c r="BN299" s="2838"/>
      <c r="BO299" s="2838"/>
      <c r="BP299" s="2838"/>
      <c r="BQ299" s="2838"/>
      <c r="BR299" s="2838"/>
      <c r="BS299" s="2838"/>
    </row>
    <row r="300" spans="1:71" s="1734" customFormat="1" ht="12.75" customHeight="1">
      <c r="A300" s="3620" t="s">
        <v>1382</v>
      </c>
      <c r="B300" s="3617"/>
      <c r="C300" s="3617"/>
      <c r="D300" s="3617"/>
      <c r="E300" s="3617"/>
      <c r="F300" s="3617"/>
      <c r="G300" s="3617"/>
      <c r="H300" s="3617"/>
      <c r="I300" s="3617"/>
      <c r="J300" s="3617"/>
      <c r="K300" s="3617"/>
      <c r="L300" s="3617"/>
      <c r="M300" s="3617"/>
      <c r="N300" s="3617"/>
      <c r="O300" s="3617"/>
      <c r="P300" s="3617"/>
      <c r="Q300" s="3617"/>
      <c r="R300" s="3617"/>
      <c r="S300" s="3617"/>
      <c r="T300" s="3617"/>
      <c r="U300" s="3617"/>
      <c r="V300" s="3617"/>
      <c r="W300" s="3617"/>
      <c r="X300" s="3617"/>
      <c r="Y300" s="3617"/>
      <c r="Z300" s="3618"/>
      <c r="AA300" s="3627">
        <f t="shared" ref="AA300:AJ300" si="511">SUM(AA298:AA299)</f>
        <v>398</v>
      </c>
      <c r="AB300" s="3627">
        <f t="shared" si="511"/>
        <v>462</v>
      </c>
      <c r="AC300" s="3627">
        <f t="shared" si="511"/>
        <v>459</v>
      </c>
      <c r="AD300" s="3627">
        <f t="shared" si="511"/>
        <v>427</v>
      </c>
      <c r="AE300" s="3628">
        <f t="shared" si="511"/>
        <v>1746</v>
      </c>
      <c r="AF300" s="4101">
        <f t="shared" si="511"/>
        <v>412</v>
      </c>
      <c r="AG300" s="4101">
        <f t="shared" si="511"/>
        <v>493</v>
      </c>
      <c r="AH300" s="4101">
        <f t="shared" si="511"/>
        <v>498</v>
      </c>
      <c r="AI300" s="4101">
        <f t="shared" si="511"/>
        <v>467</v>
      </c>
      <c r="AJ300" s="4102">
        <f t="shared" si="511"/>
        <v>1870</v>
      </c>
      <c r="AK300" s="277"/>
      <c r="AL300" s="333"/>
      <c r="AM300" s="333"/>
      <c r="AN300" s="333"/>
      <c r="AO300" s="1378"/>
      <c r="AP300" s="1378"/>
      <c r="AQ300" s="363"/>
      <c r="AR300" s="330"/>
      <c r="AS300" s="2465"/>
      <c r="AT300" s="334"/>
      <c r="AU300" s="334"/>
      <c r="AV300" s="334"/>
      <c r="AW300" s="334"/>
      <c r="AX300" s="334"/>
      <c r="AY300" s="334"/>
      <c r="AZ300" s="334"/>
      <c r="BA300" s="334"/>
      <c r="BB300" s="334"/>
      <c r="BC300" s="334"/>
      <c r="BD300" s="874"/>
      <c r="BE300" s="2690"/>
      <c r="BF300" s="3590"/>
      <c r="BG300"/>
      <c r="BH300"/>
      <c r="BI300"/>
      <c r="BJ300"/>
      <c r="BK300"/>
      <c r="BL300"/>
      <c r="BM300" s="2838"/>
      <c r="BN300" s="2838"/>
      <c r="BO300" s="2838"/>
      <c r="BP300" s="2838"/>
      <c r="BQ300" s="2838"/>
      <c r="BR300" s="2838"/>
      <c r="BS300" s="2838"/>
    </row>
    <row r="301" spans="1:71" s="1734" customFormat="1" ht="12.75" customHeight="1">
      <c r="A301" s="3620" t="s">
        <v>614</v>
      </c>
      <c r="B301" s="3617"/>
      <c r="C301" s="3617"/>
      <c r="D301" s="3617"/>
      <c r="E301" s="3617"/>
      <c r="F301" s="3617"/>
      <c r="G301" s="3617"/>
      <c r="H301" s="3617"/>
      <c r="I301" s="3617"/>
      <c r="J301" s="3617"/>
      <c r="K301" s="3617"/>
      <c r="L301" s="3617"/>
      <c r="M301" s="3617"/>
      <c r="N301" s="3617"/>
      <c r="O301" s="3617"/>
      <c r="P301" s="3617"/>
      <c r="Q301" s="3617"/>
      <c r="R301" s="3617"/>
      <c r="S301" s="3617"/>
      <c r="T301" s="3617"/>
      <c r="U301" s="3617"/>
      <c r="V301" s="3617"/>
      <c r="W301" s="3617"/>
      <c r="X301" s="3617"/>
      <c r="Y301" s="3617"/>
      <c r="Z301" s="3618"/>
      <c r="AA301" s="3629">
        <v>2</v>
      </c>
      <c r="AB301" s="3629">
        <v>2</v>
      </c>
      <c r="AC301" s="3629">
        <v>2</v>
      </c>
      <c r="AD301" s="3630">
        <v>4</v>
      </c>
      <c r="AE301" s="3624">
        <f>SUM(AA301:AD301)</f>
        <v>10</v>
      </c>
      <c r="AF301" s="4103">
        <v>0</v>
      </c>
      <c r="AG301" s="4103">
        <v>0</v>
      </c>
      <c r="AH301" s="4103">
        <v>0</v>
      </c>
      <c r="AI301" s="4104">
        <v>0</v>
      </c>
      <c r="AJ301" s="4098">
        <f>SUM(AF301:AI301)</f>
        <v>0</v>
      </c>
      <c r="AK301" s="277"/>
      <c r="AL301" s="333"/>
      <c r="AM301" s="333"/>
      <c r="AN301" s="333"/>
      <c r="AO301" s="1378"/>
      <c r="AP301" s="1378"/>
      <c r="AQ301" s="363"/>
      <c r="AR301" s="330"/>
      <c r="AS301" s="2465"/>
      <c r="AT301" s="334"/>
      <c r="AU301" s="334"/>
      <c r="AV301" s="334"/>
      <c r="AW301" s="334"/>
      <c r="AX301" s="334"/>
      <c r="AY301" s="334"/>
      <c r="AZ301" s="334"/>
      <c r="BA301" s="334"/>
      <c r="BB301" s="334"/>
      <c r="BC301" s="334"/>
      <c r="BD301" s="874"/>
      <c r="BE301" s="2690"/>
      <c r="BF301" s="3590"/>
      <c r="BG301"/>
      <c r="BH301"/>
      <c r="BI301"/>
      <c r="BJ301"/>
      <c r="BK301"/>
      <c r="BL301"/>
      <c r="BM301" s="2838"/>
      <c r="BN301" s="2838"/>
      <c r="BO301" s="2838"/>
      <c r="BP301" s="2838"/>
      <c r="BQ301" s="2838"/>
      <c r="BR301" s="2838"/>
      <c r="BS301" s="2838"/>
    </row>
    <row r="302" spans="1:71" s="1734" customFormat="1" ht="12.75" customHeight="1">
      <c r="A302" s="3616" t="s">
        <v>767</v>
      </c>
      <c r="B302" s="3617"/>
      <c r="C302" s="3617"/>
      <c r="D302" s="3617"/>
      <c r="E302" s="3617"/>
      <c r="F302" s="3617"/>
      <c r="G302" s="3617"/>
      <c r="H302" s="3617"/>
      <c r="I302" s="3617"/>
      <c r="J302" s="3617"/>
      <c r="K302" s="3617"/>
      <c r="L302" s="3617"/>
      <c r="M302" s="3617"/>
      <c r="N302" s="3617"/>
      <c r="O302" s="3617"/>
      <c r="P302" s="3617"/>
      <c r="Q302" s="3617"/>
      <c r="R302" s="3617"/>
      <c r="S302" s="3617"/>
      <c r="T302" s="3617"/>
      <c r="U302" s="3617"/>
      <c r="V302" s="3617"/>
      <c r="W302" s="3617"/>
      <c r="X302" s="3617"/>
      <c r="Y302" s="3617"/>
      <c r="Z302" s="3618"/>
      <c r="AA302" s="3627">
        <f t="shared" ref="AA302:AJ302" si="512">SUM(AA300:AA301)</f>
        <v>400</v>
      </c>
      <c r="AB302" s="3627">
        <f t="shared" si="512"/>
        <v>464</v>
      </c>
      <c r="AC302" s="3627">
        <f t="shared" si="512"/>
        <v>461</v>
      </c>
      <c r="AD302" s="3627">
        <f t="shared" si="512"/>
        <v>431</v>
      </c>
      <c r="AE302" s="3628">
        <f t="shared" si="512"/>
        <v>1756</v>
      </c>
      <c r="AF302" s="4101">
        <f t="shared" si="512"/>
        <v>412</v>
      </c>
      <c r="AG302" s="4101">
        <f t="shared" si="512"/>
        <v>493</v>
      </c>
      <c r="AH302" s="4101">
        <f t="shared" si="512"/>
        <v>498</v>
      </c>
      <c r="AI302" s="4101">
        <f t="shared" si="512"/>
        <v>467</v>
      </c>
      <c r="AJ302" s="4102">
        <f t="shared" si="512"/>
        <v>1870</v>
      </c>
      <c r="AK302" s="277"/>
      <c r="AL302" s="333"/>
      <c r="AM302" s="333"/>
      <c r="AN302" s="333"/>
      <c r="AO302" s="1378"/>
      <c r="AP302" s="1378"/>
      <c r="AQ302" s="363"/>
      <c r="AR302" s="330"/>
      <c r="AS302" s="2465"/>
      <c r="AT302" s="334"/>
      <c r="AU302" s="334"/>
      <c r="AV302" s="334"/>
      <c r="AW302" s="334"/>
      <c r="AX302" s="334"/>
      <c r="AY302" s="334"/>
      <c r="AZ302" s="334"/>
      <c r="BA302" s="334"/>
      <c r="BB302" s="334"/>
      <c r="BC302" s="334"/>
      <c r="BD302" s="874"/>
      <c r="BE302" s="2690"/>
      <c r="BF302" s="3590"/>
      <c r="BG302"/>
      <c r="BH302"/>
      <c r="BI302"/>
      <c r="BJ302"/>
      <c r="BK302"/>
      <c r="BL302"/>
      <c r="BM302" s="2838"/>
      <c r="BN302" s="2838"/>
      <c r="BO302" s="2838"/>
      <c r="BP302" s="2838"/>
      <c r="BQ302" s="2838"/>
      <c r="BR302" s="2838"/>
      <c r="BS302" s="2838"/>
    </row>
    <row r="303" spans="1:71" s="1734" customFormat="1" ht="12.75" customHeight="1">
      <c r="A303" s="3620"/>
      <c r="B303" s="3617"/>
      <c r="C303" s="3617"/>
      <c r="D303" s="3617"/>
      <c r="E303" s="3617"/>
      <c r="F303" s="3617"/>
      <c r="G303" s="3617"/>
      <c r="H303" s="3617"/>
      <c r="I303" s="3617"/>
      <c r="J303" s="3617"/>
      <c r="K303" s="3617"/>
      <c r="L303" s="3617"/>
      <c r="M303" s="3617"/>
      <c r="N303" s="3617"/>
      <c r="O303" s="3617"/>
      <c r="P303" s="3617"/>
      <c r="Q303" s="3617"/>
      <c r="R303" s="3617"/>
      <c r="S303" s="3617"/>
      <c r="T303" s="3617"/>
      <c r="U303" s="3617"/>
      <c r="V303" s="3617"/>
      <c r="W303" s="3617"/>
      <c r="X303" s="3617"/>
      <c r="Y303" s="3617"/>
      <c r="Z303" s="3618"/>
      <c r="AA303" s="3617"/>
      <c r="AB303" s="3617"/>
      <c r="AC303" s="3617"/>
      <c r="AD303" s="3617"/>
      <c r="AE303" s="3618"/>
      <c r="AF303" s="4093"/>
      <c r="AG303" s="4093"/>
      <c r="AH303" s="4093"/>
      <c r="AI303" s="4093"/>
      <c r="AJ303" s="4094"/>
      <c r="AK303" s="277"/>
      <c r="AL303" s="333"/>
      <c r="AM303" s="333"/>
      <c r="AN303" s="333"/>
      <c r="AO303" s="1378"/>
      <c r="AP303" s="1378"/>
      <c r="AQ303" s="363"/>
      <c r="AR303" s="330"/>
      <c r="AS303" s="2465"/>
      <c r="AT303" s="334"/>
      <c r="AU303" s="334"/>
      <c r="AV303" s="334"/>
      <c r="AW303" s="334"/>
      <c r="AX303" s="334"/>
      <c r="AY303" s="334"/>
      <c r="AZ303" s="334"/>
      <c r="BA303" s="334"/>
      <c r="BB303" s="334"/>
      <c r="BC303" s="334"/>
      <c r="BD303" s="874"/>
      <c r="BE303" s="2690"/>
      <c r="BF303" s="3590"/>
      <c r="BG303"/>
      <c r="BH303"/>
      <c r="BI303"/>
      <c r="BJ303"/>
      <c r="BK303"/>
      <c r="BL303"/>
      <c r="BM303" s="2838"/>
      <c r="BN303" s="2838"/>
      <c r="BO303" s="2838"/>
      <c r="BP303" s="2838"/>
      <c r="BQ303" s="2838"/>
      <c r="BR303" s="2838"/>
      <c r="BS303" s="2838"/>
    </row>
    <row r="304" spans="1:71" s="1734" customFormat="1" ht="12.75" customHeight="1">
      <c r="A304" s="3620" t="s">
        <v>2970</v>
      </c>
      <c r="B304" s="3617"/>
      <c r="C304" s="3617"/>
      <c r="D304" s="3617"/>
      <c r="E304" s="3617"/>
      <c r="F304" s="3617"/>
      <c r="G304" s="3617"/>
      <c r="H304" s="3617"/>
      <c r="I304" s="3617"/>
      <c r="J304" s="3617"/>
      <c r="K304" s="3617"/>
      <c r="L304" s="3617"/>
      <c r="M304" s="3617"/>
      <c r="N304" s="3617"/>
      <c r="O304" s="3617"/>
      <c r="P304" s="3617"/>
      <c r="Q304" s="3617"/>
      <c r="R304" s="3617"/>
      <c r="S304" s="3617"/>
      <c r="T304" s="3617"/>
      <c r="U304" s="3617"/>
      <c r="V304" s="3617"/>
      <c r="W304" s="3617"/>
      <c r="X304" s="3617"/>
      <c r="Y304" s="3617"/>
      <c r="Z304" s="3618"/>
      <c r="AA304" s="3621">
        <v>17</v>
      </c>
      <c r="AB304" s="3621">
        <v>18</v>
      </c>
      <c r="AC304" s="3621">
        <v>18</v>
      </c>
      <c r="AD304" s="3621">
        <v>29</v>
      </c>
      <c r="AE304" s="3622">
        <f>SUM(AA304:AD304)</f>
        <v>82</v>
      </c>
      <c r="AF304" s="4095"/>
      <c r="AG304" s="4095"/>
      <c r="AH304" s="4095"/>
      <c r="AI304" s="4095"/>
      <c r="AJ304" s="4096"/>
      <c r="AK304" s="277"/>
      <c r="AL304" s="333"/>
      <c r="AM304" s="333"/>
      <c r="AN304" s="333"/>
      <c r="AO304" s="1378"/>
      <c r="AP304" s="1378"/>
      <c r="AQ304" s="363"/>
      <c r="AR304" s="330"/>
      <c r="AS304" s="2465"/>
      <c r="AT304" s="334"/>
      <c r="AU304" s="334"/>
      <c r="AV304" s="334"/>
      <c r="AW304" s="334"/>
      <c r="AX304" s="334"/>
      <c r="AY304" s="334"/>
      <c r="AZ304" s="334"/>
      <c r="BA304" s="334"/>
      <c r="BB304" s="334"/>
      <c r="BC304" s="334"/>
      <c r="BD304" s="874"/>
      <c r="BE304" s="2690"/>
      <c r="BF304" s="3590"/>
      <c r="BG304"/>
      <c r="BH304"/>
      <c r="BI304"/>
      <c r="BJ304"/>
      <c r="BK304"/>
      <c r="BL304"/>
      <c r="BM304" s="2838"/>
      <c r="BN304" s="2838"/>
      <c r="BO304" s="2838"/>
      <c r="BP304" s="2838"/>
      <c r="BQ304" s="2838"/>
      <c r="BR304" s="2838"/>
      <c r="BS304" s="2838"/>
    </row>
    <row r="305" spans="1:71" s="1734" customFormat="1" ht="12.75" customHeight="1">
      <c r="A305" s="3620" t="s">
        <v>764</v>
      </c>
      <c r="B305" s="3617"/>
      <c r="C305" s="3617"/>
      <c r="D305" s="3617"/>
      <c r="E305" s="3617"/>
      <c r="F305" s="3617"/>
      <c r="G305" s="3617"/>
      <c r="H305" s="3617"/>
      <c r="I305" s="3617"/>
      <c r="J305" s="3617"/>
      <c r="K305" s="3617"/>
      <c r="L305" s="3617"/>
      <c r="M305" s="3617"/>
      <c r="N305" s="3617"/>
      <c r="O305" s="3617"/>
      <c r="P305" s="3617"/>
      <c r="Q305" s="3617"/>
      <c r="R305" s="3617"/>
      <c r="S305" s="3617"/>
      <c r="T305" s="3617"/>
      <c r="U305" s="3617"/>
      <c r="V305" s="3617"/>
      <c r="W305" s="3617"/>
      <c r="X305" s="3617"/>
      <c r="Y305" s="3617"/>
      <c r="Z305" s="3618"/>
      <c r="AA305" s="3623">
        <v>0</v>
      </c>
      <c r="AB305" s="3623">
        <v>0</v>
      </c>
      <c r="AC305" s="3623">
        <v>0</v>
      </c>
      <c r="AD305" s="3623">
        <v>0</v>
      </c>
      <c r="AE305" s="3624">
        <f>SUM(AA305:AD305)</f>
        <v>0</v>
      </c>
      <c r="AF305" s="4097"/>
      <c r="AG305" s="4097"/>
      <c r="AH305" s="4097"/>
      <c r="AI305" s="4097"/>
      <c r="AJ305" s="4098"/>
      <c r="AK305" s="277"/>
      <c r="AL305" s="333"/>
      <c r="AM305" s="333"/>
      <c r="AN305" s="333"/>
      <c r="AO305" s="1378"/>
      <c r="AP305" s="1378"/>
      <c r="AQ305" s="363"/>
      <c r="AR305" s="330"/>
      <c r="AS305" s="2465"/>
      <c r="AT305" s="334"/>
      <c r="AU305" s="334"/>
      <c r="AV305" s="334"/>
      <c r="AW305" s="334"/>
      <c r="AX305" s="334"/>
      <c r="AY305" s="334"/>
      <c r="AZ305" s="334"/>
      <c r="BA305" s="334"/>
      <c r="BB305" s="334"/>
      <c r="BC305" s="334"/>
      <c r="BD305" s="874"/>
      <c r="BE305" s="2690"/>
      <c r="BF305" s="3590"/>
      <c r="BG305"/>
      <c r="BH305"/>
      <c r="BI305"/>
      <c r="BJ305"/>
      <c r="BK305"/>
      <c r="BL305"/>
      <c r="BM305" s="2838"/>
      <c r="BN305" s="2838"/>
      <c r="BO305" s="2838"/>
      <c r="BP305" s="2838"/>
      <c r="BQ305" s="2838"/>
      <c r="BR305" s="2838"/>
      <c r="BS305" s="2838"/>
    </row>
    <row r="306" spans="1:71" s="1734" customFormat="1" ht="12.75" customHeight="1">
      <c r="A306" s="3616" t="s">
        <v>768</v>
      </c>
      <c r="B306" s="3617"/>
      <c r="C306" s="3617"/>
      <c r="D306" s="3617"/>
      <c r="E306" s="3617"/>
      <c r="F306" s="3617"/>
      <c r="G306" s="3617"/>
      <c r="H306" s="3617"/>
      <c r="I306" s="3617"/>
      <c r="J306" s="3617"/>
      <c r="K306" s="3617"/>
      <c r="L306" s="3617"/>
      <c r="M306" s="3617"/>
      <c r="N306" s="3617"/>
      <c r="O306" s="3617"/>
      <c r="P306" s="3617"/>
      <c r="Q306" s="3617"/>
      <c r="R306" s="3617"/>
      <c r="S306" s="3617"/>
      <c r="T306" s="3617"/>
      <c r="U306" s="3617"/>
      <c r="V306" s="3617"/>
      <c r="W306" s="3617"/>
      <c r="X306" s="3617"/>
      <c r="Y306" s="3617"/>
      <c r="Z306" s="3618"/>
      <c r="AA306" s="3625">
        <f>SUM(AA304:AA305,AA302)</f>
        <v>417</v>
      </c>
      <c r="AB306" s="3625">
        <f>SUM(AB304:AB305,AB302)</f>
        <v>482</v>
      </c>
      <c r="AC306" s="3625">
        <f>SUM(AC304:AC305,AC302)</f>
        <v>479</v>
      </c>
      <c r="AD306" s="3625">
        <f>SUM(AD304:AD305,AD302)</f>
        <v>460</v>
      </c>
      <c r="AE306" s="3626">
        <f>SUM(AA306:AD306)</f>
        <v>1838</v>
      </c>
      <c r="AF306" s="4099"/>
      <c r="AG306" s="4099"/>
      <c r="AH306" s="4099"/>
      <c r="AI306" s="4099"/>
      <c r="AJ306" s="4100"/>
      <c r="AK306" s="277"/>
      <c r="AL306" s="333"/>
      <c r="AM306" s="333"/>
      <c r="AN306" s="333"/>
      <c r="AO306" s="1378"/>
      <c r="AP306" s="1378"/>
      <c r="AQ306" s="363"/>
      <c r="AR306" s="330"/>
      <c r="AS306" s="2465"/>
      <c r="AT306" s="334"/>
      <c r="AU306" s="334"/>
      <c r="AV306" s="334"/>
      <c r="AW306" s="334"/>
      <c r="AX306" s="334"/>
      <c r="AY306" s="334"/>
      <c r="AZ306" s="334"/>
      <c r="BA306" s="334"/>
      <c r="BB306" s="334"/>
      <c r="BC306" s="334"/>
      <c r="BD306" s="874"/>
      <c r="BE306" s="2690"/>
      <c r="BF306" s="3590"/>
      <c r="BG306"/>
      <c r="BH306"/>
      <c r="BI306"/>
      <c r="BJ306"/>
      <c r="BK306"/>
      <c r="BL306"/>
      <c r="BM306" s="2838"/>
      <c r="BN306" s="2838"/>
      <c r="BO306" s="2838"/>
      <c r="BP306" s="2838"/>
      <c r="BQ306" s="2838"/>
      <c r="BR306" s="2838"/>
      <c r="BS306" s="2838"/>
    </row>
    <row r="307" spans="1:71" s="1734" customFormat="1" ht="12.75" customHeight="1">
      <c r="A307"/>
      <c r="B307" s="359"/>
      <c r="C307" s="359"/>
      <c r="D307" s="359"/>
      <c r="E307" s="359"/>
      <c r="F307" s="359"/>
      <c r="G307" s="333"/>
      <c r="H307" s="333"/>
      <c r="I307" s="333"/>
      <c r="J307" s="333"/>
      <c r="K307" s="359"/>
      <c r="L307" s="333"/>
      <c r="M307" s="277"/>
      <c r="N307" s="333"/>
      <c r="O307" s="333"/>
      <c r="P307" s="359"/>
      <c r="Q307" s="333"/>
      <c r="R307" s="333"/>
      <c r="S307" s="333"/>
      <c r="T307" s="333"/>
      <c r="U307" s="1378"/>
      <c r="V307" s="333"/>
      <c r="W307" s="333"/>
      <c r="X307" s="333"/>
      <c r="Y307" s="333"/>
      <c r="Z307" s="1378"/>
      <c r="AA307"/>
      <c r="AB307"/>
      <c r="AC307"/>
      <c r="AD307"/>
      <c r="AE307" s="3606"/>
      <c r="AF307" s="277"/>
      <c r="AG307" s="333"/>
      <c r="AH307" s="333"/>
      <c r="AI307" s="333"/>
      <c r="AJ307" s="2578"/>
      <c r="AK307" s="277"/>
      <c r="AL307" s="333"/>
      <c r="AM307" s="333"/>
      <c r="AN307" s="333"/>
      <c r="AO307" s="1378"/>
      <c r="AP307" s="1378"/>
      <c r="AQ307" s="363"/>
      <c r="AR307" s="330"/>
      <c r="AS307" s="2465"/>
      <c r="AT307" s="334"/>
      <c r="AU307" s="334"/>
      <c r="AV307" s="334"/>
      <c r="AW307" s="334"/>
      <c r="AX307" s="334"/>
      <c r="AY307" s="334"/>
      <c r="AZ307" s="334"/>
      <c r="BA307" s="334"/>
      <c r="BB307" s="334"/>
      <c r="BC307" s="334"/>
      <c r="BD307" s="874"/>
      <c r="BE307" s="2690"/>
      <c r="BF307" s="3590"/>
      <c r="BG307"/>
      <c r="BH307"/>
      <c r="BI307"/>
      <c r="BJ307"/>
      <c r="BK307"/>
      <c r="BL307"/>
      <c r="BM307" s="2838"/>
      <c r="BN307" s="2838"/>
      <c r="BO307" s="2838"/>
      <c r="BP307" s="2838"/>
      <c r="BQ307" s="2838"/>
      <c r="BR307" s="2838"/>
      <c r="BS307" s="2838"/>
    </row>
    <row r="308" spans="1:71" ht="12.75" customHeight="1">
      <c r="A308" s="299" t="s">
        <v>439</v>
      </c>
      <c r="B308" s="355"/>
      <c r="C308" s="355"/>
      <c r="D308" s="355"/>
      <c r="E308" s="355"/>
      <c r="F308" s="355"/>
      <c r="G308" s="191"/>
      <c r="H308" s="191"/>
      <c r="I308" s="191"/>
      <c r="J308" s="191"/>
      <c r="K308" s="355"/>
      <c r="L308" s="191"/>
      <c r="M308" s="191"/>
      <c r="N308" s="191"/>
      <c r="O308" s="946"/>
      <c r="P308" s="947"/>
      <c r="Q308" s="946"/>
      <c r="R308" s="946"/>
      <c r="S308" s="946"/>
      <c r="T308" s="946"/>
      <c r="U308" s="3562"/>
      <c r="V308" s="946"/>
      <c r="W308" s="946"/>
      <c r="X308" s="946"/>
      <c r="Y308" s="2745"/>
      <c r="Z308" s="2579"/>
      <c r="AA308" s="946"/>
      <c r="AB308" s="946"/>
      <c r="AC308" s="946"/>
      <c r="AD308" s="946"/>
      <c r="AE308" s="2579"/>
      <c r="AF308" s="946"/>
      <c r="AG308" s="946"/>
      <c r="AH308" s="946"/>
      <c r="AI308" s="946"/>
      <c r="AJ308" s="2579"/>
      <c r="AK308" s="946"/>
      <c r="AL308" s="946"/>
      <c r="AM308" s="946"/>
      <c r="AN308" s="946"/>
      <c r="AO308" s="1379"/>
      <c r="AP308" s="1379"/>
      <c r="AQ308" s="1081"/>
      <c r="AR308" s="191"/>
      <c r="AS308" s="764" t="str">
        <f t="shared" ref="AS308:AS314" si="513">+A308</f>
        <v>Rooms Summary:</v>
      </c>
      <c r="AT308" s="191"/>
      <c r="AU308" s="191"/>
      <c r="AV308" s="191"/>
      <c r="AW308" s="191"/>
      <c r="AX308" s="191"/>
      <c r="AY308" s="191"/>
      <c r="AZ308" s="191"/>
      <c r="BA308" s="191"/>
      <c r="BB308" s="191"/>
      <c r="BC308" s="191"/>
      <c r="BD308" s="420"/>
      <c r="BF308" s="900"/>
      <c r="BM308" s="902"/>
      <c r="BN308" s="902"/>
      <c r="BO308" s="902"/>
      <c r="BP308" s="902"/>
      <c r="BQ308" s="902"/>
      <c r="BR308" s="902"/>
      <c r="BS308" s="902"/>
    </row>
    <row r="309" spans="1:71" ht="12.75" customHeight="1">
      <c r="A309" s="298" t="s">
        <v>1283</v>
      </c>
      <c r="B309" s="355"/>
      <c r="C309" s="355"/>
      <c r="D309" s="355"/>
      <c r="E309" s="355">
        <f>'QTR Rooms'!B817</f>
        <v>121188</v>
      </c>
      <c r="F309" s="355">
        <f>'QTR Rooms'!C817</f>
        <v>134160</v>
      </c>
      <c r="G309" s="191">
        <f>'QTR Rooms'!D817</f>
        <v>137102</v>
      </c>
      <c r="H309" s="191">
        <f>'QTR Rooms'!E817</f>
        <v>136296</v>
      </c>
      <c r="I309" s="191">
        <f>'QTR Rooms'!F817</f>
        <v>136841</v>
      </c>
      <c r="J309" s="191">
        <f>'QTR Rooms'!G817</f>
        <v>139856</v>
      </c>
      <c r="K309" s="355">
        <f>'QTR Rooms'!H817</f>
        <v>139856</v>
      </c>
      <c r="L309" s="191">
        <f>'QTR Rooms'!I817</f>
        <v>143666</v>
      </c>
      <c r="M309" s="191">
        <f>'QTR Rooms'!J817</f>
        <v>143067</v>
      </c>
      <c r="N309" s="191">
        <f>'QTR Rooms'!K817</f>
        <v>146591</v>
      </c>
      <c r="O309" s="1074">
        <f>'QTR Rooms'!L817</f>
        <v>150318</v>
      </c>
      <c r="P309" s="1075">
        <f>'QTR Rooms'!M817</f>
        <v>150318</v>
      </c>
      <c r="Q309" s="191">
        <f>'QTR Rooms'!N817</f>
        <v>153955</v>
      </c>
      <c r="R309" s="1074">
        <f>'QTR Rooms'!O817</f>
        <v>156048</v>
      </c>
      <c r="S309" s="1074">
        <f>'QTR Rooms'!P817</f>
        <v>158471</v>
      </c>
      <c r="T309" s="1074">
        <f>'QTR Rooms'!Q817</f>
        <v>160428</v>
      </c>
      <c r="U309" s="1075">
        <f>'QTR Rooms'!R817</f>
        <v>160428</v>
      </c>
      <c r="V309" s="1074">
        <f>'QTR Rooms'!S817</f>
        <v>157967</v>
      </c>
      <c r="W309" s="1074">
        <f>'QTR Rooms'!T817</f>
        <v>156804</v>
      </c>
      <c r="X309" s="1074">
        <f>'QTR Rooms'!U817</f>
        <v>160142</v>
      </c>
      <c r="Y309" s="2746">
        <f>'QTR Rooms'!V817</f>
        <v>166000</v>
      </c>
      <c r="Z309" s="2580">
        <f>'QTR Rooms'!W817</f>
        <v>166000</v>
      </c>
      <c r="AA309" s="1074">
        <f>'QTR Rooms'!X817</f>
        <v>164357</v>
      </c>
      <c r="AB309" s="1074">
        <f>'QTR Rooms'!Y817</f>
        <v>167180</v>
      </c>
      <c r="AC309" s="1074">
        <f>'QTR Rooms'!Z817</f>
        <v>169327</v>
      </c>
      <c r="AD309" s="1074">
        <f>'QTR Rooms'!AA817</f>
        <v>172977</v>
      </c>
      <c r="AE309" s="2580">
        <f>'QTR Rooms'!AB817</f>
        <v>172977</v>
      </c>
      <c r="AF309" s="1074">
        <f>'QTR Rooms'!AC817</f>
        <v>208812.33300000001</v>
      </c>
      <c r="AG309" s="1074">
        <f>'QTR Rooms'!AD817</f>
        <v>210577</v>
      </c>
      <c r="AH309" s="1074">
        <f>'QTR Rooms'!AE817</f>
        <v>211597</v>
      </c>
      <c r="AI309" s="1074">
        <f>'QTR Rooms'!AF817</f>
        <v>216336</v>
      </c>
      <c r="AJ309" s="2580">
        <f>'QTR Rooms'!AG817</f>
        <v>216336</v>
      </c>
      <c r="AK309" s="1074">
        <f>'QTR Rooms'!AH817</f>
        <v>219399.53499999997</v>
      </c>
      <c r="AL309" s="1074">
        <f>'QTR Rooms'!AI817</f>
        <v>222443.89336899997</v>
      </c>
      <c r="AM309" s="1074">
        <f>'QTR Rooms'!AJ817</f>
        <v>225204.78552491494</v>
      </c>
      <c r="AN309" s="1074">
        <f>'QTR Rooms'!AK817</f>
        <v>228006.88903345348</v>
      </c>
      <c r="AO309" s="2580">
        <f>'QTR Rooms'!AL817</f>
        <v>228006.88903345348</v>
      </c>
      <c r="AP309" s="1075">
        <f>'QTR Rooms'!AM817</f>
        <v>238267.07401484365</v>
      </c>
      <c r="AQ309" s="1075">
        <f>'QTR Rooms'!AN817</f>
        <v>245157.20205979768</v>
      </c>
      <c r="AR309" s="191"/>
      <c r="AS309" s="878" t="str">
        <f t="shared" si="513"/>
        <v>Managed</v>
      </c>
      <c r="AT309" s="191">
        <f t="shared" ref="AT309:AU314" si="514">+E309</f>
        <v>121188</v>
      </c>
      <c r="AU309" s="191">
        <f t="shared" si="514"/>
        <v>134160</v>
      </c>
      <c r="AV309" s="191">
        <f t="shared" ref="AV309:AV314" si="515">+K309</f>
        <v>139856</v>
      </c>
      <c r="AW309" s="191">
        <f t="shared" ref="AW309:AW314" si="516">+P309</f>
        <v>150318</v>
      </c>
      <c r="AX309" s="191">
        <f t="shared" ref="AX309:AX314" si="517">+U309</f>
        <v>160428</v>
      </c>
      <c r="AY309" s="191">
        <f t="shared" ref="AY309:AY314" si="518">+Z309</f>
        <v>166000</v>
      </c>
      <c r="AZ309" s="191">
        <f t="shared" ref="AZ309:AZ314" si="519">+AE309</f>
        <v>172977</v>
      </c>
      <c r="BA309" s="191">
        <f t="shared" ref="BA309:BA314" si="520">+AJ309</f>
        <v>216336</v>
      </c>
      <c r="BB309" s="191">
        <f t="shared" ref="BB309:BB314" si="521">+AO309</f>
        <v>228006.88903345348</v>
      </c>
      <c r="BC309" s="191">
        <f t="shared" ref="BC309:BC314" si="522">+AP309</f>
        <v>238267.07401484365</v>
      </c>
      <c r="BD309" s="420">
        <f t="shared" ref="BD309:BD314" si="523">+AQ309</f>
        <v>245157.20205979768</v>
      </c>
      <c r="BF309" s="900"/>
      <c r="BM309" s="902"/>
      <c r="BN309" s="902"/>
      <c r="BO309" s="902"/>
      <c r="BP309" s="902"/>
      <c r="BQ309" s="902"/>
      <c r="BR309" s="902"/>
      <c r="BS309" s="902"/>
    </row>
    <row r="310" spans="1:71" s="5" customFormat="1" ht="12.75" customHeight="1">
      <c r="A310" s="298" t="s">
        <v>1284</v>
      </c>
      <c r="B310" s="1068"/>
      <c r="C310" s="1068"/>
      <c r="D310" s="1068"/>
      <c r="E310" s="1068">
        <f>'QTR Rooms'!B834</f>
        <v>421120</v>
      </c>
      <c r="F310" s="1068">
        <f>'QTR Rooms'!C834</f>
        <v>436551</v>
      </c>
      <c r="G310" s="1069">
        <f>'QTR Rooms'!D834</f>
        <v>437320</v>
      </c>
      <c r="H310" s="1069">
        <f>'QTR Rooms'!E834</f>
        <v>443576</v>
      </c>
      <c r="I310" s="1069">
        <f>'QTR Rooms'!F834</f>
        <v>446271</v>
      </c>
      <c r="J310" s="1069">
        <f>'QTR Rooms'!G834</f>
        <v>450558</v>
      </c>
      <c r="K310" s="1068">
        <f>'QTR Rooms'!H834</f>
        <v>450558</v>
      </c>
      <c r="L310" s="1069">
        <f>'QTR Rooms'!I834</f>
        <v>451856</v>
      </c>
      <c r="M310" s="1069">
        <f>'QTR Rooms'!J834</f>
        <v>460102</v>
      </c>
      <c r="N310" s="1069">
        <f>'QTR Rooms'!K834</f>
        <v>463084</v>
      </c>
      <c r="O310" s="1076">
        <f>'QTR Rooms'!L834</f>
        <v>466642</v>
      </c>
      <c r="P310" s="1077">
        <f>'QTR Rooms'!M834</f>
        <v>466642</v>
      </c>
      <c r="Q310" s="1069">
        <f>'QTR Rooms'!N834</f>
        <v>471487</v>
      </c>
      <c r="R310" s="1076">
        <f>'QTR Rooms'!O834</f>
        <v>477102</v>
      </c>
      <c r="S310" s="1076">
        <f>'QTR Rooms'!P834</f>
        <v>487395</v>
      </c>
      <c r="T310" s="1076">
        <f>'QTR Rooms'!Q834</f>
        <v>495680</v>
      </c>
      <c r="U310" s="1077">
        <f>'QTR Rooms'!R834</f>
        <v>495680</v>
      </c>
      <c r="V310" s="1076">
        <f>'QTR Rooms'!S834</f>
        <v>502202</v>
      </c>
      <c r="W310" s="1076">
        <f>'QTR Rooms'!T834</f>
        <v>514288</v>
      </c>
      <c r="X310" s="1076">
        <f>'QTR Rooms'!U834</f>
        <v>524970</v>
      </c>
      <c r="Y310" s="1076">
        <f>'QTR Rooms'!V834</f>
        <v>533039</v>
      </c>
      <c r="Z310" s="1077">
        <f>'QTR Rooms'!W834</f>
        <v>533039</v>
      </c>
      <c r="AA310" s="1076">
        <f>'QTR Rooms'!X834</f>
        <v>542065</v>
      </c>
      <c r="AB310" s="1076">
        <f>'QTR Rooms'!Y834</f>
        <v>550690</v>
      </c>
      <c r="AC310" s="1076">
        <f>'QTR Rooms'!Z834</f>
        <v>561669</v>
      </c>
      <c r="AD310" s="1076">
        <f>'QTR Rooms'!AA834</f>
        <v>573404</v>
      </c>
      <c r="AE310" s="1077">
        <f>'QTR Rooms'!AB834</f>
        <v>573404</v>
      </c>
      <c r="AF310" s="1076">
        <f>'QTR Rooms'!AC834</f>
        <v>580481.54100000032</v>
      </c>
      <c r="AG310" s="1076">
        <f>'QTR Rooms'!AD834</f>
        <v>592835.99999999977</v>
      </c>
      <c r="AH310" s="1076">
        <f>'QTR Rooms'!AE834</f>
        <v>603891</v>
      </c>
      <c r="AI310" s="1076">
        <f>'QTR Rooms'!AF834</f>
        <v>617573</v>
      </c>
      <c r="AJ310" s="1077">
        <f>'QTR Rooms'!AG834</f>
        <v>617573</v>
      </c>
      <c r="AK310" s="1076">
        <f>'QTR Rooms'!AH834</f>
        <v>624461.95900000003</v>
      </c>
      <c r="AL310" s="1076">
        <f>'QTR Rooms'!AI834</f>
        <v>634974.63962500007</v>
      </c>
      <c r="AM310" s="1076">
        <f>'QTR Rooms'!AJ834</f>
        <v>646340.92398377496</v>
      </c>
      <c r="AN310" s="1076">
        <f>'QTR Rooms'!AK834</f>
        <v>659818.30596290762</v>
      </c>
      <c r="AO310" s="1077">
        <f>'QTR Rooms'!AL834</f>
        <v>659818.30596290762</v>
      </c>
      <c r="AP310" s="1077">
        <f>'QTR Rooms'!AM834</f>
        <v>702268.3058846948</v>
      </c>
      <c r="AQ310" s="1077">
        <f>'QTR Rooms'!AN834</f>
        <v>739499.01553927455</v>
      </c>
      <c r="AR310" s="1069"/>
      <c r="AS310" s="880" t="str">
        <f t="shared" si="513"/>
        <v>Franchised</v>
      </c>
      <c r="AT310" s="1069">
        <f t="shared" si="514"/>
        <v>421120</v>
      </c>
      <c r="AU310" s="1069">
        <f t="shared" si="514"/>
        <v>436551</v>
      </c>
      <c r="AV310" s="1069">
        <f t="shared" si="515"/>
        <v>450558</v>
      </c>
      <c r="AW310" s="1069">
        <f t="shared" si="516"/>
        <v>466642</v>
      </c>
      <c r="AX310" s="1069">
        <f t="shared" si="517"/>
        <v>495680</v>
      </c>
      <c r="AY310" s="1069">
        <f t="shared" si="518"/>
        <v>533039</v>
      </c>
      <c r="AZ310" s="1069">
        <f t="shared" si="519"/>
        <v>573404</v>
      </c>
      <c r="BA310" s="1069">
        <f t="shared" si="520"/>
        <v>617573</v>
      </c>
      <c r="BB310" s="1069">
        <f t="shared" si="521"/>
        <v>659818.30596290762</v>
      </c>
      <c r="BC310" s="1069">
        <f t="shared" si="522"/>
        <v>702268.3058846948</v>
      </c>
      <c r="BD310" s="1070">
        <f t="shared" si="523"/>
        <v>739499.01553927455</v>
      </c>
      <c r="BE310" s="14"/>
      <c r="BF310" s="1071"/>
      <c r="BG310"/>
      <c r="BH310"/>
      <c r="BI310"/>
      <c r="BJ310"/>
      <c r="BK310"/>
      <c r="BL310"/>
      <c r="BM310" s="1072"/>
      <c r="BN310" s="1072"/>
      <c r="BO310" s="1072"/>
      <c r="BP310" s="1072"/>
      <c r="BQ310" s="1072"/>
      <c r="BR310" s="1072"/>
      <c r="BS310" s="1072"/>
    </row>
    <row r="311" spans="1:71" s="2" customFormat="1" ht="12.75" customHeight="1">
      <c r="A311" s="299" t="s">
        <v>168</v>
      </c>
      <c r="B311" s="400"/>
      <c r="C311" s="400"/>
      <c r="D311" s="400"/>
      <c r="E311" s="400">
        <f>E310+E309</f>
        <v>542308</v>
      </c>
      <c r="F311" s="400">
        <f t="shared" ref="F311:AQ311" si="524">F310+F309</f>
        <v>570711</v>
      </c>
      <c r="G311" s="405">
        <f t="shared" si="524"/>
        <v>574422</v>
      </c>
      <c r="H311" s="405">
        <f t="shared" si="524"/>
        <v>579872</v>
      </c>
      <c r="I311" s="405">
        <f t="shared" si="524"/>
        <v>583112</v>
      </c>
      <c r="J311" s="405">
        <f t="shared" si="524"/>
        <v>590414</v>
      </c>
      <c r="K311" s="400">
        <f t="shared" si="524"/>
        <v>590414</v>
      </c>
      <c r="L311" s="405">
        <f t="shared" si="524"/>
        <v>595522</v>
      </c>
      <c r="M311" s="405">
        <f t="shared" si="524"/>
        <v>603169</v>
      </c>
      <c r="N311" s="405">
        <f t="shared" si="524"/>
        <v>609675</v>
      </c>
      <c r="O311" s="285">
        <f t="shared" si="524"/>
        <v>616960</v>
      </c>
      <c r="P311" s="1073">
        <f t="shared" si="524"/>
        <v>616960</v>
      </c>
      <c r="Q311" s="405">
        <f t="shared" si="524"/>
        <v>625442</v>
      </c>
      <c r="R311" s="285">
        <f t="shared" si="524"/>
        <v>633150</v>
      </c>
      <c r="S311" s="285">
        <f t="shared" si="524"/>
        <v>645866</v>
      </c>
      <c r="T311" s="285">
        <f t="shared" si="524"/>
        <v>656108</v>
      </c>
      <c r="U311" s="1073">
        <f t="shared" si="524"/>
        <v>656108</v>
      </c>
      <c r="V311" s="285">
        <f t="shared" ref="V311:AE311" si="525">V310+V309</f>
        <v>660169</v>
      </c>
      <c r="W311" s="285">
        <f t="shared" si="525"/>
        <v>671092</v>
      </c>
      <c r="X311" s="285">
        <f t="shared" si="525"/>
        <v>685112</v>
      </c>
      <c r="Y311" s="285">
        <f t="shared" si="525"/>
        <v>699039</v>
      </c>
      <c r="Z311" s="1073">
        <f t="shared" si="525"/>
        <v>699039</v>
      </c>
      <c r="AA311" s="285">
        <f t="shared" si="525"/>
        <v>706422</v>
      </c>
      <c r="AB311" s="285">
        <f t="shared" si="525"/>
        <v>717870</v>
      </c>
      <c r="AC311" s="285">
        <f t="shared" si="525"/>
        <v>730996</v>
      </c>
      <c r="AD311" s="285">
        <f t="shared" si="525"/>
        <v>746381</v>
      </c>
      <c r="AE311" s="1073">
        <f t="shared" si="525"/>
        <v>746381</v>
      </c>
      <c r="AF311" s="285">
        <f>AF310+AF309</f>
        <v>789293.8740000003</v>
      </c>
      <c r="AG311" s="285">
        <f>AG310+AG309</f>
        <v>803412.99999999977</v>
      </c>
      <c r="AH311" s="285">
        <f>AH310+AH309</f>
        <v>815488</v>
      </c>
      <c r="AI311" s="285">
        <f>AI310+AI309</f>
        <v>833909</v>
      </c>
      <c r="AJ311" s="1073">
        <f>AJ310+AJ309</f>
        <v>833909</v>
      </c>
      <c r="AK311" s="285">
        <f t="shared" ref="AK311:AN311" si="526">AK310+AK309</f>
        <v>843861.49399999995</v>
      </c>
      <c r="AL311" s="285">
        <f t="shared" si="526"/>
        <v>857418.53299400001</v>
      </c>
      <c r="AM311" s="285">
        <f t="shared" si="526"/>
        <v>871545.70950868994</v>
      </c>
      <c r="AN311" s="285">
        <f t="shared" si="526"/>
        <v>887825.19499636116</v>
      </c>
      <c r="AO311" s="1073">
        <f>AO310+AO309</f>
        <v>887825.19499636116</v>
      </c>
      <c r="AP311" s="1073">
        <f t="shared" si="524"/>
        <v>940535.37989953847</v>
      </c>
      <c r="AQ311" s="1073">
        <f t="shared" si="524"/>
        <v>984656.21759907226</v>
      </c>
      <c r="AR311" s="285"/>
      <c r="AS311" s="764" t="str">
        <f t="shared" si="513"/>
        <v>Subtotal</v>
      </c>
      <c r="AT311" s="285">
        <f t="shared" si="514"/>
        <v>542308</v>
      </c>
      <c r="AU311" s="285">
        <f t="shared" si="514"/>
        <v>570711</v>
      </c>
      <c r="AV311" s="285">
        <f t="shared" si="515"/>
        <v>590414</v>
      </c>
      <c r="AW311" s="285">
        <f t="shared" si="516"/>
        <v>616960</v>
      </c>
      <c r="AX311" s="285">
        <f t="shared" si="517"/>
        <v>656108</v>
      </c>
      <c r="AY311" s="285">
        <f t="shared" si="518"/>
        <v>699039</v>
      </c>
      <c r="AZ311" s="285">
        <f t="shared" si="519"/>
        <v>746381</v>
      </c>
      <c r="BA311" s="285">
        <f t="shared" si="520"/>
        <v>833909</v>
      </c>
      <c r="BB311" s="285">
        <f t="shared" si="521"/>
        <v>887825.19499636116</v>
      </c>
      <c r="BC311" s="285">
        <f t="shared" si="522"/>
        <v>940535.37989953847</v>
      </c>
      <c r="BD311" s="881">
        <f t="shared" si="523"/>
        <v>984656.21759907226</v>
      </c>
      <c r="BE311" s="14"/>
      <c r="BF311" s="938"/>
      <c r="BG311"/>
      <c r="BH311"/>
      <c r="BI311"/>
      <c r="BJ311"/>
      <c r="BK311"/>
      <c r="BL311"/>
      <c r="BM311" s="939"/>
      <c r="BN311" s="939"/>
      <c r="BO311" s="939"/>
      <c r="BP311" s="939"/>
      <c r="BQ311" s="939"/>
      <c r="BR311" s="939"/>
      <c r="BS311" s="939"/>
    </row>
    <row r="312" spans="1:71" ht="12.75" customHeight="1">
      <c r="A312" s="310" t="s">
        <v>437</v>
      </c>
      <c r="B312" s="508"/>
      <c r="C312" s="508"/>
      <c r="D312" s="508"/>
      <c r="E312" s="508"/>
      <c r="F312" s="143">
        <f>F309/E309-1</f>
        <v>0.10704030101990303</v>
      </c>
      <c r="G312" s="239"/>
      <c r="H312" s="239"/>
      <c r="I312" s="239"/>
      <c r="J312" s="239"/>
      <c r="K312" s="422">
        <f t="shared" ref="K312:U314" si="527">K309/F309-1</f>
        <v>4.2456768038163339E-2</v>
      </c>
      <c r="L312" s="419">
        <f t="shared" si="527"/>
        <v>4.7876763285728874E-2</v>
      </c>
      <c r="M312" s="419">
        <f t="shared" si="527"/>
        <v>4.9678640605740343E-2</v>
      </c>
      <c r="N312" s="419">
        <f t="shared" si="527"/>
        <v>7.1250575485417356E-2</v>
      </c>
      <c r="O312" s="419">
        <f t="shared" si="527"/>
        <v>7.4805514243221571E-2</v>
      </c>
      <c r="P312" s="422">
        <f t="shared" si="527"/>
        <v>7.4805514243221571E-2</v>
      </c>
      <c r="Q312" s="419">
        <f t="shared" si="527"/>
        <v>7.1617501705344422E-2</v>
      </c>
      <c r="R312" s="419">
        <f t="shared" si="527"/>
        <v>9.0733712176812364E-2</v>
      </c>
      <c r="S312" s="419">
        <f t="shared" si="527"/>
        <v>8.1041810206629261E-2</v>
      </c>
      <c r="T312" s="419">
        <f t="shared" si="527"/>
        <v>6.7257414281722827E-2</v>
      </c>
      <c r="U312" s="422">
        <f t="shared" si="527"/>
        <v>6.7257414281722827E-2</v>
      </c>
      <c r="V312" s="419">
        <f t="shared" ref="V312:Z314" si="528">V309/Q309-1</f>
        <v>2.6059562859277019E-2</v>
      </c>
      <c r="W312" s="419">
        <f t="shared" si="528"/>
        <v>4.8446631805598717E-3</v>
      </c>
      <c r="X312" s="419">
        <f t="shared" si="528"/>
        <v>1.0544516031324447E-2</v>
      </c>
      <c r="Y312" s="419">
        <f t="shared" si="528"/>
        <v>3.4732091654823272E-2</v>
      </c>
      <c r="Z312" s="422">
        <f t="shared" si="528"/>
        <v>3.4732091654823272E-2</v>
      </c>
      <c r="AA312" s="419">
        <f t="shared" ref="AA312:AC314" si="529">AA309/V309-1</f>
        <v>4.0451486702918871E-2</v>
      </c>
      <c r="AB312" s="419">
        <f t="shared" si="529"/>
        <v>6.617178133210877E-2</v>
      </c>
      <c r="AC312" s="419">
        <f t="shared" si="529"/>
        <v>5.7355347129422585E-2</v>
      </c>
      <c r="AD312" s="419">
        <f t="shared" ref="AD312:AJ314" si="530">AD309/Y309-1</f>
        <v>4.203012048192778E-2</v>
      </c>
      <c r="AE312" s="680">
        <f t="shared" si="530"/>
        <v>4.203012048192778E-2</v>
      </c>
      <c r="AF312" s="419">
        <f t="shared" si="530"/>
        <v>0.2704803141941019</v>
      </c>
      <c r="AG312" s="419">
        <f t="shared" si="530"/>
        <v>0.25958248594329469</v>
      </c>
      <c r="AH312" s="419">
        <f t="shared" si="530"/>
        <v>0.24963532100610064</v>
      </c>
      <c r="AI312" s="419">
        <f t="shared" si="530"/>
        <v>0.25066338299311464</v>
      </c>
      <c r="AJ312" s="680">
        <f t="shared" si="530"/>
        <v>0.25066338299311464</v>
      </c>
      <c r="AK312" s="419">
        <f t="shared" ref="AK312:AK314" si="531">AK309/AF309-1</f>
        <v>5.0701995652718379E-2</v>
      </c>
      <c r="AL312" s="419">
        <f t="shared" ref="AL312:AL314" si="532">AL309/AG309-1</f>
        <v>5.6354176234821418E-2</v>
      </c>
      <c r="AM312" s="419">
        <f t="shared" ref="AM312:AM314" si="533">AM309/AH309-1</f>
        <v>6.4309917082543411E-2</v>
      </c>
      <c r="AN312" s="419">
        <f t="shared" ref="AN312:AO314" si="534">AN309/AI309-1</f>
        <v>5.3947974601793014E-2</v>
      </c>
      <c r="AO312" s="680">
        <f t="shared" si="534"/>
        <v>5.3947974601793014E-2</v>
      </c>
      <c r="AP312" s="422">
        <f t="shared" ref="AP312:AQ314" si="535">AP309/AO309-1</f>
        <v>4.4999451660799439E-2</v>
      </c>
      <c r="AQ312" s="422">
        <f t="shared" si="535"/>
        <v>2.8917667593990837E-2</v>
      </c>
      <c r="AR312" s="262"/>
      <c r="AS312" s="765" t="str">
        <f t="shared" si="513"/>
        <v>Managed % growth, y/y</v>
      </c>
      <c r="AT312" s="239">
        <f t="shared" si="514"/>
        <v>0</v>
      </c>
      <c r="AU312" s="239">
        <f t="shared" si="514"/>
        <v>0.10704030101990303</v>
      </c>
      <c r="AV312" s="239">
        <f t="shared" si="515"/>
        <v>4.2456768038163339E-2</v>
      </c>
      <c r="AW312" s="239">
        <f t="shared" si="516"/>
        <v>7.4805514243221571E-2</v>
      </c>
      <c r="AX312" s="239">
        <f t="shared" si="517"/>
        <v>6.7257414281722827E-2</v>
      </c>
      <c r="AY312" s="239">
        <f t="shared" si="518"/>
        <v>3.4732091654823272E-2</v>
      </c>
      <c r="AZ312" s="239">
        <f t="shared" si="519"/>
        <v>4.203012048192778E-2</v>
      </c>
      <c r="BA312" s="239">
        <f t="shared" si="520"/>
        <v>0.25066338299311464</v>
      </c>
      <c r="BB312" s="239">
        <f t="shared" si="521"/>
        <v>5.3947974601793014E-2</v>
      </c>
      <c r="BC312" s="239">
        <f t="shared" si="522"/>
        <v>4.4999451660799439E-2</v>
      </c>
      <c r="BD312" s="706">
        <f t="shared" si="523"/>
        <v>2.8917667593990837E-2</v>
      </c>
      <c r="BF312" s="900"/>
      <c r="BM312" s="902"/>
      <c r="BN312" s="902"/>
      <c r="BO312" s="902"/>
      <c r="BP312" s="902"/>
      <c r="BQ312" s="902"/>
      <c r="BR312" s="902"/>
      <c r="BS312" s="902"/>
    </row>
    <row r="313" spans="1:71" ht="12.75" customHeight="1">
      <c r="A313" s="310" t="s">
        <v>438</v>
      </c>
      <c r="B313" s="508"/>
      <c r="C313" s="508"/>
      <c r="D313" s="508"/>
      <c r="E313" s="508"/>
      <c r="F313" s="143">
        <f>F310/E310-1</f>
        <v>3.6642762158054731E-2</v>
      </c>
      <c r="G313" s="239"/>
      <c r="H313" s="239"/>
      <c r="I313" s="239"/>
      <c r="J313" s="239"/>
      <c r="K313" s="422">
        <f t="shared" si="527"/>
        <v>3.2085598246253122E-2</v>
      </c>
      <c r="L313" s="419">
        <f t="shared" si="527"/>
        <v>3.323881825665409E-2</v>
      </c>
      <c r="M313" s="419">
        <f t="shared" si="527"/>
        <v>3.7256298807870625E-2</v>
      </c>
      <c r="N313" s="419">
        <f t="shared" si="527"/>
        <v>3.7674417562422846E-2</v>
      </c>
      <c r="O313" s="419">
        <f t="shared" si="527"/>
        <v>3.5697956755845084E-2</v>
      </c>
      <c r="P313" s="422">
        <f t="shared" si="527"/>
        <v>3.5697956755845084E-2</v>
      </c>
      <c r="Q313" s="419">
        <f t="shared" si="527"/>
        <v>4.3445256896002205E-2</v>
      </c>
      <c r="R313" s="419">
        <f t="shared" si="527"/>
        <v>3.6948328848820378E-2</v>
      </c>
      <c r="S313" s="419">
        <f t="shared" si="527"/>
        <v>5.2498034913752045E-2</v>
      </c>
      <c r="T313" s="419">
        <f t="shared" si="527"/>
        <v>6.22275748861012E-2</v>
      </c>
      <c r="U313" s="422">
        <f t="shared" si="527"/>
        <v>6.22275748861012E-2</v>
      </c>
      <c r="V313" s="419">
        <f t="shared" si="528"/>
        <v>6.5144956276631083E-2</v>
      </c>
      <c r="W313" s="419">
        <f t="shared" si="528"/>
        <v>7.7941404563384831E-2</v>
      </c>
      <c r="X313" s="419">
        <f t="shared" si="528"/>
        <v>7.7093527836764819E-2</v>
      </c>
      <c r="Y313" s="419">
        <f t="shared" si="528"/>
        <v>7.536918979987095E-2</v>
      </c>
      <c r="Z313" s="422">
        <f t="shared" si="528"/>
        <v>7.536918979987095E-2</v>
      </c>
      <c r="AA313" s="419">
        <f t="shared" si="529"/>
        <v>7.9376426218931817E-2</v>
      </c>
      <c r="AB313" s="419">
        <f t="shared" si="529"/>
        <v>7.0781352082879723E-2</v>
      </c>
      <c r="AC313" s="419">
        <f t="shared" si="529"/>
        <v>6.9906851820104032E-2</v>
      </c>
      <c r="AD313" s="419">
        <f t="shared" si="530"/>
        <v>7.5726166378069948E-2</v>
      </c>
      <c r="AE313" s="680">
        <f t="shared" si="530"/>
        <v>7.5726166378069948E-2</v>
      </c>
      <c r="AF313" s="419">
        <f t="shared" si="530"/>
        <v>7.0870727680260259E-2</v>
      </c>
      <c r="AG313" s="419">
        <f t="shared" si="530"/>
        <v>7.6533076685612267E-2</v>
      </c>
      <c r="AH313" s="419">
        <f t="shared" si="530"/>
        <v>7.5172388007883617E-2</v>
      </c>
      <c r="AI313" s="419">
        <f t="shared" si="530"/>
        <v>7.7029459159684954E-2</v>
      </c>
      <c r="AJ313" s="680">
        <f t="shared" si="530"/>
        <v>7.7029459159684954E-2</v>
      </c>
      <c r="AK313" s="419">
        <f t="shared" si="531"/>
        <v>7.5765403193070124E-2</v>
      </c>
      <c r="AL313" s="419">
        <f t="shared" si="532"/>
        <v>7.107975835644309E-2</v>
      </c>
      <c r="AM313" s="419">
        <f t="shared" si="533"/>
        <v>7.029401660858503E-2</v>
      </c>
      <c r="AN313" s="419">
        <f t="shared" si="534"/>
        <v>6.8405364164086935E-2</v>
      </c>
      <c r="AO313" s="680">
        <f t="shared" si="534"/>
        <v>6.8405364164086935E-2</v>
      </c>
      <c r="AP313" s="422">
        <f t="shared" si="535"/>
        <v>6.4335892984717535E-2</v>
      </c>
      <c r="AQ313" s="422">
        <f t="shared" si="535"/>
        <v>5.3014936517286948E-2</v>
      </c>
      <c r="AR313" s="262"/>
      <c r="AS313" s="765" t="str">
        <f t="shared" si="513"/>
        <v>Franchised % growth, y/y</v>
      </c>
      <c r="AT313" s="239">
        <f t="shared" si="514"/>
        <v>0</v>
      </c>
      <c r="AU313" s="239">
        <f t="shared" si="514"/>
        <v>3.6642762158054731E-2</v>
      </c>
      <c r="AV313" s="239">
        <f t="shared" si="515"/>
        <v>3.2085598246253122E-2</v>
      </c>
      <c r="AW313" s="239">
        <f t="shared" si="516"/>
        <v>3.5697956755845084E-2</v>
      </c>
      <c r="AX313" s="239">
        <f t="shared" si="517"/>
        <v>6.22275748861012E-2</v>
      </c>
      <c r="AY313" s="239">
        <f t="shared" si="518"/>
        <v>7.536918979987095E-2</v>
      </c>
      <c r="AZ313" s="239">
        <f t="shared" si="519"/>
        <v>7.5726166378069948E-2</v>
      </c>
      <c r="BA313" s="239">
        <f t="shared" si="520"/>
        <v>7.7029459159684954E-2</v>
      </c>
      <c r="BB313" s="239">
        <f t="shared" si="521"/>
        <v>6.8405364164086935E-2</v>
      </c>
      <c r="BC313" s="239">
        <f t="shared" si="522"/>
        <v>6.4335892984717535E-2</v>
      </c>
      <c r="BD313" s="706">
        <f t="shared" si="523"/>
        <v>5.3014936517286948E-2</v>
      </c>
      <c r="BF313" s="900"/>
      <c r="BM313" s="902"/>
      <c r="BN313" s="902"/>
      <c r="BO313" s="902"/>
      <c r="BP313" s="902"/>
      <c r="BQ313" s="902"/>
      <c r="BR313" s="902"/>
      <c r="BS313" s="902"/>
    </row>
    <row r="314" spans="1:71" ht="12.75" customHeight="1">
      <c r="A314" s="310" t="s">
        <v>1155</v>
      </c>
      <c r="B314" s="143"/>
      <c r="C314" s="143"/>
      <c r="D314" s="143"/>
      <c r="E314" s="143"/>
      <c r="F314" s="143">
        <f>F311/E311-1</f>
        <v>5.2374296525221853E-2</v>
      </c>
      <c r="G314" s="239"/>
      <c r="H314" s="239"/>
      <c r="I314" s="239"/>
      <c r="J314" s="239"/>
      <c r="K314" s="422">
        <f t="shared" si="527"/>
        <v>3.4523603014485538E-2</v>
      </c>
      <c r="L314" s="419">
        <f t="shared" si="527"/>
        <v>3.6732576398536221E-2</v>
      </c>
      <c r="M314" s="419">
        <f t="shared" si="527"/>
        <v>4.0176107830693697E-2</v>
      </c>
      <c r="N314" s="419">
        <f t="shared" si="527"/>
        <v>4.5553855863024628E-2</v>
      </c>
      <c r="O314" s="419">
        <f t="shared" si="527"/>
        <v>4.4961670963086897E-2</v>
      </c>
      <c r="P314" s="422">
        <f t="shared" si="527"/>
        <v>4.4961670963086897E-2</v>
      </c>
      <c r="Q314" s="419">
        <f t="shared" si="527"/>
        <v>5.0241636748936225E-2</v>
      </c>
      <c r="R314" s="419">
        <f t="shared" si="527"/>
        <v>4.9705803846019858E-2</v>
      </c>
      <c r="S314" s="419">
        <f t="shared" si="527"/>
        <v>5.9361135030959078E-2</v>
      </c>
      <c r="T314" s="419">
        <f t="shared" si="527"/>
        <v>6.3453060165975073E-2</v>
      </c>
      <c r="U314" s="422">
        <f t="shared" si="527"/>
        <v>6.3453060165975073E-2</v>
      </c>
      <c r="V314" s="419">
        <f t="shared" si="528"/>
        <v>5.5523933474247E-2</v>
      </c>
      <c r="W314" s="419">
        <f t="shared" si="528"/>
        <v>5.9925767985469447E-2</v>
      </c>
      <c r="X314" s="419">
        <f t="shared" si="528"/>
        <v>6.0764926470815883E-2</v>
      </c>
      <c r="Y314" s="419">
        <f t="shared" si="528"/>
        <v>6.5432825083675317E-2</v>
      </c>
      <c r="Z314" s="422">
        <f t="shared" si="528"/>
        <v>6.5432825083675317E-2</v>
      </c>
      <c r="AA314" s="419">
        <f t="shared" si="529"/>
        <v>7.0062362819217405E-2</v>
      </c>
      <c r="AB314" s="419">
        <f t="shared" si="529"/>
        <v>6.9704302837762855E-2</v>
      </c>
      <c r="AC314" s="419">
        <f t="shared" si="529"/>
        <v>6.6972991277338689E-2</v>
      </c>
      <c r="AD314" s="419">
        <f t="shared" si="530"/>
        <v>6.7724404503897384E-2</v>
      </c>
      <c r="AE314" s="680">
        <f t="shared" si="530"/>
        <v>6.7724404503897384E-2</v>
      </c>
      <c r="AF314" s="419">
        <f t="shared" si="530"/>
        <v>0.1173121363717442</v>
      </c>
      <c r="AG314" s="419">
        <f t="shared" si="530"/>
        <v>0.1191622438603086</v>
      </c>
      <c r="AH314" s="419">
        <f t="shared" si="530"/>
        <v>0.11558476380171712</v>
      </c>
      <c r="AI314" s="419">
        <f t="shared" si="530"/>
        <v>0.11726986619434321</v>
      </c>
      <c r="AJ314" s="680">
        <f t="shared" si="530"/>
        <v>0.11726986619434321</v>
      </c>
      <c r="AK314" s="419">
        <f t="shared" si="531"/>
        <v>6.9134731432110019E-2</v>
      </c>
      <c r="AL314" s="419">
        <f t="shared" si="532"/>
        <v>6.7220138327361179E-2</v>
      </c>
      <c r="AM314" s="419">
        <f t="shared" si="533"/>
        <v>6.8741305216863946E-2</v>
      </c>
      <c r="AN314" s="419">
        <f t="shared" si="534"/>
        <v>6.4654770480185642E-2</v>
      </c>
      <c r="AO314" s="680">
        <f t="shared" si="534"/>
        <v>6.4654770480185642E-2</v>
      </c>
      <c r="AP314" s="422">
        <f t="shared" si="535"/>
        <v>5.9370003464920051E-2</v>
      </c>
      <c r="AQ314" s="422">
        <f t="shared" si="535"/>
        <v>4.6910343451669556E-2</v>
      </c>
      <c r="AR314" s="330"/>
      <c r="AS314" s="765" t="str">
        <f t="shared" si="513"/>
        <v>Total % growth, y/y</v>
      </c>
      <c r="AT314" s="239">
        <f t="shared" si="514"/>
        <v>0</v>
      </c>
      <c r="AU314" s="239">
        <f t="shared" si="514"/>
        <v>5.2374296525221853E-2</v>
      </c>
      <c r="AV314" s="239">
        <f t="shared" si="515"/>
        <v>3.4523603014485538E-2</v>
      </c>
      <c r="AW314" s="239">
        <f t="shared" si="516"/>
        <v>4.4961670963086897E-2</v>
      </c>
      <c r="AX314" s="239">
        <f t="shared" si="517"/>
        <v>6.3453060165975073E-2</v>
      </c>
      <c r="AY314" s="239">
        <f t="shared" si="518"/>
        <v>6.5432825083675317E-2</v>
      </c>
      <c r="AZ314" s="239">
        <f t="shared" si="519"/>
        <v>6.7724404503897384E-2</v>
      </c>
      <c r="BA314" s="239">
        <f t="shared" si="520"/>
        <v>0.11726986619434321</v>
      </c>
      <c r="BB314" s="239">
        <f t="shared" si="521"/>
        <v>6.4654770480185642E-2</v>
      </c>
      <c r="BC314" s="239">
        <f t="shared" si="522"/>
        <v>5.9370003464920051E-2</v>
      </c>
      <c r="BD314" s="706">
        <f t="shared" si="523"/>
        <v>4.6910343451669556E-2</v>
      </c>
      <c r="BF314" s="900"/>
      <c r="BM314" s="902"/>
      <c r="BN314" s="902"/>
      <c r="BO314" s="902"/>
      <c r="BP314" s="902"/>
      <c r="BQ314" s="902"/>
      <c r="BR314" s="902"/>
      <c r="BS314" s="902"/>
    </row>
    <row r="315" spans="1:71" ht="12.75" customHeight="1">
      <c r="A315" s="310"/>
      <c r="B315" s="352"/>
      <c r="C315" s="352"/>
      <c r="D315" s="352"/>
      <c r="E315" s="352"/>
      <c r="F315" s="352"/>
      <c r="G315" s="330"/>
      <c r="H315" s="330"/>
      <c r="I315" s="330"/>
      <c r="J315" s="330"/>
      <c r="K315" s="352">
        <f>+AVERAGE(G311:J311)</f>
        <v>581955</v>
      </c>
      <c r="L315" s="330"/>
      <c r="M315" s="330"/>
      <c r="N315" s="330"/>
      <c r="O315" s="330"/>
      <c r="P315" s="352"/>
      <c r="Q315" s="330"/>
      <c r="R315" s="330"/>
      <c r="S315" s="330"/>
      <c r="T315" s="330"/>
      <c r="U315" s="352"/>
      <c r="V315" s="330"/>
      <c r="W315" s="330"/>
      <c r="X315" s="330"/>
      <c r="Y315" s="330"/>
      <c r="Z315" s="352"/>
      <c r="AA315" s="330"/>
      <c r="AB315" s="330"/>
      <c r="AC315" s="330"/>
      <c r="AD315" s="330"/>
      <c r="AE315" s="352"/>
      <c r="AF315" s="330"/>
      <c r="AG315" s="330"/>
      <c r="AH315" s="330"/>
      <c r="AI315" s="330"/>
      <c r="AJ315" s="352"/>
      <c r="AK315" s="330"/>
      <c r="AL315" s="330"/>
      <c r="AM315" s="330"/>
      <c r="AN315" s="330"/>
      <c r="AO315" s="352"/>
      <c r="AP315" s="352"/>
      <c r="AQ315" s="352"/>
      <c r="AR315" s="330"/>
      <c r="AS315" s="765"/>
      <c r="AT315" s="330"/>
      <c r="AU315" s="330"/>
      <c r="AV315" s="330"/>
      <c r="AW315" s="330"/>
      <c r="AX315" s="330"/>
      <c r="AY315" s="330"/>
      <c r="AZ315" s="330"/>
      <c r="BA315" s="330"/>
      <c r="BB315" s="330"/>
      <c r="BC315" s="330"/>
      <c r="BD315" s="882"/>
      <c r="BF315" s="900"/>
      <c r="BM315" s="902"/>
      <c r="BN315" s="902"/>
      <c r="BO315" s="902"/>
      <c r="BP315" s="902"/>
      <c r="BQ315" s="902"/>
      <c r="BR315" s="902"/>
      <c r="BS315" s="902"/>
    </row>
    <row r="316" spans="1:71" ht="12.75" customHeight="1">
      <c r="A316" s="1354" t="s">
        <v>2117</v>
      </c>
      <c r="B316" s="352"/>
      <c r="C316" s="352"/>
      <c r="D316" s="352"/>
      <c r="E316" s="352"/>
      <c r="F316" s="352"/>
      <c r="G316" s="330"/>
      <c r="H316" s="330"/>
      <c r="I316" s="330"/>
      <c r="J316" s="330"/>
      <c r="K316" s="352"/>
      <c r="L316" s="330"/>
      <c r="M316" s="330"/>
      <c r="N316" s="330"/>
      <c r="O316" s="330"/>
      <c r="P316" s="362"/>
      <c r="Q316" s="330"/>
      <c r="R316" s="330"/>
      <c r="S316" s="330"/>
      <c r="T316" s="330"/>
      <c r="U316" s="362"/>
      <c r="V316" s="330"/>
      <c r="W316" s="330"/>
      <c r="X316" s="330"/>
      <c r="Y316" s="330"/>
      <c r="Z316" s="362"/>
      <c r="AA316" s="330"/>
      <c r="AB316" s="330"/>
      <c r="AC316" s="330"/>
      <c r="AD316" s="330"/>
      <c r="AE316" s="362"/>
      <c r="AF316" s="330"/>
      <c r="AG316" s="330"/>
      <c r="AH316" s="330"/>
      <c r="AI316" s="330"/>
      <c r="AJ316" s="362"/>
      <c r="AK316" s="330"/>
      <c r="AL316" s="330"/>
      <c r="AM316" s="330"/>
      <c r="AN316" s="330"/>
      <c r="AO316" s="352"/>
      <c r="AP316" s="352"/>
      <c r="AQ316" s="352"/>
      <c r="AR316" s="330"/>
      <c r="AS316" s="1097" t="str">
        <f t="shared" ref="AS316:AS323" si="536">+A316</f>
        <v>System-wide RevPAR (CC)</v>
      </c>
      <c r="AT316" s="133">
        <f t="shared" ref="AT316:AU322" si="537">+E316</f>
        <v>0</v>
      </c>
      <c r="AU316" s="133">
        <f t="shared" si="537"/>
        <v>0</v>
      </c>
      <c r="AV316" s="133">
        <f t="shared" ref="AV316:AV322" si="538">+K316</f>
        <v>0</v>
      </c>
      <c r="AW316" s="133">
        <f t="shared" ref="AW316:AW322" si="539">+P316</f>
        <v>0</v>
      </c>
      <c r="AX316" s="133">
        <f t="shared" ref="AX316:AX322" si="540">+U316</f>
        <v>0</v>
      </c>
      <c r="AY316" s="133">
        <f t="shared" ref="AY316:AY322" si="541">+Z316</f>
        <v>0</v>
      </c>
      <c r="AZ316" s="133">
        <f t="shared" ref="AZ316:AZ322" si="542">+AE316</f>
        <v>0</v>
      </c>
      <c r="BA316" s="133">
        <f t="shared" ref="BA316:BA322" si="543">+AJ316</f>
        <v>0</v>
      </c>
      <c r="BB316" s="133">
        <f t="shared" ref="BB316:BB322" si="544">+AO316</f>
        <v>0</v>
      </c>
      <c r="BC316" s="133">
        <f t="shared" ref="BC316:BC322" si="545">+AP316</f>
        <v>0</v>
      </c>
      <c r="BD316" s="1084">
        <f t="shared" ref="BD316:BD322" si="546">+AQ316</f>
        <v>0</v>
      </c>
      <c r="BF316" s="900"/>
      <c r="BM316" s="902"/>
      <c r="BN316" s="902"/>
      <c r="BO316" s="902"/>
      <c r="BP316" s="902"/>
      <c r="BQ316" s="902"/>
      <c r="BR316" s="902"/>
      <c r="BS316" s="902"/>
    </row>
    <row r="317" spans="1:71" ht="12.75" customHeight="1">
      <c r="A317" s="646" t="s">
        <v>2171</v>
      </c>
      <c r="B317" s="352"/>
      <c r="C317" s="352"/>
      <c r="D317" s="352"/>
      <c r="E317" s="1081">
        <f>RevPAR!B10</f>
        <v>5.2999999999999999E-2</v>
      </c>
      <c r="F317" s="1081">
        <f>RevPAR!C10</f>
        <v>6.7000000000000004E-2</v>
      </c>
      <c r="G317" s="1082">
        <f>RevPAR!D10</f>
        <v>7.0000000000000062E-2</v>
      </c>
      <c r="H317" s="133">
        <f>RevPAR!E10</f>
        <v>6.899999999999995E-2</v>
      </c>
      <c r="I317" s="133">
        <f>RevPAR!F10</f>
        <v>4.8000000000000043E-2</v>
      </c>
      <c r="J317" s="1084">
        <f>RevPAR!G10</f>
        <v>5.8999999999999941E-2</v>
      </c>
      <c r="K317" s="1081">
        <f>RevPAR!H10</f>
        <v>6.0999999999999999E-2</v>
      </c>
      <c r="L317" s="1082">
        <f>RevPAR!I10</f>
        <v>5.5E-2</v>
      </c>
      <c r="M317" s="133">
        <f>RevPAR!J10</f>
        <v>5.1999999999999998E-2</v>
      </c>
      <c r="N317" s="133">
        <f>RevPAR!K10</f>
        <v>5.1999999999999998E-2</v>
      </c>
      <c r="O317" s="1084">
        <f>RevPAR!L10</f>
        <v>4.7E-2</v>
      </c>
      <c r="P317" s="1081">
        <f>RevPAR!M10</f>
        <v>5.1999999999999998E-2</v>
      </c>
      <c r="Q317" s="1082">
        <f>RevPAR!N10</f>
        <v>6.7000000000000004E-2</v>
      </c>
      <c r="R317" s="133">
        <f>RevPAR!O10</f>
        <v>7.2999999999999995E-2</v>
      </c>
      <c r="S317" s="133">
        <f>RevPAR!P10</f>
        <v>8.7999999999999995E-2</v>
      </c>
      <c r="T317" s="1084">
        <f>RevPAR!Q10</f>
        <v>6.8000000000000005E-2</v>
      </c>
      <c r="U317" s="1081">
        <f>RevPAR!R10</f>
        <v>7.3999999999999996E-2</v>
      </c>
      <c r="V317" s="133">
        <f>RevPAR!S10</f>
        <v>6.5000000000000002E-2</v>
      </c>
      <c r="W317" s="133">
        <f>RevPAR!T10</f>
        <v>0.05</v>
      </c>
      <c r="X317" s="133">
        <f>RevPAR!U10</f>
        <v>5.0999999999999997E-2</v>
      </c>
      <c r="Y317" s="2747">
        <f>RevPAR!V10</f>
        <v>3.7999999999999999E-2</v>
      </c>
      <c r="Z317" s="2581">
        <f>RevPAR!W10</f>
        <v>5.1999999999999998E-2</v>
      </c>
      <c r="AA317" s="133">
        <f>RevPAR!X10</f>
        <v>1.7999999999999999E-2</v>
      </c>
      <c r="AB317" s="133">
        <f>RevPAR!Y10</f>
        <v>2.9000000000000001E-2</v>
      </c>
      <c r="AC317" s="133">
        <f>RevPAR!Z10</f>
        <v>1.4999999999999999E-2</v>
      </c>
      <c r="AD317" s="133">
        <f>RevPAR!AA10</f>
        <v>8.9999999999999993E-3</v>
      </c>
      <c r="AE317" s="2581">
        <f>RevPAR!AB10</f>
        <v>1.9E-2</v>
      </c>
      <c r="AF317" s="133">
        <f>RevPAR!AC10</f>
        <v>2.5000000000000001E-2</v>
      </c>
      <c r="AG317" s="133">
        <f>RevPAR!AD10</f>
        <v>5.0000000000000001E-3</v>
      </c>
      <c r="AH317" s="133">
        <f>RevPAR!AE10</f>
        <v>-1E-3</v>
      </c>
      <c r="AI317" s="133">
        <f>RevPAR!AF10</f>
        <v>3.2000000000000001E-2</v>
      </c>
      <c r="AJ317" s="2581">
        <f>RevPAR!AG10</f>
        <v>1.4999999999999999E-2</v>
      </c>
      <c r="AK317" s="133">
        <f>RevPAR!AH10</f>
        <v>1.2500000000000001E-2</v>
      </c>
      <c r="AL317" s="133">
        <f>RevPAR!AI10</f>
        <v>0.02</v>
      </c>
      <c r="AM317" s="133">
        <f>RevPAR!AJ10</f>
        <v>0.02</v>
      </c>
      <c r="AN317" s="133">
        <f>RevPAR!AK10</f>
        <v>1.4999999999999999E-2</v>
      </c>
      <c r="AO317" s="2581">
        <f>RevPAR!AL10</f>
        <v>1.6875000000000001E-2</v>
      </c>
      <c r="AP317" s="1081">
        <f>RevPAR!AM10</f>
        <v>1.2999999999999999E-2</v>
      </c>
      <c r="AQ317" s="1081">
        <f>RevPAR!AN10</f>
        <v>-0.03</v>
      </c>
      <c r="AR317" s="330"/>
      <c r="AS317" s="1097" t="str">
        <f t="shared" si="536"/>
        <v>US</v>
      </c>
      <c r="AT317" s="133">
        <f t="shared" si="537"/>
        <v>5.2999999999999999E-2</v>
      </c>
      <c r="AU317" s="133">
        <f t="shared" si="537"/>
        <v>6.7000000000000004E-2</v>
      </c>
      <c r="AV317" s="133">
        <f t="shared" si="538"/>
        <v>6.0999999999999999E-2</v>
      </c>
      <c r="AW317" s="133">
        <f t="shared" si="539"/>
        <v>5.1999999999999998E-2</v>
      </c>
      <c r="AX317" s="133">
        <f t="shared" si="540"/>
        <v>7.3999999999999996E-2</v>
      </c>
      <c r="AY317" s="133">
        <f t="shared" si="541"/>
        <v>5.1999999999999998E-2</v>
      </c>
      <c r="AZ317" s="133">
        <f t="shared" si="542"/>
        <v>1.9E-2</v>
      </c>
      <c r="BA317" s="133">
        <f t="shared" si="543"/>
        <v>1.4999999999999999E-2</v>
      </c>
      <c r="BB317" s="133">
        <f t="shared" si="544"/>
        <v>1.6875000000000001E-2</v>
      </c>
      <c r="BC317" s="133">
        <f t="shared" si="545"/>
        <v>1.2999999999999999E-2</v>
      </c>
      <c r="BD317" s="1084">
        <f t="shared" si="546"/>
        <v>-0.03</v>
      </c>
      <c r="BF317" s="900"/>
      <c r="BM317" s="902"/>
      <c r="BN317" s="902"/>
      <c r="BO317" s="902"/>
      <c r="BP317" s="902"/>
      <c r="BQ317" s="902"/>
      <c r="BR317" s="902"/>
      <c r="BS317" s="902"/>
    </row>
    <row r="318" spans="1:71" ht="12.75" customHeight="1">
      <c r="A318" s="646" t="s">
        <v>424</v>
      </c>
      <c r="B318" s="352"/>
      <c r="C318" s="352"/>
      <c r="D318" s="352"/>
      <c r="E318" s="1081">
        <f>RevPAR!B11</f>
        <v>7.0000000000000062E-2</v>
      </c>
      <c r="F318" s="1081">
        <f>RevPAR!C11</f>
        <v>7.9160496294379934E-2</v>
      </c>
      <c r="G318" s="1082">
        <f>RevPAR!D11</f>
        <v>4.4000000000000039E-2</v>
      </c>
      <c r="H318" s="133">
        <f>RevPAR!E11</f>
        <v>5.2999999999999936E-2</v>
      </c>
      <c r="I318" s="133">
        <f>RevPAR!F11</f>
        <v>4.2999999999999927E-2</v>
      </c>
      <c r="J318" s="1084">
        <f>RevPAR!G11</f>
        <v>3.499999999999992E-2</v>
      </c>
      <c r="K318" s="1081">
        <f>RevPAR!H11</f>
        <v>1.4066586398332914E-2</v>
      </c>
      <c r="L318" s="1082">
        <f>RevPAR!I11</f>
        <v>-2.8580886913448511E-3</v>
      </c>
      <c r="M318" s="133">
        <f>RevPAR!J11</f>
        <v>1.026781457508541E-2</v>
      </c>
      <c r="N318" s="133">
        <f>RevPAR!K11</f>
        <v>2.3840575829098265E-2</v>
      </c>
      <c r="O318" s="1084">
        <f>RevPAR!L11</f>
        <v>0.04</v>
      </c>
      <c r="P318" s="1081">
        <f>RevPAR!M11</f>
        <v>1.7678841071379514E-2</v>
      </c>
      <c r="Q318" s="1082">
        <f>RevPAR!N11</f>
        <v>0.05</v>
      </c>
      <c r="R318" s="133">
        <f>RevPAR!O11</f>
        <v>0.06</v>
      </c>
      <c r="S318" s="133">
        <f>RevPAR!P11</f>
        <v>8.3000000000000004E-2</v>
      </c>
      <c r="T318" s="1084">
        <f>RevPAR!Q11</f>
        <v>6.5000000000000002E-2</v>
      </c>
      <c r="U318" s="1081">
        <f>RevPAR!R11</f>
        <v>6.4951401364892858E-2</v>
      </c>
      <c r="V318" s="133">
        <f>RevPAR!S11</f>
        <v>6.6000000000000003E-2</v>
      </c>
      <c r="W318" s="133">
        <f>RevPAR!T11</f>
        <v>5.0999999999999997E-2</v>
      </c>
      <c r="X318" s="133">
        <f>RevPAR!U11</f>
        <v>5.1999999999999998E-2</v>
      </c>
      <c r="Y318" s="2747">
        <f>RevPAR!V11</f>
        <v>3.7999999999999999E-2</v>
      </c>
      <c r="Z318" s="2581">
        <f>RevPAR!W11</f>
        <v>5.1694213664527311E-2</v>
      </c>
      <c r="AA318" s="133">
        <f>RevPAR!X11</f>
        <v>1.9E-2</v>
      </c>
      <c r="AB318" s="133">
        <f>RevPAR!Y11</f>
        <v>2.8000000000000001E-2</v>
      </c>
      <c r="AC318" s="133">
        <f>RevPAR!Z11</f>
        <v>1.7000000000000001E-2</v>
      </c>
      <c r="AD318" s="133">
        <f>RevPAR!AA11</f>
        <v>5.0000000000000001E-3</v>
      </c>
      <c r="AE318" s="2581">
        <f>RevPAR!AB11</f>
        <v>1.7310952464866247E-2</v>
      </c>
      <c r="AF318" s="133">
        <f>RevPAR!AC11</f>
        <v>2.8000000000000001E-2</v>
      </c>
      <c r="AG318" s="133">
        <f>RevPAR!AD11</f>
        <v>6.5000000000000002E-2</v>
      </c>
      <c r="AH318" s="133">
        <f>RevPAR!AE11</f>
        <v>3.4000000000000002E-2</v>
      </c>
      <c r="AI318" s="133">
        <f>RevPAR!AF11</f>
        <v>6.2E-2</v>
      </c>
      <c r="AJ318" s="2581">
        <f>RevPAR!AG11</f>
        <v>5.2999999999999999E-2</v>
      </c>
      <c r="AK318" s="133">
        <f>RevPAR!AH11</f>
        <v>0.03</v>
      </c>
      <c r="AL318" s="133">
        <f>RevPAR!AI11</f>
        <v>0.03</v>
      </c>
      <c r="AM318" s="133">
        <f>RevPAR!AJ11</f>
        <v>0.03</v>
      </c>
      <c r="AN318" s="133">
        <f>RevPAR!AK11</f>
        <v>0.03</v>
      </c>
      <c r="AO318" s="2581">
        <f>RevPAR!AL11</f>
        <v>3.0000000000000027E-2</v>
      </c>
      <c r="AP318" s="1081">
        <f>RevPAR!AM11</f>
        <v>1.4999999999999999E-2</v>
      </c>
      <c r="AQ318" s="1081">
        <f>RevPAR!AN11</f>
        <v>-0.03</v>
      </c>
      <c r="AR318" s="330"/>
      <c r="AS318" s="1097" t="str">
        <f t="shared" si="536"/>
        <v>Americas (excluding US)</v>
      </c>
      <c r="AT318" s="133">
        <f t="shared" si="537"/>
        <v>7.0000000000000062E-2</v>
      </c>
      <c r="AU318" s="133">
        <f t="shared" si="537"/>
        <v>7.9160496294379934E-2</v>
      </c>
      <c r="AV318" s="133">
        <f t="shared" si="538"/>
        <v>1.4066586398332914E-2</v>
      </c>
      <c r="AW318" s="133">
        <f t="shared" si="539"/>
        <v>1.7678841071379514E-2</v>
      </c>
      <c r="AX318" s="133">
        <f t="shared" si="540"/>
        <v>6.4951401364892858E-2</v>
      </c>
      <c r="AY318" s="133">
        <f t="shared" si="541"/>
        <v>5.1694213664527311E-2</v>
      </c>
      <c r="AZ318" s="133">
        <f t="shared" si="542"/>
        <v>1.7310952464866247E-2</v>
      </c>
      <c r="BA318" s="133">
        <f t="shared" si="543"/>
        <v>5.2999999999999999E-2</v>
      </c>
      <c r="BB318" s="133">
        <f t="shared" si="544"/>
        <v>3.0000000000000027E-2</v>
      </c>
      <c r="BC318" s="133">
        <f t="shared" si="545"/>
        <v>1.4999999999999999E-2</v>
      </c>
      <c r="BD318" s="1084">
        <f t="shared" si="546"/>
        <v>-0.03</v>
      </c>
      <c r="BF318" s="900"/>
      <c r="BM318" s="902"/>
      <c r="BN318" s="902"/>
      <c r="BO318" s="902"/>
      <c r="BP318" s="902"/>
      <c r="BQ318" s="902"/>
      <c r="BR318" s="902"/>
      <c r="BS318" s="902"/>
    </row>
    <row r="319" spans="1:71" ht="12.75" customHeight="1">
      <c r="A319" s="646" t="s">
        <v>2218</v>
      </c>
      <c r="B319" s="352"/>
      <c r="C319" s="352"/>
      <c r="D319" s="352"/>
      <c r="E319" s="1081">
        <f>RevPAR!B12</f>
        <v>7.6000000000000068E-2</v>
      </c>
      <c r="F319" s="1081">
        <f>RevPAR!C12</f>
        <v>9.0906817053286959E-2</v>
      </c>
      <c r="G319" s="1082">
        <f>RevPAR!D12</f>
        <v>-4.0000000000001146E-3</v>
      </c>
      <c r="H319" s="133">
        <f>RevPAR!E12</f>
        <v>1.2000000000000011E-2</v>
      </c>
      <c r="I319" s="133">
        <f>RevPAR!F12</f>
        <v>5.0000000000000044E-2</v>
      </c>
      <c r="J319" s="1084">
        <f>RevPAR!G12</f>
        <v>3.6999999999999922E-2</v>
      </c>
      <c r="K319" s="1081">
        <f>RevPAR!H12</f>
        <v>-7.9296957472282492E-2</v>
      </c>
      <c r="L319" s="1082">
        <f>RevPAR!I12</f>
        <v>1.2691977758956918E-2</v>
      </c>
      <c r="M319" s="133">
        <f>RevPAR!J12</f>
        <v>3.7735703575343837E-2</v>
      </c>
      <c r="N319" s="133">
        <f>RevPAR!K12</f>
        <v>2.0227161903575652E-2</v>
      </c>
      <c r="O319" s="1084">
        <f>RevPAR!L12</f>
        <v>4.6000000000000041E-2</v>
      </c>
      <c r="P319" s="1081">
        <f>RevPAR!M12</f>
        <v>3.8195523159392897E-2</v>
      </c>
      <c r="Q319" s="1082">
        <f>RevPAR!N12</f>
        <v>6.4999999999999947E-2</v>
      </c>
      <c r="R319" s="133">
        <f>RevPAR!O12</f>
        <v>4.4000000000000039E-2</v>
      </c>
      <c r="S319" s="133">
        <f>RevPAR!P12</f>
        <v>6.6000000000000059E-2</v>
      </c>
      <c r="T319" s="1084">
        <f>RevPAR!Q12</f>
        <v>6.899999999999995E-2</v>
      </c>
      <c r="U319" s="1081">
        <f>RevPAR!R12</f>
        <v>6.0999999999999943E-2</v>
      </c>
      <c r="V319" s="133">
        <f>RevPAR!S12</f>
        <v>5.4999999999999938E-2</v>
      </c>
      <c r="W319" s="133">
        <f>RevPAR!T12</f>
        <v>4.6000000000000041E-2</v>
      </c>
      <c r="X319" s="133">
        <f>RevPAR!U12</f>
        <v>8.8000000000000078E-2</v>
      </c>
      <c r="Y319" s="2747">
        <f>RevPAR!V12</f>
        <v>5.0000000000000044E-2</v>
      </c>
      <c r="Z319" s="2581">
        <f>RevPAR!W12</f>
        <v>6.0999999999999943E-2</v>
      </c>
      <c r="AA319" s="133">
        <f>RevPAR!X12</f>
        <v>2.8999999999999915E-2</v>
      </c>
      <c r="AB319" s="133">
        <f>RevPAR!Y12</f>
        <v>1.2999999999999901E-2</v>
      </c>
      <c r="AC319" s="133">
        <f>RevPAR!Z12</f>
        <v>-7.0000000000000062E-3</v>
      </c>
      <c r="AD319" s="133">
        <f>RevPAR!AA12</f>
        <v>2.1999999999999999E-2</v>
      </c>
      <c r="AE319" s="2581">
        <f>RevPAR!AB12</f>
        <v>1.0999999999999999E-2</v>
      </c>
      <c r="AF319" s="133">
        <f>RevPAR!AC12</f>
        <v>8.4000000000000005E-2</v>
      </c>
      <c r="AG319" s="133">
        <f>RevPAR!AD12</f>
        <v>6.5000000000000002E-2</v>
      </c>
      <c r="AH319" s="133">
        <f>RevPAR!AE12</f>
        <v>0.08</v>
      </c>
      <c r="AI319" s="133">
        <f>RevPAR!AF12</f>
        <v>3.9E-2</v>
      </c>
      <c r="AJ319" s="2581">
        <f>RevPAR!AG12</f>
        <v>6.6000000000000003E-2</v>
      </c>
      <c r="AK319" s="133">
        <f>RevPAR!AH12</f>
        <v>0.04</v>
      </c>
      <c r="AL319" s="133">
        <f>RevPAR!AI12</f>
        <v>0.04</v>
      </c>
      <c r="AM319" s="133">
        <f>RevPAR!AJ12</f>
        <v>0.04</v>
      </c>
      <c r="AN319" s="133">
        <f>RevPAR!AK12</f>
        <v>0.04</v>
      </c>
      <c r="AO319" s="2581">
        <f>RevPAR!AL12</f>
        <v>4.0000000000000258E-2</v>
      </c>
      <c r="AP319" s="1081">
        <f>RevPAR!AM12</f>
        <v>0.02</v>
      </c>
      <c r="AQ319" s="1081">
        <f>RevPAR!AN12</f>
        <v>-0.03</v>
      </c>
      <c r="AR319" s="330"/>
      <c r="AS319" s="1097" t="str">
        <f t="shared" si="536"/>
        <v>Europe</v>
      </c>
      <c r="AT319" s="133">
        <f t="shared" si="537"/>
        <v>7.6000000000000068E-2</v>
      </c>
      <c r="AU319" s="133">
        <f t="shared" si="537"/>
        <v>9.0906817053286959E-2</v>
      </c>
      <c r="AV319" s="133">
        <f t="shared" si="538"/>
        <v>-7.9296957472282492E-2</v>
      </c>
      <c r="AW319" s="133">
        <f t="shared" si="539"/>
        <v>3.8195523159392897E-2</v>
      </c>
      <c r="AX319" s="133">
        <f t="shared" si="540"/>
        <v>6.0999999999999943E-2</v>
      </c>
      <c r="AY319" s="133">
        <f t="shared" si="541"/>
        <v>6.0999999999999943E-2</v>
      </c>
      <c r="AZ319" s="133">
        <f t="shared" si="542"/>
        <v>1.0999999999999999E-2</v>
      </c>
      <c r="BA319" s="133">
        <f t="shared" si="543"/>
        <v>6.6000000000000003E-2</v>
      </c>
      <c r="BB319" s="133">
        <f t="shared" si="544"/>
        <v>4.0000000000000258E-2</v>
      </c>
      <c r="BC319" s="133">
        <f t="shared" si="545"/>
        <v>0.02</v>
      </c>
      <c r="BD319" s="1084">
        <f t="shared" si="546"/>
        <v>-0.03</v>
      </c>
      <c r="BF319" s="900"/>
      <c r="BM319" s="902"/>
      <c r="BN319" s="902"/>
      <c r="BO319" s="902"/>
      <c r="BP319" s="902"/>
      <c r="BQ319" s="902"/>
      <c r="BR319" s="902"/>
      <c r="BS319" s="902"/>
    </row>
    <row r="320" spans="1:71" ht="12.75" customHeight="1">
      <c r="A320" s="646" t="s">
        <v>209</v>
      </c>
      <c r="B320" s="352"/>
      <c r="C320" s="352"/>
      <c r="D320" s="352"/>
      <c r="E320" s="1081">
        <f>RevPAR!B13</f>
        <v>5.8000000000000052E-2</v>
      </c>
      <c r="F320" s="1081">
        <f>RevPAR!C13</f>
        <v>-1.4955882673934551E-2</v>
      </c>
      <c r="G320" s="1082">
        <f>RevPAR!D13</f>
        <v>4.2999999999999927E-2</v>
      </c>
      <c r="H320" s="133">
        <f>RevPAR!E13</f>
        <v>4.2000000000000037E-2</v>
      </c>
      <c r="I320" s="133">
        <f>RevPAR!F13</f>
        <v>2.2999999999999909E-2</v>
      </c>
      <c r="J320" s="1084">
        <f>RevPAR!G13</f>
        <v>7.8999999999999959E-2</v>
      </c>
      <c r="K320" s="1081">
        <f>RevPAR!H13</f>
        <v>-7.386806625897091E-2</v>
      </c>
      <c r="L320" s="1082">
        <f>RevPAR!I13</f>
        <v>6.1946597155315697E-3</v>
      </c>
      <c r="M320" s="133">
        <f>RevPAR!J13</f>
        <v>0.16622502089707059</v>
      </c>
      <c r="N320" s="133">
        <f>RevPAR!K13</f>
        <v>-0.19126784584807943</v>
      </c>
      <c r="O320" s="1084">
        <f>RevPAR!L13</f>
        <v>-3.2000000000000139E-2</v>
      </c>
      <c r="P320" s="1081">
        <f>RevPAR!M13</f>
        <v>-3.7564832034553408E-3</v>
      </c>
      <c r="Q320" s="1082">
        <f>RevPAR!N13</f>
        <v>-6.0000000000000053E-3</v>
      </c>
      <c r="R320" s="133">
        <f>RevPAR!O13</f>
        <v>-3.400000000000003E-2</v>
      </c>
      <c r="S320" s="133">
        <f>RevPAR!P13</f>
        <v>0.15500000000000003</v>
      </c>
      <c r="T320" s="1084">
        <f>RevPAR!Q13</f>
        <v>6.6999999999999948E-2</v>
      </c>
      <c r="U320" s="1081">
        <f>RevPAR!R13</f>
        <v>4.4000000000000039E-2</v>
      </c>
      <c r="V320" s="133">
        <f>RevPAR!S13</f>
        <v>5.4000000000000048E-2</v>
      </c>
      <c r="W320" s="133">
        <f>RevPAR!T13</f>
        <v>2.4999999999999911E-2</v>
      </c>
      <c r="X320" s="133">
        <f>RevPAR!U13</f>
        <v>9.099999999999997E-2</v>
      </c>
      <c r="Y320" s="2747">
        <f>RevPAR!V13</f>
        <v>-8.7999999999999967E-2</v>
      </c>
      <c r="Z320" s="2581">
        <f>RevPAR!W13</f>
        <v>1.6999999999999904E-2</v>
      </c>
      <c r="AA320" s="133">
        <f>RevPAR!X13</f>
        <v>-4.7000000000000042E-2</v>
      </c>
      <c r="AB320" s="133">
        <f>RevPAR!Y13</f>
        <v>8.0999999999999961E-2</v>
      </c>
      <c r="AC320" s="133">
        <f>RevPAR!Z13</f>
        <v>-2.6000000000000023E-2</v>
      </c>
      <c r="AD320" s="133">
        <f>RevPAR!AA13</f>
        <v>-5.7000000000000002E-2</v>
      </c>
      <c r="AE320" s="2581">
        <f>RevPAR!AB13</f>
        <v>-1.4999999999999999E-2</v>
      </c>
      <c r="AF320" s="133">
        <f>RevPAR!AC13</f>
        <v>-2.1000000000000001E-2</v>
      </c>
      <c r="AG320" s="133">
        <f>RevPAR!AD13</f>
        <v>9.6000000000000002E-2</v>
      </c>
      <c r="AH320" s="133">
        <f>RevPAR!AE13</f>
        <v>2E-3</v>
      </c>
      <c r="AI320" s="133">
        <f>RevPAR!AF13</f>
        <v>6.0999999999999999E-2</v>
      </c>
      <c r="AJ320" s="2581">
        <f>RevPAR!AG13</f>
        <v>3.5999999999999997E-2</v>
      </c>
      <c r="AK320" s="133">
        <f>RevPAR!AH13</f>
        <v>2.5000000000000001E-2</v>
      </c>
      <c r="AL320" s="133">
        <f>RevPAR!AI13</f>
        <v>1.4999999999999999E-2</v>
      </c>
      <c r="AM320" s="133">
        <f>RevPAR!AJ13</f>
        <v>4.4999999999999998E-2</v>
      </c>
      <c r="AN320" s="133">
        <f>RevPAR!AK13</f>
        <v>0.02</v>
      </c>
      <c r="AO320" s="2581">
        <f>RevPAR!AL13</f>
        <v>2.5540816099760555E-2</v>
      </c>
      <c r="AP320" s="1081">
        <f>RevPAR!AM13</f>
        <v>1.4999999999999999E-2</v>
      </c>
      <c r="AQ320" s="1081">
        <f>RevPAR!AN13</f>
        <v>-0.03</v>
      </c>
      <c r="AR320" s="330"/>
      <c r="AS320" s="1097" t="str">
        <f t="shared" si="536"/>
        <v>MEA</v>
      </c>
      <c r="AT320" s="133">
        <f t="shared" si="537"/>
        <v>5.8000000000000052E-2</v>
      </c>
      <c r="AU320" s="133">
        <f t="shared" si="537"/>
        <v>-1.4955882673934551E-2</v>
      </c>
      <c r="AV320" s="133">
        <f t="shared" si="538"/>
        <v>-7.386806625897091E-2</v>
      </c>
      <c r="AW320" s="133">
        <f t="shared" si="539"/>
        <v>-3.7564832034553408E-3</v>
      </c>
      <c r="AX320" s="133">
        <f t="shared" si="540"/>
        <v>4.4000000000000039E-2</v>
      </c>
      <c r="AY320" s="133">
        <f t="shared" si="541"/>
        <v>1.6999999999999904E-2</v>
      </c>
      <c r="AZ320" s="133">
        <f t="shared" si="542"/>
        <v>-1.4999999999999999E-2</v>
      </c>
      <c r="BA320" s="133">
        <f t="shared" si="543"/>
        <v>3.5999999999999997E-2</v>
      </c>
      <c r="BB320" s="133">
        <f t="shared" si="544"/>
        <v>2.5540816099760555E-2</v>
      </c>
      <c r="BC320" s="133">
        <f t="shared" si="545"/>
        <v>1.4999999999999999E-2</v>
      </c>
      <c r="BD320" s="1084">
        <f t="shared" si="546"/>
        <v>-0.03</v>
      </c>
      <c r="BF320" s="900"/>
      <c r="BM320" s="902"/>
      <c r="BN320" s="902"/>
      <c r="BO320" s="902"/>
      <c r="BP320" s="902"/>
      <c r="BQ320" s="902"/>
      <c r="BR320" s="902"/>
      <c r="BS320" s="902"/>
    </row>
    <row r="321" spans="1:71" ht="12.75" customHeight="1">
      <c r="A321" s="647" t="s">
        <v>1688</v>
      </c>
      <c r="B321" s="352"/>
      <c r="C321" s="352"/>
      <c r="D321" s="352"/>
      <c r="E321" s="1081">
        <f>RevPAR!B14</f>
        <v>9.2999999999999972E-2</v>
      </c>
      <c r="F321" s="1081">
        <f>RevPAR!C14</f>
        <v>0.10765333655084919</v>
      </c>
      <c r="G321" s="1082">
        <f>RevPAR!D14</f>
        <v>0.1160000000000001</v>
      </c>
      <c r="H321" s="133">
        <f>RevPAR!E14</f>
        <v>0.18599999999999994</v>
      </c>
      <c r="I321" s="133">
        <f>RevPAR!F14</f>
        <v>6.2999999999999945E-2</v>
      </c>
      <c r="J321" s="1084">
        <f>RevPAR!G14</f>
        <v>3.499999999999992E-2</v>
      </c>
      <c r="K321" s="1081">
        <f>RevPAR!H14</f>
        <v>-6.231014919235367E-2</v>
      </c>
      <c r="L321" s="1082">
        <f>RevPAR!I14</f>
        <v>5.206064624357909E-3</v>
      </c>
      <c r="M321" s="133">
        <f>RevPAR!J14</f>
        <v>-4.8651755827657461E-2</v>
      </c>
      <c r="N321" s="133">
        <f>RevPAR!K14</f>
        <v>-7.6025400552350075E-2</v>
      </c>
      <c r="O321" s="1084">
        <f>RevPAR!L14</f>
        <v>8.6000000000000076E-2</v>
      </c>
      <c r="P321" s="1081">
        <f>RevPAR!M14</f>
        <v>-3.6272514619235641E-2</v>
      </c>
      <c r="Q321" s="1082">
        <f>RevPAR!N14</f>
        <v>8.6999999999999966E-2</v>
      </c>
      <c r="R321" s="133">
        <f>RevPAR!O14</f>
        <v>4.8000000000000043E-2</v>
      </c>
      <c r="S321" s="133">
        <f>RevPAR!P14</f>
        <v>3.400000000000003E-2</v>
      </c>
      <c r="T321" s="1084">
        <f>RevPAR!Q14</f>
        <v>2.8999999999999915E-2</v>
      </c>
      <c r="U321" s="1081">
        <f>RevPAR!R14</f>
        <v>4.8999999999999932E-2</v>
      </c>
      <c r="V321" s="133">
        <f>RevPAR!S14</f>
        <v>0.10099999999999998</v>
      </c>
      <c r="W321" s="133">
        <f>RevPAR!T14</f>
        <v>9.4000000000000083E-2</v>
      </c>
      <c r="X321" s="133">
        <f>RevPAR!U14</f>
        <v>0.10200000000000009</v>
      </c>
      <c r="Y321" s="2747">
        <f>RevPAR!V14</f>
        <v>6.6999999999999948E-2</v>
      </c>
      <c r="Z321" s="2581">
        <f>RevPAR!W14</f>
        <v>9.2999999999999972E-2</v>
      </c>
      <c r="AA321" s="133">
        <f>RevPAR!X14</f>
        <v>7.0999999999999952E-2</v>
      </c>
      <c r="AB321" s="133">
        <f>RevPAR!Y14</f>
        <v>3.6000000000000032E-2</v>
      </c>
      <c r="AC321" s="133">
        <f>RevPAR!Z14</f>
        <v>6.0000000000000053E-3</v>
      </c>
      <c r="AD321" s="133">
        <f>RevPAR!AA14</f>
        <v>1.4999999999999999E-2</v>
      </c>
      <c r="AE321" s="2581">
        <f>RevPAR!AB14</f>
        <v>3.5000000000000003E-2</v>
      </c>
      <c r="AF321" s="133">
        <f>RevPAR!AC14</f>
        <v>5.5E-2</v>
      </c>
      <c r="AG321" s="133">
        <f>RevPAR!AD14</f>
        <v>6.9000000000000006E-2</v>
      </c>
      <c r="AH321" s="133">
        <f>RevPAR!AE14</f>
        <v>8.3000000000000004E-2</v>
      </c>
      <c r="AI321" s="133">
        <f>RevPAR!AF14</f>
        <v>7.5999999999999998E-2</v>
      </c>
      <c r="AJ321" s="2581">
        <f>RevPAR!AG14</f>
        <v>7.2999999999999995E-2</v>
      </c>
      <c r="AK321" s="133">
        <f>RevPAR!AH14</f>
        <v>0.06</v>
      </c>
      <c r="AL321" s="133">
        <f>RevPAR!AI14</f>
        <v>0.06</v>
      </c>
      <c r="AM321" s="133">
        <f>RevPAR!AJ14</f>
        <v>0.06</v>
      </c>
      <c r="AN321" s="133">
        <f>RevPAR!AK14</f>
        <v>0.06</v>
      </c>
      <c r="AO321" s="2581">
        <f>RevPAR!AL14</f>
        <v>5.9999999999999831E-2</v>
      </c>
      <c r="AP321" s="1081">
        <f>RevPAR!AM14</f>
        <v>0.04</v>
      </c>
      <c r="AQ321" s="1081">
        <f>RevPAR!AN14</f>
        <v>-0.02</v>
      </c>
      <c r="AR321" s="330"/>
      <c r="AS321" s="1097" t="str">
        <f t="shared" si="536"/>
        <v>Asia Pacific</v>
      </c>
      <c r="AT321" s="133">
        <f t="shared" si="537"/>
        <v>9.2999999999999972E-2</v>
      </c>
      <c r="AU321" s="133">
        <f t="shared" si="537"/>
        <v>0.10765333655084919</v>
      </c>
      <c r="AV321" s="133">
        <f t="shared" si="538"/>
        <v>-6.231014919235367E-2</v>
      </c>
      <c r="AW321" s="133">
        <f t="shared" si="539"/>
        <v>-3.6272514619235641E-2</v>
      </c>
      <c r="AX321" s="133">
        <f t="shared" si="540"/>
        <v>4.8999999999999932E-2</v>
      </c>
      <c r="AY321" s="133">
        <f t="shared" si="541"/>
        <v>9.2999999999999972E-2</v>
      </c>
      <c r="AZ321" s="133">
        <f t="shared" si="542"/>
        <v>3.5000000000000003E-2</v>
      </c>
      <c r="BA321" s="133">
        <f t="shared" si="543"/>
        <v>7.2999999999999995E-2</v>
      </c>
      <c r="BB321" s="133">
        <f t="shared" si="544"/>
        <v>5.9999999999999831E-2</v>
      </c>
      <c r="BC321" s="133">
        <f t="shared" si="545"/>
        <v>0.04</v>
      </c>
      <c r="BD321" s="1084">
        <f t="shared" si="546"/>
        <v>-0.02</v>
      </c>
      <c r="BF321" s="900"/>
      <c r="BM321" s="902"/>
      <c r="BN321" s="902"/>
      <c r="BO321" s="902"/>
      <c r="BP321" s="902"/>
      <c r="BQ321" s="902"/>
      <c r="BR321" s="902"/>
      <c r="BS321" s="902"/>
    </row>
    <row r="322" spans="1:71" ht="12.75" customHeight="1">
      <c r="A322" s="1078" t="s">
        <v>1247</v>
      </c>
      <c r="B322" s="352"/>
      <c r="C322" s="352"/>
      <c r="D322" s="352"/>
      <c r="E322" s="1080">
        <f>RevPAR!B15</f>
        <v>5.8000000000000003E-2</v>
      </c>
      <c r="F322" s="1080">
        <f>RevPAR!C15</f>
        <v>5.8999999999999997E-2</v>
      </c>
      <c r="G322" s="1083">
        <f>RevPAR!D15</f>
        <v>6.4000000000000001E-2</v>
      </c>
      <c r="H322" s="1079">
        <f>RevPAR!E15</f>
        <v>6.7000000000000004E-2</v>
      </c>
      <c r="I322" s="1079">
        <f>RevPAR!F15</f>
        <v>4.8000000000000001E-2</v>
      </c>
      <c r="J322" s="1085">
        <f>RevPAR!G15</f>
        <v>5.5E-2</v>
      </c>
      <c r="K322" s="1080">
        <f>RevPAR!H15</f>
        <v>5.7000000000000002E-2</v>
      </c>
      <c r="L322" s="1083">
        <f>RevPAR!I15</f>
        <v>5.3999999999999999E-2</v>
      </c>
      <c r="M322" s="1079">
        <f>RevPAR!J15</f>
        <v>5.3999999999999999E-2</v>
      </c>
      <c r="N322" s="1079">
        <f>RevPAR!K15</f>
        <v>5.0999999999999997E-2</v>
      </c>
      <c r="O322" s="1085">
        <f>RevPAR!L15</f>
        <v>4.7E-2</v>
      </c>
      <c r="P322" s="1080">
        <f>RevPAR!M15</f>
        <v>5.1999999999999998E-2</v>
      </c>
      <c r="Q322" s="1083">
        <f>RevPAR!N15</f>
        <v>6.6000000000000003E-2</v>
      </c>
      <c r="R322" s="1079">
        <f>RevPAR!O15</f>
        <v>6.7000000000000004E-2</v>
      </c>
      <c r="S322" s="1079">
        <f>RevPAR!P15</f>
        <v>8.4000000000000005E-2</v>
      </c>
      <c r="T322" s="1085">
        <f>RevPAR!Q15</f>
        <v>6.6000000000000003E-2</v>
      </c>
      <c r="U322" s="1080">
        <f>RevPAR!R15</f>
        <v>7.0999999999999994E-2</v>
      </c>
      <c r="V322" s="1079">
        <f>RevPAR!S15</f>
        <v>6.6000000000000003E-2</v>
      </c>
      <c r="W322" s="1079">
        <f>RevPAR!T15</f>
        <v>5.1999999999999998E-2</v>
      </c>
      <c r="X322" s="1079">
        <f>RevPAR!U15</f>
        <v>5.8000000000000003E-2</v>
      </c>
      <c r="Y322" s="1085">
        <f>RevPAR!V15</f>
        <v>3.6999999999999998E-2</v>
      </c>
      <c r="Z322" s="1080">
        <f>RevPAR!W15</f>
        <v>5.3999999999999999E-2</v>
      </c>
      <c r="AA322" s="1079">
        <f>RevPAR!X15</f>
        <v>2.1000000000000001E-2</v>
      </c>
      <c r="AB322" s="1079">
        <f>RevPAR!Y15</f>
        <v>2.9000000000000001E-2</v>
      </c>
      <c r="AC322" s="1079">
        <f>RevPAR!Z15</f>
        <v>1.2999999999999999E-2</v>
      </c>
      <c r="AD322" s="1079">
        <f>RevPAR!AA15</f>
        <v>8.9999999999999993E-3</v>
      </c>
      <c r="AE322" s="1080">
        <f>RevPAR!AB15</f>
        <v>1.7999999999999999E-2</v>
      </c>
      <c r="AF322" s="1079">
        <f>RevPAR!AC15</f>
        <v>0.03</v>
      </c>
      <c r="AG322" s="1079">
        <f>RevPAR!AD15</f>
        <v>1.7999999999999999E-2</v>
      </c>
      <c r="AH322" s="1079">
        <f>RevPAR!AE15</f>
        <v>1.2999999999999999E-2</v>
      </c>
      <c r="AI322" s="1079">
        <f>RevPAR!AF15</f>
        <v>3.7999999999999999E-2</v>
      </c>
      <c r="AJ322" s="1080">
        <f>RevPAR!AG15</f>
        <v>2.5000000000000001E-2</v>
      </c>
      <c r="AK322" s="1079">
        <f>RevPAR!AH15</f>
        <v>2.0277252468729544E-2</v>
      </c>
      <c r="AL322" s="1079">
        <f>RevPAR!AI15</f>
        <v>2.5537626903077044E-2</v>
      </c>
      <c r="AM322" s="1079">
        <f>RevPAR!AJ15</f>
        <v>2.6335441171213739E-2</v>
      </c>
      <c r="AN322" s="1079">
        <f>RevPAR!AK15</f>
        <v>2.1913834049441375E-2</v>
      </c>
      <c r="AO322" s="1080">
        <f>RevPAR!AL15</f>
        <v>2.3457210246139646E-2</v>
      </c>
      <c r="AP322" s="1080">
        <f>RevPAR!AM15</f>
        <v>1.5937306656940566E-2</v>
      </c>
      <c r="AQ322" s="1080">
        <f>RevPAR!AN15</f>
        <v>-2.9226213866005338E-2</v>
      </c>
      <c r="AR322" s="330"/>
      <c r="AS322" s="1098" t="str">
        <f t="shared" si="536"/>
        <v>System-wide RevPAR</v>
      </c>
      <c r="AT322" s="1079">
        <f t="shared" si="537"/>
        <v>5.8000000000000003E-2</v>
      </c>
      <c r="AU322" s="1079">
        <f t="shared" si="537"/>
        <v>5.8999999999999997E-2</v>
      </c>
      <c r="AV322" s="1079">
        <f t="shared" si="538"/>
        <v>5.7000000000000002E-2</v>
      </c>
      <c r="AW322" s="1079">
        <f t="shared" si="539"/>
        <v>5.1999999999999998E-2</v>
      </c>
      <c r="AX322" s="1079">
        <f t="shared" si="540"/>
        <v>7.0999999999999994E-2</v>
      </c>
      <c r="AY322" s="1079">
        <f t="shared" si="541"/>
        <v>5.3999999999999999E-2</v>
      </c>
      <c r="AZ322" s="1079">
        <f t="shared" si="542"/>
        <v>1.7999999999999999E-2</v>
      </c>
      <c r="BA322" s="1079">
        <f t="shared" si="543"/>
        <v>2.5000000000000001E-2</v>
      </c>
      <c r="BB322" s="1079">
        <f t="shared" si="544"/>
        <v>2.3457210246139646E-2</v>
      </c>
      <c r="BC322" s="1079">
        <f t="shared" si="545"/>
        <v>1.5937306656940566E-2</v>
      </c>
      <c r="BD322" s="1085">
        <f t="shared" si="546"/>
        <v>-2.9226213866005338E-2</v>
      </c>
      <c r="BF322" s="900"/>
      <c r="BM322" s="902"/>
      <c r="BN322" s="902"/>
      <c r="BO322" s="902"/>
      <c r="BP322" s="902"/>
      <c r="BQ322" s="902"/>
      <c r="BR322" s="902"/>
      <c r="BS322" s="902"/>
    </row>
    <row r="323" spans="1:71" s="122" customFormat="1" ht="12.75" customHeight="1">
      <c r="A323" s="1406" t="s">
        <v>1420</v>
      </c>
      <c r="B323" s="352"/>
      <c r="C323" s="352"/>
      <c r="D323" s="352"/>
      <c r="E323" s="1407"/>
      <c r="F323" s="1407"/>
      <c r="G323" s="1408"/>
      <c r="H323" s="1409"/>
      <c r="I323" s="1409"/>
      <c r="J323" s="1410"/>
      <c r="K323" s="1407"/>
      <c r="L323" s="1408"/>
      <c r="M323" s="1409"/>
      <c r="N323" s="1409"/>
      <c r="O323" s="1429">
        <v>5.1999999999999998E-2</v>
      </c>
      <c r="P323" s="1412" t="s">
        <v>2070</v>
      </c>
      <c r="Q323" s="1413" t="s">
        <v>541</v>
      </c>
      <c r="R323" s="2251" t="s">
        <v>2281</v>
      </c>
      <c r="S323" s="2251" t="s">
        <v>2270</v>
      </c>
      <c r="T323" s="1415" t="s">
        <v>2327</v>
      </c>
      <c r="U323" s="1412" t="s">
        <v>2327</v>
      </c>
      <c r="V323" s="1413" t="s">
        <v>2325</v>
      </c>
      <c r="W323" s="1414" t="s">
        <v>2325</v>
      </c>
      <c r="X323" s="1414" t="s">
        <v>541</v>
      </c>
      <c r="Y323" s="1414" t="s">
        <v>1833</v>
      </c>
      <c r="Z323" s="1412" t="s">
        <v>2416</v>
      </c>
      <c r="AA323" s="1413" t="s">
        <v>2428</v>
      </c>
      <c r="AB323" s="1414" t="s">
        <v>2429</v>
      </c>
      <c r="AC323" s="1414" t="s">
        <v>2428</v>
      </c>
      <c r="AD323" s="1414" t="s">
        <v>2815</v>
      </c>
      <c r="AE323" s="1412" t="s">
        <v>2816</v>
      </c>
      <c r="AF323" s="1414" t="s">
        <v>2550</v>
      </c>
      <c r="AG323" s="1414" t="s">
        <v>2550</v>
      </c>
      <c r="AH323" s="1414" t="s">
        <v>3167</v>
      </c>
      <c r="AI323" s="1415" t="s">
        <v>2550</v>
      </c>
      <c r="AJ323" s="1412" t="s">
        <v>2550</v>
      </c>
      <c r="AK323" s="1414" t="s">
        <v>2550</v>
      </c>
      <c r="AL323" s="1414"/>
      <c r="AM323" s="1414"/>
      <c r="AN323" s="1415"/>
      <c r="AO323" s="4006" t="s">
        <v>2550</v>
      </c>
      <c r="AP323" s="1407">
        <f>+AVERAGE(AJ322:AP322)</f>
        <v>2.26369530707917E-2</v>
      </c>
      <c r="AQ323" s="1407"/>
      <c r="AR323" s="330"/>
      <c r="AS323" s="1411" t="str">
        <f t="shared" si="536"/>
        <v>Guidance</v>
      </c>
      <c r="AT323" s="1409"/>
      <c r="AU323" s="1409"/>
      <c r="AV323" s="1409"/>
      <c r="AW323" s="1409"/>
      <c r="AX323" s="1409"/>
      <c r="AY323" s="1409"/>
      <c r="AZ323" s="1409"/>
      <c r="BA323" s="1409"/>
      <c r="BB323" s="1409"/>
      <c r="BC323" s="1409"/>
      <c r="BD323" s="1410"/>
      <c r="BE323" s="14"/>
      <c r="BF323" s="1087"/>
      <c r="BG323"/>
      <c r="BH323"/>
      <c r="BI323"/>
      <c r="BJ323"/>
      <c r="BK323"/>
      <c r="BL323"/>
      <c r="BM323" s="1088"/>
      <c r="BN323" s="1088"/>
      <c r="BO323" s="1088"/>
      <c r="BP323" s="1088"/>
      <c r="BQ323" s="1088"/>
      <c r="BR323" s="1088"/>
      <c r="BS323" s="1088"/>
    </row>
    <row r="324" spans="1:71" ht="12.75" customHeight="1">
      <c r="A324" s="308"/>
      <c r="B324" s="193"/>
      <c r="C324" s="193"/>
      <c r="D324" s="193"/>
      <c r="E324" s="193"/>
      <c r="F324" s="193"/>
      <c r="G324" s="159"/>
      <c r="H324" s="159"/>
      <c r="I324" s="159"/>
      <c r="J324" s="159"/>
      <c r="K324" s="193"/>
      <c r="L324" s="159"/>
      <c r="M324" s="159"/>
      <c r="N324" s="159"/>
      <c r="O324" s="159"/>
      <c r="P324" s="193"/>
      <c r="Q324" s="159"/>
      <c r="R324" s="159"/>
      <c r="S324" s="159"/>
      <c r="T324" s="159"/>
      <c r="U324" s="159"/>
      <c r="V324" s="159"/>
      <c r="W324" s="159"/>
      <c r="X324" s="159"/>
      <c r="Y324" s="2727"/>
      <c r="Z324" s="2727"/>
      <c r="AA324" s="159"/>
      <c r="AB324" s="159"/>
      <c r="AC324" s="159"/>
      <c r="AD324" s="159"/>
      <c r="AE324" s="193"/>
      <c r="AF324" s="159"/>
      <c r="AG324" s="159"/>
      <c r="AH324" s="159"/>
      <c r="AI324" s="159"/>
      <c r="AJ324" s="193"/>
      <c r="AK324" s="159"/>
      <c r="AL324" s="159"/>
      <c r="AM324" s="159"/>
      <c r="AN324" s="159"/>
      <c r="AO324" s="193"/>
      <c r="AP324" s="193"/>
      <c r="AQ324" s="193"/>
      <c r="AR324" s="193"/>
      <c r="AS324" s="1095"/>
      <c r="AT324" s="191"/>
      <c r="AU324" s="191"/>
      <c r="AV324" s="191"/>
      <c r="AW324" s="191"/>
      <c r="AX324" s="191"/>
      <c r="AY324" s="191"/>
      <c r="AZ324" s="1581"/>
      <c r="BA324" s="1581"/>
      <c r="BB324" s="1581"/>
      <c r="BC324" s="1581"/>
      <c r="BD324" s="1096"/>
      <c r="BF324" s="900"/>
      <c r="BM324" s="902"/>
      <c r="BN324" s="902"/>
      <c r="BO324" s="902"/>
      <c r="BP324" s="902"/>
      <c r="BQ324" s="902"/>
      <c r="BR324" s="902"/>
      <c r="BS324" s="902"/>
    </row>
    <row r="325" spans="1:71" ht="12.75" customHeight="1">
      <c r="A325" s="291" t="s">
        <v>1772</v>
      </c>
      <c r="B325" s="344"/>
      <c r="C325" s="344"/>
      <c r="D325" s="344"/>
      <c r="E325" s="344" t="str">
        <f t="shared" ref="E325:AQ325" si="547">+E$5</f>
        <v>2010</v>
      </c>
      <c r="F325" s="344" t="str">
        <f t="shared" si="547"/>
        <v>2011</v>
      </c>
      <c r="G325" s="339" t="str">
        <f t="shared" si="547"/>
        <v>1Q12</v>
      </c>
      <c r="H325" s="339" t="str">
        <f t="shared" si="547"/>
        <v>2Q12</v>
      </c>
      <c r="I325" s="339" t="str">
        <f t="shared" si="547"/>
        <v>3Q12</v>
      </c>
      <c r="J325" s="339" t="str">
        <f t="shared" si="547"/>
        <v>4Q12</v>
      </c>
      <c r="K325" s="766">
        <f t="shared" si="547"/>
        <v>2012</v>
      </c>
      <c r="L325" s="339" t="str">
        <f t="shared" si="547"/>
        <v>1Q13</v>
      </c>
      <c r="M325" s="339" t="str">
        <f t="shared" si="547"/>
        <v>2Q13</v>
      </c>
      <c r="N325" s="339" t="str">
        <f t="shared" si="547"/>
        <v>3Q13</v>
      </c>
      <c r="O325" s="339" t="str">
        <f t="shared" si="547"/>
        <v>4Q13</v>
      </c>
      <c r="P325" s="766">
        <f t="shared" si="547"/>
        <v>2013</v>
      </c>
      <c r="Q325" s="339" t="str">
        <f t="shared" si="547"/>
        <v>1Q14</v>
      </c>
      <c r="R325" s="339" t="str">
        <f t="shared" si="547"/>
        <v>2Q14</v>
      </c>
      <c r="S325" s="339" t="str">
        <f t="shared" si="547"/>
        <v>3Q14</v>
      </c>
      <c r="T325" s="339" t="str">
        <f t="shared" si="547"/>
        <v>4Q14</v>
      </c>
      <c r="U325" s="344">
        <f t="shared" si="547"/>
        <v>2014</v>
      </c>
      <c r="V325" s="339" t="str">
        <f t="shared" si="547"/>
        <v>1Q15</v>
      </c>
      <c r="W325" s="339" t="str">
        <f t="shared" si="547"/>
        <v>2Q15</v>
      </c>
      <c r="X325" s="339" t="str">
        <f t="shared" si="547"/>
        <v>3Q15</v>
      </c>
      <c r="Y325" s="339" t="str">
        <f t="shared" si="547"/>
        <v>4Q15</v>
      </c>
      <c r="Z325" s="344">
        <f t="shared" si="547"/>
        <v>2015</v>
      </c>
      <c r="AA325" s="339" t="str">
        <f t="shared" si="547"/>
        <v>1Q16</v>
      </c>
      <c r="AB325" s="339" t="str">
        <f t="shared" si="547"/>
        <v>2Q16</v>
      </c>
      <c r="AC325" s="339" t="str">
        <f t="shared" si="547"/>
        <v>3Q16</v>
      </c>
      <c r="AD325" s="339" t="str">
        <f t="shared" si="547"/>
        <v>4Q16</v>
      </c>
      <c r="AE325" s="344">
        <f t="shared" si="547"/>
        <v>2016</v>
      </c>
      <c r="AF325" s="339" t="str">
        <f t="shared" si="547"/>
        <v>1Q17</v>
      </c>
      <c r="AG325" s="339" t="str">
        <f t="shared" si="547"/>
        <v>2Q17</v>
      </c>
      <c r="AH325" s="339" t="str">
        <f t="shared" si="547"/>
        <v>3Q17</v>
      </c>
      <c r="AI325" s="339" t="str">
        <f t="shared" si="547"/>
        <v>4Q17A</v>
      </c>
      <c r="AJ325" s="344" t="str">
        <f t="shared" si="547"/>
        <v>2017A</v>
      </c>
      <c r="AK325" s="339" t="str">
        <f t="shared" si="547"/>
        <v>1Q18E</v>
      </c>
      <c r="AL325" s="339" t="str">
        <f t="shared" si="547"/>
        <v>2Q18E</v>
      </c>
      <c r="AM325" s="339" t="str">
        <f t="shared" si="547"/>
        <v>3Q18E</v>
      </c>
      <c r="AN325" s="339" t="str">
        <f t="shared" si="547"/>
        <v>4Q18E</v>
      </c>
      <c r="AO325" s="344" t="str">
        <f t="shared" si="547"/>
        <v>2018E</v>
      </c>
      <c r="AP325" s="344" t="str">
        <f t="shared" si="547"/>
        <v>2019E</v>
      </c>
      <c r="AQ325" s="344" t="str">
        <f t="shared" si="547"/>
        <v>2020E</v>
      </c>
      <c r="AR325" s="173"/>
      <c r="AS325" s="291" t="str">
        <f>+A325</f>
        <v>Managed Operations</v>
      </c>
      <c r="AT325" s="339" t="str">
        <f>+E325</f>
        <v>2010</v>
      </c>
      <c r="AU325" s="339" t="str">
        <f>+F325</f>
        <v>2011</v>
      </c>
      <c r="AV325" s="339">
        <f>+K325</f>
        <v>2012</v>
      </c>
      <c r="AW325" s="339">
        <f>+P325</f>
        <v>2013</v>
      </c>
      <c r="AX325" s="339">
        <f>+U325</f>
        <v>2014</v>
      </c>
      <c r="AY325" s="339">
        <f>+Z325</f>
        <v>2015</v>
      </c>
      <c r="AZ325" s="339">
        <f>+AE325</f>
        <v>2016</v>
      </c>
      <c r="BA325" s="339" t="str">
        <f>+AJ325</f>
        <v>2017A</v>
      </c>
      <c r="BB325" s="339" t="str">
        <f>+AO325</f>
        <v>2018E</v>
      </c>
      <c r="BC325" s="339" t="str">
        <f>+AP325</f>
        <v>2019E</v>
      </c>
      <c r="BD325" s="925" t="str">
        <f>+AQ325</f>
        <v>2020E</v>
      </c>
      <c r="BF325" s="900"/>
      <c r="BM325" s="902"/>
      <c r="BN325" s="902"/>
      <c r="BO325" s="902"/>
      <c r="BP325" s="902"/>
      <c r="BQ325" s="902"/>
      <c r="BR325" s="902"/>
      <c r="BS325" s="902"/>
    </row>
    <row r="326" spans="1:71" ht="12.75" customHeight="1">
      <c r="A326" s="489"/>
      <c r="B326" s="200"/>
      <c r="C326" s="200"/>
      <c r="D326" s="200"/>
      <c r="E326" s="200"/>
      <c r="F326" s="200"/>
      <c r="G326" s="188"/>
      <c r="H326" s="188"/>
      <c r="I326" s="188"/>
      <c r="J326" s="188"/>
      <c r="K326" s="200"/>
      <c r="L326" s="188"/>
      <c r="M326" s="188"/>
      <c r="N326" s="188"/>
      <c r="O326" s="188"/>
      <c r="P326" s="200"/>
      <c r="Q326" s="188"/>
      <c r="R326" s="188"/>
      <c r="S326" s="188"/>
      <c r="T326" s="188"/>
      <c r="U326" s="200"/>
      <c r="V326" s="188"/>
      <c r="W326" s="188"/>
      <c r="X326" s="188"/>
      <c r="Y326" s="2726"/>
      <c r="Z326" s="200"/>
      <c r="AA326" s="2528"/>
      <c r="AB326" s="193"/>
      <c r="AC326" s="193"/>
      <c r="AD326" s="2529"/>
      <c r="AE326" s="200"/>
      <c r="AF326" s="193"/>
      <c r="AG326" s="193"/>
      <c r="AH326" s="193"/>
      <c r="AI326" s="2529"/>
      <c r="AJ326" s="200"/>
      <c r="AK326" s="193"/>
      <c r="AL326" s="193"/>
      <c r="AM326" s="193"/>
      <c r="AN326" s="2529"/>
      <c r="AO326" s="200"/>
      <c r="AP326" s="200"/>
      <c r="AQ326" s="200"/>
      <c r="AR326" s="193"/>
      <c r="AS326" s="489"/>
      <c r="AT326" s="191"/>
      <c r="AU326" s="191"/>
      <c r="AV326" s="191"/>
      <c r="AW326" s="191"/>
      <c r="AX326" s="191"/>
      <c r="AY326" s="191"/>
      <c r="AZ326" s="191"/>
      <c r="BA326" s="191"/>
      <c r="BB326" s="191"/>
      <c r="BC326" s="191"/>
      <c r="BD326" s="420"/>
      <c r="BF326" s="900"/>
      <c r="BM326" s="902"/>
      <c r="BN326" s="902"/>
      <c r="BO326" s="902"/>
      <c r="BP326" s="902"/>
      <c r="BQ326" s="902"/>
      <c r="BR326" s="902"/>
      <c r="BS326" s="902"/>
    </row>
    <row r="327" spans="1:71" ht="12.75" customHeight="1">
      <c r="A327" s="489" t="s">
        <v>1248</v>
      </c>
      <c r="B327" s="355"/>
      <c r="C327" s="355"/>
      <c r="D327" s="355"/>
      <c r="E327" s="355">
        <f>'QTR Rooms'!B397</f>
        <v>408</v>
      </c>
      <c r="F327" s="355">
        <f>'QTR Rooms'!C397</f>
        <v>477</v>
      </c>
      <c r="G327" s="188">
        <f>'QTR Rooms'!D397</f>
        <v>485</v>
      </c>
      <c r="H327" s="188">
        <f>'QTR Rooms'!E397</f>
        <v>479</v>
      </c>
      <c r="I327" s="188">
        <f>'QTR Rooms'!F397</f>
        <v>481</v>
      </c>
      <c r="J327" s="188">
        <f>'QTR Rooms'!G397</f>
        <v>493</v>
      </c>
      <c r="K327" s="355">
        <f>'QTR Rooms'!H397</f>
        <v>493</v>
      </c>
      <c r="L327" s="188">
        <f>'QTR Rooms'!I397</f>
        <v>523</v>
      </c>
      <c r="M327" s="188">
        <f>'QTR Rooms'!J397</f>
        <v>520</v>
      </c>
      <c r="N327" s="188">
        <f>'QTR Rooms'!K397</f>
        <v>530</v>
      </c>
      <c r="O327" s="188">
        <f>'QTR Rooms'!L397</f>
        <v>540</v>
      </c>
      <c r="P327" s="355">
        <f>'QTR Rooms'!M397</f>
        <v>540</v>
      </c>
      <c r="Q327" s="188">
        <f>'QTR Rooms'!N397</f>
        <v>551</v>
      </c>
      <c r="R327" s="188">
        <f>'QTR Rooms'!O397</f>
        <v>561</v>
      </c>
      <c r="S327" s="188">
        <f>'QTR Rooms'!P397</f>
        <v>568</v>
      </c>
      <c r="T327" s="188">
        <f>'QTR Rooms'!Q397</f>
        <v>570</v>
      </c>
      <c r="U327" s="355">
        <f>'QTR Rooms'!R397</f>
        <v>570</v>
      </c>
      <c r="V327" s="188">
        <f>'QTR Rooms'!S397</f>
        <v>562</v>
      </c>
      <c r="W327" s="188">
        <f>'QTR Rooms'!T397</f>
        <v>557</v>
      </c>
      <c r="X327" s="188">
        <f>'QTR Rooms'!U397</f>
        <v>567</v>
      </c>
      <c r="Y327" s="2726">
        <f>'QTR Rooms'!V397</f>
        <v>589</v>
      </c>
      <c r="Z327" s="2765">
        <f>'QTR Rooms'!W397</f>
        <v>589</v>
      </c>
      <c r="AA327" s="2502">
        <f>'QTR Rooms'!X397</f>
        <v>578</v>
      </c>
      <c r="AB327" s="188">
        <f>'QTR Rooms'!Y397</f>
        <v>584</v>
      </c>
      <c r="AC327" s="188">
        <f>'QTR Rooms'!Z397</f>
        <v>591</v>
      </c>
      <c r="AD327" s="849">
        <f>'QTR Rooms'!AA397</f>
        <v>605</v>
      </c>
      <c r="AE327" s="355">
        <f>'QTR Rooms'!AB397</f>
        <v>605</v>
      </c>
      <c r="AF327" s="188">
        <f>'QTR Rooms'!AC397</f>
        <v>676.36300000000006</v>
      </c>
      <c r="AG327" s="188">
        <f>'QTR Rooms'!AD397</f>
        <v>679.68978898979879</v>
      </c>
      <c r="AH327" s="188">
        <f>'QTR Rooms'!AE397</f>
        <v>685</v>
      </c>
      <c r="AI327" s="849">
        <f>'QTR Rooms'!AF397</f>
        <v>704</v>
      </c>
      <c r="AJ327" s="355">
        <f>'QTR Rooms'!AG397</f>
        <v>704</v>
      </c>
      <c r="AK327" s="188">
        <f>'QTR Rooms'!AH397</f>
        <v>714.18</v>
      </c>
      <c r="AL327" s="188">
        <f>'QTR Rooms'!AI397</f>
        <v>724.43716849999998</v>
      </c>
      <c r="AM327" s="188">
        <f>'QTR Rooms'!AJ397</f>
        <v>734.1114914599998</v>
      </c>
      <c r="AN327" s="849">
        <f>'QTR Rooms'!AK397</f>
        <v>743.93766644822483</v>
      </c>
      <c r="AO327" s="2765">
        <f>'QTR Rooms'!AL397</f>
        <v>743.93766644822483</v>
      </c>
      <c r="AP327" s="355">
        <f>'QTR Rooms'!AM397</f>
        <v>778.40627406098906</v>
      </c>
      <c r="AQ327" s="355">
        <f>'QTR Rooms'!AN397</f>
        <v>802.49241409016588</v>
      </c>
      <c r="AR327" s="191"/>
      <c r="AS327" s="489" t="str">
        <f>+A327</f>
        <v>Managed Hotels</v>
      </c>
      <c r="AT327" s="191">
        <f t="shared" ref="AT327:AU329" si="548">+E327</f>
        <v>408</v>
      </c>
      <c r="AU327" s="191">
        <f t="shared" si="548"/>
        <v>477</v>
      </c>
      <c r="AV327" s="191">
        <f>+K327</f>
        <v>493</v>
      </c>
      <c r="AW327" s="191">
        <f>+P327</f>
        <v>540</v>
      </c>
      <c r="AX327" s="191">
        <f>+U327</f>
        <v>570</v>
      </c>
      <c r="AY327" s="191">
        <f>+Z327</f>
        <v>589</v>
      </c>
      <c r="AZ327" s="191">
        <f>+AE327</f>
        <v>605</v>
      </c>
      <c r="BA327" s="191">
        <f>+AJ327</f>
        <v>704</v>
      </c>
      <c r="BB327" s="191">
        <f t="shared" ref="BB327:BD329" si="549">+AO327</f>
        <v>743.93766644822483</v>
      </c>
      <c r="BC327" s="191">
        <f t="shared" si="549"/>
        <v>778.40627406098906</v>
      </c>
      <c r="BD327" s="420">
        <f t="shared" si="549"/>
        <v>802.49241409016588</v>
      </c>
      <c r="BF327" s="900"/>
      <c r="BM327" s="902"/>
      <c r="BN327" s="902"/>
      <c r="BO327" s="902"/>
      <c r="BP327" s="902"/>
      <c r="BQ327" s="902"/>
      <c r="BR327" s="902"/>
      <c r="BS327" s="902"/>
    </row>
    <row r="328" spans="1:71" ht="12.75" customHeight="1">
      <c r="A328" s="490" t="s">
        <v>1249</v>
      </c>
      <c r="B328" s="200"/>
      <c r="C328" s="200"/>
      <c r="D328" s="200"/>
      <c r="E328" s="200"/>
      <c r="F328" s="355">
        <f>+F327-E327</f>
        <v>69</v>
      </c>
      <c r="G328" s="1066">
        <f>+G327-F327</f>
        <v>8</v>
      </c>
      <c r="H328" s="1066">
        <f>+H327-G327</f>
        <v>-6</v>
      </c>
      <c r="I328" s="1066">
        <f>+I327-H327</f>
        <v>2</v>
      </c>
      <c r="J328" s="1066">
        <f>+J327-I327</f>
        <v>12</v>
      </c>
      <c r="K328" s="355">
        <f>SUM(G328:J328)</f>
        <v>16</v>
      </c>
      <c r="L328" s="1066">
        <f>+L327-J327</f>
        <v>30</v>
      </c>
      <c r="M328" s="1066">
        <f>+M327-L327</f>
        <v>-3</v>
      </c>
      <c r="N328" s="1066">
        <f>+N327-M327</f>
        <v>10</v>
      </c>
      <c r="O328" s="1066">
        <f>+O327-N327</f>
        <v>10</v>
      </c>
      <c r="P328" s="355">
        <f>SUM(L328:O328)</f>
        <v>47</v>
      </c>
      <c r="Q328" s="1066">
        <f>+Q327-O327</f>
        <v>11</v>
      </c>
      <c r="R328" s="1066">
        <f>+R327-Q327</f>
        <v>10</v>
      </c>
      <c r="S328" s="1066">
        <f>+S327-R327</f>
        <v>7</v>
      </c>
      <c r="T328" s="1066">
        <f>+T327-S327</f>
        <v>2</v>
      </c>
      <c r="U328" s="355">
        <f>SUM(Q328:T328)</f>
        <v>30</v>
      </c>
      <c r="V328" s="1066">
        <f>+V327-U327</f>
        <v>-8</v>
      </c>
      <c r="W328" s="1066">
        <f>+W327-V327</f>
        <v>-5</v>
      </c>
      <c r="X328" s="1066">
        <f>+X327-W327</f>
        <v>10</v>
      </c>
      <c r="Y328" s="1066">
        <f>+Y327-X327</f>
        <v>22</v>
      </c>
      <c r="Z328" s="2765">
        <f>SUM(V328:Y328)</f>
        <v>19</v>
      </c>
      <c r="AA328" s="2557">
        <f>+AA327-Z327</f>
        <v>-11</v>
      </c>
      <c r="AB328" s="1066">
        <f>+AB327-AA327</f>
        <v>6</v>
      </c>
      <c r="AC328" s="1066">
        <f>+AC327-AB327</f>
        <v>7</v>
      </c>
      <c r="AD328" s="2558">
        <f>+AD327-AC327</f>
        <v>14</v>
      </c>
      <c r="AE328" s="355">
        <f>SUM(AA328:AD328)</f>
        <v>16</v>
      </c>
      <c r="AF328" s="1066">
        <f>+AF327-AE327</f>
        <v>71.363000000000056</v>
      </c>
      <c r="AG328" s="1066">
        <f>+AG327-AF327</f>
        <v>3.3267889897987288</v>
      </c>
      <c r="AH328" s="1066">
        <f>+AH327-AG327</f>
        <v>5.3102110102012148</v>
      </c>
      <c r="AI328" s="2558">
        <f>+AI327-AH327</f>
        <v>19</v>
      </c>
      <c r="AJ328" s="355">
        <f>SUM(AF328:AI328)</f>
        <v>99</v>
      </c>
      <c r="AK328" s="1066">
        <f t="shared" ref="AK328:AN328" si="550">+AK327-AJ327</f>
        <v>10.17999999999995</v>
      </c>
      <c r="AL328" s="1066">
        <f t="shared" si="550"/>
        <v>10.257168500000034</v>
      </c>
      <c r="AM328" s="1066">
        <f t="shared" si="550"/>
        <v>9.6743229599998131</v>
      </c>
      <c r="AN328" s="2558">
        <f t="shared" si="550"/>
        <v>9.8261749882250342</v>
      </c>
      <c r="AO328" s="2765">
        <f>SUM(AK328:AN328)</f>
        <v>39.937666448224832</v>
      </c>
      <c r="AP328" s="355">
        <f>+AP327-AO327</f>
        <v>34.468607612764231</v>
      </c>
      <c r="AQ328" s="355">
        <f>+AQ327-AP327</f>
        <v>24.086140029176818</v>
      </c>
      <c r="AR328" s="193"/>
      <c r="AS328" s="489" t="str">
        <f>+A328</f>
        <v>Net Additions, seq.</v>
      </c>
      <c r="AT328" s="191">
        <f t="shared" si="548"/>
        <v>0</v>
      </c>
      <c r="AU328" s="191">
        <f t="shared" si="548"/>
        <v>69</v>
      </c>
      <c r="AV328" s="191">
        <f>+K328</f>
        <v>16</v>
      </c>
      <c r="AW328" s="191">
        <f>+P328</f>
        <v>47</v>
      </c>
      <c r="AX328" s="191">
        <f>+U328</f>
        <v>30</v>
      </c>
      <c r="AY328" s="191">
        <f>+Z328</f>
        <v>19</v>
      </c>
      <c r="AZ328" s="191">
        <f>+AE328</f>
        <v>16</v>
      </c>
      <c r="BA328" s="191">
        <f>+AJ328</f>
        <v>99</v>
      </c>
      <c r="BB328" s="191">
        <f t="shared" si="549"/>
        <v>39.937666448224832</v>
      </c>
      <c r="BC328" s="191">
        <f t="shared" si="549"/>
        <v>34.468607612764231</v>
      </c>
      <c r="BD328" s="420">
        <f t="shared" si="549"/>
        <v>24.086140029176818</v>
      </c>
      <c r="BF328" s="900"/>
      <c r="BM328" s="902"/>
      <c r="BN328" s="902"/>
      <c r="BO328" s="902"/>
      <c r="BP328" s="902"/>
      <c r="BQ328" s="902"/>
      <c r="BR328" s="902"/>
      <c r="BS328" s="902"/>
    </row>
    <row r="329" spans="1:71" ht="12.75" customHeight="1">
      <c r="A329" s="490" t="s">
        <v>2309</v>
      </c>
      <c r="B329" s="200"/>
      <c r="C329" s="200"/>
      <c r="D329" s="200"/>
      <c r="E329" s="200"/>
      <c r="F329" s="1081">
        <f>F327/E327-1</f>
        <v>0.16911764705882359</v>
      </c>
      <c r="G329" s="239"/>
      <c r="H329" s="239"/>
      <c r="I329" s="239"/>
      <c r="J329" s="239"/>
      <c r="K329" s="240">
        <f t="shared" ref="K329:U329" si="551">K327/F327-1</f>
        <v>3.3542976939203273E-2</v>
      </c>
      <c r="L329" s="239">
        <f t="shared" si="551"/>
        <v>7.8350515463917469E-2</v>
      </c>
      <c r="M329" s="239">
        <f t="shared" si="551"/>
        <v>8.5594989561586621E-2</v>
      </c>
      <c r="N329" s="239">
        <f t="shared" si="551"/>
        <v>0.10187110187110182</v>
      </c>
      <c r="O329" s="239">
        <f t="shared" si="551"/>
        <v>9.5334685598377211E-2</v>
      </c>
      <c r="P329" s="240">
        <f t="shared" si="551"/>
        <v>9.5334685598377211E-2</v>
      </c>
      <c r="Q329" s="239">
        <f t="shared" si="551"/>
        <v>5.3537284894837445E-2</v>
      </c>
      <c r="R329" s="239">
        <f t="shared" si="551"/>
        <v>7.8846153846153788E-2</v>
      </c>
      <c r="S329" s="239">
        <f t="shared" si="551"/>
        <v>7.1698113207547154E-2</v>
      </c>
      <c r="T329" s="239">
        <f t="shared" si="551"/>
        <v>5.555555555555558E-2</v>
      </c>
      <c r="U329" s="240">
        <f t="shared" si="551"/>
        <v>5.555555555555558E-2</v>
      </c>
      <c r="V329" s="239">
        <f t="shared" ref="V329:AC329" si="552">V327/Q327-1</f>
        <v>1.9963702359346636E-2</v>
      </c>
      <c r="W329" s="239">
        <f t="shared" si="552"/>
        <v>-7.1301247771835552E-3</v>
      </c>
      <c r="X329" s="239">
        <f t="shared" si="552"/>
        <v>-1.7605633802817433E-3</v>
      </c>
      <c r="Y329" s="239">
        <f t="shared" si="552"/>
        <v>3.3333333333333437E-2</v>
      </c>
      <c r="Z329" s="240">
        <f t="shared" si="552"/>
        <v>3.3333333333333437E-2</v>
      </c>
      <c r="AA329" s="1158">
        <f t="shared" si="552"/>
        <v>2.8469750889679624E-2</v>
      </c>
      <c r="AB329" s="239">
        <f t="shared" si="552"/>
        <v>4.8473967684021568E-2</v>
      </c>
      <c r="AC329" s="239">
        <f t="shared" si="552"/>
        <v>4.2328042328042326E-2</v>
      </c>
      <c r="AD329" s="706">
        <f t="shared" ref="AD329:AJ329" si="553">AD327/Y327-1</f>
        <v>2.7164685908319219E-2</v>
      </c>
      <c r="AE329" s="240">
        <f t="shared" si="553"/>
        <v>2.7164685908319219E-2</v>
      </c>
      <c r="AF329" s="239">
        <f t="shared" si="553"/>
        <v>0.17017820069204159</v>
      </c>
      <c r="AG329" s="239">
        <f t="shared" si="553"/>
        <v>0.16385237840718969</v>
      </c>
      <c r="AH329" s="239">
        <f t="shared" si="553"/>
        <v>0.15905245346869723</v>
      </c>
      <c r="AI329" s="706">
        <f t="shared" si="553"/>
        <v>0.16363636363636358</v>
      </c>
      <c r="AJ329" s="240">
        <f t="shared" si="553"/>
        <v>0.16363636363636358</v>
      </c>
      <c r="AK329" s="239">
        <f t="shared" ref="AK329" si="554">AK327/AF327-1</f>
        <v>5.5912283788438932E-2</v>
      </c>
      <c r="AL329" s="239">
        <f t="shared" ref="AL329" si="555">AL327/AG327-1</f>
        <v>6.5835003313361229E-2</v>
      </c>
      <c r="AM329" s="239">
        <f t="shared" ref="AM329" si="556">AM327/AH327-1</f>
        <v>7.1695607970802655E-2</v>
      </c>
      <c r="AN329" s="706">
        <f t="shared" ref="AN329:AO329" si="557">AN327/AI327-1</f>
        <v>5.6729639841228474E-2</v>
      </c>
      <c r="AO329" s="240">
        <f t="shared" si="557"/>
        <v>5.6729639841228474E-2</v>
      </c>
      <c r="AP329" s="240">
        <f>AP327/AO327-1</f>
        <v>4.6332655499656816E-2</v>
      </c>
      <c r="AQ329" s="240">
        <f>AQ327/AP327-1</f>
        <v>3.0942890405440959E-2</v>
      </c>
      <c r="AR329" s="193"/>
      <c r="AS329" s="543" t="str">
        <f>+A329</f>
        <v>% growth, y/y</v>
      </c>
      <c r="AT329" s="238">
        <f t="shared" si="548"/>
        <v>0</v>
      </c>
      <c r="AU329" s="238">
        <f t="shared" si="548"/>
        <v>0.16911764705882359</v>
      </c>
      <c r="AV329" s="238">
        <f>+K329</f>
        <v>3.3542976939203273E-2</v>
      </c>
      <c r="AW329" s="238">
        <f>+P329</f>
        <v>9.5334685598377211E-2</v>
      </c>
      <c r="AX329" s="238">
        <f>+U329</f>
        <v>5.555555555555558E-2</v>
      </c>
      <c r="AY329" s="238">
        <f>+Z329</f>
        <v>3.3333333333333437E-2</v>
      </c>
      <c r="AZ329" s="238">
        <f>+AE329</f>
        <v>2.7164685908319219E-2</v>
      </c>
      <c r="BA329" s="238">
        <f>+AJ329</f>
        <v>0.16363636363636358</v>
      </c>
      <c r="BB329" s="238">
        <f t="shared" si="549"/>
        <v>5.6729639841228474E-2</v>
      </c>
      <c r="BC329" s="238">
        <f t="shared" si="549"/>
        <v>4.6332655499656816E-2</v>
      </c>
      <c r="BD329" s="789">
        <f t="shared" si="549"/>
        <v>3.0942890405440959E-2</v>
      </c>
      <c r="BF329" s="900"/>
      <c r="BM329" s="902"/>
      <c r="BN329" s="902"/>
      <c r="BO329" s="902"/>
      <c r="BP329" s="902"/>
      <c r="BQ329" s="902"/>
      <c r="BR329" s="902"/>
      <c r="BS329" s="902"/>
    </row>
    <row r="330" spans="1:71" ht="12.75" customHeight="1">
      <c r="A330" s="489"/>
      <c r="B330" s="200"/>
      <c r="C330" s="200"/>
      <c r="D330" s="200"/>
      <c r="E330" s="200"/>
      <c r="F330" s="200"/>
      <c r="G330" s="188"/>
      <c r="H330" s="188"/>
      <c r="I330" s="188"/>
      <c r="J330" s="188"/>
      <c r="K330" s="200"/>
      <c r="L330" s="188"/>
      <c r="M330" s="188"/>
      <c r="N330" s="188"/>
      <c r="O330" s="188"/>
      <c r="P330" s="200"/>
      <c r="Q330" s="188"/>
      <c r="R330" s="188"/>
      <c r="S330" s="188"/>
      <c r="T330" s="188"/>
      <c r="U330" s="200"/>
      <c r="V330" s="188"/>
      <c r="W330" s="188"/>
      <c r="X330" s="188"/>
      <c r="Y330" s="2748"/>
      <c r="Z330" s="200"/>
      <c r="AA330" s="2502"/>
      <c r="AB330" s="188"/>
      <c r="AC330" s="188"/>
      <c r="AD330" s="849"/>
      <c r="AE330" s="200"/>
      <c r="AF330" s="188"/>
      <c r="AG330" s="188"/>
      <c r="AH330" s="188"/>
      <c r="AI330" s="849"/>
      <c r="AJ330" s="200"/>
      <c r="AK330" s="188"/>
      <c r="AL330" s="188"/>
      <c r="AM330" s="188"/>
      <c r="AN330" s="849"/>
      <c r="AO330" s="2765"/>
      <c r="AP330" s="200"/>
      <c r="AQ330" s="200"/>
      <c r="AR330" s="193"/>
      <c r="AS330" s="489"/>
      <c r="AT330" s="191"/>
      <c r="AU330" s="191"/>
      <c r="AV330" s="191"/>
      <c r="AW330" s="191"/>
      <c r="AX330" s="191"/>
      <c r="AY330" s="191"/>
      <c r="AZ330" s="191"/>
      <c r="BA330" s="191"/>
      <c r="BB330" s="191"/>
      <c r="BC330" s="191"/>
      <c r="BD330" s="420"/>
      <c r="BF330" s="900"/>
      <c r="BM330" s="902"/>
      <c r="BN330" s="902"/>
      <c r="BO330" s="902"/>
      <c r="BP330" s="902"/>
      <c r="BQ330" s="902"/>
      <c r="BR330" s="902"/>
      <c r="BS330" s="902"/>
    </row>
    <row r="331" spans="1:71" ht="12.75" customHeight="1">
      <c r="A331" s="489" t="s">
        <v>1250</v>
      </c>
      <c r="B331" s="355"/>
      <c r="C331" s="355"/>
      <c r="D331" s="355"/>
      <c r="E331" s="355">
        <f>'QTR Rooms'!B817</f>
        <v>121188</v>
      </c>
      <c r="F331" s="355">
        <f>'QTR Rooms'!C817</f>
        <v>134160</v>
      </c>
      <c r="G331" s="188">
        <f>'QTR Rooms'!D817</f>
        <v>137102</v>
      </c>
      <c r="H331" s="188">
        <f>'QTR Rooms'!E817</f>
        <v>136296</v>
      </c>
      <c r="I331" s="188">
        <f>'QTR Rooms'!F817</f>
        <v>136841</v>
      </c>
      <c r="J331" s="188">
        <f>'QTR Rooms'!G817</f>
        <v>139856</v>
      </c>
      <c r="K331" s="355">
        <f>'QTR Rooms'!H817</f>
        <v>139856</v>
      </c>
      <c r="L331" s="188">
        <f>'QTR Rooms'!I817</f>
        <v>143666</v>
      </c>
      <c r="M331" s="188">
        <f>'QTR Rooms'!J817</f>
        <v>143067</v>
      </c>
      <c r="N331" s="188">
        <f>'QTR Rooms'!K817</f>
        <v>146591</v>
      </c>
      <c r="O331" s="188">
        <f>'QTR Rooms'!L817</f>
        <v>150318</v>
      </c>
      <c r="P331" s="355">
        <f>'QTR Rooms'!M817</f>
        <v>150318</v>
      </c>
      <c r="Q331" s="188">
        <f>'QTR Rooms'!N817</f>
        <v>153955</v>
      </c>
      <c r="R331" s="188">
        <f>'QTR Rooms'!O817</f>
        <v>156048</v>
      </c>
      <c r="S331" s="188">
        <f>'QTR Rooms'!P817</f>
        <v>158471</v>
      </c>
      <c r="T331" s="188">
        <f>'QTR Rooms'!Q817</f>
        <v>160428</v>
      </c>
      <c r="U331" s="355">
        <f>'QTR Rooms'!R817</f>
        <v>160428</v>
      </c>
      <c r="V331" s="188">
        <f>'QTR Rooms'!S817</f>
        <v>157967</v>
      </c>
      <c r="W331" s="188">
        <f>'QTR Rooms'!T817</f>
        <v>156804</v>
      </c>
      <c r="X331" s="188">
        <f>'QTR Rooms'!U817</f>
        <v>160142</v>
      </c>
      <c r="Y331" s="2726">
        <f>'QTR Rooms'!V817</f>
        <v>166000</v>
      </c>
      <c r="Z331" s="2765">
        <f>'QTR Rooms'!W817</f>
        <v>166000</v>
      </c>
      <c r="AA331" s="188">
        <f>'QTR Rooms'!X817</f>
        <v>164357</v>
      </c>
      <c r="AB331" s="188">
        <f>'QTR Rooms'!Y817</f>
        <v>167180</v>
      </c>
      <c r="AC331" s="188">
        <f>'QTR Rooms'!Z817</f>
        <v>169327</v>
      </c>
      <c r="AD331" s="849">
        <f>'QTR Rooms'!AA817</f>
        <v>172977</v>
      </c>
      <c r="AE331" s="355">
        <f>'QTR Rooms'!AB817</f>
        <v>172977</v>
      </c>
      <c r="AF331" s="188">
        <f>'QTR Rooms'!AC817</f>
        <v>208812.33300000001</v>
      </c>
      <c r="AG331" s="188">
        <f>'QTR Rooms'!AD817</f>
        <v>210577</v>
      </c>
      <c r="AH331" s="188">
        <f>'QTR Rooms'!AE817</f>
        <v>211597</v>
      </c>
      <c r="AI331" s="849">
        <f>'QTR Rooms'!AF817</f>
        <v>216336</v>
      </c>
      <c r="AJ331" s="355">
        <f>'QTR Rooms'!AG817</f>
        <v>216336</v>
      </c>
      <c r="AK331" s="188">
        <f>'QTR Rooms'!AH817</f>
        <v>219399.53499999997</v>
      </c>
      <c r="AL331" s="188">
        <f>'QTR Rooms'!AI817</f>
        <v>222443.89336899997</v>
      </c>
      <c r="AM331" s="188">
        <f>'QTR Rooms'!AJ817</f>
        <v>225204.78552491494</v>
      </c>
      <c r="AN331" s="849">
        <f>'QTR Rooms'!AK817</f>
        <v>228006.88903345348</v>
      </c>
      <c r="AO331" s="2765">
        <f>'QTR Rooms'!AL817</f>
        <v>228006.88903345348</v>
      </c>
      <c r="AP331" s="355">
        <f>'QTR Rooms'!AM817</f>
        <v>238267.07401484365</v>
      </c>
      <c r="AQ331" s="355">
        <f>'QTR Rooms'!AN817</f>
        <v>245157.20205979768</v>
      </c>
      <c r="AR331" s="191"/>
      <c r="AS331" s="489" t="str">
        <f t="shared" ref="AS331:AS336" si="558">+A331</f>
        <v>Managed Rooms, EOP</v>
      </c>
      <c r="AT331" s="191">
        <f t="shared" ref="AT331:AU336" si="559">+E331</f>
        <v>121188</v>
      </c>
      <c r="AU331" s="191">
        <f t="shared" si="559"/>
        <v>134160</v>
      </c>
      <c r="AV331" s="191">
        <f t="shared" ref="AV331:AV336" si="560">+K331</f>
        <v>139856</v>
      </c>
      <c r="AW331" s="191">
        <f t="shared" ref="AW331:AW336" si="561">+P331</f>
        <v>150318</v>
      </c>
      <c r="AX331" s="191">
        <f t="shared" ref="AX331:AX336" si="562">+U331</f>
        <v>160428</v>
      </c>
      <c r="AY331" s="191">
        <f t="shared" ref="AY331:AY336" si="563">+Z331</f>
        <v>166000</v>
      </c>
      <c r="AZ331" s="191">
        <f t="shared" ref="AZ331:AZ336" si="564">+AE331</f>
        <v>172977</v>
      </c>
      <c r="BA331" s="191">
        <f t="shared" ref="BA331:BA336" si="565">+AJ331</f>
        <v>216336</v>
      </c>
      <c r="BB331" s="191">
        <f t="shared" ref="BB331:BB336" si="566">+AO331</f>
        <v>228006.88903345348</v>
      </c>
      <c r="BC331" s="191">
        <f t="shared" ref="BC331:BC336" si="567">+AP331</f>
        <v>238267.07401484365</v>
      </c>
      <c r="BD331" s="420">
        <f t="shared" ref="BD331:BD336" si="568">+AQ331</f>
        <v>245157.20205979768</v>
      </c>
      <c r="BF331" s="900"/>
      <c r="BM331" s="902"/>
      <c r="BN331" s="902"/>
      <c r="BO331" s="902"/>
      <c r="BP331" s="902"/>
      <c r="BQ331" s="902"/>
      <c r="BR331" s="902"/>
      <c r="BS331" s="902"/>
    </row>
    <row r="332" spans="1:71" ht="12.75" customHeight="1">
      <c r="A332" s="1086" t="s">
        <v>1251</v>
      </c>
      <c r="B332" s="200"/>
      <c r="C332" s="200"/>
      <c r="D332" s="200"/>
      <c r="E332" s="343">
        <f>E331</f>
        <v>121188</v>
      </c>
      <c r="F332" s="343">
        <f>AVERAGE(E331:F331)</f>
        <v>127674</v>
      </c>
      <c r="G332" s="148">
        <f>AVERAGE(F331:G331)</f>
        <v>135631</v>
      </c>
      <c r="H332" s="148">
        <f>AVERAGE(G331:H331)</f>
        <v>136699</v>
      </c>
      <c r="I332" s="148">
        <f>AVERAGE(H331:I331)</f>
        <v>136568.5</v>
      </c>
      <c r="J332" s="148">
        <f>AVERAGE(I331:J331)</f>
        <v>138348.5</v>
      </c>
      <c r="K332" s="343">
        <f>AVERAGE(G332:J332)</f>
        <v>136811.75</v>
      </c>
      <c r="L332" s="148">
        <f>AVERAGE(K331:L331)</f>
        <v>141761</v>
      </c>
      <c r="M332" s="148">
        <f>AVERAGE(L331:M331)</f>
        <v>143366.5</v>
      </c>
      <c r="N332" s="148">
        <f>AVERAGE(M331:N331)</f>
        <v>144829</v>
      </c>
      <c r="O332" s="148">
        <f>AVERAGE(N331:O331)</f>
        <v>148454.5</v>
      </c>
      <c r="P332" s="343">
        <f>AVERAGE(L332:O332)</f>
        <v>144602.75</v>
      </c>
      <c r="Q332" s="148">
        <f>AVERAGE(P331:Q331)</f>
        <v>152136.5</v>
      </c>
      <c r="R332" s="148">
        <f>AVERAGE(Q331:R331)</f>
        <v>155001.5</v>
      </c>
      <c r="S332" s="148">
        <f>AVERAGE(R331:S331)</f>
        <v>157259.5</v>
      </c>
      <c r="T332" s="148">
        <f>AVERAGE(S331:T331)</f>
        <v>159449.5</v>
      </c>
      <c r="U332" s="343">
        <f>AVERAGE(Q332:T332)</f>
        <v>155961.75</v>
      </c>
      <c r="V332" s="148">
        <f>AVERAGE(U331:V331)</f>
        <v>159197.5</v>
      </c>
      <c r="W332" s="148">
        <f>AVERAGE(V331:W331)</f>
        <v>157385.5</v>
      </c>
      <c r="X332" s="148">
        <f>AVERAGE(W331:X331)</f>
        <v>158473</v>
      </c>
      <c r="Y332" s="2732">
        <f>AVERAGE(X331:Y331)</f>
        <v>163071</v>
      </c>
      <c r="Z332" s="343">
        <f>AVERAGE(V332:Y332)</f>
        <v>159531.75</v>
      </c>
      <c r="AA332" s="148">
        <f>AVERAGE(Z331:AA331)</f>
        <v>165178.5</v>
      </c>
      <c r="AB332" s="148">
        <f>AVERAGE(AA331:AB331)</f>
        <v>165768.5</v>
      </c>
      <c r="AC332" s="148">
        <f>AVERAGE(AB331:AC331)</f>
        <v>168253.5</v>
      </c>
      <c r="AD332" s="720">
        <f>AVERAGE(AC331:AD331)</f>
        <v>171152</v>
      </c>
      <c r="AE332" s="343">
        <f>AVERAGE(AE331,Z331)</f>
        <v>169488.5</v>
      </c>
      <c r="AF332" s="148">
        <f>AVERAGE(AE331:AF331)</f>
        <v>190894.66649999999</v>
      </c>
      <c r="AG332" s="148">
        <f>AVERAGE(AF331:AG331)</f>
        <v>209694.66649999999</v>
      </c>
      <c r="AH332" s="148">
        <f>AVERAGE(AG331:AH331)</f>
        <v>211087</v>
      </c>
      <c r="AI332" s="720">
        <f>AVERAGE(AH331:AI331)</f>
        <v>213966.5</v>
      </c>
      <c r="AJ332" s="343">
        <f>AVERAGE(AJ331,AE331)</f>
        <v>194656.5</v>
      </c>
      <c r="AK332" s="148">
        <f t="shared" ref="AK332:AN332" si="569">AVERAGE(AJ331:AK331)</f>
        <v>217867.76749999999</v>
      </c>
      <c r="AL332" s="148">
        <f t="shared" si="569"/>
        <v>220921.71418449999</v>
      </c>
      <c r="AM332" s="148">
        <f t="shared" si="569"/>
        <v>223824.33944695746</v>
      </c>
      <c r="AN332" s="720">
        <f t="shared" si="569"/>
        <v>226605.8372791842</v>
      </c>
      <c r="AO332" s="2585">
        <f>AVERAGE(AO331,AJ331)</f>
        <v>222171.44451672674</v>
      </c>
      <c r="AP332" s="343">
        <f>AVERAGE(AO331:AP331)</f>
        <v>233136.98152414855</v>
      </c>
      <c r="AQ332" s="343">
        <f>AVERAGE(AP331:AQ331)</f>
        <v>241712.13803732066</v>
      </c>
      <c r="AR332" s="193"/>
      <c r="AS332" s="489" t="str">
        <f t="shared" si="558"/>
        <v>Managed Rooms, avg.</v>
      </c>
      <c r="AT332" s="191">
        <f t="shared" si="559"/>
        <v>121188</v>
      </c>
      <c r="AU332" s="191">
        <f t="shared" si="559"/>
        <v>127674</v>
      </c>
      <c r="AV332" s="191">
        <f t="shared" si="560"/>
        <v>136811.75</v>
      </c>
      <c r="AW332" s="191">
        <f t="shared" si="561"/>
        <v>144602.75</v>
      </c>
      <c r="AX332" s="191">
        <f t="shared" si="562"/>
        <v>155961.75</v>
      </c>
      <c r="AY332" s="191">
        <f t="shared" si="563"/>
        <v>159531.75</v>
      </c>
      <c r="AZ332" s="191">
        <f t="shared" si="564"/>
        <v>169488.5</v>
      </c>
      <c r="BA332" s="191">
        <f t="shared" si="565"/>
        <v>194656.5</v>
      </c>
      <c r="BB332" s="191">
        <f t="shared" si="566"/>
        <v>222171.44451672674</v>
      </c>
      <c r="BC332" s="191">
        <f t="shared" si="567"/>
        <v>233136.98152414855</v>
      </c>
      <c r="BD332" s="420">
        <f t="shared" si="568"/>
        <v>241712.13803732066</v>
      </c>
      <c r="BF332" s="900"/>
      <c r="BM332" s="902"/>
      <c r="BN332" s="902"/>
      <c r="BO332" s="902"/>
      <c r="BP332" s="902"/>
      <c r="BQ332" s="902"/>
      <c r="BR332" s="902"/>
      <c r="BS332" s="902"/>
    </row>
    <row r="333" spans="1:71" ht="12.75" customHeight="1">
      <c r="A333" s="490" t="s">
        <v>1249</v>
      </c>
      <c r="B333" s="200"/>
      <c r="C333" s="200"/>
      <c r="D333" s="200"/>
      <c r="E333" s="240"/>
      <c r="F333" s="355">
        <f>+F332-E332</f>
        <v>6486</v>
      </c>
      <c r="G333" s="1066">
        <f>+G332-F332</f>
        <v>7957</v>
      </c>
      <c r="H333" s="1066">
        <f>+H332-G332</f>
        <v>1068</v>
      </c>
      <c r="I333" s="1066">
        <f>+I332-H332</f>
        <v>-130.5</v>
      </c>
      <c r="J333" s="1066">
        <f>+J332-I332</f>
        <v>1780</v>
      </c>
      <c r="K333" s="355">
        <f>SUM(G333:J333)</f>
        <v>10674.5</v>
      </c>
      <c r="L333" s="1066">
        <f>+L332-J332</f>
        <v>3412.5</v>
      </c>
      <c r="M333" s="1066">
        <f>+M332-L332</f>
        <v>1605.5</v>
      </c>
      <c r="N333" s="1066">
        <f>+N332-M332</f>
        <v>1462.5</v>
      </c>
      <c r="O333" s="1066">
        <f>+O332-N332</f>
        <v>3625.5</v>
      </c>
      <c r="P333" s="355">
        <f>SUM(L333:O333)</f>
        <v>10106</v>
      </c>
      <c r="Q333" s="1066">
        <f>+Q332-O332</f>
        <v>3682</v>
      </c>
      <c r="R333" s="1066">
        <f>+R332-Q332</f>
        <v>2865</v>
      </c>
      <c r="S333" s="1066">
        <f>+S332-R332</f>
        <v>2258</v>
      </c>
      <c r="T333" s="1066">
        <f>+T332-S332</f>
        <v>2190</v>
      </c>
      <c r="U333" s="355">
        <f>SUM(Q333:T333)</f>
        <v>10995</v>
      </c>
      <c r="V333" s="1066">
        <f>+V332-U332</f>
        <v>3235.75</v>
      </c>
      <c r="W333" s="1066">
        <f>+W332-V332</f>
        <v>-1812</v>
      </c>
      <c r="X333" s="1066">
        <f>+X332-W332</f>
        <v>1087.5</v>
      </c>
      <c r="Y333" s="1066">
        <f>+Y332-X332</f>
        <v>4598</v>
      </c>
      <c r="Z333" s="2765">
        <f>SUM(V333:Y333)</f>
        <v>7109.25</v>
      </c>
      <c r="AA333" s="2557">
        <f>+AA332-Z332</f>
        <v>5646.75</v>
      </c>
      <c r="AB333" s="1066">
        <f>+AB332-AA332</f>
        <v>590</v>
      </c>
      <c r="AC333" s="1066">
        <f>+AC332-AB332</f>
        <v>2485</v>
      </c>
      <c r="AD333" s="2558">
        <f>+AD332-AC332</f>
        <v>2898.5</v>
      </c>
      <c r="AE333" s="355">
        <f>AE332-Z332</f>
        <v>9956.75</v>
      </c>
      <c r="AF333" s="1066">
        <f>+AF332-AD332</f>
        <v>19742.666499999992</v>
      </c>
      <c r="AG333" s="1066">
        <f>+AG332-AF332</f>
        <v>18800</v>
      </c>
      <c r="AH333" s="1066">
        <f>+AH332-AG332</f>
        <v>1392.3335000000079</v>
      </c>
      <c r="AI333" s="2558">
        <f>+AI332-AH332</f>
        <v>2879.5</v>
      </c>
      <c r="AJ333" s="355">
        <f>AJ332-AE332</f>
        <v>25168</v>
      </c>
      <c r="AK333" s="1066">
        <f t="shared" ref="AK333:AN333" si="570">+AK332-AJ332</f>
        <v>23211.267499999987</v>
      </c>
      <c r="AL333" s="1066">
        <f t="shared" si="570"/>
        <v>3053.9466844999988</v>
      </c>
      <c r="AM333" s="1066">
        <f t="shared" si="570"/>
        <v>2902.6252624574699</v>
      </c>
      <c r="AN333" s="2558">
        <f t="shared" si="570"/>
        <v>2781.4978322267416</v>
      </c>
      <c r="AO333" s="2765">
        <f>AO332-AJ332</f>
        <v>27514.94451672674</v>
      </c>
      <c r="AP333" s="355">
        <f>+AP332-AO332</f>
        <v>10965.537007421808</v>
      </c>
      <c r="AQ333" s="355">
        <f>+AQ332-AP332</f>
        <v>8575.1565131721145</v>
      </c>
      <c r="AR333" s="193"/>
      <c r="AS333" s="543" t="str">
        <f t="shared" si="558"/>
        <v>Net Additions, seq.</v>
      </c>
      <c r="AT333" s="330">
        <f t="shared" si="559"/>
        <v>0</v>
      </c>
      <c r="AU333" s="330">
        <f t="shared" si="559"/>
        <v>6486</v>
      </c>
      <c r="AV333" s="330">
        <f t="shared" si="560"/>
        <v>10674.5</v>
      </c>
      <c r="AW333" s="330">
        <f t="shared" si="561"/>
        <v>10106</v>
      </c>
      <c r="AX333" s="330">
        <f t="shared" si="562"/>
        <v>10995</v>
      </c>
      <c r="AY333" s="330">
        <f t="shared" si="563"/>
        <v>7109.25</v>
      </c>
      <c r="AZ333" s="330">
        <f t="shared" si="564"/>
        <v>9956.75</v>
      </c>
      <c r="BA333" s="330">
        <f t="shared" si="565"/>
        <v>25168</v>
      </c>
      <c r="BB333" s="330">
        <f t="shared" si="566"/>
        <v>27514.94451672674</v>
      </c>
      <c r="BC333" s="330">
        <f t="shared" si="567"/>
        <v>10965.537007421808</v>
      </c>
      <c r="BD333" s="882">
        <f t="shared" si="568"/>
        <v>8575.1565131721145</v>
      </c>
      <c r="BF333" s="900"/>
      <c r="BM333" s="902"/>
      <c r="BN333" s="902"/>
      <c r="BO333" s="902"/>
      <c r="BP333" s="902"/>
      <c r="BQ333" s="902"/>
      <c r="BR333" s="902"/>
      <c r="BS333" s="902"/>
    </row>
    <row r="334" spans="1:71" ht="12.75" customHeight="1">
      <c r="A334" s="490" t="s">
        <v>1226</v>
      </c>
      <c r="B334" s="200"/>
      <c r="C334" s="200"/>
      <c r="D334" s="200"/>
      <c r="E334" s="428"/>
      <c r="F334" s="680">
        <f>+F333/E331</f>
        <v>5.3520150509951479E-2</v>
      </c>
      <c r="G334" s="419">
        <f>+G333/F331</f>
        <v>5.9309779367918904E-2</v>
      </c>
      <c r="H334" s="419">
        <f>+H333/G331</f>
        <v>7.7898207174220656E-3</v>
      </c>
      <c r="I334" s="419">
        <f>+I333/H331</f>
        <v>-9.5747490755414689E-4</v>
      </c>
      <c r="J334" s="419">
        <f>+J333/I331</f>
        <v>1.300779737067107E-2</v>
      </c>
      <c r="K334" s="680">
        <f>+K331/F331-1</f>
        <v>4.2456768038163339E-2</v>
      </c>
      <c r="L334" s="419">
        <f>+L333/K331</f>
        <v>2.440009724287839E-2</v>
      </c>
      <c r="M334" s="419">
        <f>+M333/L331</f>
        <v>1.1175225871117732E-2</v>
      </c>
      <c r="N334" s="419">
        <f>+N333/M331</f>
        <v>1.0222483172220008E-2</v>
      </c>
      <c r="O334" s="419">
        <f>+O333/N331</f>
        <v>2.4732077685533219E-2</v>
      </c>
      <c r="P334" s="680">
        <f>+P331/K331-1</f>
        <v>7.4805514243221571E-2</v>
      </c>
      <c r="Q334" s="419">
        <f>+Q333/P331</f>
        <v>2.4494737822483004E-2</v>
      </c>
      <c r="R334" s="419">
        <f>+R333/Q331</f>
        <v>1.8609333896268392E-2</v>
      </c>
      <c r="S334" s="419">
        <f>+S333/R331</f>
        <v>1.4469906695375782E-2</v>
      </c>
      <c r="T334" s="419">
        <f>+T333/S331</f>
        <v>1.3819563200838008E-2</v>
      </c>
      <c r="U334" s="680">
        <f>+U331/P331-1</f>
        <v>6.7257414281722827E-2</v>
      </c>
      <c r="V334" s="419">
        <f>+V333/U331</f>
        <v>2.0169484129952377E-2</v>
      </c>
      <c r="W334" s="419">
        <f>+W333/V331</f>
        <v>-1.1470750219982655E-2</v>
      </c>
      <c r="X334" s="419">
        <f>+X333/W331</f>
        <v>6.9354098109742097E-3</v>
      </c>
      <c r="Y334" s="419">
        <f>+Y333/X331</f>
        <v>2.8712018083950495E-2</v>
      </c>
      <c r="Z334" s="680">
        <f>+Z331/U331-1</f>
        <v>3.4732091654823272E-2</v>
      </c>
      <c r="AA334" s="2518">
        <f>+AA333/Z331</f>
        <v>3.4016566265060243E-2</v>
      </c>
      <c r="AB334" s="419">
        <f>+AB333/AA331</f>
        <v>3.5897467099058758E-3</v>
      </c>
      <c r="AC334" s="419">
        <f>+AC333/AB331</f>
        <v>1.4864218207919607E-2</v>
      </c>
      <c r="AD334" s="876">
        <f>+AD333/AC331</f>
        <v>1.7117766215665547E-2</v>
      </c>
      <c r="AE334" s="680">
        <f>+AE331/Z331-1</f>
        <v>4.203012048192778E-2</v>
      </c>
      <c r="AF334" s="419">
        <f>+AF333/AD331</f>
        <v>0.11413463350618863</v>
      </c>
      <c r="AG334" s="419">
        <f>+AG333/AF331</f>
        <v>9.0032996279008098E-2</v>
      </c>
      <c r="AH334" s="419">
        <f>+AH333/AG331</f>
        <v>6.6119922878567364E-3</v>
      </c>
      <c r="AI334" s="876">
        <f>+AI333/AH331</f>
        <v>1.3608415998336461E-2</v>
      </c>
      <c r="AJ334" s="680">
        <f>+AJ331/AE331-1</f>
        <v>0.25066338299311464</v>
      </c>
      <c r="AK334" s="419">
        <f t="shared" ref="AK334:AN334" si="571">+AK333/AJ331</f>
        <v>0.1072926720471858</v>
      </c>
      <c r="AL334" s="419">
        <f t="shared" si="571"/>
        <v>1.3919567716950718E-2</v>
      </c>
      <c r="AM334" s="419">
        <f t="shared" si="571"/>
        <v>1.3048797242738708E-2</v>
      </c>
      <c r="AN334" s="876">
        <f t="shared" si="571"/>
        <v>1.235097125375703E-2</v>
      </c>
      <c r="AO334" s="680">
        <f>+AO331/AJ331-1</f>
        <v>5.3947974601793014E-2</v>
      </c>
      <c r="AP334" s="680">
        <f>AP331/AO331-1</f>
        <v>4.4999451660799439E-2</v>
      </c>
      <c r="AQ334" s="680">
        <f>AQ331/AP331-1</f>
        <v>2.8917667593990837E-2</v>
      </c>
      <c r="AR334" s="193"/>
      <c r="AS334" s="543" t="str">
        <f t="shared" si="558"/>
        <v>% growth, seq.</v>
      </c>
      <c r="AT334" s="238">
        <f t="shared" si="559"/>
        <v>0</v>
      </c>
      <c r="AU334" s="238">
        <f t="shared" si="559"/>
        <v>5.3520150509951479E-2</v>
      </c>
      <c r="AV334" s="238">
        <f t="shared" si="560"/>
        <v>4.2456768038163339E-2</v>
      </c>
      <c r="AW334" s="238">
        <f t="shared" si="561"/>
        <v>7.4805514243221571E-2</v>
      </c>
      <c r="AX334" s="238">
        <f t="shared" si="562"/>
        <v>6.7257414281722827E-2</v>
      </c>
      <c r="AY334" s="238">
        <f t="shared" si="563"/>
        <v>3.4732091654823272E-2</v>
      </c>
      <c r="AZ334" s="238">
        <f t="shared" si="564"/>
        <v>4.203012048192778E-2</v>
      </c>
      <c r="BA334" s="238">
        <f t="shared" si="565"/>
        <v>0.25066338299311464</v>
      </c>
      <c r="BB334" s="238">
        <f t="shared" si="566"/>
        <v>5.3947974601793014E-2</v>
      </c>
      <c r="BC334" s="238">
        <f t="shared" si="567"/>
        <v>4.4999451660799439E-2</v>
      </c>
      <c r="BD334" s="789">
        <f t="shared" si="568"/>
        <v>2.8917667593990837E-2</v>
      </c>
      <c r="BF334" s="900"/>
      <c r="BM334" s="902"/>
      <c r="BN334" s="902"/>
      <c r="BO334" s="902"/>
      <c r="BP334" s="902"/>
      <c r="BQ334" s="902"/>
      <c r="BR334" s="902"/>
      <c r="BS334" s="902"/>
    </row>
    <row r="335" spans="1:71" ht="12.75" customHeight="1">
      <c r="A335" s="490" t="s">
        <v>2309</v>
      </c>
      <c r="B335" s="200"/>
      <c r="C335" s="200"/>
      <c r="D335" s="200"/>
      <c r="E335" s="200"/>
      <c r="F335" s="362">
        <f>F331/E331-1</f>
        <v>0.10704030101990303</v>
      </c>
      <c r="G335" s="188"/>
      <c r="H335" s="188"/>
      <c r="I335" s="188"/>
      <c r="J335" s="188"/>
      <c r="K335" s="362">
        <f t="shared" ref="K335:U335" si="572">K331/F331-1</f>
        <v>4.2456768038163339E-2</v>
      </c>
      <c r="L335" s="672">
        <f>L331/G331-1</f>
        <v>4.7876763285728874E-2</v>
      </c>
      <c r="M335" s="238">
        <f t="shared" si="572"/>
        <v>4.9678640605740343E-2</v>
      </c>
      <c r="N335" s="238">
        <f t="shared" si="572"/>
        <v>7.1250575485417356E-2</v>
      </c>
      <c r="O335" s="789">
        <f t="shared" si="572"/>
        <v>7.4805514243221571E-2</v>
      </c>
      <c r="P335" s="362">
        <f t="shared" si="572"/>
        <v>7.4805514243221571E-2</v>
      </c>
      <c r="Q335" s="672">
        <f>Q331/L331-1</f>
        <v>7.1617501705344422E-2</v>
      </c>
      <c r="R335" s="238">
        <f t="shared" si="572"/>
        <v>9.0733712176812364E-2</v>
      </c>
      <c r="S335" s="238">
        <f t="shared" si="572"/>
        <v>8.1041810206629261E-2</v>
      </c>
      <c r="T335" s="789">
        <f t="shared" si="572"/>
        <v>6.7257414281722827E-2</v>
      </c>
      <c r="U335" s="362">
        <f t="shared" si="572"/>
        <v>6.7257414281722827E-2</v>
      </c>
      <c r="V335" s="238">
        <f t="shared" ref="V335:AC335" si="573">V331/Q331-1</f>
        <v>2.6059562859277019E-2</v>
      </c>
      <c r="W335" s="238">
        <f t="shared" si="573"/>
        <v>4.8446631805598717E-3</v>
      </c>
      <c r="X335" s="238">
        <f t="shared" si="573"/>
        <v>1.0544516031324447E-2</v>
      </c>
      <c r="Y335" s="789">
        <f t="shared" si="573"/>
        <v>3.4732091654823272E-2</v>
      </c>
      <c r="Z335" s="362">
        <f t="shared" si="573"/>
        <v>3.4732091654823272E-2</v>
      </c>
      <c r="AA335" s="672">
        <f t="shared" si="573"/>
        <v>4.0451486702918871E-2</v>
      </c>
      <c r="AB335" s="238">
        <f t="shared" si="573"/>
        <v>6.617178133210877E-2</v>
      </c>
      <c r="AC335" s="238">
        <f t="shared" si="573"/>
        <v>5.7355347129422585E-2</v>
      </c>
      <c r="AD335" s="789">
        <f t="shared" ref="AD335:AJ335" si="574">AD331/Y331-1</f>
        <v>4.203012048192778E-2</v>
      </c>
      <c r="AE335" s="362">
        <f t="shared" si="574"/>
        <v>4.203012048192778E-2</v>
      </c>
      <c r="AF335" s="238">
        <f t="shared" si="574"/>
        <v>0.2704803141941019</v>
      </c>
      <c r="AG335" s="238">
        <f t="shared" si="574"/>
        <v>0.25958248594329469</v>
      </c>
      <c r="AH335" s="238">
        <f t="shared" si="574"/>
        <v>0.24963532100610064</v>
      </c>
      <c r="AI335" s="789">
        <f t="shared" si="574"/>
        <v>0.25066338299311464</v>
      </c>
      <c r="AJ335" s="362">
        <f t="shared" si="574"/>
        <v>0.25066338299311464</v>
      </c>
      <c r="AK335" s="238">
        <f t="shared" ref="AK335" si="575">AK331/AF331-1</f>
        <v>5.0701995652718379E-2</v>
      </c>
      <c r="AL335" s="238">
        <f t="shared" ref="AL335" si="576">AL331/AG331-1</f>
        <v>5.6354176234821418E-2</v>
      </c>
      <c r="AM335" s="238">
        <f t="shared" ref="AM335" si="577">AM331/AH331-1</f>
        <v>6.4309917082543411E-2</v>
      </c>
      <c r="AN335" s="789">
        <f t="shared" ref="AN335:AO335" si="578">AN331/AI331-1</f>
        <v>5.3947974601793014E-2</v>
      </c>
      <c r="AO335" s="362">
        <f t="shared" si="578"/>
        <v>5.3947974601793014E-2</v>
      </c>
      <c r="AP335" s="362">
        <f>AP331/AO331-1</f>
        <v>4.4999451660799439E-2</v>
      </c>
      <c r="AQ335" s="362">
        <f>AQ331/AP331-1</f>
        <v>2.8917667593990837E-2</v>
      </c>
      <c r="AR335" s="193"/>
      <c r="AS335" s="543" t="str">
        <f t="shared" si="558"/>
        <v>% growth, y/y</v>
      </c>
      <c r="AT335" s="238">
        <f t="shared" si="559"/>
        <v>0</v>
      </c>
      <c r="AU335" s="238">
        <f t="shared" si="559"/>
        <v>0.10704030101990303</v>
      </c>
      <c r="AV335" s="238">
        <f t="shared" si="560"/>
        <v>4.2456768038163339E-2</v>
      </c>
      <c r="AW335" s="238">
        <f t="shared" si="561"/>
        <v>7.4805514243221571E-2</v>
      </c>
      <c r="AX335" s="238">
        <f t="shared" si="562"/>
        <v>6.7257414281722827E-2</v>
      </c>
      <c r="AY335" s="238">
        <f t="shared" si="563"/>
        <v>3.4732091654823272E-2</v>
      </c>
      <c r="AZ335" s="238">
        <f t="shared" si="564"/>
        <v>4.203012048192778E-2</v>
      </c>
      <c r="BA335" s="238">
        <f t="shared" si="565"/>
        <v>0.25066338299311464</v>
      </c>
      <c r="BB335" s="238">
        <f t="shared" si="566"/>
        <v>5.3947974601793014E-2</v>
      </c>
      <c r="BC335" s="238">
        <f t="shared" si="567"/>
        <v>4.4999451660799439E-2</v>
      </c>
      <c r="BD335" s="789">
        <f t="shared" si="568"/>
        <v>2.8917667593990837E-2</v>
      </c>
      <c r="BF335" s="900"/>
      <c r="BM335" s="902"/>
      <c r="BN335" s="902"/>
      <c r="BO335" s="902"/>
      <c r="BP335" s="902"/>
      <c r="BQ335" s="902"/>
      <c r="BR335" s="902"/>
      <c r="BS335" s="902"/>
    </row>
    <row r="336" spans="1:71" s="122" customFormat="1" ht="12.75" customHeight="1">
      <c r="A336" s="490" t="s">
        <v>632</v>
      </c>
      <c r="B336" s="352"/>
      <c r="C336" s="352"/>
      <c r="D336" s="352"/>
      <c r="E336" s="352">
        <f>E331/E327</f>
        <v>297.02941176470586</v>
      </c>
      <c r="F336" s="352">
        <f t="shared" ref="F336:W336" si="579">F331/F327</f>
        <v>281.25786163522014</v>
      </c>
      <c r="G336" s="334">
        <f t="shared" si="579"/>
        <v>282.68453608247421</v>
      </c>
      <c r="H336" s="334">
        <f t="shared" si="579"/>
        <v>284.54279749478081</v>
      </c>
      <c r="I336" s="334">
        <f t="shared" si="579"/>
        <v>284.49272349272348</v>
      </c>
      <c r="J336" s="334">
        <f t="shared" si="579"/>
        <v>283.68356997971603</v>
      </c>
      <c r="K336" s="352">
        <f t="shared" si="579"/>
        <v>283.68356997971603</v>
      </c>
      <c r="L336" s="334">
        <f t="shared" si="579"/>
        <v>274.69598470363286</v>
      </c>
      <c r="M336" s="334">
        <f t="shared" si="579"/>
        <v>275.12884615384615</v>
      </c>
      <c r="N336" s="334">
        <f t="shared" si="579"/>
        <v>276.5867924528302</v>
      </c>
      <c r="O336" s="334">
        <f t="shared" si="579"/>
        <v>278.36666666666667</v>
      </c>
      <c r="P336" s="352">
        <f t="shared" si="579"/>
        <v>278.36666666666667</v>
      </c>
      <c r="Q336" s="334">
        <f>Q331/Q327</f>
        <v>279.41016333938296</v>
      </c>
      <c r="R336" s="334">
        <f t="shared" si="579"/>
        <v>278.16042780748666</v>
      </c>
      <c r="S336" s="334">
        <f t="shared" si="579"/>
        <v>278.99823943661971</v>
      </c>
      <c r="T336" s="334">
        <f t="shared" si="579"/>
        <v>281.45263157894738</v>
      </c>
      <c r="U336" s="352">
        <f t="shared" si="579"/>
        <v>281.45263157894738</v>
      </c>
      <c r="V336" s="334">
        <f t="shared" si="579"/>
        <v>281.08007117437722</v>
      </c>
      <c r="W336" s="334">
        <f t="shared" si="579"/>
        <v>281.51526032315979</v>
      </c>
      <c r="X336" s="334">
        <f t="shared" ref="X336:AQ336" si="580">X331/X327</f>
        <v>282.43738977072309</v>
      </c>
      <c r="Y336" s="334">
        <f t="shared" si="580"/>
        <v>281.83361629881153</v>
      </c>
      <c r="Z336" s="352">
        <f t="shared" si="580"/>
        <v>281.83361629881153</v>
      </c>
      <c r="AA336" s="2519">
        <f t="shared" si="580"/>
        <v>284.35467128027682</v>
      </c>
      <c r="AB336" s="334">
        <f t="shared" si="580"/>
        <v>286.26712328767121</v>
      </c>
      <c r="AC336" s="334">
        <f t="shared" si="580"/>
        <v>286.50930626057527</v>
      </c>
      <c r="AD336" s="874">
        <f t="shared" si="580"/>
        <v>285.91239669421486</v>
      </c>
      <c r="AE336" s="352">
        <f t="shared" si="580"/>
        <v>285.91239669421486</v>
      </c>
      <c r="AF336" s="334">
        <f t="shared" si="580"/>
        <v>308.72820216363107</v>
      </c>
      <c r="AG336" s="334">
        <f t="shared" si="580"/>
        <v>309.81339342021579</v>
      </c>
      <c r="AH336" s="334">
        <f t="shared" si="580"/>
        <v>308.90072992700732</v>
      </c>
      <c r="AI336" s="874">
        <f t="shared" si="580"/>
        <v>307.29545454545456</v>
      </c>
      <c r="AJ336" s="352">
        <f t="shared" si="580"/>
        <v>307.29545454545456</v>
      </c>
      <c r="AK336" s="334">
        <f t="shared" ref="AK336:AO336" si="581">AK331/AK327</f>
        <v>307.20481531266626</v>
      </c>
      <c r="AL336" s="334">
        <f t="shared" si="581"/>
        <v>307.0575379636943</v>
      </c>
      <c r="AM336" s="334">
        <f t="shared" si="581"/>
        <v>306.77191154851425</v>
      </c>
      <c r="AN336" s="874">
        <f t="shared" si="581"/>
        <v>306.4865503073998</v>
      </c>
      <c r="AO336" s="352">
        <f t="shared" si="581"/>
        <v>306.4865503073998</v>
      </c>
      <c r="AP336" s="352">
        <f t="shared" si="580"/>
        <v>306.09603487879281</v>
      </c>
      <c r="AQ336" s="352">
        <f t="shared" si="580"/>
        <v>305.49472836792756</v>
      </c>
      <c r="AR336" s="330"/>
      <c r="AS336" s="543" t="str">
        <f t="shared" si="558"/>
        <v>Rooms per Hotel</v>
      </c>
      <c r="AT336" s="330">
        <f t="shared" si="559"/>
        <v>297.02941176470586</v>
      </c>
      <c r="AU336" s="330">
        <f t="shared" si="559"/>
        <v>281.25786163522014</v>
      </c>
      <c r="AV336" s="330">
        <f t="shared" si="560"/>
        <v>283.68356997971603</v>
      </c>
      <c r="AW336" s="330">
        <f t="shared" si="561"/>
        <v>278.36666666666667</v>
      </c>
      <c r="AX336" s="330">
        <f t="shared" si="562"/>
        <v>281.45263157894738</v>
      </c>
      <c r="AY336" s="330">
        <f t="shared" si="563"/>
        <v>281.83361629881153</v>
      </c>
      <c r="AZ336" s="330">
        <f t="shared" si="564"/>
        <v>285.91239669421486</v>
      </c>
      <c r="BA336" s="330">
        <f t="shared" si="565"/>
        <v>307.29545454545456</v>
      </c>
      <c r="BB336" s="330">
        <f t="shared" si="566"/>
        <v>306.4865503073998</v>
      </c>
      <c r="BC336" s="330">
        <f t="shared" si="567"/>
        <v>306.09603487879281</v>
      </c>
      <c r="BD336" s="882">
        <f t="shared" si="568"/>
        <v>305.49472836792756</v>
      </c>
      <c r="BE336" s="14"/>
      <c r="BF336" s="1087"/>
      <c r="BG336"/>
      <c r="BH336"/>
      <c r="BI336"/>
      <c r="BJ336"/>
      <c r="BK336"/>
      <c r="BL336"/>
      <c r="BM336" s="1088"/>
      <c r="BN336" s="1088"/>
      <c r="BO336" s="1088"/>
      <c r="BP336" s="1088"/>
      <c r="BQ336" s="1088"/>
      <c r="BR336" s="1088"/>
      <c r="BS336" s="1088"/>
    </row>
    <row r="337" spans="1:71" ht="12.75" customHeight="1">
      <c r="A337" s="988"/>
      <c r="B337" s="200"/>
      <c r="C337" s="200"/>
      <c r="D337" s="200"/>
      <c r="E337" s="200"/>
      <c r="F337" s="200"/>
      <c r="G337" s="188"/>
      <c r="H337" s="188"/>
      <c r="I337" s="188"/>
      <c r="J337" s="188"/>
      <c r="K337" s="200"/>
      <c r="L337" s="188"/>
      <c r="M337" s="188"/>
      <c r="N337" s="188"/>
      <c r="O337" s="188"/>
      <c r="P337" s="200"/>
      <c r="Q337" s="188"/>
      <c r="R337" s="188"/>
      <c r="S337" s="188"/>
      <c r="T337" s="188"/>
      <c r="U337" s="200"/>
      <c r="V337" s="188"/>
      <c r="W337" s="188"/>
      <c r="X337" s="188"/>
      <c r="Y337" s="2726"/>
      <c r="Z337" s="200"/>
      <c r="AA337" s="2502"/>
      <c r="AB337" s="188"/>
      <c r="AC337" s="188"/>
      <c r="AD337" s="849"/>
      <c r="AE337" s="200"/>
      <c r="AF337" s="188"/>
      <c r="AG337" s="188"/>
      <c r="AH337" s="188"/>
      <c r="AI337" s="849"/>
      <c r="AJ337" s="200"/>
      <c r="AK337" s="188"/>
      <c r="AL337" s="188"/>
      <c r="AM337" s="188"/>
      <c r="AN337" s="849"/>
      <c r="AO337" s="2765"/>
      <c r="AP337" s="200"/>
      <c r="AQ337" s="200"/>
      <c r="AR337" s="193"/>
      <c r="AS337" s="489"/>
      <c r="AT337" s="191"/>
      <c r="AU337" s="191"/>
      <c r="AV337" s="191"/>
      <c r="AW337" s="191"/>
      <c r="AX337" s="191"/>
      <c r="AY337" s="191"/>
      <c r="AZ337" s="191"/>
      <c r="BA337" s="191"/>
      <c r="BB337" s="191"/>
      <c r="BC337" s="191"/>
      <c r="BD337" s="420"/>
      <c r="BF337" s="900"/>
      <c r="BM337" s="902"/>
      <c r="BN337" s="902"/>
      <c r="BO337" s="902"/>
      <c r="BP337" s="902"/>
      <c r="BQ337" s="902"/>
      <c r="BR337" s="902"/>
      <c r="BS337" s="902"/>
    </row>
    <row r="338" spans="1:71" ht="12.75" customHeight="1">
      <c r="A338" s="497" t="s">
        <v>1252</v>
      </c>
      <c r="B338" s="200"/>
      <c r="C338" s="200"/>
      <c r="D338" s="200"/>
      <c r="E338" s="200"/>
      <c r="F338" s="200"/>
      <c r="G338" s="188"/>
      <c r="H338" s="188"/>
      <c r="I338" s="188"/>
      <c r="J338" s="188"/>
      <c r="K338" s="200"/>
      <c r="L338" s="188"/>
      <c r="M338" s="188"/>
      <c r="N338" s="188"/>
      <c r="O338" s="188"/>
      <c r="P338" s="200"/>
      <c r="Q338" s="188"/>
      <c r="R338" s="188"/>
      <c r="S338" s="188"/>
      <c r="T338" s="188"/>
      <c r="U338" s="200"/>
      <c r="V338" s="188"/>
      <c r="W338" s="188"/>
      <c r="X338" s="188"/>
      <c r="Y338" s="2726"/>
      <c r="Z338" s="200"/>
      <c r="AA338" s="2502"/>
      <c r="AB338" s="188"/>
      <c r="AC338" s="188"/>
      <c r="AD338" s="849"/>
      <c r="AE338" s="200"/>
      <c r="AF338" s="188"/>
      <c r="AG338" s="188"/>
      <c r="AH338" s="188"/>
      <c r="AI338" s="849"/>
      <c r="AJ338" s="200"/>
      <c r="AK338" s="188"/>
      <c r="AL338" s="188"/>
      <c r="AM338" s="188"/>
      <c r="AN338" s="849"/>
      <c r="AO338" s="2765"/>
      <c r="AP338" s="200"/>
      <c r="AQ338" s="200"/>
      <c r="AR338" s="193"/>
      <c r="AS338" s="489" t="str">
        <f>+A338</f>
        <v>RevPAR Growth</v>
      </c>
      <c r="AT338" s="191"/>
      <c r="AU338" s="191"/>
      <c r="AV338" s="191"/>
      <c r="AW338" s="191"/>
      <c r="AX338" s="191"/>
      <c r="AY338" s="191"/>
      <c r="AZ338" s="191"/>
      <c r="BA338" s="191"/>
      <c r="BB338" s="191"/>
      <c r="BC338" s="191"/>
      <c r="BD338" s="420"/>
      <c r="BF338" s="900"/>
      <c r="BM338" s="902"/>
      <c r="BN338" s="902"/>
      <c r="BO338" s="902"/>
      <c r="BP338" s="902"/>
      <c r="BQ338" s="902"/>
      <c r="BR338" s="902"/>
      <c r="BS338" s="902"/>
    </row>
    <row r="339" spans="1:71" s="130" customFormat="1" ht="12.75" customHeight="1">
      <c r="A339" s="489" t="s">
        <v>2171</v>
      </c>
      <c r="B339" s="200"/>
      <c r="C339" s="200"/>
      <c r="D339" s="200"/>
      <c r="E339" s="1081"/>
      <c r="F339" s="1081">
        <f>RevPAR!C57</f>
        <v>6.7000000000000004E-2</v>
      </c>
      <c r="G339" s="133"/>
      <c r="H339" s="133"/>
      <c r="I339" s="133"/>
      <c r="J339" s="133"/>
      <c r="K339" s="1081">
        <f>RevPAR!H57</f>
        <v>6.0999999999999999E-2</v>
      </c>
      <c r="L339" s="133">
        <f>RevPAR!I57</f>
        <v>5.5E-2</v>
      </c>
      <c r="M339" s="133">
        <f>RevPAR!J57</f>
        <v>5.1999999999999998E-2</v>
      </c>
      <c r="N339" s="133">
        <f>RevPAR!K57</f>
        <v>5.1999999999999998E-2</v>
      </c>
      <c r="O339" s="133">
        <f>RevPAR!L57</f>
        <v>4.7E-2</v>
      </c>
      <c r="P339" s="1081">
        <f>RevPAR!M57</f>
        <v>5.1999999999999998E-2</v>
      </c>
      <c r="Q339" s="133">
        <f>RevPAR!N57</f>
        <v>6.7000000000000004E-2</v>
      </c>
      <c r="R339" s="133">
        <f>RevPAR!O57</f>
        <v>7.2999999999999995E-2</v>
      </c>
      <c r="S339" s="133">
        <f>RevPAR!P57</f>
        <v>8.7999999999999995E-2</v>
      </c>
      <c r="T339" s="133">
        <f>RevPAR!Q57</f>
        <v>6.8000000000000005E-2</v>
      </c>
      <c r="U339" s="1081">
        <f>RevPAR!R57</f>
        <v>7.3999999999999996E-2</v>
      </c>
      <c r="V339" s="133">
        <f>RevPAR!S57</f>
        <v>6.5000000000000002E-2</v>
      </c>
      <c r="W339" s="133">
        <f>RevPAR!T57</f>
        <v>0.05</v>
      </c>
      <c r="X339" s="133">
        <f>RevPAR!U57</f>
        <v>5.0999999999999997E-2</v>
      </c>
      <c r="Y339" s="2749">
        <f>RevPAR!V57</f>
        <v>3.7999999999999999E-2</v>
      </c>
      <c r="Z339" s="2581">
        <f>RevPAR!W57</f>
        <v>5.1999999999999998E-2</v>
      </c>
      <c r="AA339" s="1082">
        <f>RevPAR!X57</f>
        <v>1.7999999999999999E-2</v>
      </c>
      <c r="AB339" s="133">
        <f>RevPAR!Y57</f>
        <v>2.9000000000000001E-2</v>
      </c>
      <c r="AC339" s="133">
        <f>RevPAR!Z57</f>
        <v>1.4999999999999999E-2</v>
      </c>
      <c r="AD339" s="1084">
        <f>RevPAR!AA57</f>
        <v>8.9999999999999993E-3</v>
      </c>
      <c r="AE339" s="1081">
        <f>RevPAR!AB57</f>
        <v>1.7749999999999998E-2</v>
      </c>
      <c r="AF339" s="133">
        <f>RevPAR!AC57</f>
        <v>2.5000000000000001E-2</v>
      </c>
      <c r="AG339" s="133">
        <f>RevPAR!AD57</f>
        <v>5.0000000000000001E-3</v>
      </c>
      <c r="AH339" s="133">
        <f>RevPAR!AE57</f>
        <v>-1E-3</v>
      </c>
      <c r="AI339" s="1084">
        <f>RevPAR!AF57</f>
        <v>3.2000000000000001E-2</v>
      </c>
      <c r="AJ339" s="1081">
        <f>RevPAR!AG57</f>
        <v>1.525E-2</v>
      </c>
      <c r="AK339" s="133">
        <f>RevPAR!AH57</f>
        <v>1.2500000000000001E-2</v>
      </c>
      <c r="AL339" s="133">
        <f>RevPAR!AI57</f>
        <v>0.02</v>
      </c>
      <c r="AM339" s="133">
        <f>RevPAR!AJ57</f>
        <v>0.02</v>
      </c>
      <c r="AN339" s="133">
        <f>RevPAR!AK57</f>
        <v>1.4999999999999999E-2</v>
      </c>
      <c r="AO339" s="2581">
        <f>RevPAR!AL57</f>
        <v>1.6875000000000001E-2</v>
      </c>
      <c r="AP339" s="1081">
        <f>RevPAR!AM57</f>
        <v>1.2999999999999999E-2</v>
      </c>
      <c r="AQ339" s="1081">
        <f>RevPAR!AN57</f>
        <v>-0.03</v>
      </c>
      <c r="AR339" s="193"/>
      <c r="AS339" s="489" t="str">
        <f>+A339</f>
        <v>US</v>
      </c>
      <c r="AT339" s="133">
        <f>+E339</f>
        <v>0</v>
      </c>
      <c r="AU339" s="133">
        <f>+F339</f>
        <v>6.7000000000000004E-2</v>
      </c>
      <c r="AV339" s="133">
        <f>+K339</f>
        <v>6.0999999999999999E-2</v>
      </c>
      <c r="AW339" s="133">
        <f>+P339</f>
        <v>5.1999999999999998E-2</v>
      </c>
      <c r="AX339" s="133">
        <f>+U339</f>
        <v>7.3999999999999996E-2</v>
      </c>
      <c r="AY339" s="133">
        <f>+Z339</f>
        <v>5.1999999999999998E-2</v>
      </c>
      <c r="AZ339" s="133">
        <f>+AE339</f>
        <v>1.7749999999999998E-2</v>
      </c>
      <c r="BA339" s="133">
        <f>+AJ339</f>
        <v>1.525E-2</v>
      </c>
      <c r="BB339" s="133">
        <f t="shared" ref="BB339:BD340" si="582">+AO339</f>
        <v>1.6875000000000001E-2</v>
      </c>
      <c r="BC339" s="133">
        <f t="shared" si="582"/>
        <v>1.2999999999999999E-2</v>
      </c>
      <c r="BD339" s="1084">
        <f t="shared" si="582"/>
        <v>-0.03</v>
      </c>
      <c r="BE339" s="14"/>
      <c r="BF339" s="902"/>
      <c r="BG339"/>
      <c r="BH339"/>
      <c r="BI339"/>
      <c r="BJ339"/>
      <c r="BK339"/>
      <c r="BL339"/>
      <c r="BM339" s="902"/>
      <c r="BN339" s="902"/>
      <c r="BO339" s="902"/>
      <c r="BP339" s="902"/>
      <c r="BQ339" s="902"/>
      <c r="BR339" s="902"/>
      <c r="BS339" s="902"/>
    </row>
    <row r="340" spans="1:71" s="130" customFormat="1" ht="12.75" customHeight="1">
      <c r="A340" s="489" t="s">
        <v>1253</v>
      </c>
      <c r="B340" s="200"/>
      <c r="C340" s="200"/>
      <c r="D340" s="200"/>
      <c r="E340" s="1081"/>
      <c r="F340" s="1081">
        <f>RevPAR!C58</f>
        <v>7.8109542113398656E-2</v>
      </c>
      <c r="G340" s="133"/>
      <c r="H340" s="133"/>
      <c r="I340" s="133"/>
      <c r="J340" s="133"/>
      <c r="K340" s="1081">
        <f>RevPAR!H58</f>
        <v>-6.1049301235761133E-2</v>
      </c>
      <c r="L340" s="133">
        <f>RevPAR!I58</f>
        <v>6.5352869653908519E-3</v>
      </c>
      <c r="M340" s="133">
        <f>RevPAR!J58</f>
        <v>2.451756484843147E-2</v>
      </c>
      <c r="N340" s="133">
        <f>RevPAR!K58</f>
        <v>-4.6733501107215969E-2</v>
      </c>
      <c r="O340" s="133">
        <f>RevPAR!L58</f>
        <v>4.8930600640666067E-2</v>
      </c>
      <c r="P340" s="1081">
        <f>RevPAR!M58</f>
        <v>-4.2105348531188032E-4</v>
      </c>
      <c r="Q340" s="133">
        <f>RevPAR!N58</f>
        <v>5.7841509044647368E-2</v>
      </c>
      <c r="R340" s="133">
        <f>RevPAR!O58</f>
        <v>3.4480932856898502E-2</v>
      </c>
      <c r="S340" s="133">
        <f>RevPAR!P58</f>
        <v>7.1643135353921944E-2</v>
      </c>
      <c r="T340" s="133">
        <f>RevPAR!Q58</f>
        <v>5.1826980620118833E-2</v>
      </c>
      <c r="U340" s="1081">
        <f>RevPAR!R58</f>
        <v>5.4383015947899696E-2</v>
      </c>
      <c r="V340" s="133">
        <f>RevPAR!S58</f>
        <v>7.437793686844954E-2</v>
      </c>
      <c r="W340" s="133">
        <f>RevPAR!T58</f>
        <v>6.0729827024897723E-2</v>
      </c>
      <c r="X340" s="133">
        <f>RevPAR!U58</f>
        <v>8.9052971305265821E-2</v>
      </c>
      <c r="Y340" s="2749">
        <f>RevPAR!V58</f>
        <v>3.1535007090929018E-2</v>
      </c>
      <c r="Z340" s="2581">
        <f>RevPAR!W58</f>
        <v>6.3868276422398285E-2</v>
      </c>
      <c r="AA340" s="1082">
        <f>RevPAR!X58</f>
        <v>3.2350722493491857E-2</v>
      </c>
      <c r="AB340" s="133">
        <f>RevPAR!Y58</f>
        <v>3.620464597162807E-2</v>
      </c>
      <c r="AC340" s="133">
        <f>RevPAR!Z58</f>
        <v>-1.9569263732620041E-3</v>
      </c>
      <c r="AD340" s="1084">
        <f>RevPAR!AA58</f>
        <v>4.1503278385651822E-3</v>
      </c>
      <c r="AE340" s="1081">
        <f>RevPAR!AB58</f>
        <v>1.7543016058768575E-2</v>
      </c>
      <c r="AF340" s="133">
        <f>RevPAR!AC58</f>
        <v>4.400299060685002E-2</v>
      </c>
      <c r="AG340" s="133">
        <f>RevPAR!AD58</f>
        <v>7.2590279076812148E-2</v>
      </c>
      <c r="AH340" s="133">
        <f>RevPAR!AE58</f>
        <v>6.5047904547667443E-2</v>
      </c>
      <c r="AI340" s="1084">
        <f>RevPAR!AF58</f>
        <v>6.3193124887356067E-2</v>
      </c>
      <c r="AJ340" s="1081">
        <f>RevPAR!AG58</f>
        <v>6.1097271547031887E-2</v>
      </c>
      <c r="AK340" s="133">
        <f>RevPAR!AH58</f>
        <v>4.6420654680281781E-2</v>
      </c>
      <c r="AL340" s="133">
        <f>RevPAR!AI58</f>
        <v>4.3853492171179162E-2</v>
      </c>
      <c r="AM340" s="133">
        <f>RevPAR!AJ58</f>
        <v>4.9238869547858707E-2</v>
      </c>
      <c r="AN340" s="133">
        <f>RevPAR!AK58</f>
        <v>4.5907437340496737E-2</v>
      </c>
      <c r="AO340" s="2581">
        <f>RevPAR!AL58</f>
        <v>4.6488349664768905E-2</v>
      </c>
      <c r="AP340" s="1081">
        <f>RevPAR!AM58</f>
        <v>2.8543126135241917E-2</v>
      </c>
      <c r="AQ340" s="1081">
        <f>RevPAR!AN58</f>
        <v>-2.5046219691496646E-2</v>
      </c>
      <c r="AR340" s="193"/>
      <c r="AS340" s="489" t="str">
        <f>+A340</f>
        <v>Int'l</v>
      </c>
      <c r="AT340" s="133">
        <f>+E340</f>
        <v>0</v>
      </c>
      <c r="AU340" s="133">
        <f>+F340</f>
        <v>7.8109542113398656E-2</v>
      </c>
      <c r="AV340" s="133">
        <f>+K340</f>
        <v>-6.1049301235761133E-2</v>
      </c>
      <c r="AW340" s="133">
        <f>+P340</f>
        <v>-4.2105348531188032E-4</v>
      </c>
      <c r="AX340" s="133">
        <f>+U340</f>
        <v>5.4383015947899696E-2</v>
      </c>
      <c r="AY340" s="133">
        <f>+Z340</f>
        <v>6.3868276422398285E-2</v>
      </c>
      <c r="AZ340" s="133">
        <f>+AE340</f>
        <v>1.7543016058768575E-2</v>
      </c>
      <c r="BA340" s="133">
        <f>+AJ340</f>
        <v>6.1097271547031887E-2</v>
      </c>
      <c r="BB340" s="133">
        <f t="shared" si="582"/>
        <v>4.6488349664768905E-2</v>
      </c>
      <c r="BC340" s="133">
        <f t="shared" si="582"/>
        <v>2.8543126135241917E-2</v>
      </c>
      <c r="BD340" s="1084">
        <f t="shared" si="582"/>
        <v>-2.5046219691496646E-2</v>
      </c>
      <c r="BE340" s="14"/>
      <c r="BF340" s="902"/>
      <c r="BG340"/>
      <c r="BH340"/>
      <c r="BI340"/>
      <c r="BJ340"/>
      <c r="BK340"/>
      <c r="BL340"/>
      <c r="BM340" s="902"/>
      <c r="BN340" s="902"/>
      <c r="BO340" s="902"/>
      <c r="BP340" s="902"/>
      <c r="BQ340" s="902"/>
      <c r="BR340" s="902"/>
      <c r="BS340" s="902"/>
    </row>
    <row r="341" spans="1:71" ht="12.75" customHeight="1">
      <c r="A341" s="497"/>
      <c r="B341" s="200"/>
      <c r="C341" s="200"/>
      <c r="D341" s="200"/>
      <c r="E341" s="200"/>
      <c r="F341" s="200"/>
      <c r="G341" s="188"/>
      <c r="H341" s="188"/>
      <c r="I341" s="188"/>
      <c r="J341" s="188"/>
      <c r="K341" s="200"/>
      <c r="L341" s="188"/>
      <c r="M341" s="188"/>
      <c r="N341" s="188"/>
      <c r="O341" s="188"/>
      <c r="P341" s="200"/>
      <c r="Q341" s="188"/>
      <c r="R341" s="188"/>
      <c r="S341" s="188"/>
      <c r="T341" s="188"/>
      <c r="U341" s="200"/>
      <c r="V341" s="188"/>
      <c r="W341" s="188"/>
      <c r="X341" s="188"/>
      <c r="Y341" s="2726"/>
      <c r="Z341" s="200"/>
      <c r="AA341" s="2502"/>
      <c r="AB341" s="188"/>
      <c r="AC341" s="188"/>
      <c r="AD341" s="849"/>
      <c r="AE341" s="200"/>
      <c r="AF341" s="188"/>
      <c r="AG341" s="188"/>
      <c r="AH341" s="188"/>
      <c r="AI341" s="849"/>
      <c r="AJ341" s="200"/>
      <c r="AK341" s="188"/>
      <c r="AL341" s="188"/>
      <c r="AM341" s="188"/>
      <c r="AN341" s="849"/>
      <c r="AO341" s="2765"/>
      <c r="AP341" s="200"/>
      <c r="AQ341" s="200"/>
      <c r="AR341" s="193"/>
      <c r="AS341" s="489"/>
      <c r="AT341" s="191"/>
      <c r="AU341" s="191"/>
      <c r="AV341" s="191"/>
      <c r="AW341" s="191"/>
      <c r="AX341" s="191"/>
      <c r="AY341" s="191"/>
      <c r="AZ341" s="191"/>
      <c r="BA341" s="191"/>
      <c r="BB341" s="191"/>
      <c r="BC341" s="191"/>
      <c r="BD341" s="420"/>
      <c r="BF341" s="900"/>
      <c r="BM341" s="902"/>
      <c r="BN341" s="902"/>
      <c r="BO341" s="902"/>
      <c r="BP341" s="902"/>
      <c r="BQ341" s="902"/>
      <c r="BR341" s="902"/>
      <c r="BS341" s="902"/>
    </row>
    <row r="342" spans="1:71" ht="12.75" customHeight="1">
      <c r="A342" s="497" t="s">
        <v>1254</v>
      </c>
      <c r="B342" s="200"/>
      <c r="C342" s="200"/>
      <c r="D342" s="200"/>
      <c r="E342" s="200"/>
      <c r="F342" s="200"/>
      <c r="G342" s="188"/>
      <c r="H342" s="188"/>
      <c r="I342" s="188"/>
      <c r="J342" s="188"/>
      <c r="K342" s="200"/>
      <c r="L342" s="188"/>
      <c r="M342" s="188"/>
      <c r="N342" s="188"/>
      <c r="O342" s="188"/>
      <c r="P342" s="200"/>
      <c r="Q342" s="188"/>
      <c r="R342" s="188"/>
      <c r="S342" s="188"/>
      <c r="T342" s="188"/>
      <c r="U342" s="200"/>
      <c r="V342" s="188"/>
      <c r="W342" s="188"/>
      <c r="X342" s="188"/>
      <c r="Y342" s="2726"/>
      <c r="Z342" s="200"/>
      <c r="AA342" s="2502"/>
      <c r="AB342" s="188"/>
      <c r="AC342" s="188"/>
      <c r="AD342" s="849"/>
      <c r="AE342" s="200"/>
      <c r="AF342" s="188"/>
      <c r="AG342" s="188"/>
      <c r="AH342" s="188"/>
      <c r="AI342" s="849"/>
      <c r="AJ342" s="200"/>
      <c r="AK342" s="188"/>
      <c r="AL342" s="188"/>
      <c r="AM342" s="188"/>
      <c r="AN342" s="849"/>
      <c r="AO342" s="2765"/>
      <c r="AP342" s="200"/>
      <c r="AQ342" s="200"/>
      <c r="AR342" s="193"/>
      <c r="AS342" s="489" t="str">
        <f>+A342</f>
        <v>Base Weights</v>
      </c>
      <c r="AT342" s="191"/>
      <c r="AU342" s="191"/>
      <c r="AV342" s="191"/>
      <c r="AW342" s="191"/>
      <c r="AX342" s="191"/>
      <c r="AY342" s="191"/>
      <c r="AZ342" s="191"/>
      <c r="BA342" s="191"/>
      <c r="BB342" s="191"/>
      <c r="BC342" s="191"/>
      <c r="BD342" s="420"/>
      <c r="BF342" s="900"/>
      <c r="BM342" s="902"/>
      <c r="BN342" s="902"/>
      <c r="BO342" s="902"/>
      <c r="BP342" s="902"/>
      <c r="BQ342" s="902"/>
      <c r="BR342" s="902"/>
      <c r="BS342" s="902"/>
    </row>
    <row r="343" spans="1:71" s="130" customFormat="1" ht="12.75" customHeight="1">
      <c r="A343" s="489" t="s">
        <v>2171</v>
      </c>
      <c r="B343" s="200"/>
      <c r="C343" s="200"/>
      <c r="D343" s="200"/>
      <c r="E343" s="1081">
        <f>E347/E349</f>
        <v>0.44417362591938869</v>
      </c>
      <c r="F343" s="1081">
        <f t="shared" ref="F343:U343" si="583">F347/F349</f>
        <v>0.39286282154774099</v>
      </c>
      <c r="G343" s="133">
        <f t="shared" si="583"/>
        <v>0.41331208002252934</v>
      </c>
      <c r="H343" s="133">
        <f t="shared" si="583"/>
        <v>0.43068662913965611</v>
      </c>
      <c r="I343" s="133">
        <f t="shared" si="583"/>
        <v>0.40556774515781863</v>
      </c>
      <c r="J343" s="133">
        <f t="shared" si="583"/>
        <v>0.37346325751925091</v>
      </c>
      <c r="K343" s="1081">
        <f t="shared" si="583"/>
        <v>0.40559196890046972</v>
      </c>
      <c r="L343" s="133">
        <f t="shared" si="583"/>
        <v>0.40594206219405632</v>
      </c>
      <c r="M343" s="133">
        <f t="shared" si="583"/>
        <v>0.42652456846728243</v>
      </c>
      <c r="N343" s="133">
        <f t="shared" ref="N343:S343" si="584">N347/N349</f>
        <v>0.42252001210787388</v>
      </c>
      <c r="O343" s="133">
        <f t="shared" si="584"/>
        <v>0.3661799403724208</v>
      </c>
      <c r="P343" s="1081">
        <f t="shared" si="584"/>
        <v>0.405090000124537</v>
      </c>
      <c r="Q343" s="133">
        <f t="shared" si="584"/>
        <v>0.39160981463130756</v>
      </c>
      <c r="R343" s="133">
        <f t="shared" si="584"/>
        <v>0.40603663629939024</v>
      </c>
      <c r="S343" s="133">
        <f t="shared" si="584"/>
        <v>0.38804873362019005</v>
      </c>
      <c r="T343" s="133">
        <f>T347/T349</f>
        <v>0.35942075368845505</v>
      </c>
      <c r="U343" s="1081">
        <f t="shared" si="583"/>
        <v>0.38626967338586304</v>
      </c>
      <c r="V343" s="133">
        <f t="shared" ref="V343:AA343" si="585">V347/V349</f>
        <v>0.40564488148821032</v>
      </c>
      <c r="W343" s="133">
        <f t="shared" si="585"/>
        <v>0.41994326308007912</v>
      </c>
      <c r="X343" s="133">
        <f t="shared" si="585"/>
        <v>0.38842611953370815</v>
      </c>
      <c r="Y343" s="2749">
        <f t="shared" si="585"/>
        <v>0.35407992028710156</v>
      </c>
      <c r="Z343" s="2581">
        <f t="shared" si="585"/>
        <v>0.39165758770205789</v>
      </c>
      <c r="AA343" s="2749">
        <f t="shared" si="585"/>
        <v>0.36999113900772646</v>
      </c>
      <c r="AB343" s="2749">
        <f>AB347/AB349</f>
        <v>0.38784095207448821</v>
      </c>
      <c r="AC343" s="2749">
        <f>AC347/AC349</f>
        <v>0.37366470521900674</v>
      </c>
      <c r="AD343" s="2749">
        <f>AD347/AD349</f>
        <v>0.33885305939965171</v>
      </c>
      <c r="AE343" s="1081">
        <f>AE347/AE349</f>
        <v>0.3678702596647232</v>
      </c>
      <c r="AF343" s="2749">
        <f>AF347/AF349</f>
        <v>0.47275448864013087</v>
      </c>
      <c r="AG343" s="1346">
        <f>1-AG344</f>
        <v>0.47275448864013081</v>
      </c>
      <c r="AH343" s="1346">
        <f>1-AH344</f>
        <v>0.47275448864013081</v>
      </c>
      <c r="AI343" s="2559">
        <f>1-AI344</f>
        <v>0.47275448864013081</v>
      </c>
      <c r="AJ343" s="1081">
        <f>AJ347/AJ349</f>
        <v>0.46085933333935403</v>
      </c>
      <c r="AK343" s="1346">
        <f t="shared" ref="AK343:AN343" si="586">1-AK344</f>
        <v>0.47275448864013081</v>
      </c>
      <c r="AL343" s="1346">
        <f t="shared" si="586"/>
        <v>0.47275448864013081</v>
      </c>
      <c r="AM343" s="1346">
        <f t="shared" si="586"/>
        <v>0.47275448864013081</v>
      </c>
      <c r="AN343" s="1346">
        <f t="shared" si="586"/>
        <v>0.47275448864013081</v>
      </c>
      <c r="AO343" s="2581">
        <f>AO347/AO349</f>
        <v>0.44662328062312012</v>
      </c>
      <c r="AP343" s="1347">
        <f>1-AP344</f>
        <v>0.44662328062312007</v>
      </c>
      <c r="AQ343" s="1347">
        <f>1-AQ344</f>
        <v>0.44662328062312007</v>
      </c>
      <c r="AR343" s="193"/>
      <c r="AS343" s="489" t="str">
        <f>+A343</f>
        <v>US</v>
      </c>
      <c r="AT343" s="133">
        <f>+E343</f>
        <v>0.44417362591938869</v>
      </c>
      <c r="AU343" s="133">
        <f>+F343</f>
        <v>0.39286282154774099</v>
      </c>
      <c r="AV343" s="133">
        <f>+K343</f>
        <v>0.40559196890046972</v>
      </c>
      <c r="AW343" s="133">
        <f>+P343</f>
        <v>0.405090000124537</v>
      </c>
      <c r="AX343" s="133">
        <f>+U343</f>
        <v>0.38626967338586304</v>
      </c>
      <c r="AY343" s="133">
        <f>+Z343</f>
        <v>0.39165758770205789</v>
      </c>
      <c r="AZ343" s="133">
        <f>+AE343</f>
        <v>0.3678702596647232</v>
      </c>
      <c r="BA343" s="133">
        <f>+AJ343</f>
        <v>0.46085933333935403</v>
      </c>
      <c r="BB343" s="133">
        <f t="shared" ref="BB343:BD344" si="587">+AO343</f>
        <v>0.44662328062312012</v>
      </c>
      <c r="BC343" s="133">
        <f t="shared" si="587"/>
        <v>0.44662328062312007</v>
      </c>
      <c r="BD343" s="1084">
        <f t="shared" si="587"/>
        <v>0.44662328062312007</v>
      </c>
      <c r="BE343" s="14"/>
      <c r="BF343" s="902"/>
      <c r="BG343"/>
      <c r="BH343"/>
      <c r="BI343"/>
      <c r="BJ343"/>
      <c r="BK343"/>
      <c r="BL343"/>
      <c r="BM343" s="902"/>
      <c r="BN343" s="902"/>
      <c r="BO343" s="902"/>
      <c r="BP343" s="902"/>
      <c r="BQ343" s="902"/>
      <c r="BR343" s="902"/>
      <c r="BS343" s="902"/>
    </row>
    <row r="344" spans="1:71" s="130" customFormat="1" ht="12.75" customHeight="1">
      <c r="A344" s="489" t="s">
        <v>1253</v>
      </c>
      <c r="B344" s="200"/>
      <c r="C344" s="200"/>
      <c r="D344" s="200"/>
      <c r="E344" s="1081">
        <f>E348/E349</f>
        <v>0.5558263740806112</v>
      </c>
      <c r="F344" s="1081">
        <f t="shared" ref="F344:V344" si="588">F348/F349</f>
        <v>0.60713717845225901</v>
      </c>
      <c r="G344" s="133">
        <f t="shared" si="588"/>
        <v>0.58668791997747061</v>
      </c>
      <c r="H344" s="133">
        <f t="shared" si="588"/>
        <v>0.56931337086034395</v>
      </c>
      <c r="I344" s="133">
        <f t="shared" si="588"/>
        <v>0.59443225484218143</v>
      </c>
      <c r="J344" s="133">
        <f t="shared" si="588"/>
        <v>0.6265367424807492</v>
      </c>
      <c r="K344" s="1081">
        <f t="shared" si="588"/>
        <v>0.59440803109953033</v>
      </c>
      <c r="L344" s="133">
        <f t="shared" si="588"/>
        <v>0.59405793780594363</v>
      </c>
      <c r="M344" s="133">
        <f t="shared" si="588"/>
        <v>0.57347543153271763</v>
      </c>
      <c r="N344" s="133">
        <f t="shared" si="588"/>
        <v>0.57747998789212618</v>
      </c>
      <c r="O344" s="133">
        <f t="shared" ref="O344:T344" si="589">O348/O349</f>
        <v>0.63382005962757926</v>
      </c>
      <c r="P344" s="1081">
        <f t="shared" si="589"/>
        <v>0.594909999875463</v>
      </c>
      <c r="Q344" s="133">
        <f t="shared" si="589"/>
        <v>0.60839018536869238</v>
      </c>
      <c r="R344" s="133">
        <f t="shared" si="589"/>
        <v>0.59396336370060976</v>
      </c>
      <c r="S344" s="133">
        <f t="shared" si="589"/>
        <v>0.6119512663798099</v>
      </c>
      <c r="T344" s="133">
        <f t="shared" si="589"/>
        <v>0.64057924631154495</v>
      </c>
      <c r="U344" s="1081">
        <f t="shared" si="588"/>
        <v>0.61373032661413685</v>
      </c>
      <c r="V344" s="133">
        <f t="shared" si="588"/>
        <v>0.59435511851178968</v>
      </c>
      <c r="W344" s="133">
        <f t="shared" ref="W344:AB344" si="590">W348/W349</f>
        <v>0.58005673691992088</v>
      </c>
      <c r="X344" s="133">
        <f t="shared" si="590"/>
        <v>0.61157388046629191</v>
      </c>
      <c r="Y344" s="2749">
        <f t="shared" si="590"/>
        <v>0.64592007971289855</v>
      </c>
      <c r="Z344" s="2581">
        <f t="shared" si="590"/>
        <v>0.60834241229794217</v>
      </c>
      <c r="AA344" s="2749">
        <f t="shared" si="590"/>
        <v>0.63000886099227349</v>
      </c>
      <c r="AB344" s="2749">
        <f t="shared" si="590"/>
        <v>0.61215904792551179</v>
      </c>
      <c r="AC344" s="2749">
        <f>AC348/AC349</f>
        <v>0.62633529478099315</v>
      </c>
      <c r="AD344" s="2749">
        <f>AD348/AD349</f>
        <v>0.66114694060034829</v>
      </c>
      <c r="AE344" s="1081">
        <f>AE348/AE349</f>
        <v>0.6321297403352768</v>
      </c>
      <c r="AF344" s="2749">
        <f>AF348/AF349</f>
        <v>0.52724551135986919</v>
      </c>
      <c r="AG344" s="3435">
        <f>+AF344</f>
        <v>0.52724551135986919</v>
      </c>
      <c r="AH344" s="3435">
        <f>+AG344</f>
        <v>0.52724551135986919</v>
      </c>
      <c r="AI344" s="3434">
        <f>+AH344</f>
        <v>0.52724551135986919</v>
      </c>
      <c r="AJ344" s="1081">
        <f>AJ348/AJ349</f>
        <v>0.53914066666064597</v>
      </c>
      <c r="AK344" s="3946">
        <f>AI344</f>
        <v>0.52724551135986919</v>
      </c>
      <c r="AL344" s="3435">
        <f>AK344</f>
        <v>0.52724551135986919</v>
      </c>
      <c r="AM344" s="3435">
        <f t="shared" ref="AM344:AN344" si="591">AL344</f>
        <v>0.52724551135986919</v>
      </c>
      <c r="AN344" s="3435">
        <f t="shared" si="591"/>
        <v>0.52724551135986919</v>
      </c>
      <c r="AO344" s="2581">
        <f>AO348/AO349</f>
        <v>0.55337671937687993</v>
      </c>
      <c r="AP344" s="3436">
        <f>+AO344</f>
        <v>0.55337671937687993</v>
      </c>
      <c r="AQ344" s="3436">
        <f>+AP344</f>
        <v>0.55337671937687993</v>
      </c>
      <c r="AR344" s="193"/>
      <c r="AS344" s="489" t="str">
        <f>+A344</f>
        <v>Int'l</v>
      </c>
      <c r="AT344" s="133">
        <f>+E344</f>
        <v>0.5558263740806112</v>
      </c>
      <c r="AU344" s="133">
        <f>+F344</f>
        <v>0.60713717845225901</v>
      </c>
      <c r="AV344" s="133">
        <f>+K344</f>
        <v>0.59440803109953033</v>
      </c>
      <c r="AW344" s="133">
        <f>+P344</f>
        <v>0.594909999875463</v>
      </c>
      <c r="AX344" s="133">
        <f>+U344</f>
        <v>0.61373032661413685</v>
      </c>
      <c r="AY344" s="133">
        <f>+Z344</f>
        <v>0.60834241229794217</v>
      </c>
      <c r="AZ344" s="133">
        <f>+AE344</f>
        <v>0.6321297403352768</v>
      </c>
      <c r="BA344" s="133">
        <f>+AJ344</f>
        <v>0.53914066666064597</v>
      </c>
      <c r="BB344" s="133">
        <f t="shared" si="587"/>
        <v>0.55337671937687993</v>
      </c>
      <c r="BC344" s="133">
        <f t="shared" si="587"/>
        <v>0.55337671937687993</v>
      </c>
      <c r="BD344" s="1084">
        <f t="shared" si="587"/>
        <v>0.55337671937687993</v>
      </c>
      <c r="BE344" s="14"/>
      <c r="BF344" s="902"/>
      <c r="BG344"/>
      <c r="BH344"/>
      <c r="BI344"/>
      <c r="BJ344"/>
      <c r="BK344"/>
      <c r="BL344"/>
      <c r="BM344" s="902"/>
      <c r="BN344" s="902"/>
      <c r="BO344" s="902"/>
      <c r="BP344" s="902"/>
      <c r="BQ344" s="902"/>
      <c r="BR344" s="902"/>
      <c r="BS344" s="902"/>
    </row>
    <row r="345" spans="1:71" ht="12.75" customHeight="1">
      <c r="A345" s="497"/>
      <c r="B345" s="200"/>
      <c r="C345" s="200"/>
      <c r="D345" s="200"/>
      <c r="E345" s="200"/>
      <c r="F345" s="200"/>
      <c r="G345" s="188"/>
      <c r="H345" s="188"/>
      <c r="I345" s="188"/>
      <c r="J345" s="188"/>
      <c r="K345" s="200"/>
      <c r="L345" s="188"/>
      <c r="M345" s="188"/>
      <c r="N345" s="188"/>
      <c r="O345" s="188"/>
      <c r="P345" s="200"/>
      <c r="Q345" s="188"/>
      <c r="R345" s="188"/>
      <c r="S345" s="188"/>
      <c r="T345" s="188"/>
      <c r="U345" s="200"/>
      <c r="V345" s="188"/>
      <c r="W345" s="188"/>
      <c r="X345" s="188"/>
      <c r="Y345" s="2726"/>
      <c r="Z345" s="200"/>
      <c r="AA345" s="2528"/>
      <c r="AB345" s="193"/>
      <c r="AC345" s="193"/>
      <c r="AD345" s="2529"/>
      <c r="AE345" s="200"/>
      <c r="AF345" s="193"/>
      <c r="AG345" s="193"/>
      <c r="AH345" s="193"/>
      <c r="AI345" s="2529"/>
      <c r="AJ345" s="200"/>
      <c r="AK345" s="193"/>
      <c r="AL345" s="193"/>
      <c r="AM345" s="193"/>
      <c r="AN345" s="2529"/>
      <c r="AO345" s="2765"/>
      <c r="AP345" s="200"/>
      <c r="AQ345" s="200"/>
      <c r="AR345" s="193"/>
      <c r="AS345" s="489"/>
      <c r="AT345" s="191"/>
      <c r="AU345" s="191"/>
      <c r="AV345" s="191"/>
      <c r="AW345" s="191"/>
      <c r="AX345" s="191"/>
      <c r="AY345" s="191"/>
      <c r="AZ345" s="191"/>
      <c r="BA345" s="191"/>
      <c r="BB345" s="191"/>
      <c r="BC345" s="191"/>
      <c r="BD345" s="420"/>
      <c r="BF345" s="900"/>
      <c r="BM345" s="902"/>
      <c r="BN345" s="902"/>
      <c r="BO345" s="902"/>
      <c r="BP345" s="902"/>
      <c r="BQ345" s="902"/>
      <c r="BR345" s="902"/>
      <c r="BS345" s="902"/>
    </row>
    <row r="346" spans="1:71" ht="12.75" customHeight="1">
      <c r="A346" s="497" t="s">
        <v>1255</v>
      </c>
      <c r="B346" s="200"/>
      <c r="C346" s="200"/>
      <c r="D346" s="200"/>
      <c r="E346" s="200"/>
      <c r="F346" s="200"/>
      <c r="G346" s="188"/>
      <c r="H346" s="188"/>
      <c r="I346" s="188"/>
      <c r="J346" s="188"/>
      <c r="K346" s="200"/>
      <c r="L346" s="188"/>
      <c r="M346" s="188"/>
      <c r="N346" s="188"/>
      <c r="O346" s="188"/>
      <c r="P346" s="200"/>
      <c r="Q346" s="188"/>
      <c r="R346" s="188"/>
      <c r="S346" s="188"/>
      <c r="T346" s="188"/>
      <c r="U346" s="200"/>
      <c r="V346" s="188"/>
      <c r="W346" s="188"/>
      <c r="X346" s="188"/>
      <c r="Y346" s="2726"/>
      <c r="Z346" s="200"/>
      <c r="AA346" s="2528"/>
      <c r="AB346" s="193"/>
      <c r="AC346" s="193"/>
      <c r="AD346" s="2529"/>
      <c r="AE346" s="200"/>
      <c r="AF346" s="193"/>
      <c r="AG346" s="193"/>
      <c r="AH346" s="193"/>
      <c r="AI346" s="2529"/>
      <c r="AJ346" s="200"/>
      <c r="AK346" s="193"/>
      <c r="AL346" s="193"/>
      <c r="AM346" s="193"/>
      <c r="AN346" s="2529"/>
      <c r="AO346" s="2765"/>
      <c r="AP346" s="200"/>
      <c r="AQ346" s="200"/>
      <c r="AR346" s="193"/>
      <c r="AS346" s="489" t="str">
        <f t="shared" ref="AS346:AS352" si="592">+A346</f>
        <v>Managed Revenues (Calc)</v>
      </c>
      <c r="AT346" s="191"/>
      <c r="AU346" s="191"/>
      <c r="AV346" s="191"/>
      <c r="AW346" s="191"/>
      <c r="AX346" s="191"/>
      <c r="AY346" s="191"/>
      <c r="AZ346" s="191"/>
      <c r="BA346" s="191"/>
      <c r="BB346" s="191"/>
      <c r="BC346" s="191"/>
      <c r="BD346" s="420"/>
      <c r="BF346" s="900"/>
      <c r="BM346" s="902"/>
      <c r="BN346" s="902"/>
      <c r="BO346" s="902"/>
      <c r="BP346" s="902"/>
      <c r="BQ346" s="902"/>
      <c r="BR346" s="902"/>
      <c r="BS346" s="902"/>
    </row>
    <row r="347" spans="1:71" ht="12.75" customHeight="1">
      <c r="A347" s="489" t="s">
        <v>2171</v>
      </c>
      <c r="B347" s="200"/>
      <c r="C347" s="200"/>
      <c r="D347" s="200"/>
      <c r="E347" s="1090">
        <f>RevPAR!B356</f>
        <v>1858.3725906831664</v>
      </c>
      <c r="F347" s="1090">
        <f>RevPAR!C356</f>
        <v>1858.4367973843473</v>
      </c>
      <c r="G347" s="1089">
        <f>RevPAR!D356</f>
        <v>466.91009339791884</v>
      </c>
      <c r="H347" s="1089">
        <f>RevPAR!E356</f>
        <v>524.79652630007058</v>
      </c>
      <c r="I347" s="1089">
        <f>RevPAR!F356</f>
        <v>514.29932471559243</v>
      </c>
      <c r="J347" s="1089">
        <f>RevPAR!G356</f>
        <v>456.45780885680375</v>
      </c>
      <c r="K347" s="1090">
        <f>RevPAR!H356</f>
        <v>1962.4637532703855</v>
      </c>
      <c r="L347" s="1089">
        <f>RevPAR!I356</f>
        <v>496.68715065928848</v>
      </c>
      <c r="M347" s="1089">
        <f>RevPAR!J356</f>
        <v>573.84141867977451</v>
      </c>
      <c r="N347" s="1089">
        <f>RevPAR!K356</f>
        <v>579.63468436321114</v>
      </c>
      <c r="O347" s="1089">
        <f>RevPAR!L356</f>
        <v>506.23052904600002</v>
      </c>
      <c r="P347" s="1090">
        <f>RevPAR!M356</f>
        <v>2156.3937827482741</v>
      </c>
      <c r="Q347" s="1089">
        <f>RevPAR!N356</f>
        <v>526.65416731620007</v>
      </c>
      <c r="R347" s="1089">
        <f>RevPAR!O356</f>
        <v>624.22302668543989</v>
      </c>
      <c r="S347" s="1089">
        <f>RevPAR!P356</f>
        <v>625.64131018223998</v>
      </c>
      <c r="T347" s="1089">
        <f>RevPAR!Q356</f>
        <v>541.34637417854412</v>
      </c>
      <c r="U347" s="1090">
        <f>RevPAR!R356</f>
        <v>2317.864878362424</v>
      </c>
      <c r="V347" s="1089">
        <f>RevPAR!S356</f>
        <v>549.69826827018596</v>
      </c>
      <c r="W347" s="1089">
        <f>RevPAR!T356</f>
        <v>630.45207863820008</v>
      </c>
      <c r="X347" s="1089">
        <f>RevPAR!U356</f>
        <v>616.92393547118218</v>
      </c>
      <c r="Y347" s="2750">
        <f>RevPAR!V356</f>
        <v>530.36844867903767</v>
      </c>
      <c r="Z347" s="2766">
        <f>RevPAR!W356</f>
        <v>2327.4427310586057</v>
      </c>
      <c r="AA347" s="1089">
        <f>RevPAR!X356</f>
        <v>540.49139934867594</v>
      </c>
      <c r="AB347" s="1089">
        <f>RevPAR!Y356</f>
        <v>633.02867809214331</v>
      </c>
      <c r="AC347" s="1089">
        <f>RevPAR!Z356</f>
        <v>627.0784418699667</v>
      </c>
      <c r="AD347" s="1089">
        <f>RevPAR!AA356</f>
        <v>530.37919846908756</v>
      </c>
      <c r="AE347" s="1090">
        <f>RevPAR!AB356</f>
        <v>2330.9777177798733</v>
      </c>
      <c r="AF347" s="1089">
        <f>RevPAR!AC356</f>
        <v>836.87291428284664</v>
      </c>
      <c r="AG347" s="1089">
        <f>RevPAR!AD356</f>
        <v>984.50001780574007</v>
      </c>
      <c r="AH347" s="1089">
        <f>RevPAR!AE356</f>
        <v>962.68562841709627</v>
      </c>
      <c r="AI347" s="1089">
        <f>RevPAR!AF356</f>
        <v>843.32902332771732</v>
      </c>
      <c r="AJ347" s="1090">
        <f>RevPAR!AG356</f>
        <v>3627.3875838334006</v>
      </c>
      <c r="AK347" s="1089">
        <f>RevPAR!AH356</f>
        <v>869.14505114141082</v>
      </c>
      <c r="AL347" s="1089">
        <f>RevPAR!AI356</f>
        <v>1036.8303577651473</v>
      </c>
      <c r="AM347" s="1089">
        <f>RevPAR!AJ356</f>
        <v>1023.8389155276797</v>
      </c>
      <c r="AN347" s="1089">
        <f>RevPAR!AK356</f>
        <v>899.39519231989129</v>
      </c>
      <c r="AO347" s="2766">
        <f>RevPAR!AL356</f>
        <v>3829.2095167541293</v>
      </c>
      <c r="AP347" s="1090">
        <f>RevPAR!AM356</f>
        <v>4048.5980115481811</v>
      </c>
      <c r="AQ347" s="1090">
        <f>RevPAR!AN356</f>
        <v>4096.0240419904121</v>
      </c>
      <c r="AR347" s="193"/>
      <c r="AS347" s="489" t="str">
        <f t="shared" si="592"/>
        <v>US</v>
      </c>
      <c r="AT347" s="191">
        <f t="shared" ref="AT347:AU352" si="593">+E347</f>
        <v>1858.3725906831664</v>
      </c>
      <c r="AU347" s="191">
        <f t="shared" si="593"/>
        <v>1858.4367973843473</v>
      </c>
      <c r="AV347" s="191">
        <f t="shared" ref="AV347:AV352" si="594">+K347</f>
        <v>1962.4637532703855</v>
      </c>
      <c r="AW347" s="191">
        <f t="shared" ref="AW347:AW352" si="595">+P347</f>
        <v>2156.3937827482741</v>
      </c>
      <c r="AX347" s="191">
        <f t="shared" ref="AX347:AX352" si="596">+U347</f>
        <v>2317.864878362424</v>
      </c>
      <c r="AY347" s="191">
        <f t="shared" ref="AY347:AY352" si="597">+Z347</f>
        <v>2327.4427310586057</v>
      </c>
      <c r="AZ347" s="191">
        <f t="shared" ref="AZ347:AZ352" si="598">+AE347</f>
        <v>2330.9777177798733</v>
      </c>
      <c r="BA347" s="191">
        <f t="shared" ref="BA347:BA352" si="599">+AJ347</f>
        <v>3627.3875838334006</v>
      </c>
      <c r="BB347" s="191">
        <f t="shared" ref="BB347:BD352" si="600">+AO347</f>
        <v>3829.2095167541293</v>
      </c>
      <c r="BC347" s="191">
        <f t="shared" si="600"/>
        <v>4048.5980115481811</v>
      </c>
      <c r="BD347" s="420">
        <f t="shared" si="600"/>
        <v>4096.0240419904121</v>
      </c>
      <c r="BF347" s="900"/>
      <c r="BM347" s="902"/>
      <c r="BN347" s="902"/>
      <c r="BO347" s="902"/>
      <c r="BP347" s="902"/>
      <c r="BQ347" s="902"/>
      <c r="BR347" s="902"/>
      <c r="BS347" s="902"/>
    </row>
    <row r="348" spans="1:71" ht="12.75" customHeight="1">
      <c r="A348" s="489" t="s">
        <v>1253</v>
      </c>
      <c r="B348" s="200"/>
      <c r="C348" s="200"/>
      <c r="D348" s="200"/>
      <c r="E348" s="1068">
        <f>RevPAR!B366</f>
        <v>2325.5151555479324</v>
      </c>
      <c r="F348" s="1068">
        <f>RevPAR!C366</f>
        <v>2872.0612173240988</v>
      </c>
      <c r="G348" s="1069">
        <f>RevPAR!D366</f>
        <v>662.76918762495347</v>
      </c>
      <c r="H348" s="1069">
        <f>RevPAR!E366</f>
        <v>693.7147781915719</v>
      </c>
      <c r="I348" s="1069">
        <f>RevPAR!F366</f>
        <v>753.79788186937185</v>
      </c>
      <c r="J348" s="1069">
        <f>RevPAR!G366</f>
        <v>765.77168672690777</v>
      </c>
      <c r="K348" s="1068">
        <f>RevPAR!H366</f>
        <v>2876.0535344128048</v>
      </c>
      <c r="L348" s="1069">
        <f>RevPAR!I366</f>
        <v>726.85481977552786</v>
      </c>
      <c r="M348" s="1069">
        <f>RevPAR!J366</f>
        <v>771.54747824092522</v>
      </c>
      <c r="N348" s="1069">
        <f>RevPAR!K366</f>
        <v>792.21674930385086</v>
      </c>
      <c r="O348" s="1069">
        <f>RevPAR!L366</f>
        <v>876.2333179117054</v>
      </c>
      <c r="P348" s="1068">
        <f>RevPAR!M366</f>
        <v>3166.8523652320091</v>
      </c>
      <c r="Q348" s="1069">
        <f>RevPAR!N366</f>
        <v>818.18998019842218</v>
      </c>
      <c r="R348" s="1069">
        <f>RevPAR!O366</f>
        <v>913.13338621019443</v>
      </c>
      <c r="S348" s="1069">
        <f>RevPAR!P366</f>
        <v>986.63378821969968</v>
      </c>
      <c r="T348" s="1069">
        <f>RevPAR!Q366</f>
        <v>964.81699736616554</v>
      </c>
      <c r="U348" s="1068">
        <f>RevPAR!R366</f>
        <v>3682.7741519944816</v>
      </c>
      <c r="V348" s="1069">
        <f>RevPAR!S366</f>
        <v>805.42364588655028</v>
      </c>
      <c r="W348" s="1069">
        <f>RevPAR!T366</f>
        <v>870.82710373072621</v>
      </c>
      <c r="X348" s="1069">
        <f>RevPAR!U366</f>
        <v>971.34190054359874</v>
      </c>
      <c r="Y348" s="1069">
        <f>RevPAR!V366</f>
        <v>967.50934187456005</v>
      </c>
      <c r="Z348" s="1068">
        <f>RevPAR!W366</f>
        <v>3615.1019920354356</v>
      </c>
      <c r="AA348" s="1069">
        <f>RevPAR!X366</f>
        <v>920.33115115405099</v>
      </c>
      <c r="AB348" s="1069">
        <f>RevPAR!Y366</f>
        <v>999.15759493083715</v>
      </c>
      <c r="AC348" s="1069">
        <f>RevPAR!Z366</f>
        <v>1051.1063936563987</v>
      </c>
      <c r="AD348" s="1069">
        <f>RevPAR!AA366</f>
        <v>1034.8396589576803</v>
      </c>
      <c r="AE348" s="1068">
        <f>RevPAR!AB366</f>
        <v>4005.4347986989674</v>
      </c>
      <c r="AF348" s="1069">
        <f>RevPAR!AC366</f>
        <v>933.3332590949999</v>
      </c>
      <c r="AG348" s="1069">
        <f>RevPAR!AD366</f>
        <v>1060.1186985309409</v>
      </c>
      <c r="AH348" s="1069">
        <f>RevPAR!AE366</f>
        <v>1119.3865436799999</v>
      </c>
      <c r="AI348" s="1069">
        <f>RevPAR!AF366</f>
        <v>1130.6953032800002</v>
      </c>
      <c r="AJ348" s="1068">
        <f>RevPAR!AG366</f>
        <v>4243.5338045859407</v>
      </c>
      <c r="AK348" s="1069">
        <f>RevPAR!AH366</f>
        <v>1042.9117822867947</v>
      </c>
      <c r="AL348" s="1069">
        <f>RevPAR!AI366</f>
        <v>1180.8135693690074</v>
      </c>
      <c r="AM348" s="1069">
        <f>RevPAR!AJ366</f>
        <v>1266.3897311559276</v>
      </c>
      <c r="AN348" s="1069">
        <f>RevPAR!AK366</f>
        <v>1254.3653151463586</v>
      </c>
      <c r="AO348" s="1068">
        <f>RevPAR!AL366</f>
        <v>4744.4803979580884</v>
      </c>
      <c r="AP348" s="1068">
        <f>RevPAR!AM366</f>
        <v>5095.156561572172</v>
      </c>
      <c r="AQ348" s="1068">
        <f>RevPAR!AN366</f>
        <v>5165.7432832236718</v>
      </c>
      <c r="AR348" s="193"/>
      <c r="AS348" s="489" t="str">
        <f t="shared" si="592"/>
        <v>Int'l</v>
      </c>
      <c r="AT348" s="191">
        <f t="shared" si="593"/>
        <v>2325.5151555479324</v>
      </c>
      <c r="AU348" s="191">
        <f t="shared" si="593"/>
        <v>2872.0612173240988</v>
      </c>
      <c r="AV348" s="191">
        <f t="shared" si="594"/>
        <v>2876.0535344128048</v>
      </c>
      <c r="AW348" s="191">
        <f t="shared" si="595"/>
        <v>3166.8523652320091</v>
      </c>
      <c r="AX348" s="191">
        <f t="shared" si="596"/>
        <v>3682.7741519944816</v>
      </c>
      <c r="AY348" s="191">
        <f t="shared" si="597"/>
        <v>3615.1019920354356</v>
      </c>
      <c r="AZ348" s="191">
        <f t="shared" si="598"/>
        <v>4005.4347986989674</v>
      </c>
      <c r="BA348" s="191">
        <f t="shared" si="599"/>
        <v>4243.5338045859407</v>
      </c>
      <c r="BB348" s="191">
        <f t="shared" si="600"/>
        <v>4744.4803979580884</v>
      </c>
      <c r="BC348" s="191">
        <f t="shared" si="600"/>
        <v>5095.156561572172</v>
      </c>
      <c r="BD348" s="420">
        <f t="shared" si="600"/>
        <v>5165.7432832236718</v>
      </c>
      <c r="BF348" s="900"/>
      <c r="BM348" s="902"/>
      <c r="BN348" s="902"/>
      <c r="BO348" s="902"/>
      <c r="BP348" s="902"/>
      <c r="BQ348" s="902"/>
      <c r="BR348" s="902"/>
      <c r="BS348" s="902"/>
    </row>
    <row r="349" spans="1:71" ht="12.75" customHeight="1">
      <c r="A349" s="497" t="s">
        <v>1687</v>
      </c>
      <c r="B349" s="200"/>
      <c r="C349" s="200"/>
      <c r="D349" s="200"/>
      <c r="E349" s="610">
        <f t="shared" ref="E349:AQ349" si="601">E348+E347</f>
        <v>4183.8877462310993</v>
      </c>
      <c r="F349" s="610">
        <f t="shared" si="601"/>
        <v>4730.4980147084461</v>
      </c>
      <c r="G349" s="609">
        <f t="shared" si="601"/>
        <v>1129.6792810228724</v>
      </c>
      <c r="H349" s="609">
        <f t="shared" si="601"/>
        <v>1218.5113044916425</v>
      </c>
      <c r="I349" s="609">
        <f t="shared" si="601"/>
        <v>1268.0972065849642</v>
      </c>
      <c r="J349" s="609">
        <f t="shared" si="601"/>
        <v>1222.2294955837115</v>
      </c>
      <c r="K349" s="610">
        <f t="shared" si="601"/>
        <v>4838.5172876831903</v>
      </c>
      <c r="L349" s="609">
        <f t="shared" si="601"/>
        <v>1223.5419704348164</v>
      </c>
      <c r="M349" s="609">
        <f t="shared" si="601"/>
        <v>1345.3888969206996</v>
      </c>
      <c r="N349" s="609">
        <f t="shared" si="601"/>
        <v>1371.8514336670619</v>
      </c>
      <c r="O349" s="609">
        <f t="shared" si="601"/>
        <v>1382.4638469577053</v>
      </c>
      <c r="P349" s="610">
        <f t="shared" si="601"/>
        <v>5323.2461479802832</v>
      </c>
      <c r="Q349" s="609">
        <f t="shared" si="601"/>
        <v>1344.8441475146224</v>
      </c>
      <c r="R349" s="609">
        <f t="shared" si="601"/>
        <v>1537.3564128956343</v>
      </c>
      <c r="S349" s="609">
        <f t="shared" si="601"/>
        <v>1612.2750984019397</v>
      </c>
      <c r="T349" s="609">
        <f t="shared" si="601"/>
        <v>1506.1633715447097</v>
      </c>
      <c r="U349" s="610">
        <f t="shared" si="601"/>
        <v>6000.639030356906</v>
      </c>
      <c r="V349" s="609">
        <f t="shared" ref="V349:AE349" si="602">V348+V347</f>
        <v>1355.1219141567362</v>
      </c>
      <c r="W349" s="609">
        <f t="shared" si="602"/>
        <v>1501.2791823689263</v>
      </c>
      <c r="X349" s="609">
        <f>X348+X347</f>
        <v>1588.2658360147809</v>
      </c>
      <c r="Y349" s="609">
        <f t="shared" si="602"/>
        <v>1497.8777905535976</v>
      </c>
      <c r="Z349" s="610">
        <f t="shared" si="602"/>
        <v>5942.5447230940408</v>
      </c>
      <c r="AA349" s="609">
        <f t="shared" si="602"/>
        <v>1460.8225505027269</v>
      </c>
      <c r="AB349" s="609">
        <f t="shared" si="602"/>
        <v>1632.1862730229805</v>
      </c>
      <c r="AC349" s="609">
        <f t="shared" si="602"/>
        <v>1678.1848355263655</v>
      </c>
      <c r="AD349" s="609">
        <f t="shared" si="602"/>
        <v>1565.218857426768</v>
      </c>
      <c r="AE349" s="610">
        <f t="shared" si="602"/>
        <v>6336.4125164788402</v>
      </c>
      <c r="AF349" s="609">
        <f>AF348+AF347</f>
        <v>1770.2061733778464</v>
      </c>
      <c r="AG349" s="609">
        <f>AG348+AG347</f>
        <v>2044.618716336681</v>
      </c>
      <c r="AH349" s="609">
        <f>AH348+AH347</f>
        <v>2082.072172097096</v>
      </c>
      <c r="AI349" s="609">
        <f>AI348+AI347</f>
        <v>1974.0243266077175</v>
      </c>
      <c r="AJ349" s="610">
        <f>AJ348+AJ347</f>
        <v>7870.9213884193414</v>
      </c>
      <c r="AK349" s="609">
        <f t="shared" ref="AK349:AN349" si="603">AK348+AK347</f>
        <v>1912.0568334282057</v>
      </c>
      <c r="AL349" s="609">
        <f t="shared" si="603"/>
        <v>2217.6439271341546</v>
      </c>
      <c r="AM349" s="609">
        <f t="shared" si="603"/>
        <v>2290.2286466836072</v>
      </c>
      <c r="AN349" s="609">
        <f t="shared" si="603"/>
        <v>2153.7605074662497</v>
      </c>
      <c r="AO349" s="610">
        <f>AO348+AO347</f>
        <v>8573.6899147122167</v>
      </c>
      <c r="AP349" s="610">
        <f t="shared" si="601"/>
        <v>9143.7545731203536</v>
      </c>
      <c r="AQ349" s="610">
        <f t="shared" si="601"/>
        <v>9261.7673252140848</v>
      </c>
      <c r="AR349" s="193"/>
      <c r="AS349" s="497" t="str">
        <f t="shared" si="592"/>
        <v>Total</v>
      </c>
      <c r="AT349" s="261">
        <f t="shared" si="593"/>
        <v>4183.8877462310993</v>
      </c>
      <c r="AU349" s="261">
        <f t="shared" si="593"/>
        <v>4730.4980147084461</v>
      </c>
      <c r="AV349" s="261">
        <f t="shared" si="594"/>
        <v>4838.5172876831903</v>
      </c>
      <c r="AW349" s="261">
        <f t="shared" si="595"/>
        <v>5323.2461479802832</v>
      </c>
      <c r="AX349" s="261">
        <f t="shared" si="596"/>
        <v>6000.639030356906</v>
      </c>
      <c r="AY349" s="261">
        <f t="shared" si="597"/>
        <v>5942.5447230940408</v>
      </c>
      <c r="AZ349" s="261">
        <f t="shared" si="598"/>
        <v>6336.4125164788402</v>
      </c>
      <c r="BA349" s="261">
        <f t="shared" si="599"/>
        <v>7870.9213884193414</v>
      </c>
      <c r="BB349" s="261">
        <f t="shared" si="600"/>
        <v>8573.6899147122167</v>
      </c>
      <c r="BC349" s="261">
        <f t="shared" si="600"/>
        <v>9143.7545731203536</v>
      </c>
      <c r="BD349" s="787">
        <f t="shared" si="600"/>
        <v>9261.7673252140848</v>
      </c>
      <c r="BF349" s="900"/>
      <c r="BM349" s="902"/>
      <c r="BN349" s="902"/>
      <c r="BO349" s="902"/>
      <c r="BP349" s="902"/>
      <c r="BQ349" s="902"/>
      <c r="BR349" s="902"/>
      <c r="BS349" s="902"/>
    </row>
    <row r="350" spans="1:71" ht="12.75" customHeight="1">
      <c r="A350" s="490" t="s">
        <v>1258</v>
      </c>
      <c r="B350" s="200"/>
      <c r="C350" s="200"/>
      <c r="D350" s="200"/>
      <c r="E350" s="200"/>
      <c r="F350" s="143">
        <f>F347/E347-1</f>
        <v>3.4549961349439329E-5</v>
      </c>
      <c r="G350" s="239"/>
      <c r="H350" s="239"/>
      <c r="I350" s="239"/>
      <c r="J350" s="239"/>
      <c r="K350" s="422">
        <f t="shared" ref="K350:U352" si="604">K347/F347-1</f>
        <v>5.5975514492852652E-2</v>
      </c>
      <c r="L350" s="419">
        <f t="shared" si="604"/>
        <v>6.3774713124465476E-2</v>
      </c>
      <c r="M350" s="419">
        <f t="shared" si="604"/>
        <v>9.3455062908821107E-2</v>
      </c>
      <c r="N350" s="419">
        <f t="shared" si="604"/>
        <v>0.12703761507707445</v>
      </c>
      <c r="O350" s="419">
        <f t="shared" si="604"/>
        <v>0.10904122839710384</v>
      </c>
      <c r="P350" s="422">
        <f t="shared" si="604"/>
        <v>9.8819674582376393E-2</v>
      </c>
      <c r="Q350" s="419">
        <f t="shared" si="604"/>
        <v>6.0333786805505607E-2</v>
      </c>
      <c r="R350" s="419">
        <f t="shared" si="604"/>
        <v>8.7797092307448477E-2</v>
      </c>
      <c r="S350" s="419">
        <f t="shared" si="604"/>
        <v>7.9371761318203227E-2</v>
      </c>
      <c r="T350" s="419">
        <f t="shared" si="604"/>
        <v>6.9367300306286461E-2</v>
      </c>
      <c r="U350" s="422">
        <f t="shared" si="604"/>
        <v>7.4880152644642983E-2</v>
      </c>
      <c r="V350" s="419">
        <f t="shared" ref="V350:Z352" si="605">V347/Q347-1</f>
        <v>4.3755660515167438E-2</v>
      </c>
      <c r="W350" s="419">
        <f t="shared" si="605"/>
        <v>9.9788884524747434E-3</v>
      </c>
      <c r="X350" s="419">
        <f t="shared" si="605"/>
        <v>-1.3933502422527999E-2</v>
      </c>
      <c r="Y350" s="419">
        <f t="shared" si="605"/>
        <v>-2.0278930502055537E-2</v>
      </c>
      <c r="Z350" s="422">
        <f t="shared" si="605"/>
        <v>4.1321876808231295E-3</v>
      </c>
      <c r="AA350" s="419">
        <f t="shared" ref="AA350:AC352" si="606">AA347/V347-1</f>
        <v>-1.6748950202231105E-2</v>
      </c>
      <c r="AB350" s="419">
        <f t="shared" si="606"/>
        <v>4.0869076988512276E-3</v>
      </c>
      <c r="AC350" s="419">
        <f t="shared" si="606"/>
        <v>1.6459900183689369E-2</v>
      </c>
      <c r="AD350" s="419">
        <f t="shared" ref="AD350:AJ352" si="607">AD347/Y347-1</f>
        <v>2.0268532331835232E-5</v>
      </c>
      <c r="AE350" s="422">
        <f t="shared" si="607"/>
        <v>1.5188286586367283E-3</v>
      </c>
      <c r="AF350" s="419">
        <f t="shared" si="607"/>
        <v>0.54835565430148914</v>
      </c>
      <c r="AG350" s="419">
        <f t="shared" si="607"/>
        <v>0.5552218278212615</v>
      </c>
      <c r="AH350" s="419">
        <f t="shared" si="607"/>
        <v>0.53519171468618643</v>
      </c>
      <c r="AI350" s="419">
        <f t="shared" si="607"/>
        <v>0.59004920585487408</v>
      </c>
      <c r="AJ350" s="422">
        <f t="shared" si="607"/>
        <v>0.55616570513092922</v>
      </c>
      <c r="AK350" s="419">
        <f t="shared" ref="AK350:AK352" si="608">AK347/AF347-1</f>
        <v>3.8562768979349293E-2</v>
      </c>
      <c r="AL350" s="419">
        <f t="shared" ref="AL350:AL352" si="609">AL347/AG347-1</f>
        <v>5.3154229571312106E-2</v>
      </c>
      <c r="AM350" s="419">
        <f t="shared" ref="AM350:AM352" si="610">AM347/AH347-1</f>
        <v>6.3523631500695732E-2</v>
      </c>
      <c r="AN350" s="419">
        <f t="shared" ref="AN350:AO352" si="611">AN347/AI347-1</f>
        <v>6.6481963078824036E-2</v>
      </c>
      <c r="AO350" s="680">
        <f t="shared" si="611"/>
        <v>5.5638370109720725E-2</v>
      </c>
      <c r="AP350" s="422">
        <f t="shared" ref="AP350:AQ352" si="612">AP347/AO347-1</f>
        <v>5.729341626101947E-2</v>
      </c>
      <c r="AQ350" s="422">
        <f t="shared" si="612"/>
        <v>1.1714186073043864E-2</v>
      </c>
      <c r="AR350" s="193"/>
      <c r="AS350" s="489" t="str">
        <f t="shared" si="592"/>
        <v>% growth, y/y (US)</v>
      </c>
      <c r="AT350" s="133">
        <f t="shared" si="593"/>
        <v>0</v>
      </c>
      <c r="AU350" s="133">
        <f t="shared" si="593"/>
        <v>3.4549961349439329E-5</v>
      </c>
      <c r="AV350" s="133">
        <f t="shared" si="594"/>
        <v>5.5975514492852652E-2</v>
      </c>
      <c r="AW350" s="133">
        <f t="shared" si="595"/>
        <v>9.8819674582376393E-2</v>
      </c>
      <c r="AX350" s="133">
        <f t="shared" si="596"/>
        <v>7.4880152644642983E-2</v>
      </c>
      <c r="AY350" s="133">
        <f t="shared" si="597"/>
        <v>4.1321876808231295E-3</v>
      </c>
      <c r="AZ350" s="133">
        <f t="shared" si="598"/>
        <v>1.5188286586367283E-3</v>
      </c>
      <c r="BA350" s="133">
        <f t="shared" si="599"/>
        <v>0.55616570513092922</v>
      </c>
      <c r="BB350" s="133">
        <f t="shared" si="600"/>
        <v>5.5638370109720725E-2</v>
      </c>
      <c r="BC350" s="133">
        <f t="shared" si="600"/>
        <v>5.729341626101947E-2</v>
      </c>
      <c r="BD350" s="1084">
        <f t="shared" si="600"/>
        <v>1.1714186073043864E-2</v>
      </c>
      <c r="BF350" s="900"/>
      <c r="BM350" s="902"/>
      <c r="BN350" s="902"/>
      <c r="BO350" s="902"/>
      <c r="BP350" s="902"/>
      <c r="BQ350" s="902"/>
      <c r="BR350" s="902"/>
      <c r="BS350" s="902"/>
    </row>
    <row r="351" spans="1:71" ht="12.75" customHeight="1">
      <c r="A351" s="490" t="s">
        <v>1256</v>
      </c>
      <c r="B351" s="200"/>
      <c r="C351" s="200"/>
      <c r="D351" s="200"/>
      <c r="E351" s="200"/>
      <c r="F351" s="143">
        <f>F348/E348-1</f>
        <v>0.23502150070804007</v>
      </c>
      <c r="G351" s="239"/>
      <c r="H351" s="239"/>
      <c r="I351" s="239"/>
      <c r="J351" s="239"/>
      <c r="K351" s="422">
        <f t="shared" si="604"/>
        <v>1.3900529224879499E-3</v>
      </c>
      <c r="L351" s="419">
        <f t="shared" si="604"/>
        <v>9.6693740969200137E-2</v>
      </c>
      <c r="M351" s="419">
        <f t="shared" si="604"/>
        <v>0.11219697561042818</v>
      </c>
      <c r="N351" s="419">
        <f t="shared" si="604"/>
        <v>5.0967067377799768E-2</v>
      </c>
      <c r="O351" s="419">
        <f t="shared" si="604"/>
        <v>0.14424877949841308</v>
      </c>
      <c r="P351" s="422">
        <f t="shared" si="604"/>
        <v>0.10111036784945515</v>
      </c>
      <c r="Q351" s="419">
        <f t="shared" si="604"/>
        <v>0.12565805156399867</v>
      </c>
      <c r="R351" s="419">
        <f t="shared" si="604"/>
        <v>0.1835090023132151</v>
      </c>
      <c r="S351" s="419">
        <f t="shared" si="604"/>
        <v>0.24540889735882265</v>
      </c>
      <c r="T351" s="419">
        <f t="shared" si="604"/>
        <v>0.10109599537435798</v>
      </c>
      <c r="U351" s="422">
        <f t="shared" si="604"/>
        <v>0.16291311600964864</v>
      </c>
      <c r="V351" s="419">
        <f t="shared" si="605"/>
        <v>-1.5603141838495649E-2</v>
      </c>
      <c r="W351" s="419">
        <f t="shared" si="605"/>
        <v>-4.6330890008362657E-2</v>
      </c>
      <c r="X351" s="419">
        <f t="shared" si="605"/>
        <v>-1.5499051277874765E-2</v>
      </c>
      <c r="Y351" s="419">
        <f t="shared" si="605"/>
        <v>2.7905235041922882E-3</v>
      </c>
      <c r="Z351" s="422">
        <f t="shared" si="605"/>
        <v>-1.8375321745537021E-2</v>
      </c>
      <c r="AA351" s="419">
        <f t="shared" si="606"/>
        <v>0.14266716138066582</v>
      </c>
      <c r="AB351" s="419">
        <f t="shared" si="606"/>
        <v>0.14736621155947938</v>
      </c>
      <c r="AC351" s="419">
        <f t="shared" si="606"/>
        <v>8.2117834171634874E-2</v>
      </c>
      <c r="AD351" s="419">
        <f t="shared" si="607"/>
        <v>6.9591387048177689E-2</v>
      </c>
      <c r="AE351" s="422">
        <f t="shared" si="607"/>
        <v>0.10797283382971989</v>
      </c>
      <c r="AF351" s="419">
        <f t="shared" si="607"/>
        <v>1.4127640822159337E-2</v>
      </c>
      <c r="AG351" s="419">
        <f t="shared" si="607"/>
        <v>6.1012500840093686E-2</v>
      </c>
      <c r="AH351" s="419">
        <f t="shared" si="607"/>
        <v>6.4960265141267515E-2</v>
      </c>
      <c r="AI351" s="419">
        <f t="shared" si="607"/>
        <v>9.262849900714909E-2</v>
      </c>
      <c r="AJ351" s="422">
        <f t="shared" si="607"/>
        <v>5.9443984948728046E-2</v>
      </c>
      <c r="AK351" s="419">
        <f t="shared" si="608"/>
        <v>0.11740556990120221</v>
      </c>
      <c r="AL351" s="419">
        <f t="shared" si="609"/>
        <v>0.11385033676447676</v>
      </c>
      <c r="AM351" s="419">
        <f t="shared" si="610"/>
        <v>0.13132477633030359</v>
      </c>
      <c r="AN351" s="419">
        <f t="shared" si="611"/>
        <v>0.1093751884416676</v>
      </c>
      <c r="AO351" s="680">
        <f t="shared" si="611"/>
        <v>0.11804939384028956</v>
      </c>
      <c r="AP351" s="422">
        <f t="shared" si="612"/>
        <v>7.3912448613973947E-2</v>
      </c>
      <c r="AQ351" s="422">
        <f t="shared" si="612"/>
        <v>1.3853690421186782E-2</v>
      </c>
      <c r="AR351" s="193"/>
      <c r="AS351" s="489" t="str">
        <f t="shared" si="592"/>
        <v>% growth, y/y (Int'l)</v>
      </c>
      <c r="AT351" s="133">
        <f t="shared" si="593"/>
        <v>0</v>
      </c>
      <c r="AU351" s="133">
        <f t="shared" si="593"/>
        <v>0.23502150070804007</v>
      </c>
      <c r="AV351" s="133">
        <f t="shared" si="594"/>
        <v>1.3900529224879499E-3</v>
      </c>
      <c r="AW351" s="133">
        <f t="shared" si="595"/>
        <v>0.10111036784945515</v>
      </c>
      <c r="AX351" s="133">
        <f t="shared" si="596"/>
        <v>0.16291311600964864</v>
      </c>
      <c r="AY351" s="133">
        <f t="shared" si="597"/>
        <v>-1.8375321745537021E-2</v>
      </c>
      <c r="AZ351" s="133">
        <f t="shared" si="598"/>
        <v>0.10797283382971989</v>
      </c>
      <c r="BA351" s="133">
        <f t="shared" si="599"/>
        <v>5.9443984948728046E-2</v>
      </c>
      <c r="BB351" s="133">
        <f t="shared" si="600"/>
        <v>0.11804939384028956</v>
      </c>
      <c r="BC351" s="133">
        <f t="shared" si="600"/>
        <v>7.3912448613973947E-2</v>
      </c>
      <c r="BD351" s="1084">
        <f t="shared" si="600"/>
        <v>1.3853690421186782E-2</v>
      </c>
      <c r="BF351" s="900"/>
      <c r="BM351" s="902"/>
      <c r="BN351" s="902"/>
      <c r="BO351" s="902"/>
      <c r="BP351" s="902"/>
      <c r="BQ351" s="902"/>
      <c r="BR351" s="902"/>
      <c r="BS351" s="902"/>
    </row>
    <row r="352" spans="1:71" ht="12.75" customHeight="1">
      <c r="A352" s="490" t="s">
        <v>1257</v>
      </c>
      <c r="B352" s="200"/>
      <c r="C352" s="200"/>
      <c r="D352" s="200"/>
      <c r="E352" s="200"/>
      <c r="F352" s="143">
        <f>F349/E349-1</f>
        <v>0.13064649475114165</v>
      </c>
      <c r="G352" s="239"/>
      <c r="H352" s="239"/>
      <c r="I352" s="239"/>
      <c r="J352" s="239"/>
      <c r="K352" s="422">
        <f t="shared" si="604"/>
        <v>2.2834651370507331E-2</v>
      </c>
      <c r="L352" s="419">
        <f t="shared" si="604"/>
        <v>8.3087909098373158E-2</v>
      </c>
      <c r="M352" s="419">
        <f t="shared" si="604"/>
        <v>0.10412508440534318</v>
      </c>
      <c r="N352" s="419">
        <f t="shared" si="604"/>
        <v>8.1818827881114942E-2</v>
      </c>
      <c r="O352" s="419">
        <f t="shared" si="604"/>
        <v>0.13110005277484271</v>
      </c>
      <c r="P352" s="422">
        <f t="shared" si="604"/>
        <v>0.10018128105711366</v>
      </c>
      <c r="Q352" s="419">
        <f t="shared" si="604"/>
        <v>9.9140184816625565E-2</v>
      </c>
      <c r="R352" s="419">
        <f t="shared" si="604"/>
        <v>0.14268552120082623</v>
      </c>
      <c r="S352" s="419">
        <f t="shared" si="604"/>
        <v>0.17525488462858352</v>
      </c>
      <c r="T352" s="419">
        <f t="shared" si="604"/>
        <v>8.9477583706236929E-2</v>
      </c>
      <c r="U352" s="422">
        <f t="shared" si="604"/>
        <v>0.12725184286915514</v>
      </c>
      <c r="V352" s="419">
        <f t="shared" si="605"/>
        <v>7.6423477479587998E-3</v>
      </c>
      <c r="W352" s="419">
        <f t="shared" si="605"/>
        <v>-2.3467056971360312E-2</v>
      </c>
      <c r="X352" s="419">
        <f t="shared" si="605"/>
        <v>-1.4891542027136939E-2</v>
      </c>
      <c r="Y352" s="419">
        <f t="shared" si="605"/>
        <v>-5.5011170419145827E-3</v>
      </c>
      <c r="Z352" s="422">
        <f t="shared" si="605"/>
        <v>-9.6813534306878779E-3</v>
      </c>
      <c r="AA352" s="419">
        <f t="shared" si="606"/>
        <v>7.8000831690310246E-2</v>
      </c>
      <c r="AB352" s="419">
        <f t="shared" si="606"/>
        <v>8.7197033164404969E-2</v>
      </c>
      <c r="AC352" s="419">
        <f t="shared" si="606"/>
        <v>5.6614577656096898E-2</v>
      </c>
      <c r="AD352" s="419">
        <f t="shared" si="607"/>
        <v>4.4957650949802641E-2</v>
      </c>
      <c r="AE352" s="422">
        <f t="shared" si="607"/>
        <v>6.6279314963191061E-2</v>
      </c>
      <c r="AF352" s="419">
        <f t="shared" si="607"/>
        <v>0.21178727201921155</v>
      </c>
      <c r="AG352" s="419">
        <f t="shared" si="607"/>
        <v>0.25268711674056199</v>
      </c>
      <c r="AH352" s="419">
        <f t="shared" si="607"/>
        <v>0.24066916112017567</v>
      </c>
      <c r="AI352" s="419">
        <f t="shared" si="607"/>
        <v>0.26118102733123782</v>
      </c>
      <c r="AJ352" s="422">
        <f t="shared" si="607"/>
        <v>0.24217313313326261</v>
      </c>
      <c r="AK352" s="419">
        <f t="shared" si="608"/>
        <v>8.0132281868436017E-2</v>
      </c>
      <c r="AL352" s="419">
        <f t="shared" si="609"/>
        <v>8.4624683035026127E-2</v>
      </c>
      <c r="AM352" s="419">
        <f t="shared" si="610"/>
        <v>9.9975628787571047E-2</v>
      </c>
      <c r="AN352" s="419">
        <f t="shared" si="611"/>
        <v>9.1050641289411871E-2</v>
      </c>
      <c r="AO352" s="680">
        <f t="shared" si="611"/>
        <v>8.9286691050792788E-2</v>
      </c>
      <c r="AP352" s="422">
        <f t="shared" si="612"/>
        <v>6.6490001863715786E-2</v>
      </c>
      <c r="AQ352" s="422">
        <f t="shared" si="612"/>
        <v>1.2906377916206413E-2</v>
      </c>
      <c r="AR352" s="193"/>
      <c r="AS352" s="489" t="str">
        <f t="shared" si="592"/>
        <v>% growth, y/y (Total)</v>
      </c>
      <c r="AT352" s="133">
        <f t="shared" si="593"/>
        <v>0</v>
      </c>
      <c r="AU352" s="133">
        <f t="shared" si="593"/>
        <v>0.13064649475114165</v>
      </c>
      <c r="AV352" s="133">
        <f t="shared" si="594"/>
        <v>2.2834651370507331E-2</v>
      </c>
      <c r="AW352" s="133">
        <f t="shared" si="595"/>
        <v>0.10018128105711366</v>
      </c>
      <c r="AX352" s="133">
        <f t="shared" si="596"/>
        <v>0.12725184286915514</v>
      </c>
      <c r="AY352" s="133">
        <f t="shared" si="597"/>
        <v>-9.6813534306878779E-3</v>
      </c>
      <c r="AZ352" s="133">
        <f t="shared" si="598"/>
        <v>6.6279314963191061E-2</v>
      </c>
      <c r="BA352" s="133">
        <f t="shared" si="599"/>
        <v>0.24217313313326261</v>
      </c>
      <c r="BB352" s="133">
        <f t="shared" si="600"/>
        <v>8.9286691050792788E-2</v>
      </c>
      <c r="BC352" s="133">
        <f t="shared" si="600"/>
        <v>6.6490001863715786E-2</v>
      </c>
      <c r="BD352" s="1084">
        <f t="shared" si="600"/>
        <v>1.2906377916206413E-2</v>
      </c>
      <c r="BF352" s="900"/>
      <c r="BM352" s="902"/>
      <c r="BN352" s="902"/>
      <c r="BO352" s="902"/>
      <c r="BP352" s="902"/>
      <c r="BQ352" s="902"/>
      <c r="BR352" s="902"/>
      <c r="BS352" s="902"/>
    </row>
    <row r="353" spans="1:71" ht="12.75" customHeight="1">
      <c r="A353" s="489"/>
      <c r="B353" s="356"/>
      <c r="C353" s="356"/>
      <c r="D353" s="356"/>
      <c r="E353" s="356"/>
      <c r="F353" s="356"/>
      <c r="G353" s="199"/>
      <c r="H353" s="199"/>
      <c r="I353" s="199"/>
      <c r="J353" s="199"/>
      <c r="K353" s="356"/>
      <c r="L353" s="199"/>
      <c r="M353" s="199"/>
      <c r="N353" s="199"/>
      <c r="O353" s="199"/>
      <c r="P353" s="356"/>
      <c r="Q353" s="199"/>
      <c r="R353" s="199"/>
      <c r="S353" s="199"/>
      <c r="T353" s="199"/>
      <c r="U353" s="356"/>
      <c r="V353" s="199"/>
      <c r="W353" s="199"/>
      <c r="X353" s="199"/>
      <c r="Y353" s="2724"/>
      <c r="Z353" s="356"/>
      <c r="AA353" s="199"/>
      <c r="AB353" s="199"/>
      <c r="AC353" s="199"/>
      <c r="AD353" s="199"/>
      <c r="AE353" s="356"/>
      <c r="AF353" s="199"/>
      <c r="AG353" s="199"/>
      <c r="AH353" s="1402"/>
      <c r="AI353" s="1402"/>
      <c r="AJ353" s="3446"/>
      <c r="AK353" s="199"/>
      <c r="AL353" s="199"/>
      <c r="AM353" s="1402"/>
      <c r="AN353" s="1402"/>
      <c r="AO353" s="2765"/>
      <c r="AP353" s="356"/>
      <c r="AQ353" s="356"/>
      <c r="AR353" s="192"/>
      <c r="AS353" s="489"/>
      <c r="AT353" s="191"/>
      <c r="AU353" s="191"/>
      <c r="AV353" s="191"/>
      <c r="AW353" s="191"/>
      <c r="AX353" s="191"/>
      <c r="AY353" s="191"/>
      <c r="AZ353" s="191"/>
      <c r="BA353" s="191"/>
      <c r="BB353" s="191"/>
      <c r="BC353" s="191"/>
      <c r="BD353" s="420"/>
      <c r="BF353" s="900"/>
      <c r="BM353" s="902"/>
      <c r="BN353" s="902"/>
      <c r="BO353" s="902"/>
      <c r="BP353" s="902"/>
      <c r="BQ353" s="902"/>
      <c r="BR353" s="902"/>
      <c r="BS353" s="902"/>
    </row>
    <row r="354" spans="1:71" ht="12.75" customHeight="1">
      <c r="A354" s="341" t="s">
        <v>403</v>
      </c>
      <c r="B354" s="1486"/>
      <c r="C354" s="1486"/>
      <c r="D354" s="1486"/>
      <c r="E354" s="1486">
        <v>261</v>
      </c>
      <c r="F354" s="1486">
        <v>271</v>
      </c>
      <c r="G354" s="1371">
        <v>66</v>
      </c>
      <c r="H354" s="1371">
        <v>74</v>
      </c>
      <c r="I354" s="1371">
        <v>76</v>
      </c>
      <c r="J354" s="1371">
        <v>73</v>
      </c>
      <c r="K354" s="1372">
        <f>+SUM(G354:J354)</f>
        <v>289</v>
      </c>
      <c r="L354" s="1371">
        <v>67</v>
      </c>
      <c r="M354" s="1371">
        <v>79</v>
      </c>
      <c r="N354" s="1371">
        <v>73</v>
      </c>
      <c r="O354" s="1371">
        <v>80</v>
      </c>
      <c r="P354" s="1372">
        <f>SUM(L354:O354)</f>
        <v>299</v>
      </c>
      <c r="Q354" s="1371">
        <v>79</v>
      </c>
      <c r="R354" s="1371">
        <v>88</v>
      </c>
      <c r="S354" s="1371">
        <v>78</v>
      </c>
      <c r="T354" s="1371">
        <v>86</v>
      </c>
      <c r="U354" s="1372">
        <f>SUM(Q354:T354)</f>
        <v>331</v>
      </c>
      <c r="V354" s="1371">
        <v>81</v>
      </c>
      <c r="W354" s="1371">
        <v>89</v>
      </c>
      <c r="X354" s="1371">
        <v>87</v>
      </c>
      <c r="Y354" s="1371">
        <v>90</v>
      </c>
      <c r="Z354" s="1372">
        <f>SUM(V354:Y354)</f>
        <v>347</v>
      </c>
      <c r="AA354" s="2785">
        <v>85</v>
      </c>
      <c r="AB354" s="2785">
        <v>93</v>
      </c>
      <c r="AC354" s="2785">
        <v>87</v>
      </c>
      <c r="AD354" s="1371">
        <v>89</v>
      </c>
      <c r="AE354" s="1372">
        <f>SUM(AA354:AD354)</f>
        <v>354</v>
      </c>
      <c r="AF354" s="3656">
        <v>83</v>
      </c>
      <c r="AG354" s="3656">
        <v>85</v>
      </c>
      <c r="AH354" s="3656">
        <v>87</v>
      </c>
      <c r="AI354" s="3656">
        <v>81</v>
      </c>
      <c r="AJ354" s="1372">
        <f>SUM(AF354:AI354)</f>
        <v>336</v>
      </c>
      <c r="AK354" s="1366">
        <f t="shared" ref="AK354:AM354" si="613">+AK349*AK356</f>
        <v>87.490714831343325</v>
      </c>
      <c r="AL354" s="3948">
        <f t="shared" si="613"/>
        <v>87.854599325837114</v>
      </c>
      <c r="AM354" s="3948">
        <f t="shared" si="613"/>
        <v>95.697879704518684</v>
      </c>
      <c r="AN354" s="1366">
        <f>+AN349*AN356</f>
        <v>85.101950020574122</v>
      </c>
      <c r="AO354" s="1372">
        <f>SUM(AK354:AN354)</f>
        <v>356.14514388227326</v>
      </c>
      <c r="AP354" s="1372">
        <f>AO354*(1+AP343*AP350+AP344*AP351)</f>
        <v>379.82523516275893</v>
      </c>
      <c r="AQ354" s="1372">
        <f>AP354*(1+AQ343*AQ350+AQ344*AQ351)</f>
        <v>384.72427345049425</v>
      </c>
      <c r="AR354" s="329"/>
      <c r="AS354" s="276" t="str">
        <f>+A354</f>
        <v>Base Management Fees</v>
      </c>
      <c r="AT354" s="498">
        <f>+E354</f>
        <v>261</v>
      </c>
      <c r="AU354" s="498">
        <f>+F354</f>
        <v>271</v>
      </c>
      <c r="AV354" s="498">
        <f>+K354</f>
        <v>289</v>
      </c>
      <c r="AW354" s="498">
        <f>+P354</f>
        <v>299</v>
      </c>
      <c r="AX354" s="498">
        <f>+U354</f>
        <v>331</v>
      </c>
      <c r="AY354" s="498">
        <f>+Z354</f>
        <v>347</v>
      </c>
      <c r="AZ354" s="498">
        <f>+AE354</f>
        <v>354</v>
      </c>
      <c r="BA354" s="498">
        <f>+AJ354</f>
        <v>336</v>
      </c>
      <c r="BB354" s="498">
        <f t="shared" ref="BB354:BD356" si="614">+AO354</f>
        <v>356.14514388227326</v>
      </c>
      <c r="BC354" s="498">
        <f t="shared" si="614"/>
        <v>379.82523516275893</v>
      </c>
      <c r="BD354" s="883">
        <f t="shared" si="614"/>
        <v>384.72427345049425</v>
      </c>
      <c r="BF354" s="900"/>
      <c r="BM354" s="902"/>
      <c r="BN354" s="902"/>
      <c r="BO354" s="902"/>
      <c r="BP354" s="902"/>
      <c r="BQ354" s="902"/>
      <c r="BR354" s="902"/>
      <c r="BS354" s="902"/>
    </row>
    <row r="355" spans="1:71" ht="12.75" customHeight="1">
      <c r="A355" s="490" t="s">
        <v>2309</v>
      </c>
      <c r="B355" s="422"/>
      <c r="C355" s="422"/>
      <c r="D355" s="422"/>
      <c r="E355" s="422"/>
      <c r="F355" s="422">
        <f>+F354/E354-1</f>
        <v>3.8314176245210829E-2</v>
      </c>
      <c r="G355" s="421"/>
      <c r="H355" s="421"/>
      <c r="I355" s="421"/>
      <c r="J355" s="421"/>
      <c r="K355" s="422">
        <f t="shared" ref="K355:U355" si="615">+K354/F354-1</f>
        <v>6.6420664206642055E-2</v>
      </c>
      <c r="L355" s="421">
        <f t="shared" si="615"/>
        <v>1.5151515151515138E-2</v>
      </c>
      <c r="M355" s="421">
        <f t="shared" si="615"/>
        <v>6.7567567567567544E-2</v>
      </c>
      <c r="N355" s="421">
        <f t="shared" si="615"/>
        <v>-3.9473684210526327E-2</v>
      </c>
      <c r="O355" s="421">
        <f t="shared" si="615"/>
        <v>9.5890410958904049E-2</v>
      </c>
      <c r="P355" s="422">
        <f t="shared" si="615"/>
        <v>3.460207612456756E-2</v>
      </c>
      <c r="Q355" s="421">
        <f t="shared" si="615"/>
        <v>0.17910447761194037</v>
      </c>
      <c r="R355" s="421">
        <f t="shared" si="615"/>
        <v>0.11392405063291133</v>
      </c>
      <c r="S355" s="421">
        <f t="shared" si="615"/>
        <v>6.8493150684931559E-2</v>
      </c>
      <c r="T355" s="421">
        <f t="shared" si="615"/>
        <v>7.4999999999999956E-2</v>
      </c>
      <c r="U355" s="422">
        <f t="shared" si="615"/>
        <v>0.10702341137123739</v>
      </c>
      <c r="V355" s="421">
        <f t="shared" ref="V355:AC355" si="616">+V354/Q354-1</f>
        <v>2.5316455696202445E-2</v>
      </c>
      <c r="W355" s="421">
        <f t="shared" si="616"/>
        <v>1.1363636363636465E-2</v>
      </c>
      <c r="X355" s="421">
        <f t="shared" si="616"/>
        <v>0.11538461538461542</v>
      </c>
      <c r="Y355" s="421">
        <f t="shared" si="616"/>
        <v>4.6511627906976827E-2</v>
      </c>
      <c r="Z355" s="422">
        <f t="shared" si="616"/>
        <v>4.8338368580060465E-2</v>
      </c>
      <c r="AA355" s="421">
        <f t="shared" si="616"/>
        <v>4.9382716049382713E-2</v>
      </c>
      <c r="AB355" s="421">
        <f t="shared" si="616"/>
        <v>4.4943820224719211E-2</v>
      </c>
      <c r="AC355" s="421">
        <f t="shared" si="616"/>
        <v>0</v>
      </c>
      <c r="AD355" s="421">
        <f>+AD354/Y354-1</f>
        <v>-1.1111111111111072E-2</v>
      </c>
      <c r="AE355" s="422">
        <f>+AE354/Z354-1</f>
        <v>2.0172910662824117E-2</v>
      </c>
      <c r="AF355" s="421">
        <f>+AF354/AA368-1</f>
        <v>7.7922077922077948E-2</v>
      </c>
      <c r="AG355" s="3608">
        <f>+AG354/AB368-1</f>
        <v>6.25E-2</v>
      </c>
      <c r="AH355" s="3608">
        <f>+AH354/AC368-1</f>
        <v>0.12987012987012991</v>
      </c>
      <c r="AI355" s="3608">
        <f>+AI354/AD368-1</f>
        <v>5.1948051948051965E-2</v>
      </c>
      <c r="AJ355" s="3609">
        <f>+AJ354/AE368-1</f>
        <v>8.0385852090032239E-2</v>
      </c>
      <c r="AK355" s="4110">
        <f>+AK354/AF360-1</f>
        <v>8.0132281868436017E-2</v>
      </c>
      <c r="AL355" s="4114">
        <f t="shared" ref="AL355:AO355" si="617">+AL354/AG360-1</f>
        <v>8.4624683035026127E-2</v>
      </c>
      <c r="AM355" s="4114">
        <f t="shared" si="617"/>
        <v>9.9975628787571047E-2</v>
      </c>
      <c r="AN355" s="4115">
        <f t="shared" si="617"/>
        <v>9.1050641289411871E-2</v>
      </c>
      <c r="AO355" s="4116">
        <f t="shared" si="617"/>
        <v>8.9128880373924302E-2</v>
      </c>
      <c r="AP355" s="422">
        <f>+AP354/AO360-1</f>
        <v>6.6490001863715786E-2</v>
      </c>
      <c r="AQ355" s="422">
        <f>+AQ354/AP360-1</f>
        <v>1.2898137970311696E-2</v>
      </c>
      <c r="AR355" s="331"/>
      <c r="AS355" s="490" t="str">
        <f>+A355</f>
        <v>% growth, y/y</v>
      </c>
      <c r="AT355" s="419"/>
      <c r="AU355" s="419">
        <f>+F355</f>
        <v>3.8314176245210829E-2</v>
      </c>
      <c r="AV355" s="419">
        <f>+K355</f>
        <v>6.6420664206642055E-2</v>
      </c>
      <c r="AW355" s="419">
        <f>+P355</f>
        <v>3.460207612456756E-2</v>
      </c>
      <c r="AX355" s="419">
        <f>+U355</f>
        <v>0.10702341137123739</v>
      </c>
      <c r="AY355" s="419">
        <f>+Z355</f>
        <v>4.8338368580060465E-2</v>
      </c>
      <c r="AZ355" s="419">
        <f>+AE355</f>
        <v>2.0172910662824117E-2</v>
      </c>
      <c r="BA355" s="419">
        <f>+AJ355</f>
        <v>8.0385852090032239E-2</v>
      </c>
      <c r="BB355" s="419">
        <f t="shared" si="614"/>
        <v>8.9128880373924302E-2</v>
      </c>
      <c r="BC355" s="419">
        <f t="shared" si="614"/>
        <v>6.6490001863715786E-2</v>
      </c>
      <c r="BD355" s="876">
        <f t="shared" si="614"/>
        <v>1.2898137970311696E-2</v>
      </c>
      <c r="BF355" s="900"/>
      <c r="BM355" s="902"/>
      <c r="BN355" s="902"/>
      <c r="BO355" s="902"/>
      <c r="BP355" s="902"/>
      <c r="BQ355" s="902"/>
      <c r="BR355" s="902"/>
      <c r="BS355" s="902"/>
    </row>
    <row r="356" spans="1:71" s="130" customFormat="1" ht="12.75" customHeight="1">
      <c r="A356" s="490" t="s">
        <v>1431</v>
      </c>
      <c r="B356" s="422"/>
      <c r="C356" s="422"/>
      <c r="D356" s="422"/>
      <c r="E356" s="422">
        <f>E354/E349</f>
        <v>6.238217080157378E-2</v>
      </c>
      <c r="F356" s="422">
        <f t="shared" ref="F356:W356" si="618">F354/F349</f>
        <v>5.7287837170079119E-2</v>
      </c>
      <c r="G356" s="421">
        <f t="shared" si="618"/>
        <v>5.8423661572548316E-2</v>
      </c>
      <c r="H356" s="421">
        <f t="shared" si="618"/>
        <v>6.0729842823142678E-2</v>
      </c>
      <c r="I356" s="421">
        <f t="shared" si="618"/>
        <v>5.9932314025571427E-2</v>
      </c>
      <c r="J356" s="421">
        <f t="shared" si="618"/>
        <v>5.9726917296441709E-2</v>
      </c>
      <c r="K356" s="422">
        <f t="shared" si="618"/>
        <v>5.972904152593838E-2</v>
      </c>
      <c r="L356" s="421">
        <f t="shared" si="618"/>
        <v>5.4759053321391062E-2</v>
      </c>
      <c r="M356" s="421">
        <f t="shared" si="618"/>
        <v>5.8719081286320772E-2</v>
      </c>
      <c r="N356" s="421">
        <f t="shared" si="618"/>
        <v>5.3212759201530679E-2</v>
      </c>
      <c r="O356" s="421">
        <f t="shared" si="618"/>
        <v>5.7867697716689363E-2</v>
      </c>
      <c r="P356" s="422">
        <f t="shared" si="618"/>
        <v>5.6168734581895099E-2</v>
      </c>
      <c r="Q356" s="421">
        <f>Q354/Q349</f>
        <v>5.8742866335848812E-2</v>
      </c>
      <c r="R356" s="421">
        <f t="shared" si="618"/>
        <v>5.7241118104975182E-2</v>
      </c>
      <c r="S356" s="421">
        <f t="shared" si="618"/>
        <v>4.8378840606861886E-2</v>
      </c>
      <c r="T356" s="421">
        <f>T354/T349</f>
        <v>5.7098719584316449E-2</v>
      </c>
      <c r="U356" s="422">
        <f t="shared" si="618"/>
        <v>5.5160791763258721E-2</v>
      </c>
      <c r="V356" s="421">
        <f t="shared" si="618"/>
        <v>5.9773219777354565E-2</v>
      </c>
      <c r="W356" s="421">
        <f t="shared" si="618"/>
        <v>5.9282777677342781E-2</v>
      </c>
      <c r="X356" s="421">
        <f t="shared" ref="X356:AO356" si="619">X354/X349</f>
        <v>5.4776724416799927E-2</v>
      </c>
      <c r="Y356" s="421">
        <f t="shared" si="619"/>
        <v>6.0085008648627522E-2</v>
      </c>
      <c r="Z356" s="422">
        <f t="shared" si="619"/>
        <v>5.8392492807244914E-2</v>
      </c>
      <c r="AA356" s="421">
        <f t="shared" si="619"/>
        <v>5.8186396404373779E-2</v>
      </c>
      <c r="AB356" s="421">
        <f t="shared" si="619"/>
        <v>5.6978790679175502E-2</v>
      </c>
      <c r="AC356" s="421">
        <f t="shared" si="619"/>
        <v>5.1841726941068624E-2</v>
      </c>
      <c r="AD356" s="421">
        <f t="shared" si="619"/>
        <v>5.6861057849965271E-2</v>
      </c>
      <c r="AE356" s="422">
        <f t="shared" si="619"/>
        <v>5.5867574764011524E-2</v>
      </c>
      <c r="AF356" s="421">
        <f t="shared" ref="AF356:AI356" si="620">AF354/AF349</f>
        <v>4.6887193846817436E-2</v>
      </c>
      <c r="AG356" s="419">
        <f t="shared" si="620"/>
        <v>4.157254324282695E-2</v>
      </c>
      <c r="AH356" s="419">
        <f t="shared" si="620"/>
        <v>4.1785295037285966E-2</v>
      </c>
      <c r="AI356" s="419">
        <f t="shared" si="620"/>
        <v>4.1032928980766555E-2</v>
      </c>
      <c r="AJ356" s="422">
        <f t="shared" si="619"/>
        <v>4.2688775991888847E-2</v>
      </c>
      <c r="AK356" s="4086">
        <f>AF361</f>
        <v>4.5757381946894125E-2</v>
      </c>
      <c r="AL356" s="419">
        <f>AG361</f>
        <v>3.9616188266693914E-2</v>
      </c>
      <c r="AM356" s="419">
        <f>AH361</f>
        <v>4.1785295037285966E-2</v>
      </c>
      <c r="AN356" s="419">
        <f>AI361</f>
        <v>3.9513190870367795E-2</v>
      </c>
      <c r="AO356" s="422">
        <f t="shared" si="619"/>
        <v>4.1539307745564483E-2</v>
      </c>
      <c r="AP356" s="422">
        <f>+AO361</f>
        <v>4.1539307745564483E-2</v>
      </c>
      <c r="AQ356" s="422">
        <f>+AP361</f>
        <v>4.1539307745564476E-2</v>
      </c>
      <c r="AR356" s="331"/>
      <c r="AS356" s="490" t="str">
        <f>+A356</f>
        <v>% of Managed hotel revs.</v>
      </c>
      <c r="AT356" s="419">
        <f>+E356</f>
        <v>6.238217080157378E-2</v>
      </c>
      <c r="AU356" s="419">
        <f>+F356</f>
        <v>5.7287837170079119E-2</v>
      </c>
      <c r="AV356" s="419">
        <f>+K356</f>
        <v>5.972904152593838E-2</v>
      </c>
      <c r="AW356" s="419">
        <f>+P356</f>
        <v>5.6168734581895099E-2</v>
      </c>
      <c r="AX356" s="419">
        <f>+U356</f>
        <v>5.5160791763258721E-2</v>
      </c>
      <c r="AY356" s="419">
        <f>+Z356</f>
        <v>5.8392492807244914E-2</v>
      </c>
      <c r="AZ356" s="419">
        <f>+AE356</f>
        <v>5.5867574764011524E-2</v>
      </c>
      <c r="BA356" s="419">
        <f>+AJ356</f>
        <v>4.2688775991888847E-2</v>
      </c>
      <c r="BB356" s="419">
        <f t="shared" si="614"/>
        <v>4.1539307745564483E-2</v>
      </c>
      <c r="BC356" s="419">
        <f t="shared" si="614"/>
        <v>4.1539307745564483E-2</v>
      </c>
      <c r="BD356" s="876">
        <f t="shared" si="614"/>
        <v>4.1539307745564476E-2</v>
      </c>
      <c r="BE356" s="14"/>
      <c r="BF356" s="902"/>
      <c r="BG356"/>
      <c r="BH356"/>
      <c r="BI356"/>
      <c r="BJ356"/>
      <c r="BK356"/>
      <c r="BL356"/>
      <c r="BM356" s="902"/>
      <c r="BN356" s="902"/>
      <c r="BO356" s="902"/>
      <c r="BP356" s="902"/>
      <c r="BQ356" s="902"/>
      <c r="BR356" s="902"/>
      <c r="BS356" s="902"/>
    </row>
    <row r="357" spans="1:71" ht="12.75" customHeight="1">
      <c r="A357" s="311" t="s">
        <v>2119</v>
      </c>
      <c r="B357" s="194"/>
      <c r="C357" s="194"/>
      <c r="D357" s="194"/>
      <c r="E357" s="194"/>
      <c r="F357" s="1680"/>
      <c r="G357" s="194"/>
      <c r="H357" s="194"/>
      <c r="I357" s="194"/>
      <c r="J357" s="1356"/>
      <c r="K357" s="1356"/>
      <c r="L357" s="194"/>
      <c r="M357" s="194"/>
      <c r="N357" s="194"/>
      <c r="O357" s="1356">
        <v>78</v>
      </c>
      <c r="P357" s="1356">
        <v>297</v>
      </c>
      <c r="Q357" s="332">
        <v>74</v>
      </c>
      <c r="R357" s="332">
        <v>87</v>
      </c>
      <c r="S357" s="332">
        <v>84</v>
      </c>
      <c r="T357" s="1349">
        <v>95</v>
      </c>
      <c r="U357" s="1348">
        <v>339</v>
      </c>
      <c r="V357" s="332"/>
      <c r="W357" s="332"/>
      <c r="X357" s="332"/>
      <c r="Y357" s="332"/>
      <c r="Z357" s="1348"/>
      <c r="AA357" s="332"/>
      <c r="AB357" s="332"/>
      <c r="AC357" s="332"/>
      <c r="AD357" s="332"/>
      <c r="AE357" s="1348"/>
      <c r="AF357" s="332"/>
      <c r="AG357" s="332"/>
      <c r="AH357" s="332"/>
      <c r="AI357" s="332"/>
      <c r="AJ357" s="1348"/>
      <c r="AK357" s="332"/>
      <c r="AL357" s="332"/>
      <c r="AM357" s="332"/>
      <c r="AN357" s="332"/>
      <c r="AO357" s="1348"/>
      <c r="AP357" s="1348"/>
      <c r="AQ357" s="131"/>
      <c r="AR357" s="194"/>
      <c r="AS357" s="258"/>
      <c r="AT357" s="191"/>
      <c r="AU357" s="191"/>
      <c r="AV357" s="191"/>
      <c r="AW357" s="191"/>
      <c r="AX357" s="191"/>
      <c r="AY357" s="191"/>
      <c r="AZ357" s="191"/>
      <c r="BA357" s="191"/>
      <c r="BB357" s="191"/>
      <c r="BC357" s="191"/>
      <c r="BD357" s="191"/>
      <c r="BF357" s="900"/>
      <c r="BM357" s="902"/>
      <c r="BN357" s="902"/>
      <c r="BO357" s="902"/>
      <c r="BP357" s="902"/>
      <c r="BQ357" s="902"/>
      <c r="BR357" s="902"/>
      <c r="BS357" s="902"/>
    </row>
    <row r="358" spans="1:71" ht="12.75" customHeight="1">
      <c r="A358" s="489"/>
      <c r="B358" s="356"/>
      <c r="C358" s="356"/>
      <c r="D358" s="356"/>
      <c r="E358" s="356"/>
      <c r="F358" s="356"/>
      <c r="G358" s="199"/>
      <c r="H358" s="199"/>
      <c r="I358" s="133"/>
      <c r="J358" s="133"/>
      <c r="K358" s="356"/>
      <c r="L358" s="133"/>
      <c r="M358" s="133"/>
      <c r="N358" s="133"/>
      <c r="O358" s="133"/>
      <c r="P358" s="356"/>
      <c r="Q358" s="133"/>
      <c r="R358" s="133"/>
      <c r="S358" s="133"/>
      <c r="T358" s="133"/>
      <c r="U358" s="1357"/>
      <c r="V358" s="133"/>
      <c r="W358" s="133"/>
      <c r="X358" s="133"/>
      <c r="Y358" s="2749"/>
      <c r="Z358" s="1357"/>
      <c r="AA358" s="133"/>
      <c r="AB358" s="133"/>
      <c r="AC358" s="133"/>
      <c r="AD358" s="133"/>
      <c r="AE358" s="1357"/>
      <c r="AF358" s="2937"/>
      <c r="AG358" s="2408"/>
      <c r="AH358" s="2408"/>
      <c r="AI358" s="2408"/>
      <c r="AJ358" s="3446"/>
      <c r="AK358" s="2408"/>
      <c r="AL358" s="2408"/>
      <c r="AM358" s="2408"/>
      <c r="AN358" s="2408"/>
      <c r="AO358" s="1357"/>
      <c r="AP358" s="1357"/>
      <c r="AQ358" s="356"/>
      <c r="AR358" s="192"/>
      <c r="AS358" s="489"/>
      <c r="AT358" s="191"/>
      <c r="AU358" s="191"/>
      <c r="AV358" s="191"/>
      <c r="AW358" s="191"/>
      <c r="AX358" s="191"/>
      <c r="AY358" s="191"/>
      <c r="AZ358" s="191"/>
      <c r="BA358" s="191"/>
      <c r="BB358" s="191"/>
      <c r="BC358" s="191"/>
      <c r="BD358" s="420"/>
      <c r="BF358" s="900"/>
      <c r="BM358" s="902"/>
      <c r="BN358" s="902"/>
      <c r="BO358" s="902"/>
      <c r="BP358" s="902"/>
      <c r="BQ358" s="902"/>
      <c r="BR358" s="902"/>
      <c r="BS358" s="902"/>
    </row>
    <row r="359" spans="1:71" ht="12.75" customHeight="1">
      <c r="A359" s="3447" t="s">
        <v>3205</v>
      </c>
      <c r="B359" s="192"/>
      <c r="C359" s="192"/>
      <c r="D359" s="192"/>
      <c r="E359" s="192"/>
      <c r="F359" s="192"/>
      <c r="G359" s="199"/>
      <c r="H359" s="199"/>
      <c r="I359" s="133"/>
      <c r="J359" s="133"/>
      <c r="K359" s="192"/>
      <c r="L359" s="133"/>
      <c r="M359" s="133"/>
      <c r="N359" s="133"/>
      <c r="O359" s="133"/>
      <c r="P359" s="192"/>
      <c r="Q359" s="133"/>
      <c r="R359" s="133"/>
      <c r="S359" s="133"/>
      <c r="T359" s="133"/>
      <c r="U359" s="1355"/>
      <c r="V359" s="133"/>
      <c r="W359" s="133"/>
      <c r="X359" s="133"/>
      <c r="Y359" s="2749"/>
      <c r="Z359" s="1357"/>
      <c r="AA359" s="133"/>
      <c r="AB359" s="133"/>
      <c r="AC359" s="133"/>
      <c r="AD359" s="133"/>
      <c r="AE359" s="1357"/>
      <c r="AF359" s="2937">
        <v>-2</v>
      </c>
      <c r="AG359" s="2937">
        <v>-4</v>
      </c>
      <c r="AH359" s="2937">
        <v>0</v>
      </c>
      <c r="AI359" s="2937">
        <v>-3</v>
      </c>
      <c r="AJ359" s="4083">
        <f>SUM(AF359:AI359)</f>
        <v>-9</v>
      </c>
      <c r="AK359" s="2937">
        <v>0</v>
      </c>
      <c r="AL359" s="2937">
        <v>0</v>
      </c>
      <c r="AM359" s="2937">
        <v>0</v>
      </c>
      <c r="AN359" s="2937">
        <v>0</v>
      </c>
      <c r="AO359" s="4083">
        <f>SUM(AK359:AN359)</f>
        <v>0</v>
      </c>
      <c r="AP359" s="4085">
        <v>0</v>
      </c>
      <c r="AQ359" s="4085">
        <v>0</v>
      </c>
      <c r="AR359" s="192"/>
      <c r="AS359" s="489"/>
      <c r="AT359" s="191"/>
      <c r="AU359" s="191"/>
      <c r="AV359" s="191"/>
      <c r="AW359" s="191"/>
      <c r="AX359" s="191"/>
      <c r="AY359" s="191"/>
      <c r="AZ359" s="191"/>
      <c r="BA359" s="191"/>
      <c r="BB359" s="191"/>
      <c r="BC359" s="191"/>
      <c r="BD359" s="420"/>
      <c r="BF359" s="900"/>
      <c r="BM359" s="902"/>
      <c r="BN359" s="902"/>
      <c r="BO359" s="902"/>
      <c r="BP359" s="902"/>
      <c r="BQ359" s="902"/>
      <c r="BR359" s="902"/>
      <c r="BS359" s="902"/>
    </row>
    <row r="360" spans="1:71" ht="12.75" customHeight="1">
      <c r="A360" s="341" t="s">
        <v>3206</v>
      </c>
      <c r="B360" s="1486"/>
      <c r="C360" s="1486"/>
      <c r="D360" s="1486"/>
      <c r="E360" s="1486"/>
      <c r="F360" s="1486"/>
      <c r="G360" s="1371"/>
      <c r="H360" s="1371"/>
      <c r="I360" s="1371"/>
      <c r="J360" s="1371"/>
      <c r="K360" s="1372"/>
      <c r="L360" s="1371"/>
      <c r="M360" s="1371"/>
      <c r="N360" s="1371"/>
      <c r="O360" s="1371"/>
      <c r="P360" s="1372"/>
      <c r="Q360" s="1371"/>
      <c r="R360" s="1371"/>
      <c r="S360" s="1371"/>
      <c r="T360" s="1371"/>
      <c r="U360" s="1372"/>
      <c r="V360" s="1371"/>
      <c r="W360" s="1371"/>
      <c r="X360" s="1371"/>
      <c r="Y360" s="1371"/>
      <c r="Z360" s="1372"/>
      <c r="AA360" s="2785"/>
      <c r="AB360" s="2785"/>
      <c r="AC360" s="2785"/>
      <c r="AD360" s="1371"/>
      <c r="AE360" s="1372"/>
      <c r="AF360" s="1366">
        <f>+AF354+AF359</f>
        <v>81</v>
      </c>
      <c r="AG360" s="1366">
        <f>+AG354+AG359</f>
        <v>81</v>
      </c>
      <c r="AH360" s="1366">
        <f>+AH354+AH359</f>
        <v>87</v>
      </c>
      <c r="AI360" s="1366">
        <f>+AI354+AI359</f>
        <v>78</v>
      </c>
      <c r="AJ360" s="1372">
        <f>+AJ354+AJ359</f>
        <v>327</v>
      </c>
      <c r="AK360" s="3947">
        <f t="shared" ref="AK360:AQ360" si="621">+AK354+AK359</f>
        <v>87.490714831343325</v>
      </c>
      <c r="AL360" s="4082">
        <f t="shared" si="621"/>
        <v>87.854599325837114</v>
      </c>
      <c r="AM360" s="4082">
        <f t="shared" si="621"/>
        <v>95.697879704518684</v>
      </c>
      <c r="AN360" s="1366">
        <f t="shared" si="621"/>
        <v>85.101950020574122</v>
      </c>
      <c r="AO360" s="1372">
        <f t="shared" si="621"/>
        <v>356.14514388227326</v>
      </c>
      <c r="AP360" s="1372">
        <f t="shared" si="621"/>
        <v>379.82523516275893</v>
      </c>
      <c r="AQ360" s="1372">
        <f t="shared" si="621"/>
        <v>384.72427345049425</v>
      </c>
      <c r="AR360" s="329"/>
      <c r="AS360" s="276"/>
      <c r="AT360" s="498"/>
      <c r="AU360" s="498"/>
      <c r="AV360" s="498"/>
      <c r="AW360" s="498"/>
      <c r="AX360" s="498"/>
      <c r="AY360" s="498"/>
      <c r="AZ360" s="498"/>
      <c r="BA360" s="498"/>
      <c r="BB360" s="498"/>
      <c r="BC360" s="498"/>
      <c r="BD360" s="883"/>
      <c r="BF360" s="900"/>
      <c r="BM360" s="902"/>
      <c r="BN360" s="902"/>
      <c r="BO360" s="902"/>
      <c r="BP360" s="902"/>
      <c r="BQ360" s="902"/>
      <c r="BR360" s="902"/>
      <c r="BS360" s="902"/>
    </row>
    <row r="361" spans="1:71" ht="12.75" customHeight="1">
      <c r="A361" s="490" t="s">
        <v>1431</v>
      </c>
      <c r="B361" s="192"/>
      <c r="C361" s="192"/>
      <c r="D361" s="192"/>
      <c r="E361" s="192"/>
      <c r="F361" s="192"/>
      <c r="G361" s="199"/>
      <c r="H361" s="199"/>
      <c r="I361" s="133"/>
      <c r="J361" s="133"/>
      <c r="K361" s="192"/>
      <c r="L361" s="133"/>
      <c r="M361" s="133"/>
      <c r="N361" s="133"/>
      <c r="O361" s="133"/>
      <c r="P361" s="192"/>
      <c r="Q361" s="133"/>
      <c r="R361" s="133"/>
      <c r="S361" s="133"/>
      <c r="T361" s="133"/>
      <c r="U361" s="1355"/>
      <c r="V361" s="133"/>
      <c r="W361" s="133"/>
      <c r="X361" s="133"/>
      <c r="Y361" s="2749"/>
      <c r="Z361" s="1357"/>
      <c r="AA361" s="133"/>
      <c r="AB361" s="133"/>
      <c r="AC361" s="133"/>
      <c r="AD361" s="133"/>
      <c r="AE361" s="1357"/>
      <c r="AF361" s="421">
        <f t="shared" ref="AF361:AQ361" si="622">+AF360/AF349</f>
        <v>4.5757381946894125E-2</v>
      </c>
      <c r="AG361" s="421">
        <f t="shared" si="622"/>
        <v>3.9616188266693914E-2</v>
      </c>
      <c r="AH361" s="421">
        <f t="shared" si="622"/>
        <v>4.1785295037285966E-2</v>
      </c>
      <c r="AI361" s="421">
        <f t="shared" si="622"/>
        <v>3.9513190870367795E-2</v>
      </c>
      <c r="AJ361" s="4084">
        <f t="shared" si="622"/>
        <v>4.1545326634963249E-2</v>
      </c>
      <c r="AK361" s="421">
        <f t="shared" si="622"/>
        <v>4.5757381946894125E-2</v>
      </c>
      <c r="AL361" s="421">
        <f t="shared" si="622"/>
        <v>3.9616188266693914E-2</v>
      </c>
      <c r="AM361" s="421">
        <f t="shared" si="622"/>
        <v>4.1785295037285966E-2</v>
      </c>
      <c r="AN361" s="421">
        <f t="shared" si="622"/>
        <v>3.9513190870367795E-2</v>
      </c>
      <c r="AO361" s="4084">
        <f t="shared" si="622"/>
        <v>4.1539307745564483E-2</v>
      </c>
      <c r="AP361" s="4084">
        <f t="shared" si="622"/>
        <v>4.1539307745564476E-2</v>
      </c>
      <c r="AQ361" s="4084">
        <f t="shared" si="622"/>
        <v>4.1538969825243521E-2</v>
      </c>
      <c r="AR361" s="192"/>
      <c r="AS361" s="489"/>
      <c r="AT361" s="191"/>
      <c r="AU361" s="191"/>
      <c r="AV361" s="191"/>
      <c r="AW361" s="191"/>
      <c r="AX361" s="191"/>
      <c r="AY361" s="191"/>
      <c r="AZ361" s="191"/>
      <c r="BA361" s="191"/>
      <c r="BB361" s="191"/>
      <c r="BC361" s="191"/>
      <c r="BD361" s="420"/>
      <c r="BF361" s="900"/>
      <c r="BM361" s="902"/>
      <c r="BN361" s="902"/>
      <c r="BO361" s="902"/>
      <c r="BP361" s="902"/>
      <c r="BQ361" s="902"/>
      <c r="BR361" s="902"/>
      <c r="BS361" s="902"/>
    </row>
    <row r="362" spans="1:71" ht="12.75" customHeight="1">
      <c r="A362" s="489"/>
      <c r="B362" s="192"/>
      <c r="C362" s="192"/>
      <c r="D362" s="192"/>
      <c r="E362" s="192"/>
      <c r="F362" s="192"/>
      <c r="G362" s="199"/>
      <c r="H362" s="199"/>
      <c r="I362" s="133"/>
      <c r="J362" s="133"/>
      <c r="K362" s="192"/>
      <c r="L362" s="133"/>
      <c r="M362" s="133"/>
      <c r="N362" s="133"/>
      <c r="O362" s="133"/>
      <c r="P362" s="192"/>
      <c r="Q362" s="133"/>
      <c r="R362" s="133"/>
      <c r="S362" s="133"/>
      <c r="T362" s="133"/>
      <c r="U362" s="1355"/>
      <c r="V362" s="133"/>
      <c r="W362" s="133"/>
      <c r="X362" s="133"/>
      <c r="Y362" s="2749"/>
      <c r="Z362" s="1357"/>
      <c r="AA362" s="133"/>
      <c r="AB362" s="133"/>
      <c r="AC362" s="133"/>
      <c r="AD362" s="133"/>
      <c r="AE362" s="1357"/>
      <c r="AF362" s="2408"/>
      <c r="AG362" s="2408"/>
      <c r="AH362" s="2408"/>
      <c r="AI362" s="2408"/>
      <c r="AJ362" s="3446"/>
      <c r="AK362" s="2408"/>
      <c r="AL362" s="2408"/>
      <c r="AM362" s="2408"/>
      <c r="AN362" s="2408"/>
      <c r="AO362" s="1357"/>
      <c r="AP362" s="1357"/>
      <c r="AQ362" s="356"/>
      <c r="AR362" s="192"/>
      <c r="AS362" s="489"/>
      <c r="AT362" s="191"/>
      <c r="AU362" s="191"/>
      <c r="AV362" s="191"/>
      <c r="AW362" s="191"/>
      <c r="AX362" s="191"/>
      <c r="AY362" s="191"/>
      <c r="AZ362" s="191"/>
      <c r="BA362" s="191"/>
      <c r="BB362" s="191"/>
      <c r="BC362" s="191"/>
      <c r="BD362" s="420"/>
      <c r="BF362" s="900"/>
      <c r="BM362" s="902"/>
      <c r="BN362" s="902"/>
      <c r="BO362" s="902"/>
      <c r="BP362" s="902"/>
      <c r="BQ362" s="902"/>
      <c r="BR362" s="902"/>
      <c r="BS362" s="902"/>
    </row>
    <row r="363" spans="1:71" s="1734" customFormat="1" ht="12.75" customHeight="1">
      <c r="A363" s="3631" t="s">
        <v>3016</v>
      </c>
      <c r="B363" s="3617"/>
      <c r="C363" s="3617"/>
      <c r="D363" s="3617"/>
      <c r="E363" s="3617"/>
      <c r="F363" s="3617"/>
      <c r="G363" s="3617"/>
      <c r="H363" s="3617"/>
      <c r="I363" s="3617"/>
      <c r="J363" s="3617"/>
      <c r="K363" s="3617"/>
      <c r="L363" s="3617"/>
      <c r="M363" s="3617"/>
      <c r="N363" s="3617"/>
      <c r="O363" s="3617"/>
      <c r="P363" s="3617"/>
      <c r="Q363" s="3617"/>
      <c r="R363" s="3617"/>
      <c r="S363" s="3617"/>
      <c r="T363" s="3617"/>
      <c r="U363" s="3617"/>
      <c r="V363" s="3617"/>
      <c r="W363" s="3617"/>
      <c r="X363" s="3617"/>
      <c r="Y363" s="3617"/>
      <c r="Z363" s="3618"/>
      <c r="AA363" s="3617"/>
      <c r="AB363" s="3617"/>
      <c r="AC363" s="3617"/>
      <c r="AD363" s="3617"/>
      <c r="AE363" s="3618"/>
      <c r="AF363"/>
      <c r="AG363"/>
      <c r="AH363"/>
      <c r="AI363"/>
      <c r="AJ363" s="3606"/>
      <c r="AK363"/>
      <c r="AL363"/>
      <c r="AM363"/>
      <c r="AN363"/>
      <c r="AO363" s="1357"/>
      <c r="AP363" s="1357"/>
      <c r="AQ363" s="356"/>
      <c r="AR363" s="192"/>
      <c r="AS363" s="3447"/>
      <c r="AT363" s="2752"/>
      <c r="AU363" s="2752"/>
      <c r="AV363" s="2752"/>
      <c r="AW363" s="2752"/>
      <c r="AX363" s="2752"/>
      <c r="AY363" s="2752"/>
      <c r="AZ363" s="2752"/>
      <c r="BA363" s="2752"/>
      <c r="BB363" s="2752"/>
      <c r="BC363" s="2752"/>
      <c r="BD363" s="3601"/>
      <c r="BE363" s="2690"/>
      <c r="BF363" s="3590"/>
      <c r="BG363"/>
      <c r="BH363"/>
      <c r="BI363"/>
      <c r="BJ363"/>
      <c r="BK363"/>
      <c r="BL363"/>
      <c r="BM363" s="2838"/>
      <c r="BN363" s="2838"/>
      <c r="BO363" s="2838"/>
      <c r="BP363" s="2838"/>
      <c r="BQ363" s="2838"/>
      <c r="BR363" s="2838"/>
      <c r="BS363" s="2838"/>
    </row>
    <row r="364" spans="1:71" s="1734" customFormat="1" ht="12.75" customHeight="1">
      <c r="A364" s="3631" t="s">
        <v>2171</v>
      </c>
      <c r="B364" s="3617"/>
      <c r="C364" s="3617"/>
      <c r="D364" s="3617"/>
      <c r="E364" s="3617"/>
      <c r="F364" s="3617"/>
      <c r="G364" s="3617"/>
      <c r="H364" s="3617"/>
      <c r="I364" s="3617"/>
      <c r="J364" s="3617"/>
      <c r="K364" s="3617"/>
      <c r="L364" s="3617"/>
      <c r="M364" s="3617"/>
      <c r="N364" s="3617"/>
      <c r="O364" s="3617"/>
      <c r="P364" s="3617"/>
      <c r="Q364" s="3617"/>
      <c r="R364" s="3617"/>
      <c r="S364" s="3617"/>
      <c r="T364" s="3617"/>
      <c r="U364" s="3617"/>
      <c r="V364" s="3617"/>
      <c r="W364" s="3617"/>
      <c r="X364" s="3617"/>
      <c r="Y364" s="3617"/>
      <c r="Z364" s="3618"/>
      <c r="AA364" s="3632">
        <f>+RevPAR!X359</f>
        <v>832.71096052566043</v>
      </c>
      <c r="AB364" s="3632">
        <f>+RevPAR!Y359</f>
        <v>977.23636616411102</v>
      </c>
      <c r="AC364" s="3632">
        <f>+RevPAR!Z359</f>
        <v>965.47227477441072</v>
      </c>
      <c r="AD364" s="3632">
        <f>+RevPAR!AA359</f>
        <v>816.54611262283845</v>
      </c>
      <c r="AE364" s="3633">
        <f>SUM(AA364:AD364)</f>
        <v>3591.9657140870204</v>
      </c>
      <c r="AF364"/>
      <c r="AG364"/>
      <c r="AH364"/>
      <c r="AI364"/>
      <c r="AJ364" s="3606"/>
      <c r="AK364"/>
      <c r="AL364"/>
      <c r="AM364"/>
      <c r="AN364"/>
      <c r="AO364" s="1357"/>
      <c r="AP364" s="1357"/>
      <c r="AQ364" s="356"/>
      <c r="AR364" s="192"/>
      <c r="AS364" s="3447"/>
      <c r="AT364" s="2752"/>
      <c r="AU364" s="2752"/>
      <c r="AV364" s="2752"/>
      <c r="AW364" s="2752"/>
      <c r="AX364" s="2752"/>
      <c r="AY364" s="2752"/>
      <c r="AZ364" s="2752"/>
      <c r="BA364" s="2752"/>
      <c r="BB364" s="2752"/>
      <c r="BC364" s="2752"/>
      <c r="BD364" s="3601"/>
      <c r="BE364" s="2690"/>
      <c r="BF364" s="3590"/>
      <c r="BG364"/>
      <c r="BH364"/>
      <c r="BI364"/>
      <c r="BJ364"/>
      <c r="BK364"/>
      <c r="BL364"/>
      <c r="BM364" s="2838"/>
      <c r="BN364" s="2838"/>
      <c r="BO364" s="2838"/>
      <c r="BP364" s="2838"/>
      <c r="BQ364" s="2838"/>
      <c r="BR364" s="2838"/>
      <c r="BS364" s="2838"/>
    </row>
    <row r="365" spans="1:71" s="1734" customFormat="1" ht="12.75" customHeight="1">
      <c r="A365" s="3631" t="s">
        <v>1253</v>
      </c>
      <c r="B365" s="3617"/>
      <c r="C365" s="3617"/>
      <c r="D365" s="3617"/>
      <c r="E365" s="3617"/>
      <c r="F365" s="3617"/>
      <c r="G365" s="3617"/>
      <c r="H365" s="3617"/>
      <c r="I365" s="3617"/>
      <c r="J365" s="3617"/>
      <c r="K365" s="3617"/>
      <c r="L365" s="3617"/>
      <c r="M365" s="3617"/>
      <c r="N365" s="3617"/>
      <c r="O365" s="3617"/>
      <c r="P365" s="3617"/>
      <c r="Q365" s="3617"/>
      <c r="R365" s="3617"/>
      <c r="S365" s="3617"/>
      <c r="T365" s="3617"/>
      <c r="U365" s="3617"/>
      <c r="V365" s="3617"/>
      <c r="W365" s="3617"/>
      <c r="X365" s="3617"/>
      <c r="Y365" s="3617"/>
      <c r="Z365" s="3618"/>
      <c r="AA365" s="3634">
        <f>+RevPAR!X374</f>
        <v>959.8862821258183</v>
      </c>
      <c r="AB365" s="3634">
        <f>+RevPAR!Y374</f>
        <v>1046.5986418823995</v>
      </c>
      <c r="AC365" s="3634">
        <f>+RevPAR!Z374</f>
        <v>1101.2438672080359</v>
      </c>
      <c r="AD365" s="3634">
        <f>+RevPAR!AA374</f>
        <v>1079.2558849350496</v>
      </c>
      <c r="AE365" s="3635">
        <f>SUM(AA365:AD365)</f>
        <v>4186.9846761513036</v>
      </c>
      <c r="AF365"/>
      <c r="AG365"/>
      <c r="AH365"/>
      <c r="AI365"/>
      <c r="AJ365" s="3606"/>
      <c r="AK365"/>
      <c r="AL365"/>
      <c r="AM365"/>
      <c r="AN365"/>
      <c r="AO365" s="1357"/>
      <c r="AP365" s="1357"/>
      <c r="AQ365" s="356"/>
      <c r="AR365" s="192"/>
      <c r="AS365" s="3447"/>
      <c r="AT365" s="2752"/>
      <c r="AU365" s="2752"/>
      <c r="AV365" s="2752"/>
      <c r="AW365" s="2752"/>
      <c r="AX365" s="2752"/>
      <c r="AY365" s="2752"/>
      <c r="AZ365" s="2752"/>
      <c r="BA365" s="2752"/>
      <c r="BB365" s="2752"/>
      <c r="BC365" s="2752"/>
      <c r="BD365" s="3601"/>
      <c r="BE365" s="2690"/>
      <c r="BF365" s="3590"/>
      <c r="BG365"/>
      <c r="BH365"/>
      <c r="BI365"/>
      <c r="BJ365"/>
      <c r="BK365"/>
      <c r="BL365"/>
      <c r="BM365" s="2838"/>
      <c r="BN365" s="2838"/>
      <c r="BO365" s="2838"/>
      <c r="BP365" s="2838"/>
      <c r="BQ365" s="2838"/>
      <c r="BR365" s="2838"/>
      <c r="BS365" s="2838"/>
    </row>
    <row r="366" spans="1:71" s="1734" customFormat="1" ht="12.75" customHeight="1">
      <c r="A366" s="3631" t="s">
        <v>1687</v>
      </c>
      <c r="B366" s="3617"/>
      <c r="C366" s="3617"/>
      <c r="D366" s="3617"/>
      <c r="E366" s="3617"/>
      <c r="F366" s="3617"/>
      <c r="G366" s="3617"/>
      <c r="H366" s="3617"/>
      <c r="I366" s="3617"/>
      <c r="J366" s="3617"/>
      <c r="K366" s="3617"/>
      <c r="L366" s="3617"/>
      <c r="M366" s="3617"/>
      <c r="N366" s="3617"/>
      <c r="O366" s="3617"/>
      <c r="P366" s="3617"/>
      <c r="Q366" s="3617"/>
      <c r="R366" s="3617"/>
      <c r="S366" s="3617"/>
      <c r="T366" s="3617"/>
      <c r="U366" s="3617"/>
      <c r="V366" s="3617"/>
      <c r="W366" s="3617"/>
      <c r="X366" s="3617"/>
      <c r="Y366" s="3617"/>
      <c r="Z366" s="3618"/>
      <c r="AA366" s="3636">
        <f>SUM(AA364:AA365)</f>
        <v>1792.5972426514786</v>
      </c>
      <c r="AB366" s="3636">
        <f>SUM(AB364:AB365)</f>
        <v>2023.8350080465107</v>
      </c>
      <c r="AC366" s="3636">
        <f>SUM(AC364:AC365)</f>
        <v>2066.7161419824465</v>
      </c>
      <c r="AD366" s="3636">
        <f>SUM(AD364:AD365)</f>
        <v>1895.8019975578882</v>
      </c>
      <c r="AE366" s="3637">
        <f>SUM(AE364:AE365)</f>
        <v>7778.950390238324</v>
      </c>
      <c r="AF366"/>
      <c r="AG366"/>
      <c r="AH366"/>
      <c r="AI366"/>
      <c r="AJ366" s="3606"/>
      <c r="AK366"/>
      <c r="AL366"/>
      <c r="AM366"/>
      <c r="AN366"/>
      <c r="AO366" s="1357"/>
      <c r="AP366" s="1357"/>
      <c r="AQ366" s="356"/>
      <c r="AR366" s="192"/>
      <c r="AS366" s="3447"/>
      <c r="AT366" s="2752"/>
      <c r="AU366" s="2752"/>
      <c r="AV366" s="2752"/>
      <c r="AW366" s="2752"/>
      <c r="AX366" s="2752"/>
      <c r="AY366" s="2752"/>
      <c r="AZ366" s="2752"/>
      <c r="BA366" s="2752"/>
      <c r="BB366" s="2752"/>
      <c r="BC366" s="2752"/>
      <c r="BD366" s="3601"/>
      <c r="BE366" s="2690"/>
      <c r="BF366" s="3590"/>
      <c r="BG366"/>
      <c r="BH366"/>
      <c r="BI366"/>
      <c r="BJ366"/>
      <c r="BK366"/>
      <c r="BL366"/>
      <c r="BM366" s="2838"/>
      <c r="BN366" s="2838"/>
      <c r="BO366" s="2838"/>
      <c r="BP366" s="2838"/>
      <c r="BQ366" s="2838"/>
      <c r="BR366" s="2838"/>
      <c r="BS366" s="2838"/>
    </row>
    <row r="367" spans="1:71" s="1734" customFormat="1" ht="12.75" customHeight="1">
      <c r="A367" s="3631"/>
      <c r="B367" s="3617"/>
      <c r="C367" s="3617"/>
      <c r="D367" s="3617"/>
      <c r="E367" s="3617"/>
      <c r="F367" s="3617"/>
      <c r="G367" s="3617"/>
      <c r="H367" s="3617"/>
      <c r="I367" s="3617"/>
      <c r="J367" s="3617"/>
      <c r="K367" s="3617"/>
      <c r="L367" s="3617"/>
      <c r="M367" s="3617"/>
      <c r="N367" s="3617"/>
      <c r="O367" s="3617"/>
      <c r="P367" s="3617"/>
      <c r="Q367" s="3617"/>
      <c r="R367" s="3617"/>
      <c r="S367" s="3617"/>
      <c r="T367" s="3617"/>
      <c r="U367" s="3617"/>
      <c r="V367" s="3617"/>
      <c r="W367" s="3617"/>
      <c r="X367" s="3617"/>
      <c r="Y367" s="3617"/>
      <c r="Z367" s="3618"/>
      <c r="AA367" s="3617"/>
      <c r="AB367" s="3617"/>
      <c r="AC367" s="3617"/>
      <c r="AD367" s="3617"/>
      <c r="AE367" s="3618"/>
      <c r="AF367"/>
      <c r="AG367"/>
      <c r="AH367"/>
      <c r="AI367"/>
      <c r="AJ367" s="3606"/>
      <c r="AK367"/>
      <c r="AL367"/>
      <c r="AM367"/>
      <c r="AN367"/>
      <c r="AO367" s="1357"/>
      <c r="AP367" s="1357"/>
      <c r="AQ367" s="356"/>
      <c r="AR367" s="192"/>
      <c r="AS367" s="3447"/>
      <c r="AT367" s="2752"/>
      <c r="AU367" s="2752"/>
      <c r="AV367" s="2752"/>
      <c r="AW367" s="2752"/>
      <c r="AX367" s="2752"/>
      <c r="AY367" s="2752"/>
      <c r="AZ367" s="2752"/>
      <c r="BA367" s="2752"/>
      <c r="BB367" s="2752"/>
      <c r="BC367" s="2752"/>
      <c r="BD367" s="3601"/>
      <c r="BE367" s="2690"/>
      <c r="BF367" s="3590"/>
      <c r="BG367"/>
      <c r="BH367"/>
      <c r="BI367"/>
      <c r="BJ367"/>
      <c r="BK367"/>
      <c r="BL367"/>
      <c r="BM367" s="2838"/>
      <c r="BN367" s="2838"/>
      <c r="BO367" s="2838"/>
      <c r="BP367" s="2838"/>
      <c r="BQ367" s="2838"/>
      <c r="BR367" s="2838"/>
      <c r="BS367" s="2838"/>
    </row>
    <row r="368" spans="1:71" s="1734" customFormat="1" ht="12.75" customHeight="1">
      <c r="A368" s="3631" t="s">
        <v>3017</v>
      </c>
      <c r="B368" s="3617"/>
      <c r="C368" s="3617"/>
      <c r="D368" s="3617"/>
      <c r="E368" s="3617"/>
      <c r="F368" s="3617"/>
      <c r="G368" s="3617"/>
      <c r="H368" s="3617"/>
      <c r="I368" s="3617"/>
      <c r="J368" s="3617"/>
      <c r="K368" s="3617"/>
      <c r="L368" s="3617"/>
      <c r="M368" s="3617"/>
      <c r="N368" s="3617"/>
      <c r="O368" s="3617"/>
      <c r="P368" s="3617"/>
      <c r="Q368" s="3617"/>
      <c r="R368" s="3617"/>
      <c r="S368" s="3617"/>
      <c r="T368" s="3617"/>
      <c r="U368" s="3617"/>
      <c r="V368" s="3617"/>
      <c r="W368" s="3617"/>
      <c r="X368" s="3617"/>
      <c r="Y368" s="3617"/>
      <c r="Z368" s="3618"/>
      <c r="AA368" s="3632">
        <v>77</v>
      </c>
      <c r="AB368" s="3632">
        <v>80</v>
      </c>
      <c r="AC368" s="3632">
        <v>77</v>
      </c>
      <c r="AD368" s="3632">
        <v>77</v>
      </c>
      <c r="AE368" s="3633">
        <f>SUM(AA368:AD368)</f>
        <v>311</v>
      </c>
      <c r="AF368"/>
      <c r="AG368"/>
      <c r="AH368"/>
      <c r="AI368"/>
      <c r="AJ368" s="3606"/>
      <c r="AK368"/>
      <c r="AL368"/>
      <c r="AM368"/>
      <c r="AN368"/>
      <c r="AO368" s="2766"/>
      <c r="AP368" s="2766"/>
      <c r="AQ368" s="2766"/>
      <c r="AR368" s="192"/>
      <c r="AS368" s="3447"/>
      <c r="AT368" s="2752"/>
      <c r="AU368" s="2752"/>
      <c r="AV368" s="2752"/>
      <c r="AW368" s="2752"/>
      <c r="AX368" s="2752"/>
      <c r="AY368" s="2752"/>
      <c r="AZ368" s="2752"/>
      <c r="BA368" s="2752"/>
      <c r="BB368" s="2752"/>
      <c r="BC368" s="2752"/>
      <c r="BD368" s="3601"/>
      <c r="BE368" s="2690"/>
      <c r="BF368" s="3590"/>
      <c r="BG368"/>
      <c r="BH368"/>
      <c r="BI368"/>
      <c r="BJ368"/>
      <c r="BK368"/>
      <c r="BL368"/>
      <c r="BM368" s="2838"/>
      <c r="BN368" s="2838"/>
      <c r="BO368" s="2838"/>
      <c r="BP368" s="2838"/>
      <c r="BQ368" s="2838"/>
      <c r="BR368" s="2838"/>
      <c r="BS368" s="2838"/>
    </row>
    <row r="369" spans="1:71" s="1734" customFormat="1" ht="12.75" customHeight="1">
      <c r="A369" s="3631" t="s">
        <v>1431</v>
      </c>
      <c r="B369" s="3617"/>
      <c r="C369" s="3617"/>
      <c r="D369" s="3617"/>
      <c r="E369" s="3617"/>
      <c r="F369" s="3617"/>
      <c r="G369" s="3617"/>
      <c r="H369" s="3617"/>
      <c r="I369" s="3617"/>
      <c r="J369" s="3617"/>
      <c r="K369" s="3617"/>
      <c r="L369" s="3617"/>
      <c r="M369" s="3617"/>
      <c r="N369" s="3617"/>
      <c r="O369" s="3617"/>
      <c r="P369" s="3617"/>
      <c r="Q369" s="3617"/>
      <c r="R369" s="3617"/>
      <c r="S369" s="3617"/>
      <c r="T369" s="3617"/>
      <c r="U369" s="3617"/>
      <c r="V369" s="3617"/>
      <c r="W369" s="3617"/>
      <c r="X369" s="3617"/>
      <c r="Y369" s="3617"/>
      <c r="Z369" s="3618"/>
      <c r="AA369" s="3638">
        <f>+AA368/AA366</f>
        <v>4.2954434028977549E-2</v>
      </c>
      <c r="AB369" s="3638">
        <f>+AB368/AB366</f>
        <v>3.9528914008271507E-2</v>
      </c>
      <c r="AC369" s="3638">
        <f>+AC368/AC366</f>
        <v>3.7257172591752076E-2</v>
      </c>
      <c r="AD369" s="3638">
        <f>+AD368/AD366</f>
        <v>4.0616055948452925E-2</v>
      </c>
      <c r="AE369" s="3639">
        <f>+AE368/AE366</f>
        <v>3.997968676985892E-2</v>
      </c>
      <c r="AF369"/>
      <c r="AG369"/>
      <c r="AH369"/>
      <c r="AI369"/>
      <c r="AJ369" s="3606"/>
      <c r="AK369"/>
      <c r="AL369"/>
      <c r="AM369"/>
      <c r="AN369"/>
      <c r="AO369" s="1357"/>
      <c r="AP369" s="1357"/>
      <c r="AQ369" s="356"/>
      <c r="AR369" s="192"/>
      <c r="AS369" s="3447"/>
      <c r="AT369" s="2752"/>
      <c r="AU369" s="2752"/>
      <c r="AV369" s="2752"/>
      <c r="AW369" s="2752"/>
      <c r="AX369" s="2752"/>
      <c r="AY369" s="2752"/>
      <c r="AZ369" s="2752"/>
      <c r="BA369" s="2752"/>
      <c r="BB369" s="2752"/>
      <c r="BC369" s="2752"/>
      <c r="BD369" s="3601"/>
      <c r="BE369" s="2690"/>
      <c r="BF369" s="3590"/>
      <c r="BG369"/>
      <c r="BH369"/>
      <c r="BI369"/>
      <c r="BJ369"/>
      <c r="BK369"/>
      <c r="BL369"/>
      <c r="BM369" s="2838"/>
      <c r="BN369" s="2838"/>
      <c r="BO369" s="2838"/>
      <c r="BP369" s="2838"/>
      <c r="BQ369" s="2838"/>
      <c r="BR369" s="2838"/>
      <c r="BS369" s="2838"/>
    </row>
    <row r="370" spans="1:71" s="1734" customFormat="1" ht="12.75" customHeight="1">
      <c r="A370" s="490"/>
      <c r="B370" s="356"/>
      <c r="C370" s="356"/>
      <c r="D370" s="356"/>
      <c r="E370" s="356"/>
      <c r="F370" s="356"/>
      <c r="G370" s="2724"/>
      <c r="H370" s="2724"/>
      <c r="I370" s="2749"/>
      <c r="J370" s="2749"/>
      <c r="K370" s="356"/>
      <c r="L370" s="2749"/>
      <c r="M370" s="2749"/>
      <c r="N370" s="2749"/>
      <c r="O370" s="2749"/>
      <c r="P370" s="356"/>
      <c r="Q370" s="2749"/>
      <c r="R370" s="2749"/>
      <c r="S370" s="2749"/>
      <c r="T370" s="2749"/>
      <c r="U370" s="1357"/>
      <c r="V370" s="2749"/>
      <c r="W370" s="2749"/>
      <c r="X370" s="2749"/>
      <c r="Y370" s="2749"/>
      <c r="Z370" s="3610"/>
      <c r="AA370"/>
      <c r="AB370"/>
      <c r="AC370"/>
      <c r="AD370"/>
      <c r="AE370" s="3607"/>
      <c r="AF370"/>
      <c r="AG370"/>
      <c r="AH370"/>
      <c r="AI370"/>
      <c r="AJ370" s="3607"/>
      <c r="AK370"/>
      <c r="AL370"/>
      <c r="AM370"/>
      <c r="AN370"/>
      <c r="AO370" s="1357"/>
      <c r="AP370" s="1357"/>
      <c r="AQ370" s="356"/>
      <c r="AR370" s="192"/>
      <c r="AS370" s="3447"/>
      <c r="AT370" s="2752"/>
      <c r="AU370" s="2752"/>
      <c r="AV370" s="2752"/>
      <c r="AW370" s="2752"/>
      <c r="AX370" s="2752"/>
      <c r="AY370" s="2752"/>
      <c r="AZ370" s="2752"/>
      <c r="BA370" s="2752"/>
      <c r="BB370" s="2752"/>
      <c r="BC370" s="2752"/>
      <c r="BD370" s="3601"/>
      <c r="BE370" s="2690"/>
      <c r="BF370" s="3590"/>
      <c r="BG370"/>
      <c r="BH370"/>
      <c r="BI370"/>
      <c r="BJ370"/>
      <c r="BK370"/>
      <c r="BL370"/>
      <c r="BM370" s="2838"/>
      <c r="BN370" s="2838"/>
      <c r="BO370" s="2838"/>
      <c r="BP370" s="2838"/>
      <c r="BQ370" s="2838"/>
      <c r="BR370" s="2838"/>
      <c r="BS370" s="2838"/>
    </row>
    <row r="371" spans="1:71" ht="12.75" customHeight="1">
      <c r="A371" s="341" t="s">
        <v>404</v>
      </c>
      <c r="B371" s="1486"/>
      <c r="C371" s="1486"/>
      <c r="D371" s="1486"/>
      <c r="E371" s="1486">
        <v>92</v>
      </c>
      <c r="F371" s="1486">
        <v>104</v>
      </c>
      <c r="G371" s="1371">
        <v>28</v>
      </c>
      <c r="H371" s="1371">
        <v>24</v>
      </c>
      <c r="I371" s="1371">
        <v>24</v>
      </c>
      <c r="J371" s="1371">
        <v>36</v>
      </c>
      <c r="K371" s="1372">
        <f>SUM(G371:J371)</f>
        <v>112</v>
      </c>
      <c r="L371" s="1371">
        <v>29</v>
      </c>
      <c r="M371" s="1371">
        <v>27</v>
      </c>
      <c r="N371" s="1371">
        <v>24</v>
      </c>
      <c r="O371" s="1371">
        <v>34</v>
      </c>
      <c r="P371" s="1372">
        <f>SUM(L371:O371)</f>
        <v>114</v>
      </c>
      <c r="Q371" s="1371">
        <v>34</v>
      </c>
      <c r="R371" s="1371">
        <v>31</v>
      </c>
      <c r="S371" s="1371">
        <v>34</v>
      </c>
      <c r="T371" s="1371">
        <v>38</v>
      </c>
      <c r="U371" s="1372">
        <f>SUM(Q371:T371)</f>
        <v>137</v>
      </c>
      <c r="V371" s="1371">
        <v>37</v>
      </c>
      <c r="W371" s="1371">
        <v>36</v>
      </c>
      <c r="X371" s="1371">
        <v>34</v>
      </c>
      <c r="Y371" s="1371">
        <v>41</v>
      </c>
      <c r="Z371" s="1372">
        <f>SUM(V371:Y371)</f>
        <v>148</v>
      </c>
      <c r="AA371" s="2785">
        <v>42</v>
      </c>
      <c r="AB371" s="2785">
        <v>36</v>
      </c>
      <c r="AC371" s="2785">
        <v>37</v>
      </c>
      <c r="AD371" s="2785">
        <v>40</v>
      </c>
      <c r="AE371" s="1372">
        <f>SUM(AA371:AD371)</f>
        <v>155</v>
      </c>
      <c r="AF371" s="3656">
        <v>52</v>
      </c>
      <c r="AG371" s="3656">
        <v>56</v>
      </c>
      <c r="AH371" s="3656">
        <v>52</v>
      </c>
      <c r="AI371" s="3656">
        <v>62</v>
      </c>
      <c r="AJ371" s="1372">
        <f>SUM(AF371:AI371)</f>
        <v>222</v>
      </c>
      <c r="AK371" s="4117">
        <f>+AF377*(1+AK372)</f>
        <v>49.980000000000004</v>
      </c>
      <c r="AL371" s="4118">
        <f>+AG377*(1+AL372)</f>
        <v>60.42</v>
      </c>
      <c r="AM371" s="4118">
        <f>+AH377*(1+AM372)</f>
        <v>56.18</v>
      </c>
      <c r="AN371" s="4118">
        <f>+AI377*(1+AN372)</f>
        <v>63.63</v>
      </c>
      <c r="AO371" s="1372">
        <f>SUM(AK371:AN371)</f>
        <v>230.21</v>
      </c>
      <c r="AP371" s="1372">
        <f>+AO377*(1+AP372)</f>
        <v>230.21</v>
      </c>
      <c r="AQ371" s="1372">
        <f>+AP377*(1+AQ372)</f>
        <v>218.6995</v>
      </c>
      <c r="AR371" s="329"/>
      <c r="AS371" s="276" t="str">
        <f>+A371</f>
        <v>Incentive Management Fees</v>
      </c>
      <c r="AT371" s="498">
        <f>+E371</f>
        <v>92</v>
      </c>
      <c r="AU371" s="498">
        <f>+F371</f>
        <v>104</v>
      </c>
      <c r="AV371" s="498">
        <f>+K371</f>
        <v>112</v>
      </c>
      <c r="AW371" s="498">
        <f>+P371</f>
        <v>114</v>
      </c>
      <c r="AX371" s="498">
        <f>+U371</f>
        <v>137</v>
      </c>
      <c r="AY371" s="498">
        <f>+Z371</f>
        <v>148</v>
      </c>
      <c r="AZ371" s="498">
        <f>+AE371</f>
        <v>155</v>
      </c>
      <c r="BA371" s="498">
        <f>+AJ371</f>
        <v>222</v>
      </c>
      <c r="BB371" s="498">
        <f t="shared" ref="BB371:BD373" si="623">+AO371</f>
        <v>230.21</v>
      </c>
      <c r="BC371" s="498">
        <f t="shared" si="623"/>
        <v>230.21</v>
      </c>
      <c r="BD371" s="883">
        <f t="shared" si="623"/>
        <v>218.6995</v>
      </c>
      <c r="BF371" s="900"/>
      <c r="BM371" s="902"/>
      <c r="BN371" s="902"/>
      <c r="BO371" s="902"/>
      <c r="BP371" s="902"/>
      <c r="BQ371" s="902"/>
      <c r="BR371" s="902"/>
      <c r="BS371" s="902"/>
    </row>
    <row r="372" spans="1:71" ht="12.75" customHeight="1">
      <c r="A372" s="490" t="s">
        <v>2309</v>
      </c>
      <c r="B372" s="422"/>
      <c r="C372" s="422"/>
      <c r="D372" s="422"/>
      <c r="E372" s="422"/>
      <c r="F372" s="422">
        <f>+F371/E371-1</f>
        <v>0.13043478260869557</v>
      </c>
      <c r="G372" s="421"/>
      <c r="H372" s="421"/>
      <c r="I372" s="421"/>
      <c r="J372" s="421"/>
      <c r="K372" s="422">
        <f t="shared" ref="K372:AD372" si="624">+K371/F371-1</f>
        <v>7.6923076923076872E-2</v>
      </c>
      <c r="L372" s="421">
        <f t="shared" si="624"/>
        <v>3.5714285714285809E-2</v>
      </c>
      <c r="M372" s="421">
        <f t="shared" si="624"/>
        <v>0.125</v>
      </c>
      <c r="N372" s="421">
        <f t="shared" si="624"/>
        <v>0</v>
      </c>
      <c r="O372" s="421">
        <f t="shared" si="624"/>
        <v>-5.555555555555558E-2</v>
      </c>
      <c r="P372" s="422">
        <f t="shared" si="624"/>
        <v>1.7857142857142794E-2</v>
      </c>
      <c r="Q372" s="421">
        <f t="shared" si="624"/>
        <v>0.17241379310344818</v>
      </c>
      <c r="R372" s="421">
        <f t="shared" si="624"/>
        <v>0.14814814814814814</v>
      </c>
      <c r="S372" s="421">
        <f t="shared" si="624"/>
        <v>0.41666666666666674</v>
      </c>
      <c r="T372" s="421">
        <f t="shared" si="624"/>
        <v>0.11764705882352944</v>
      </c>
      <c r="U372" s="422">
        <f>+U371/P371-1</f>
        <v>0.20175438596491224</v>
      </c>
      <c r="V372" s="421">
        <f t="shared" si="624"/>
        <v>8.8235294117646967E-2</v>
      </c>
      <c r="W372" s="421">
        <f t="shared" si="624"/>
        <v>0.16129032258064524</v>
      </c>
      <c r="X372" s="421">
        <f t="shared" si="624"/>
        <v>0</v>
      </c>
      <c r="Y372" s="421">
        <f t="shared" si="624"/>
        <v>7.8947368421052655E-2</v>
      </c>
      <c r="Z372" s="422">
        <f>+Z371/U371-1</f>
        <v>8.0291970802919721E-2</v>
      </c>
      <c r="AA372" s="421">
        <f t="shared" si="624"/>
        <v>0.13513513513513509</v>
      </c>
      <c r="AB372" s="421">
        <f t="shared" si="624"/>
        <v>0</v>
      </c>
      <c r="AC372" s="421">
        <f t="shared" si="624"/>
        <v>8.8235294117646967E-2</v>
      </c>
      <c r="AD372" s="421">
        <f t="shared" si="624"/>
        <v>-2.4390243902439046E-2</v>
      </c>
      <c r="AE372" s="422">
        <f>+AE371/Z371-1</f>
        <v>4.7297297297297369E-2</v>
      </c>
      <c r="AF372" s="421">
        <f>+AF371/AA379-1</f>
        <v>4.0000000000000036E-2</v>
      </c>
      <c r="AG372" s="421">
        <f>+AG371/AB379-1</f>
        <v>0.14285714285714279</v>
      </c>
      <c r="AH372" s="421">
        <f>+AH371/AC379-1</f>
        <v>8.3333333333333259E-2</v>
      </c>
      <c r="AI372" s="421">
        <f>+AI371/AD379-1</f>
        <v>0.14814814814814814</v>
      </c>
      <c r="AJ372" s="3609">
        <f>+AJ371/AE379-1</f>
        <v>0.10447761194029859</v>
      </c>
      <c r="AK372" s="3762">
        <v>0.02</v>
      </c>
      <c r="AL372" s="3762">
        <v>0.06</v>
      </c>
      <c r="AM372" s="3762">
        <v>0.06</v>
      </c>
      <c r="AN372" s="3762">
        <v>0.01</v>
      </c>
      <c r="AO372" s="680">
        <f>+AO371/AJ371-1</f>
        <v>3.6981981981982104E-2</v>
      </c>
      <c r="AP372" s="681">
        <v>0</v>
      </c>
      <c r="AQ372" s="681">
        <v>-0.05</v>
      </c>
      <c r="AR372" s="194"/>
      <c r="AS372" s="490" t="str">
        <f>+A372</f>
        <v>% growth, y/y</v>
      </c>
      <c r="AT372" s="419"/>
      <c r="AU372" s="419">
        <f>+F372</f>
        <v>0.13043478260869557</v>
      </c>
      <c r="AV372" s="419">
        <f>+K372</f>
        <v>7.6923076923076872E-2</v>
      </c>
      <c r="AW372" s="419">
        <f>+P372</f>
        <v>1.7857142857142794E-2</v>
      </c>
      <c r="AX372" s="419">
        <f>+U372</f>
        <v>0.20175438596491224</v>
      </c>
      <c r="AY372" s="419">
        <f>+Z372</f>
        <v>8.0291970802919721E-2</v>
      </c>
      <c r="AZ372" s="419">
        <f>+AE372</f>
        <v>4.7297297297297369E-2</v>
      </c>
      <c r="BA372" s="419">
        <f>+AJ372</f>
        <v>0.10447761194029859</v>
      </c>
      <c r="BB372" s="419">
        <f t="shared" si="623"/>
        <v>3.6981981981982104E-2</v>
      </c>
      <c r="BC372" s="419">
        <f t="shared" si="623"/>
        <v>0</v>
      </c>
      <c r="BD372" s="876">
        <f t="shared" si="623"/>
        <v>-0.05</v>
      </c>
      <c r="BF372" s="900"/>
      <c r="BM372" s="902"/>
      <c r="BN372" s="902"/>
      <c r="BO372" s="902"/>
      <c r="BP372" s="902"/>
      <c r="BQ372" s="902"/>
      <c r="BR372" s="902"/>
      <c r="BS372" s="902"/>
    </row>
    <row r="373" spans="1:71" s="1091" customFormat="1" ht="12.75" customHeight="1">
      <c r="A373" s="742" t="s">
        <v>31</v>
      </c>
      <c r="B373" s="422"/>
      <c r="C373" s="422"/>
      <c r="D373" s="422"/>
      <c r="E373" s="422">
        <f>E371/E349</f>
        <v>2.1989117677183093E-2</v>
      </c>
      <c r="F373" s="422">
        <f t="shared" ref="F373:W373" si="625">F371/F349</f>
        <v>2.1985000242391986E-2</v>
      </c>
      <c r="G373" s="421">
        <f t="shared" si="625"/>
        <v>2.478579581865686E-2</v>
      </c>
      <c r="H373" s="421">
        <f t="shared" si="625"/>
        <v>1.9696165239938168E-2</v>
      </c>
      <c r="I373" s="421">
        <f t="shared" si="625"/>
        <v>1.8925993902812032E-2</v>
      </c>
      <c r="J373" s="421">
        <f t="shared" si="625"/>
        <v>2.945437017358769E-2</v>
      </c>
      <c r="K373" s="422">
        <f t="shared" si="625"/>
        <v>2.314758702735328E-2</v>
      </c>
      <c r="L373" s="421">
        <f t="shared" si="625"/>
        <v>2.3701679795825981E-2</v>
      </c>
      <c r="M373" s="421">
        <f t="shared" si="625"/>
        <v>2.0068546768742541E-2</v>
      </c>
      <c r="N373" s="421">
        <f t="shared" si="625"/>
        <v>1.74946057648868E-2</v>
      </c>
      <c r="O373" s="421">
        <f t="shared" si="625"/>
        <v>2.4593771529592981E-2</v>
      </c>
      <c r="P373" s="422">
        <f t="shared" si="625"/>
        <v>2.1415504154970039E-2</v>
      </c>
      <c r="Q373" s="421">
        <f>Q371/Q349</f>
        <v>2.528173994201088E-2</v>
      </c>
      <c r="R373" s="421">
        <f t="shared" si="625"/>
        <v>2.0164484786979894E-2</v>
      </c>
      <c r="S373" s="421">
        <f t="shared" si="625"/>
        <v>2.1088212572221848E-2</v>
      </c>
      <c r="T373" s="421">
        <f t="shared" si="625"/>
        <v>2.5229666793070059E-2</v>
      </c>
      <c r="U373" s="422">
        <f t="shared" si="625"/>
        <v>2.283090172678684E-2</v>
      </c>
      <c r="V373" s="421">
        <f>V371/V349</f>
        <v>2.7303816441507641E-2</v>
      </c>
      <c r="W373" s="421">
        <f t="shared" si="625"/>
        <v>2.3979550521172361E-2</v>
      </c>
      <c r="X373" s="421">
        <f t="shared" ref="X373:AQ373" si="626">X371/X349</f>
        <v>2.1406995749094226E-2</v>
      </c>
      <c r="Y373" s="421">
        <f t="shared" si="626"/>
        <v>2.7372059495485872E-2</v>
      </c>
      <c r="Z373" s="422">
        <f t="shared" si="626"/>
        <v>2.49051554336376E-2</v>
      </c>
      <c r="AA373" s="421">
        <f t="shared" si="626"/>
        <v>2.8750925282161159E-2</v>
      </c>
      <c r="AB373" s="421">
        <f t="shared" si="626"/>
        <v>2.205630606935826E-2</v>
      </c>
      <c r="AC373" s="421">
        <f t="shared" si="626"/>
        <v>2.2047630997925737E-2</v>
      </c>
      <c r="AD373" s="421">
        <f t="shared" si="626"/>
        <v>2.5555531617961921E-2</v>
      </c>
      <c r="AE373" s="422">
        <f t="shared" si="626"/>
        <v>2.4461791210231034E-2</v>
      </c>
      <c r="AF373" s="421">
        <f t="shared" ref="AF373:AG373" si="627">AF371/AF349</f>
        <v>2.9375109398006104E-2</v>
      </c>
      <c r="AG373" s="421">
        <f t="shared" si="627"/>
        <v>2.7388969665862462E-2</v>
      </c>
      <c r="AH373" s="421">
        <f t="shared" ref="AH373" si="628">AH371/AH349</f>
        <v>2.497511887286058E-2</v>
      </c>
      <c r="AI373" s="421">
        <f t="shared" si="626"/>
        <v>3.1407920948241068E-2</v>
      </c>
      <c r="AJ373" s="422">
        <f t="shared" si="626"/>
        <v>2.8205084137497987E-2</v>
      </c>
      <c r="AK373" s="421">
        <f t="shared" si="626"/>
        <v>2.6139390381189034E-2</v>
      </c>
      <c r="AL373" s="421">
        <f t="shared" si="626"/>
        <v>2.7245131312888599E-2</v>
      </c>
      <c r="AM373" s="421">
        <f t="shared" si="626"/>
        <v>2.4530301846216147E-2</v>
      </c>
      <c r="AN373" s="421">
        <f t="shared" si="626"/>
        <v>2.9543674786226021E-2</v>
      </c>
      <c r="AO373" s="422">
        <f t="shared" si="626"/>
        <v>2.6850749477767555E-2</v>
      </c>
      <c r="AP373" s="422">
        <f t="shared" si="626"/>
        <v>2.5176747490220492E-2</v>
      </c>
      <c r="AQ373" s="422">
        <f t="shared" si="626"/>
        <v>2.3613149879571693E-2</v>
      </c>
      <c r="AR373" s="421"/>
      <c r="AS373" s="815" t="str">
        <f>+A373</f>
        <v>% of Managed revs.</v>
      </c>
      <c r="AT373" s="665">
        <f>+E373</f>
        <v>2.1989117677183093E-2</v>
      </c>
      <c r="AU373" s="665">
        <f>+F373</f>
        <v>2.1985000242391986E-2</v>
      </c>
      <c r="AV373" s="665">
        <f>+K373</f>
        <v>2.314758702735328E-2</v>
      </c>
      <c r="AW373" s="665">
        <f>+P373</f>
        <v>2.1415504154970039E-2</v>
      </c>
      <c r="AX373" s="665">
        <f>+U373</f>
        <v>2.283090172678684E-2</v>
      </c>
      <c r="AY373" s="665">
        <f>+Z373</f>
        <v>2.49051554336376E-2</v>
      </c>
      <c r="AZ373" s="665">
        <f>+AE373</f>
        <v>2.4461791210231034E-2</v>
      </c>
      <c r="BA373" s="665">
        <f>+AJ373</f>
        <v>2.8205084137497987E-2</v>
      </c>
      <c r="BB373" s="665">
        <f t="shared" si="623"/>
        <v>2.6850749477767555E-2</v>
      </c>
      <c r="BC373" s="665">
        <f t="shared" si="623"/>
        <v>2.5176747490220492E-2</v>
      </c>
      <c r="BD373" s="884">
        <f t="shared" si="623"/>
        <v>2.3613149879571693E-2</v>
      </c>
      <c r="BE373" s="14"/>
      <c r="BF373" s="902"/>
      <c r="BG373"/>
      <c r="BH373"/>
      <c r="BI373"/>
      <c r="BJ373"/>
      <c r="BK373"/>
      <c r="BL373"/>
      <c r="BM373" s="902"/>
      <c r="BN373" s="902"/>
      <c r="BO373" s="902"/>
      <c r="BP373" s="902"/>
      <c r="BQ373" s="902"/>
      <c r="BR373" s="902"/>
      <c r="BS373" s="902"/>
    </row>
    <row r="374" spans="1:71" ht="12.75" hidden="1" customHeight="1" outlineLevel="1">
      <c r="A374" s="311" t="s">
        <v>2118</v>
      </c>
      <c r="B374" s="194"/>
      <c r="C374" s="194"/>
      <c r="D374" s="194"/>
      <c r="E374" s="194"/>
      <c r="F374" s="194"/>
      <c r="G374" s="194"/>
      <c r="H374" s="194"/>
      <c r="I374" s="194"/>
      <c r="J374" s="194"/>
      <c r="K374" s="194"/>
      <c r="L374" s="194"/>
      <c r="M374" s="194"/>
      <c r="N374" s="194"/>
      <c r="O374" s="332">
        <v>33</v>
      </c>
      <c r="P374" s="332">
        <v>113</v>
      </c>
      <c r="Q374" s="332">
        <v>30</v>
      </c>
      <c r="R374" s="332">
        <v>28</v>
      </c>
      <c r="S374" s="332">
        <v>25</v>
      </c>
      <c r="T374" s="332">
        <v>38</v>
      </c>
      <c r="U374" s="332">
        <v>122</v>
      </c>
      <c r="V374" s="332"/>
      <c r="W374" s="332"/>
      <c r="X374" s="332"/>
      <c r="Y374" s="332"/>
      <c r="Z374" s="1348"/>
      <c r="AA374" s="332"/>
      <c r="AB374" s="332"/>
      <c r="AC374" s="332"/>
      <c r="AD374" s="332"/>
      <c r="AE374" s="4087"/>
      <c r="AF374" s="332"/>
      <c r="AG374" s="332"/>
      <c r="AH374" s="332"/>
      <c r="AI374" s="332"/>
      <c r="AJ374" s="4087"/>
      <c r="AK374" s="332"/>
      <c r="AL374" s="332"/>
      <c r="AM374" s="332"/>
      <c r="AN374" s="332"/>
      <c r="AO374" s="1348"/>
      <c r="AP374" s="1348"/>
      <c r="AQ374" s="131"/>
      <c r="AR374" s="194"/>
      <c r="AS374" s="258"/>
      <c r="AT374" s="191"/>
      <c r="AU374" s="191"/>
      <c r="AV374" s="191"/>
      <c r="AW374" s="191"/>
      <c r="AX374" s="191"/>
      <c r="AY374" s="191"/>
      <c r="AZ374" s="191"/>
      <c r="BA374" s="191"/>
      <c r="BB374" s="191"/>
      <c r="BC374" s="191"/>
      <c r="BD374" s="191"/>
      <c r="BF374" s="900"/>
      <c r="BM374" s="902"/>
      <c r="BN374" s="902"/>
      <c r="BO374" s="902"/>
      <c r="BP374" s="902"/>
      <c r="BQ374" s="902"/>
      <c r="BR374" s="902"/>
      <c r="BS374" s="902"/>
    </row>
    <row r="375" spans="1:71" ht="12.75" customHeight="1" collapsed="1">
      <c r="A375" s="311"/>
      <c r="B375" s="194"/>
      <c r="C375" s="194"/>
      <c r="D375" s="194"/>
      <c r="E375" s="194"/>
      <c r="F375" s="194"/>
      <c r="G375" s="194"/>
      <c r="H375" s="194"/>
      <c r="I375" s="194"/>
      <c r="J375" s="194"/>
      <c r="K375" s="194"/>
      <c r="L375" s="194"/>
      <c r="M375" s="194"/>
      <c r="N375" s="194"/>
      <c r="O375" s="332"/>
      <c r="P375" s="332"/>
      <c r="Q375" s="332"/>
      <c r="R375" s="332"/>
      <c r="S375" s="332"/>
      <c r="T375" s="332"/>
      <c r="U375" s="332"/>
      <c r="V375" s="332"/>
      <c r="W375" s="332"/>
      <c r="X375" s="332"/>
      <c r="Y375" s="332"/>
      <c r="Z375" s="1348"/>
      <c r="AA375" s="332"/>
      <c r="AB375" s="332"/>
      <c r="AC375" s="332"/>
      <c r="AD375" s="332"/>
      <c r="AE375" s="4087"/>
      <c r="AF375" s="332"/>
      <c r="AG375" s="332"/>
      <c r="AH375" s="332"/>
      <c r="AI375" s="332"/>
      <c r="AJ375" s="4087"/>
      <c r="AK375" s="332"/>
      <c r="AL375" s="332"/>
      <c r="AM375" s="332"/>
      <c r="AN375" s="332"/>
      <c r="AO375" s="1348"/>
      <c r="AP375" s="1348"/>
      <c r="AQ375" s="131"/>
      <c r="AR375" s="194"/>
      <c r="AS375" s="258"/>
      <c r="AT375" s="191"/>
      <c r="AU375" s="191"/>
      <c r="AV375" s="191"/>
      <c r="AW375" s="191"/>
      <c r="AX375" s="191"/>
      <c r="AY375" s="191"/>
      <c r="AZ375" s="191"/>
      <c r="BA375" s="191"/>
      <c r="BB375" s="191"/>
      <c r="BC375" s="191"/>
      <c r="BD375" s="191"/>
      <c r="BF375" s="900"/>
      <c r="BM375" s="902"/>
      <c r="BN375" s="902"/>
      <c r="BO375" s="902"/>
      <c r="BP375" s="902"/>
      <c r="BQ375" s="902"/>
      <c r="BR375" s="902"/>
      <c r="BS375" s="902"/>
    </row>
    <row r="376" spans="1:71" ht="12.75" customHeight="1">
      <c r="A376" s="3447" t="s">
        <v>3203</v>
      </c>
      <c r="B376" s="192"/>
      <c r="C376" s="192"/>
      <c r="D376" s="192"/>
      <c r="E376" s="192"/>
      <c r="F376" s="192"/>
      <c r="G376" s="199"/>
      <c r="H376" s="199"/>
      <c r="I376" s="133"/>
      <c r="J376" s="133"/>
      <c r="K376" s="192"/>
      <c r="L376" s="133"/>
      <c r="M376" s="133"/>
      <c r="N376" s="133"/>
      <c r="O376" s="133"/>
      <c r="P376" s="192"/>
      <c r="Q376" s="133"/>
      <c r="R376" s="133"/>
      <c r="S376" s="133"/>
      <c r="T376" s="133"/>
      <c r="U376" s="1355"/>
      <c r="V376" s="133"/>
      <c r="W376" s="133"/>
      <c r="X376" s="133"/>
      <c r="Y376" s="2749"/>
      <c r="Z376" s="1357"/>
      <c r="AA376" s="133"/>
      <c r="AB376" s="133"/>
      <c r="AC376" s="133"/>
      <c r="AD376" s="133"/>
      <c r="AE376" s="1357"/>
      <c r="AF376" s="2937">
        <v>-3</v>
      </c>
      <c r="AG376" s="2937">
        <v>1</v>
      </c>
      <c r="AH376" s="2937">
        <v>1</v>
      </c>
      <c r="AI376" s="2937">
        <v>1</v>
      </c>
      <c r="AJ376" s="4083">
        <f>SUM(AF376:AI376)</f>
        <v>0</v>
      </c>
      <c r="AK376" s="2937">
        <v>0</v>
      </c>
      <c r="AL376" s="2937">
        <v>0</v>
      </c>
      <c r="AM376" s="2937">
        <v>0</v>
      </c>
      <c r="AN376" s="2937">
        <v>0</v>
      </c>
      <c r="AO376" s="4083">
        <f>SUM(AK376:AN376)</f>
        <v>0</v>
      </c>
      <c r="AP376" s="4085">
        <v>0</v>
      </c>
      <c r="AQ376" s="4085">
        <v>0</v>
      </c>
      <c r="AR376" s="192"/>
      <c r="AS376" s="489"/>
      <c r="AT376" s="191"/>
      <c r="AU376" s="191"/>
      <c r="AV376" s="191"/>
      <c r="AW376" s="191"/>
      <c r="AX376" s="191"/>
      <c r="AY376" s="191"/>
      <c r="AZ376" s="191"/>
      <c r="BA376" s="191"/>
      <c r="BB376" s="191"/>
      <c r="BC376" s="191"/>
      <c r="BD376" s="420"/>
      <c r="BF376" s="900"/>
      <c r="BM376" s="902"/>
      <c r="BN376" s="902"/>
      <c r="BO376" s="902"/>
      <c r="BP376" s="902"/>
      <c r="BQ376" s="902"/>
      <c r="BR376" s="902"/>
      <c r="BS376" s="902"/>
    </row>
    <row r="377" spans="1:71" ht="12.75" customHeight="1">
      <c r="A377" s="341" t="s">
        <v>3207</v>
      </c>
      <c r="B377" s="1486"/>
      <c r="C377" s="1486"/>
      <c r="D377" s="1486"/>
      <c r="E377" s="1486"/>
      <c r="F377" s="1486"/>
      <c r="G377" s="1371"/>
      <c r="H377" s="1371"/>
      <c r="I377" s="1371"/>
      <c r="J377" s="1371"/>
      <c r="K377" s="1372"/>
      <c r="L377" s="1371"/>
      <c r="M377" s="1371"/>
      <c r="N377" s="1371"/>
      <c r="O377" s="1371"/>
      <c r="P377" s="1372"/>
      <c r="Q377" s="1371"/>
      <c r="R377" s="1371"/>
      <c r="S377" s="1371"/>
      <c r="T377" s="1371"/>
      <c r="U377" s="1372"/>
      <c r="V377" s="1371"/>
      <c r="W377" s="1371"/>
      <c r="X377" s="1371"/>
      <c r="Y377" s="1371"/>
      <c r="Z377" s="1372"/>
      <c r="AA377" s="2785"/>
      <c r="AB377" s="2785"/>
      <c r="AC377" s="2785"/>
      <c r="AD377" s="1371"/>
      <c r="AE377" s="1372"/>
      <c r="AF377" s="1366">
        <f>+AF371+AF376</f>
        <v>49</v>
      </c>
      <c r="AG377" s="1366">
        <f t="shared" ref="AG377:AQ377" si="629">+AG371+AG376</f>
        <v>57</v>
      </c>
      <c r="AH377" s="1366">
        <f t="shared" si="629"/>
        <v>53</v>
      </c>
      <c r="AI377" s="1366">
        <f t="shared" si="629"/>
        <v>63</v>
      </c>
      <c r="AJ377" s="1372">
        <f t="shared" si="629"/>
        <v>222</v>
      </c>
      <c r="AK377" s="3947">
        <f t="shared" si="629"/>
        <v>49.980000000000004</v>
      </c>
      <c r="AL377" s="4082">
        <f t="shared" si="629"/>
        <v>60.42</v>
      </c>
      <c r="AM377" s="4082">
        <f t="shared" si="629"/>
        <v>56.18</v>
      </c>
      <c r="AN377" s="1366">
        <f t="shared" si="629"/>
        <v>63.63</v>
      </c>
      <c r="AO377" s="1372">
        <f t="shared" si="629"/>
        <v>230.21</v>
      </c>
      <c r="AP377" s="1372">
        <f t="shared" si="629"/>
        <v>230.21</v>
      </c>
      <c r="AQ377" s="1372">
        <f t="shared" si="629"/>
        <v>218.6995</v>
      </c>
      <c r="AR377" s="329"/>
      <c r="AS377" s="276"/>
      <c r="AT377" s="498"/>
      <c r="AU377" s="498"/>
      <c r="AV377" s="498"/>
      <c r="AW377" s="498"/>
      <c r="AX377" s="498"/>
      <c r="AY377" s="498"/>
      <c r="AZ377" s="498"/>
      <c r="BA377" s="498"/>
      <c r="BB377" s="498"/>
      <c r="BC377" s="498"/>
      <c r="BD377" s="883"/>
      <c r="BF377" s="900"/>
      <c r="BM377" s="902"/>
      <c r="BN377" s="902"/>
      <c r="BO377" s="902"/>
      <c r="BP377" s="902"/>
      <c r="BQ377" s="902"/>
      <c r="BR377" s="902"/>
      <c r="BS377" s="902"/>
    </row>
    <row r="378" spans="1:71" ht="12.75" customHeight="1">
      <c r="A378" s="258"/>
      <c r="B378" s="192"/>
      <c r="C378" s="192"/>
      <c r="D378" s="192"/>
      <c r="E378" s="192"/>
      <c r="F378" s="192"/>
      <c r="G378" s="199"/>
      <c r="H378" s="199"/>
      <c r="I378" s="199"/>
      <c r="J378" s="199"/>
      <c r="K378" s="192"/>
      <c r="L378" s="199"/>
      <c r="M378" s="199"/>
      <c r="N378" s="199"/>
      <c r="O378" s="199"/>
      <c r="P378" s="192"/>
      <c r="Q378" s="199"/>
      <c r="R378" s="199"/>
      <c r="S378" s="199"/>
      <c r="T378" s="199"/>
      <c r="U378" s="1355"/>
      <c r="V378" s="199"/>
      <c r="W378" s="199"/>
      <c r="X378" s="199"/>
      <c r="Y378" s="2724"/>
      <c r="Z378" s="1357"/>
      <c r="AA378" s="1355"/>
      <c r="AB378" s="1355"/>
      <c r="AC378" s="1355"/>
      <c r="AD378" s="1355"/>
      <c r="AE378" s="1357"/>
      <c r="AF378" s="1355"/>
      <c r="AG378" s="1355"/>
      <c r="AH378" s="1355"/>
      <c r="AI378" s="1355"/>
      <c r="AJ378" s="1357"/>
      <c r="AK378" s="1355"/>
      <c r="AL378" s="1355"/>
      <c r="AM378" s="1355"/>
      <c r="AN378" s="1355"/>
      <c r="AO378" s="1357"/>
      <c r="AP378" s="1357"/>
      <c r="AQ378" s="356"/>
      <c r="AR378" s="192"/>
      <c r="AS378" s="258"/>
      <c r="AT378" s="191"/>
      <c r="AU378" s="191"/>
      <c r="AV378" s="191"/>
      <c r="AW378" s="191"/>
      <c r="AX378" s="191"/>
      <c r="AY378" s="191"/>
      <c r="AZ378" s="191"/>
      <c r="BA378" s="191"/>
      <c r="BB378" s="191"/>
      <c r="BC378" s="191"/>
      <c r="BD378" s="191"/>
      <c r="BF378" s="900"/>
      <c r="BM378" s="902"/>
      <c r="BN378" s="902"/>
      <c r="BO378" s="902"/>
      <c r="BP378" s="902"/>
      <c r="BQ378" s="902"/>
      <c r="BR378" s="902"/>
      <c r="BS378" s="902"/>
    </row>
    <row r="379" spans="1:71" ht="12.75" customHeight="1">
      <c r="A379" s="3631" t="s">
        <v>3020</v>
      </c>
      <c r="B379" s="3617"/>
      <c r="C379" s="3617"/>
      <c r="D379" s="3617"/>
      <c r="E379" s="3617"/>
      <c r="F379" s="3617"/>
      <c r="G379" s="3617"/>
      <c r="H379" s="3617"/>
      <c r="I379" s="3617"/>
      <c r="J379" s="3617"/>
      <c r="K379" s="3617"/>
      <c r="L379" s="3617"/>
      <c r="M379" s="3617"/>
      <c r="N379" s="3617"/>
      <c r="O379" s="3617"/>
      <c r="P379" s="3617"/>
      <c r="Q379" s="3617"/>
      <c r="R379" s="3617"/>
      <c r="S379" s="3617"/>
      <c r="T379" s="3617"/>
      <c r="U379" s="3617"/>
      <c r="V379" s="3617"/>
      <c r="W379" s="3617"/>
      <c r="X379" s="3617"/>
      <c r="Y379" s="3617"/>
      <c r="Z379" s="3618"/>
      <c r="AA379" s="3632">
        <v>50</v>
      </c>
      <c r="AB379" s="3632">
        <v>49</v>
      </c>
      <c r="AC379" s="3632">
        <v>48</v>
      </c>
      <c r="AD379" s="3632">
        <v>54</v>
      </c>
      <c r="AE379" s="3633">
        <f>SUM(AA379:AD379)</f>
        <v>201</v>
      </c>
      <c r="AF379" s="1355"/>
      <c r="AG379" s="1355"/>
      <c r="AH379" s="1355"/>
      <c r="AI379" s="1355"/>
      <c r="AJ379" s="1357"/>
      <c r="AK379" s="1355"/>
      <c r="AL379" s="1355"/>
      <c r="AM379" s="1355"/>
      <c r="AN379" s="1355"/>
      <c r="AO379" s="1357"/>
      <c r="AP379" s="1357"/>
      <c r="AQ379" s="356"/>
      <c r="AR379" s="192"/>
      <c r="AS379" s="258"/>
      <c r="AT379" s="191"/>
      <c r="AU379" s="191"/>
      <c r="AV379" s="191"/>
      <c r="AW379" s="191"/>
      <c r="AX379" s="191"/>
      <c r="AY379" s="191"/>
      <c r="AZ379" s="191"/>
      <c r="BA379" s="191"/>
      <c r="BB379" s="191"/>
      <c r="BC379" s="191"/>
      <c r="BD379" s="191"/>
      <c r="BF379" s="900"/>
      <c r="BM379" s="902"/>
      <c r="BN379" s="902"/>
      <c r="BO379" s="902"/>
      <c r="BP379" s="902"/>
      <c r="BQ379" s="902"/>
      <c r="BR379" s="902"/>
      <c r="BS379" s="902"/>
    </row>
    <row r="380" spans="1:71" ht="12.75" customHeight="1">
      <c r="A380" s="3640" t="s">
        <v>31</v>
      </c>
      <c r="B380" s="3641"/>
      <c r="C380" s="3641"/>
      <c r="D380" s="3641"/>
      <c r="E380" s="3641"/>
      <c r="F380" s="3641"/>
      <c r="G380" s="3641"/>
      <c r="H380" s="3641"/>
      <c r="I380" s="3641"/>
      <c r="J380" s="3641"/>
      <c r="K380" s="3641"/>
      <c r="L380" s="3641"/>
      <c r="M380" s="3641"/>
      <c r="N380" s="3641"/>
      <c r="O380" s="3641"/>
      <c r="P380" s="3641"/>
      <c r="Q380" s="3641"/>
      <c r="R380" s="3641"/>
      <c r="S380" s="3641"/>
      <c r="T380" s="3641"/>
      <c r="U380" s="3641"/>
      <c r="V380" s="3641"/>
      <c r="W380" s="3641"/>
      <c r="X380" s="3641"/>
      <c r="Y380" s="3641"/>
      <c r="Z380" s="3642"/>
      <c r="AA380" s="3643">
        <f>+AA379/AA366</f>
        <v>2.7892489629206201E-2</v>
      </c>
      <c r="AB380" s="3643">
        <f>+AB379/AB366</f>
        <v>2.4211459830066302E-2</v>
      </c>
      <c r="AC380" s="3643">
        <f>+AC379/AC366</f>
        <v>2.322525044680649E-2</v>
      </c>
      <c r="AD380" s="3644">
        <f>+AD379/AD366</f>
        <v>2.8483987288525428E-2</v>
      </c>
      <c r="AE380" s="3645">
        <f>+AE379/AE366</f>
        <v>2.5838961545793064E-2</v>
      </c>
      <c r="AF380" s="3612"/>
      <c r="AG380" s="3612"/>
      <c r="AH380" s="3612"/>
      <c r="AI380" s="3612"/>
      <c r="AJ380" s="3610"/>
      <c r="AK380" s="3612"/>
      <c r="AL380" s="3612"/>
      <c r="AM380" s="3612"/>
      <c r="AN380" s="3612"/>
      <c r="AO380" s="3610"/>
      <c r="AP380" s="3610"/>
      <c r="AQ380" s="3611"/>
      <c r="AR380" s="192"/>
      <c r="AS380" s="258"/>
      <c r="AT380" s="191"/>
      <c r="AU380" s="191"/>
      <c r="AV380" s="191"/>
      <c r="AW380" s="191"/>
      <c r="AX380" s="191"/>
      <c r="AY380" s="191"/>
      <c r="AZ380" s="191"/>
      <c r="BA380" s="191"/>
      <c r="BB380" s="191"/>
      <c r="BC380" s="191"/>
      <c r="BD380" s="191"/>
      <c r="BF380" s="900"/>
      <c r="BM380" s="902"/>
      <c r="BN380" s="902"/>
      <c r="BO380" s="902"/>
      <c r="BP380" s="902"/>
      <c r="BQ380" s="902"/>
      <c r="BR380" s="902"/>
      <c r="BS380" s="902"/>
    </row>
    <row r="381" spans="1:71" ht="12.75" customHeight="1">
      <c r="A381" s="258"/>
      <c r="B381" s="192"/>
      <c r="C381" s="192"/>
      <c r="D381" s="192"/>
      <c r="E381" s="192"/>
      <c r="F381" s="192"/>
      <c r="G381" s="199"/>
      <c r="H381" s="199"/>
      <c r="I381" s="199"/>
      <c r="J381" s="199"/>
      <c r="K381" s="192"/>
      <c r="L381" s="199"/>
      <c r="M381" s="199"/>
      <c r="N381" s="199"/>
      <c r="O381" s="199"/>
      <c r="P381" s="192"/>
      <c r="Q381" s="199"/>
      <c r="R381" s="199"/>
      <c r="S381" s="199"/>
      <c r="T381" s="199"/>
      <c r="U381" s="1355"/>
      <c r="V381" s="199"/>
      <c r="W381" s="199"/>
      <c r="X381" s="199"/>
      <c r="Y381" s="2724"/>
      <c r="Z381" s="3610"/>
      <c r="AA381" s="1355"/>
      <c r="AB381" s="1355"/>
      <c r="AC381" s="1355"/>
      <c r="AD381" s="1355"/>
      <c r="AE381" s="3610"/>
      <c r="AF381" s="1355"/>
      <c r="AG381" s="1355"/>
      <c r="AH381" s="1355"/>
      <c r="AI381" s="1355"/>
      <c r="AJ381" s="3610"/>
      <c r="AK381" s="1355"/>
      <c r="AL381" s="1355"/>
      <c r="AM381" s="1355"/>
      <c r="AN381" s="1355"/>
      <c r="AO381" s="3610"/>
      <c r="AP381" s="3610"/>
      <c r="AQ381" s="3611"/>
      <c r="AR381" s="192"/>
      <c r="AS381" s="258"/>
      <c r="AT381" s="191"/>
      <c r="AU381" s="191"/>
      <c r="AV381" s="191"/>
      <c r="AW381" s="191"/>
      <c r="AX381" s="191"/>
      <c r="AY381" s="191"/>
      <c r="AZ381" s="191"/>
      <c r="BA381" s="191"/>
      <c r="BB381" s="191"/>
      <c r="BC381" s="191"/>
      <c r="BD381" s="191"/>
      <c r="BF381" s="900"/>
      <c r="BM381" s="902"/>
      <c r="BN381" s="902"/>
      <c r="BO381" s="902"/>
      <c r="BP381" s="902"/>
      <c r="BQ381" s="902"/>
      <c r="BR381" s="902"/>
      <c r="BS381" s="902"/>
    </row>
    <row r="382" spans="1:71" s="12" customFormat="1" ht="12.75" customHeight="1">
      <c r="A382" s="291" t="s">
        <v>1773</v>
      </c>
      <c r="B382" s="766"/>
      <c r="C382" s="766"/>
      <c r="D382" s="766"/>
      <c r="E382" s="766" t="str">
        <f t="shared" ref="E382:AQ382" si="630">+E$5</f>
        <v>2010</v>
      </c>
      <c r="F382" s="766" t="str">
        <f t="shared" si="630"/>
        <v>2011</v>
      </c>
      <c r="G382" s="767" t="str">
        <f t="shared" si="630"/>
        <v>1Q12</v>
      </c>
      <c r="H382" s="767" t="str">
        <f t="shared" si="630"/>
        <v>2Q12</v>
      </c>
      <c r="I382" s="767" t="str">
        <f t="shared" si="630"/>
        <v>3Q12</v>
      </c>
      <c r="J382" s="767" t="str">
        <f t="shared" si="630"/>
        <v>4Q12</v>
      </c>
      <c r="K382" s="766">
        <f t="shared" si="630"/>
        <v>2012</v>
      </c>
      <c r="L382" s="767" t="str">
        <f t="shared" si="630"/>
        <v>1Q13</v>
      </c>
      <c r="M382" s="767" t="str">
        <f t="shared" si="630"/>
        <v>2Q13</v>
      </c>
      <c r="N382" s="767" t="str">
        <f t="shared" si="630"/>
        <v>3Q13</v>
      </c>
      <c r="O382" s="767" t="str">
        <f t="shared" si="630"/>
        <v>4Q13</v>
      </c>
      <c r="P382" s="766">
        <f t="shared" si="630"/>
        <v>2013</v>
      </c>
      <c r="Q382" s="767" t="str">
        <f t="shared" si="630"/>
        <v>1Q14</v>
      </c>
      <c r="R382" s="767" t="str">
        <f t="shared" si="630"/>
        <v>2Q14</v>
      </c>
      <c r="S382" s="767" t="str">
        <f t="shared" si="630"/>
        <v>3Q14</v>
      </c>
      <c r="T382" s="767" t="str">
        <f t="shared" si="630"/>
        <v>4Q14</v>
      </c>
      <c r="U382" s="766">
        <f t="shared" si="630"/>
        <v>2014</v>
      </c>
      <c r="V382" s="767" t="str">
        <f t="shared" si="630"/>
        <v>1Q15</v>
      </c>
      <c r="W382" s="767" t="str">
        <f t="shared" si="630"/>
        <v>2Q15</v>
      </c>
      <c r="X382" s="767" t="str">
        <f t="shared" si="630"/>
        <v>3Q15</v>
      </c>
      <c r="Y382" s="767" t="str">
        <f t="shared" si="630"/>
        <v>4Q15</v>
      </c>
      <c r="Z382" s="766">
        <f t="shared" si="630"/>
        <v>2015</v>
      </c>
      <c r="AA382" s="767" t="str">
        <f t="shared" si="630"/>
        <v>1Q16</v>
      </c>
      <c r="AB382" s="767" t="str">
        <f t="shared" si="630"/>
        <v>2Q16</v>
      </c>
      <c r="AC382" s="767" t="str">
        <f t="shared" si="630"/>
        <v>3Q16</v>
      </c>
      <c r="AD382" s="767" t="str">
        <f t="shared" si="630"/>
        <v>4Q16</v>
      </c>
      <c r="AE382" s="766">
        <f t="shared" si="630"/>
        <v>2016</v>
      </c>
      <c r="AF382" s="767" t="str">
        <f t="shared" si="630"/>
        <v>1Q17</v>
      </c>
      <c r="AG382" s="767" t="str">
        <f t="shared" si="630"/>
        <v>2Q17</v>
      </c>
      <c r="AH382" s="767" t="str">
        <f t="shared" si="630"/>
        <v>3Q17</v>
      </c>
      <c r="AI382" s="767" t="str">
        <f t="shared" si="630"/>
        <v>4Q17A</v>
      </c>
      <c r="AJ382" s="766" t="str">
        <f t="shared" si="630"/>
        <v>2017A</v>
      </c>
      <c r="AK382" s="767" t="str">
        <f t="shared" si="630"/>
        <v>1Q18E</v>
      </c>
      <c r="AL382" s="767" t="str">
        <f t="shared" si="630"/>
        <v>2Q18E</v>
      </c>
      <c r="AM382" s="767" t="str">
        <f t="shared" si="630"/>
        <v>3Q18E</v>
      </c>
      <c r="AN382" s="767" t="str">
        <f t="shared" si="630"/>
        <v>4Q18E</v>
      </c>
      <c r="AO382" s="766" t="str">
        <f t="shared" si="630"/>
        <v>2018E</v>
      </c>
      <c r="AP382" s="766" t="str">
        <f t="shared" si="630"/>
        <v>2019E</v>
      </c>
      <c r="AQ382" s="766" t="str">
        <f t="shared" si="630"/>
        <v>2020E</v>
      </c>
      <c r="AR382" s="430"/>
      <c r="AS382" s="291" t="str">
        <f>+A382</f>
        <v>Franchised Operations</v>
      </c>
      <c r="AT382" s="767" t="str">
        <f>+E382</f>
        <v>2010</v>
      </c>
      <c r="AU382" s="767" t="str">
        <f>+F382</f>
        <v>2011</v>
      </c>
      <c r="AV382" s="767">
        <f>+K382</f>
        <v>2012</v>
      </c>
      <c r="AW382" s="767">
        <f>+P382</f>
        <v>2013</v>
      </c>
      <c r="AX382" s="767">
        <f>+U382</f>
        <v>2014</v>
      </c>
      <c r="AY382" s="767">
        <f>+Z382</f>
        <v>2015</v>
      </c>
      <c r="AZ382" s="767">
        <f>+AE382</f>
        <v>2016</v>
      </c>
      <c r="BA382" s="767" t="str">
        <f>+AJ382</f>
        <v>2017A</v>
      </c>
      <c r="BB382" s="767" t="str">
        <f>+AO382</f>
        <v>2018E</v>
      </c>
      <c r="BC382" s="767" t="str">
        <f>+AP382</f>
        <v>2019E</v>
      </c>
      <c r="BD382" s="865" t="str">
        <f>+AQ382</f>
        <v>2020E</v>
      </c>
      <c r="BE382" s="14"/>
      <c r="BF382" s="900"/>
      <c r="BG382"/>
      <c r="BH382"/>
      <c r="BI382"/>
      <c r="BJ382"/>
      <c r="BK382"/>
      <c r="BL382"/>
      <c r="BM382" s="902"/>
      <c r="BN382" s="902"/>
      <c r="BO382" s="902"/>
      <c r="BP382" s="902"/>
      <c r="BQ382" s="902"/>
      <c r="BR382" s="902"/>
      <c r="BS382" s="902"/>
    </row>
    <row r="383" spans="1:71" ht="12.75" customHeight="1">
      <c r="A383" s="493"/>
      <c r="B383" s="294"/>
      <c r="C383" s="294"/>
      <c r="D383" s="294"/>
      <c r="E383" s="294"/>
      <c r="F383" s="294"/>
      <c r="G383" s="302"/>
      <c r="H383" s="302"/>
      <c r="I383" s="302"/>
      <c r="J383" s="302"/>
      <c r="K383" s="294"/>
      <c r="L383" s="302"/>
      <c r="M383" s="302"/>
      <c r="N383" s="302"/>
      <c r="O383" s="302"/>
      <c r="P383" s="294"/>
      <c r="Q383" s="302"/>
      <c r="R383" s="302"/>
      <c r="S383" s="302"/>
      <c r="T383" s="302"/>
      <c r="U383" s="294"/>
      <c r="V383" s="302"/>
      <c r="W383" s="302"/>
      <c r="X383" s="302"/>
      <c r="Y383" s="302"/>
      <c r="Z383" s="294"/>
      <c r="AA383" s="984"/>
      <c r="AB383" s="173"/>
      <c r="AC383" s="173"/>
      <c r="AD383" s="423"/>
      <c r="AE383" s="294"/>
      <c r="AF383" s="173"/>
      <c r="AG383" s="173"/>
      <c r="AH383" s="173"/>
      <c r="AI383" s="423"/>
      <c r="AJ383" s="294"/>
      <c r="AK383" s="173"/>
      <c r="AL383" s="173"/>
      <c r="AM383" s="173"/>
      <c r="AN383" s="423"/>
      <c r="AO383" s="294"/>
      <c r="AP383" s="294"/>
      <c r="AQ383" s="294"/>
      <c r="AR383" s="173"/>
      <c r="AS383" s="493"/>
      <c r="AT383" s="173"/>
      <c r="AU383" s="173"/>
      <c r="AV383" s="173"/>
      <c r="AW383" s="173"/>
      <c r="AX383" s="173"/>
      <c r="AY383" s="173"/>
      <c r="AZ383" s="173"/>
      <c r="BA383" s="173"/>
      <c r="BB383" s="173"/>
      <c r="BC383" s="173"/>
      <c r="BD383" s="423"/>
      <c r="BF383" s="900"/>
      <c r="BM383" s="902"/>
      <c r="BN383" s="902"/>
      <c r="BO383" s="902"/>
      <c r="BP383" s="902"/>
      <c r="BQ383" s="902"/>
      <c r="BR383" s="902"/>
      <c r="BS383" s="902"/>
    </row>
    <row r="384" spans="1:71" ht="12.75" customHeight="1">
      <c r="A384" s="489" t="s">
        <v>1259</v>
      </c>
      <c r="B384" s="355"/>
      <c r="C384" s="355"/>
      <c r="D384" s="355"/>
      <c r="E384" s="355">
        <f>'QTR Rooms'!B415</f>
        <v>3102</v>
      </c>
      <c r="F384" s="355">
        <f>'QTR Rooms'!C415</f>
        <v>3205</v>
      </c>
      <c r="G384" s="188">
        <f>'QTR Rooms'!D415</f>
        <v>3220</v>
      </c>
      <c r="H384" s="188">
        <f>'QTR Rooms'!E415</f>
        <v>3257</v>
      </c>
      <c r="I384" s="188">
        <f>'QTR Rooms'!F415</f>
        <v>3282</v>
      </c>
      <c r="J384" s="188">
        <f>'QTR Rooms'!G415</f>
        <v>3312</v>
      </c>
      <c r="K384" s="355">
        <f>'QTR Rooms'!H415</f>
        <v>3312</v>
      </c>
      <c r="L384" s="188">
        <f>'QTR Rooms'!I415</f>
        <v>3313</v>
      </c>
      <c r="M384" s="188">
        <f>'QTR Rooms'!J415</f>
        <v>3364</v>
      </c>
      <c r="N384" s="188">
        <f>'QTR Rooms'!K415</f>
        <v>3394</v>
      </c>
      <c r="O384" s="188">
        <f>'QTR Rooms'!L415</f>
        <v>3420</v>
      </c>
      <c r="P384" s="355">
        <f>'QTR Rooms'!M415</f>
        <v>3420</v>
      </c>
      <c r="Q384" s="188">
        <f>'QTR Rooms'!N415</f>
        <v>3450</v>
      </c>
      <c r="R384" s="188">
        <f>'QTR Rooms'!O415</f>
        <v>3489</v>
      </c>
      <c r="S384" s="188">
        <f>'QTR Rooms'!P415</f>
        <v>3552</v>
      </c>
      <c r="T384" s="188">
        <f>'QTR Rooms'!Q415</f>
        <v>3608</v>
      </c>
      <c r="U384" s="355">
        <f>'QTR Rooms'!R415</f>
        <v>3608</v>
      </c>
      <c r="V384" s="188">
        <f>'QTR Rooms'!S415</f>
        <v>3652</v>
      </c>
      <c r="W384" s="188">
        <f>'QTR Rooms'!T415</f>
        <v>3735.586484752288</v>
      </c>
      <c r="X384" s="188">
        <f>'QTR Rooms'!U415</f>
        <v>3811</v>
      </c>
      <c r="Y384" s="2726">
        <f>'QTR Rooms'!V415</f>
        <v>3875</v>
      </c>
      <c r="Z384" s="2765">
        <f>'QTR Rooms'!W415</f>
        <v>3875</v>
      </c>
      <c r="AA384" s="188">
        <f>'QTR Rooms'!X415</f>
        <v>3939</v>
      </c>
      <c r="AB384" s="188">
        <f>'QTR Rooms'!Y415</f>
        <v>4000</v>
      </c>
      <c r="AC384" s="188">
        <f>'QTR Rooms'!Z415</f>
        <v>4086</v>
      </c>
      <c r="AD384" s="188">
        <f>'QTR Rooms'!AA415</f>
        <v>4175</v>
      </c>
      <c r="AE384" s="355">
        <f>'QTR Rooms'!AB415</f>
        <v>4175</v>
      </c>
      <c r="AF384" s="188">
        <f>'QTR Rooms'!AC415</f>
        <v>4226.2265956769406</v>
      </c>
      <c r="AG384" s="188">
        <f>'QTR Rooms'!AD415</f>
        <v>4331.6259323959093</v>
      </c>
      <c r="AH384" s="188">
        <f>'QTR Rooms'!AE415</f>
        <v>4410</v>
      </c>
      <c r="AI384" s="188">
        <f>'QTR Rooms'!AF415</f>
        <v>4507</v>
      </c>
      <c r="AJ384" s="355">
        <f>'QTR Rooms'!AG415</f>
        <v>4507</v>
      </c>
      <c r="AK384" s="188">
        <f>'QTR Rooms'!AH415</f>
        <v>4559.2660000000005</v>
      </c>
      <c r="AL384" s="188">
        <f>'QTR Rooms'!AI415</f>
        <v>4643.1243999999997</v>
      </c>
      <c r="AM384" s="188">
        <f>'QTR Rooms'!AJ415</f>
        <v>4731.4151296000009</v>
      </c>
      <c r="AN384" s="188">
        <f>'QTR Rooms'!AK415</f>
        <v>4840.6382382880001</v>
      </c>
      <c r="AO384" s="355">
        <f>'QTR Rooms'!AL415</f>
        <v>4840.6382382880001</v>
      </c>
      <c r="AP384" s="355">
        <f>'QTR Rooms'!AM415</f>
        <v>5167.4658356612517</v>
      </c>
      <c r="AQ384" s="355">
        <f>'QTR Rooms'!AN415</f>
        <v>5462.7610489445296</v>
      </c>
      <c r="AR384" s="191"/>
      <c r="AS384" s="489" t="str">
        <f>+A384</f>
        <v>Franchised Hotels</v>
      </c>
      <c r="AT384" s="191">
        <f t="shared" ref="AT384:AU386" si="631">+E384</f>
        <v>3102</v>
      </c>
      <c r="AU384" s="191">
        <f t="shared" si="631"/>
        <v>3205</v>
      </c>
      <c r="AV384" s="191">
        <f>+K384</f>
        <v>3312</v>
      </c>
      <c r="AW384" s="191">
        <f>+P384</f>
        <v>3420</v>
      </c>
      <c r="AX384" s="191">
        <f>+U384</f>
        <v>3608</v>
      </c>
      <c r="AY384" s="191">
        <f>+Z384</f>
        <v>3875</v>
      </c>
      <c r="AZ384" s="191">
        <f>+AE384</f>
        <v>4175</v>
      </c>
      <c r="BA384" s="191">
        <f>+AJ384</f>
        <v>4507</v>
      </c>
      <c r="BB384" s="191">
        <f t="shared" ref="BB384:BD386" si="632">+AO384</f>
        <v>4840.6382382880001</v>
      </c>
      <c r="BC384" s="191">
        <f t="shared" si="632"/>
        <v>5167.4658356612517</v>
      </c>
      <c r="BD384" s="420">
        <f t="shared" si="632"/>
        <v>5462.7610489445296</v>
      </c>
      <c r="BF384" s="900"/>
      <c r="BM384" s="902"/>
      <c r="BN384" s="902"/>
      <c r="BO384" s="902"/>
      <c r="BP384" s="902"/>
      <c r="BQ384" s="902"/>
      <c r="BR384" s="902"/>
      <c r="BS384" s="902"/>
    </row>
    <row r="385" spans="1:71" ht="12.75" customHeight="1">
      <c r="A385" s="490" t="s">
        <v>1249</v>
      </c>
      <c r="B385" s="200"/>
      <c r="C385" s="200"/>
      <c r="D385" s="200"/>
      <c r="E385" s="200"/>
      <c r="F385" s="355">
        <f>+F384-E384</f>
        <v>103</v>
      </c>
      <c r="G385" s="1066">
        <f>+G384-F384</f>
        <v>15</v>
      </c>
      <c r="H385" s="1066">
        <f>+H384-G384</f>
        <v>37</v>
      </c>
      <c r="I385" s="1066">
        <f>+I384-H384</f>
        <v>25</v>
      </c>
      <c r="J385" s="1066">
        <f>+J384-I384</f>
        <v>30</v>
      </c>
      <c r="K385" s="355">
        <f>SUM(G385:J385)</f>
        <v>107</v>
      </c>
      <c r="L385" s="1066">
        <f>+L384-J384</f>
        <v>1</v>
      </c>
      <c r="M385" s="1066">
        <f>+M384-L384</f>
        <v>51</v>
      </c>
      <c r="N385" s="1066">
        <f>+N384-M384</f>
        <v>30</v>
      </c>
      <c r="O385" s="1066">
        <f>+O384-N384</f>
        <v>26</v>
      </c>
      <c r="P385" s="355">
        <f>SUM(L385:O385)</f>
        <v>108</v>
      </c>
      <c r="Q385" s="1066">
        <f>+Q384-O384</f>
        <v>30</v>
      </c>
      <c r="R385" s="1066">
        <f>+R384-Q384</f>
        <v>39</v>
      </c>
      <c r="S385" s="1066">
        <f>+S384-R384</f>
        <v>63</v>
      </c>
      <c r="T385" s="1066">
        <f>+T384-S384</f>
        <v>56</v>
      </c>
      <c r="U385" s="355">
        <f>SUM(Q385:T385)</f>
        <v>188</v>
      </c>
      <c r="V385" s="1066">
        <f>+V384-U384</f>
        <v>44</v>
      </c>
      <c r="W385" s="1066">
        <f>+W384-V384</f>
        <v>83.586484752288015</v>
      </c>
      <c r="X385" s="1066">
        <f>+X384-W384</f>
        <v>75.413515247711985</v>
      </c>
      <c r="Y385" s="1066">
        <f>+Y384-X384</f>
        <v>64</v>
      </c>
      <c r="Z385" s="2765">
        <f>SUM(V385:Y385)</f>
        <v>267</v>
      </c>
      <c r="AA385" s="1066">
        <f>+AA384-Z384</f>
        <v>64</v>
      </c>
      <c r="AB385" s="1066">
        <f>+AB384-AA384</f>
        <v>61</v>
      </c>
      <c r="AC385" s="1066">
        <f>+AC384-AB384</f>
        <v>86</v>
      </c>
      <c r="AD385" s="1066">
        <f>+AD384-AC384</f>
        <v>89</v>
      </c>
      <c r="AE385" s="355">
        <f>SUM(AA385:AD385)</f>
        <v>300</v>
      </c>
      <c r="AF385" s="1066">
        <f>+AF384-AE384</f>
        <v>51.226595676940633</v>
      </c>
      <c r="AG385" s="1066">
        <f>+AG384-AF384</f>
        <v>105.3993367189687</v>
      </c>
      <c r="AH385" s="1066">
        <f>+AH384-AG384</f>
        <v>78.374067604090669</v>
      </c>
      <c r="AI385" s="1066">
        <f>+AI384-AH384</f>
        <v>97</v>
      </c>
      <c r="AJ385" s="355">
        <f>SUM(AF385:AI385)</f>
        <v>332</v>
      </c>
      <c r="AK385" s="1066">
        <f t="shared" ref="AK385:AN385" si="633">+AK384-AJ384</f>
        <v>52.266000000000531</v>
      </c>
      <c r="AL385" s="1066">
        <f t="shared" si="633"/>
        <v>83.858399999999165</v>
      </c>
      <c r="AM385" s="1066">
        <f t="shared" si="633"/>
        <v>88.290729600001214</v>
      </c>
      <c r="AN385" s="1066">
        <f t="shared" si="633"/>
        <v>109.22310868799923</v>
      </c>
      <c r="AO385" s="355">
        <f>SUM(AK385:AN385)</f>
        <v>333.63823828800014</v>
      </c>
      <c r="AP385" s="355">
        <f>+AP384-AO384</f>
        <v>326.82759737325159</v>
      </c>
      <c r="AQ385" s="355">
        <f>+AQ384-AP384</f>
        <v>295.29521328327792</v>
      </c>
      <c r="AR385" s="193"/>
      <c r="AS385" s="543" t="str">
        <f>+A385</f>
        <v>Net Additions, seq.</v>
      </c>
      <c r="AT385" s="330">
        <f t="shared" si="631"/>
        <v>0</v>
      </c>
      <c r="AU385" s="330">
        <f t="shared" si="631"/>
        <v>103</v>
      </c>
      <c r="AV385" s="330">
        <f>+K385</f>
        <v>107</v>
      </c>
      <c r="AW385" s="330">
        <f>+P385</f>
        <v>108</v>
      </c>
      <c r="AX385" s="330">
        <f>+U385</f>
        <v>188</v>
      </c>
      <c r="AY385" s="330">
        <f>+Z385</f>
        <v>267</v>
      </c>
      <c r="AZ385" s="330">
        <f>+AE385</f>
        <v>300</v>
      </c>
      <c r="BA385" s="330">
        <f>+AJ385</f>
        <v>332</v>
      </c>
      <c r="BB385" s="330">
        <f t="shared" si="632"/>
        <v>333.63823828800014</v>
      </c>
      <c r="BC385" s="330">
        <f t="shared" si="632"/>
        <v>326.82759737325159</v>
      </c>
      <c r="BD385" s="882">
        <f t="shared" si="632"/>
        <v>295.29521328327792</v>
      </c>
      <c r="BF385" s="900"/>
      <c r="BM385" s="902"/>
      <c r="BN385" s="902"/>
      <c r="BO385" s="902"/>
      <c r="BP385" s="902"/>
      <c r="BQ385" s="902"/>
      <c r="BR385" s="902"/>
      <c r="BS385" s="902"/>
    </row>
    <row r="386" spans="1:71" ht="12.75" customHeight="1">
      <c r="A386" s="490" t="s">
        <v>2309</v>
      </c>
      <c r="B386" s="200"/>
      <c r="C386" s="200"/>
      <c r="D386" s="200"/>
      <c r="E386" s="200"/>
      <c r="F386" s="1081">
        <f>F384/E384-1</f>
        <v>3.3204384268214149E-2</v>
      </c>
      <c r="G386" s="239"/>
      <c r="H386" s="239"/>
      <c r="I386" s="239"/>
      <c r="J386" s="239"/>
      <c r="K386" s="240">
        <f t="shared" ref="K386:U386" si="634">K384/F384-1</f>
        <v>3.3385335413416595E-2</v>
      </c>
      <c r="L386" s="239">
        <f t="shared" si="634"/>
        <v>2.8881987577639823E-2</v>
      </c>
      <c r="M386" s="239">
        <f t="shared" si="634"/>
        <v>3.2852318084126475E-2</v>
      </c>
      <c r="N386" s="239">
        <f t="shared" si="634"/>
        <v>3.4125533211456505E-2</v>
      </c>
      <c r="O386" s="239">
        <f t="shared" si="634"/>
        <v>3.2608695652173836E-2</v>
      </c>
      <c r="P386" s="240">
        <f t="shared" si="634"/>
        <v>3.2608695652173836E-2</v>
      </c>
      <c r="Q386" s="239">
        <f t="shared" si="634"/>
        <v>4.1352248717174689E-2</v>
      </c>
      <c r="R386" s="239">
        <f t="shared" si="634"/>
        <v>3.7158145065398385E-2</v>
      </c>
      <c r="S386" s="239">
        <f t="shared" si="634"/>
        <v>4.6552740129640613E-2</v>
      </c>
      <c r="T386" s="239">
        <f t="shared" si="634"/>
        <v>5.4970760233918226E-2</v>
      </c>
      <c r="U386" s="240">
        <f t="shared" si="634"/>
        <v>5.4970760233918226E-2</v>
      </c>
      <c r="V386" s="239">
        <f t="shared" ref="V386:AC386" si="635">V384/Q384-1</f>
        <v>5.8550724637681073E-2</v>
      </c>
      <c r="W386" s="239">
        <f t="shared" si="635"/>
        <v>7.0675404056259161E-2</v>
      </c>
      <c r="X386" s="239">
        <f t="shared" si="635"/>
        <v>7.2916666666666741E-2</v>
      </c>
      <c r="Y386" s="239">
        <f t="shared" si="635"/>
        <v>7.4002217294900197E-2</v>
      </c>
      <c r="Z386" s="240">
        <f t="shared" si="635"/>
        <v>7.4002217294900197E-2</v>
      </c>
      <c r="AA386" s="239">
        <f t="shared" si="635"/>
        <v>7.858707557502731E-2</v>
      </c>
      <c r="AB386" s="239">
        <f t="shared" si="635"/>
        <v>7.078232998405487E-2</v>
      </c>
      <c r="AC386" s="239">
        <f t="shared" si="635"/>
        <v>7.2159538178955707E-2</v>
      </c>
      <c r="AD386" s="239">
        <f t="shared" ref="AD386:AJ386" si="636">AD384/Y384-1</f>
        <v>7.7419354838709653E-2</v>
      </c>
      <c r="AE386" s="240">
        <f t="shared" si="636"/>
        <v>7.7419354838709653E-2</v>
      </c>
      <c r="AF386" s="239">
        <f t="shared" si="636"/>
        <v>7.2918658460761732E-2</v>
      </c>
      <c r="AG386" s="239">
        <f t="shared" si="636"/>
        <v>8.2906483098977413E-2</v>
      </c>
      <c r="AH386" s="239">
        <f t="shared" si="636"/>
        <v>7.9295154185021977E-2</v>
      </c>
      <c r="AI386" s="239">
        <f t="shared" si="636"/>
        <v>7.9520958083832305E-2</v>
      </c>
      <c r="AJ386" s="240">
        <f t="shared" si="636"/>
        <v>7.9520958083832305E-2</v>
      </c>
      <c r="AK386" s="239">
        <f t="shared" ref="AK386" si="637">AK384/AF384-1</f>
        <v>7.8803016540506921E-2</v>
      </c>
      <c r="AL386" s="239">
        <f t="shared" ref="AL386" si="638">AL384/AG384-1</f>
        <v>7.1912596439691612E-2</v>
      </c>
      <c r="AM386" s="239">
        <f t="shared" ref="AM386" si="639">AM384/AH384-1</f>
        <v>7.2883249342403866E-2</v>
      </c>
      <c r="AN386" s="239">
        <f t="shared" ref="AN386:AO386" si="640">AN384/AI384-1</f>
        <v>7.4026678120257428E-2</v>
      </c>
      <c r="AO386" s="240">
        <f t="shared" si="640"/>
        <v>7.4026678120257428E-2</v>
      </c>
      <c r="AP386" s="240">
        <f>AP384/AO384-1</f>
        <v>6.7517459740771946E-2</v>
      </c>
      <c r="AQ386" s="240">
        <f>AQ384/AP384-1</f>
        <v>5.7145073170181915E-2</v>
      </c>
      <c r="AR386" s="193"/>
      <c r="AS386" s="543" t="str">
        <f>+A386</f>
        <v>% growth, y/y</v>
      </c>
      <c r="AT386" s="238">
        <f t="shared" si="631"/>
        <v>0</v>
      </c>
      <c r="AU386" s="238">
        <f t="shared" si="631"/>
        <v>3.3204384268214149E-2</v>
      </c>
      <c r="AV386" s="238">
        <f>+K386</f>
        <v>3.3385335413416595E-2</v>
      </c>
      <c r="AW386" s="238">
        <f>+P386</f>
        <v>3.2608695652173836E-2</v>
      </c>
      <c r="AX386" s="238">
        <f>+U386</f>
        <v>5.4970760233918226E-2</v>
      </c>
      <c r="AY386" s="238">
        <f>+Z386</f>
        <v>7.4002217294900197E-2</v>
      </c>
      <c r="AZ386" s="238">
        <f>+AE386</f>
        <v>7.7419354838709653E-2</v>
      </c>
      <c r="BA386" s="238">
        <f>+AJ386</f>
        <v>7.9520958083832305E-2</v>
      </c>
      <c r="BB386" s="238">
        <f t="shared" si="632"/>
        <v>7.4026678120257428E-2</v>
      </c>
      <c r="BC386" s="238">
        <f t="shared" si="632"/>
        <v>6.7517459740771946E-2</v>
      </c>
      <c r="BD386" s="789">
        <f t="shared" si="632"/>
        <v>5.7145073170181915E-2</v>
      </c>
      <c r="BF386" s="900"/>
      <c r="BM386" s="902"/>
      <c r="BN386" s="902"/>
      <c r="BO386" s="902"/>
      <c r="BP386" s="902"/>
      <c r="BQ386" s="902"/>
      <c r="BR386" s="902"/>
      <c r="BS386" s="902"/>
    </row>
    <row r="387" spans="1:71" ht="12.75" customHeight="1">
      <c r="A387" s="489"/>
      <c r="B387" s="294"/>
      <c r="C387" s="294"/>
      <c r="D387" s="294"/>
      <c r="E387" s="294"/>
      <c r="F387" s="294"/>
      <c r="G387" s="302"/>
      <c r="H387" s="302"/>
      <c r="I387" s="302"/>
      <c r="J387" s="302"/>
      <c r="K387" s="294"/>
      <c r="L387" s="302"/>
      <c r="M387" s="302"/>
      <c r="N387" s="302"/>
      <c r="O387" s="302"/>
      <c r="P387" s="294"/>
      <c r="Q387" s="302"/>
      <c r="R387" s="302"/>
      <c r="S387" s="302"/>
      <c r="T387" s="302"/>
      <c r="U387" s="294"/>
      <c r="V387" s="302"/>
      <c r="W387" s="302"/>
      <c r="X387" s="302"/>
      <c r="Y387" s="302"/>
      <c r="Z387" s="294"/>
      <c r="AA387" s="302"/>
      <c r="AB387" s="302"/>
      <c r="AC387" s="302"/>
      <c r="AD387" s="302"/>
      <c r="AE387" s="294"/>
      <c r="AF387" s="302"/>
      <c r="AG387" s="302"/>
      <c r="AH387" s="302"/>
      <c r="AI387" s="302"/>
      <c r="AJ387" s="294"/>
      <c r="AK387" s="302"/>
      <c r="AL387" s="302"/>
      <c r="AM387" s="302"/>
      <c r="AN387" s="302"/>
      <c r="AO387" s="294"/>
      <c r="AP387" s="294"/>
      <c r="AQ387" s="294"/>
      <c r="AR387" s="173"/>
      <c r="AS387" s="493"/>
      <c r="AT387" s="173"/>
      <c r="AU387" s="173"/>
      <c r="AV387" s="173"/>
      <c r="AW387" s="173"/>
      <c r="AX387" s="173"/>
      <c r="AY387" s="173"/>
      <c r="AZ387" s="173"/>
      <c r="BA387" s="173"/>
      <c r="BB387" s="173"/>
      <c r="BC387" s="173"/>
      <c r="BD387" s="423"/>
      <c r="BF387" s="900"/>
      <c r="BM387" s="902"/>
      <c r="BN387" s="902"/>
      <c r="BO387" s="902"/>
      <c r="BP387" s="902"/>
      <c r="BQ387" s="902"/>
      <c r="BR387" s="902"/>
      <c r="BS387" s="902"/>
    </row>
    <row r="388" spans="1:71" ht="12.75" customHeight="1">
      <c r="A388" s="489" t="s">
        <v>1260</v>
      </c>
      <c r="B388" s="355"/>
      <c r="C388" s="355"/>
      <c r="D388" s="355"/>
      <c r="E388" s="355">
        <f>'QTR Rooms'!B834</f>
        <v>421120</v>
      </c>
      <c r="F388" s="355">
        <f>'QTR Rooms'!C834</f>
        <v>436551</v>
      </c>
      <c r="G388" s="188">
        <f>'QTR Rooms'!D834</f>
        <v>437320</v>
      </c>
      <c r="H388" s="188">
        <f>'QTR Rooms'!E834</f>
        <v>443576</v>
      </c>
      <c r="I388" s="188">
        <f>'QTR Rooms'!F834</f>
        <v>446271</v>
      </c>
      <c r="J388" s="188">
        <f>'QTR Rooms'!G834</f>
        <v>450558</v>
      </c>
      <c r="K388" s="355">
        <f>'QTR Rooms'!H834</f>
        <v>450558</v>
      </c>
      <c r="L388" s="188">
        <f>'QTR Rooms'!I834</f>
        <v>451856</v>
      </c>
      <c r="M388" s="188">
        <f>'QTR Rooms'!J834</f>
        <v>460102</v>
      </c>
      <c r="N388" s="188">
        <f>'QTR Rooms'!K834</f>
        <v>463084</v>
      </c>
      <c r="O388" s="188">
        <f>'QTR Rooms'!L834</f>
        <v>466642</v>
      </c>
      <c r="P388" s="355">
        <f>'QTR Rooms'!M834</f>
        <v>466642</v>
      </c>
      <c r="Q388" s="188">
        <f>'QTR Rooms'!N834</f>
        <v>471487</v>
      </c>
      <c r="R388" s="188">
        <f>'QTR Rooms'!O834</f>
        <v>477102</v>
      </c>
      <c r="S388" s="188">
        <f>'QTR Rooms'!P834</f>
        <v>487395</v>
      </c>
      <c r="T388" s="188">
        <f>'QTR Rooms'!Q834</f>
        <v>495680</v>
      </c>
      <c r="U388" s="355">
        <f>'QTR Rooms'!R834</f>
        <v>495680</v>
      </c>
      <c r="V388" s="188">
        <f>'QTR Rooms'!S834</f>
        <v>502202</v>
      </c>
      <c r="W388" s="188">
        <f>'QTR Rooms'!T834</f>
        <v>514288</v>
      </c>
      <c r="X388" s="188">
        <f>'QTR Rooms'!U834</f>
        <v>524970</v>
      </c>
      <c r="Y388" s="2726">
        <f>'QTR Rooms'!V834</f>
        <v>533039</v>
      </c>
      <c r="Z388" s="2765">
        <f>'QTR Rooms'!W834</f>
        <v>533039</v>
      </c>
      <c r="AA388" s="188">
        <f>'QTR Rooms'!X834</f>
        <v>542065</v>
      </c>
      <c r="AB388" s="188">
        <f>'QTR Rooms'!Y834</f>
        <v>550690</v>
      </c>
      <c r="AC388" s="188">
        <f>'QTR Rooms'!Z834</f>
        <v>561669</v>
      </c>
      <c r="AD388" s="188">
        <f>'QTR Rooms'!AA834</f>
        <v>573404</v>
      </c>
      <c r="AE388" s="355">
        <f>'QTR Rooms'!AB834</f>
        <v>573404</v>
      </c>
      <c r="AF388" s="188">
        <f>'QTR Rooms'!AC834</f>
        <v>580481.54100000032</v>
      </c>
      <c r="AG388" s="188">
        <f>'QTR Rooms'!AD834</f>
        <v>592835.99999999977</v>
      </c>
      <c r="AH388" s="188">
        <f>'QTR Rooms'!AE834</f>
        <v>603891</v>
      </c>
      <c r="AI388" s="188">
        <f>'QTR Rooms'!AF834</f>
        <v>617573</v>
      </c>
      <c r="AJ388" s="355">
        <f>'QTR Rooms'!AG834</f>
        <v>617573</v>
      </c>
      <c r="AK388" s="188">
        <f>'QTR Rooms'!AH834</f>
        <v>624461.95900000003</v>
      </c>
      <c r="AL388" s="188">
        <f>'QTR Rooms'!AI834</f>
        <v>634974.63962500007</v>
      </c>
      <c r="AM388" s="188">
        <f>'QTR Rooms'!AJ834</f>
        <v>646340.92398377496</v>
      </c>
      <c r="AN388" s="188">
        <f>'QTR Rooms'!AK834</f>
        <v>659818.30596290762</v>
      </c>
      <c r="AO388" s="355">
        <f>'QTR Rooms'!AL834</f>
        <v>659818.30596290762</v>
      </c>
      <c r="AP388" s="355">
        <f>'QTR Rooms'!AM834</f>
        <v>702268.3058846948</v>
      </c>
      <c r="AQ388" s="355">
        <f>'QTR Rooms'!AN834</f>
        <v>739499.01553927455</v>
      </c>
      <c r="AR388" s="191"/>
      <c r="AS388" s="489" t="str">
        <f t="shared" ref="AS388:AS393" si="641">+A388</f>
        <v>Franchised Rooms, EOP</v>
      </c>
      <c r="AT388" s="191">
        <f t="shared" ref="AT388:AU393" si="642">+E388</f>
        <v>421120</v>
      </c>
      <c r="AU388" s="191">
        <f t="shared" si="642"/>
        <v>436551</v>
      </c>
      <c r="AV388" s="191">
        <f t="shared" ref="AV388:AV393" si="643">+K388</f>
        <v>450558</v>
      </c>
      <c r="AW388" s="191">
        <f t="shared" ref="AW388:AW393" si="644">+P388</f>
        <v>466642</v>
      </c>
      <c r="AX388" s="191">
        <f t="shared" ref="AX388:AX393" si="645">+U388</f>
        <v>495680</v>
      </c>
      <c r="AY388" s="191">
        <f t="shared" ref="AY388:AY393" si="646">+Z388</f>
        <v>533039</v>
      </c>
      <c r="AZ388" s="191">
        <f t="shared" ref="AZ388:AZ393" si="647">+AE388</f>
        <v>573404</v>
      </c>
      <c r="BA388" s="191">
        <f t="shared" ref="BA388:BA393" si="648">+AJ388</f>
        <v>617573</v>
      </c>
      <c r="BB388" s="191">
        <f t="shared" ref="BB388:BD393" si="649">+AO388</f>
        <v>659818.30596290762</v>
      </c>
      <c r="BC388" s="191">
        <f t="shared" si="649"/>
        <v>702268.3058846948</v>
      </c>
      <c r="BD388" s="420">
        <f t="shared" si="649"/>
        <v>739499.01553927455</v>
      </c>
      <c r="BF388" s="900"/>
      <c r="BM388" s="902"/>
      <c r="BN388" s="902"/>
      <c r="BO388" s="902"/>
      <c r="BP388" s="902"/>
      <c r="BQ388" s="902"/>
      <c r="BR388" s="902"/>
      <c r="BS388" s="902"/>
    </row>
    <row r="389" spans="1:71" ht="12.75" customHeight="1">
      <c r="A389" s="489" t="s">
        <v>1261</v>
      </c>
      <c r="B389" s="355"/>
      <c r="C389" s="355"/>
      <c r="D389" s="355"/>
      <c r="E389" s="343">
        <f>E388</f>
        <v>421120</v>
      </c>
      <c r="F389" s="343">
        <f>AVERAGE(E388:F388)</f>
        <v>428835.5</v>
      </c>
      <c r="G389" s="148">
        <f>AVERAGE(F388:G388)</f>
        <v>436935.5</v>
      </c>
      <c r="H389" s="148">
        <f>AVERAGE(G388:H388)</f>
        <v>440448</v>
      </c>
      <c r="I389" s="148">
        <f>AVERAGE(H388:I388)</f>
        <v>444923.5</v>
      </c>
      <c r="J389" s="148">
        <f>AVERAGE(I388:J388)</f>
        <v>448414.5</v>
      </c>
      <c r="K389" s="343">
        <f>AVERAGE(G389:J389)</f>
        <v>442680.375</v>
      </c>
      <c r="L389" s="148">
        <f>AVERAGE(K388:L388)</f>
        <v>451207</v>
      </c>
      <c r="M389" s="148">
        <f>AVERAGE(L388:M388)</f>
        <v>455979</v>
      </c>
      <c r="N389" s="148">
        <f>AVERAGE(M388:N388)</f>
        <v>461593</v>
      </c>
      <c r="O389" s="148">
        <f>AVERAGE(N388:O388)</f>
        <v>464863</v>
      </c>
      <c r="P389" s="343">
        <f>AVERAGE(L389:O389)</f>
        <v>458410.5</v>
      </c>
      <c r="Q389" s="148">
        <f>AVERAGE(P388:Q388)</f>
        <v>469064.5</v>
      </c>
      <c r="R389" s="148">
        <f>AVERAGE(Q388:R388)</f>
        <v>474294.5</v>
      </c>
      <c r="S389" s="148">
        <f>AVERAGE(R388:S388)</f>
        <v>482248.5</v>
      </c>
      <c r="T389" s="148">
        <f>AVERAGE(S388:T388)</f>
        <v>491537.5</v>
      </c>
      <c r="U389" s="343">
        <f>AVERAGE(Q389:T389)</f>
        <v>479286.25</v>
      </c>
      <c r="V389" s="148">
        <f>AVERAGE(U388:V388)</f>
        <v>498941</v>
      </c>
      <c r="W389" s="148">
        <f>AVERAGE(V388:W388)</f>
        <v>508245</v>
      </c>
      <c r="X389" s="148">
        <f>AVERAGE(W388:X388)</f>
        <v>519629</v>
      </c>
      <c r="Y389" s="2732">
        <f>AVERAGE(X388:Y388)</f>
        <v>529004.5</v>
      </c>
      <c r="Z389" s="343">
        <f>AVERAGE(V389:Y389)</f>
        <v>513954.875</v>
      </c>
      <c r="AA389" s="148">
        <f>AVERAGE(Z388:AA388)</f>
        <v>537552</v>
      </c>
      <c r="AB389" s="148">
        <f>AVERAGE(AA388:AB388)</f>
        <v>546377.5</v>
      </c>
      <c r="AC389" s="148">
        <f>AVERAGE(AB388:AC388)</f>
        <v>556179.5</v>
      </c>
      <c r="AD389" s="148">
        <f>AVERAGE(AC388:AD388)</f>
        <v>567536.5</v>
      </c>
      <c r="AE389" s="343">
        <f>AVERAGE(AE388,Z388)</f>
        <v>553221.5</v>
      </c>
      <c r="AF389" s="148">
        <f>AVERAGE(AE388:AF388)</f>
        <v>576942.7705000001</v>
      </c>
      <c r="AG389" s="148">
        <f>AVERAGE(AF388:AG388)</f>
        <v>586658.7705000001</v>
      </c>
      <c r="AH389" s="148">
        <f>AVERAGE(AG388:AH388)</f>
        <v>598363.49999999988</v>
      </c>
      <c r="AI389" s="148">
        <f>AVERAGE(AH388:AI388)</f>
        <v>610732</v>
      </c>
      <c r="AJ389" s="343">
        <f>AVERAGE(AJ388,AE388)</f>
        <v>595488.5</v>
      </c>
      <c r="AK389" s="148">
        <f t="shared" ref="AK389:AN389" si="650">AVERAGE(AJ388:AK388)</f>
        <v>621017.47950000002</v>
      </c>
      <c r="AL389" s="148">
        <f t="shared" si="650"/>
        <v>629718.29931250005</v>
      </c>
      <c r="AM389" s="148">
        <f t="shared" si="650"/>
        <v>640657.78180438746</v>
      </c>
      <c r="AN389" s="148">
        <f t="shared" si="650"/>
        <v>653079.61497334135</v>
      </c>
      <c r="AO389" s="343">
        <f>AVERAGE(AO388,AJ388)</f>
        <v>638695.65298145381</v>
      </c>
      <c r="AP389" s="343">
        <f>AVERAGE(AO388:AP388)</f>
        <v>681043.30592380115</v>
      </c>
      <c r="AQ389" s="343">
        <f>AVERAGE(AP388:AQ388)</f>
        <v>720883.66071198462</v>
      </c>
      <c r="AR389" s="191"/>
      <c r="AS389" s="489" t="str">
        <f t="shared" si="641"/>
        <v>Franchised Rooms, avg.</v>
      </c>
      <c r="AT389" s="191">
        <f t="shared" si="642"/>
        <v>421120</v>
      </c>
      <c r="AU389" s="191">
        <f t="shared" si="642"/>
        <v>428835.5</v>
      </c>
      <c r="AV389" s="191">
        <f t="shared" si="643"/>
        <v>442680.375</v>
      </c>
      <c r="AW389" s="191">
        <f t="shared" si="644"/>
        <v>458410.5</v>
      </c>
      <c r="AX389" s="191">
        <f t="shared" si="645"/>
        <v>479286.25</v>
      </c>
      <c r="AY389" s="191">
        <f t="shared" si="646"/>
        <v>513954.875</v>
      </c>
      <c r="AZ389" s="191">
        <f t="shared" si="647"/>
        <v>553221.5</v>
      </c>
      <c r="BA389" s="191">
        <f t="shared" si="648"/>
        <v>595488.5</v>
      </c>
      <c r="BB389" s="191">
        <f t="shared" si="649"/>
        <v>638695.65298145381</v>
      </c>
      <c r="BC389" s="191">
        <f t="shared" si="649"/>
        <v>681043.30592380115</v>
      </c>
      <c r="BD389" s="420">
        <f t="shared" si="649"/>
        <v>720883.66071198462</v>
      </c>
      <c r="BF389" s="900"/>
      <c r="BM389" s="902"/>
      <c r="BN389" s="902"/>
      <c r="BO389" s="902"/>
      <c r="BP389" s="902"/>
      <c r="BQ389" s="902"/>
      <c r="BR389" s="902"/>
      <c r="BS389" s="902"/>
    </row>
    <row r="390" spans="1:71" ht="12.75" customHeight="1">
      <c r="A390" s="490" t="s">
        <v>1249</v>
      </c>
      <c r="B390" s="200"/>
      <c r="C390" s="200"/>
      <c r="D390" s="200"/>
      <c r="E390" s="240"/>
      <c r="F390" s="355">
        <f>+F389-E389</f>
        <v>7715.5</v>
      </c>
      <c r="G390" s="1066">
        <f>+G389-F389</f>
        <v>8100</v>
      </c>
      <c r="H390" s="1066">
        <f>+H389-G389</f>
        <v>3512.5</v>
      </c>
      <c r="I390" s="1066">
        <f>+I389-H389</f>
        <v>4475.5</v>
      </c>
      <c r="J390" s="1066">
        <f>+J389-I389</f>
        <v>3491</v>
      </c>
      <c r="K390" s="355">
        <f>SUM(G390:J390)</f>
        <v>19579</v>
      </c>
      <c r="L390" s="1066">
        <f>+L389-J389</f>
        <v>2792.5</v>
      </c>
      <c r="M390" s="1066">
        <f>+M389-L389</f>
        <v>4772</v>
      </c>
      <c r="N390" s="1066">
        <f>+N389-M389</f>
        <v>5614</v>
      </c>
      <c r="O390" s="1066">
        <f>+O389-N389</f>
        <v>3270</v>
      </c>
      <c r="P390" s="355">
        <f>SUM(L390:O390)</f>
        <v>16448.5</v>
      </c>
      <c r="Q390" s="1066">
        <f>+Q389-O389</f>
        <v>4201.5</v>
      </c>
      <c r="R390" s="1066">
        <f>+R389-Q389</f>
        <v>5230</v>
      </c>
      <c r="S390" s="1066">
        <f>+S389-R389</f>
        <v>7954</v>
      </c>
      <c r="T390" s="1066">
        <f>+T389-S389</f>
        <v>9289</v>
      </c>
      <c r="U390" s="355">
        <f>SUM(Q390:T390)</f>
        <v>26674.5</v>
      </c>
      <c r="V390" s="1066">
        <f>+V389-U389</f>
        <v>19654.75</v>
      </c>
      <c r="W390" s="1066">
        <f>+W389-V389</f>
        <v>9304</v>
      </c>
      <c r="X390" s="1066">
        <f>+X389-W389</f>
        <v>11384</v>
      </c>
      <c r="Y390" s="1066">
        <f>+Y389-X389</f>
        <v>9375.5</v>
      </c>
      <c r="Z390" s="2765">
        <f>SUM(V390:Y390)</f>
        <v>49718.25</v>
      </c>
      <c r="AA390" s="1066">
        <f>+AA389-Z389</f>
        <v>23597.125</v>
      </c>
      <c r="AB390" s="1066">
        <f>+AB389-AA389</f>
        <v>8825.5</v>
      </c>
      <c r="AC390" s="1066">
        <f>+AC389-AB389</f>
        <v>9802</v>
      </c>
      <c r="AD390" s="1066">
        <f>+AD389-AC389</f>
        <v>11357</v>
      </c>
      <c r="AE390" s="355">
        <f>AE389-Z389</f>
        <v>39266.625</v>
      </c>
      <c r="AF390" s="1066">
        <f>+AF389-AE389</f>
        <v>23721.270500000101</v>
      </c>
      <c r="AG390" s="1066">
        <f>+AG389-AF389</f>
        <v>9716</v>
      </c>
      <c r="AH390" s="1066">
        <f>+AH389-AG389</f>
        <v>11704.729499999783</v>
      </c>
      <c r="AI390" s="1066">
        <f>+AI389-AH389</f>
        <v>12368.500000000116</v>
      </c>
      <c r="AJ390" s="355">
        <f>AJ389-AE389</f>
        <v>42267</v>
      </c>
      <c r="AK390" s="1066">
        <f t="shared" ref="AK390:AN390" si="651">+AK389-AJ389</f>
        <v>25528.979500000016</v>
      </c>
      <c r="AL390" s="1066">
        <f t="shared" si="651"/>
        <v>8700.8198125000345</v>
      </c>
      <c r="AM390" s="1066">
        <f t="shared" si="651"/>
        <v>10939.482491887407</v>
      </c>
      <c r="AN390" s="1066">
        <f t="shared" si="651"/>
        <v>12421.83316895389</v>
      </c>
      <c r="AO390" s="355">
        <f>AO389-AJ389</f>
        <v>43207.152981453808</v>
      </c>
      <c r="AP390" s="355">
        <f>+AP389-AO389</f>
        <v>42347.65294234734</v>
      </c>
      <c r="AQ390" s="355">
        <f>+AQ389-AP389</f>
        <v>39840.354788183467</v>
      </c>
      <c r="AR390" s="193"/>
      <c r="AS390" s="489" t="str">
        <f t="shared" si="641"/>
        <v>Net Additions, seq.</v>
      </c>
      <c r="AT390" s="191">
        <f t="shared" si="642"/>
        <v>0</v>
      </c>
      <c r="AU390" s="191">
        <f t="shared" si="642"/>
        <v>7715.5</v>
      </c>
      <c r="AV390" s="191">
        <f t="shared" si="643"/>
        <v>19579</v>
      </c>
      <c r="AW390" s="191">
        <f t="shared" si="644"/>
        <v>16448.5</v>
      </c>
      <c r="AX390" s="191">
        <f t="shared" si="645"/>
        <v>26674.5</v>
      </c>
      <c r="AY390" s="191">
        <f t="shared" si="646"/>
        <v>49718.25</v>
      </c>
      <c r="AZ390" s="191">
        <f t="shared" si="647"/>
        <v>39266.625</v>
      </c>
      <c r="BA390" s="191">
        <f t="shared" si="648"/>
        <v>42267</v>
      </c>
      <c r="BB390" s="191">
        <f t="shared" si="649"/>
        <v>43207.152981453808</v>
      </c>
      <c r="BC390" s="191">
        <f t="shared" si="649"/>
        <v>42347.65294234734</v>
      </c>
      <c r="BD390" s="420">
        <f t="shared" si="649"/>
        <v>39840.354788183467</v>
      </c>
      <c r="BF390" s="900"/>
      <c r="BM390" s="902"/>
      <c r="BN390" s="902"/>
      <c r="BO390" s="902"/>
      <c r="BP390" s="902"/>
      <c r="BQ390" s="902"/>
      <c r="BR390" s="902"/>
      <c r="BS390" s="902"/>
    </row>
    <row r="391" spans="1:71" ht="12.75" customHeight="1">
      <c r="A391" s="490" t="s">
        <v>1226</v>
      </c>
      <c r="B391" s="200"/>
      <c r="C391" s="200"/>
      <c r="D391" s="200"/>
      <c r="E391" s="428"/>
      <c r="F391" s="680">
        <f>+F390/E388</f>
        <v>1.8321381079027355E-2</v>
      </c>
      <c r="G391" s="419">
        <f>+G390/F388</f>
        <v>1.8554533147329865E-2</v>
      </c>
      <c r="H391" s="419">
        <f>+H390/G388</f>
        <v>8.0318759718284102E-3</v>
      </c>
      <c r="I391" s="419">
        <f>+I390/H388</f>
        <v>1.0089590058975237E-2</v>
      </c>
      <c r="J391" s="419">
        <f>+J390/I388</f>
        <v>7.8226010652719981E-3</v>
      </c>
      <c r="K391" s="680">
        <f>+K388/F388-1</f>
        <v>3.2085598246253122E-2</v>
      </c>
      <c r="L391" s="419">
        <f>+L390/K388</f>
        <v>6.1978701965118808E-3</v>
      </c>
      <c r="M391" s="419">
        <f>+M390/L388</f>
        <v>1.0560886654155307E-2</v>
      </c>
      <c r="N391" s="419">
        <f>+N390/M388</f>
        <v>1.2201642244545775E-2</v>
      </c>
      <c r="O391" s="419">
        <f>+O390/N388</f>
        <v>7.0613538796417061E-3</v>
      </c>
      <c r="P391" s="680">
        <f>+P388/K388-1</f>
        <v>3.5697956755845084E-2</v>
      </c>
      <c r="Q391" s="419">
        <f>+Q390/P388</f>
        <v>9.0036901950531663E-3</v>
      </c>
      <c r="R391" s="419">
        <f>+R390/Q388</f>
        <v>1.1092564588207099E-2</v>
      </c>
      <c r="S391" s="419">
        <f>+S390/R388</f>
        <v>1.6671487438744755E-2</v>
      </c>
      <c r="T391" s="419">
        <f>+T390/S388</f>
        <v>1.9058463874270355E-2</v>
      </c>
      <c r="U391" s="680">
        <f>+U388/P388-1</f>
        <v>6.22275748861012E-2</v>
      </c>
      <c r="V391" s="419">
        <f>+V390/U388</f>
        <v>3.9652094092963205E-2</v>
      </c>
      <c r="W391" s="419">
        <f>+W390/V388</f>
        <v>1.8526409691717677E-2</v>
      </c>
      <c r="X391" s="419">
        <f>+X390/W388</f>
        <v>2.2135457175745884E-2</v>
      </c>
      <c r="Y391" s="419">
        <f>+Y390/X388</f>
        <v>1.7859115758995753E-2</v>
      </c>
      <c r="Z391" s="680">
        <f>+Z388/U388-1</f>
        <v>7.536918979987095E-2</v>
      </c>
      <c r="AA391" s="419">
        <f>+AA390/Z388</f>
        <v>4.4269040351644064E-2</v>
      </c>
      <c r="AB391" s="419">
        <f>+AB390/AA388</f>
        <v>1.6281257782738232E-2</v>
      </c>
      <c r="AC391" s="419">
        <f>+AC390/AB388</f>
        <v>1.7799487915160981E-2</v>
      </c>
      <c r="AD391" s="419">
        <f>+AD390/AC388</f>
        <v>2.022009404115235E-2</v>
      </c>
      <c r="AE391" s="680">
        <f>+AE388/Z388-1</f>
        <v>7.5726166378069948E-2</v>
      </c>
      <c r="AF391" s="419">
        <f>+AF390/AE388</f>
        <v>4.1369210015974954E-2</v>
      </c>
      <c r="AG391" s="419">
        <f>+AG390/AF388</f>
        <v>1.6737827671939692E-2</v>
      </c>
      <c r="AH391" s="419">
        <f>+AH390/AG388</f>
        <v>1.9743621338784736E-2</v>
      </c>
      <c r="AI391" s="419">
        <f>+AI390/AH388</f>
        <v>2.0481345143411836E-2</v>
      </c>
      <c r="AJ391" s="680">
        <f>+AJ388/AE388-1</f>
        <v>7.7029459159684954E-2</v>
      </c>
      <c r="AK391" s="419">
        <f t="shared" ref="AK391:AN391" si="652">+AK390/AJ388</f>
        <v>4.1337590050083174E-2</v>
      </c>
      <c r="AL391" s="419">
        <f t="shared" si="652"/>
        <v>1.393330640417767E-2</v>
      </c>
      <c r="AM391" s="419">
        <f t="shared" si="652"/>
        <v>1.7228219537000704E-2</v>
      </c>
      <c r="AN391" s="419">
        <f t="shared" si="652"/>
        <v>1.9218701320026139E-2</v>
      </c>
      <c r="AO391" s="680">
        <f>+AO388/AJ388-1</f>
        <v>6.8405364164086935E-2</v>
      </c>
      <c r="AP391" s="680">
        <f>+AP390/AO388</f>
        <v>6.4180779101827401E-2</v>
      </c>
      <c r="AQ391" s="680">
        <f>+AQ390/AP388</f>
        <v>5.6730959455722388E-2</v>
      </c>
      <c r="AR391" s="193"/>
      <c r="AS391" s="1099" t="str">
        <f t="shared" si="641"/>
        <v>% growth, seq.</v>
      </c>
      <c r="AT391" s="238">
        <f t="shared" si="642"/>
        <v>0</v>
      </c>
      <c r="AU391" s="238">
        <f t="shared" si="642"/>
        <v>1.8321381079027355E-2</v>
      </c>
      <c r="AV391" s="238">
        <f t="shared" si="643"/>
        <v>3.2085598246253122E-2</v>
      </c>
      <c r="AW391" s="238">
        <f t="shared" si="644"/>
        <v>3.5697956755845084E-2</v>
      </c>
      <c r="AX391" s="238">
        <f t="shared" si="645"/>
        <v>6.22275748861012E-2</v>
      </c>
      <c r="AY391" s="238">
        <f t="shared" si="646"/>
        <v>7.536918979987095E-2</v>
      </c>
      <c r="AZ391" s="238">
        <f t="shared" si="647"/>
        <v>7.5726166378069948E-2</v>
      </c>
      <c r="BA391" s="238">
        <f t="shared" si="648"/>
        <v>7.7029459159684954E-2</v>
      </c>
      <c r="BB391" s="238">
        <f t="shared" si="649"/>
        <v>6.8405364164086935E-2</v>
      </c>
      <c r="BC391" s="238">
        <f t="shared" si="649"/>
        <v>6.4180779101827401E-2</v>
      </c>
      <c r="BD391" s="789">
        <f t="shared" si="649"/>
        <v>5.6730959455722388E-2</v>
      </c>
      <c r="BF391" s="900"/>
      <c r="BM391" s="902"/>
      <c r="BN391" s="902"/>
      <c r="BO391" s="902"/>
      <c r="BP391" s="902"/>
      <c r="BQ391" s="902"/>
      <c r="BR391" s="902"/>
      <c r="BS391" s="902"/>
    </row>
    <row r="392" spans="1:71" ht="12.75" customHeight="1">
      <c r="A392" s="490" t="s">
        <v>2309</v>
      </c>
      <c r="B392" s="200"/>
      <c r="C392" s="200"/>
      <c r="D392" s="200"/>
      <c r="E392" s="200"/>
      <c r="F392" s="362">
        <f>F388/E388-1</f>
        <v>3.6642762158054731E-2</v>
      </c>
      <c r="G392" s="188"/>
      <c r="H392" s="188"/>
      <c r="I392" s="188"/>
      <c r="J392" s="188"/>
      <c r="K392" s="362">
        <f t="shared" ref="K392:U392" si="653">K388/F388-1</f>
        <v>3.2085598246253122E-2</v>
      </c>
      <c r="L392" s="672">
        <f t="shared" si="653"/>
        <v>3.323881825665409E-2</v>
      </c>
      <c r="M392" s="238">
        <f t="shared" si="653"/>
        <v>3.7256298807870625E-2</v>
      </c>
      <c r="N392" s="238">
        <f t="shared" si="653"/>
        <v>3.7674417562422846E-2</v>
      </c>
      <c r="O392" s="789">
        <f t="shared" si="653"/>
        <v>3.5697956755845084E-2</v>
      </c>
      <c r="P392" s="362">
        <f t="shared" si="653"/>
        <v>3.5697956755845084E-2</v>
      </c>
      <c r="Q392" s="672">
        <f t="shared" si="653"/>
        <v>4.3445256896002205E-2</v>
      </c>
      <c r="R392" s="238">
        <f t="shared" si="653"/>
        <v>3.6948328848820378E-2</v>
      </c>
      <c r="S392" s="238">
        <f t="shared" si="653"/>
        <v>5.2498034913752045E-2</v>
      </c>
      <c r="T392" s="789">
        <f t="shared" si="653"/>
        <v>6.22275748861012E-2</v>
      </c>
      <c r="U392" s="362">
        <f t="shared" si="653"/>
        <v>6.22275748861012E-2</v>
      </c>
      <c r="V392" s="238">
        <f t="shared" ref="V392:AC392" si="654">V388/Q388-1</f>
        <v>6.5144956276631083E-2</v>
      </c>
      <c r="W392" s="238">
        <f t="shared" si="654"/>
        <v>7.7941404563384831E-2</v>
      </c>
      <c r="X392" s="238">
        <f t="shared" si="654"/>
        <v>7.7093527836764819E-2</v>
      </c>
      <c r="Y392" s="789">
        <f t="shared" si="654"/>
        <v>7.536918979987095E-2</v>
      </c>
      <c r="Z392" s="362">
        <f t="shared" si="654"/>
        <v>7.536918979987095E-2</v>
      </c>
      <c r="AA392" s="238">
        <f t="shared" si="654"/>
        <v>7.9376426218931817E-2</v>
      </c>
      <c r="AB392" s="238">
        <f t="shared" si="654"/>
        <v>7.0781352082879723E-2</v>
      </c>
      <c r="AC392" s="238">
        <f t="shared" si="654"/>
        <v>6.9906851820104032E-2</v>
      </c>
      <c r="AD392" s="238">
        <f t="shared" ref="AD392:AJ392" si="655">AD388/Y388-1</f>
        <v>7.5726166378069948E-2</v>
      </c>
      <c r="AE392" s="362">
        <f>AE388/Z388-1</f>
        <v>7.5726166378069948E-2</v>
      </c>
      <c r="AF392" s="238">
        <f t="shared" si="655"/>
        <v>7.0870727680260259E-2</v>
      </c>
      <c r="AG392" s="238">
        <f t="shared" si="655"/>
        <v>7.6533076685612267E-2</v>
      </c>
      <c r="AH392" s="238">
        <f t="shared" si="655"/>
        <v>7.5172388007883617E-2</v>
      </c>
      <c r="AI392" s="238">
        <f t="shared" si="655"/>
        <v>7.7029459159684954E-2</v>
      </c>
      <c r="AJ392" s="362">
        <f t="shared" si="655"/>
        <v>7.7029459159684954E-2</v>
      </c>
      <c r="AK392" s="238">
        <f t="shared" ref="AK392" si="656">AK388/AF388-1</f>
        <v>7.5765403193070124E-2</v>
      </c>
      <c r="AL392" s="238">
        <f t="shared" ref="AL392" si="657">AL388/AG388-1</f>
        <v>7.107975835644309E-2</v>
      </c>
      <c r="AM392" s="238">
        <f t="shared" ref="AM392" si="658">AM388/AH388-1</f>
        <v>7.029401660858503E-2</v>
      </c>
      <c r="AN392" s="238">
        <f t="shared" ref="AN392:AO392" si="659">AN388/AI388-1</f>
        <v>6.8405364164086935E-2</v>
      </c>
      <c r="AO392" s="362">
        <f t="shared" si="659"/>
        <v>6.8405364164086935E-2</v>
      </c>
      <c r="AP392" s="362">
        <f>AP388/AO388-1</f>
        <v>6.4335892984717535E-2</v>
      </c>
      <c r="AQ392" s="362">
        <f>AQ388/AP388-1</f>
        <v>5.3014936517286948E-2</v>
      </c>
      <c r="AR392" s="193"/>
      <c r="AS392" s="1099" t="str">
        <f t="shared" si="641"/>
        <v>% growth, y/y</v>
      </c>
      <c r="AT392" s="238">
        <f t="shared" si="642"/>
        <v>0</v>
      </c>
      <c r="AU392" s="238">
        <f t="shared" si="642"/>
        <v>3.6642762158054731E-2</v>
      </c>
      <c r="AV392" s="238">
        <f t="shared" si="643"/>
        <v>3.2085598246253122E-2</v>
      </c>
      <c r="AW392" s="238">
        <f t="shared" si="644"/>
        <v>3.5697956755845084E-2</v>
      </c>
      <c r="AX392" s="238">
        <f t="shared" si="645"/>
        <v>6.22275748861012E-2</v>
      </c>
      <c r="AY392" s="238">
        <f t="shared" si="646"/>
        <v>7.536918979987095E-2</v>
      </c>
      <c r="AZ392" s="238">
        <f t="shared" si="647"/>
        <v>7.5726166378069948E-2</v>
      </c>
      <c r="BA392" s="238">
        <f t="shared" si="648"/>
        <v>7.7029459159684954E-2</v>
      </c>
      <c r="BB392" s="238">
        <f t="shared" si="649"/>
        <v>6.8405364164086935E-2</v>
      </c>
      <c r="BC392" s="238">
        <f t="shared" si="649"/>
        <v>6.4335892984717535E-2</v>
      </c>
      <c r="BD392" s="789">
        <f t="shared" si="649"/>
        <v>5.3014936517286948E-2</v>
      </c>
      <c r="BF392" s="900"/>
      <c r="BM392" s="902"/>
      <c r="BN392" s="902"/>
      <c r="BO392" s="902"/>
      <c r="BP392" s="902"/>
      <c r="BQ392" s="902"/>
      <c r="BR392" s="902"/>
      <c r="BS392" s="902"/>
    </row>
    <row r="393" spans="1:71" s="122" customFormat="1" ht="12.75" customHeight="1">
      <c r="A393" s="490" t="s">
        <v>632</v>
      </c>
      <c r="B393" s="352"/>
      <c r="C393" s="352"/>
      <c r="D393" s="352"/>
      <c r="E393" s="352">
        <f>E388/E384</f>
        <v>135.75757575757575</v>
      </c>
      <c r="F393" s="352">
        <f t="shared" ref="F393:W393" si="660">F388/F384</f>
        <v>136.20936037441498</v>
      </c>
      <c r="G393" s="334">
        <f t="shared" si="660"/>
        <v>135.8136645962733</v>
      </c>
      <c r="H393" s="334">
        <f t="shared" si="660"/>
        <v>136.19158735032238</v>
      </c>
      <c r="I393" s="334">
        <f t="shared" si="660"/>
        <v>135.97531992687385</v>
      </c>
      <c r="J393" s="334">
        <f t="shared" si="660"/>
        <v>136.03804347826087</v>
      </c>
      <c r="K393" s="352">
        <f t="shared" si="660"/>
        <v>136.03804347826087</v>
      </c>
      <c r="L393" s="334">
        <f t="shared" si="660"/>
        <v>136.38877150618774</v>
      </c>
      <c r="M393" s="334">
        <f t="shared" si="660"/>
        <v>136.77229488703924</v>
      </c>
      <c r="N393" s="334">
        <f t="shared" si="660"/>
        <v>136.44195639363582</v>
      </c>
      <c r="O393" s="334">
        <f t="shared" si="660"/>
        <v>136.44502923976609</v>
      </c>
      <c r="P393" s="352">
        <f t="shared" si="660"/>
        <v>136.44502923976609</v>
      </c>
      <c r="Q393" s="334">
        <f>Q388/Q384</f>
        <v>136.66289855072463</v>
      </c>
      <c r="R393" s="334">
        <f t="shared" si="660"/>
        <v>136.74462596732587</v>
      </c>
      <c r="S393" s="334">
        <f t="shared" si="660"/>
        <v>137.21706081081081</v>
      </c>
      <c r="T393" s="334">
        <f t="shared" si="660"/>
        <v>137.38359201773835</v>
      </c>
      <c r="U393" s="352">
        <f t="shared" si="660"/>
        <v>137.38359201773835</v>
      </c>
      <c r="V393" s="334">
        <f t="shared" si="660"/>
        <v>137.51423877327491</v>
      </c>
      <c r="W393" s="334">
        <f t="shared" si="660"/>
        <v>137.67262573070991</v>
      </c>
      <c r="X393" s="334">
        <f t="shared" ref="X393:AQ393" si="661">X388/X384</f>
        <v>137.75124639202309</v>
      </c>
      <c r="Y393" s="334">
        <f t="shared" si="661"/>
        <v>137.55845161290321</v>
      </c>
      <c r="Z393" s="352">
        <f t="shared" si="661"/>
        <v>137.55845161290321</v>
      </c>
      <c r="AA393" s="334">
        <f t="shared" si="661"/>
        <v>137.6148768723026</v>
      </c>
      <c r="AB393" s="334">
        <f t="shared" si="661"/>
        <v>137.67250000000001</v>
      </c>
      <c r="AC393" s="334">
        <f t="shared" si="661"/>
        <v>137.46182085168869</v>
      </c>
      <c r="AD393" s="874">
        <f t="shared" si="661"/>
        <v>137.34227544910181</v>
      </c>
      <c r="AE393" s="352">
        <f t="shared" si="661"/>
        <v>137.34227544910181</v>
      </c>
      <c r="AF393" s="334">
        <f t="shared" si="661"/>
        <v>137.35220482351374</v>
      </c>
      <c r="AG393" s="334">
        <f t="shared" si="661"/>
        <v>136.86223354750538</v>
      </c>
      <c r="AH393" s="334">
        <f t="shared" si="661"/>
        <v>136.93673469387755</v>
      </c>
      <c r="AI393" s="874">
        <f t="shared" si="661"/>
        <v>137.02529398713114</v>
      </c>
      <c r="AJ393" s="352">
        <f t="shared" si="661"/>
        <v>137.02529398713114</v>
      </c>
      <c r="AK393" s="334">
        <f t="shared" ref="AK393:AO393" si="662">AK388/AK384</f>
        <v>136.96545869444773</v>
      </c>
      <c r="AL393" s="334">
        <f t="shared" si="662"/>
        <v>136.75589644442869</v>
      </c>
      <c r="AM393" s="334">
        <f t="shared" si="662"/>
        <v>136.60625970869256</v>
      </c>
      <c r="AN393" s="334">
        <f t="shared" si="662"/>
        <v>136.30812167369629</v>
      </c>
      <c r="AO393" s="352">
        <f t="shared" si="662"/>
        <v>136.30812167369629</v>
      </c>
      <c r="AP393" s="352">
        <f t="shared" si="661"/>
        <v>135.90187690032971</v>
      </c>
      <c r="AQ393" s="352">
        <f t="shared" si="661"/>
        <v>135.37092486997113</v>
      </c>
      <c r="AR393" s="330"/>
      <c r="AS393" s="543" t="str">
        <f t="shared" si="641"/>
        <v>Rooms per Hotel</v>
      </c>
      <c r="AT393" s="330">
        <f t="shared" si="642"/>
        <v>135.75757575757575</v>
      </c>
      <c r="AU393" s="330">
        <f t="shared" si="642"/>
        <v>136.20936037441498</v>
      </c>
      <c r="AV393" s="330">
        <f t="shared" si="643"/>
        <v>136.03804347826087</v>
      </c>
      <c r="AW393" s="330">
        <f t="shared" si="644"/>
        <v>136.44502923976609</v>
      </c>
      <c r="AX393" s="330">
        <f t="shared" si="645"/>
        <v>137.38359201773835</v>
      </c>
      <c r="AY393" s="330">
        <f t="shared" si="646"/>
        <v>137.55845161290321</v>
      </c>
      <c r="AZ393" s="330">
        <f t="shared" si="647"/>
        <v>137.34227544910181</v>
      </c>
      <c r="BA393" s="330">
        <f t="shared" si="648"/>
        <v>137.02529398713114</v>
      </c>
      <c r="BB393" s="330">
        <f t="shared" si="649"/>
        <v>136.30812167369629</v>
      </c>
      <c r="BC393" s="330">
        <f t="shared" si="649"/>
        <v>135.90187690032971</v>
      </c>
      <c r="BD393" s="882">
        <f t="shared" si="649"/>
        <v>135.37092486997113</v>
      </c>
      <c r="BE393" s="14"/>
      <c r="BF393" s="1087"/>
      <c r="BG393"/>
      <c r="BH393"/>
      <c r="BI393"/>
      <c r="BJ393"/>
      <c r="BK393"/>
      <c r="BL393"/>
      <c r="BM393" s="1088"/>
      <c r="BN393" s="1088"/>
      <c r="BO393" s="1088"/>
      <c r="BP393" s="1088"/>
      <c r="BQ393" s="1088"/>
      <c r="BR393" s="1088"/>
      <c r="BS393" s="1088"/>
    </row>
    <row r="394" spans="1:71" ht="12.75" customHeight="1">
      <c r="A394" s="497"/>
      <c r="B394" s="200"/>
      <c r="C394" s="200"/>
      <c r="D394" s="200"/>
      <c r="E394" s="200"/>
      <c r="F394" s="200"/>
      <c r="G394" s="188"/>
      <c r="H394" s="188"/>
      <c r="I394" s="188"/>
      <c r="J394" s="188"/>
      <c r="K394" s="200"/>
      <c r="L394" s="188"/>
      <c r="M394" s="188"/>
      <c r="N394" s="188"/>
      <c r="O394" s="188"/>
      <c r="P394" s="200"/>
      <c r="Q394" s="188"/>
      <c r="R394" s="188"/>
      <c r="S394" s="188"/>
      <c r="T394" s="188"/>
      <c r="U394" s="200"/>
      <c r="V394" s="188"/>
      <c r="W394" s="188"/>
      <c r="X394" s="188"/>
      <c r="Y394" s="2726"/>
      <c r="Z394" s="200"/>
      <c r="AA394" s="188"/>
      <c r="AB394" s="188"/>
      <c r="AC394" s="188"/>
      <c r="AD394" s="849"/>
      <c r="AE394" s="200"/>
      <c r="AF394" s="188"/>
      <c r="AG394" s="188"/>
      <c r="AH394" s="188"/>
      <c r="AI394" s="849"/>
      <c r="AJ394" s="200"/>
      <c r="AK394" s="188"/>
      <c r="AL394" s="188"/>
      <c r="AM394" s="188"/>
      <c r="AN394" s="188"/>
      <c r="AO394" s="200"/>
      <c r="AP394" s="200"/>
      <c r="AQ394" s="200"/>
      <c r="AR394" s="193"/>
      <c r="AS394" s="489"/>
      <c r="AT394" s="191"/>
      <c r="AU394" s="191"/>
      <c r="AV394" s="191"/>
      <c r="AW394" s="191"/>
      <c r="AX394" s="191"/>
      <c r="AY394" s="191"/>
      <c r="AZ394" s="191"/>
      <c r="BA394" s="191"/>
      <c r="BB394" s="191"/>
      <c r="BC394" s="191"/>
      <c r="BD394" s="420"/>
      <c r="BF394" s="900"/>
      <c r="BM394" s="902"/>
      <c r="BN394" s="902"/>
      <c r="BO394" s="902"/>
      <c r="BP394" s="902"/>
      <c r="BQ394" s="902"/>
      <c r="BR394" s="902"/>
      <c r="BS394" s="902"/>
    </row>
    <row r="395" spans="1:71" ht="12.75" customHeight="1">
      <c r="A395" s="497" t="s">
        <v>1254</v>
      </c>
      <c r="B395" s="200"/>
      <c r="C395" s="200"/>
      <c r="D395" s="200"/>
      <c r="E395" s="200"/>
      <c r="F395" s="200"/>
      <c r="G395" s="188"/>
      <c r="H395" s="188"/>
      <c r="I395" s="188"/>
      <c r="J395" s="188"/>
      <c r="K395" s="200"/>
      <c r="L395" s="188"/>
      <c r="M395" s="188"/>
      <c r="N395" s="188"/>
      <c r="O395" s="188"/>
      <c r="P395" s="200"/>
      <c r="Q395" s="188"/>
      <c r="R395" s="188"/>
      <c r="S395" s="188"/>
      <c r="T395" s="188"/>
      <c r="U395" s="200"/>
      <c r="V395" s="188"/>
      <c r="W395" s="188"/>
      <c r="X395" s="188"/>
      <c r="Y395" s="2726"/>
      <c r="Z395" s="200"/>
      <c r="AA395" s="188"/>
      <c r="AB395" s="188"/>
      <c r="AC395" s="188"/>
      <c r="AD395" s="849"/>
      <c r="AE395" s="200"/>
      <c r="AF395" s="188"/>
      <c r="AG395" s="188"/>
      <c r="AH395" s="188"/>
      <c r="AI395" s="849"/>
      <c r="AJ395" s="200"/>
      <c r="AK395" s="188"/>
      <c r="AL395" s="188"/>
      <c r="AM395" s="188"/>
      <c r="AN395" s="188"/>
      <c r="AO395" s="200"/>
      <c r="AP395" s="200"/>
      <c r="AQ395" s="200"/>
      <c r="AR395" s="193"/>
      <c r="AS395" s="489" t="str">
        <f>+A395</f>
        <v>Base Weights</v>
      </c>
      <c r="AT395" s="191"/>
      <c r="AU395" s="191"/>
      <c r="AV395" s="191"/>
      <c r="AW395" s="191"/>
      <c r="AX395" s="191"/>
      <c r="AY395" s="191"/>
      <c r="AZ395" s="191"/>
      <c r="BA395" s="191"/>
      <c r="BB395" s="191"/>
      <c r="BC395" s="191"/>
      <c r="BD395" s="420"/>
      <c r="BF395" s="900"/>
      <c r="BM395" s="902"/>
      <c r="BN395" s="902"/>
      <c r="BO395" s="902"/>
      <c r="BP395" s="902"/>
      <c r="BQ395" s="902"/>
      <c r="BR395" s="902"/>
      <c r="BS395" s="902"/>
    </row>
    <row r="396" spans="1:71" s="130" customFormat="1" ht="12.75" customHeight="1">
      <c r="A396" s="489" t="s">
        <v>2171</v>
      </c>
      <c r="B396" s="200"/>
      <c r="C396" s="200"/>
      <c r="D396" s="200"/>
      <c r="E396" s="1081">
        <f>E400/E402</f>
        <v>0.90699710873724571</v>
      </c>
      <c r="F396" s="1081">
        <f t="shared" ref="F396:N396" si="663">F400/F402</f>
        <v>0.898609357454349</v>
      </c>
      <c r="G396" s="133">
        <f t="shared" si="663"/>
        <v>0.90188991225598414</v>
      </c>
      <c r="H396" s="133">
        <f t="shared" si="663"/>
        <v>0.90380356619875779</v>
      </c>
      <c r="I396" s="133">
        <f t="shared" si="663"/>
        <v>0.89914128865319076</v>
      </c>
      <c r="J396" s="133">
        <f t="shared" si="663"/>
        <v>0.8983590337489068</v>
      </c>
      <c r="K396" s="1081">
        <f t="shared" si="663"/>
        <v>0.90195800541766247</v>
      </c>
      <c r="L396" s="133">
        <f t="shared" si="663"/>
        <v>0.90415076162353825</v>
      </c>
      <c r="M396" s="133">
        <f t="shared" si="663"/>
        <v>0.90221316636349058</v>
      </c>
      <c r="N396" s="133">
        <f t="shared" si="663"/>
        <v>0.89782632445316923</v>
      </c>
      <c r="O396" s="1084">
        <f t="shared" ref="O396:W396" si="664">O400/O402</f>
        <v>0.89107827866975697</v>
      </c>
      <c r="P396" s="1084">
        <f t="shared" si="664"/>
        <v>0.89983788739825432</v>
      </c>
      <c r="Q396" s="133">
        <f t="shared" si="664"/>
        <v>0.8987210289267985</v>
      </c>
      <c r="R396" s="133">
        <f t="shared" si="664"/>
        <v>0.9003168997721579</v>
      </c>
      <c r="S396" s="133">
        <f t="shared" si="664"/>
        <v>0.89325635754838073</v>
      </c>
      <c r="T396" s="1084">
        <f t="shared" si="664"/>
        <v>0.88208162769914722</v>
      </c>
      <c r="U396" s="1084">
        <f t="shared" si="664"/>
        <v>0.89554392738491129</v>
      </c>
      <c r="V396" s="133">
        <f t="shared" si="664"/>
        <v>0.8960535355021596</v>
      </c>
      <c r="W396" s="133">
        <f t="shared" si="664"/>
        <v>0.89347774368316679</v>
      </c>
      <c r="X396" s="133">
        <f t="shared" ref="X396:AQ396" si="665">X400/X402</f>
        <v>0.88091625760253744</v>
      </c>
      <c r="Y396" s="2747">
        <f t="shared" si="665"/>
        <v>0.87393188009531853</v>
      </c>
      <c r="Z396" s="2747">
        <f t="shared" si="665"/>
        <v>0.88816664948095292</v>
      </c>
      <c r="AA396" s="133">
        <f t="shared" si="665"/>
        <v>0.88100901899721162</v>
      </c>
      <c r="AB396" s="133">
        <f t="shared" si="665"/>
        <v>0.88228741904866836</v>
      </c>
      <c r="AC396" s="133">
        <f t="shared" si="665"/>
        <v>0.87294905069478701</v>
      </c>
      <c r="AD396" s="1084">
        <f t="shared" si="665"/>
        <v>0.86654787210115281</v>
      </c>
      <c r="AE396" s="1084">
        <f t="shared" si="665"/>
        <v>0.87575758151702587</v>
      </c>
      <c r="AF396" s="133">
        <f t="shared" si="665"/>
        <v>0.9008952278295127</v>
      </c>
      <c r="AG396" s="133">
        <f t="shared" si="665"/>
        <v>0.89629781888171722</v>
      </c>
      <c r="AH396" s="133">
        <f t="shared" si="665"/>
        <v>0.8800652850072247</v>
      </c>
      <c r="AI396" s="1084">
        <f t="shared" si="665"/>
        <v>0.87465575065538204</v>
      </c>
      <c r="AJ396" s="1084">
        <f t="shared" si="665"/>
        <v>0.88773775359690177</v>
      </c>
      <c r="AK396" s="133">
        <f t="shared" ref="AK396:AO396" si="666">AK400/AK402</f>
        <v>0.89018454972520555</v>
      </c>
      <c r="AL396" s="133">
        <f t="shared" si="666"/>
        <v>0.8869755159846503</v>
      </c>
      <c r="AM396" s="133">
        <f t="shared" si="666"/>
        <v>0.87648862084066059</v>
      </c>
      <c r="AN396" s="133">
        <f t="shared" si="666"/>
        <v>0.87428789732637191</v>
      </c>
      <c r="AO396" s="1081">
        <f t="shared" si="666"/>
        <v>0.88181783106112499</v>
      </c>
      <c r="AP396" s="1084">
        <f t="shared" si="665"/>
        <v>0.88255124957411579</v>
      </c>
      <c r="AQ396" s="1084">
        <f t="shared" si="665"/>
        <v>0.88294851981938449</v>
      </c>
      <c r="AR396" s="193"/>
      <c r="AS396" s="489" t="str">
        <f>+A396</f>
        <v>US</v>
      </c>
      <c r="AT396" s="133">
        <f>+E396</f>
        <v>0.90699710873724571</v>
      </c>
      <c r="AU396" s="133">
        <f>+F396</f>
        <v>0.898609357454349</v>
      </c>
      <c r="AV396" s="133">
        <f>+K396</f>
        <v>0.90195800541766247</v>
      </c>
      <c r="AW396" s="133">
        <f>+P396</f>
        <v>0.89983788739825432</v>
      </c>
      <c r="AX396" s="133">
        <f>+U396</f>
        <v>0.89554392738491129</v>
      </c>
      <c r="AY396" s="133">
        <f>+Z396</f>
        <v>0.88816664948095292</v>
      </c>
      <c r="AZ396" s="133">
        <f>+AE396</f>
        <v>0.87575758151702587</v>
      </c>
      <c r="BA396" s="133">
        <f>+AJ396</f>
        <v>0.88773775359690177</v>
      </c>
      <c r="BB396" s="133">
        <f t="shared" ref="BB396:BD397" si="667">+AO396</f>
        <v>0.88181783106112499</v>
      </c>
      <c r="BC396" s="133">
        <f t="shared" si="667"/>
        <v>0.88255124957411579</v>
      </c>
      <c r="BD396" s="1084">
        <f t="shared" si="667"/>
        <v>0.88294851981938449</v>
      </c>
      <c r="BE396" s="14"/>
      <c r="BF396" s="902"/>
      <c r="BG396"/>
      <c r="BH396"/>
      <c r="BI396"/>
      <c r="BJ396"/>
      <c r="BK396"/>
      <c r="BL396"/>
      <c r="BM396" s="902"/>
      <c r="BN396" s="902"/>
      <c r="BO396" s="902"/>
      <c r="BP396" s="902"/>
      <c r="BQ396" s="902"/>
      <c r="BR396" s="902"/>
      <c r="BS396" s="902"/>
    </row>
    <row r="397" spans="1:71" s="130" customFormat="1" ht="12.75" customHeight="1">
      <c r="A397" s="489" t="s">
        <v>1253</v>
      </c>
      <c r="B397" s="200"/>
      <c r="C397" s="200"/>
      <c r="D397" s="200"/>
      <c r="E397" s="1081">
        <f>E401/E402</f>
        <v>9.3002891262754309E-2</v>
      </c>
      <c r="F397" s="1081">
        <f t="shared" ref="F397:N397" si="668">F401/F402</f>
        <v>0.10139064254565096</v>
      </c>
      <c r="G397" s="133">
        <f t="shared" si="668"/>
        <v>9.8110087744015848E-2</v>
      </c>
      <c r="H397" s="133">
        <f t="shared" si="668"/>
        <v>9.6196433801242251E-2</v>
      </c>
      <c r="I397" s="133">
        <f t="shared" si="668"/>
        <v>0.10085871134680914</v>
      </c>
      <c r="J397" s="133">
        <f t="shared" si="668"/>
        <v>0.1016409662510931</v>
      </c>
      <c r="K397" s="1081">
        <f t="shared" si="668"/>
        <v>9.8041994582337533E-2</v>
      </c>
      <c r="L397" s="133">
        <f t="shared" si="668"/>
        <v>9.584923837646174E-2</v>
      </c>
      <c r="M397" s="133">
        <f t="shared" si="668"/>
        <v>9.7786833636509349E-2</v>
      </c>
      <c r="N397" s="133">
        <f t="shared" si="668"/>
        <v>0.10217367554683077</v>
      </c>
      <c r="O397" s="1084">
        <f t="shared" ref="O397:W397" si="669">O401/O402</f>
        <v>0.10892172133024297</v>
      </c>
      <c r="P397" s="1084">
        <f t="shared" si="669"/>
        <v>0.10016211260174561</v>
      </c>
      <c r="Q397" s="133">
        <f t="shared" si="669"/>
        <v>0.10127897107320152</v>
      </c>
      <c r="R397" s="133">
        <f t="shared" si="669"/>
        <v>9.9683100227842172E-2</v>
      </c>
      <c r="S397" s="133">
        <f t="shared" si="669"/>
        <v>0.10674364245161927</v>
      </c>
      <c r="T397" s="1084">
        <f t="shared" si="669"/>
        <v>0.11791837230085266</v>
      </c>
      <c r="U397" s="1084">
        <f t="shared" si="669"/>
        <v>0.1044560726150888</v>
      </c>
      <c r="V397" s="133">
        <f t="shared" si="669"/>
        <v>0.10394646449784035</v>
      </c>
      <c r="W397" s="133">
        <f t="shared" si="669"/>
        <v>0.10652225631683319</v>
      </c>
      <c r="X397" s="133">
        <f t="shared" ref="X397:AQ397" si="670">X401/X402</f>
        <v>0.11908374239746249</v>
      </c>
      <c r="Y397" s="2747">
        <f t="shared" si="670"/>
        <v>0.12606811990468153</v>
      </c>
      <c r="Z397" s="2747">
        <f t="shared" si="670"/>
        <v>0.1118333505190471</v>
      </c>
      <c r="AA397" s="133">
        <f t="shared" si="670"/>
        <v>0.11899098100278843</v>
      </c>
      <c r="AB397" s="133">
        <f t="shared" si="670"/>
        <v>0.11771258095133159</v>
      </c>
      <c r="AC397" s="133">
        <f t="shared" si="670"/>
        <v>0.12705094930521296</v>
      </c>
      <c r="AD397" s="1084">
        <f t="shared" si="670"/>
        <v>0.13345212789884708</v>
      </c>
      <c r="AE397" s="1084">
        <f t="shared" si="670"/>
        <v>0.12424241848297415</v>
      </c>
      <c r="AF397" s="133">
        <f t="shared" si="670"/>
        <v>9.9104772170487312E-2</v>
      </c>
      <c r="AG397" s="133">
        <f t="shared" si="670"/>
        <v>0.10370218111828275</v>
      </c>
      <c r="AH397" s="133">
        <f t="shared" si="670"/>
        <v>0.11993471499277533</v>
      </c>
      <c r="AI397" s="1084">
        <f t="shared" si="670"/>
        <v>0.12534424934461796</v>
      </c>
      <c r="AJ397" s="1084">
        <f t="shared" si="670"/>
        <v>0.11226224640309831</v>
      </c>
      <c r="AK397" s="133">
        <f t="shared" ref="AK397:AO397" si="671">AK401/AK402</f>
        <v>0.1098154502747944</v>
      </c>
      <c r="AL397" s="133">
        <f t="shared" si="671"/>
        <v>0.11302448401534972</v>
      </c>
      <c r="AM397" s="133">
        <f t="shared" si="671"/>
        <v>0.12351137915933941</v>
      </c>
      <c r="AN397" s="133">
        <f t="shared" si="671"/>
        <v>0.12571210267362809</v>
      </c>
      <c r="AO397" s="1081">
        <f t="shared" si="671"/>
        <v>0.11818216893887502</v>
      </c>
      <c r="AP397" s="1084">
        <f t="shared" si="670"/>
        <v>0.11744875042588421</v>
      </c>
      <c r="AQ397" s="1084">
        <f t="shared" si="670"/>
        <v>0.11705148018061548</v>
      </c>
      <c r="AR397" s="193"/>
      <c r="AS397" s="489" t="str">
        <f>+A397</f>
        <v>Int'l</v>
      </c>
      <c r="AT397" s="133">
        <f>+E397</f>
        <v>9.3002891262754309E-2</v>
      </c>
      <c r="AU397" s="133">
        <f>+F397</f>
        <v>0.10139064254565096</v>
      </c>
      <c r="AV397" s="133">
        <f>+K397</f>
        <v>9.8041994582337533E-2</v>
      </c>
      <c r="AW397" s="133">
        <f>+P397</f>
        <v>0.10016211260174561</v>
      </c>
      <c r="AX397" s="133">
        <f>+U397</f>
        <v>0.1044560726150888</v>
      </c>
      <c r="AY397" s="133">
        <f>+Z397</f>
        <v>0.1118333505190471</v>
      </c>
      <c r="AZ397" s="133">
        <f>+AE397</f>
        <v>0.12424241848297415</v>
      </c>
      <c r="BA397" s="133">
        <f>+AJ397</f>
        <v>0.11226224640309831</v>
      </c>
      <c r="BB397" s="133">
        <f t="shared" si="667"/>
        <v>0.11818216893887502</v>
      </c>
      <c r="BC397" s="133">
        <f t="shared" si="667"/>
        <v>0.11744875042588421</v>
      </c>
      <c r="BD397" s="1084">
        <f t="shared" si="667"/>
        <v>0.11705148018061548</v>
      </c>
      <c r="BE397" s="14"/>
      <c r="BF397" s="902"/>
      <c r="BG397"/>
      <c r="BH397"/>
      <c r="BI397"/>
      <c r="BJ397"/>
      <c r="BK397"/>
      <c r="BL397"/>
      <c r="BM397" s="902"/>
      <c r="BN397" s="902"/>
      <c r="BO397" s="902"/>
      <c r="BP397" s="902"/>
      <c r="BQ397" s="902"/>
      <c r="BR397" s="902"/>
      <c r="BS397" s="902"/>
    </row>
    <row r="398" spans="1:71" s="130" customFormat="1" ht="12.75" customHeight="1">
      <c r="A398" s="489"/>
      <c r="B398" s="200"/>
      <c r="C398" s="200"/>
      <c r="D398" s="200"/>
      <c r="E398" s="1081"/>
      <c r="F398" s="1081"/>
      <c r="G398" s="133"/>
      <c r="H398" s="133"/>
      <c r="I398" s="133"/>
      <c r="J398" s="133"/>
      <c r="K398" s="1081"/>
      <c r="L398" s="133"/>
      <c r="M398" s="133"/>
      <c r="N398" s="133"/>
      <c r="O398" s="133"/>
      <c r="P398" s="1081"/>
      <c r="Q398" s="133"/>
      <c r="R398" s="133"/>
      <c r="S398" s="133"/>
      <c r="T398" s="1084"/>
      <c r="U398" s="1084"/>
      <c r="V398" s="133"/>
      <c r="W398" s="133"/>
      <c r="X398" s="133"/>
      <c r="Y398" s="2747"/>
      <c r="Z398" s="2747"/>
      <c r="AA398" s="133"/>
      <c r="AB398" s="133"/>
      <c r="AC398" s="133"/>
      <c r="AD398" s="1084"/>
      <c r="AE398" s="1084"/>
      <c r="AF398" s="133"/>
      <c r="AG398" s="133"/>
      <c r="AH398" s="133"/>
      <c r="AI398" s="1084"/>
      <c r="AJ398" s="1084"/>
      <c r="AK398" s="133"/>
      <c r="AL398" s="133"/>
      <c r="AM398" s="133"/>
      <c r="AN398" s="133"/>
      <c r="AO398" s="1081"/>
      <c r="AP398" s="1084"/>
      <c r="AQ398" s="1084"/>
      <c r="AR398" s="193"/>
      <c r="AS398" s="489"/>
      <c r="AT398" s="191"/>
      <c r="AU398" s="191"/>
      <c r="AV398" s="191"/>
      <c r="AW398" s="191"/>
      <c r="AX398" s="191"/>
      <c r="AY398" s="191"/>
      <c r="AZ398" s="191"/>
      <c r="BA398" s="191"/>
      <c r="BB398" s="191"/>
      <c r="BC398" s="191"/>
      <c r="BD398" s="420"/>
      <c r="BE398" s="14"/>
      <c r="BF398" s="902"/>
      <c r="BG398"/>
      <c r="BH398"/>
      <c r="BI398"/>
      <c r="BJ398"/>
      <c r="BK398"/>
      <c r="BL398"/>
      <c r="BM398" s="902"/>
      <c r="BN398" s="902"/>
      <c r="BO398" s="902"/>
      <c r="BP398" s="902"/>
      <c r="BQ398" s="902"/>
      <c r="BR398" s="902"/>
      <c r="BS398" s="902"/>
    </row>
    <row r="399" spans="1:71" ht="12.75" customHeight="1">
      <c r="A399" s="497" t="s">
        <v>2123</v>
      </c>
      <c r="B399" s="200"/>
      <c r="C399" s="200"/>
      <c r="D399" s="200"/>
      <c r="E399" s="200"/>
      <c r="F399" s="200"/>
      <c r="G399" s="188"/>
      <c r="H399" s="188"/>
      <c r="I399" s="188"/>
      <c r="J399" s="188"/>
      <c r="K399" s="200"/>
      <c r="L399" s="188"/>
      <c r="M399" s="188"/>
      <c r="N399" s="188"/>
      <c r="O399" s="188"/>
      <c r="P399" s="200"/>
      <c r="Q399" s="188"/>
      <c r="R399" s="188"/>
      <c r="S399" s="188"/>
      <c r="T399" s="188"/>
      <c r="U399" s="200"/>
      <c r="V399" s="188"/>
      <c r="W399" s="188"/>
      <c r="X399" s="188"/>
      <c r="Y399" s="2726"/>
      <c r="Z399" s="200"/>
      <c r="AA399" s="188"/>
      <c r="AB399" s="188"/>
      <c r="AC399" s="188"/>
      <c r="AD399" s="849"/>
      <c r="AE399" s="200"/>
      <c r="AF399" s="188"/>
      <c r="AG399" s="188"/>
      <c r="AH399" s="188"/>
      <c r="AI399" s="849"/>
      <c r="AJ399" s="364"/>
      <c r="AK399" s="188"/>
      <c r="AL399" s="188"/>
      <c r="AM399" s="188"/>
      <c r="AN399" s="188"/>
      <c r="AO399" s="200"/>
      <c r="AP399" s="200"/>
      <c r="AQ399" s="200"/>
      <c r="AR399" s="193"/>
      <c r="AS399" s="489" t="str">
        <f t="shared" ref="AS399:AS405" si="672">+A399</f>
        <v>Franchised Revenues (Calc)</v>
      </c>
      <c r="AT399" s="191"/>
      <c r="AU399" s="191"/>
      <c r="AV399" s="191"/>
      <c r="AW399" s="191"/>
      <c r="AX399" s="191"/>
      <c r="AY399" s="191"/>
      <c r="AZ399" s="191"/>
      <c r="BA399" s="191"/>
      <c r="BB399" s="191"/>
      <c r="BC399" s="191"/>
      <c r="BD399" s="420"/>
      <c r="BF399" s="900"/>
      <c r="BM399" s="902"/>
      <c r="BN399" s="902"/>
      <c r="BO399" s="902"/>
      <c r="BP399" s="902"/>
      <c r="BQ399" s="902"/>
      <c r="BR399" s="902"/>
      <c r="BS399" s="902"/>
    </row>
    <row r="400" spans="1:71" ht="12.75" customHeight="1">
      <c r="A400" s="489" t="s">
        <v>2171</v>
      </c>
      <c r="B400" s="200"/>
      <c r="C400" s="200"/>
      <c r="D400" s="200"/>
      <c r="E400" s="1090">
        <f>RevPAR!B398</f>
        <v>11515.939387245488</v>
      </c>
      <c r="F400" s="1090">
        <f>RevPAR!C398</f>
        <v>12475.884437921066</v>
      </c>
      <c r="G400" s="1089">
        <f>RevPAR!D398</f>
        <v>3056.8891480872194</v>
      </c>
      <c r="H400" s="1089">
        <f>RevPAR!E398</f>
        <v>3562.9893459352725</v>
      </c>
      <c r="I400" s="1089">
        <f>RevPAR!F398</f>
        <v>3544.4116847985788</v>
      </c>
      <c r="J400" s="1089">
        <f>RevPAR!G398</f>
        <v>3195.8880750774451</v>
      </c>
      <c r="K400" s="1090">
        <f>RevPAR!H398</f>
        <v>13532.165050500942</v>
      </c>
      <c r="L400" s="1089">
        <f>RevPAR!I398</f>
        <v>3310.2458655655469</v>
      </c>
      <c r="M400" s="1089">
        <f>RevPAR!J398</f>
        <v>3916.6367509933107</v>
      </c>
      <c r="N400" s="1089">
        <f>RevPAR!K398</f>
        <v>3904.0049034059775</v>
      </c>
      <c r="O400" s="1089">
        <f>RevPAR!L398</f>
        <v>3482.7744856740001</v>
      </c>
      <c r="P400" s="1090">
        <f>RevPAR!M398</f>
        <v>14782.210336409235</v>
      </c>
      <c r="Q400" s="1089">
        <f>RevPAR!N398</f>
        <v>3657.1140283859995</v>
      </c>
      <c r="R400" s="1089">
        <f>RevPAR!O398</f>
        <v>4416.6762136224006</v>
      </c>
      <c r="S400" s="1089">
        <f>RevPAR!P398</f>
        <v>4483.7932390838396</v>
      </c>
      <c r="T400" s="1089">
        <f>RevPAR!Q398</f>
        <v>3902.9841692405525</v>
      </c>
      <c r="U400" s="1090">
        <f>RevPAR!R398</f>
        <v>16792.829639512354</v>
      </c>
      <c r="V400" s="1089">
        <f>RevPAR!S398</f>
        <v>4103.6557035189871</v>
      </c>
      <c r="W400" s="1089">
        <f>RevPAR!T398</f>
        <v>4924.4984609511603</v>
      </c>
      <c r="X400" s="1089">
        <f>RevPAR!U398</f>
        <v>4985.7986572998807</v>
      </c>
      <c r="Y400" s="2750">
        <f>RevPAR!V398</f>
        <v>4291.2579826175315</v>
      </c>
      <c r="Z400" s="2766">
        <f>RevPAR!W398</f>
        <v>18712.426306766996</v>
      </c>
      <c r="AA400" s="1089">
        <f>RevPAR!X398</f>
        <v>4481.9087346926563</v>
      </c>
      <c r="AB400" s="1089">
        <f>RevPAR!Y398</f>
        <v>5356.5382976956189</v>
      </c>
      <c r="AC400" s="1089">
        <f>RevPAR!Z398</f>
        <v>5360.7073825648977</v>
      </c>
      <c r="AD400" s="2531">
        <f>RevPAR!AA398</f>
        <v>4621.0106662838207</v>
      </c>
      <c r="AE400" s="1090">
        <f>RevPAR!AB398</f>
        <v>19820.165081236992</v>
      </c>
      <c r="AF400" s="1089">
        <f>RevPAR!AC398</f>
        <v>4841.0837145208343</v>
      </c>
      <c r="AG400" s="1089">
        <f>RevPAR!AD398</f>
        <v>5770.9785788329245</v>
      </c>
      <c r="AH400" s="1089">
        <f>RevPAR!AE398</f>
        <v>5707.7655407977172</v>
      </c>
      <c r="AI400" s="2531">
        <f>RevPAR!AF398</f>
        <v>5085.2213570551021</v>
      </c>
      <c r="AJ400" s="1090">
        <f>RevPAR!AG398</f>
        <v>21405.049191206581</v>
      </c>
      <c r="AK400" s="1089">
        <f>RevPAR!AH398</f>
        <v>5223.2100896449792</v>
      </c>
      <c r="AL400" s="1089">
        <f>RevPAR!AI398</f>
        <v>6254.4315376513905</v>
      </c>
      <c r="AM400" s="1089">
        <f>RevPAR!AJ398</f>
        <v>6224.3421139859611</v>
      </c>
      <c r="AN400" s="1089">
        <f>RevPAR!AK398</f>
        <v>5528.6194588012486</v>
      </c>
      <c r="AO400" s="1090">
        <f>RevPAR!AL398</f>
        <v>23230.603200083577</v>
      </c>
      <c r="AP400" s="1090">
        <f>RevPAR!AM398</f>
        <v>25068.995257920327</v>
      </c>
      <c r="AQ400" s="1090">
        <f>RevPAR!AN398</f>
        <v>25826.921225063088</v>
      </c>
      <c r="AR400" s="193"/>
      <c r="AS400" s="489" t="str">
        <f t="shared" si="672"/>
        <v>US</v>
      </c>
      <c r="AT400" s="191">
        <f t="shared" ref="AT400:AU405" si="673">+E400</f>
        <v>11515.939387245488</v>
      </c>
      <c r="AU400" s="191">
        <f t="shared" si="673"/>
        <v>12475.884437921066</v>
      </c>
      <c r="AV400" s="191">
        <f t="shared" ref="AV400:AV405" si="674">+K400</f>
        <v>13532.165050500942</v>
      </c>
      <c r="AW400" s="191">
        <f t="shared" ref="AW400:AW405" si="675">+P400</f>
        <v>14782.210336409235</v>
      </c>
      <c r="AX400" s="191">
        <f t="shared" ref="AX400:AX405" si="676">+U400</f>
        <v>16792.829639512354</v>
      </c>
      <c r="AY400" s="191">
        <f t="shared" ref="AY400:AY405" si="677">+Z400</f>
        <v>18712.426306766996</v>
      </c>
      <c r="AZ400" s="191">
        <f t="shared" ref="AZ400:AZ405" si="678">+AE400</f>
        <v>19820.165081236992</v>
      </c>
      <c r="BA400" s="191">
        <f t="shared" ref="BA400:BA405" si="679">+AJ400</f>
        <v>21405.049191206581</v>
      </c>
      <c r="BB400" s="191">
        <f t="shared" ref="BB400:BD405" si="680">+AO400</f>
        <v>23230.603200083577</v>
      </c>
      <c r="BC400" s="191">
        <f t="shared" si="680"/>
        <v>25068.995257920327</v>
      </c>
      <c r="BD400" s="420">
        <f t="shared" si="680"/>
        <v>25826.921225063088</v>
      </c>
      <c r="BF400" s="900"/>
      <c r="BM400" s="902"/>
      <c r="BN400" s="902"/>
      <c r="BO400" s="931"/>
      <c r="BP400" s="931"/>
      <c r="BQ400" s="902"/>
      <c r="BR400" s="902"/>
      <c r="BS400" s="902"/>
    </row>
    <row r="401" spans="1:71" ht="12.75" customHeight="1">
      <c r="A401" s="489" t="s">
        <v>1253</v>
      </c>
      <c r="B401" s="200"/>
      <c r="C401" s="200"/>
      <c r="D401" s="200"/>
      <c r="E401" s="1068">
        <f>RevPAR!B406</f>
        <v>1180.8369048844802</v>
      </c>
      <c r="F401" s="1068">
        <f>RevPAR!C406</f>
        <v>1407.6616596443193</v>
      </c>
      <c r="G401" s="1069">
        <f>RevPAR!D406</f>
        <v>332.53688556330451</v>
      </c>
      <c r="H401" s="1069">
        <f>RevPAR!E406</f>
        <v>379.22717011654225</v>
      </c>
      <c r="I401" s="1069">
        <f>RevPAR!F406</f>
        <v>397.58467275685672</v>
      </c>
      <c r="J401" s="1069">
        <f>RevPAR!G406</f>
        <v>361.58500084945882</v>
      </c>
      <c r="K401" s="1068">
        <f>RevPAR!H406</f>
        <v>1470.9337292861621</v>
      </c>
      <c r="L401" s="1069">
        <f>RevPAR!I406</f>
        <v>350.91995552108705</v>
      </c>
      <c r="M401" s="1069">
        <f>RevPAR!J406</f>
        <v>424.50666944680478</v>
      </c>
      <c r="N401" s="1069">
        <f>RevPAR!K406</f>
        <v>444.28027945915358</v>
      </c>
      <c r="O401" s="1069">
        <f>RevPAR!L406</f>
        <v>425.71994073402249</v>
      </c>
      <c r="P401" s="1068">
        <f>RevPAR!M406</f>
        <v>1645.4268451610676</v>
      </c>
      <c r="Q401" s="1069">
        <f>RevPAR!N406</f>
        <v>412.12871844625948</v>
      </c>
      <c r="R401" s="1069">
        <f>RevPAR!O406</f>
        <v>489.01445456357237</v>
      </c>
      <c r="S401" s="1069">
        <f>RevPAR!P406</f>
        <v>535.81082104286088</v>
      </c>
      <c r="T401" s="1069">
        <f>RevPAR!Q406</f>
        <v>521.75844717833081</v>
      </c>
      <c r="U401" s="1068">
        <f>RevPAR!R406</f>
        <v>1958.7124412310234</v>
      </c>
      <c r="V401" s="1069">
        <f>RevPAR!S406</f>
        <v>476.04354538721469</v>
      </c>
      <c r="W401" s="1069">
        <f>RevPAR!T406</f>
        <v>587.10884630082705</v>
      </c>
      <c r="X401" s="1069">
        <f>RevPAR!U406</f>
        <v>673.98865423073914</v>
      </c>
      <c r="Y401" s="1069">
        <f>RevPAR!V406</f>
        <v>619.03088583465296</v>
      </c>
      <c r="Z401" s="1068">
        <f>RevPAR!W406</f>
        <v>2356.1719317534335</v>
      </c>
      <c r="AA401" s="1069">
        <f>RevPAR!X406</f>
        <v>605.33627421098322</v>
      </c>
      <c r="AB401" s="1069">
        <f>RevPAR!Y406</f>
        <v>714.65594359973784</v>
      </c>
      <c r="AC401" s="1069">
        <f>RevPAR!Z406</f>
        <v>780.20929326889632</v>
      </c>
      <c r="AD401" s="1070">
        <f>RevPAR!AA406</f>
        <v>711.65566994417486</v>
      </c>
      <c r="AE401" s="1068">
        <f>RevPAR!AB406</f>
        <v>2811.8571810237918</v>
      </c>
      <c r="AF401" s="1069">
        <f>RevPAR!AC406</f>
        <v>532.55304697499992</v>
      </c>
      <c r="AG401" s="1069">
        <f>RevPAR!AD406</f>
        <v>667.70559205258985</v>
      </c>
      <c r="AH401" s="1069">
        <f>RevPAR!AE406</f>
        <v>777.85051296000006</v>
      </c>
      <c r="AI401" s="1070">
        <f>RevPAR!AF406</f>
        <v>728.74757099999999</v>
      </c>
      <c r="AJ401" s="1068">
        <f>RevPAR!AG406</f>
        <v>2706.8567229875894</v>
      </c>
      <c r="AK401" s="1069">
        <f>RevPAR!AH406</f>
        <v>644.34859945758001</v>
      </c>
      <c r="AL401" s="1069">
        <f>RevPAR!AI406</f>
        <v>796.98242467000887</v>
      </c>
      <c r="AM401" s="1069">
        <f>RevPAR!AJ406</f>
        <v>877.11016501345136</v>
      </c>
      <c r="AN401" s="1069">
        <f>RevPAR!AK406</f>
        <v>794.94909991736017</v>
      </c>
      <c r="AO401" s="1068">
        <f>RevPAR!AL406</f>
        <v>3113.3902890584009</v>
      </c>
      <c r="AP401" s="1068">
        <f>RevPAR!AM406</f>
        <v>3336.1486586710657</v>
      </c>
      <c r="AQ401" s="1068">
        <f>RevPAR!AN406</f>
        <v>3423.8455470996078</v>
      </c>
      <c r="AR401" s="193"/>
      <c r="AS401" s="489" t="str">
        <f t="shared" si="672"/>
        <v>Int'l</v>
      </c>
      <c r="AT401" s="191">
        <f t="shared" si="673"/>
        <v>1180.8369048844802</v>
      </c>
      <c r="AU401" s="191">
        <f t="shared" si="673"/>
        <v>1407.6616596443193</v>
      </c>
      <c r="AV401" s="191">
        <f t="shared" si="674"/>
        <v>1470.9337292861621</v>
      </c>
      <c r="AW401" s="191">
        <f t="shared" si="675"/>
        <v>1645.4268451610676</v>
      </c>
      <c r="AX401" s="191">
        <f t="shared" si="676"/>
        <v>1958.7124412310234</v>
      </c>
      <c r="AY401" s="191">
        <f t="shared" si="677"/>
        <v>2356.1719317534335</v>
      </c>
      <c r="AZ401" s="191">
        <f t="shared" si="678"/>
        <v>2811.8571810237918</v>
      </c>
      <c r="BA401" s="191">
        <f t="shared" si="679"/>
        <v>2706.8567229875894</v>
      </c>
      <c r="BB401" s="191">
        <f t="shared" si="680"/>
        <v>3113.3902890584009</v>
      </c>
      <c r="BC401" s="191">
        <f t="shared" si="680"/>
        <v>3336.1486586710657</v>
      </c>
      <c r="BD401" s="420">
        <f t="shared" si="680"/>
        <v>3423.8455470996078</v>
      </c>
      <c r="BF401" s="900"/>
      <c r="BM401" s="902"/>
      <c r="BN401" s="902"/>
      <c r="BO401" s="931"/>
      <c r="BP401" s="931"/>
      <c r="BQ401" s="902"/>
      <c r="BR401" s="902"/>
      <c r="BS401" s="902"/>
    </row>
    <row r="402" spans="1:71" ht="12.75" customHeight="1">
      <c r="A402" s="497" t="s">
        <v>1687</v>
      </c>
      <c r="B402" s="200"/>
      <c r="C402" s="200"/>
      <c r="D402" s="200"/>
      <c r="E402" s="610">
        <f>E401+E400</f>
        <v>12696.776292129967</v>
      </c>
      <c r="F402" s="610">
        <f t="shared" ref="F402:AQ402" si="681">F401+F400</f>
        <v>13883.546097565386</v>
      </c>
      <c r="G402" s="609">
        <f t="shared" si="681"/>
        <v>3389.426033650524</v>
      </c>
      <c r="H402" s="609">
        <f t="shared" si="681"/>
        <v>3942.2165160518148</v>
      </c>
      <c r="I402" s="609">
        <f t="shared" si="681"/>
        <v>3941.9963575554357</v>
      </c>
      <c r="J402" s="609">
        <f t="shared" si="681"/>
        <v>3557.4730759269041</v>
      </c>
      <c r="K402" s="610">
        <f t="shared" si="681"/>
        <v>15003.098779787104</v>
      </c>
      <c r="L402" s="609">
        <f t="shared" si="681"/>
        <v>3661.165821086634</v>
      </c>
      <c r="M402" s="609">
        <f t="shared" si="681"/>
        <v>4341.1434204401157</v>
      </c>
      <c r="N402" s="609">
        <f t="shared" si="681"/>
        <v>4348.285182865131</v>
      </c>
      <c r="O402" s="609">
        <f t="shared" si="681"/>
        <v>3908.4944264080227</v>
      </c>
      <c r="P402" s="610">
        <f t="shared" si="681"/>
        <v>16427.637181570302</v>
      </c>
      <c r="Q402" s="609">
        <f t="shared" si="681"/>
        <v>4069.2427468322589</v>
      </c>
      <c r="R402" s="609">
        <f t="shared" si="681"/>
        <v>4905.6906681859728</v>
      </c>
      <c r="S402" s="609">
        <f t="shared" si="681"/>
        <v>5019.6040601267005</v>
      </c>
      <c r="T402" s="609">
        <f t="shared" si="681"/>
        <v>4424.7426164188837</v>
      </c>
      <c r="U402" s="610">
        <f t="shared" si="681"/>
        <v>18751.542080743377</v>
      </c>
      <c r="V402" s="609">
        <f t="shared" ref="V402:AE402" si="682">V401+V400</f>
        <v>4579.6992489062022</v>
      </c>
      <c r="W402" s="609">
        <f t="shared" si="682"/>
        <v>5511.6073072519875</v>
      </c>
      <c r="X402" s="609">
        <f t="shared" si="682"/>
        <v>5659.7873115306202</v>
      </c>
      <c r="Y402" s="609">
        <f t="shared" si="682"/>
        <v>4910.288868452184</v>
      </c>
      <c r="Z402" s="610">
        <f t="shared" si="682"/>
        <v>21068.59823852043</v>
      </c>
      <c r="AA402" s="609">
        <f t="shared" si="682"/>
        <v>5087.2450089036392</v>
      </c>
      <c r="AB402" s="609">
        <f t="shared" si="682"/>
        <v>6071.1942412953567</v>
      </c>
      <c r="AC402" s="609">
        <f t="shared" si="682"/>
        <v>6140.9166758337942</v>
      </c>
      <c r="AD402" s="609">
        <f t="shared" si="682"/>
        <v>5332.666336227996</v>
      </c>
      <c r="AE402" s="610">
        <f t="shared" si="682"/>
        <v>22632.022262260783</v>
      </c>
      <c r="AF402" s="609">
        <f>AF401+AF400</f>
        <v>5373.6367614958344</v>
      </c>
      <c r="AG402" s="609">
        <f>AG401+AG400</f>
        <v>6438.6841708855145</v>
      </c>
      <c r="AH402" s="609">
        <f>AH401+AH400</f>
        <v>6485.6160537577171</v>
      </c>
      <c r="AI402" s="609">
        <f>AI401+AI400</f>
        <v>5813.968928055102</v>
      </c>
      <c r="AJ402" s="610">
        <f>AJ401+AJ400</f>
        <v>24111.905914194169</v>
      </c>
      <c r="AK402" s="609">
        <f t="shared" ref="AK402:AN402" si="683">AK401+AK400</f>
        <v>5867.5586891025596</v>
      </c>
      <c r="AL402" s="609">
        <f t="shared" si="683"/>
        <v>7051.4139623213996</v>
      </c>
      <c r="AM402" s="609">
        <f t="shared" si="683"/>
        <v>7101.4522789994126</v>
      </c>
      <c r="AN402" s="609">
        <f t="shared" si="683"/>
        <v>6323.568558718609</v>
      </c>
      <c r="AO402" s="610">
        <f>AO401+AO400</f>
        <v>26343.993489141976</v>
      </c>
      <c r="AP402" s="610">
        <f t="shared" si="681"/>
        <v>28405.143916591394</v>
      </c>
      <c r="AQ402" s="610">
        <f t="shared" si="681"/>
        <v>29250.766772162697</v>
      </c>
      <c r="AR402" s="193"/>
      <c r="AS402" s="497" t="str">
        <f t="shared" si="672"/>
        <v>Total</v>
      </c>
      <c r="AT402" s="261">
        <f t="shared" si="673"/>
        <v>12696.776292129967</v>
      </c>
      <c r="AU402" s="261">
        <f t="shared" si="673"/>
        <v>13883.546097565386</v>
      </c>
      <c r="AV402" s="261">
        <f t="shared" si="674"/>
        <v>15003.098779787104</v>
      </c>
      <c r="AW402" s="261">
        <f t="shared" si="675"/>
        <v>16427.637181570302</v>
      </c>
      <c r="AX402" s="261">
        <f t="shared" si="676"/>
        <v>18751.542080743377</v>
      </c>
      <c r="AY402" s="261">
        <f t="shared" si="677"/>
        <v>21068.59823852043</v>
      </c>
      <c r="AZ402" s="261">
        <f t="shared" si="678"/>
        <v>22632.022262260783</v>
      </c>
      <c r="BA402" s="261">
        <f t="shared" si="679"/>
        <v>24111.905914194169</v>
      </c>
      <c r="BB402" s="261">
        <f t="shared" si="680"/>
        <v>26343.993489141976</v>
      </c>
      <c r="BC402" s="261">
        <f t="shared" si="680"/>
        <v>28405.143916591394</v>
      </c>
      <c r="BD402" s="787">
        <f t="shared" si="680"/>
        <v>29250.766772162697</v>
      </c>
      <c r="BF402" s="900"/>
      <c r="BM402" s="902"/>
      <c r="BN402" s="902"/>
      <c r="BO402" s="931"/>
      <c r="BP402" s="931"/>
      <c r="BQ402" s="902"/>
      <c r="BR402" s="902"/>
      <c r="BS402" s="902"/>
    </row>
    <row r="403" spans="1:71" ht="12.75" customHeight="1">
      <c r="A403" s="490" t="s">
        <v>1258</v>
      </c>
      <c r="B403" s="200"/>
      <c r="C403" s="200"/>
      <c r="D403" s="200"/>
      <c r="E403" s="200"/>
      <c r="F403" s="143">
        <f>F400/E400-1</f>
        <v>8.3357945747679851E-2</v>
      </c>
      <c r="G403" s="239"/>
      <c r="H403" s="239"/>
      <c r="I403" s="239"/>
      <c r="J403" s="239"/>
      <c r="K403" s="422">
        <f t="shared" ref="K403:U405" si="684">K400/F400-1</f>
        <v>8.4665790055673984E-2</v>
      </c>
      <c r="L403" s="419">
        <f t="shared" si="684"/>
        <v>8.2880570804099829E-2</v>
      </c>
      <c r="M403" s="419">
        <f t="shared" si="684"/>
        <v>9.9255813229272238E-2</v>
      </c>
      <c r="N403" s="419">
        <f t="shared" si="684"/>
        <v>0.10145356989698384</v>
      </c>
      <c r="O403" s="419">
        <f t="shared" si="684"/>
        <v>8.9767352252973609E-2</v>
      </c>
      <c r="P403" s="422">
        <f t="shared" si="684"/>
        <v>9.2375852736293451E-2</v>
      </c>
      <c r="Q403" s="419">
        <f t="shared" si="684"/>
        <v>0.10478622341280119</v>
      </c>
      <c r="R403" s="419">
        <f t="shared" si="684"/>
        <v>0.12767062518684513</v>
      </c>
      <c r="S403" s="419">
        <f t="shared" si="684"/>
        <v>0.14851116994551838</v>
      </c>
      <c r="T403" s="419">
        <f t="shared" si="684"/>
        <v>0.12065371596554342</v>
      </c>
      <c r="U403" s="422">
        <f t="shared" si="684"/>
        <v>0.13601614760891856</v>
      </c>
      <c r="V403" s="419">
        <f t="shared" ref="V403:Z405" si="685">V400/Q400-1</f>
        <v>0.12210220180913001</v>
      </c>
      <c r="W403" s="419">
        <f t="shared" si="685"/>
        <v>0.11497837350233597</v>
      </c>
      <c r="X403" s="419">
        <f t="shared" si="685"/>
        <v>0.11195998375665828</v>
      </c>
      <c r="Y403" s="419">
        <f t="shared" si="685"/>
        <v>9.9481267804509166E-2</v>
      </c>
      <c r="Z403" s="422">
        <f t="shared" si="685"/>
        <v>0.11431049492325962</v>
      </c>
      <c r="AA403" s="419">
        <f t="shared" ref="AA403:AC405" si="686">AA400/V400-1</f>
        <v>9.217465072649933E-2</v>
      </c>
      <c r="AB403" s="419">
        <f t="shared" si="686"/>
        <v>8.7732759015018758E-2</v>
      </c>
      <c r="AC403" s="419">
        <f t="shared" si="686"/>
        <v>7.5195319954627582E-2</v>
      </c>
      <c r="AD403" s="419">
        <f t="shared" ref="AD403:AJ405" si="687">AD400/Y400-1</f>
        <v>7.6842894321900168E-2</v>
      </c>
      <c r="AE403" s="422">
        <f t="shared" si="687"/>
        <v>5.9198030031487825E-2</v>
      </c>
      <c r="AF403" s="419">
        <f t="shared" si="687"/>
        <v>8.0138842865752347E-2</v>
      </c>
      <c r="AG403" s="419">
        <f t="shared" si="687"/>
        <v>7.7370917205165535E-2</v>
      </c>
      <c r="AH403" s="419">
        <f t="shared" si="687"/>
        <v>6.4741112219925956E-2</v>
      </c>
      <c r="AI403" s="419">
        <f t="shared" si="687"/>
        <v>0.10045652873261934</v>
      </c>
      <c r="AJ403" s="422">
        <f t="shared" si="687"/>
        <v>7.9963214406823413E-2</v>
      </c>
      <c r="AK403" s="419">
        <f t="shared" ref="AK403:AK405" si="688">AK400/AF400-1</f>
        <v>7.8934056434090794E-2</v>
      </c>
      <c r="AL403" s="419">
        <f t="shared" ref="AL403:AL405" si="689">AL400/AG400-1</f>
        <v>8.3773133484102313E-2</v>
      </c>
      <c r="AM403" s="419">
        <f t="shared" ref="AM403:AM405" si="690">AM400/AH400-1</f>
        <v>9.0504168311729138E-2</v>
      </c>
      <c r="AN403" s="419">
        <f t="shared" ref="AN403:AO405" si="691">AN400/AI400-1</f>
        <v>8.7193471161483904E-2</v>
      </c>
      <c r="AO403" s="422">
        <f t="shared" si="691"/>
        <v>8.5286139385605919E-2</v>
      </c>
      <c r="AP403" s="422">
        <f t="shared" ref="AP403:AQ405" si="692">AP400/AO400-1</f>
        <v>7.9136647550767769E-2</v>
      </c>
      <c r="AQ403" s="422">
        <f t="shared" si="692"/>
        <v>3.0233599685384416E-2</v>
      </c>
      <c r="AR403" s="193"/>
      <c r="AS403" s="543" t="str">
        <f t="shared" si="672"/>
        <v>% growth, y/y (US)</v>
      </c>
      <c r="AT403" s="238">
        <f t="shared" si="673"/>
        <v>0</v>
      </c>
      <c r="AU403" s="238">
        <f t="shared" si="673"/>
        <v>8.3357945747679851E-2</v>
      </c>
      <c r="AV403" s="238">
        <f t="shared" si="674"/>
        <v>8.4665790055673984E-2</v>
      </c>
      <c r="AW403" s="238">
        <f t="shared" si="675"/>
        <v>9.2375852736293451E-2</v>
      </c>
      <c r="AX403" s="238">
        <f t="shared" si="676"/>
        <v>0.13601614760891856</v>
      </c>
      <c r="AY403" s="238">
        <f t="shared" si="677"/>
        <v>0.11431049492325962</v>
      </c>
      <c r="AZ403" s="238">
        <f t="shared" si="678"/>
        <v>5.9198030031487825E-2</v>
      </c>
      <c r="BA403" s="238">
        <f t="shared" si="679"/>
        <v>7.9963214406823413E-2</v>
      </c>
      <c r="BB403" s="238">
        <f t="shared" si="680"/>
        <v>8.5286139385605919E-2</v>
      </c>
      <c r="BC403" s="238">
        <f t="shared" si="680"/>
        <v>7.9136647550767769E-2</v>
      </c>
      <c r="BD403" s="789">
        <f t="shared" si="680"/>
        <v>3.0233599685384416E-2</v>
      </c>
      <c r="BF403" s="900"/>
      <c r="BM403" s="902"/>
      <c r="BN403" s="902"/>
      <c r="BO403" s="902"/>
      <c r="BP403" s="902"/>
      <c r="BQ403" s="902"/>
      <c r="BR403" s="902"/>
      <c r="BS403" s="902"/>
    </row>
    <row r="404" spans="1:71" ht="12.75" customHeight="1">
      <c r="A404" s="490" t="s">
        <v>1256</v>
      </c>
      <c r="B404" s="200"/>
      <c r="C404" s="200"/>
      <c r="D404" s="200"/>
      <c r="E404" s="200"/>
      <c r="F404" s="143">
        <f>F401/E401-1</f>
        <v>0.19208813157988924</v>
      </c>
      <c r="G404" s="239"/>
      <c r="H404" s="239"/>
      <c r="I404" s="239"/>
      <c r="J404" s="239"/>
      <c r="K404" s="422">
        <f t="shared" si="684"/>
        <v>4.494835048489576E-2</v>
      </c>
      <c r="L404" s="419">
        <f t="shared" si="684"/>
        <v>5.5281295867802172E-2</v>
      </c>
      <c r="M404" s="419">
        <f t="shared" si="684"/>
        <v>0.11939940726385045</v>
      </c>
      <c r="N404" s="419">
        <f t="shared" si="684"/>
        <v>0.11744820638710496</v>
      </c>
      <c r="O404" s="419">
        <f t="shared" si="684"/>
        <v>0.17737168227081801</v>
      </c>
      <c r="P404" s="422">
        <f t="shared" si="684"/>
        <v>0.11862744894672184</v>
      </c>
      <c r="Q404" s="419">
        <f t="shared" si="684"/>
        <v>0.17442371675410273</v>
      </c>
      <c r="R404" s="419">
        <f t="shared" si="684"/>
        <v>0.15195941491527276</v>
      </c>
      <c r="S404" s="419">
        <f t="shared" si="684"/>
        <v>0.20601981635361444</v>
      </c>
      <c r="T404" s="419">
        <f t="shared" si="684"/>
        <v>0.22559081042508744</v>
      </c>
      <c r="U404" s="422">
        <f t="shared" si="684"/>
        <v>0.19039776638583339</v>
      </c>
      <c r="V404" s="419">
        <f t="shared" si="685"/>
        <v>0.15508462303213544</v>
      </c>
      <c r="W404" s="419">
        <f t="shared" si="685"/>
        <v>0.20059609858526639</v>
      </c>
      <c r="X404" s="419">
        <f t="shared" si="685"/>
        <v>0.25788548450540727</v>
      </c>
      <c r="Y404" s="419">
        <f t="shared" si="685"/>
        <v>0.18643193834689487</v>
      </c>
      <c r="Z404" s="422">
        <f t="shared" si="685"/>
        <v>0.20291875527814196</v>
      </c>
      <c r="AA404" s="419">
        <f t="shared" si="686"/>
        <v>0.27159853353037611</v>
      </c>
      <c r="AB404" s="419">
        <f t="shared" si="686"/>
        <v>0.21724608324766637</v>
      </c>
      <c r="AC404" s="419">
        <f t="shared" si="686"/>
        <v>0.15760004025496954</v>
      </c>
      <c r="AD404" s="419">
        <f t="shared" si="687"/>
        <v>0.14962869580349603</v>
      </c>
      <c r="AE404" s="422">
        <f t="shared" si="687"/>
        <v>0.19340067807837902</v>
      </c>
      <c r="AF404" s="419">
        <f t="shared" si="687"/>
        <v>-0.12023602472997597</v>
      </c>
      <c r="AG404" s="419">
        <f t="shared" si="687"/>
        <v>-6.5696440318760985E-2</v>
      </c>
      <c r="AH404" s="419">
        <f t="shared" si="687"/>
        <v>-3.0232661021166729E-3</v>
      </c>
      <c r="AI404" s="419">
        <f t="shared" si="687"/>
        <v>2.4017093908864418E-2</v>
      </c>
      <c r="AJ404" s="422">
        <f t="shared" si="687"/>
        <v>-3.7342031005277443E-2</v>
      </c>
      <c r="AK404" s="419">
        <f t="shared" si="688"/>
        <v>0.20992378715622717</v>
      </c>
      <c r="AL404" s="419">
        <f t="shared" si="689"/>
        <v>0.19361352391854303</v>
      </c>
      <c r="AM404" s="419">
        <f t="shared" si="690"/>
        <v>0.12760761920144881</v>
      </c>
      <c r="AN404" s="419">
        <f t="shared" si="691"/>
        <v>9.0842881063078362E-2</v>
      </c>
      <c r="AO404" s="422">
        <f t="shared" si="691"/>
        <v>0.15018658454227896</v>
      </c>
      <c r="AP404" s="422">
        <f t="shared" si="692"/>
        <v>7.1548488602768412E-2</v>
      </c>
      <c r="AQ404" s="422">
        <f t="shared" si="692"/>
        <v>2.6286864705685975E-2</v>
      </c>
      <c r="AR404" s="193"/>
      <c r="AS404" s="543" t="str">
        <f t="shared" si="672"/>
        <v>% growth, y/y (Int'l)</v>
      </c>
      <c r="AT404" s="238">
        <f t="shared" si="673"/>
        <v>0</v>
      </c>
      <c r="AU404" s="238">
        <f t="shared" si="673"/>
        <v>0.19208813157988924</v>
      </c>
      <c r="AV404" s="238">
        <f t="shared" si="674"/>
        <v>4.494835048489576E-2</v>
      </c>
      <c r="AW404" s="238">
        <f t="shared" si="675"/>
        <v>0.11862744894672184</v>
      </c>
      <c r="AX404" s="238">
        <f t="shared" si="676"/>
        <v>0.19039776638583339</v>
      </c>
      <c r="AY404" s="238">
        <f t="shared" si="677"/>
        <v>0.20291875527814196</v>
      </c>
      <c r="AZ404" s="238">
        <f t="shared" si="678"/>
        <v>0.19340067807837902</v>
      </c>
      <c r="BA404" s="238">
        <f t="shared" si="679"/>
        <v>-3.7342031005277443E-2</v>
      </c>
      <c r="BB404" s="238">
        <f t="shared" si="680"/>
        <v>0.15018658454227896</v>
      </c>
      <c r="BC404" s="238">
        <f t="shared" si="680"/>
        <v>7.1548488602768412E-2</v>
      </c>
      <c r="BD404" s="789">
        <f t="shared" si="680"/>
        <v>2.6286864705685975E-2</v>
      </c>
      <c r="BF404" s="900"/>
      <c r="BM404" s="902"/>
      <c r="BN404" s="902"/>
      <c r="BO404" s="902"/>
      <c r="BP404" s="902"/>
      <c r="BQ404" s="902"/>
      <c r="BR404" s="902"/>
      <c r="BS404" s="902"/>
    </row>
    <row r="405" spans="1:71" ht="12.75" customHeight="1">
      <c r="A405" s="490" t="s">
        <v>1257</v>
      </c>
      <c r="B405" s="200"/>
      <c r="C405" s="200"/>
      <c r="D405" s="200"/>
      <c r="E405" s="200"/>
      <c r="F405" s="143">
        <f>F402/E402-1</f>
        <v>9.3470167397611936E-2</v>
      </c>
      <c r="G405" s="239"/>
      <c r="H405" s="239"/>
      <c r="I405" s="239"/>
      <c r="J405" s="239"/>
      <c r="K405" s="422">
        <f t="shared" si="684"/>
        <v>8.0638813337324811E-2</v>
      </c>
      <c r="L405" s="419">
        <f t="shared" si="684"/>
        <v>8.0172803518428593E-2</v>
      </c>
      <c r="M405" s="419">
        <f t="shared" si="684"/>
        <v>0.10119355513933859</v>
      </c>
      <c r="N405" s="419">
        <f t="shared" si="684"/>
        <v>0.10306676832183803</v>
      </c>
      <c r="O405" s="419">
        <f t="shared" si="684"/>
        <v>9.8671541003767071E-2</v>
      </c>
      <c r="P405" s="422">
        <f t="shared" si="684"/>
        <v>9.494961158973414E-2</v>
      </c>
      <c r="Q405" s="419">
        <f t="shared" si="684"/>
        <v>0.11146092411201081</v>
      </c>
      <c r="R405" s="419">
        <f t="shared" si="684"/>
        <v>0.13004574902725086</v>
      </c>
      <c r="S405" s="419">
        <f t="shared" si="684"/>
        <v>0.15438703972475665</v>
      </c>
      <c r="T405" s="419">
        <f t="shared" si="684"/>
        <v>0.13208364492547142</v>
      </c>
      <c r="U405" s="422">
        <f t="shared" si="684"/>
        <v>0.14146312543231709</v>
      </c>
      <c r="V405" s="419">
        <f t="shared" si="685"/>
        <v>0.12544262749409896</v>
      </c>
      <c r="W405" s="419">
        <f t="shared" si="685"/>
        <v>0.12351301377305779</v>
      </c>
      <c r="X405" s="419">
        <f t="shared" si="685"/>
        <v>0.12753660323315641</v>
      </c>
      <c r="Y405" s="419">
        <f t="shared" si="685"/>
        <v>0.10973434934533466</v>
      </c>
      <c r="Z405" s="422">
        <f t="shared" si="685"/>
        <v>0.12356616580118596</v>
      </c>
      <c r="AA405" s="419">
        <f t="shared" si="686"/>
        <v>0.11082512899043695</v>
      </c>
      <c r="AB405" s="419">
        <f t="shared" si="686"/>
        <v>0.10152881053537377</v>
      </c>
      <c r="AC405" s="419">
        <f t="shared" si="686"/>
        <v>8.5008382439208496E-2</v>
      </c>
      <c r="AD405" s="419">
        <f t="shared" si="687"/>
        <v>8.601886347044041E-2</v>
      </c>
      <c r="AE405" s="422">
        <f t="shared" si="687"/>
        <v>7.4206361811100185E-2</v>
      </c>
      <c r="AF405" s="419">
        <f t="shared" si="687"/>
        <v>5.6296040802233049E-2</v>
      </c>
      <c r="AG405" s="419">
        <f t="shared" si="687"/>
        <v>6.0530089301137124E-2</v>
      </c>
      <c r="AH405" s="419">
        <f t="shared" si="687"/>
        <v>5.6131583625032677E-2</v>
      </c>
      <c r="AI405" s="419">
        <f t="shared" si="687"/>
        <v>9.0255523500003987E-2</v>
      </c>
      <c r="AJ405" s="422">
        <f t="shared" si="687"/>
        <v>6.538892701608523E-2</v>
      </c>
      <c r="AK405" s="419">
        <f t="shared" si="688"/>
        <v>9.1915763853981591E-2</v>
      </c>
      <c r="AL405" s="419">
        <f t="shared" si="689"/>
        <v>9.5163821547037619E-2</v>
      </c>
      <c r="AM405" s="419">
        <f t="shared" si="690"/>
        <v>9.4954160119436137E-2</v>
      </c>
      <c r="AN405" s="419">
        <f t="shared" si="691"/>
        <v>8.7650903706150141E-2</v>
      </c>
      <c r="AO405" s="422">
        <f t="shared" si="691"/>
        <v>9.2572009151455026E-2</v>
      </c>
      <c r="AP405" s="422">
        <f t="shared" si="692"/>
        <v>7.8239862468040267E-2</v>
      </c>
      <c r="AQ405" s="422">
        <f t="shared" si="692"/>
        <v>2.9770060593756531E-2</v>
      </c>
      <c r="AR405" s="193"/>
      <c r="AS405" s="543" t="str">
        <f t="shared" si="672"/>
        <v>% growth, y/y (Total)</v>
      </c>
      <c r="AT405" s="238">
        <f t="shared" si="673"/>
        <v>0</v>
      </c>
      <c r="AU405" s="238">
        <f t="shared" si="673"/>
        <v>9.3470167397611936E-2</v>
      </c>
      <c r="AV405" s="238">
        <f t="shared" si="674"/>
        <v>8.0638813337324811E-2</v>
      </c>
      <c r="AW405" s="238">
        <f t="shared" si="675"/>
        <v>9.494961158973414E-2</v>
      </c>
      <c r="AX405" s="238">
        <f t="shared" si="676"/>
        <v>0.14146312543231709</v>
      </c>
      <c r="AY405" s="238">
        <f t="shared" si="677"/>
        <v>0.12356616580118596</v>
      </c>
      <c r="AZ405" s="238">
        <f t="shared" si="678"/>
        <v>7.4206361811100185E-2</v>
      </c>
      <c r="BA405" s="238">
        <f t="shared" si="679"/>
        <v>6.538892701608523E-2</v>
      </c>
      <c r="BB405" s="238">
        <f t="shared" si="680"/>
        <v>9.2572009151455026E-2</v>
      </c>
      <c r="BC405" s="238">
        <f t="shared" si="680"/>
        <v>7.8239862468040267E-2</v>
      </c>
      <c r="BD405" s="789">
        <f t="shared" si="680"/>
        <v>2.9770060593756531E-2</v>
      </c>
      <c r="BF405" s="900"/>
      <c r="BM405" s="902"/>
      <c r="BN405" s="902"/>
      <c r="BO405" s="902"/>
      <c r="BP405" s="902"/>
      <c r="BQ405" s="902"/>
      <c r="BR405" s="902"/>
      <c r="BS405" s="902"/>
    </row>
    <row r="406" spans="1:71" ht="12.75" customHeight="1">
      <c r="A406" s="497"/>
      <c r="B406" s="364"/>
      <c r="C406" s="364"/>
      <c r="D406" s="364"/>
      <c r="E406" s="364"/>
      <c r="F406" s="364"/>
      <c r="G406" s="134"/>
      <c r="H406" s="134"/>
      <c r="I406" s="677"/>
      <c r="J406" s="677"/>
      <c r="K406" s="654"/>
      <c r="L406" s="704"/>
      <c r="M406" s="677"/>
      <c r="N406" s="677"/>
      <c r="O406" s="677"/>
      <c r="P406" s="678"/>
      <c r="Q406" s="677"/>
      <c r="R406" s="677"/>
      <c r="S406" s="677"/>
      <c r="T406" s="677"/>
      <c r="U406" s="678"/>
      <c r="V406" s="677"/>
      <c r="W406" s="677"/>
      <c r="X406" s="677"/>
      <c r="Y406" s="677"/>
      <c r="Z406" s="678"/>
      <c r="AA406" s="2534"/>
      <c r="AB406" s="677"/>
      <c r="AC406" s="677"/>
      <c r="AD406" s="2535"/>
      <c r="AE406" s="678"/>
      <c r="AF406" s="677"/>
      <c r="AG406" s="677"/>
      <c r="AH406" s="677"/>
      <c r="AI406" s="2535"/>
      <c r="AJ406" s="678"/>
      <c r="AK406" s="677"/>
      <c r="AL406" s="677"/>
      <c r="AM406" s="677"/>
      <c r="AN406" s="2535"/>
      <c r="AO406" s="678"/>
      <c r="AP406" s="678"/>
      <c r="AQ406" s="678"/>
      <c r="AR406" s="193"/>
      <c r="AS406" s="497"/>
      <c r="AT406" s="414"/>
      <c r="AU406" s="414"/>
      <c r="AV406" s="414"/>
      <c r="AW406" s="414"/>
      <c r="AX406" s="993"/>
      <c r="AY406" s="993"/>
      <c r="AZ406" s="993"/>
      <c r="BA406" s="993"/>
      <c r="BB406" s="993"/>
      <c r="BC406" s="993"/>
      <c r="BD406" s="994"/>
      <c r="BF406" s="900"/>
      <c r="BM406" s="902"/>
      <c r="BN406" s="902"/>
      <c r="BO406" s="902"/>
      <c r="BP406" s="902"/>
      <c r="BQ406" s="902"/>
      <c r="BR406" s="902"/>
      <c r="BS406" s="902"/>
    </row>
    <row r="407" spans="1:71" ht="12.75" customHeight="1">
      <c r="A407" s="341" t="s">
        <v>1364</v>
      </c>
      <c r="B407" s="1367"/>
      <c r="C407" s="1367"/>
      <c r="D407" s="1367"/>
      <c r="E407" s="1367">
        <v>585</v>
      </c>
      <c r="F407" s="1367">
        <v>671</v>
      </c>
      <c r="G407" s="1368">
        <v>167</v>
      </c>
      <c r="H407" s="1368">
        <v>197</v>
      </c>
      <c r="I407" s="1368">
        <v>204</v>
      </c>
      <c r="J407" s="1368">
        <v>181</v>
      </c>
      <c r="K407" s="1369">
        <f>+SUM(G407:J407)</f>
        <v>749</v>
      </c>
      <c r="L407" s="1370">
        <v>180</v>
      </c>
      <c r="M407" s="1371">
        <v>215</v>
      </c>
      <c r="N407" s="1371">
        <v>228</v>
      </c>
      <c r="O407" s="1371">
        <v>206</v>
      </c>
      <c r="P407" s="1372">
        <f>SUM(L407:O407)</f>
        <v>829</v>
      </c>
      <c r="Q407" s="1370">
        <v>211</v>
      </c>
      <c r="R407" s="1371">
        <v>247</v>
      </c>
      <c r="S407" s="1371">
        <v>264</v>
      </c>
      <c r="T407" s="1371">
        <v>249</v>
      </c>
      <c r="U407" s="1372">
        <f>SUM(Q407:T407)</f>
        <v>971</v>
      </c>
      <c r="V407" s="1370">
        <v>265</v>
      </c>
      <c r="W407" s="1371">
        <v>300</v>
      </c>
      <c r="X407" s="1371">
        <v>310</v>
      </c>
      <c r="Y407" s="1371">
        <v>290</v>
      </c>
      <c r="Z407" s="1372">
        <f>SUM(V407:Y407)</f>
        <v>1165</v>
      </c>
      <c r="AA407" s="2786">
        <v>273</v>
      </c>
      <c r="AB407" s="2785">
        <v>332</v>
      </c>
      <c r="AC407" s="2785">
        <v>336</v>
      </c>
      <c r="AD407" s="1371">
        <v>296</v>
      </c>
      <c r="AE407" s="1372">
        <f>SUM(AA407:AD407)</f>
        <v>1237</v>
      </c>
      <c r="AF407" s="3656">
        <v>294</v>
      </c>
      <c r="AG407" s="3656">
        <v>372</v>
      </c>
      <c r="AH407" s="3656">
        <v>373</v>
      </c>
      <c r="AI407" s="3656">
        <v>343</v>
      </c>
      <c r="AJ407" s="1372">
        <f>SUM(AF407:AI407)</f>
        <v>1382</v>
      </c>
      <c r="AK407" s="3947">
        <f t="shared" ref="AK407:AN407" si="693">AK402*AK409</f>
        <v>311.14740268582921</v>
      </c>
      <c r="AL407" s="3948">
        <f t="shared" si="693"/>
        <v>392.66143432847514</v>
      </c>
      <c r="AM407" s="3948">
        <f t="shared" si="693"/>
        <v>395.8993880762078</v>
      </c>
      <c r="AN407" s="2532">
        <f t="shared" si="693"/>
        <v>358.05215731550021</v>
      </c>
      <c r="AO407" s="1372">
        <f>SUM(AK407:AN407)</f>
        <v>1457.7603824060122</v>
      </c>
      <c r="AP407" s="1372">
        <f>AP402*AP409</f>
        <v>1586.0179261951123</v>
      </c>
      <c r="AQ407" s="1372">
        <f>AQ402*AQ409</f>
        <v>1647.8591593468063</v>
      </c>
      <c r="AR407" s="329"/>
      <c r="AS407" s="276" t="str">
        <f>+A407</f>
        <v>Franchise Fees</v>
      </c>
      <c r="AT407" s="498">
        <f>+E407</f>
        <v>585</v>
      </c>
      <c r="AU407" s="498">
        <f>+F407</f>
        <v>671</v>
      </c>
      <c r="AV407" s="498">
        <f>+K407</f>
        <v>749</v>
      </c>
      <c r="AW407" s="498">
        <f>+P407</f>
        <v>829</v>
      </c>
      <c r="AX407" s="498">
        <f>+U407</f>
        <v>971</v>
      </c>
      <c r="AY407" s="498">
        <f>+Z407</f>
        <v>1165</v>
      </c>
      <c r="AZ407" s="498">
        <f>+AE407</f>
        <v>1237</v>
      </c>
      <c r="BA407" s="498">
        <f>+AJ407</f>
        <v>1382</v>
      </c>
      <c r="BB407" s="498">
        <f t="shared" ref="BB407:BD409" si="694">+AO407</f>
        <v>1457.7603824060122</v>
      </c>
      <c r="BC407" s="498">
        <f t="shared" si="694"/>
        <v>1586.0179261951123</v>
      </c>
      <c r="BD407" s="883">
        <f t="shared" si="694"/>
        <v>1647.8591593468063</v>
      </c>
      <c r="BF407" s="900"/>
      <c r="BM407" s="902"/>
      <c r="BN407" s="902"/>
      <c r="BO407" s="902"/>
      <c r="BP407" s="931"/>
      <c r="BQ407" s="3991"/>
      <c r="BR407" s="902"/>
      <c r="BS407" s="902"/>
    </row>
    <row r="408" spans="1:71" s="122" customFormat="1" ht="12.75" customHeight="1">
      <c r="A408" s="490" t="s">
        <v>2309</v>
      </c>
      <c r="B408" s="680"/>
      <c r="C408" s="680"/>
      <c r="D408" s="680"/>
      <c r="E408" s="680"/>
      <c r="F408" s="680">
        <f>+F407/E407-1</f>
        <v>0.14700854700854693</v>
      </c>
      <c r="G408" s="419"/>
      <c r="H408" s="419"/>
      <c r="I408" s="419"/>
      <c r="J408" s="419"/>
      <c r="K408" s="680">
        <f t="shared" ref="K408:V408" si="695">+K407/F407-1</f>
        <v>0.11624441132637853</v>
      </c>
      <c r="L408" s="419">
        <f t="shared" si="695"/>
        <v>7.7844311377245567E-2</v>
      </c>
      <c r="M408" s="419">
        <f t="shared" si="695"/>
        <v>9.137055837563457E-2</v>
      </c>
      <c r="N408" s="419">
        <f t="shared" si="695"/>
        <v>0.11764705882352944</v>
      </c>
      <c r="O408" s="419">
        <f t="shared" si="695"/>
        <v>0.13812154696132595</v>
      </c>
      <c r="P408" s="422">
        <f t="shared" si="695"/>
        <v>0.10680907877169554</v>
      </c>
      <c r="Q408" s="419">
        <f t="shared" si="695"/>
        <v>0.17222222222222228</v>
      </c>
      <c r="R408" s="419">
        <f t="shared" si="695"/>
        <v>0.14883720930232558</v>
      </c>
      <c r="S408" s="419">
        <f t="shared" si="695"/>
        <v>0.15789473684210531</v>
      </c>
      <c r="T408" s="419">
        <f t="shared" si="695"/>
        <v>0.20873786407766981</v>
      </c>
      <c r="U408" s="422">
        <f t="shared" si="695"/>
        <v>0.17129071170084442</v>
      </c>
      <c r="V408" s="419">
        <f t="shared" si="695"/>
        <v>0.25592417061611372</v>
      </c>
      <c r="W408" s="419">
        <f t="shared" ref="W408:AC408" si="696">+W407/R407-1</f>
        <v>0.21457489878542502</v>
      </c>
      <c r="X408" s="419">
        <f t="shared" si="696"/>
        <v>0.17424242424242431</v>
      </c>
      <c r="Y408" s="419">
        <f t="shared" si="696"/>
        <v>0.16465863453815266</v>
      </c>
      <c r="Z408" s="422">
        <f t="shared" si="696"/>
        <v>0.19979402677651903</v>
      </c>
      <c r="AA408" s="2518">
        <f t="shared" si="696"/>
        <v>3.0188679245283012E-2</v>
      </c>
      <c r="AB408" s="419">
        <f t="shared" si="696"/>
        <v>0.10666666666666669</v>
      </c>
      <c r="AC408" s="419">
        <f t="shared" si="696"/>
        <v>8.3870967741935587E-2</v>
      </c>
      <c r="AD408" s="876">
        <f>+AD407/Y407-1</f>
        <v>2.0689655172413834E-2</v>
      </c>
      <c r="AE408" s="680">
        <f>+AE407/Z407-1</f>
        <v>6.1802575107296143E-2</v>
      </c>
      <c r="AF408" s="3893">
        <f>+AF407/AA417-1</f>
        <v>8.4870848708487046E-2</v>
      </c>
      <c r="AG408" s="3657">
        <f>+AG407/AB417-1</f>
        <v>0.11711711711711703</v>
      </c>
      <c r="AH408" s="3608">
        <f>+AH407/AC417-1</f>
        <v>0.11676646706586835</v>
      </c>
      <c r="AI408" s="3608">
        <f>+AI407/AD417-1</f>
        <v>0.15878378378378377</v>
      </c>
      <c r="AJ408" s="3609">
        <f>+AJ407/AE417-1</f>
        <v>0.11993517017828204</v>
      </c>
      <c r="AK408" s="4110">
        <f>+AK407/AF414-1</f>
        <v>0.10335958399230205</v>
      </c>
      <c r="AL408" s="4112">
        <f t="shared" ref="AL408:AN408" si="697">+AL407/AG414-1</f>
        <v>0.1060885474041553</v>
      </c>
      <c r="AM408" s="4112">
        <f t="shared" si="697"/>
        <v>0.10586421250337374</v>
      </c>
      <c r="AN408" s="4111">
        <f t="shared" si="697"/>
        <v>9.8319500967791962E-2</v>
      </c>
      <c r="AO408" s="422">
        <f t="shared" ref="AO408" si="698">+AO407/AJ414-1</f>
        <v>0.10352792006511136</v>
      </c>
      <c r="AP408" s="422">
        <f>+AP407/AO414-1</f>
        <v>8.7982596685343362E-2</v>
      </c>
      <c r="AQ408" s="1094">
        <f>+AQ407/AP414-1</f>
        <v>3.8991509572689598E-2</v>
      </c>
      <c r="AR408" s="330"/>
      <c r="AS408" s="490" t="str">
        <f>+A408</f>
        <v>% growth, y/y</v>
      </c>
      <c r="AT408" s="419"/>
      <c r="AU408" s="419">
        <f>+F408</f>
        <v>0.14700854700854693</v>
      </c>
      <c r="AV408" s="419">
        <f>+K408</f>
        <v>0.11624441132637853</v>
      </c>
      <c r="AW408" s="419">
        <f>+P408</f>
        <v>0.10680907877169554</v>
      </c>
      <c r="AX408" s="419">
        <f>+U408</f>
        <v>0.17129071170084442</v>
      </c>
      <c r="AY408" s="419">
        <f>+Z408</f>
        <v>0.19979402677651903</v>
      </c>
      <c r="AZ408" s="419">
        <f>+AE408</f>
        <v>6.1802575107296143E-2</v>
      </c>
      <c r="BA408" s="419">
        <f>+AJ408</f>
        <v>0.11993517017828204</v>
      </c>
      <c r="BB408" s="419">
        <f t="shared" si="694"/>
        <v>0.10352792006511136</v>
      </c>
      <c r="BC408" s="419">
        <f t="shared" si="694"/>
        <v>8.7982596685343362E-2</v>
      </c>
      <c r="BD408" s="876">
        <f t="shared" si="694"/>
        <v>3.8991509572689598E-2</v>
      </c>
      <c r="BE408" s="14"/>
      <c r="BF408" s="900"/>
      <c r="BG408"/>
      <c r="BH408"/>
      <c r="BI408"/>
      <c r="BJ408"/>
      <c r="BK408"/>
      <c r="BL408"/>
      <c r="BM408" s="902"/>
      <c r="BN408" s="902"/>
      <c r="BO408" s="902"/>
      <c r="BP408" s="902"/>
      <c r="BQ408" s="902"/>
      <c r="BR408" s="902"/>
      <c r="BS408" s="902"/>
    </row>
    <row r="409" spans="1:71" s="1708" customFormat="1" ht="12.75" customHeight="1">
      <c r="A409" s="489" t="s">
        <v>570</v>
      </c>
      <c r="B409" s="2578"/>
      <c r="C409" s="2578"/>
      <c r="D409" s="2578"/>
      <c r="E409" s="2578">
        <f>E407/E402</f>
        <v>4.6074687506513702E-2</v>
      </c>
      <c r="F409" s="2578">
        <f t="shared" ref="F409:P409" si="699">F407/F402</f>
        <v>4.8330591859212853E-2</v>
      </c>
      <c r="G409" s="1706">
        <f t="shared" si="699"/>
        <v>4.927087900488434E-2</v>
      </c>
      <c r="H409" s="1706">
        <f t="shared" si="699"/>
        <v>4.9971887438921864E-2</v>
      </c>
      <c r="I409" s="1706">
        <f t="shared" si="699"/>
        <v>5.17504283353796E-2</v>
      </c>
      <c r="J409" s="1706">
        <f t="shared" si="699"/>
        <v>5.0878810924757378E-2</v>
      </c>
      <c r="K409" s="2578">
        <f t="shared" si="699"/>
        <v>4.9923019970320316E-2</v>
      </c>
      <c r="L409" s="1706">
        <f t="shared" si="699"/>
        <v>4.9164667430052648E-2</v>
      </c>
      <c r="M409" s="1706">
        <f t="shared" si="699"/>
        <v>4.9526122308625034E-2</v>
      </c>
      <c r="N409" s="1706">
        <f t="shared" si="699"/>
        <v>5.2434463337054725E-2</v>
      </c>
      <c r="O409" s="1706">
        <f t="shared" si="699"/>
        <v>5.2705716709776078E-2</v>
      </c>
      <c r="P409" s="2578">
        <f t="shared" si="699"/>
        <v>5.0463739297215031E-2</v>
      </c>
      <c r="Q409" s="1706">
        <f t="shared" ref="Q409:W409" si="700">Q407/Q402</f>
        <v>5.1852399359624088E-2</v>
      </c>
      <c r="R409" s="1706">
        <f t="shared" si="700"/>
        <v>5.0349689107351665E-2</v>
      </c>
      <c r="S409" s="1706">
        <f t="shared" si="700"/>
        <v>5.2593789637132522E-2</v>
      </c>
      <c r="T409" s="1706">
        <f t="shared" si="700"/>
        <v>5.627445968857854E-2</v>
      </c>
      <c r="U409" s="2578">
        <f t="shared" si="700"/>
        <v>5.178240785845311E-2</v>
      </c>
      <c r="V409" s="1706">
        <f t="shared" si="700"/>
        <v>5.7864061720492146E-2</v>
      </c>
      <c r="W409" s="1706">
        <f t="shared" si="700"/>
        <v>5.4430583181292701E-2</v>
      </c>
      <c r="X409" s="1706">
        <f t="shared" ref="X409:AD409" si="701">X407/X402</f>
        <v>5.4772376228421259E-2</v>
      </c>
      <c r="Y409" s="1706">
        <f t="shared" si="701"/>
        <v>5.9059661818106741E-2</v>
      </c>
      <c r="Z409" s="2578">
        <f t="shared" si="701"/>
        <v>5.5295562942103624E-2</v>
      </c>
      <c r="AA409" s="1706">
        <f t="shared" si="701"/>
        <v>5.3663623340766652E-2</v>
      </c>
      <c r="AB409" s="1706">
        <f t="shared" si="701"/>
        <v>5.4684463518196398E-2</v>
      </c>
      <c r="AC409" s="1706">
        <f t="shared" si="701"/>
        <v>5.4714958325725691E-2</v>
      </c>
      <c r="AD409" s="1706">
        <f t="shared" si="701"/>
        <v>5.5506941806783359E-2</v>
      </c>
      <c r="AE409" s="2578">
        <f>AE407/AE402</f>
        <v>5.4657068894047305E-2</v>
      </c>
      <c r="AF409" s="1706">
        <f t="shared" ref="AF409:AI409" si="702">AF407/AF402</f>
        <v>5.4711550677675615E-2</v>
      </c>
      <c r="AG409" s="1706">
        <f t="shared" si="702"/>
        <v>5.7775779977236978E-2</v>
      </c>
      <c r="AH409" s="1706">
        <f t="shared" si="702"/>
        <v>5.7511884284899444E-2</v>
      </c>
      <c r="AI409" s="1706">
        <f t="shared" si="702"/>
        <v>5.8995843329135385E-2</v>
      </c>
      <c r="AJ409" s="2578">
        <f>AJ407/AJ402</f>
        <v>5.7316082972372825E-2</v>
      </c>
      <c r="AK409" s="3646">
        <f>+AF415+0.00055</f>
        <v>5.3028426160219466E-2</v>
      </c>
      <c r="AL409" s="3646">
        <f t="shared" ref="AL409:AN409" si="703">+AG415+0.00055</f>
        <v>5.5685488956771854E-2</v>
      </c>
      <c r="AM409" s="3646">
        <f t="shared" si="703"/>
        <v>5.5749073924916896E-2</v>
      </c>
      <c r="AN409" s="3646">
        <f t="shared" si="703"/>
        <v>5.6621851094163664E-2</v>
      </c>
      <c r="AO409" s="2578">
        <f>AO407/AO402</f>
        <v>5.5335588471309309E-2</v>
      </c>
      <c r="AP409" s="1378">
        <f>AO415+0.0005</f>
        <v>5.583558847130931E-2</v>
      </c>
      <c r="AQ409" s="1378">
        <f>AP415+0.0005</f>
        <v>5.633558847130931E-2</v>
      </c>
      <c r="AR409" s="1706"/>
      <c r="AS409" s="1704" t="str">
        <f>+A409</f>
        <v>% of Franchised revs</v>
      </c>
      <c r="AT409" s="1705">
        <f>+E409</f>
        <v>4.6074687506513702E-2</v>
      </c>
      <c r="AU409" s="1705">
        <f>+F409</f>
        <v>4.8330591859212853E-2</v>
      </c>
      <c r="AV409" s="1705">
        <f>+K409</f>
        <v>4.9923019970320316E-2</v>
      </c>
      <c r="AW409" s="1705">
        <f>+P409</f>
        <v>5.0463739297215031E-2</v>
      </c>
      <c r="AX409" s="1705">
        <f>+U409</f>
        <v>5.178240785845311E-2</v>
      </c>
      <c r="AY409" s="1705">
        <f>+Z409</f>
        <v>5.5295562942103624E-2</v>
      </c>
      <c r="AZ409" s="1705">
        <f>+AE409</f>
        <v>5.4657068894047305E-2</v>
      </c>
      <c r="BA409" s="1705">
        <f>+AJ409</f>
        <v>5.7316082972372825E-2</v>
      </c>
      <c r="BB409" s="1705">
        <f t="shared" si="694"/>
        <v>5.5335588471309309E-2</v>
      </c>
      <c r="BC409" s="1705">
        <f t="shared" si="694"/>
        <v>5.583558847130931E-2</v>
      </c>
      <c r="BD409" s="1707">
        <f t="shared" si="694"/>
        <v>5.633558847130931E-2</v>
      </c>
      <c r="BE409" s="14"/>
      <c r="BF409" s="1709"/>
      <c r="BG409"/>
      <c r="BH409"/>
      <c r="BI409"/>
      <c r="BJ409"/>
      <c r="BK409"/>
      <c r="BL409"/>
      <c r="BM409" s="1709"/>
      <c r="BN409" s="1709"/>
      <c r="BO409" s="1709"/>
      <c r="BP409" s="1709"/>
      <c r="BQ409" s="1709"/>
      <c r="BR409" s="1709"/>
      <c r="BS409" s="1709"/>
    </row>
    <row r="410" spans="1:71" ht="12.75" hidden="1" customHeight="1" outlineLevel="1">
      <c r="A410" s="489" t="s">
        <v>1420</v>
      </c>
      <c r="B410" s="194"/>
      <c r="C410" s="194"/>
      <c r="D410" s="194"/>
      <c r="E410" s="1356"/>
      <c r="F410" s="1680"/>
      <c r="G410" s="194"/>
      <c r="H410" s="194"/>
      <c r="I410" s="194"/>
      <c r="J410" s="1356"/>
      <c r="K410" s="1680"/>
      <c r="L410" s="194"/>
      <c r="M410" s="194"/>
      <c r="N410" s="194"/>
      <c r="O410" s="332">
        <v>204</v>
      </c>
      <c r="P410" s="1348"/>
      <c r="Q410" s="332">
        <v>199</v>
      </c>
      <c r="R410" s="332">
        <v>242</v>
      </c>
      <c r="S410" s="332">
        <v>250</v>
      </c>
      <c r="T410" s="1349">
        <v>228</v>
      </c>
      <c r="U410" s="352">
        <f>SUM(Q410:T410)</f>
        <v>919</v>
      </c>
      <c r="V410" s="332"/>
      <c r="W410" s="332"/>
      <c r="X410" s="332"/>
      <c r="Y410" s="1349"/>
      <c r="Z410" s="352"/>
      <c r="AA410" s="2533"/>
      <c r="AB410" s="332"/>
      <c r="AC410" s="332"/>
      <c r="AD410" s="1349"/>
      <c r="AE410" s="352"/>
      <c r="AF410" s="332"/>
      <c r="AG410" s="332"/>
      <c r="AH410" s="332"/>
      <c r="AI410" s="1349"/>
      <c r="AJ410" s="352"/>
      <c r="AK410" s="332"/>
      <c r="AL410" s="332"/>
      <c r="AM410" s="332"/>
      <c r="AN410" s="1349"/>
      <c r="AO410" s="1348"/>
      <c r="AP410" s="1348"/>
      <c r="AQ410" s="131"/>
      <c r="AR410" s="194"/>
      <c r="AS410" s="258" t="str">
        <f>+A410</f>
        <v>Guidance</v>
      </c>
      <c r="AT410" s="191"/>
      <c r="AU410" s="191"/>
      <c r="AV410" s="191"/>
      <c r="AW410" s="191"/>
      <c r="AX410" s="191"/>
      <c r="AY410" s="191"/>
      <c r="AZ410" s="191"/>
      <c r="BA410" s="191"/>
      <c r="BB410" s="191"/>
      <c r="BC410" s="191"/>
      <c r="BD410" s="191"/>
      <c r="BF410" s="900"/>
      <c r="BM410" s="902"/>
      <c r="BN410" s="902"/>
      <c r="BO410" s="902"/>
      <c r="BP410" s="902"/>
      <c r="BQ410" s="902"/>
      <c r="BR410" s="902"/>
      <c r="BS410" s="902"/>
    </row>
    <row r="411" spans="1:71" ht="12.75" customHeight="1" collapsed="1">
      <c r="A411" s="489"/>
      <c r="B411" s="185"/>
      <c r="C411" s="185"/>
      <c r="D411" s="185"/>
      <c r="E411" s="1719"/>
      <c r="F411" s="1720"/>
      <c r="G411" s="185"/>
      <c r="H411" s="185"/>
      <c r="I411" s="185"/>
      <c r="J411" s="1719"/>
      <c r="K411" s="1720"/>
      <c r="L411" s="185"/>
      <c r="M411" s="185"/>
      <c r="N411" s="185"/>
      <c r="O411" s="1719"/>
      <c r="P411" s="1720"/>
      <c r="Q411" s="185"/>
      <c r="R411" s="185"/>
      <c r="S411" s="185"/>
      <c r="T411" s="1719"/>
      <c r="U411" s="354"/>
      <c r="V411" s="185"/>
      <c r="W411" s="185"/>
      <c r="X411" s="185"/>
      <c r="Y411" s="1721"/>
      <c r="Z411" s="354"/>
      <c r="AA411" s="2463"/>
      <c r="AB411" s="185"/>
      <c r="AC411" s="185"/>
      <c r="AD411" s="1721"/>
      <c r="AE411" s="2585"/>
      <c r="AF411" s="185"/>
      <c r="AG411" s="3763"/>
      <c r="AH411" s="3763"/>
      <c r="AI411" s="3764"/>
      <c r="AJ411" s="3765"/>
      <c r="AK411" s="185"/>
      <c r="AL411" s="3763"/>
      <c r="AM411" s="3763"/>
      <c r="AN411" s="3764"/>
      <c r="AO411" s="4113"/>
      <c r="AP411" s="354"/>
      <c r="AQ411" s="354"/>
      <c r="AR411" s="185"/>
      <c r="AS411" s="280"/>
      <c r="AT411" s="188"/>
      <c r="AU411" s="188"/>
      <c r="AV411" s="188"/>
      <c r="AW411" s="188"/>
      <c r="AX411" s="188"/>
      <c r="AY411" s="188"/>
      <c r="AZ411" s="188"/>
      <c r="BA411" s="188"/>
      <c r="BB411" s="188"/>
      <c r="BC411" s="188"/>
      <c r="BD411" s="188"/>
      <c r="BF411" s="900"/>
      <c r="BM411" s="902"/>
      <c r="BN411" s="902"/>
      <c r="BO411" s="902"/>
      <c r="BP411" s="902"/>
      <c r="BQ411" s="902"/>
      <c r="BR411" s="902"/>
      <c r="BS411" s="902"/>
    </row>
    <row r="412" spans="1:71" ht="12.75" customHeight="1">
      <c r="A412" s="3447" t="s">
        <v>3202</v>
      </c>
      <c r="B412" s="192"/>
      <c r="C412" s="192"/>
      <c r="D412" s="192"/>
      <c r="E412" s="192"/>
      <c r="F412" s="192"/>
      <c r="G412" s="199"/>
      <c r="H412" s="199"/>
      <c r="I412" s="133"/>
      <c r="J412" s="133"/>
      <c r="K412" s="192"/>
      <c r="L412" s="133"/>
      <c r="M412" s="133"/>
      <c r="N412" s="133"/>
      <c r="O412" s="133"/>
      <c r="P412" s="192"/>
      <c r="Q412" s="133"/>
      <c r="R412" s="133"/>
      <c r="S412" s="133"/>
      <c r="T412" s="133"/>
      <c r="U412" s="1355"/>
      <c r="V412" s="133"/>
      <c r="W412" s="133"/>
      <c r="X412" s="133"/>
      <c r="Y412" s="2749"/>
      <c r="Z412" s="1357"/>
      <c r="AA412" s="133"/>
      <c r="AB412" s="133"/>
      <c r="AC412" s="133"/>
      <c r="AD412" s="133"/>
      <c r="AE412" s="1357"/>
      <c r="AF412" s="2937">
        <v>-11</v>
      </c>
      <c r="AG412" s="2937">
        <v>-16</v>
      </c>
      <c r="AH412" s="2937">
        <v>-14</v>
      </c>
      <c r="AI412" s="2937">
        <v>-15</v>
      </c>
      <c r="AJ412" s="2586">
        <f>SUM(AF412:AI412)</f>
        <v>-56</v>
      </c>
      <c r="AK412" s="2937">
        <v>0</v>
      </c>
      <c r="AL412" s="2937">
        <v>0</v>
      </c>
      <c r="AM412" s="2937">
        <v>0</v>
      </c>
      <c r="AN412" s="2937">
        <v>0</v>
      </c>
      <c r="AO412" s="2586">
        <f>SUM(AK412:AN412)</f>
        <v>0</v>
      </c>
      <c r="AP412" s="4088">
        <v>0</v>
      </c>
      <c r="AQ412" s="4088">
        <v>0</v>
      </c>
      <c r="AR412" s="192"/>
      <c r="AS412" s="489"/>
      <c r="AT412" s="191"/>
      <c r="AU412" s="191"/>
      <c r="AV412" s="191"/>
      <c r="AW412" s="191"/>
      <c r="AX412" s="191"/>
      <c r="AY412" s="191"/>
      <c r="AZ412" s="191"/>
      <c r="BA412" s="191"/>
      <c r="BB412" s="191"/>
      <c r="BC412" s="191"/>
      <c r="BD412" s="420"/>
      <c r="BF412" s="900"/>
      <c r="BM412" s="902"/>
      <c r="BN412" s="902"/>
      <c r="BO412" s="902"/>
      <c r="BP412" s="902"/>
      <c r="BQ412" s="902"/>
      <c r="BR412" s="902"/>
      <c r="BS412" s="902"/>
    </row>
    <row r="413" spans="1:71" ht="12.75" customHeight="1">
      <c r="A413" s="3447" t="s">
        <v>3208</v>
      </c>
      <c r="B413" s="192"/>
      <c r="C413" s="192"/>
      <c r="D413" s="192"/>
      <c r="E413" s="192"/>
      <c r="F413" s="192"/>
      <c r="G413" s="199"/>
      <c r="H413" s="199"/>
      <c r="I413" s="133"/>
      <c r="J413" s="133"/>
      <c r="K413" s="192"/>
      <c r="L413" s="133"/>
      <c r="M413" s="133"/>
      <c r="N413" s="133"/>
      <c r="O413" s="133"/>
      <c r="P413" s="192"/>
      <c r="Q413" s="133"/>
      <c r="R413" s="133"/>
      <c r="S413" s="133"/>
      <c r="T413" s="133"/>
      <c r="U413" s="1355"/>
      <c r="V413" s="133"/>
      <c r="W413" s="133"/>
      <c r="X413" s="133"/>
      <c r="Y413" s="2749"/>
      <c r="Z413" s="1357"/>
      <c r="AA413" s="133"/>
      <c r="AB413" s="133"/>
      <c r="AC413" s="133"/>
      <c r="AD413" s="133"/>
      <c r="AE413" s="1357"/>
      <c r="AF413" s="2937">
        <v>-1</v>
      </c>
      <c r="AG413" s="2937">
        <v>-1</v>
      </c>
      <c r="AH413" s="2937">
        <v>-1</v>
      </c>
      <c r="AI413" s="2937">
        <v>-2</v>
      </c>
      <c r="AJ413" s="2586">
        <f>SUM(AF413:AI413)</f>
        <v>-5</v>
      </c>
      <c r="AK413" s="2937">
        <v>0</v>
      </c>
      <c r="AL413" s="2937">
        <v>0</v>
      </c>
      <c r="AM413" s="2937">
        <v>0</v>
      </c>
      <c r="AN413" s="2937">
        <v>0</v>
      </c>
      <c r="AO413" s="2586">
        <f>SUM(AK413:AN413)</f>
        <v>0</v>
      </c>
      <c r="AP413" s="4085">
        <v>0</v>
      </c>
      <c r="AQ413" s="4085">
        <v>0</v>
      </c>
      <c r="AR413" s="192"/>
      <c r="AS413" s="489"/>
      <c r="AT413" s="191"/>
      <c r="AU413" s="191"/>
      <c r="AV413" s="191"/>
      <c r="AW413" s="191"/>
      <c r="AX413" s="191"/>
      <c r="AY413" s="191"/>
      <c r="AZ413" s="191"/>
      <c r="BA413" s="191"/>
      <c r="BB413" s="191"/>
      <c r="BC413" s="191"/>
      <c r="BD413" s="420"/>
      <c r="BF413" s="900"/>
      <c r="BM413" s="902"/>
      <c r="BN413" s="902"/>
      <c r="BO413" s="902"/>
      <c r="BP413" s="902"/>
      <c r="BQ413" s="902"/>
      <c r="BR413" s="902"/>
      <c r="BS413" s="902"/>
    </row>
    <row r="414" spans="1:71" ht="12.75" customHeight="1">
      <c r="A414" s="341" t="s">
        <v>3209</v>
      </c>
      <c r="B414" s="1486"/>
      <c r="C414" s="1486"/>
      <c r="D414" s="1486"/>
      <c r="E414" s="1486"/>
      <c r="F414" s="1486"/>
      <c r="G414" s="1371"/>
      <c r="H414" s="1371"/>
      <c r="I414" s="1371"/>
      <c r="J414" s="1371"/>
      <c r="K414" s="1372"/>
      <c r="L414" s="1371"/>
      <c r="M414" s="1371"/>
      <c r="N414" s="1371"/>
      <c r="O414" s="1371"/>
      <c r="P414" s="1372"/>
      <c r="Q414" s="1371"/>
      <c r="R414" s="1371"/>
      <c r="S414" s="1371"/>
      <c r="T414" s="1371"/>
      <c r="U414" s="1372"/>
      <c r="V414" s="1371"/>
      <c r="W414" s="1371"/>
      <c r="X414" s="1371"/>
      <c r="Y414" s="1371"/>
      <c r="Z414" s="1372"/>
      <c r="AA414" s="2785"/>
      <c r="AB414" s="2785"/>
      <c r="AC414" s="2785"/>
      <c r="AD414" s="1371"/>
      <c r="AE414" s="1372"/>
      <c r="AF414" s="1366">
        <f>+AF407+SUM(AF412:AF413)</f>
        <v>282</v>
      </c>
      <c r="AG414" s="1366">
        <f t="shared" ref="AG414:AJ414" si="704">+AG407+SUM(AG412:AG413)</f>
        <v>355</v>
      </c>
      <c r="AH414" s="1366">
        <f t="shared" si="704"/>
        <v>358</v>
      </c>
      <c r="AI414" s="1366">
        <f t="shared" si="704"/>
        <v>326</v>
      </c>
      <c r="AJ414" s="1372">
        <f t="shared" si="704"/>
        <v>1321</v>
      </c>
      <c r="AK414" s="3947">
        <f t="shared" ref="AK414" si="705">+AK407+SUM(AK412:AK413)</f>
        <v>311.14740268582921</v>
      </c>
      <c r="AL414" s="4082">
        <f t="shared" ref="AL414" si="706">+AL407+SUM(AL412:AL413)</f>
        <v>392.66143432847514</v>
      </c>
      <c r="AM414" s="4082">
        <f t="shared" ref="AM414" si="707">+AM407+SUM(AM412:AM413)</f>
        <v>395.8993880762078</v>
      </c>
      <c r="AN414" s="1366">
        <f t="shared" ref="AN414" si="708">+AN407+SUM(AN412:AN413)</f>
        <v>358.05215731550021</v>
      </c>
      <c r="AO414" s="1372">
        <f t="shared" ref="AO414" si="709">+AO407+SUM(AO412:AO413)</f>
        <v>1457.7603824060122</v>
      </c>
      <c r="AP414" s="1372">
        <f t="shared" ref="AP414" si="710">+AP407+SUM(AP412:AP413)</f>
        <v>1586.0179261951123</v>
      </c>
      <c r="AQ414" s="1372">
        <f t="shared" ref="AQ414" si="711">+AQ407+SUM(AQ412:AQ413)</f>
        <v>1647.8591593468063</v>
      </c>
      <c r="AR414" s="329"/>
      <c r="AS414" s="276"/>
      <c r="AT414" s="498"/>
      <c r="AU414" s="498"/>
      <c r="AV414" s="498"/>
      <c r="AW414" s="498"/>
      <c r="AX414" s="498"/>
      <c r="AY414" s="498"/>
      <c r="AZ414" s="498"/>
      <c r="BA414" s="498"/>
      <c r="BB414" s="498"/>
      <c r="BC414" s="498"/>
      <c r="BD414" s="883"/>
      <c r="BF414" s="900"/>
      <c r="BM414" s="902"/>
      <c r="BN414" s="902"/>
      <c r="BO414" s="902"/>
      <c r="BP414" s="902"/>
      <c r="BQ414" s="902"/>
      <c r="BR414" s="902"/>
      <c r="BS414" s="902"/>
    </row>
    <row r="415" spans="1:71" ht="12.75" customHeight="1">
      <c r="A415" s="489" t="s">
        <v>570</v>
      </c>
      <c r="B415" s="192"/>
      <c r="C415" s="192"/>
      <c r="D415" s="192"/>
      <c r="E415" s="192"/>
      <c r="F415" s="192"/>
      <c r="G415" s="199"/>
      <c r="H415" s="199"/>
      <c r="I415" s="133"/>
      <c r="J415" s="133"/>
      <c r="K415" s="192"/>
      <c r="L415" s="133"/>
      <c r="M415" s="133"/>
      <c r="N415" s="133"/>
      <c r="O415" s="133"/>
      <c r="P415" s="192"/>
      <c r="Q415" s="133"/>
      <c r="R415" s="133"/>
      <c r="S415" s="133"/>
      <c r="T415" s="133"/>
      <c r="U415" s="1355"/>
      <c r="V415" s="133"/>
      <c r="W415" s="133"/>
      <c r="X415" s="133"/>
      <c r="Y415" s="2749"/>
      <c r="Z415" s="1357"/>
      <c r="AA415" s="133"/>
      <c r="AB415" s="133"/>
      <c r="AC415" s="133"/>
      <c r="AD415" s="133"/>
      <c r="AE415" s="1357"/>
      <c r="AF415" s="4089">
        <f>+AF414/AF402</f>
        <v>5.2478426160219464E-2</v>
      </c>
      <c r="AG415" s="4089">
        <f t="shared" ref="AG415:AQ415" si="712">+AG414/AG402</f>
        <v>5.5135488956771853E-2</v>
      </c>
      <c r="AH415" s="4089">
        <f t="shared" si="712"/>
        <v>5.5199073924916894E-2</v>
      </c>
      <c r="AI415" s="4089">
        <f t="shared" si="712"/>
        <v>5.6071851094163662E-2</v>
      </c>
      <c r="AJ415" s="4090">
        <f t="shared" si="712"/>
        <v>5.478621245043741E-2</v>
      </c>
      <c r="AK415" s="4089">
        <f t="shared" si="712"/>
        <v>5.3028426160219466E-2</v>
      </c>
      <c r="AL415" s="4089">
        <f t="shared" si="712"/>
        <v>5.5685488956771854E-2</v>
      </c>
      <c r="AM415" s="4089">
        <f t="shared" si="712"/>
        <v>5.5749073924916896E-2</v>
      </c>
      <c r="AN415" s="4089">
        <f t="shared" si="712"/>
        <v>5.6621851094163664E-2</v>
      </c>
      <c r="AO415" s="4090">
        <f t="shared" si="712"/>
        <v>5.5335588471309309E-2</v>
      </c>
      <c r="AP415" s="4090">
        <f t="shared" si="712"/>
        <v>5.583558847130931E-2</v>
      </c>
      <c r="AQ415" s="4090">
        <f t="shared" si="712"/>
        <v>5.633558847130931E-2</v>
      </c>
      <c r="AR415" s="192"/>
      <c r="AS415" s="489"/>
      <c r="AT415" s="191"/>
      <c r="AU415" s="191"/>
      <c r="AV415" s="191"/>
      <c r="AW415" s="191"/>
      <c r="AX415" s="191"/>
      <c r="AY415" s="191"/>
      <c r="AZ415" s="191"/>
      <c r="BA415" s="191"/>
      <c r="BB415" s="191"/>
      <c r="BC415" s="191"/>
      <c r="BD415" s="420"/>
      <c r="BF415" s="900"/>
      <c r="BM415" s="902"/>
      <c r="BN415" s="902"/>
      <c r="BO415" s="902"/>
      <c r="BP415" s="902"/>
      <c r="BQ415" s="902"/>
      <c r="BR415" s="902"/>
      <c r="BS415" s="902"/>
    </row>
    <row r="416" spans="1:71" ht="12.75" customHeight="1">
      <c r="A416" s="489"/>
      <c r="B416" s="185"/>
      <c r="C416" s="185"/>
      <c r="D416" s="185"/>
      <c r="E416" s="185"/>
      <c r="F416" s="185"/>
      <c r="G416" s="185"/>
      <c r="H416" s="185"/>
      <c r="I416" s="185"/>
      <c r="J416" s="185"/>
      <c r="K416" s="185"/>
      <c r="L416" s="185"/>
      <c r="M416" s="185"/>
      <c r="N416" s="185"/>
      <c r="O416" s="185"/>
      <c r="P416" s="185"/>
      <c r="Q416" s="185"/>
      <c r="R416" s="185"/>
      <c r="S416" s="185"/>
      <c r="T416" s="185"/>
      <c r="U416" s="185"/>
      <c r="V416" s="185"/>
      <c r="W416" s="185"/>
      <c r="X416" s="185"/>
      <c r="Y416" s="185"/>
      <c r="Z416" s="354"/>
      <c r="AA416" s="185"/>
      <c r="AB416" s="185"/>
      <c r="AC416" s="185"/>
      <c r="AD416" s="185"/>
      <c r="AE416" s="2585"/>
      <c r="AF416" s="185"/>
      <c r="AG416" s="3763"/>
      <c r="AH416" s="3763"/>
      <c r="AI416" s="3764"/>
      <c r="AJ416" s="3765"/>
      <c r="AK416" s="185"/>
      <c r="AL416" s="3763"/>
      <c r="AM416" s="3763"/>
      <c r="AN416" s="3764"/>
      <c r="AO416" s="354"/>
      <c r="AP416" s="354"/>
      <c r="AQ416" s="1721"/>
      <c r="AR416" s="185"/>
      <c r="AS416" s="280"/>
      <c r="AT416" s="188"/>
      <c r="AU416" s="188"/>
      <c r="AV416" s="188"/>
      <c r="AW416" s="188"/>
      <c r="AX416" s="188"/>
      <c r="AY416" s="188"/>
      <c r="AZ416" s="188"/>
      <c r="BA416" s="188"/>
      <c r="BB416" s="188"/>
      <c r="BC416" s="188"/>
      <c r="BD416" s="188"/>
      <c r="BF416" s="900"/>
      <c r="BM416" s="902"/>
      <c r="BN416" s="902"/>
      <c r="BO416" s="902"/>
      <c r="BP416" s="902"/>
      <c r="BQ416" s="902"/>
      <c r="BR416" s="902"/>
      <c r="BS416" s="902"/>
    </row>
    <row r="417" spans="1:259" ht="12.75" customHeight="1">
      <c r="A417" s="3631" t="s">
        <v>3021</v>
      </c>
      <c r="B417" s="3619"/>
      <c r="C417" s="3619"/>
      <c r="D417" s="3619"/>
      <c r="E417" s="3619"/>
      <c r="F417" s="3619"/>
      <c r="G417" s="3619"/>
      <c r="H417" s="3619"/>
      <c r="I417" s="3619"/>
      <c r="J417" s="3619"/>
      <c r="K417" s="3619"/>
      <c r="L417" s="3619"/>
      <c r="M417" s="3619"/>
      <c r="N417" s="3619"/>
      <c r="O417" s="3619"/>
      <c r="P417" s="3619"/>
      <c r="Q417" s="3619"/>
      <c r="R417" s="3619"/>
      <c r="S417" s="3619"/>
      <c r="T417" s="3619"/>
      <c r="U417" s="3619"/>
      <c r="V417" s="3619"/>
      <c r="W417" s="3619"/>
      <c r="X417" s="3619"/>
      <c r="Y417" s="3619"/>
      <c r="Z417" s="3618"/>
      <c r="AA417" s="3632">
        <v>271</v>
      </c>
      <c r="AB417" s="3632">
        <v>333</v>
      </c>
      <c r="AC417" s="3632">
        <v>334</v>
      </c>
      <c r="AD417" s="3632">
        <v>296</v>
      </c>
      <c r="AE417" s="3633">
        <f>SUM(AA417:AD417)</f>
        <v>1234</v>
      </c>
      <c r="AF417" s="185"/>
      <c r="AG417" s="185"/>
      <c r="AH417" s="185"/>
      <c r="AI417" s="1721"/>
      <c r="AJ417" s="2585"/>
      <c r="AK417" s="185"/>
      <c r="AL417" s="185"/>
      <c r="AM417" s="185"/>
      <c r="AN417" s="1721"/>
      <c r="AO417" s="3996"/>
      <c r="AP417" s="354"/>
      <c r="AQ417" s="1721"/>
      <c r="AR417" s="185"/>
      <c r="AS417" s="280"/>
      <c r="AT417" s="188"/>
      <c r="AU417" s="188"/>
      <c r="AV417" s="188"/>
      <c r="AW417" s="188"/>
      <c r="AX417" s="188"/>
      <c r="AY417" s="188"/>
      <c r="AZ417" s="188"/>
      <c r="BA417" s="188"/>
      <c r="BB417" s="188"/>
      <c r="BC417" s="188"/>
      <c r="BD417" s="188"/>
      <c r="BE417" s="1929"/>
      <c r="BF417" s="948"/>
      <c r="BM417" s="949"/>
      <c r="BN417" s="949"/>
      <c r="BO417" s="949"/>
      <c r="BP417" s="949"/>
      <c r="BQ417" s="949"/>
      <c r="BR417" s="949"/>
      <c r="BS417" s="949"/>
      <c r="BT417" s="15"/>
      <c r="BU417" s="15"/>
      <c r="BV417" s="15"/>
      <c r="BW417" s="15"/>
      <c r="BX417" s="15"/>
      <c r="BY417" s="15"/>
      <c r="BZ417" s="15"/>
      <c r="CA417" s="15"/>
      <c r="CB417" s="15"/>
      <c r="CC417" s="15"/>
      <c r="CD417" s="15"/>
      <c r="CE417" s="15"/>
      <c r="CF417" s="15"/>
      <c r="CG417" s="15"/>
      <c r="CH417" s="15"/>
      <c r="CI417" s="15"/>
      <c r="CJ417" s="15"/>
      <c r="CK417" s="15"/>
      <c r="CL417" s="15"/>
      <c r="CM417" s="15"/>
      <c r="CN417" s="15"/>
      <c r="CO417" s="15"/>
      <c r="CP417" s="15"/>
      <c r="CQ417" s="15"/>
      <c r="CR417" s="15"/>
      <c r="CS417" s="15"/>
      <c r="CT417" s="15"/>
      <c r="CU417" s="15"/>
      <c r="CV417" s="15"/>
      <c r="CW417" s="15"/>
      <c r="CX417" s="15"/>
      <c r="CY417" s="15"/>
      <c r="CZ417" s="15"/>
      <c r="DA417" s="15"/>
      <c r="DB417" s="15"/>
      <c r="DC417" s="15"/>
      <c r="DD417" s="15"/>
      <c r="DE417" s="15"/>
      <c r="DF417" s="15"/>
      <c r="DG417" s="15"/>
      <c r="DH417" s="15"/>
      <c r="DI417" s="15"/>
      <c r="DJ417" s="15"/>
      <c r="DK417" s="15"/>
      <c r="DL417" s="15"/>
      <c r="DM417" s="15"/>
      <c r="DN417" s="15"/>
      <c r="DO417" s="15"/>
      <c r="DP417" s="15"/>
      <c r="DQ417" s="15"/>
      <c r="DR417" s="15"/>
      <c r="DS417" s="15"/>
      <c r="DT417" s="15"/>
      <c r="DU417" s="15"/>
      <c r="DV417" s="15"/>
      <c r="DW417" s="15"/>
      <c r="DX417" s="15"/>
      <c r="DY417" s="15"/>
      <c r="DZ417" s="15"/>
      <c r="EA417" s="15"/>
      <c r="EB417" s="15"/>
      <c r="EC417" s="15"/>
      <c r="ED417" s="15"/>
      <c r="EE417" s="15"/>
      <c r="EF417" s="15"/>
      <c r="EG417" s="15"/>
      <c r="EH417" s="15"/>
      <c r="EI417" s="15"/>
      <c r="EJ417" s="15"/>
      <c r="EK417" s="15"/>
      <c r="EL417" s="15"/>
      <c r="EM417" s="15"/>
      <c r="EN417" s="15"/>
      <c r="EO417" s="15"/>
      <c r="EP417" s="15"/>
      <c r="EQ417" s="15"/>
      <c r="ER417" s="15"/>
      <c r="ES417" s="15"/>
      <c r="ET417" s="15"/>
      <c r="EU417" s="15"/>
      <c r="EV417" s="15"/>
      <c r="EW417" s="15"/>
      <c r="EX417" s="15"/>
      <c r="EY417" s="15"/>
      <c r="EZ417" s="15"/>
      <c r="FA417" s="15"/>
      <c r="FB417" s="15"/>
      <c r="FC417" s="15"/>
      <c r="FD417" s="15"/>
      <c r="FE417" s="15"/>
      <c r="FF417" s="15"/>
      <c r="FG417" s="15"/>
      <c r="FH417" s="15"/>
      <c r="FI417" s="15"/>
      <c r="FJ417" s="15"/>
      <c r="FK417" s="15"/>
      <c r="FL417" s="15"/>
      <c r="FM417" s="15"/>
      <c r="FN417" s="15"/>
      <c r="FO417" s="15"/>
      <c r="FP417" s="15"/>
      <c r="FQ417" s="15"/>
      <c r="FR417" s="15"/>
      <c r="FS417" s="15"/>
      <c r="FT417" s="15"/>
      <c r="FU417" s="15"/>
      <c r="FV417" s="15"/>
      <c r="FW417" s="15"/>
      <c r="FX417" s="15"/>
      <c r="FY417" s="15"/>
      <c r="FZ417" s="15"/>
      <c r="GA417" s="15"/>
      <c r="GB417" s="15"/>
      <c r="GC417" s="15"/>
      <c r="GD417" s="15"/>
      <c r="GE417" s="15"/>
      <c r="GF417" s="15"/>
      <c r="GG417" s="15"/>
      <c r="GH417" s="15"/>
      <c r="GI417" s="15"/>
      <c r="GJ417" s="15"/>
      <c r="GK417" s="15"/>
      <c r="GL417" s="15"/>
      <c r="GM417" s="15"/>
      <c r="GN417" s="15"/>
      <c r="GO417" s="15"/>
      <c r="GP417" s="15"/>
      <c r="GQ417" s="15"/>
      <c r="GR417" s="15"/>
      <c r="GS417" s="15"/>
      <c r="GT417" s="15"/>
      <c r="GU417" s="15"/>
      <c r="GV417" s="15"/>
      <c r="GW417" s="15"/>
      <c r="GX417" s="15"/>
      <c r="GY417" s="15"/>
      <c r="GZ417" s="15"/>
      <c r="HA417" s="15"/>
      <c r="HB417" s="15"/>
      <c r="HC417" s="15"/>
      <c r="HD417" s="15"/>
      <c r="HE417" s="15"/>
      <c r="HF417" s="15"/>
      <c r="HG417" s="15"/>
      <c r="HH417" s="15"/>
      <c r="HI417" s="15"/>
      <c r="HJ417" s="15"/>
      <c r="HK417" s="15"/>
      <c r="HL417" s="15"/>
      <c r="HM417" s="15"/>
      <c r="HN417" s="15"/>
      <c r="HO417" s="15"/>
      <c r="HP417" s="15"/>
      <c r="HQ417" s="15"/>
      <c r="HR417" s="15"/>
      <c r="HS417" s="15"/>
      <c r="HT417" s="15"/>
      <c r="HU417" s="15"/>
      <c r="HV417" s="15"/>
      <c r="HW417" s="15"/>
      <c r="HX417" s="15"/>
      <c r="HY417" s="15"/>
      <c r="HZ417" s="15"/>
      <c r="IA417" s="15"/>
      <c r="IB417" s="15"/>
      <c r="IC417" s="15"/>
      <c r="ID417" s="15"/>
      <c r="IE417" s="15"/>
      <c r="IF417" s="15"/>
      <c r="IG417" s="15"/>
      <c r="IH417" s="15"/>
      <c r="II417" s="15"/>
      <c r="IJ417" s="15"/>
      <c r="IK417" s="15"/>
      <c r="IL417" s="15"/>
      <c r="IM417" s="15"/>
      <c r="IN417" s="15"/>
      <c r="IO417" s="15"/>
      <c r="IP417" s="15"/>
      <c r="IQ417" s="15"/>
      <c r="IR417" s="15"/>
      <c r="IS417" s="15"/>
      <c r="IT417" s="15"/>
      <c r="IU417" s="15"/>
      <c r="IV417" s="15"/>
      <c r="IW417" s="15"/>
      <c r="IX417" s="15"/>
      <c r="IY417" s="15"/>
    </row>
    <row r="418" spans="1:259" ht="12.75" customHeight="1">
      <c r="A418" s="3640" t="s">
        <v>570</v>
      </c>
      <c r="B418" s="3641"/>
      <c r="C418" s="3641"/>
      <c r="D418" s="3641"/>
      <c r="E418" s="3641"/>
      <c r="F418" s="3641"/>
      <c r="G418" s="3641"/>
      <c r="H418" s="3641"/>
      <c r="I418" s="3641"/>
      <c r="J418" s="3641"/>
      <c r="K418" s="3641"/>
      <c r="L418" s="3641"/>
      <c r="M418" s="3641"/>
      <c r="N418" s="3641"/>
      <c r="O418" s="3641"/>
      <c r="P418" s="3641"/>
      <c r="Q418" s="3641"/>
      <c r="R418" s="3641"/>
      <c r="S418" s="3641"/>
      <c r="T418" s="3641"/>
      <c r="U418" s="3641"/>
      <c r="V418" s="3641"/>
      <c r="W418" s="3641"/>
      <c r="X418" s="3641"/>
      <c r="Y418" s="3641"/>
      <c r="Z418" s="3642"/>
      <c r="AA418" s="3647">
        <f>+AA417/AA402</f>
        <v>5.3270483243032102E-2</v>
      </c>
      <c r="AB418" s="3647">
        <f>+AB417/AB402</f>
        <v>5.4849175757709041E-2</v>
      </c>
      <c r="AC418" s="3647">
        <f>+AC417/AC402</f>
        <v>5.4389274049977322E-2</v>
      </c>
      <c r="AD418" s="3648">
        <f>+AD417/AD402</f>
        <v>5.5506941806783359E-2</v>
      </c>
      <c r="AE418" s="3649">
        <f>+AE417/AE402</f>
        <v>5.4524513351054467E-2</v>
      </c>
      <c r="AF418" s="3613"/>
      <c r="AG418" s="3613"/>
      <c r="AH418" s="3613"/>
      <c r="AI418" s="1719"/>
      <c r="AJ418" s="2582"/>
      <c r="AK418" s="3613"/>
      <c r="AL418" s="3613"/>
      <c r="AM418" s="3613"/>
      <c r="AN418" s="1719"/>
      <c r="AO418" s="1720"/>
      <c r="AP418" s="1720"/>
      <c r="AQ418" s="1719"/>
      <c r="AR418" s="185"/>
      <c r="AS418" s="280"/>
      <c r="AT418" s="188"/>
      <c r="AU418" s="188"/>
      <c r="AV418" s="188"/>
      <c r="AW418" s="188"/>
      <c r="AX418" s="188"/>
      <c r="AY418" s="188"/>
      <c r="AZ418" s="188"/>
      <c r="BA418" s="188"/>
      <c r="BB418" s="188"/>
      <c r="BC418" s="188"/>
      <c r="BD418" s="188"/>
      <c r="BE418" s="1929"/>
      <c r="BF418" s="948"/>
      <c r="BM418" s="949"/>
      <c r="BN418" s="949"/>
      <c r="BO418" s="949"/>
      <c r="BP418" s="949"/>
      <c r="BQ418" s="949"/>
      <c r="BR418" s="949"/>
      <c r="BS418" s="949"/>
      <c r="BT418" s="15"/>
      <c r="BU418" s="15"/>
      <c r="BV418" s="15"/>
      <c r="BW418" s="15"/>
      <c r="BX418" s="15"/>
      <c r="BY418" s="15"/>
      <c r="BZ418" s="15"/>
      <c r="CA418" s="15"/>
      <c r="CB418" s="15"/>
      <c r="CC418" s="15"/>
      <c r="CD418" s="15"/>
      <c r="CE418" s="15"/>
      <c r="CF418" s="15"/>
      <c r="CG418" s="15"/>
      <c r="CH418" s="15"/>
      <c r="CI418" s="15"/>
      <c r="CJ418" s="15"/>
      <c r="CK418" s="15"/>
      <c r="CL418" s="15"/>
      <c r="CM418" s="15"/>
      <c r="CN418" s="15"/>
      <c r="CO418" s="15"/>
      <c r="CP418" s="15"/>
      <c r="CQ418" s="15"/>
      <c r="CR418" s="15"/>
      <c r="CS418" s="15"/>
      <c r="CT418" s="15"/>
      <c r="CU418" s="15"/>
      <c r="CV418" s="15"/>
      <c r="CW418" s="15"/>
      <c r="CX418" s="15"/>
      <c r="CY418" s="15"/>
      <c r="CZ418" s="15"/>
      <c r="DA418" s="15"/>
      <c r="DB418" s="15"/>
      <c r="DC418" s="15"/>
      <c r="DD418" s="15"/>
      <c r="DE418" s="15"/>
      <c r="DF418" s="15"/>
      <c r="DG418" s="15"/>
      <c r="DH418" s="15"/>
      <c r="DI418" s="15"/>
      <c r="DJ418" s="15"/>
      <c r="DK418" s="15"/>
      <c r="DL418" s="15"/>
      <c r="DM418" s="15"/>
      <c r="DN418" s="15"/>
      <c r="DO418" s="15"/>
      <c r="DP418" s="15"/>
      <c r="DQ418" s="15"/>
      <c r="DR418" s="15"/>
      <c r="DS418" s="15"/>
      <c r="DT418" s="15"/>
      <c r="DU418" s="15"/>
      <c r="DV418" s="15"/>
      <c r="DW418" s="15"/>
      <c r="DX418" s="15"/>
      <c r="DY418" s="15"/>
      <c r="DZ418" s="15"/>
      <c r="EA418" s="15"/>
      <c r="EB418" s="15"/>
      <c r="EC418" s="15"/>
      <c r="ED418" s="15"/>
      <c r="EE418" s="15"/>
      <c r="EF418" s="15"/>
      <c r="EG418" s="15"/>
      <c r="EH418" s="15"/>
      <c r="EI418" s="15"/>
      <c r="EJ418" s="15"/>
      <c r="EK418" s="15"/>
      <c r="EL418" s="15"/>
      <c r="EM418" s="15"/>
      <c r="EN418" s="15"/>
      <c r="EO418" s="15"/>
      <c r="EP418" s="15"/>
      <c r="EQ418" s="15"/>
      <c r="ER418" s="15"/>
      <c r="ES418" s="15"/>
      <c r="ET418" s="15"/>
      <c r="EU418" s="15"/>
      <c r="EV418" s="15"/>
      <c r="EW418" s="15"/>
      <c r="EX418" s="15"/>
      <c r="EY418" s="15"/>
      <c r="EZ418" s="15"/>
      <c r="FA418" s="15"/>
      <c r="FB418" s="15"/>
      <c r="FC418" s="15"/>
      <c r="FD418" s="15"/>
      <c r="FE418" s="15"/>
      <c r="FF418" s="15"/>
      <c r="FG418" s="15"/>
      <c r="FH418" s="15"/>
      <c r="FI418" s="15"/>
      <c r="FJ418" s="15"/>
      <c r="FK418" s="15"/>
      <c r="FL418" s="15"/>
      <c r="FM418" s="15"/>
      <c r="FN418" s="15"/>
      <c r="FO418" s="15"/>
      <c r="FP418" s="15"/>
      <c r="FQ418" s="15"/>
      <c r="FR418" s="15"/>
      <c r="FS418" s="15"/>
      <c r="FT418" s="15"/>
      <c r="FU418" s="15"/>
      <c r="FV418" s="15"/>
      <c r="FW418" s="15"/>
      <c r="FX418" s="15"/>
      <c r="FY418" s="15"/>
      <c r="FZ418" s="15"/>
      <c r="GA418" s="15"/>
      <c r="GB418" s="15"/>
      <c r="GC418" s="15"/>
      <c r="GD418" s="15"/>
      <c r="GE418" s="15"/>
      <c r="GF418" s="15"/>
      <c r="GG418" s="15"/>
      <c r="GH418" s="15"/>
      <c r="GI418" s="15"/>
      <c r="GJ418" s="15"/>
      <c r="GK418" s="15"/>
      <c r="GL418" s="15"/>
      <c r="GM418" s="15"/>
      <c r="GN418" s="15"/>
      <c r="GO418" s="15"/>
      <c r="GP418" s="15"/>
      <c r="GQ418" s="15"/>
      <c r="GR418" s="15"/>
      <c r="GS418" s="15"/>
      <c r="GT418" s="15"/>
      <c r="GU418" s="15"/>
      <c r="GV418" s="15"/>
      <c r="GW418" s="15"/>
      <c r="GX418" s="15"/>
      <c r="GY418" s="15"/>
      <c r="GZ418" s="15"/>
      <c r="HA418" s="15"/>
      <c r="HB418" s="15"/>
      <c r="HC418" s="15"/>
      <c r="HD418" s="15"/>
      <c r="HE418" s="15"/>
      <c r="HF418" s="15"/>
      <c r="HG418" s="15"/>
      <c r="HH418" s="15"/>
      <c r="HI418" s="15"/>
      <c r="HJ418" s="15"/>
      <c r="HK418" s="15"/>
      <c r="HL418" s="15"/>
      <c r="HM418" s="15"/>
      <c r="HN418" s="15"/>
      <c r="HO418" s="15"/>
      <c r="HP418" s="15"/>
      <c r="HQ418" s="15"/>
      <c r="HR418" s="15"/>
      <c r="HS418" s="15"/>
      <c r="HT418" s="15"/>
      <c r="HU418" s="15"/>
      <c r="HV418" s="15"/>
      <c r="HW418" s="15"/>
      <c r="HX418" s="15"/>
      <c r="HY418" s="15"/>
      <c r="HZ418" s="15"/>
      <c r="IA418" s="15"/>
      <c r="IB418" s="15"/>
      <c r="IC418" s="15"/>
      <c r="ID418" s="15"/>
      <c r="IE418" s="15"/>
      <c r="IF418" s="15"/>
      <c r="IG418" s="15"/>
      <c r="IH418" s="15"/>
      <c r="II418" s="15"/>
      <c r="IJ418" s="15"/>
      <c r="IK418" s="15"/>
      <c r="IL418" s="15"/>
      <c r="IM418" s="15"/>
      <c r="IN418" s="15"/>
      <c r="IO418" s="15"/>
      <c r="IP418" s="15"/>
      <c r="IQ418" s="15"/>
      <c r="IR418" s="15"/>
      <c r="IS418" s="15"/>
      <c r="IT418" s="15"/>
      <c r="IU418" s="15"/>
      <c r="IV418" s="15"/>
      <c r="IW418" s="15"/>
      <c r="IX418" s="15"/>
      <c r="IY418" s="15"/>
    </row>
    <row r="419" spans="1:259" ht="12.75" customHeight="1">
      <c r="A419" s="280"/>
      <c r="B419" s="185"/>
      <c r="C419" s="185"/>
      <c r="D419" s="185"/>
      <c r="E419" s="1719"/>
      <c r="F419" s="1720"/>
      <c r="G419" s="185"/>
      <c r="H419" s="185"/>
      <c r="I419" s="185"/>
      <c r="J419" s="3613"/>
      <c r="K419" s="1720"/>
      <c r="L419" s="185"/>
      <c r="M419" s="185"/>
      <c r="N419" s="185"/>
      <c r="O419" s="3613"/>
      <c r="P419" s="1720"/>
      <c r="Q419" s="185"/>
      <c r="R419" s="185"/>
      <c r="S419" s="185"/>
      <c r="T419" s="3613"/>
      <c r="U419" s="1720"/>
      <c r="V419" s="185"/>
      <c r="W419" s="185"/>
      <c r="X419" s="185"/>
      <c r="Y419" s="3613"/>
      <c r="Z419" s="1720"/>
      <c r="AA419" s="2463"/>
      <c r="AB419" s="185"/>
      <c r="AC419" s="185"/>
      <c r="AD419" s="1721"/>
      <c r="AE419" s="2582"/>
      <c r="AF419" s="185"/>
      <c r="AG419" s="185"/>
      <c r="AH419" s="185"/>
      <c r="AI419" s="1721"/>
      <c r="AJ419" s="2582"/>
      <c r="AK419" s="185"/>
      <c r="AL419" s="185"/>
      <c r="AM419" s="185"/>
      <c r="AN419" s="1721"/>
      <c r="AO419" s="1720"/>
      <c r="AP419" s="1720"/>
      <c r="AQ419" s="1719"/>
      <c r="AR419" s="185"/>
      <c r="AS419" s="280"/>
      <c r="AT419" s="188"/>
      <c r="AU419" s="188"/>
      <c r="AV419" s="188"/>
      <c r="AW419" s="188"/>
      <c r="AX419" s="188"/>
      <c r="AY419" s="188"/>
      <c r="AZ419" s="188"/>
      <c r="BA419" s="188"/>
      <c r="BB419" s="188"/>
      <c r="BC419" s="188"/>
      <c r="BD419" s="188"/>
      <c r="BF419" s="900"/>
      <c r="BM419" s="902"/>
      <c r="BN419" s="902"/>
      <c r="BO419" s="902"/>
      <c r="BP419" s="902"/>
      <c r="BQ419" s="902"/>
      <c r="BR419" s="902"/>
      <c r="BS419" s="902"/>
    </row>
    <row r="420" spans="1:259" s="12" customFormat="1" ht="12.75" customHeight="1">
      <c r="A420" s="291" t="s">
        <v>886</v>
      </c>
      <c r="B420" s="769"/>
      <c r="C420" s="769"/>
      <c r="D420" s="769"/>
      <c r="E420" s="769" t="str">
        <f t="shared" ref="E420:K420" si="713">E$5</f>
        <v>2010</v>
      </c>
      <c r="F420" s="769" t="str">
        <f t="shared" si="713"/>
        <v>2011</v>
      </c>
      <c r="G420" s="767" t="str">
        <f t="shared" si="713"/>
        <v>1Q12</v>
      </c>
      <c r="H420" s="767" t="str">
        <f t="shared" si="713"/>
        <v>2Q12</v>
      </c>
      <c r="I420" s="767" t="str">
        <f t="shared" si="713"/>
        <v>3Q12</v>
      </c>
      <c r="J420" s="767" t="str">
        <f t="shared" si="713"/>
        <v>4Q12</v>
      </c>
      <c r="K420" s="769">
        <f t="shared" si="713"/>
        <v>2012</v>
      </c>
      <c r="L420" s="767" t="str">
        <f>L$5</f>
        <v>1Q13</v>
      </c>
      <c r="M420" s="767" t="str">
        <f t="shared" ref="M420:AQ420" si="714">M$5</f>
        <v>2Q13</v>
      </c>
      <c r="N420" s="767" t="str">
        <f t="shared" si="714"/>
        <v>3Q13</v>
      </c>
      <c r="O420" s="767" t="str">
        <f t="shared" si="714"/>
        <v>4Q13</v>
      </c>
      <c r="P420" s="769">
        <f t="shared" si="714"/>
        <v>2013</v>
      </c>
      <c r="Q420" s="767" t="str">
        <f t="shared" si="714"/>
        <v>1Q14</v>
      </c>
      <c r="R420" s="767" t="str">
        <f t="shared" si="714"/>
        <v>2Q14</v>
      </c>
      <c r="S420" s="767" t="str">
        <f t="shared" si="714"/>
        <v>3Q14</v>
      </c>
      <c r="T420" s="767" t="str">
        <f t="shared" si="714"/>
        <v>4Q14</v>
      </c>
      <c r="U420" s="769">
        <f t="shared" si="714"/>
        <v>2014</v>
      </c>
      <c r="V420" s="767" t="str">
        <f t="shared" si="714"/>
        <v>1Q15</v>
      </c>
      <c r="W420" s="767" t="str">
        <f t="shared" si="714"/>
        <v>2Q15</v>
      </c>
      <c r="X420" s="767" t="str">
        <f t="shared" si="714"/>
        <v>3Q15</v>
      </c>
      <c r="Y420" s="767" t="str">
        <f t="shared" si="714"/>
        <v>4Q15</v>
      </c>
      <c r="Z420" s="769">
        <f t="shared" si="714"/>
        <v>2015</v>
      </c>
      <c r="AA420" s="1936" t="str">
        <f t="shared" si="714"/>
        <v>1Q16</v>
      </c>
      <c r="AB420" s="767" t="str">
        <f t="shared" si="714"/>
        <v>2Q16</v>
      </c>
      <c r="AC420" s="767" t="str">
        <f t="shared" si="714"/>
        <v>3Q16</v>
      </c>
      <c r="AD420" s="865" t="str">
        <f t="shared" si="714"/>
        <v>4Q16</v>
      </c>
      <c r="AE420" s="769">
        <f t="shared" si="714"/>
        <v>2016</v>
      </c>
      <c r="AF420" s="767" t="str">
        <f t="shared" si="714"/>
        <v>1Q17</v>
      </c>
      <c r="AG420" s="767" t="str">
        <f t="shared" si="714"/>
        <v>2Q17</v>
      </c>
      <c r="AH420" s="767" t="str">
        <f t="shared" si="714"/>
        <v>3Q17</v>
      </c>
      <c r="AI420" s="865" t="str">
        <f t="shared" si="714"/>
        <v>4Q17A</v>
      </c>
      <c r="AJ420" s="769" t="str">
        <f t="shared" si="714"/>
        <v>2017A</v>
      </c>
      <c r="AK420" s="767" t="str">
        <f t="shared" si="714"/>
        <v>1Q18E</v>
      </c>
      <c r="AL420" s="767" t="str">
        <f t="shared" si="714"/>
        <v>2Q18E</v>
      </c>
      <c r="AM420" s="767" t="str">
        <f t="shared" si="714"/>
        <v>3Q18E</v>
      </c>
      <c r="AN420" s="865" t="str">
        <f t="shared" si="714"/>
        <v>4Q18E</v>
      </c>
      <c r="AO420" s="769" t="str">
        <f t="shared" si="714"/>
        <v>2018E</v>
      </c>
      <c r="AP420" s="769" t="str">
        <f t="shared" si="714"/>
        <v>2019E</v>
      </c>
      <c r="AQ420" s="770" t="str">
        <f t="shared" si="714"/>
        <v>2020E</v>
      </c>
      <c r="AR420" s="430"/>
      <c r="AS420" s="291" t="str">
        <f>+A420</f>
        <v>Timeshare Segment</v>
      </c>
      <c r="AT420" s="771" t="str">
        <f>+E420</f>
        <v>2010</v>
      </c>
      <c r="AU420" s="771" t="str">
        <f>+F420</f>
        <v>2011</v>
      </c>
      <c r="AV420" s="771">
        <f>+K420</f>
        <v>2012</v>
      </c>
      <c r="AW420" s="771">
        <f>+P420</f>
        <v>2013</v>
      </c>
      <c r="AX420" s="771">
        <f>+U420</f>
        <v>2014</v>
      </c>
      <c r="AY420" s="771">
        <f>+Z420</f>
        <v>2015</v>
      </c>
      <c r="AZ420" s="771">
        <f>+AE420</f>
        <v>2016</v>
      </c>
      <c r="BA420" s="771" t="str">
        <f>+AJ420</f>
        <v>2017A</v>
      </c>
      <c r="BB420" s="771" t="str">
        <f t="shared" ref="BB420:BD421" si="715">+AO420</f>
        <v>2018E</v>
      </c>
      <c r="BC420" s="771" t="str">
        <f t="shared" si="715"/>
        <v>2019E</v>
      </c>
      <c r="BD420" s="770" t="str">
        <f t="shared" si="715"/>
        <v>2020E</v>
      </c>
      <c r="BE420" s="14"/>
      <c r="BF420" s="900"/>
      <c r="BG420"/>
      <c r="BH420"/>
      <c r="BI420"/>
      <c r="BJ420"/>
      <c r="BK420"/>
      <c r="BL420"/>
      <c r="BM420" s="902"/>
      <c r="BN420" s="902"/>
      <c r="BO420" s="902"/>
      <c r="BP420" s="902"/>
      <c r="BQ420" s="902"/>
      <c r="BR420" s="902"/>
      <c r="BS420" s="902"/>
    </row>
    <row r="421" spans="1:259" ht="12.75" customHeight="1">
      <c r="A421" s="489" t="s">
        <v>589</v>
      </c>
      <c r="B421" s="639"/>
      <c r="C421" s="639"/>
      <c r="D421" s="639"/>
      <c r="E421" s="172">
        <f>'QTR Rooms'!B836</f>
        <v>4853</v>
      </c>
      <c r="F421" s="172">
        <f>'QTR Rooms'!C891</f>
        <v>4850</v>
      </c>
      <c r="G421" s="393">
        <f>'QTR Rooms'!D891</f>
        <v>6101</v>
      </c>
      <c r="H421" s="176">
        <f>'QTR Rooms'!E891</f>
        <v>6101</v>
      </c>
      <c r="I421" s="176">
        <f>'QTR Rooms'!F891</f>
        <v>6101</v>
      </c>
      <c r="J421" s="844">
        <f>'QTR Rooms'!G891</f>
        <v>6281</v>
      </c>
      <c r="K421" s="172">
        <f>'QTR Rooms'!H891</f>
        <v>6281</v>
      </c>
      <c r="L421" s="393">
        <f>'QTR Rooms'!I891</f>
        <v>6354</v>
      </c>
      <c r="M421" s="176">
        <f>'QTR Rooms'!J891</f>
        <v>6404</v>
      </c>
      <c r="N421" s="176">
        <f>'QTR Rooms'!K891</f>
        <v>6404</v>
      </c>
      <c r="O421" s="844">
        <f>'QTR Rooms'!L891</f>
        <v>6547</v>
      </c>
      <c r="P421" s="172">
        <f>'QTR Rooms'!M891</f>
        <v>6547</v>
      </c>
      <c r="Q421" s="393">
        <f>'QTR Rooms'!N891</f>
        <v>6673</v>
      </c>
      <c r="R421" s="176">
        <f>'QTR Rooms'!O891</f>
        <v>6758</v>
      </c>
      <c r="S421" s="176">
        <f>'QTR Rooms'!P891</f>
        <v>6794</v>
      </c>
      <c r="T421" s="844">
        <f>'QTR Rooms'!Q891</f>
        <v>6794</v>
      </c>
      <c r="U421" s="172">
        <f>'QTR Rooms'!R891</f>
        <v>6794</v>
      </c>
      <c r="V421" s="2461">
        <f>'QTR Rooms'!S891</f>
        <v>6818</v>
      </c>
      <c r="W421" s="2610">
        <f>'QTR Rooms'!T891</f>
        <v>6908</v>
      </c>
      <c r="X421" s="2610">
        <f>'QTR Rooms'!U891</f>
        <v>7152</v>
      </c>
      <c r="Y421" s="2751">
        <f>'QTR Rooms'!V891</f>
        <v>7152</v>
      </c>
      <c r="Z421" s="2583">
        <f>'QTR Rooms'!W891</f>
        <v>7152</v>
      </c>
      <c r="AA421" s="393">
        <f>'QTR Rooms'!X891</f>
        <v>7402</v>
      </c>
      <c r="AB421" s="176">
        <f>'QTR Rooms'!Y891</f>
        <v>7645</v>
      </c>
      <c r="AC421" s="176">
        <f>'QTR Rooms'!Z891</f>
        <v>7592</v>
      </c>
      <c r="AD421" s="844">
        <f>'QTR Rooms'!AA891</f>
        <v>7657</v>
      </c>
      <c r="AE421" s="2583">
        <f>'QTR Rooms'!AB891</f>
        <v>7657</v>
      </c>
      <c r="AF421" s="2610">
        <f>'QTR Rooms'!AC891</f>
        <v>8085</v>
      </c>
      <c r="AG421" s="2610">
        <f>'QTR Rooms'!AD891</f>
        <v>8101</v>
      </c>
      <c r="AH421" s="176">
        <f>'QTR Rooms'!AE891</f>
        <v>8101</v>
      </c>
      <c r="AI421" s="844">
        <f>'QTR Rooms'!AF891</f>
        <v>8101</v>
      </c>
      <c r="AJ421" s="2583">
        <f>'QTR Rooms'!AG891</f>
        <v>8101</v>
      </c>
      <c r="AK421" s="176">
        <f>'QTR Rooms'!AH891</f>
        <v>8101</v>
      </c>
      <c r="AL421" s="176">
        <f>'QTR Rooms'!AI891</f>
        <v>8101</v>
      </c>
      <c r="AM421" s="176">
        <f>'QTR Rooms'!AJ891</f>
        <v>8101</v>
      </c>
      <c r="AN421" s="176">
        <f>'QTR Rooms'!AK891</f>
        <v>8101</v>
      </c>
      <c r="AO421" s="172">
        <f>'QTR Rooms'!AL891</f>
        <v>8101</v>
      </c>
      <c r="AP421" s="172">
        <f>'QTR Rooms'!AM891</f>
        <v>8101</v>
      </c>
      <c r="AQ421" s="172">
        <f>'QTR Rooms'!AN891</f>
        <v>8101</v>
      </c>
      <c r="AR421" s="195"/>
      <c r="AS421" s="497" t="str">
        <f>+A421</f>
        <v># of Rooms</v>
      </c>
      <c r="AT421" s="929">
        <f>+E421</f>
        <v>4853</v>
      </c>
      <c r="AU421" s="929">
        <f>+F421</f>
        <v>4850</v>
      </c>
      <c r="AV421" s="929">
        <f>+K421</f>
        <v>6281</v>
      </c>
      <c r="AW421" s="929">
        <f>+P421</f>
        <v>6547</v>
      </c>
      <c r="AX421" s="929">
        <f>+U421</f>
        <v>6794</v>
      </c>
      <c r="AY421" s="929">
        <f>+Z421</f>
        <v>7152</v>
      </c>
      <c r="AZ421" s="929">
        <f>+AE421</f>
        <v>7657</v>
      </c>
      <c r="BA421" s="929">
        <f>+AJ421</f>
        <v>8101</v>
      </c>
      <c r="BB421" s="929">
        <f t="shared" si="715"/>
        <v>8101</v>
      </c>
      <c r="BC421" s="929">
        <f t="shared" si="715"/>
        <v>8101</v>
      </c>
      <c r="BD421" s="926">
        <f t="shared" si="715"/>
        <v>8101</v>
      </c>
      <c r="BF421" s="900"/>
      <c r="BM421" s="902"/>
      <c r="BN421" s="902"/>
      <c r="BO421" s="902"/>
      <c r="BP421" s="902"/>
      <c r="BQ421" s="902"/>
      <c r="BR421" s="902"/>
      <c r="BS421" s="902"/>
    </row>
    <row r="422" spans="1:259" s="15" customFormat="1" ht="12.75" customHeight="1">
      <c r="A422" s="493"/>
      <c r="B422" s="294"/>
      <c r="C422" s="294"/>
      <c r="D422" s="294"/>
      <c r="E422" s="294"/>
      <c r="F422" s="294"/>
      <c r="G422" s="173"/>
      <c r="H422" s="173"/>
      <c r="I422" s="173"/>
      <c r="J422" s="173"/>
      <c r="K422" s="294"/>
      <c r="L422" s="802"/>
      <c r="M422" s="173"/>
      <c r="N422" s="173"/>
      <c r="O422" s="173"/>
      <c r="P422" s="294"/>
      <c r="Q422" s="802"/>
      <c r="R422" s="173"/>
      <c r="S422" s="173"/>
      <c r="T422" s="173"/>
      <c r="U422" s="294"/>
      <c r="V422" s="984"/>
      <c r="W422" s="173"/>
      <c r="X422" s="173"/>
      <c r="Y422" s="173"/>
      <c r="Z422" s="3062"/>
      <c r="AA422" s="984"/>
      <c r="AB422" s="173"/>
      <c r="AC422" s="173"/>
      <c r="AD422" s="423"/>
      <c r="AE422" s="294"/>
      <c r="AF422" s="173"/>
      <c r="AG422" s="173"/>
      <c r="AH422" s="173"/>
      <c r="AI422" s="423"/>
      <c r="AJ422" s="294"/>
      <c r="AK422" s="173"/>
      <c r="AL422" s="173"/>
      <c r="AM422" s="173"/>
      <c r="AN422" s="423"/>
      <c r="AO422" s="294"/>
      <c r="AP422" s="294"/>
      <c r="AQ422" s="423"/>
      <c r="AR422" s="173"/>
      <c r="AS422" s="493"/>
      <c r="AT422" s="173"/>
      <c r="AU422" s="173"/>
      <c r="AV422" s="173"/>
      <c r="AW422" s="173"/>
      <c r="AX422" s="173"/>
      <c r="AY422" s="173"/>
      <c r="AZ422" s="173"/>
      <c r="BA422" s="173"/>
      <c r="BB422" s="173"/>
      <c r="BC422" s="173"/>
      <c r="BD422" s="423"/>
      <c r="BE422" s="14"/>
      <c r="BF422" s="900"/>
      <c r="BG422"/>
      <c r="BH422"/>
      <c r="BI422"/>
      <c r="BJ422"/>
      <c r="BK422"/>
      <c r="BL422"/>
      <c r="BM422" s="902"/>
      <c r="BN422" s="902"/>
      <c r="BO422" s="902"/>
      <c r="BP422" s="902"/>
      <c r="BQ422" s="902"/>
      <c r="BR422" s="902"/>
      <c r="BS422" s="902"/>
    </row>
    <row r="423" spans="1:259" s="11" customFormat="1" ht="12.75" customHeight="1">
      <c r="A423" s="1359" t="s">
        <v>766</v>
      </c>
      <c r="B423" s="1396"/>
      <c r="C423" s="1396"/>
      <c r="D423" s="1396"/>
      <c r="E423" s="1397">
        <f t="shared" ref="E423:J423" si="716">E18</f>
        <v>863</v>
      </c>
      <c r="F423" s="1397">
        <f t="shared" si="716"/>
        <v>944</v>
      </c>
      <c r="G423" s="1398">
        <f t="shared" si="716"/>
        <v>243</v>
      </c>
      <c r="H423" s="1398">
        <f t="shared" si="716"/>
        <v>272</v>
      </c>
      <c r="I423" s="1398">
        <f t="shared" si="716"/>
        <v>307</v>
      </c>
      <c r="J423" s="1398">
        <f t="shared" si="716"/>
        <v>263</v>
      </c>
      <c r="K423" s="137">
        <f>SUM(G423:J423)</f>
        <v>1085</v>
      </c>
      <c r="L423" s="1398">
        <f>L18</f>
        <v>246</v>
      </c>
      <c r="M423" s="1398">
        <f>M18</f>
        <v>261</v>
      </c>
      <c r="N423" s="1398">
        <f>N18</f>
        <v>302</v>
      </c>
      <c r="O423" s="1398">
        <f>O18</f>
        <v>300</v>
      </c>
      <c r="P423" s="137">
        <f>SUM(L423:O423)</f>
        <v>1109</v>
      </c>
      <c r="Q423" s="1398">
        <f>Q18</f>
        <v>279</v>
      </c>
      <c r="R423" s="1398">
        <f>R18</f>
        <v>276</v>
      </c>
      <c r="S423" s="1398">
        <f>S18</f>
        <v>295</v>
      </c>
      <c r="T423" s="1398">
        <f>T18</f>
        <v>321</v>
      </c>
      <c r="U423" s="1399">
        <f>SUM(Q423:T423)</f>
        <v>1171</v>
      </c>
      <c r="V423" s="2462">
        <f>V18</f>
        <v>321</v>
      </c>
      <c r="W423" s="1398">
        <f>W18</f>
        <v>319</v>
      </c>
      <c r="X423" s="1398">
        <f>X18</f>
        <v>334</v>
      </c>
      <c r="Y423" s="1398">
        <f>Y18</f>
        <v>334</v>
      </c>
      <c r="Z423" s="1399">
        <f>SUM(V423:Y423)</f>
        <v>1308</v>
      </c>
      <c r="AA423" s="1398">
        <f>AA18</f>
        <v>326</v>
      </c>
      <c r="AB423" s="1398">
        <f>AB18</f>
        <v>336</v>
      </c>
      <c r="AC423" s="1398">
        <f>AC18</f>
        <v>358</v>
      </c>
      <c r="AD423" s="1398">
        <f>AD18</f>
        <v>370</v>
      </c>
      <c r="AE423" s="2584">
        <f>SUM(AA423:AD423)</f>
        <v>1390</v>
      </c>
      <c r="AF423" s="2936">
        <v>0</v>
      </c>
      <c r="AG423" s="2936">
        <v>0</v>
      </c>
      <c r="AH423" s="2936">
        <v>0</v>
      </c>
      <c r="AI423" s="2936">
        <v>0</v>
      </c>
      <c r="AJ423" s="2584">
        <f>SUM(AF423:AI423)</f>
        <v>0</v>
      </c>
      <c r="AK423" s="3949">
        <f t="shared" ref="AK423:AN423" si="717">+AF423*(1+AK424)</f>
        <v>0</v>
      </c>
      <c r="AL423" s="3951">
        <f t="shared" si="717"/>
        <v>0</v>
      </c>
      <c r="AM423" s="3951">
        <f t="shared" si="717"/>
        <v>0</v>
      </c>
      <c r="AN423" s="3950">
        <f t="shared" si="717"/>
        <v>0</v>
      </c>
      <c r="AO423" s="1399">
        <f>SUM(AK423:AN423)</f>
        <v>0</v>
      </c>
      <c r="AP423" s="1399">
        <f>+AO423*(1+AP424)</f>
        <v>0</v>
      </c>
      <c r="AQ423" s="1399">
        <f>+AP423*(1+AQ424)</f>
        <v>0</v>
      </c>
      <c r="AR423" s="1400"/>
      <c r="AS423" s="1401" t="str">
        <f>+A423</f>
        <v>Revenues, net</v>
      </c>
      <c r="AT423" s="1402">
        <f>+E423</f>
        <v>863</v>
      </c>
      <c r="AU423" s="1402">
        <f>+F423</f>
        <v>944</v>
      </c>
      <c r="AV423" s="1402">
        <f>+K423</f>
        <v>1085</v>
      </c>
      <c r="AW423" s="1402">
        <f>+P423</f>
        <v>1109</v>
      </c>
      <c r="AX423" s="1402">
        <f>+U423</f>
        <v>1171</v>
      </c>
      <c r="AY423" s="1402">
        <f>+Z423</f>
        <v>1308</v>
      </c>
      <c r="AZ423" s="1402">
        <f>+AE423</f>
        <v>1390</v>
      </c>
      <c r="BA423" s="1402">
        <f>+AJ423</f>
        <v>0</v>
      </c>
      <c r="BB423" s="1402">
        <f t="shared" ref="BB423:BD424" si="718">+AO423</f>
        <v>0</v>
      </c>
      <c r="BC423" s="1402">
        <f t="shared" si="718"/>
        <v>0</v>
      </c>
      <c r="BD423" s="1403">
        <f t="shared" si="718"/>
        <v>0</v>
      </c>
      <c r="BE423" s="14"/>
      <c r="BF423" s="908"/>
      <c r="BG423"/>
      <c r="BH423"/>
      <c r="BI423"/>
      <c r="BJ423"/>
      <c r="BK423"/>
      <c r="BL423"/>
      <c r="BM423" s="909"/>
      <c r="BN423" s="909"/>
      <c r="BO423" s="909"/>
      <c r="BP423" s="909"/>
      <c r="BQ423" s="909"/>
      <c r="BR423" s="909"/>
      <c r="BS423" s="909"/>
    </row>
    <row r="424" spans="1:259" ht="12.75" customHeight="1">
      <c r="A424" s="545" t="s">
        <v>1774</v>
      </c>
      <c r="B424" s="143"/>
      <c r="C424" s="143"/>
      <c r="D424" s="143"/>
      <c r="E424" s="422"/>
      <c r="F424" s="422">
        <f>F423/E423-1</f>
        <v>9.3858632676709242E-2</v>
      </c>
      <c r="G424" s="421"/>
      <c r="H424" s="421"/>
      <c r="I424" s="421"/>
      <c r="J424" s="421"/>
      <c r="K424" s="422">
        <f t="shared" ref="K424:AD424" si="719">K423/F423-1</f>
        <v>0.14936440677966112</v>
      </c>
      <c r="L424" s="421">
        <f t="shared" si="719"/>
        <v>1.2345679012345734E-2</v>
      </c>
      <c r="M424" s="421">
        <f t="shared" si="719"/>
        <v>-4.0441176470588203E-2</v>
      </c>
      <c r="N424" s="421">
        <f t="shared" si="719"/>
        <v>-1.6286644951140072E-2</v>
      </c>
      <c r="O424" s="421">
        <f t="shared" si="719"/>
        <v>0.14068441064638781</v>
      </c>
      <c r="P424" s="422">
        <f t="shared" si="719"/>
        <v>2.2119815668202758E-2</v>
      </c>
      <c r="Q424" s="421">
        <f t="shared" si="719"/>
        <v>0.13414634146341453</v>
      </c>
      <c r="R424" s="421">
        <f t="shared" si="719"/>
        <v>5.7471264367816133E-2</v>
      </c>
      <c r="S424" s="421">
        <f t="shared" si="719"/>
        <v>-2.3178807947019875E-2</v>
      </c>
      <c r="T424" s="421">
        <f t="shared" si="719"/>
        <v>7.0000000000000062E-2</v>
      </c>
      <c r="U424" s="422">
        <f>+U423/P423-1</f>
        <v>5.5906221821460766E-2</v>
      </c>
      <c r="V424" s="1422">
        <f t="shared" si="719"/>
        <v>0.15053763440860224</v>
      </c>
      <c r="W424" s="421">
        <f t="shared" si="719"/>
        <v>0.15579710144927539</v>
      </c>
      <c r="X424" s="421">
        <f t="shared" si="719"/>
        <v>0.13220338983050839</v>
      </c>
      <c r="Y424" s="421">
        <f t="shared" si="719"/>
        <v>4.049844236760114E-2</v>
      </c>
      <c r="Z424" s="422">
        <f>+Z423/U423-1</f>
        <v>0.11699402220324506</v>
      </c>
      <c r="AA424" s="421">
        <f t="shared" si="719"/>
        <v>1.5576323987538832E-2</v>
      </c>
      <c r="AB424" s="421">
        <f t="shared" si="719"/>
        <v>5.3291536050156685E-2</v>
      </c>
      <c r="AC424" s="421">
        <f t="shared" si="719"/>
        <v>7.1856287425149601E-2</v>
      </c>
      <c r="AD424" s="421">
        <f t="shared" si="719"/>
        <v>0.10778443113772451</v>
      </c>
      <c r="AE424" s="680">
        <f>+AE423/Z423-1</f>
        <v>6.2691131498471053E-2</v>
      </c>
      <c r="AF424" s="392"/>
      <c r="AG424" s="392"/>
      <c r="AH424" s="392"/>
      <c r="AI424" s="1718"/>
      <c r="AJ424" s="680"/>
      <c r="AK424" s="392"/>
      <c r="AL424" s="392"/>
      <c r="AM424" s="392"/>
      <c r="AN424" s="1718"/>
      <c r="AO424" s="681"/>
      <c r="AP424" s="681"/>
      <c r="AQ424" s="1718"/>
      <c r="AR424" s="142"/>
      <c r="AS424" s="545" t="str">
        <f>+A424</f>
        <v>Y/Y Change</v>
      </c>
      <c r="AT424" s="419"/>
      <c r="AU424" s="419">
        <f>+F424</f>
        <v>9.3858632676709242E-2</v>
      </c>
      <c r="AV424" s="419">
        <f>+K424</f>
        <v>0.14936440677966112</v>
      </c>
      <c r="AW424" s="419">
        <f>+P424</f>
        <v>2.2119815668202758E-2</v>
      </c>
      <c r="AX424" s="419">
        <f>+U424</f>
        <v>5.5906221821460766E-2</v>
      </c>
      <c r="AY424" s="419">
        <f>+Z424</f>
        <v>0.11699402220324506</v>
      </c>
      <c r="AZ424" s="419">
        <f>+AE424</f>
        <v>6.2691131498471053E-2</v>
      </c>
      <c r="BA424" s="419">
        <f>+AJ424</f>
        <v>0</v>
      </c>
      <c r="BB424" s="419">
        <f t="shared" si="718"/>
        <v>0</v>
      </c>
      <c r="BC424" s="419">
        <f t="shared" si="718"/>
        <v>0</v>
      </c>
      <c r="BD424" s="876">
        <f t="shared" si="718"/>
        <v>0</v>
      </c>
      <c r="BF424" s="900"/>
      <c r="BM424" s="902"/>
      <c r="BN424" s="902"/>
      <c r="BO424" s="902"/>
      <c r="BP424" s="902"/>
      <c r="BQ424" s="902"/>
      <c r="BR424" s="902"/>
      <c r="BS424" s="902"/>
    </row>
    <row r="425" spans="1:259" ht="12.75" customHeight="1">
      <c r="A425" s="384"/>
      <c r="B425" s="343"/>
      <c r="C425" s="343"/>
      <c r="D425" s="918"/>
      <c r="E425" s="343"/>
      <c r="F425" s="343"/>
      <c r="G425" s="792"/>
      <c r="H425" s="185"/>
      <c r="I425" s="185"/>
      <c r="J425" s="185"/>
      <c r="K425" s="343"/>
      <c r="L425" s="792"/>
      <c r="M425" s="185"/>
      <c r="N425" s="185"/>
      <c r="O425" s="185"/>
      <c r="P425" s="343"/>
      <c r="Q425" s="792"/>
      <c r="R425" s="185"/>
      <c r="S425" s="185"/>
      <c r="T425" s="1721"/>
      <c r="U425" s="208"/>
      <c r="V425" s="2463"/>
      <c r="W425" s="185"/>
      <c r="X425" s="185"/>
      <c r="Y425" s="1721"/>
      <c r="Z425" s="1996"/>
      <c r="AA425" s="2463"/>
      <c r="AB425" s="185"/>
      <c r="AC425" s="185"/>
      <c r="AD425" s="1721"/>
      <c r="AE425" s="2585"/>
      <c r="AF425" s="185"/>
      <c r="AG425" s="185"/>
      <c r="AH425" s="185"/>
      <c r="AI425" s="1721"/>
      <c r="AJ425" s="2585"/>
      <c r="AK425" s="185"/>
      <c r="AL425" s="185"/>
      <c r="AM425" s="185"/>
      <c r="AN425" s="1721"/>
      <c r="AO425" s="343"/>
      <c r="AP425" s="343"/>
      <c r="AQ425" s="1717"/>
      <c r="AR425" s="195"/>
      <c r="AS425" s="384"/>
      <c r="AT425" s="188"/>
      <c r="AU425" s="188"/>
      <c r="AV425" s="188"/>
      <c r="AW425" s="188"/>
      <c r="AX425" s="188"/>
      <c r="AY425" s="188"/>
      <c r="AZ425" s="188"/>
      <c r="BA425" s="188"/>
      <c r="BB425" s="188"/>
      <c r="BC425" s="188"/>
      <c r="BD425" s="849"/>
      <c r="BF425" s="900"/>
      <c r="BM425" s="902"/>
      <c r="BN425" s="902"/>
      <c r="BO425" s="902"/>
      <c r="BP425" s="902"/>
      <c r="BQ425" s="902"/>
      <c r="BR425" s="902"/>
      <c r="BS425" s="902"/>
    </row>
    <row r="426" spans="1:259" s="2" customFormat="1" ht="12.75" customHeight="1">
      <c r="A426" s="914" t="s">
        <v>840</v>
      </c>
      <c r="B426" s="639"/>
      <c r="C426" s="639"/>
      <c r="D426" s="683"/>
      <c r="E426" s="1210">
        <f t="shared" ref="E426:J426" si="720">E32</f>
        <v>634</v>
      </c>
      <c r="F426" s="1209">
        <f t="shared" si="720"/>
        <v>668</v>
      </c>
      <c r="G426" s="1208">
        <f t="shared" si="720"/>
        <v>170</v>
      </c>
      <c r="H426" s="1208">
        <f t="shared" si="720"/>
        <v>193</v>
      </c>
      <c r="I426" s="1208">
        <f t="shared" si="720"/>
        <v>205</v>
      </c>
      <c r="J426" s="1208">
        <f t="shared" si="720"/>
        <v>190</v>
      </c>
      <c r="K426" s="172">
        <f>SUM(G426:J426)</f>
        <v>758</v>
      </c>
      <c r="L426" s="1208">
        <f>L32</f>
        <v>170</v>
      </c>
      <c r="M426" s="1208">
        <f>M32</f>
        <v>181</v>
      </c>
      <c r="N426" s="1208">
        <f>N32</f>
        <v>194</v>
      </c>
      <c r="O426" s="1208">
        <f>O32</f>
        <v>185</v>
      </c>
      <c r="P426" s="172">
        <f>SUM(L426:O426)</f>
        <v>730</v>
      </c>
      <c r="Q426" s="1208">
        <f>Q32</f>
        <v>177</v>
      </c>
      <c r="R426" s="1208">
        <f>R32</f>
        <v>188</v>
      </c>
      <c r="S426" s="1208">
        <f>S32</f>
        <v>199</v>
      </c>
      <c r="T426" s="1208">
        <f>T32</f>
        <v>203</v>
      </c>
      <c r="U426" s="922">
        <f>SUM(Q426:T426)</f>
        <v>767</v>
      </c>
      <c r="V426" s="1208">
        <f>V32</f>
        <v>234</v>
      </c>
      <c r="W426" s="1208">
        <f>W32</f>
        <v>220</v>
      </c>
      <c r="X426" s="1208">
        <f>X32</f>
        <v>219</v>
      </c>
      <c r="Y426" s="1208">
        <f>Y32</f>
        <v>224</v>
      </c>
      <c r="Z426" s="922">
        <f>SUM(V426:Y426)</f>
        <v>897</v>
      </c>
      <c r="AA426" s="1208">
        <f>AA32</f>
        <v>217</v>
      </c>
      <c r="AB426" s="1208">
        <f>AB32</f>
        <v>223</v>
      </c>
      <c r="AC426" s="1208">
        <f>AC32</f>
        <v>257</v>
      </c>
      <c r="AD426" s="1208">
        <f>AD32</f>
        <v>251</v>
      </c>
      <c r="AE426" s="2586">
        <f>SUM(AA426:AD426)</f>
        <v>948</v>
      </c>
      <c r="AF426" s="2937">
        <v>0</v>
      </c>
      <c r="AG426" s="2937">
        <v>0</v>
      </c>
      <c r="AH426" s="2937">
        <v>0</v>
      </c>
      <c r="AI426" s="2937">
        <v>0</v>
      </c>
      <c r="AJ426" s="2586">
        <f>SUM(AF426:AI426)</f>
        <v>0</v>
      </c>
      <c r="AK426" s="3949">
        <f t="shared" ref="AK426" si="721">+AF426*(1+AK427)</f>
        <v>0</v>
      </c>
      <c r="AL426" s="3951">
        <f t="shared" ref="AL426" si="722">+AG426*(1+AL427)</f>
        <v>0</v>
      </c>
      <c r="AM426" s="3951">
        <f t="shared" ref="AM426" si="723">+AH426*(1+AM427)</f>
        <v>0</v>
      </c>
      <c r="AN426" s="3950">
        <f t="shared" ref="AN426" si="724">+AI426*(1+AN427)</f>
        <v>0</v>
      </c>
      <c r="AO426" s="922">
        <f>SUM(AK426:AN426)</f>
        <v>0</v>
      </c>
      <c r="AP426" s="922">
        <f>+AO426*(1+AP427)</f>
        <v>0</v>
      </c>
      <c r="AQ426" s="922">
        <f>+AP426*(1+AQ427)</f>
        <v>0</v>
      </c>
      <c r="AR426" s="285"/>
      <c r="AS426" s="616" t="str">
        <f>+A426</f>
        <v>Expenses</v>
      </c>
      <c r="AT426" s="929">
        <f>+E426</f>
        <v>634</v>
      </c>
      <c r="AU426" s="929">
        <f>+F426</f>
        <v>668</v>
      </c>
      <c r="AV426" s="929">
        <f>+K426</f>
        <v>758</v>
      </c>
      <c r="AW426" s="929">
        <f>+P426</f>
        <v>730</v>
      </c>
      <c r="AX426" s="929">
        <f>+U426</f>
        <v>767</v>
      </c>
      <c r="AY426" s="929">
        <f>+Z426</f>
        <v>897</v>
      </c>
      <c r="AZ426" s="929">
        <f>+AE426</f>
        <v>948</v>
      </c>
      <c r="BA426" s="929">
        <f>+AJ426</f>
        <v>0</v>
      </c>
      <c r="BB426" s="929">
        <f t="shared" ref="BB426:BD427" si="725">+AO426</f>
        <v>0</v>
      </c>
      <c r="BC426" s="929">
        <f t="shared" si="725"/>
        <v>0</v>
      </c>
      <c r="BD426" s="926">
        <f t="shared" si="725"/>
        <v>0</v>
      </c>
      <c r="BE426" s="14"/>
      <c r="BF426" s="900"/>
      <c r="BG426"/>
      <c r="BH426"/>
      <c r="BI426"/>
      <c r="BJ426"/>
      <c r="BK426"/>
      <c r="BL426"/>
      <c r="BM426" s="902"/>
      <c r="BN426" s="902"/>
      <c r="BO426" s="902"/>
      <c r="BP426" s="902"/>
      <c r="BQ426" s="902"/>
      <c r="BR426" s="902"/>
      <c r="BS426" s="902"/>
    </row>
    <row r="427" spans="1:259" ht="12.75" customHeight="1">
      <c r="A427" s="545" t="s">
        <v>1774</v>
      </c>
      <c r="B427" s="143"/>
      <c r="C427" s="143"/>
      <c r="D427" s="920"/>
      <c r="E427" s="422"/>
      <c r="F427" s="422">
        <f>F426/E426-1</f>
        <v>5.3627760252366041E-2</v>
      </c>
      <c r="G427" s="421"/>
      <c r="H427" s="421"/>
      <c r="I427" s="421"/>
      <c r="J427" s="421"/>
      <c r="K427" s="422">
        <f t="shared" ref="K427:AD427" si="726">K426/F426-1</f>
        <v>0.13473053892215558</v>
      </c>
      <c r="L427" s="421">
        <f t="shared" si="726"/>
        <v>0</v>
      </c>
      <c r="M427" s="421">
        <f t="shared" si="726"/>
        <v>-6.2176165803108807E-2</v>
      </c>
      <c r="N427" s="421">
        <f t="shared" si="726"/>
        <v>-5.3658536585365901E-2</v>
      </c>
      <c r="O427" s="421">
        <f t="shared" si="726"/>
        <v>-2.6315789473684181E-2</v>
      </c>
      <c r="P427" s="422">
        <f t="shared" si="726"/>
        <v>-3.6939313984168831E-2</v>
      </c>
      <c r="Q427" s="421">
        <f t="shared" si="726"/>
        <v>4.117647058823537E-2</v>
      </c>
      <c r="R427" s="421">
        <f t="shared" si="726"/>
        <v>3.8674033149171283E-2</v>
      </c>
      <c r="S427" s="421">
        <f t="shared" si="726"/>
        <v>2.5773195876288568E-2</v>
      </c>
      <c r="T427" s="421">
        <f t="shared" si="726"/>
        <v>9.7297297297297192E-2</v>
      </c>
      <c r="U427" s="422">
        <f>+U426/P426-1</f>
        <v>5.0684931506849384E-2</v>
      </c>
      <c r="V427" s="421">
        <f t="shared" si="726"/>
        <v>0.32203389830508478</v>
      </c>
      <c r="W427" s="421">
        <f t="shared" si="726"/>
        <v>0.17021276595744683</v>
      </c>
      <c r="X427" s="421">
        <f t="shared" si="726"/>
        <v>0.10050251256281406</v>
      </c>
      <c r="Y427" s="421">
        <f t="shared" si="726"/>
        <v>0.10344827586206895</v>
      </c>
      <c r="Z427" s="422">
        <f>+Z426/U426-1</f>
        <v>0.16949152542372881</v>
      </c>
      <c r="AA427" s="421">
        <f t="shared" si="726"/>
        <v>-7.2649572649572614E-2</v>
      </c>
      <c r="AB427" s="421">
        <f t="shared" si="726"/>
        <v>1.3636363636363669E-2</v>
      </c>
      <c r="AC427" s="421">
        <f t="shared" si="726"/>
        <v>0.17351598173515992</v>
      </c>
      <c r="AD427" s="421">
        <f t="shared" si="726"/>
        <v>0.12053571428571419</v>
      </c>
      <c r="AE427" s="680">
        <f>+AE426/Z426-1</f>
        <v>5.6856187290969862E-2</v>
      </c>
      <c r="AF427" s="392"/>
      <c r="AG427" s="392"/>
      <c r="AH427" s="392"/>
      <c r="AI427" s="1718"/>
      <c r="AJ427" s="680"/>
      <c r="AK427" s="392"/>
      <c r="AL427" s="392"/>
      <c r="AM427" s="392"/>
      <c r="AN427" s="1718"/>
      <c r="AO427" s="681"/>
      <c r="AP427" s="681"/>
      <c r="AQ427" s="681"/>
      <c r="AR427" s="142"/>
      <c r="AS427" s="545" t="str">
        <f>+A427</f>
        <v>Y/Y Change</v>
      </c>
      <c r="AT427" s="419"/>
      <c r="AU427" s="419">
        <f>+F427</f>
        <v>5.3627760252366041E-2</v>
      </c>
      <c r="AV427" s="419">
        <f>+K427</f>
        <v>0.13473053892215558</v>
      </c>
      <c r="AW427" s="419">
        <f>+P427</f>
        <v>-3.6939313984168831E-2</v>
      </c>
      <c r="AX427" s="419">
        <f>+U427</f>
        <v>5.0684931506849384E-2</v>
      </c>
      <c r="AY427" s="419">
        <f>+Z427</f>
        <v>0.16949152542372881</v>
      </c>
      <c r="AZ427" s="419">
        <f>+AE427</f>
        <v>5.6856187290969862E-2</v>
      </c>
      <c r="BA427" s="419">
        <f>+AJ427</f>
        <v>0</v>
      </c>
      <c r="BB427" s="419">
        <f t="shared" si="725"/>
        <v>0</v>
      </c>
      <c r="BC427" s="419">
        <f t="shared" si="725"/>
        <v>0</v>
      </c>
      <c r="BD427" s="876">
        <f t="shared" si="725"/>
        <v>0</v>
      </c>
      <c r="BF427" s="900"/>
      <c r="BM427" s="902"/>
      <c r="BN427" s="902"/>
      <c r="BO427" s="902"/>
      <c r="BP427" s="902"/>
      <c r="BQ427" s="902"/>
      <c r="BR427" s="902"/>
      <c r="BS427" s="902"/>
    </row>
    <row r="428" spans="1:259" ht="12.75" customHeight="1">
      <c r="A428" s="493"/>
      <c r="B428" s="294"/>
      <c r="C428" s="294"/>
      <c r="D428" s="984"/>
      <c r="E428" s="294"/>
      <c r="F428" s="294"/>
      <c r="G428" s="778"/>
      <c r="H428" s="173"/>
      <c r="I428" s="173"/>
      <c r="J428" s="173"/>
      <c r="K428" s="294"/>
      <c r="L428" s="778"/>
      <c r="M428" s="173"/>
      <c r="N428" s="173"/>
      <c r="O428" s="173"/>
      <c r="P428" s="294"/>
      <c r="Q428" s="778"/>
      <c r="R428" s="173"/>
      <c r="S428" s="173"/>
      <c r="T428" s="173"/>
      <c r="U428" s="294"/>
      <c r="V428" s="173"/>
      <c r="W428" s="173"/>
      <c r="X428" s="173"/>
      <c r="Y428" s="173"/>
      <c r="Z428" s="294"/>
      <c r="AA428" s="984"/>
      <c r="AB428" s="173"/>
      <c r="AC428" s="173"/>
      <c r="AD428" s="423"/>
      <c r="AE428" s="294"/>
      <c r="AF428" s="173"/>
      <c r="AG428" s="173"/>
      <c r="AH428" s="173"/>
      <c r="AI428" s="423"/>
      <c r="AJ428" s="294"/>
      <c r="AK428" s="173"/>
      <c r="AL428" s="173"/>
      <c r="AM428" s="173"/>
      <c r="AN428" s="423"/>
      <c r="AO428" s="294"/>
      <c r="AP428" s="294"/>
      <c r="AQ428" s="294"/>
      <c r="AR428" s="173"/>
      <c r="AS428" s="493"/>
      <c r="AT428" s="173"/>
      <c r="AU428" s="173"/>
      <c r="AV428" s="173"/>
      <c r="AW428" s="173"/>
      <c r="AX428" s="173"/>
      <c r="AY428" s="173"/>
      <c r="AZ428" s="173"/>
      <c r="BA428" s="173"/>
      <c r="BB428" s="173"/>
      <c r="BC428" s="173"/>
      <c r="BD428" s="423"/>
      <c r="BF428" s="900"/>
      <c r="BM428" s="902"/>
      <c r="BN428" s="902"/>
      <c r="BO428" s="902"/>
      <c r="BP428" s="902"/>
      <c r="BQ428" s="902"/>
      <c r="BR428" s="902"/>
      <c r="BS428" s="902"/>
    </row>
    <row r="429" spans="1:259" s="11" customFormat="1" ht="12.75" customHeight="1">
      <c r="A429" s="1466" t="s">
        <v>1177</v>
      </c>
      <c r="B429" s="1487"/>
      <c r="C429" s="1487"/>
      <c r="D429" s="1488"/>
      <c r="E429" s="1487">
        <f t="shared" ref="E429:K429" si="727">+E423-E426</f>
        <v>229</v>
      </c>
      <c r="F429" s="1487">
        <f t="shared" si="727"/>
        <v>276</v>
      </c>
      <c r="G429" s="1479">
        <f t="shared" si="727"/>
        <v>73</v>
      </c>
      <c r="H429" s="1489">
        <f t="shared" si="727"/>
        <v>79</v>
      </c>
      <c r="I429" s="1489">
        <f t="shared" si="727"/>
        <v>102</v>
      </c>
      <c r="J429" s="1479">
        <f t="shared" si="727"/>
        <v>73</v>
      </c>
      <c r="K429" s="1487">
        <f t="shared" si="727"/>
        <v>327</v>
      </c>
      <c r="L429" s="1479">
        <f t="shared" ref="L429:Q429" si="728">+L423-L426</f>
        <v>76</v>
      </c>
      <c r="M429" s="1479">
        <f t="shared" si="728"/>
        <v>80</v>
      </c>
      <c r="N429" s="1479">
        <f t="shared" si="728"/>
        <v>108</v>
      </c>
      <c r="O429" s="1479">
        <f t="shared" si="728"/>
        <v>115</v>
      </c>
      <c r="P429" s="1487">
        <f t="shared" si="728"/>
        <v>379</v>
      </c>
      <c r="Q429" s="1479">
        <f t="shared" si="728"/>
        <v>102</v>
      </c>
      <c r="R429" s="1489">
        <f t="shared" ref="R429:W429" si="729">+R423-R426</f>
        <v>88</v>
      </c>
      <c r="S429" s="1489">
        <f t="shared" si="729"/>
        <v>96</v>
      </c>
      <c r="T429" s="1479">
        <f t="shared" si="729"/>
        <v>118</v>
      </c>
      <c r="U429" s="1487">
        <f t="shared" si="729"/>
        <v>404</v>
      </c>
      <c r="V429" s="1489">
        <f t="shared" si="729"/>
        <v>87</v>
      </c>
      <c r="W429" s="1489">
        <f t="shared" si="729"/>
        <v>99</v>
      </c>
      <c r="X429" s="1489">
        <f t="shared" ref="X429:AE429" si="730">+X423-X426</f>
        <v>115</v>
      </c>
      <c r="Y429" s="1479">
        <f t="shared" si="730"/>
        <v>110</v>
      </c>
      <c r="Z429" s="1487">
        <f t="shared" si="730"/>
        <v>411</v>
      </c>
      <c r="AA429" s="2560">
        <f t="shared" si="730"/>
        <v>109</v>
      </c>
      <c r="AB429" s="1489">
        <f t="shared" si="730"/>
        <v>113</v>
      </c>
      <c r="AC429" s="1489">
        <f t="shared" si="730"/>
        <v>101</v>
      </c>
      <c r="AD429" s="2561">
        <f t="shared" si="730"/>
        <v>119</v>
      </c>
      <c r="AE429" s="1487">
        <f t="shared" si="730"/>
        <v>442</v>
      </c>
      <c r="AF429" s="1489">
        <f>+AF423-AF426</f>
        <v>0</v>
      </c>
      <c r="AG429" s="1489">
        <f t="shared" ref="AG429:AQ429" si="731">+AG423-AG426</f>
        <v>0</v>
      </c>
      <c r="AH429" s="1489">
        <f t="shared" si="731"/>
        <v>0</v>
      </c>
      <c r="AI429" s="2561">
        <f t="shared" si="731"/>
        <v>0</v>
      </c>
      <c r="AJ429" s="1487">
        <f t="shared" si="731"/>
        <v>0</v>
      </c>
      <c r="AK429" s="1489">
        <f t="shared" ref="AK429:AO429" si="732">+AK423-AK426</f>
        <v>0</v>
      </c>
      <c r="AL429" s="1489">
        <f t="shared" si="732"/>
        <v>0</v>
      </c>
      <c r="AM429" s="1489">
        <f t="shared" si="732"/>
        <v>0</v>
      </c>
      <c r="AN429" s="1489">
        <f t="shared" si="732"/>
        <v>0</v>
      </c>
      <c r="AO429" s="1487">
        <f t="shared" si="732"/>
        <v>0</v>
      </c>
      <c r="AP429" s="1487">
        <f t="shared" si="731"/>
        <v>0</v>
      </c>
      <c r="AQ429" s="1487">
        <f t="shared" si="731"/>
        <v>0</v>
      </c>
      <c r="AR429" s="778"/>
      <c r="AS429" s="907" t="str">
        <f>+A429</f>
        <v>Timeshare EBITDA</v>
      </c>
      <c r="AT429" s="1404">
        <f>+E429</f>
        <v>229</v>
      </c>
      <c r="AU429" s="1404">
        <f>+F429</f>
        <v>276</v>
      </c>
      <c r="AV429" s="1404">
        <f>+K429</f>
        <v>327</v>
      </c>
      <c r="AW429" s="1404">
        <f>+P429</f>
        <v>379</v>
      </c>
      <c r="AX429" s="1404">
        <f>+U429</f>
        <v>404</v>
      </c>
      <c r="AY429" s="1404">
        <f>+Z429</f>
        <v>411</v>
      </c>
      <c r="AZ429" s="1404">
        <f>+AE429</f>
        <v>442</v>
      </c>
      <c r="BA429" s="1404">
        <f>+AJ429</f>
        <v>0</v>
      </c>
      <c r="BB429" s="1404">
        <f>+AO429</f>
        <v>0</v>
      </c>
      <c r="BC429" s="1404">
        <f>+AP429</f>
        <v>0</v>
      </c>
      <c r="BD429" s="1405">
        <f>+AQ429</f>
        <v>0</v>
      </c>
      <c r="BE429" s="14"/>
      <c r="BF429" s="908"/>
      <c r="BG429"/>
      <c r="BH429"/>
      <c r="BI429"/>
      <c r="BJ429"/>
      <c r="BK429"/>
      <c r="BL429"/>
      <c r="BM429" s="909"/>
      <c r="BN429" s="909"/>
      <c r="BO429" s="909"/>
      <c r="BP429" s="909"/>
      <c r="BQ429" s="909"/>
      <c r="BR429" s="909"/>
      <c r="BS429" s="909"/>
    </row>
    <row r="430" spans="1:259" s="1217" customFormat="1" ht="12.75" customHeight="1">
      <c r="A430" s="1211" t="s">
        <v>1201</v>
      </c>
      <c r="B430" s="1212"/>
      <c r="C430" s="1212"/>
      <c r="D430" s="1213"/>
      <c r="E430" s="1212">
        <f t="shared" ref="E430:J430" si="733">E431-E429</f>
        <v>-58</v>
      </c>
      <c r="F430" s="1212">
        <f t="shared" si="733"/>
        <v>-69</v>
      </c>
      <c r="G430" s="1213">
        <f t="shared" si="733"/>
        <v>-19</v>
      </c>
      <c r="H430" s="1214">
        <f t="shared" si="733"/>
        <v>-20</v>
      </c>
      <c r="I430" s="1214">
        <f t="shared" si="733"/>
        <v>-17</v>
      </c>
      <c r="J430" s="1215">
        <f t="shared" si="733"/>
        <v>-19</v>
      </c>
      <c r="K430" s="1212">
        <f>SUM(G430:J430)</f>
        <v>-75</v>
      </c>
      <c r="L430" s="1213">
        <f>L431-L429</f>
        <v>-17</v>
      </c>
      <c r="M430" s="1214">
        <f>M431-M429</f>
        <v>-20</v>
      </c>
      <c r="N430" s="1214">
        <f>N431-N429</f>
        <v>-22</v>
      </c>
      <c r="O430" s="1215">
        <f>O431-O429</f>
        <v>-23</v>
      </c>
      <c r="P430" s="1212">
        <f>SUM(L430:O430)</f>
        <v>-82</v>
      </c>
      <c r="Q430" s="1213">
        <f>Q431-Q429</f>
        <v>-17</v>
      </c>
      <c r="R430" s="1214">
        <f>R431-R429</f>
        <v>-19</v>
      </c>
      <c r="S430" s="1214">
        <f>S431-S429</f>
        <v>-18</v>
      </c>
      <c r="T430" s="1214">
        <f>T431-T429</f>
        <v>-16</v>
      </c>
      <c r="U430" s="1212">
        <f>SUM(Q430:T430)</f>
        <v>-70</v>
      </c>
      <c r="V430" s="1214">
        <f>V431-V429</f>
        <v>-13</v>
      </c>
      <c r="W430" s="1214">
        <f>W431-W429</f>
        <v>-13</v>
      </c>
      <c r="X430" s="1214">
        <f>X431-X429</f>
        <v>-16</v>
      </c>
      <c r="Y430" s="2608">
        <f>Y431-Y429</f>
        <v>-17</v>
      </c>
      <c r="Z430" s="2587">
        <f>SUM(V430:Y430)</f>
        <v>-59</v>
      </c>
      <c r="AA430" s="2607">
        <f>AA431-AA429</f>
        <v>-14</v>
      </c>
      <c r="AB430" s="2608">
        <f>AB431-AB429</f>
        <v>-15</v>
      </c>
      <c r="AC430" s="2608">
        <f>AC431-AC429</f>
        <v>-16</v>
      </c>
      <c r="AD430" s="2609">
        <f>AD431-AD429</f>
        <v>-16</v>
      </c>
      <c r="AE430" s="2587">
        <f>SUM(AA430:AD430)</f>
        <v>-61</v>
      </c>
      <c r="AF430" s="2608"/>
      <c r="AG430" s="2608"/>
      <c r="AH430" s="2608"/>
      <c r="AI430" s="2609"/>
      <c r="AJ430" s="2587"/>
      <c r="AK430" s="2608"/>
      <c r="AL430" s="2608"/>
      <c r="AM430" s="2608"/>
      <c r="AN430" s="2608"/>
      <c r="AO430" s="1218"/>
      <c r="AP430" s="1218"/>
      <c r="AQ430" s="1218"/>
      <c r="AR430" s="1216"/>
      <c r="AS430" s="1211"/>
      <c r="AT430" s="1214"/>
      <c r="AU430" s="1214"/>
      <c r="AV430" s="1214"/>
      <c r="AW430" s="1214"/>
      <c r="AX430" s="1214"/>
      <c r="AY430" s="1214"/>
      <c r="AZ430" s="1214"/>
      <c r="BA430" s="1214"/>
      <c r="BB430" s="1214"/>
      <c r="BC430" s="1214"/>
      <c r="BD430" s="1215"/>
      <c r="BE430" s="14"/>
      <c r="BF430" s="931"/>
      <c r="BG430"/>
      <c r="BH430"/>
      <c r="BI430"/>
      <c r="BJ430"/>
      <c r="BK430"/>
      <c r="BL430"/>
      <c r="BM430" s="931"/>
      <c r="BN430" s="931"/>
      <c r="BO430" s="931"/>
      <c r="BP430" s="931"/>
      <c r="BQ430" s="931"/>
      <c r="BR430" s="931"/>
      <c r="BS430" s="931"/>
    </row>
    <row r="431" spans="1:259" ht="12.75" customHeight="1">
      <c r="A431" s="291" t="s">
        <v>74</v>
      </c>
      <c r="B431" s="1482"/>
      <c r="C431" s="1482"/>
      <c r="D431" s="1483"/>
      <c r="E431" s="1484">
        <v>171</v>
      </c>
      <c r="F431" s="1484">
        <v>207</v>
      </c>
      <c r="G431" s="1485">
        <v>54</v>
      </c>
      <c r="H431" s="1490">
        <v>59</v>
      </c>
      <c r="I431" s="1490">
        <v>85</v>
      </c>
      <c r="J431" s="1485">
        <v>54</v>
      </c>
      <c r="K431" s="1482">
        <f>SUM(G431:J431)</f>
        <v>252</v>
      </c>
      <c r="L431" s="1485">
        <v>59</v>
      </c>
      <c r="M431" s="1485">
        <v>60</v>
      </c>
      <c r="N431" s="1485">
        <v>86</v>
      </c>
      <c r="O431" s="1485">
        <v>92</v>
      </c>
      <c r="P431" s="1482">
        <f>SUM(L431:O431)</f>
        <v>297</v>
      </c>
      <c r="Q431" s="1485">
        <v>85</v>
      </c>
      <c r="R431" s="1485">
        <v>69</v>
      </c>
      <c r="S431" s="1485">
        <v>78</v>
      </c>
      <c r="T431" s="1485">
        <v>102</v>
      </c>
      <c r="U431" s="1482">
        <f>SUM(Q431:T431)</f>
        <v>334</v>
      </c>
      <c r="V431" s="1485">
        <v>74</v>
      </c>
      <c r="W431" s="1485">
        <v>86</v>
      </c>
      <c r="X431" s="1485">
        <v>99</v>
      </c>
      <c r="Y431" s="1485">
        <v>93</v>
      </c>
      <c r="Z431" s="1482">
        <f>SUM(V431:Y431)</f>
        <v>352</v>
      </c>
      <c r="AA431" s="1485">
        <v>95</v>
      </c>
      <c r="AB431" s="1485">
        <v>98</v>
      </c>
      <c r="AC431" s="1485">
        <v>85</v>
      </c>
      <c r="AD431" s="1485">
        <v>103</v>
      </c>
      <c r="AE431" s="1482">
        <f>SUM(AA431:AD431)</f>
        <v>381</v>
      </c>
      <c r="AF431" s="1491">
        <f>AF429+AF430</f>
        <v>0</v>
      </c>
      <c r="AG431" s="1491">
        <f>AG429+AG430</f>
        <v>0</v>
      </c>
      <c r="AH431" s="1491">
        <f>AH429+AH430</f>
        <v>0</v>
      </c>
      <c r="AI431" s="2562">
        <f>AI429+AI430</f>
        <v>0</v>
      </c>
      <c r="AJ431" s="1482">
        <f>SUM(AF431:AI431)</f>
        <v>0</v>
      </c>
      <c r="AK431" s="1491">
        <f t="shared" ref="AK431:AN431" si="734">AK429+AK430</f>
        <v>0</v>
      </c>
      <c r="AL431" s="1491">
        <f t="shared" si="734"/>
        <v>0</v>
      </c>
      <c r="AM431" s="1491">
        <f t="shared" si="734"/>
        <v>0</v>
      </c>
      <c r="AN431" s="1491">
        <f t="shared" si="734"/>
        <v>0</v>
      </c>
      <c r="AO431" s="1482">
        <f>SUM(AK431:AN431)</f>
        <v>0</v>
      </c>
      <c r="AP431" s="1482">
        <f>AP429+AP430</f>
        <v>0</v>
      </c>
      <c r="AQ431" s="1480">
        <f>AQ429+AQ430</f>
        <v>0</v>
      </c>
      <c r="AR431" s="173"/>
      <c r="AS431" s="274" t="str">
        <f>+A431</f>
        <v>Timeshare Adjusted EBITDA</v>
      </c>
      <c r="AT431" s="622">
        <f t="shared" ref="AT431:AU433" si="735">+E431</f>
        <v>171</v>
      </c>
      <c r="AU431" s="622">
        <f t="shared" si="735"/>
        <v>207</v>
      </c>
      <c r="AV431" s="622">
        <f>+K431</f>
        <v>252</v>
      </c>
      <c r="AW431" s="622">
        <f>+P431</f>
        <v>297</v>
      </c>
      <c r="AX431" s="622">
        <f>+U431</f>
        <v>334</v>
      </c>
      <c r="AY431" s="622">
        <f>+Z431</f>
        <v>352</v>
      </c>
      <c r="AZ431" s="622">
        <f>+AE431</f>
        <v>381</v>
      </c>
      <c r="BA431" s="622">
        <f>+AJ431</f>
        <v>0</v>
      </c>
      <c r="BB431" s="622">
        <f t="shared" ref="BB431:BD432" si="736">+AO431</f>
        <v>0</v>
      </c>
      <c r="BC431" s="622">
        <f t="shared" si="736"/>
        <v>0</v>
      </c>
      <c r="BD431" s="631">
        <f t="shared" si="736"/>
        <v>0</v>
      </c>
      <c r="BF431" s="900"/>
      <c r="BM431" s="902"/>
      <c r="BN431" s="902"/>
      <c r="BO431" s="902"/>
      <c r="BP431" s="902"/>
      <c r="BQ431" s="902"/>
      <c r="BR431" s="902"/>
      <c r="BS431" s="902"/>
    </row>
    <row r="432" spans="1:259" s="499" customFormat="1" ht="12.75" customHeight="1">
      <c r="A432" s="311" t="s">
        <v>75</v>
      </c>
      <c r="B432" s="950"/>
      <c r="C432" s="950"/>
      <c r="D432" s="950"/>
      <c r="E432" s="985">
        <f t="shared" ref="E432:U432" si="737">E431/E423</f>
        <v>0.1981460023174971</v>
      </c>
      <c r="F432" s="985">
        <f t="shared" si="737"/>
        <v>0.21927966101694915</v>
      </c>
      <c r="G432" s="951">
        <f t="shared" si="737"/>
        <v>0.22222222222222221</v>
      </c>
      <c r="H432" s="951">
        <f t="shared" si="737"/>
        <v>0.21691176470588236</v>
      </c>
      <c r="I432" s="951">
        <f t="shared" si="737"/>
        <v>0.27687296416938112</v>
      </c>
      <c r="J432" s="951">
        <f t="shared" si="737"/>
        <v>0.20532319391634982</v>
      </c>
      <c r="K432" s="985">
        <f t="shared" si="737"/>
        <v>0.23225806451612904</v>
      </c>
      <c r="L432" s="951">
        <f t="shared" si="737"/>
        <v>0.23983739837398374</v>
      </c>
      <c r="M432" s="951">
        <f t="shared" si="737"/>
        <v>0.22988505747126436</v>
      </c>
      <c r="N432" s="951">
        <f t="shared" si="737"/>
        <v>0.28476821192052981</v>
      </c>
      <c r="O432" s="951">
        <f t="shared" si="737"/>
        <v>0.30666666666666664</v>
      </c>
      <c r="P432" s="985">
        <f t="shared" si="737"/>
        <v>0.26780883678990081</v>
      </c>
      <c r="Q432" s="951">
        <f t="shared" si="737"/>
        <v>0.30465949820788529</v>
      </c>
      <c r="R432" s="951">
        <f t="shared" si="737"/>
        <v>0.25</v>
      </c>
      <c r="S432" s="951">
        <f t="shared" si="737"/>
        <v>0.26440677966101694</v>
      </c>
      <c r="T432" s="951">
        <f t="shared" si="737"/>
        <v>0.31775700934579437</v>
      </c>
      <c r="U432" s="985">
        <f t="shared" si="737"/>
        <v>0.2852263023057216</v>
      </c>
      <c r="V432" s="951">
        <f t="shared" ref="V432:AE432" si="738">V431/V423</f>
        <v>0.23052959501557632</v>
      </c>
      <c r="W432" s="951">
        <f t="shared" si="738"/>
        <v>0.26959247648902823</v>
      </c>
      <c r="X432" s="951">
        <f t="shared" si="738"/>
        <v>0.29640718562874252</v>
      </c>
      <c r="Y432" s="951">
        <f t="shared" si="738"/>
        <v>0.27844311377245506</v>
      </c>
      <c r="Z432" s="985">
        <f t="shared" si="738"/>
        <v>0.26911314984709478</v>
      </c>
      <c r="AA432" s="1192">
        <f t="shared" si="738"/>
        <v>0.29141104294478526</v>
      </c>
      <c r="AB432" s="951">
        <f t="shared" si="738"/>
        <v>0.29166666666666669</v>
      </c>
      <c r="AC432" s="951">
        <f t="shared" si="738"/>
        <v>0.23743016759776536</v>
      </c>
      <c r="AD432" s="1193">
        <f t="shared" si="738"/>
        <v>0.27837837837837837</v>
      </c>
      <c r="AE432" s="985">
        <f t="shared" si="738"/>
        <v>0.2741007194244604</v>
      </c>
      <c r="AF432" s="951"/>
      <c r="AG432" s="951"/>
      <c r="AH432" s="951"/>
      <c r="AI432" s="1193"/>
      <c r="AJ432" s="985"/>
      <c r="AK432" s="951"/>
      <c r="AL432" s="951"/>
      <c r="AM432" s="951"/>
      <c r="AN432" s="1193"/>
      <c r="AO432" s="985"/>
      <c r="AP432" s="985"/>
      <c r="AQ432" s="985"/>
      <c r="AR432" s="722"/>
      <c r="AS432" s="998" t="str">
        <f>+A432</f>
        <v>Timeshare Adjusted EBITDA Margin</v>
      </c>
      <c r="AT432" s="723">
        <f t="shared" si="735"/>
        <v>0.1981460023174971</v>
      </c>
      <c r="AU432" s="723">
        <f t="shared" si="735"/>
        <v>0.21927966101694915</v>
      </c>
      <c r="AV432" s="723">
        <f>+K432</f>
        <v>0.23225806451612904</v>
      </c>
      <c r="AW432" s="723">
        <f>+P432</f>
        <v>0.26780883678990081</v>
      </c>
      <c r="AX432" s="723">
        <f>+U432</f>
        <v>0.2852263023057216</v>
      </c>
      <c r="AY432" s="723">
        <f>+Z432</f>
        <v>0.26911314984709478</v>
      </c>
      <c r="AZ432" s="1582">
        <f>+AE432</f>
        <v>0.2741007194244604</v>
      </c>
      <c r="BA432" s="1582">
        <f>+AJ432</f>
        <v>0</v>
      </c>
      <c r="BB432" s="1582">
        <f t="shared" si="736"/>
        <v>0</v>
      </c>
      <c r="BC432" s="1582">
        <f t="shared" si="736"/>
        <v>0</v>
      </c>
      <c r="BD432" s="1175">
        <f t="shared" si="736"/>
        <v>0</v>
      </c>
      <c r="BE432" s="14"/>
      <c r="BF432" s="900"/>
      <c r="BG432"/>
      <c r="BH432"/>
      <c r="BI432"/>
      <c r="BJ432"/>
      <c r="BK432"/>
      <c r="BL432"/>
      <c r="BM432" s="902"/>
      <c r="BN432" s="902"/>
      <c r="BO432" s="902"/>
      <c r="BP432" s="902"/>
      <c r="BQ432" s="902"/>
      <c r="BR432" s="902"/>
      <c r="BS432" s="902"/>
    </row>
    <row r="433" spans="1:71" s="499" customFormat="1" ht="12.75" customHeight="1">
      <c r="A433" s="545" t="s">
        <v>1774</v>
      </c>
      <c r="B433" s="950"/>
      <c r="C433" s="950"/>
      <c r="D433" s="950"/>
      <c r="E433" s="985"/>
      <c r="F433" s="985">
        <f>+F431/E431-1</f>
        <v>0.21052631578947367</v>
      </c>
      <c r="G433" s="951"/>
      <c r="H433" s="951"/>
      <c r="I433" s="951"/>
      <c r="J433" s="951"/>
      <c r="K433" s="985">
        <f t="shared" ref="K433:Q433" si="739">K431/F431-1</f>
        <v>0.21739130434782616</v>
      </c>
      <c r="L433" s="1192">
        <f t="shared" si="739"/>
        <v>9.259259259259256E-2</v>
      </c>
      <c r="M433" s="951">
        <f t="shared" si="739"/>
        <v>1.6949152542372836E-2</v>
      </c>
      <c r="N433" s="951">
        <f t="shared" si="739"/>
        <v>1.1764705882352899E-2</v>
      </c>
      <c r="O433" s="1193">
        <f t="shared" si="739"/>
        <v>0.70370370370370372</v>
      </c>
      <c r="P433" s="985">
        <f t="shared" si="739"/>
        <v>0.1785714285714286</v>
      </c>
      <c r="Q433" s="1192">
        <f t="shared" si="739"/>
        <v>0.44067796610169485</v>
      </c>
      <c r="R433" s="951">
        <f t="shared" ref="R433:Z433" si="740">R431/M431-1</f>
        <v>0.14999999999999991</v>
      </c>
      <c r="S433" s="951">
        <f t="shared" si="740"/>
        <v>-9.3023255813953543E-2</v>
      </c>
      <c r="T433" s="1193">
        <f t="shared" si="740"/>
        <v>0.10869565217391308</v>
      </c>
      <c r="U433" s="985">
        <f t="shared" si="740"/>
        <v>0.12457912457912457</v>
      </c>
      <c r="V433" s="951">
        <f t="shared" si="740"/>
        <v>-0.12941176470588234</v>
      </c>
      <c r="W433" s="951">
        <f t="shared" si="740"/>
        <v>0.24637681159420288</v>
      </c>
      <c r="X433" s="951">
        <f t="shared" si="740"/>
        <v>0.26923076923076916</v>
      </c>
      <c r="Y433" s="1193">
        <f t="shared" si="740"/>
        <v>-8.8235294117647078E-2</v>
      </c>
      <c r="Z433" s="985">
        <f t="shared" si="740"/>
        <v>5.3892215568862367E-2</v>
      </c>
      <c r="AA433" s="1192">
        <f>AA431/V431-1</f>
        <v>0.28378378378378377</v>
      </c>
      <c r="AB433" s="951">
        <f>AB431/W431-1</f>
        <v>0.13953488372093026</v>
      </c>
      <c r="AC433" s="951">
        <f>AC431/X431-1</f>
        <v>-0.14141414141414144</v>
      </c>
      <c r="AD433" s="1193">
        <f>AD431/Y431-1</f>
        <v>0.10752688172043001</v>
      </c>
      <c r="AE433" s="985">
        <f>AE431/Z431-1</f>
        <v>8.2386363636363535E-2</v>
      </c>
      <c r="AF433" s="951"/>
      <c r="AG433" s="951"/>
      <c r="AH433" s="951"/>
      <c r="AI433" s="1193"/>
      <c r="AJ433" s="985"/>
      <c r="AK433" s="951"/>
      <c r="AL433" s="951"/>
      <c r="AM433" s="951"/>
      <c r="AN433" s="1193"/>
      <c r="AO433" s="985"/>
      <c r="AP433" s="985"/>
      <c r="AQ433" s="985"/>
      <c r="AR433" s="722"/>
      <c r="AS433" s="543" t="str">
        <f>+A433</f>
        <v>Y/Y Change</v>
      </c>
      <c r="AT433" s="723">
        <f t="shared" si="735"/>
        <v>0</v>
      </c>
      <c r="AU433" s="723">
        <f t="shared" si="735"/>
        <v>0.21052631578947367</v>
      </c>
      <c r="AV433" s="723">
        <f>+K433</f>
        <v>0.21739130434782616</v>
      </c>
      <c r="AW433" s="723">
        <f>+P433</f>
        <v>0.1785714285714286</v>
      </c>
      <c r="AX433" s="723">
        <f>+U433</f>
        <v>0.12457912457912457</v>
      </c>
      <c r="AY433" s="723">
        <f>+Z433</f>
        <v>5.3892215568862367E-2</v>
      </c>
      <c r="AZ433" s="723">
        <f>+AE433</f>
        <v>8.2386363636363535E-2</v>
      </c>
      <c r="BA433" s="723">
        <f>+AJ433</f>
        <v>0</v>
      </c>
      <c r="BB433" s="723">
        <f>+AO433</f>
        <v>0</v>
      </c>
      <c r="BC433" s="723">
        <f>+AP433</f>
        <v>0</v>
      </c>
      <c r="BD433" s="863">
        <f>+AQ433</f>
        <v>0</v>
      </c>
      <c r="BE433" s="14"/>
      <c r="BF433" s="900"/>
      <c r="BG433"/>
      <c r="BH433"/>
      <c r="BI433"/>
      <c r="BJ433"/>
      <c r="BK433"/>
      <c r="BL433"/>
      <c r="BM433" s="902"/>
      <c r="BN433" s="902"/>
      <c r="BO433" s="902"/>
      <c r="BP433" s="902"/>
      <c r="BQ433" s="902"/>
      <c r="BR433" s="902"/>
      <c r="BS433" s="902"/>
    </row>
    <row r="434" spans="1:71" s="1203" customFormat="1" ht="12.75" customHeight="1">
      <c r="A434" s="1194" t="s">
        <v>616</v>
      </c>
      <c r="B434" s="1197"/>
      <c r="C434" s="1197"/>
      <c r="D434" s="1197"/>
      <c r="E434" s="1198"/>
      <c r="F434" s="1198"/>
      <c r="G434" s="1199"/>
      <c r="H434" s="1199"/>
      <c r="I434" s="1199"/>
      <c r="J434" s="1199"/>
      <c r="K434" s="1198"/>
      <c r="L434" s="1199"/>
      <c r="M434" s="1199"/>
      <c r="N434" s="1199"/>
      <c r="O434" s="1199"/>
      <c r="P434" s="1198"/>
      <c r="Q434" s="1199"/>
      <c r="R434" s="1199"/>
      <c r="S434" s="1199"/>
      <c r="T434" s="1199"/>
      <c r="U434" s="2012" t="s">
        <v>2271</v>
      </c>
      <c r="V434" s="1199"/>
      <c r="W434" s="1199"/>
      <c r="X434" s="1199"/>
      <c r="Y434" s="1199"/>
      <c r="Z434" s="2012" t="s">
        <v>2345</v>
      </c>
      <c r="AA434" s="2536"/>
      <c r="AB434" s="2537"/>
      <c r="AC434" s="2537"/>
      <c r="AD434" s="2538"/>
      <c r="AE434" s="2012" t="s">
        <v>2431</v>
      </c>
      <c r="AF434" s="2537"/>
      <c r="AG434" s="2537"/>
      <c r="AH434" s="2537"/>
      <c r="AI434" s="2538"/>
      <c r="AJ434" s="2012"/>
      <c r="AK434" s="2537"/>
      <c r="AL434" s="2537"/>
      <c r="AM434" s="2537"/>
      <c r="AN434" s="2538"/>
      <c r="AO434" s="1195"/>
      <c r="AP434" s="1195"/>
      <c r="AQ434" s="1198"/>
      <c r="AR434" s="1200"/>
      <c r="AS434" s="1201" t="str">
        <f>+A434</f>
        <v>Timeshare EBITDA guidance</v>
      </c>
      <c r="AT434" s="1199"/>
      <c r="AU434" s="1199"/>
      <c r="AV434" s="1199"/>
      <c r="AW434" s="1199"/>
      <c r="AX434" s="1199" t="str">
        <f>+U434</f>
        <v>315-330</v>
      </c>
      <c r="AY434" s="1199"/>
      <c r="AZ434" s="1199"/>
      <c r="BA434" s="1199"/>
      <c r="BB434" s="1199"/>
      <c r="BC434" s="1199"/>
      <c r="BD434" s="1202"/>
      <c r="BE434" s="14"/>
      <c r="BF434" s="1204"/>
      <c r="BG434"/>
      <c r="BH434"/>
      <c r="BI434"/>
      <c r="BJ434"/>
      <c r="BK434"/>
      <c r="BL434"/>
      <c r="BM434" s="1205"/>
      <c r="BN434" s="1205"/>
      <c r="BO434" s="1205"/>
      <c r="BP434" s="1205"/>
      <c r="BQ434" s="1205"/>
      <c r="BR434" s="1205"/>
      <c r="BS434" s="1205"/>
    </row>
    <row r="435" spans="1:71" ht="12.75" customHeight="1">
      <c r="A435" s="2049"/>
      <c r="B435" s="2050"/>
      <c r="C435" s="2050"/>
      <c r="D435" s="2050"/>
      <c r="E435" s="2051"/>
      <c r="F435" s="2051"/>
      <c r="G435" s="2052"/>
      <c r="H435" s="2050"/>
      <c r="I435" s="2050"/>
      <c r="J435" s="2050"/>
      <c r="K435" s="2053"/>
      <c r="L435" s="2052"/>
      <c r="M435" s="2052"/>
      <c r="N435" s="2054"/>
      <c r="O435" s="2054"/>
      <c r="P435" s="2055"/>
      <c r="Q435" s="2050"/>
      <c r="R435" s="2050"/>
      <c r="S435" s="2054"/>
      <c r="T435" s="2050"/>
      <c r="U435" s="2056"/>
      <c r="V435" s="2054"/>
      <c r="W435" s="2054"/>
      <c r="X435" s="2054"/>
      <c r="Y435" s="2050"/>
      <c r="Z435" s="2056"/>
      <c r="AA435" s="2539"/>
      <c r="AB435" s="2058"/>
      <c r="AC435" s="2058"/>
      <c r="AD435" s="2059"/>
      <c r="AE435" s="2057"/>
      <c r="AF435" s="2058"/>
      <c r="AG435" s="2058"/>
      <c r="AH435" s="2058"/>
      <c r="AI435" s="2059"/>
      <c r="AJ435" s="2057"/>
      <c r="AK435" s="2058"/>
      <c r="AL435" s="2058"/>
      <c r="AM435" s="2058"/>
      <c r="AN435" s="2059"/>
      <c r="AO435" s="2057"/>
      <c r="AP435" s="2057"/>
      <c r="AQ435" s="2051"/>
      <c r="AR435" s="197"/>
      <c r="AS435" s="1000"/>
      <c r="AT435" s="2058"/>
      <c r="AU435" s="2058"/>
      <c r="AV435" s="2058"/>
      <c r="AW435" s="2058"/>
      <c r="AX435" s="2058"/>
      <c r="AY435" s="2058"/>
      <c r="AZ435" s="2058"/>
      <c r="BA435" s="2058"/>
      <c r="BB435" s="2058"/>
      <c r="BC435" s="2058"/>
      <c r="BD435" s="2059"/>
      <c r="BF435" s="900"/>
      <c r="BM435" s="902"/>
      <c r="BN435" s="902"/>
      <c r="BO435" s="902"/>
      <c r="BP435" s="902"/>
      <c r="BQ435" s="902"/>
      <c r="BR435" s="902"/>
      <c r="BS435" s="902"/>
    </row>
    <row r="436" spans="1:71" ht="12.75" hidden="1" customHeight="1" outlineLevel="1">
      <c r="A436" s="497" t="s">
        <v>1717</v>
      </c>
      <c r="B436" s="343"/>
      <c r="C436" s="343"/>
      <c r="D436" s="918"/>
      <c r="E436" s="343"/>
      <c r="F436" s="343"/>
      <c r="G436" s="195"/>
      <c r="H436" s="195"/>
      <c r="I436" s="195"/>
      <c r="J436" s="195"/>
      <c r="K436" s="343"/>
      <c r="L436" s="195"/>
      <c r="M436" s="195"/>
      <c r="N436" s="195"/>
      <c r="O436" s="195"/>
      <c r="P436" s="343"/>
      <c r="Q436" s="195"/>
      <c r="R436" s="195"/>
      <c r="S436" s="195"/>
      <c r="T436" s="195"/>
      <c r="U436" s="343"/>
      <c r="V436" s="195"/>
      <c r="W436" s="195"/>
      <c r="X436" s="195"/>
      <c r="Y436" s="195"/>
      <c r="Z436" s="343"/>
      <c r="AA436" s="918"/>
      <c r="AB436" s="195"/>
      <c r="AC436" s="195"/>
      <c r="AD436" s="2517"/>
      <c r="AE436" s="343"/>
      <c r="AF436" s="195"/>
      <c r="AG436" s="195"/>
      <c r="AH436" s="195"/>
      <c r="AI436" s="2517"/>
      <c r="AJ436" s="343"/>
      <c r="AK436" s="195"/>
      <c r="AL436" s="195"/>
      <c r="AM436" s="195"/>
      <c r="AN436" s="2517"/>
      <c r="AO436" s="343"/>
      <c r="AP436" s="343"/>
      <c r="AQ436" s="343"/>
      <c r="AR436" s="195"/>
      <c r="AS436" s="497" t="str">
        <f>+A436</f>
        <v>Other Disclosed Data:</v>
      </c>
      <c r="AT436" s="188"/>
      <c r="AU436" s="188"/>
      <c r="AV436" s="188"/>
      <c r="AW436" s="188"/>
      <c r="AX436" s="188"/>
      <c r="AY436" s="188"/>
      <c r="AZ436" s="188"/>
      <c r="BA436" s="188"/>
      <c r="BB436" s="188"/>
      <c r="BC436" s="188"/>
      <c r="BD436" s="849"/>
      <c r="BF436" s="900"/>
      <c r="BM436" s="902"/>
      <c r="BN436" s="902"/>
      <c r="BO436" s="902"/>
      <c r="BP436" s="902"/>
      <c r="BQ436" s="902"/>
      <c r="BR436" s="902"/>
      <c r="BS436" s="902"/>
    </row>
    <row r="437" spans="1:71" ht="12.75" hidden="1" customHeight="1" outlineLevel="1">
      <c r="A437" s="489" t="s">
        <v>1239</v>
      </c>
      <c r="B437" s="131"/>
      <c r="C437" s="131"/>
      <c r="D437" s="919"/>
      <c r="E437" s="921">
        <v>15022</v>
      </c>
      <c r="F437" s="921">
        <v>16701</v>
      </c>
      <c r="G437" s="183">
        <v>4528</v>
      </c>
      <c r="H437" s="183">
        <v>4881</v>
      </c>
      <c r="I437" s="183">
        <v>5167</v>
      </c>
      <c r="J437" s="183">
        <v>5656</v>
      </c>
      <c r="K437" s="343">
        <f>SUM(G437:J437)</f>
        <v>20232</v>
      </c>
      <c r="L437" s="183">
        <v>5512</v>
      </c>
      <c r="M437" s="183">
        <v>5633</v>
      </c>
      <c r="N437" s="183">
        <v>6206</v>
      </c>
      <c r="O437" s="2034">
        <f>J437*(1+O438)</f>
        <v>5893.5520000000006</v>
      </c>
      <c r="P437" s="343">
        <f>SUM(L437:O437)</f>
        <v>23244.552</v>
      </c>
      <c r="Q437" s="2208">
        <f>L437*(1+Q438)</f>
        <v>5506.4880000000003</v>
      </c>
      <c r="R437" s="199">
        <f>M437*(1+R438)</f>
        <v>6213.1989999999996</v>
      </c>
      <c r="S437" s="199">
        <f>N437*(1+S438)</f>
        <v>6671.45</v>
      </c>
      <c r="T437" s="199">
        <f>O437*(1+T438)</f>
        <v>6588.9911359999996</v>
      </c>
      <c r="U437" s="343">
        <f>SUM(Q437:T437)</f>
        <v>24980.128135999999</v>
      </c>
      <c r="V437" s="199">
        <f>Q437*(1+V438)</f>
        <v>5506.4880000000003</v>
      </c>
      <c r="W437" s="199">
        <f>R437*(1+W438)</f>
        <v>6213.1989999999996</v>
      </c>
      <c r="X437" s="199">
        <f>S437*(1+X438)</f>
        <v>6671.45</v>
      </c>
      <c r="Y437" s="2724">
        <f>T437*(1+Y438)</f>
        <v>6588.9911359999996</v>
      </c>
      <c r="Z437" s="343">
        <f>SUM(V437:Y437)</f>
        <v>24980.128135999999</v>
      </c>
      <c r="AA437" s="2500">
        <f>V437*(1+AA438)</f>
        <v>5506.4880000000003</v>
      </c>
      <c r="AB437" s="199">
        <f>W437*(1+AB438)</f>
        <v>6213.1989999999996</v>
      </c>
      <c r="AC437" s="199">
        <f>X437*(1+AC438)</f>
        <v>6671.45</v>
      </c>
      <c r="AD437" s="847">
        <f>Y437*(1+AD438)</f>
        <v>6588.9911359999996</v>
      </c>
      <c r="AE437" s="343">
        <f>SUM(AA437:AD437)</f>
        <v>24980.128135999999</v>
      </c>
      <c r="AF437" s="199">
        <f>AA437*(1+AF438)</f>
        <v>5506.4880000000003</v>
      </c>
      <c r="AG437" s="199">
        <f>AB437*(1+AG438)</f>
        <v>6213.1989999999996</v>
      </c>
      <c r="AH437" s="199">
        <f>AC437*(1+AH438)</f>
        <v>6671.45</v>
      </c>
      <c r="AI437" s="847">
        <f>AD437*(1+AI438)</f>
        <v>6588.9911359999996</v>
      </c>
      <c r="AJ437" s="343">
        <f>SUM(AF437:AI437)</f>
        <v>24980.128135999999</v>
      </c>
      <c r="AK437" s="199">
        <f t="shared" ref="AK437:AN437" si="741">AF437*(1+AK438)</f>
        <v>5506.4880000000003</v>
      </c>
      <c r="AL437" s="199">
        <f t="shared" si="741"/>
        <v>6213.1989999999996</v>
      </c>
      <c r="AM437" s="199">
        <f t="shared" si="741"/>
        <v>6671.45</v>
      </c>
      <c r="AN437" s="199">
        <f t="shared" si="741"/>
        <v>6588.9911359999996</v>
      </c>
      <c r="AO437" s="2585">
        <f>SUM(AK437:AN437)</f>
        <v>24980.128135999999</v>
      </c>
      <c r="AP437" s="343">
        <f>AO437*(1+AP438)</f>
        <v>24980.128135999999</v>
      </c>
      <c r="AQ437" s="347">
        <f>AP437*(1+AQ438)</f>
        <v>24980.128135999999</v>
      </c>
      <c r="AR437" s="195"/>
      <c r="AS437" s="489" t="str">
        <f>+A437</f>
        <v>Intervals Sold</v>
      </c>
      <c r="AT437" s="188">
        <f>+E437</f>
        <v>15022</v>
      </c>
      <c r="AU437" s="188">
        <f>+F437</f>
        <v>16701</v>
      </c>
      <c r="AV437" s="188">
        <f>+K437</f>
        <v>20232</v>
      </c>
      <c r="AW437" s="188">
        <f>+P437</f>
        <v>23244.552</v>
      </c>
      <c r="AX437" s="188">
        <f>+U437</f>
        <v>24980.128135999999</v>
      </c>
      <c r="AY437" s="188">
        <f>+Z437</f>
        <v>24980.128135999999</v>
      </c>
      <c r="AZ437" s="188">
        <f>+AE437</f>
        <v>24980.128135999999</v>
      </c>
      <c r="BA437" s="188">
        <f>+AJ437</f>
        <v>24980.128135999999</v>
      </c>
      <c r="BB437" s="188">
        <f t="shared" ref="BB437:BD438" si="742">+AO437</f>
        <v>24980.128135999999</v>
      </c>
      <c r="BC437" s="188">
        <f t="shared" si="742"/>
        <v>24980.128135999999</v>
      </c>
      <c r="BD437" s="849">
        <f t="shared" si="742"/>
        <v>24980.128135999999</v>
      </c>
      <c r="BF437" s="900"/>
      <c r="BM437" s="902"/>
      <c r="BN437" s="902"/>
      <c r="BO437" s="931"/>
      <c r="BP437" s="902"/>
      <c r="BQ437" s="902"/>
      <c r="BR437" s="902"/>
      <c r="BS437" s="902"/>
    </row>
    <row r="438" spans="1:71" ht="12.75" hidden="1" customHeight="1" outlineLevel="1">
      <c r="A438" s="545" t="s">
        <v>1774</v>
      </c>
      <c r="B438" s="143"/>
      <c r="C438" s="143"/>
      <c r="D438" s="920"/>
      <c r="E438" s="143"/>
      <c r="F438" s="422">
        <f>F437/E437-1</f>
        <v>0.11176940487285325</v>
      </c>
      <c r="G438" s="421"/>
      <c r="H438" s="421"/>
      <c r="I438" s="421"/>
      <c r="J438" s="421"/>
      <c r="K438" s="422">
        <f>K437/F437-1</f>
        <v>0.21142446560086214</v>
      </c>
      <c r="L438" s="421">
        <f>L437/G437-1</f>
        <v>0.21731448763250882</v>
      </c>
      <c r="M438" s="421">
        <f>M437/H437-1</f>
        <v>0.15406678959229669</v>
      </c>
      <c r="N438" s="421">
        <f>N437/I437-1</f>
        <v>0.20108380104509394</v>
      </c>
      <c r="O438" s="2035">
        <v>4.2000000000000003E-2</v>
      </c>
      <c r="P438" s="422">
        <f>P437/K437-1</f>
        <v>0.14890035587188621</v>
      </c>
      <c r="Q438" s="2209">
        <v>-1E-3</v>
      </c>
      <c r="R438" s="392">
        <v>0.10299999999999999</v>
      </c>
      <c r="S438" s="392">
        <v>7.4999999999999997E-2</v>
      </c>
      <c r="T438" s="392">
        <v>0.11799999999999999</v>
      </c>
      <c r="U438" s="422">
        <f>U437/P437-1</f>
        <v>7.4665931870831592E-2</v>
      </c>
      <c r="V438" s="392">
        <v>0</v>
      </c>
      <c r="W438" s="392">
        <v>0</v>
      </c>
      <c r="X438" s="392">
        <v>0</v>
      </c>
      <c r="Y438" s="392">
        <v>0</v>
      </c>
      <c r="Z438" s="422">
        <f>Z437/U437-1</f>
        <v>0</v>
      </c>
      <c r="AA438" s="2524">
        <v>0</v>
      </c>
      <c r="AB438" s="392">
        <v>0</v>
      </c>
      <c r="AC438" s="392">
        <v>0</v>
      </c>
      <c r="AD438" s="1718">
        <v>0</v>
      </c>
      <c r="AE438" s="422">
        <f>AE437/Z437-1</f>
        <v>0</v>
      </c>
      <c r="AF438" s="392">
        <v>0</v>
      </c>
      <c r="AG438" s="392">
        <v>0</v>
      </c>
      <c r="AH438" s="392">
        <v>0</v>
      </c>
      <c r="AI438" s="1718">
        <v>0</v>
      </c>
      <c r="AJ438" s="422">
        <f>AJ437/AE437-1</f>
        <v>0</v>
      </c>
      <c r="AK438" s="392">
        <v>0</v>
      </c>
      <c r="AL438" s="392">
        <v>0</v>
      </c>
      <c r="AM438" s="392">
        <v>0</v>
      </c>
      <c r="AN438" s="392">
        <v>0</v>
      </c>
      <c r="AO438" s="680">
        <f>AO437/AJ437-1</f>
        <v>0</v>
      </c>
      <c r="AP438" s="681">
        <v>0</v>
      </c>
      <c r="AQ438" s="681">
        <v>0</v>
      </c>
      <c r="AR438" s="142"/>
      <c r="AS438" s="545" t="str">
        <f>+A438</f>
        <v>Y/Y Change</v>
      </c>
      <c r="AT438" s="419"/>
      <c r="AU438" s="419">
        <f>+F438</f>
        <v>0.11176940487285325</v>
      </c>
      <c r="AV438" s="419">
        <f>+K438</f>
        <v>0.21142446560086214</v>
      </c>
      <c r="AW438" s="419">
        <f>+P438</f>
        <v>0.14890035587188621</v>
      </c>
      <c r="AX438" s="419">
        <f>+U438</f>
        <v>7.4665931870831592E-2</v>
      </c>
      <c r="AY438" s="419">
        <f>+Z438</f>
        <v>0</v>
      </c>
      <c r="AZ438" s="419">
        <f>+AE438</f>
        <v>0</v>
      </c>
      <c r="BA438" s="419">
        <f>+AJ438</f>
        <v>0</v>
      </c>
      <c r="BB438" s="419">
        <f t="shared" si="742"/>
        <v>0</v>
      </c>
      <c r="BC438" s="419">
        <f t="shared" si="742"/>
        <v>0</v>
      </c>
      <c r="BD438" s="876">
        <f t="shared" si="742"/>
        <v>0</v>
      </c>
      <c r="BF438" s="900"/>
      <c r="BM438" s="902"/>
      <c r="BN438" s="902"/>
      <c r="BO438" s="931"/>
      <c r="BP438" s="902"/>
      <c r="BQ438" s="902"/>
      <c r="BR438" s="902"/>
      <c r="BS438" s="902"/>
    </row>
    <row r="439" spans="1:71" ht="12.75" hidden="1" customHeight="1" outlineLevel="1">
      <c r="A439" s="545"/>
      <c r="B439" s="143"/>
      <c r="C439" s="143"/>
      <c r="D439" s="920"/>
      <c r="E439" s="143"/>
      <c r="F439" s="422"/>
      <c r="G439" s="421"/>
      <c r="H439" s="421"/>
      <c r="I439" s="421"/>
      <c r="J439" s="421"/>
      <c r="K439" s="422"/>
      <c r="L439" s="421"/>
      <c r="M439" s="421"/>
      <c r="N439" s="421"/>
      <c r="O439" s="2036"/>
      <c r="P439" s="343"/>
      <c r="Q439" s="2210"/>
      <c r="R439" s="195"/>
      <c r="S439" s="195"/>
      <c r="T439" s="195"/>
      <c r="U439" s="343"/>
      <c r="V439" s="195"/>
      <c r="W439" s="195"/>
      <c r="X439" s="195"/>
      <c r="Y439" s="195"/>
      <c r="Z439" s="343"/>
      <c r="AA439" s="918"/>
      <c r="AB439" s="195"/>
      <c r="AC439" s="195"/>
      <c r="AD439" s="2517"/>
      <c r="AE439" s="343"/>
      <c r="AF439" s="195"/>
      <c r="AG439" s="195"/>
      <c r="AH439" s="195"/>
      <c r="AI439" s="2517"/>
      <c r="AJ439" s="343"/>
      <c r="AK439" s="195"/>
      <c r="AL439" s="195"/>
      <c r="AM439" s="195"/>
      <c r="AN439" s="2517"/>
      <c r="AO439" s="2585"/>
      <c r="AP439" s="343"/>
      <c r="AQ439" s="343"/>
      <c r="AR439" s="142"/>
      <c r="AS439" s="545"/>
      <c r="AT439" s="419"/>
      <c r="AU439" s="419"/>
      <c r="AV439" s="419"/>
      <c r="AW439" s="419"/>
      <c r="AX439" s="419"/>
      <c r="AY439" s="419"/>
      <c r="AZ439" s="419"/>
      <c r="BA439" s="419"/>
      <c r="BB439" s="419"/>
      <c r="BC439" s="419"/>
      <c r="BD439" s="876"/>
      <c r="BF439" s="900"/>
      <c r="BM439" s="902"/>
      <c r="BN439" s="902"/>
      <c r="BO439" s="931"/>
      <c r="BP439" s="902"/>
      <c r="BQ439" s="902"/>
      <c r="BR439" s="902"/>
      <c r="BS439" s="902"/>
    </row>
    <row r="440" spans="1:71" ht="12.75" hidden="1" customHeight="1" outlineLevel="1">
      <c r="A440" s="489" t="s">
        <v>1240</v>
      </c>
      <c r="B440" s="131"/>
      <c r="C440" s="131"/>
      <c r="D440" s="919"/>
      <c r="E440" s="921">
        <v>3562</v>
      </c>
      <c r="F440" s="921">
        <v>3649</v>
      </c>
      <c r="G440" s="183">
        <v>3635</v>
      </c>
      <c r="H440" s="183">
        <v>3349</v>
      </c>
      <c r="I440" s="183">
        <v>3547</v>
      </c>
      <c r="J440" s="183">
        <v>3676</v>
      </c>
      <c r="K440" s="354">
        <v>3550</v>
      </c>
      <c r="L440" s="183">
        <v>3510</v>
      </c>
      <c r="M440" s="183">
        <v>3007</v>
      </c>
      <c r="N440" s="183">
        <v>3220</v>
      </c>
      <c r="O440" s="2034">
        <f>J440*(1+O441)</f>
        <v>3249.5839999999998</v>
      </c>
      <c r="P440" s="343">
        <v>3238</v>
      </c>
      <c r="Q440" s="2208">
        <f>L440*(1+Q441)</f>
        <v>3334.5</v>
      </c>
      <c r="R440" s="199">
        <f>M440*(1+R441)</f>
        <v>3196.4409999999998</v>
      </c>
      <c r="S440" s="199">
        <f>N440*(1+S441)</f>
        <v>3509.8</v>
      </c>
      <c r="T440" s="199">
        <f>O440*(1+T441)</f>
        <v>3714.274512</v>
      </c>
      <c r="U440" s="343">
        <v>3442</v>
      </c>
      <c r="V440" s="199">
        <f>Q440*(1+V441)</f>
        <v>3334.5</v>
      </c>
      <c r="W440" s="199">
        <f>R440*(1+W441)</f>
        <v>3196.4409999999998</v>
      </c>
      <c r="X440" s="199">
        <f>S440*(1+X441)</f>
        <v>3509.8</v>
      </c>
      <c r="Y440" s="2724">
        <f>T440*(1+Y441)</f>
        <v>3714.274512</v>
      </c>
      <c r="Z440" s="343">
        <v>3442</v>
      </c>
      <c r="AA440" s="2500">
        <f>V440*(1+AA441)</f>
        <v>3334.5</v>
      </c>
      <c r="AB440" s="199">
        <f>W440*(1+AB441)</f>
        <v>3196.4409999999998</v>
      </c>
      <c r="AC440" s="199">
        <f>X440*(1+AC441)</f>
        <v>3509.8</v>
      </c>
      <c r="AD440" s="847">
        <f>Y440*(1+AD441)</f>
        <v>3714.274512</v>
      </c>
      <c r="AE440" s="343">
        <v>3442</v>
      </c>
      <c r="AF440" s="199">
        <f>AA440*(1+AF441)</f>
        <v>3334.5</v>
      </c>
      <c r="AG440" s="199">
        <f>AB440*(1+AG441)</f>
        <v>3196.4409999999998</v>
      </c>
      <c r="AH440" s="199">
        <f>AC440*(1+AH441)</f>
        <v>3509.8</v>
      </c>
      <c r="AI440" s="847">
        <f>AD440*(1+AI441)</f>
        <v>3714.274512</v>
      </c>
      <c r="AJ440" s="343">
        <v>3442</v>
      </c>
      <c r="AK440" s="199">
        <f t="shared" ref="AK440:AN440" si="743">AF440*(1+AK441)</f>
        <v>3334.5</v>
      </c>
      <c r="AL440" s="199">
        <f t="shared" si="743"/>
        <v>3196.4409999999998</v>
      </c>
      <c r="AM440" s="199">
        <f t="shared" si="743"/>
        <v>3509.8</v>
      </c>
      <c r="AN440" s="199">
        <f t="shared" si="743"/>
        <v>3714.274512</v>
      </c>
      <c r="AO440" s="2585">
        <v>3442</v>
      </c>
      <c r="AP440" s="343">
        <f>AO440*(1+AP441)</f>
        <v>3442</v>
      </c>
      <c r="AQ440" s="282">
        <f>AP440*(1+AQ441)</f>
        <v>3442</v>
      </c>
      <c r="AR440" s="195"/>
      <c r="AS440" s="489" t="str">
        <f>+A440</f>
        <v>VPG</v>
      </c>
      <c r="AT440" s="188">
        <f>+E440</f>
        <v>3562</v>
      </c>
      <c r="AU440" s="188">
        <f>+F440</f>
        <v>3649</v>
      </c>
      <c r="AV440" s="188">
        <f>+K440</f>
        <v>3550</v>
      </c>
      <c r="AW440" s="188">
        <f>+P440</f>
        <v>3238</v>
      </c>
      <c r="AX440" s="188">
        <f>+U440</f>
        <v>3442</v>
      </c>
      <c r="AY440" s="188">
        <f>+Z440</f>
        <v>3442</v>
      </c>
      <c r="AZ440" s="188">
        <f>+AE440</f>
        <v>3442</v>
      </c>
      <c r="BA440" s="188">
        <f>+AJ440</f>
        <v>3442</v>
      </c>
      <c r="BB440" s="188">
        <f t="shared" ref="BB440:BD441" si="744">+AO440</f>
        <v>3442</v>
      </c>
      <c r="BC440" s="188">
        <f t="shared" si="744"/>
        <v>3442</v>
      </c>
      <c r="BD440" s="849">
        <f t="shared" si="744"/>
        <v>3442</v>
      </c>
      <c r="BF440" s="900"/>
      <c r="BM440" s="902"/>
      <c r="BN440" s="902"/>
      <c r="BO440" s="931"/>
      <c r="BP440" s="902"/>
      <c r="BQ440" s="902"/>
      <c r="BR440" s="902"/>
      <c r="BS440" s="902"/>
    </row>
    <row r="441" spans="1:71" ht="12.75" hidden="1" customHeight="1" outlineLevel="1">
      <c r="A441" s="545" t="s">
        <v>1774</v>
      </c>
      <c r="B441" s="143"/>
      <c r="C441" s="143"/>
      <c r="D441" s="920"/>
      <c r="E441" s="143"/>
      <c r="F441" s="422">
        <f>F440/E440-1</f>
        <v>2.4424480628860268E-2</v>
      </c>
      <c r="G441" s="421"/>
      <c r="H441" s="421"/>
      <c r="I441" s="421"/>
      <c r="J441" s="421"/>
      <c r="K441" s="422">
        <f>K440/F440-1</f>
        <v>-2.7130720745409675E-2</v>
      </c>
      <c r="L441" s="421">
        <f>L440/G440-1</f>
        <v>-3.438789546079779E-2</v>
      </c>
      <c r="M441" s="421">
        <f t="shared" ref="M441:U441" si="745">M440/H440-1</f>
        <v>-0.10212003583159157</v>
      </c>
      <c r="N441" s="421">
        <f t="shared" si="745"/>
        <v>-9.2190583591767683E-2</v>
      </c>
      <c r="O441" s="2035">
        <v>-0.11600000000000001</v>
      </c>
      <c r="P441" s="422">
        <f t="shared" si="745"/>
        <v>-8.7887323943661944E-2</v>
      </c>
      <c r="Q441" s="2209">
        <v>-0.05</v>
      </c>
      <c r="R441" s="392">
        <v>6.3E-2</v>
      </c>
      <c r="S441" s="392">
        <v>0.09</v>
      </c>
      <c r="T441" s="392">
        <v>0.14299999999999999</v>
      </c>
      <c r="U441" s="422">
        <f t="shared" si="745"/>
        <v>6.30018529956764E-2</v>
      </c>
      <c r="V441" s="392">
        <v>0</v>
      </c>
      <c r="W441" s="392">
        <v>0</v>
      </c>
      <c r="X441" s="392">
        <v>0</v>
      </c>
      <c r="Y441" s="392">
        <v>0</v>
      </c>
      <c r="Z441" s="422">
        <f>Z440/U440-1</f>
        <v>0</v>
      </c>
      <c r="AA441" s="2524">
        <v>0</v>
      </c>
      <c r="AB441" s="392">
        <v>0</v>
      </c>
      <c r="AC441" s="392">
        <v>0</v>
      </c>
      <c r="AD441" s="1718">
        <v>0</v>
      </c>
      <c r="AE441" s="422">
        <f>AE440/Z440-1</f>
        <v>0</v>
      </c>
      <c r="AF441" s="392">
        <v>0</v>
      </c>
      <c r="AG441" s="392">
        <v>0</v>
      </c>
      <c r="AH441" s="392">
        <v>0</v>
      </c>
      <c r="AI441" s="1718">
        <v>0</v>
      </c>
      <c r="AJ441" s="422">
        <f>AJ440/AE440-1</f>
        <v>0</v>
      </c>
      <c r="AK441" s="392">
        <v>0</v>
      </c>
      <c r="AL441" s="392">
        <v>0</v>
      </c>
      <c r="AM441" s="392">
        <v>0</v>
      </c>
      <c r="AN441" s="392">
        <v>0</v>
      </c>
      <c r="AO441" s="680">
        <f>AO440/AJ440-1</f>
        <v>0</v>
      </c>
      <c r="AP441" s="681">
        <v>0</v>
      </c>
      <c r="AQ441" s="681">
        <v>0</v>
      </c>
      <c r="AR441" s="142"/>
      <c r="AS441" s="545" t="str">
        <f>+A441</f>
        <v>Y/Y Change</v>
      </c>
      <c r="AT441" s="419"/>
      <c r="AU441" s="419">
        <f>+F441</f>
        <v>2.4424480628860268E-2</v>
      </c>
      <c r="AV441" s="419">
        <f>+K441</f>
        <v>-2.7130720745409675E-2</v>
      </c>
      <c r="AW441" s="419">
        <f>+P441</f>
        <v>-8.7887323943661944E-2</v>
      </c>
      <c r="AX441" s="419">
        <f>+U441</f>
        <v>6.30018529956764E-2</v>
      </c>
      <c r="AY441" s="419">
        <f>+Z441</f>
        <v>0</v>
      </c>
      <c r="AZ441" s="419">
        <f>+AE441</f>
        <v>0</v>
      </c>
      <c r="BA441" s="419">
        <f>+AJ441</f>
        <v>0</v>
      </c>
      <c r="BB441" s="419">
        <f t="shared" si="744"/>
        <v>0</v>
      </c>
      <c r="BC441" s="419">
        <f t="shared" si="744"/>
        <v>0</v>
      </c>
      <c r="BD441" s="876">
        <f t="shared" si="744"/>
        <v>0</v>
      </c>
      <c r="BF441" s="900"/>
      <c r="BM441" s="902"/>
      <c r="BN441" s="902"/>
      <c r="BO441" s="931"/>
      <c r="BP441" s="902"/>
      <c r="BQ441" s="902"/>
      <c r="BR441" s="902"/>
      <c r="BS441" s="902"/>
    </row>
    <row r="442" spans="1:71" ht="12.75" hidden="1" customHeight="1" outlineLevel="1">
      <c r="A442" s="545"/>
      <c r="B442" s="143"/>
      <c r="C442" s="143"/>
      <c r="D442" s="920"/>
      <c r="E442" s="143"/>
      <c r="F442" s="422"/>
      <c r="G442" s="421"/>
      <c r="H442" s="421"/>
      <c r="I442" s="421"/>
      <c r="J442" s="421"/>
      <c r="K442" s="422"/>
      <c r="L442" s="421"/>
      <c r="M442" s="421"/>
      <c r="N442" s="421"/>
      <c r="O442" s="2036"/>
      <c r="P442" s="343"/>
      <c r="Q442" s="2210"/>
      <c r="R442" s="195"/>
      <c r="S442" s="195"/>
      <c r="T442" s="195"/>
      <c r="U442" s="343"/>
      <c r="V442" s="195"/>
      <c r="W442" s="195"/>
      <c r="X442" s="195"/>
      <c r="Y442" s="195"/>
      <c r="Z442" s="343"/>
      <c r="AA442" s="918"/>
      <c r="AB442" s="195"/>
      <c r="AC442" s="195"/>
      <c r="AD442" s="2517"/>
      <c r="AE442" s="343"/>
      <c r="AF442" s="195"/>
      <c r="AG442" s="195"/>
      <c r="AH442" s="195"/>
      <c r="AI442" s="2517"/>
      <c r="AJ442" s="343"/>
      <c r="AK442" s="195"/>
      <c r="AL442" s="195"/>
      <c r="AM442" s="195"/>
      <c r="AN442" s="2517"/>
      <c r="AO442" s="2585"/>
      <c r="AP442" s="343"/>
      <c r="AQ442" s="343"/>
      <c r="AR442" s="142"/>
      <c r="AS442" s="545"/>
      <c r="AT442" s="419"/>
      <c r="AU442" s="419"/>
      <c r="AV442" s="419"/>
      <c r="AW442" s="419"/>
      <c r="AX442" s="419"/>
      <c r="AY442" s="419"/>
      <c r="AZ442" s="419"/>
      <c r="BA442" s="419"/>
      <c r="BB442" s="419"/>
      <c r="BC442" s="419"/>
      <c r="BD442" s="876"/>
      <c r="BF442" s="900"/>
      <c r="BM442" s="902"/>
      <c r="BN442" s="902"/>
      <c r="BO442" s="931"/>
      <c r="BP442" s="902"/>
      <c r="BQ442" s="902"/>
      <c r="BR442" s="902"/>
      <c r="BS442" s="902"/>
    </row>
    <row r="443" spans="1:71" ht="12.75" hidden="1" customHeight="1" outlineLevel="1">
      <c r="A443" s="489" t="s">
        <v>1241</v>
      </c>
      <c r="B443" s="131"/>
      <c r="C443" s="131"/>
      <c r="D443" s="919"/>
      <c r="E443" s="921">
        <v>164832</v>
      </c>
      <c r="F443" s="921">
        <v>178634</v>
      </c>
      <c r="G443" s="183">
        <v>46405</v>
      </c>
      <c r="H443" s="183">
        <v>53990</v>
      </c>
      <c r="I443" s="183">
        <v>57375</v>
      </c>
      <c r="J443" s="183">
        <v>55928</v>
      </c>
      <c r="K443" s="343">
        <f>SUM(G443:J443)</f>
        <v>213698</v>
      </c>
      <c r="L443" s="183">
        <v>54353</v>
      </c>
      <c r="M443" s="183">
        <v>62439</v>
      </c>
      <c r="N443" s="183">
        <v>65677</v>
      </c>
      <c r="O443" s="2034">
        <f>J443*(1+O444)</f>
        <v>63981.631999999998</v>
      </c>
      <c r="P443" s="343">
        <f>SUM(L443:O443)</f>
        <v>246450.63199999998</v>
      </c>
      <c r="Q443" s="2208">
        <f>L443*(1+Q444)</f>
        <v>56744.531999999999</v>
      </c>
      <c r="R443" s="199">
        <f>M443*(1+R444)</f>
        <v>65498.510999999999</v>
      </c>
      <c r="S443" s="199">
        <f>N443*(1+S444)</f>
        <v>66793.508999999991</v>
      </c>
      <c r="T443" s="199">
        <f>O443*(1+T444)</f>
        <v>64237.558528000001</v>
      </c>
      <c r="U443" s="343">
        <f>SUM(Q443:T443)</f>
        <v>253274.11052799999</v>
      </c>
      <c r="V443" s="199">
        <f>Q443*(1+V444)</f>
        <v>56744.531999999999</v>
      </c>
      <c r="W443" s="199">
        <f>R443*(1+W444)</f>
        <v>65498.510999999999</v>
      </c>
      <c r="X443" s="199">
        <f>S443*(1+X444)</f>
        <v>66793.508999999991</v>
      </c>
      <c r="Y443" s="2724">
        <f>T443*(1+Y444)</f>
        <v>64237.558528000001</v>
      </c>
      <c r="Z443" s="343">
        <f>SUM(V443:Y443)</f>
        <v>253274.11052799999</v>
      </c>
      <c r="AA443" s="2500">
        <f>V443*(1+AA444)</f>
        <v>56744.531999999999</v>
      </c>
      <c r="AB443" s="199">
        <f>W443*(1+AB444)</f>
        <v>65498.510999999999</v>
      </c>
      <c r="AC443" s="199">
        <f>X443*(1+AC444)</f>
        <v>66793.508999999991</v>
      </c>
      <c r="AD443" s="847">
        <f>Y443*(1+AD444)</f>
        <v>64237.558528000001</v>
      </c>
      <c r="AE443" s="343">
        <f>SUM(AA443:AD443)</f>
        <v>253274.11052799999</v>
      </c>
      <c r="AF443" s="199">
        <f>AA443*(1+AF444)</f>
        <v>56744.531999999999</v>
      </c>
      <c r="AG443" s="199">
        <f>AB443*(1+AG444)</f>
        <v>65498.510999999999</v>
      </c>
      <c r="AH443" s="199">
        <f>AC443*(1+AH444)</f>
        <v>66793.508999999991</v>
      </c>
      <c r="AI443" s="847">
        <f>AD443*(1+AI444)</f>
        <v>64237.558528000001</v>
      </c>
      <c r="AJ443" s="343">
        <f>SUM(AF443:AI443)</f>
        <v>253274.11052799999</v>
      </c>
      <c r="AK443" s="199">
        <f t="shared" ref="AK443:AN443" si="746">AF443*(1+AK444)</f>
        <v>56744.531999999999</v>
      </c>
      <c r="AL443" s="199">
        <f t="shared" si="746"/>
        <v>65498.510999999999</v>
      </c>
      <c r="AM443" s="199">
        <f t="shared" si="746"/>
        <v>66793.508999999991</v>
      </c>
      <c r="AN443" s="199">
        <f t="shared" si="746"/>
        <v>64237.558528000001</v>
      </c>
      <c r="AO443" s="2585">
        <f>SUM(AK443:AN443)</f>
        <v>253274.11052799999</v>
      </c>
      <c r="AP443" s="343">
        <f>AO443*(1+AP444)</f>
        <v>253274.11052799999</v>
      </c>
      <c r="AQ443" s="849">
        <f>AP443*(1+AQ444)</f>
        <v>253274.11052799999</v>
      </c>
      <c r="AR443" s="195"/>
      <c r="AS443" s="489" t="str">
        <f>+A443</f>
        <v>Tours</v>
      </c>
      <c r="AT443" s="188">
        <f>+E443</f>
        <v>164832</v>
      </c>
      <c r="AU443" s="188">
        <f>+F443</f>
        <v>178634</v>
      </c>
      <c r="AV443" s="188">
        <f>+K443</f>
        <v>213698</v>
      </c>
      <c r="AW443" s="188">
        <f>+P443</f>
        <v>246450.63199999998</v>
      </c>
      <c r="AX443" s="188">
        <f>+U443</f>
        <v>253274.11052799999</v>
      </c>
      <c r="AY443" s="188">
        <f>+Z443</f>
        <v>253274.11052799999</v>
      </c>
      <c r="AZ443" s="188">
        <f>+AE443</f>
        <v>253274.11052799999</v>
      </c>
      <c r="BA443" s="188">
        <f>+AJ443</f>
        <v>253274.11052799999</v>
      </c>
      <c r="BB443" s="188">
        <f t="shared" ref="BB443:BD444" si="747">+AO443</f>
        <v>253274.11052799999</v>
      </c>
      <c r="BC443" s="188">
        <f t="shared" si="747"/>
        <v>253274.11052799999</v>
      </c>
      <c r="BD443" s="849">
        <f t="shared" si="747"/>
        <v>253274.11052799999</v>
      </c>
      <c r="BF443" s="900"/>
      <c r="BM443" s="902"/>
      <c r="BN443" s="902"/>
      <c r="BO443" s="931"/>
      <c r="BP443" s="902"/>
      <c r="BQ443" s="902"/>
      <c r="BR443" s="902"/>
      <c r="BS443" s="902"/>
    </row>
    <row r="444" spans="1:71" ht="12.75" hidden="1" customHeight="1" outlineLevel="1">
      <c r="A444" s="542" t="s">
        <v>1774</v>
      </c>
      <c r="B444" s="980"/>
      <c r="C444" s="980"/>
      <c r="D444" s="980"/>
      <c r="E444" s="981"/>
      <c r="F444" s="982">
        <f>F443/E443-1</f>
        <v>8.3733741021160935E-2</v>
      </c>
      <c r="G444" s="983"/>
      <c r="H444" s="983"/>
      <c r="I444" s="983"/>
      <c r="J444" s="983"/>
      <c r="K444" s="982">
        <f t="shared" ref="K444:U444" si="748">K443/F443-1</f>
        <v>0.19628962011711093</v>
      </c>
      <c r="L444" s="983">
        <f t="shared" si="748"/>
        <v>0.17127464712854223</v>
      </c>
      <c r="M444" s="983">
        <f t="shared" si="748"/>
        <v>0.15649194295239854</v>
      </c>
      <c r="N444" s="983">
        <f t="shared" si="748"/>
        <v>0.1446971677559914</v>
      </c>
      <c r="O444" s="2037">
        <v>0.14399999999999999</v>
      </c>
      <c r="P444" s="982">
        <f t="shared" si="748"/>
        <v>0.15326597347658844</v>
      </c>
      <c r="Q444" s="2211">
        <v>4.3999999999999997E-2</v>
      </c>
      <c r="R444" s="1206">
        <v>4.9000000000000002E-2</v>
      </c>
      <c r="S444" s="1206">
        <v>1.7000000000000001E-2</v>
      </c>
      <c r="T444" s="1206">
        <v>4.0000000000000001E-3</v>
      </c>
      <c r="U444" s="982">
        <f t="shared" si="748"/>
        <v>2.7686999512340549E-2</v>
      </c>
      <c r="V444" s="1206">
        <v>0</v>
      </c>
      <c r="W444" s="1206">
        <v>0</v>
      </c>
      <c r="X444" s="1206">
        <v>0</v>
      </c>
      <c r="Y444" s="1206">
        <v>0</v>
      </c>
      <c r="Z444" s="982">
        <f>Z443/U443-1</f>
        <v>0</v>
      </c>
      <c r="AA444" s="2563">
        <v>0</v>
      </c>
      <c r="AB444" s="1206">
        <v>0</v>
      </c>
      <c r="AC444" s="1206">
        <v>0</v>
      </c>
      <c r="AD444" s="1207">
        <v>0</v>
      </c>
      <c r="AE444" s="982">
        <f>AE443/Z443-1</f>
        <v>0</v>
      </c>
      <c r="AF444" s="1206">
        <v>0</v>
      </c>
      <c r="AG444" s="1206">
        <v>0</v>
      </c>
      <c r="AH444" s="1206">
        <v>0</v>
      </c>
      <c r="AI444" s="1207">
        <v>0</v>
      </c>
      <c r="AJ444" s="982">
        <f>AJ443/AE443-1</f>
        <v>0</v>
      </c>
      <c r="AK444" s="1206">
        <v>0</v>
      </c>
      <c r="AL444" s="1206">
        <v>0</v>
      </c>
      <c r="AM444" s="1206">
        <v>0</v>
      </c>
      <c r="AN444" s="1206">
        <v>0</v>
      </c>
      <c r="AO444" s="3967">
        <f>AO443/AJ443-1</f>
        <v>0</v>
      </c>
      <c r="AP444" s="1373">
        <v>0</v>
      </c>
      <c r="AQ444" s="1207">
        <v>0</v>
      </c>
      <c r="AR444" s="195"/>
      <c r="AS444" s="496" t="str">
        <f>+A444</f>
        <v>Y/Y Change</v>
      </c>
      <c r="AT444" s="665"/>
      <c r="AU444" s="665">
        <f>+F444</f>
        <v>8.3733741021160935E-2</v>
      </c>
      <c r="AV444" s="665">
        <f>+K444</f>
        <v>0.19628962011711093</v>
      </c>
      <c r="AW444" s="665">
        <f>+P444</f>
        <v>0.15326597347658844</v>
      </c>
      <c r="AX444" s="665">
        <f>+U444</f>
        <v>2.7686999512340549E-2</v>
      </c>
      <c r="AY444" s="665">
        <f>+Z444</f>
        <v>0</v>
      </c>
      <c r="AZ444" s="665">
        <f>+AE444</f>
        <v>0</v>
      </c>
      <c r="BA444" s="665">
        <f>+AJ444</f>
        <v>0</v>
      </c>
      <c r="BB444" s="665">
        <f t="shared" si="747"/>
        <v>0</v>
      </c>
      <c r="BC444" s="665">
        <f t="shared" si="747"/>
        <v>0</v>
      </c>
      <c r="BD444" s="884">
        <f t="shared" si="747"/>
        <v>0</v>
      </c>
      <c r="BF444" s="900"/>
      <c r="BM444" s="902"/>
      <c r="BN444" s="902"/>
      <c r="BO444" s="931"/>
      <c r="BP444" s="902"/>
      <c r="BQ444" s="902"/>
      <c r="BR444" s="902"/>
      <c r="BS444" s="902"/>
    </row>
    <row r="445" spans="1:71" ht="12.75" customHeight="1" collapsed="1">
      <c r="A445" s="1154"/>
      <c r="B445" s="195"/>
      <c r="C445" s="195"/>
      <c r="D445" s="195"/>
      <c r="E445" s="195"/>
      <c r="F445" s="421"/>
      <c r="G445" s="421"/>
      <c r="H445" s="421"/>
      <c r="I445" s="421"/>
      <c r="J445" s="421"/>
      <c r="K445" s="421"/>
      <c r="L445" s="421"/>
      <c r="M445" s="421"/>
      <c r="N445" s="421"/>
      <c r="O445" s="421"/>
      <c r="P445" s="421"/>
      <c r="Q445" s="421"/>
      <c r="R445" s="421"/>
      <c r="S445" s="421"/>
      <c r="T445" s="421"/>
      <c r="U445" s="421"/>
      <c r="V445" s="421"/>
      <c r="W445" s="421"/>
      <c r="X445" s="421"/>
      <c r="Y445" s="421"/>
      <c r="Z445" s="421"/>
      <c r="AA445" s="421"/>
      <c r="AB445" s="421"/>
      <c r="AC445" s="421"/>
      <c r="AD445" s="421"/>
      <c r="AE445" s="421"/>
      <c r="AF445" s="421"/>
      <c r="AG445" s="421"/>
      <c r="AH445" s="421"/>
      <c r="AI445" s="421"/>
      <c r="AJ445" s="421"/>
      <c r="AK445" s="421"/>
      <c r="AL445" s="421"/>
      <c r="AM445" s="421"/>
      <c r="AN445" s="421"/>
      <c r="AO445" s="421"/>
      <c r="AP445" s="421"/>
      <c r="AQ445" s="421"/>
      <c r="AR445" s="195"/>
      <c r="AS445" s="258"/>
      <c r="AT445" s="419"/>
      <c r="AU445" s="419"/>
      <c r="AV445" s="419"/>
      <c r="AW445" s="419"/>
      <c r="AX445" s="419"/>
      <c r="AY445" s="419"/>
      <c r="AZ445" s="419"/>
      <c r="BA445" s="419"/>
      <c r="BB445" s="419"/>
      <c r="BC445" s="419"/>
      <c r="BD445" s="419"/>
      <c r="BF445" s="900"/>
      <c r="BM445" s="902"/>
      <c r="BN445" s="902"/>
      <c r="BO445" s="902"/>
      <c r="BP445" s="902"/>
      <c r="BQ445" s="902"/>
      <c r="BR445" s="902"/>
      <c r="BS445" s="902"/>
    </row>
    <row r="446" spans="1:71" ht="12.75" customHeight="1">
      <c r="A446" s="1154"/>
      <c r="B446" s="195"/>
      <c r="C446" s="195"/>
      <c r="D446" s="195"/>
      <c r="E446" s="195"/>
      <c r="F446" s="421"/>
      <c r="G446" s="421"/>
      <c r="H446" s="421"/>
      <c r="I446" s="421"/>
      <c r="J446" s="421"/>
      <c r="K446" s="421"/>
      <c r="L446" s="421"/>
      <c r="M446" s="421"/>
      <c r="N446" s="421"/>
      <c r="O446" s="1605"/>
      <c r="P446" s="421"/>
      <c r="Q446" s="421"/>
      <c r="R446" s="421"/>
      <c r="S446" s="421"/>
      <c r="T446" s="421"/>
      <c r="U446" s="421"/>
      <c r="V446" s="421"/>
      <c r="W446" s="421"/>
      <c r="X446" s="421"/>
      <c r="Y446" s="421"/>
      <c r="Z446" s="421"/>
      <c r="AA446" s="421"/>
      <c r="AB446" s="421"/>
      <c r="AC446" s="421"/>
      <c r="AD446" s="421"/>
      <c r="AE446" s="421"/>
      <c r="AF446" s="421"/>
      <c r="AG446" s="421"/>
      <c r="AH446" s="421"/>
      <c r="AI446" s="421"/>
      <c r="AJ446" s="421"/>
      <c r="AK446" s="421"/>
      <c r="AL446" s="421"/>
      <c r="AM446" s="421"/>
      <c r="AN446" s="421"/>
      <c r="AO446" s="421"/>
      <c r="AP446" s="421"/>
      <c r="AQ446" s="421"/>
      <c r="AR446" s="195"/>
      <c r="AS446" s="258"/>
      <c r="AT446" s="419"/>
      <c r="AU446" s="419"/>
      <c r="AV446" s="419"/>
      <c r="AW446" s="419"/>
      <c r="AX446" s="419"/>
      <c r="AY446" s="419"/>
      <c r="AZ446" s="419"/>
      <c r="BA446" s="419"/>
      <c r="BB446" s="419"/>
      <c r="BC446" s="419"/>
      <c r="BD446" s="419"/>
      <c r="BF446" s="900"/>
      <c r="BM446" s="902"/>
      <c r="BN446" s="902"/>
      <c r="BO446" s="902"/>
      <c r="BP446" s="902"/>
      <c r="BQ446" s="902"/>
      <c r="BR446" s="902"/>
      <c r="BS446" s="902"/>
    </row>
    <row r="447" spans="1:71" s="15" customFormat="1" ht="12.75" customHeight="1">
      <c r="A447" s="257"/>
      <c r="B447" s="173"/>
      <c r="C447" s="173"/>
      <c r="D447" s="173"/>
      <c r="E447" s="173"/>
      <c r="F447" s="173"/>
      <c r="G447" s="173"/>
      <c r="H447" s="173"/>
      <c r="I447" s="173"/>
      <c r="J447" s="173"/>
      <c r="K447" s="173"/>
      <c r="L447" s="778"/>
      <c r="M447" s="778"/>
      <c r="N447" s="173"/>
      <c r="O447" s="173"/>
      <c r="P447" s="173"/>
      <c r="Q447" s="173"/>
      <c r="R447" s="173"/>
      <c r="S447" s="173"/>
      <c r="T447" s="173"/>
      <c r="U447" s="173"/>
      <c r="V447" s="173"/>
      <c r="W447" s="173"/>
      <c r="X447" s="173"/>
      <c r="Y447" s="173"/>
      <c r="Z447" s="173"/>
      <c r="AA447" s="173"/>
      <c r="AB447" s="173"/>
      <c r="AC447" s="173"/>
      <c r="AD447" s="173"/>
      <c r="AE447" s="173"/>
      <c r="AF447" s="173"/>
      <c r="AG447" s="173"/>
      <c r="AH447" s="173"/>
      <c r="AI447" s="173"/>
      <c r="AJ447" s="173"/>
      <c r="AK447" s="173"/>
      <c r="AL447" s="173"/>
      <c r="AM447" s="173"/>
      <c r="AN447" s="173"/>
      <c r="AO447" s="173"/>
      <c r="AP447" s="173"/>
      <c r="AQ447" s="173"/>
      <c r="AR447" s="173"/>
      <c r="AS447" s="257"/>
      <c r="AT447" s="173"/>
      <c r="AU447" s="173"/>
      <c r="AV447" s="173"/>
      <c r="AW447" s="173"/>
      <c r="AX447" s="173"/>
      <c r="AY447" s="173"/>
      <c r="AZ447" s="173"/>
      <c r="BA447" s="173"/>
      <c r="BB447" s="173"/>
      <c r="BC447" s="173"/>
      <c r="BD447" s="173"/>
      <c r="BE447" s="14"/>
      <c r="BF447" s="900"/>
      <c r="BG447"/>
      <c r="BH447"/>
      <c r="BI447"/>
      <c r="BJ447"/>
      <c r="BK447"/>
      <c r="BL447"/>
      <c r="BM447" s="902"/>
      <c r="BN447" s="902"/>
      <c r="BO447" s="902"/>
      <c r="BP447" s="902"/>
      <c r="BQ447" s="902"/>
      <c r="BR447" s="902"/>
      <c r="BS447" s="902"/>
    </row>
    <row r="448" spans="1:71" ht="12.75" customHeight="1">
      <c r="A448" s="278"/>
      <c r="B448" s="195"/>
      <c r="C448" s="195"/>
      <c r="D448" s="195"/>
      <c r="E448" s="195"/>
      <c r="F448" s="195"/>
      <c r="G448" s="148"/>
      <c r="H448" s="148"/>
      <c r="I448" s="148"/>
      <c r="J448" s="148"/>
      <c r="K448" s="195"/>
      <c r="L448" s="148"/>
      <c r="M448" s="148"/>
      <c r="N448" s="148"/>
      <c r="O448" s="148"/>
      <c r="P448" s="195"/>
      <c r="Q448" s="148"/>
      <c r="R448" s="148"/>
      <c r="S448" s="148"/>
      <c r="T448" s="148"/>
      <c r="U448" s="195"/>
      <c r="V448" s="148"/>
      <c r="W448" s="148"/>
      <c r="X448" s="148"/>
      <c r="Y448" s="2732"/>
      <c r="Z448" s="195"/>
      <c r="AA448" s="195"/>
      <c r="AB448" s="195"/>
      <c r="AC448" s="195"/>
      <c r="AD448" s="195"/>
      <c r="AE448" s="195"/>
      <c r="AF448" s="195"/>
      <c r="AG448" s="195"/>
      <c r="AH448" s="195"/>
      <c r="AI448" s="195"/>
      <c r="AJ448" s="195"/>
      <c r="AK448" s="195"/>
      <c r="AL448" s="195"/>
      <c r="AM448" s="195"/>
      <c r="AN448" s="195"/>
      <c r="AO448" s="195"/>
      <c r="AP448" s="195"/>
      <c r="AQ448" s="195"/>
      <c r="AR448" s="195"/>
      <c r="AS448" s="1004"/>
      <c r="AT448" s="835"/>
      <c r="AU448" s="835"/>
      <c r="AV448" s="835"/>
      <c r="AW448" s="835"/>
      <c r="AX448" s="835"/>
      <c r="AY448" s="835"/>
      <c r="AZ448" s="835"/>
      <c r="BA448" s="835"/>
      <c r="BB448" s="835"/>
      <c r="BC448" s="835"/>
      <c r="BD448" s="835"/>
      <c r="BF448" s="900"/>
      <c r="BM448" s="902"/>
      <c r="BN448" s="902"/>
      <c r="BO448" s="902"/>
      <c r="BP448" s="902"/>
      <c r="BQ448" s="902"/>
      <c r="BR448" s="902"/>
      <c r="BS448" s="902"/>
    </row>
    <row r="449" spans="1:71" s="12" customFormat="1" ht="12.75" customHeight="1">
      <c r="A449" s="341" t="s">
        <v>613</v>
      </c>
      <c r="B449" s="766"/>
      <c r="C449" s="766"/>
      <c r="D449" s="766"/>
      <c r="E449" s="766" t="str">
        <f>E$5</f>
        <v>2010</v>
      </c>
      <c r="F449" s="766" t="str">
        <f>F$5</f>
        <v>2011</v>
      </c>
      <c r="G449" s="767" t="str">
        <f t="shared" ref="G449:AQ449" si="749">G$5</f>
        <v>1Q12</v>
      </c>
      <c r="H449" s="767" t="str">
        <f t="shared" si="749"/>
        <v>2Q12</v>
      </c>
      <c r="I449" s="767" t="str">
        <f t="shared" si="749"/>
        <v>3Q12</v>
      </c>
      <c r="J449" s="767" t="str">
        <f t="shared" si="749"/>
        <v>4Q12</v>
      </c>
      <c r="K449" s="766">
        <f t="shared" si="749"/>
        <v>2012</v>
      </c>
      <c r="L449" s="767" t="str">
        <f t="shared" si="749"/>
        <v>1Q13</v>
      </c>
      <c r="M449" s="767" t="str">
        <f t="shared" si="749"/>
        <v>2Q13</v>
      </c>
      <c r="N449" s="767" t="str">
        <f t="shared" si="749"/>
        <v>3Q13</v>
      </c>
      <c r="O449" s="767" t="str">
        <f t="shared" si="749"/>
        <v>4Q13</v>
      </c>
      <c r="P449" s="766">
        <f t="shared" si="749"/>
        <v>2013</v>
      </c>
      <c r="Q449" s="767" t="str">
        <f t="shared" si="749"/>
        <v>1Q14</v>
      </c>
      <c r="R449" s="767" t="str">
        <f t="shared" si="749"/>
        <v>2Q14</v>
      </c>
      <c r="S449" s="767" t="str">
        <f t="shared" si="749"/>
        <v>3Q14</v>
      </c>
      <c r="T449" s="767" t="str">
        <f t="shared" si="749"/>
        <v>4Q14</v>
      </c>
      <c r="U449" s="766">
        <f t="shared" si="749"/>
        <v>2014</v>
      </c>
      <c r="V449" s="767" t="str">
        <f t="shared" si="749"/>
        <v>1Q15</v>
      </c>
      <c r="W449" s="767" t="str">
        <f t="shared" si="749"/>
        <v>2Q15</v>
      </c>
      <c r="X449" s="767" t="str">
        <f t="shared" si="749"/>
        <v>3Q15</v>
      </c>
      <c r="Y449" s="767" t="str">
        <f t="shared" si="749"/>
        <v>4Q15</v>
      </c>
      <c r="Z449" s="766">
        <f t="shared" si="749"/>
        <v>2015</v>
      </c>
      <c r="AA449" s="767" t="str">
        <f t="shared" si="749"/>
        <v>1Q16</v>
      </c>
      <c r="AB449" s="767" t="str">
        <f t="shared" si="749"/>
        <v>2Q16</v>
      </c>
      <c r="AC449" s="767" t="str">
        <f t="shared" si="749"/>
        <v>3Q16</v>
      </c>
      <c r="AD449" s="767" t="str">
        <f t="shared" si="749"/>
        <v>4Q16</v>
      </c>
      <c r="AE449" s="766">
        <f t="shared" si="749"/>
        <v>2016</v>
      </c>
      <c r="AF449" s="767" t="str">
        <f t="shared" si="749"/>
        <v>1Q17</v>
      </c>
      <c r="AG449" s="767" t="str">
        <f t="shared" si="749"/>
        <v>2Q17</v>
      </c>
      <c r="AH449" s="767" t="str">
        <f t="shared" si="749"/>
        <v>3Q17</v>
      </c>
      <c r="AI449" s="767" t="str">
        <f t="shared" si="749"/>
        <v>4Q17A</v>
      </c>
      <c r="AJ449" s="766" t="str">
        <f t="shared" si="749"/>
        <v>2017A</v>
      </c>
      <c r="AK449" s="767" t="str">
        <f t="shared" si="749"/>
        <v>1Q18E</v>
      </c>
      <c r="AL449" s="767" t="str">
        <f t="shared" si="749"/>
        <v>2Q18E</v>
      </c>
      <c r="AM449" s="767" t="str">
        <f t="shared" si="749"/>
        <v>3Q18E</v>
      </c>
      <c r="AN449" s="767" t="str">
        <f t="shared" si="749"/>
        <v>4Q18E</v>
      </c>
      <c r="AO449" s="766" t="str">
        <f t="shared" si="749"/>
        <v>2018E</v>
      </c>
      <c r="AP449" s="766" t="str">
        <f t="shared" si="749"/>
        <v>2019E</v>
      </c>
      <c r="AQ449" s="766" t="str">
        <f t="shared" si="749"/>
        <v>2020E</v>
      </c>
      <c r="AR449" s="431"/>
      <c r="AS449" s="341" t="str">
        <f>+A449</f>
        <v>SG&amp;A and Other</v>
      </c>
      <c r="AT449" s="767" t="str">
        <f>+E449</f>
        <v>2010</v>
      </c>
      <c r="AU449" s="767" t="str">
        <f>+F449</f>
        <v>2011</v>
      </c>
      <c r="AV449" s="767">
        <f>+K449</f>
        <v>2012</v>
      </c>
      <c r="AW449" s="767">
        <f>+P449</f>
        <v>2013</v>
      </c>
      <c r="AX449" s="767">
        <f>+U449</f>
        <v>2014</v>
      </c>
      <c r="AY449" s="767">
        <f>+Z449</f>
        <v>2015</v>
      </c>
      <c r="AZ449" s="1583">
        <f>+AE449</f>
        <v>2016</v>
      </c>
      <c r="BA449" s="1583" t="str">
        <f>+AJ449</f>
        <v>2017A</v>
      </c>
      <c r="BB449" s="1583" t="str">
        <f>+AO449</f>
        <v>2018E</v>
      </c>
      <c r="BC449" s="1583" t="str">
        <f>+AP449</f>
        <v>2019E</v>
      </c>
      <c r="BD449" s="995" t="str">
        <f>+AQ449</f>
        <v>2020E</v>
      </c>
      <c r="BE449" s="14"/>
      <c r="BF449" s="900"/>
      <c r="BG449"/>
      <c r="BH449"/>
      <c r="BI449"/>
      <c r="BJ449"/>
      <c r="BK449"/>
      <c r="BL449"/>
      <c r="BM449" s="902"/>
      <c r="BN449" s="902"/>
      <c r="BO449" s="902"/>
      <c r="BP449" s="902"/>
      <c r="BQ449" s="902"/>
      <c r="BR449" s="902"/>
      <c r="BS449" s="902"/>
    </row>
    <row r="450" spans="1:71" ht="12.75" customHeight="1">
      <c r="A450" s="521"/>
      <c r="B450" s="167"/>
      <c r="C450" s="167"/>
      <c r="D450" s="167"/>
      <c r="E450" s="167"/>
      <c r="F450" s="167"/>
      <c r="G450" s="302"/>
      <c r="H450" s="302"/>
      <c r="I450" s="302"/>
      <c r="J450" s="302"/>
      <c r="K450" s="167"/>
      <c r="L450" s="302"/>
      <c r="M450" s="302"/>
      <c r="N450" s="302"/>
      <c r="O450" s="302"/>
      <c r="P450" s="791"/>
      <c r="Q450" s="302"/>
      <c r="R450" s="302"/>
      <c r="S450" s="302"/>
      <c r="T450" s="302"/>
      <c r="U450" s="1159"/>
      <c r="V450" s="302"/>
      <c r="W450" s="302"/>
      <c r="X450" s="302"/>
      <c r="Y450" s="302"/>
      <c r="Z450" s="1159"/>
      <c r="AA450" s="2540"/>
      <c r="AB450" s="1584"/>
      <c r="AC450" s="1584"/>
      <c r="AD450" s="996"/>
      <c r="AE450" s="1159"/>
      <c r="AF450" s="1584"/>
      <c r="AG450" s="1584"/>
      <c r="AH450" s="1584"/>
      <c r="AI450" s="996"/>
      <c r="AJ450"/>
      <c r="AK450" s="2540"/>
      <c r="AL450" s="1584"/>
      <c r="AM450" s="1584"/>
      <c r="AN450" s="996"/>
      <c r="AO450" s="1159"/>
      <c r="AP450" s="1159"/>
      <c r="AQ450" s="1159"/>
      <c r="AR450" s="302"/>
      <c r="AS450" s="999"/>
      <c r="AT450" s="302"/>
      <c r="AU450" s="302"/>
      <c r="AV450" s="302"/>
      <c r="AW450" s="302"/>
      <c r="AX450" s="302"/>
      <c r="AY450" s="302"/>
      <c r="AZ450" s="1584"/>
      <c r="BA450" s="1584"/>
      <c r="BB450" s="1584"/>
      <c r="BC450" s="1584"/>
      <c r="BD450" s="996"/>
      <c r="BF450" s="900"/>
      <c r="BM450" s="902"/>
      <c r="BN450" s="902"/>
      <c r="BO450" s="902"/>
      <c r="BP450" s="902"/>
      <c r="BQ450" s="902"/>
      <c r="BR450" s="902"/>
      <c r="BS450" s="902"/>
    </row>
    <row r="451" spans="1:71" s="2" customFormat="1" ht="12.75" customHeight="1">
      <c r="A451" s="497" t="s">
        <v>586</v>
      </c>
      <c r="B451" s="915"/>
      <c r="C451" s="915"/>
      <c r="D451" s="915"/>
      <c r="E451" s="1157">
        <f t="shared" ref="E451:J451" si="750">+E33</f>
        <v>637</v>
      </c>
      <c r="F451" s="915">
        <f t="shared" si="750"/>
        <v>416</v>
      </c>
      <c r="G451" s="906">
        <f t="shared" si="750"/>
        <v>117</v>
      </c>
      <c r="H451" s="906">
        <f t="shared" si="750"/>
        <v>119</v>
      </c>
      <c r="I451" s="906">
        <f t="shared" si="750"/>
        <v>91</v>
      </c>
      <c r="J451" s="906">
        <f t="shared" si="750"/>
        <v>133</v>
      </c>
      <c r="K451" s="520">
        <f>SUM(G451:J451)</f>
        <v>460</v>
      </c>
      <c r="L451" s="906">
        <f>+L33</f>
        <v>97</v>
      </c>
      <c r="M451" s="906">
        <f>+M33</f>
        <v>92</v>
      </c>
      <c r="N451" s="906">
        <f>+N33</f>
        <v>130</v>
      </c>
      <c r="O451" s="906">
        <f>+O33</f>
        <v>429</v>
      </c>
      <c r="P451" s="520">
        <f>SUM(L451:O451)</f>
        <v>748</v>
      </c>
      <c r="Q451" s="906">
        <f>+Q33</f>
        <v>97</v>
      </c>
      <c r="R451" s="906">
        <f>+R33</f>
        <v>133</v>
      </c>
      <c r="S451" s="906">
        <f>+S33</f>
        <v>119</v>
      </c>
      <c r="T451" s="906">
        <f>+T33</f>
        <v>142</v>
      </c>
      <c r="U451" s="520">
        <f>SUM(Q451:T451)</f>
        <v>491</v>
      </c>
      <c r="V451" s="906">
        <f>+V33</f>
        <v>127</v>
      </c>
      <c r="W451" s="906">
        <f>+W33</f>
        <v>221</v>
      </c>
      <c r="X451" s="906">
        <f>+X33</f>
        <v>145</v>
      </c>
      <c r="Y451" s="906">
        <f>+Y33</f>
        <v>118</v>
      </c>
      <c r="Z451" s="520">
        <f>SUM(V451:Y451)</f>
        <v>611</v>
      </c>
      <c r="AA451" s="906">
        <f>+AA33</f>
        <v>113</v>
      </c>
      <c r="AB451" s="906">
        <f>+AB33</f>
        <v>132</v>
      </c>
      <c r="AC451" s="906">
        <f>+AC33</f>
        <v>147</v>
      </c>
      <c r="AD451" s="906">
        <f>+AD33</f>
        <v>224</v>
      </c>
      <c r="AE451" s="520">
        <f>SUM(AA451:AD451)</f>
        <v>616</v>
      </c>
      <c r="AF451" s="906">
        <f>+AF33</f>
        <v>105</v>
      </c>
      <c r="AG451" s="906">
        <f>+AG33</f>
        <v>117</v>
      </c>
      <c r="AH451" s="906">
        <f>+AH33</f>
        <v>104</v>
      </c>
      <c r="AI451" s="906">
        <f>+AI33</f>
        <v>108</v>
      </c>
      <c r="AJ451" s="520">
        <f>SUM(AF451:AI451)</f>
        <v>434</v>
      </c>
      <c r="AK451" s="3953">
        <f>+AF451*(1+AK452)</f>
        <v>94.5</v>
      </c>
      <c r="AL451" s="519">
        <f t="shared" ref="AL451:AN451" si="751">+AG451*(1+AL452)</f>
        <v>105.3</v>
      </c>
      <c r="AM451" s="519">
        <f t="shared" si="751"/>
        <v>105.04</v>
      </c>
      <c r="AN451" s="885">
        <f t="shared" si="751"/>
        <v>111.24000000000001</v>
      </c>
      <c r="AO451" s="520">
        <f>SUM(AK451:AN451)</f>
        <v>416.08000000000004</v>
      </c>
      <c r="AP451" s="520">
        <f>+AO451*(1+AP452)</f>
        <v>420.24080000000004</v>
      </c>
      <c r="AQ451" s="520">
        <f>+AP451*(1+AQ452)</f>
        <v>420.24080000000004</v>
      </c>
      <c r="AR451" s="312"/>
      <c r="AS451" s="497" t="str">
        <f>+A451</f>
        <v>SG&amp;A Expense</v>
      </c>
      <c r="AT451" s="519">
        <f>+E451</f>
        <v>637</v>
      </c>
      <c r="AU451" s="519">
        <f>+F451</f>
        <v>416</v>
      </c>
      <c r="AV451" s="519">
        <f>+K451</f>
        <v>460</v>
      </c>
      <c r="AW451" s="519">
        <f>+P451</f>
        <v>748</v>
      </c>
      <c r="AX451" s="519">
        <f>+U451</f>
        <v>491</v>
      </c>
      <c r="AY451" s="519">
        <f>+Z451</f>
        <v>611</v>
      </c>
      <c r="AZ451" s="519">
        <f>+AE451</f>
        <v>616</v>
      </c>
      <c r="BA451" s="519">
        <f>+AJ451</f>
        <v>434</v>
      </c>
      <c r="BB451" s="519">
        <f t="shared" ref="BB451:BD453" si="752">+AO451</f>
        <v>416.08000000000004</v>
      </c>
      <c r="BC451" s="519">
        <f t="shared" si="752"/>
        <v>420.24080000000004</v>
      </c>
      <c r="BD451" s="885">
        <f t="shared" si="752"/>
        <v>420.24080000000004</v>
      </c>
      <c r="BE451" s="14"/>
      <c r="BF451" s="900"/>
      <c r="BG451"/>
      <c r="BH451"/>
      <c r="BI451"/>
      <c r="BJ451"/>
      <c r="BK451"/>
      <c r="BL451"/>
      <c r="BM451" s="902"/>
      <c r="BN451" s="902"/>
      <c r="BO451" s="902"/>
      <c r="BP451" s="931"/>
      <c r="BQ451" s="902"/>
      <c r="BR451" s="902"/>
      <c r="BS451" s="902"/>
    </row>
    <row r="452" spans="1:71" s="121" customFormat="1" ht="12.75" customHeight="1">
      <c r="A452" s="602" t="s">
        <v>2309</v>
      </c>
      <c r="B452" s="240"/>
      <c r="C452" s="240"/>
      <c r="D452" s="240"/>
      <c r="E452" s="1158"/>
      <c r="F452" s="240">
        <f>F451/E451-1</f>
        <v>-0.34693877551020413</v>
      </c>
      <c r="G452" s="142"/>
      <c r="H452" s="142"/>
      <c r="I452" s="142"/>
      <c r="J452" s="142"/>
      <c r="K452" s="240">
        <f>K451/F451-1</f>
        <v>0.10576923076923084</v>
      </c>
      <c r="L452" s="142">
        <f>+L451/G451-1</f>
        <v>-0.17094017094017089</v>
      </c>
      <c r="M452" s="142">
        <f>+M451/H451-1</f>
        <v>-0.22689075630252098</v>
      </c>
      <c r="N452" s="142">
        <f>+N451/I451-1</f>
        <v>0.4285714285714286</v>
      </c>
      <c r="O452" s="142">
        <f>+O451/J451-1</f>
        <v>2.225563909774436</v>
      </c>
      <c r="P452" s="240">
        <f>P451/K451-1</f>
        <v>0.62608695652173907</v>
      </c>
      <c r="Q452" s="142">
        <f>+Q451/L451-1</f>
        <v>0</v>
      </c>
      <c r="R452" s="142">
        <f>+R451/M451-1</f>
        <v>0.44565217391304346</v>
      </c>
      <c r="S452" s="142">
        <f>+S451/N451-1</f>
        <v>-8.4615384615384648E-2</v>
      </c>
      <c r="T452" s="142">
        <f>+T451/O451-1</f>
        <v>-0.66899766899766899</v>
      </c>
      <c r="U452" s="240">
        <f>U451/P451-1</f>
        <v>-0.3435828877005348</v>
      </c>
      <c r="V452" s="142">
        <f>+V451/Q451-1</f>
        <v>0.30927835051546393</v>
      </c>
      <c r="W452" s="142">
        <f>+W451/R451-1</f>
        <v>0.66165413533834583</v>
      </c>
      <c r="X452" s="142">
        <f>+X451/S451-1</f>
        <v>0.21848739495798308</v>
      </c>
      <c r="Y452" s="142">
        <f>+Y451/T451-1</f>
        <v>-0.16901408450704225</v>
      </c>
      <c r="Z452" s="240">
        <f>Z451/U451-1</f>
        <v>0.24439918533604899</v>
      </c>
      <c r="AA452" s="920">
        <f>+AA451/V451-1</f>
        <v>-0.11023622047244097</v>
      </c>
      <c r="AB452" s="142">
        <f>+AB451/W451-1</f>
        <v>-0.40271493212669685</v>
      </c>
      <c r="AC452" s="142">
        <f>+AC451/X451-1</f>
        <v>1.379310344827589E-2</v>
      </c>
      <c r="AD452" s="142">
        <f>+AD451/Y451-1</f>
        <v>0.89830508474576276</v>
      </c>
      <c r="AE452" s="240">
        <f>AE451/Z451-1</f>
        <v>8.1833060556464332E-3</v>
      </c>
      <c r="AF452" s="4141">
        <f>+AF451/83-1</f>
        <v>0.26506024096385539</v>
      </c>
      <c r="AG452" s="4141">
        <f>+AG451/97-1</f>
        <v>0.20618556701030921</v>
      </c>
      <c r="AH452" s="4141">
        <f>+AH451/107-1</f>
        <v>-2.8037383177570097E-2</v>
      </c>
      <c r="AI452" s="4140">
        <f>+AI451/116-1</f>
        <v>-6.8965517241379337E-2</v>
      </c>
      <c r="AJ452" s="4139">
        <f>AJ451/403-1</f>
        <v>7.6923076923076872E-2</v>
      </c>
      <c r="AK452" s="3952">
        <v>-0.1</v>
      </c>
      <c r="AL452" s="3952">
        <v>-0.1</v>
      </c>
      <c r="AM452" s="3952">
        <v>0.01</v>
      </c>
      <c r="AN452" s="3952">
        <v>0.03</v>
      </c>
      <c r="AO452" s="240">
        <f>AO451/AJ451-1</f>
        <v>-4.1290322580645022E-2</v>
      </c>
      <c r="AP452" s="366">
        <v>0.01</v>
      </c>
      <c r="AQ452" s="366">
        <v>0</v>
      </c>
      <c r="AR452" s="132"/>
      <c r="AS452" s="602" t="str">
        <f>+A452</f>
        <v>% growth, y/y</v>
      </c>
      <c r="AT452" s="1170"/>
      <c r="AU452" s="1170">
        <f>+F452</f>
        <v>-0.34693877551020413</v>
      </c>
      <c r="AV452" s="1170">
        <f>+K452</f>
        <v>0.10576923076923084</v>
      </c>
      <c r="AW452" s="1170">
        <f>+P452</f>
        <v>0.62608695652173907</v>
      </c>
      <c r="AX452" s="1170">
        <f>+U452</f>
        <v>-0.3435828877005348</v>
      </c>
      <c r="AY452" s="1170">
        <f>+Z452</f>
        <v>0.24439918533604899</v>
      </c>
      <c r="AZ452" s="1170">
        <f>+AE452</f>
        <v>8.1833060556464332E-3</v>
      </c>
      <c r="BA452" s="1170">
        <f>+AJ452</f>
        <v>7.6923076923076872E-2</v>
      </c>
      <c r="BB452" s="1170">
        <f t="shared" si="752"/>
        <v>-4.1290322580645022E-2</v>
      </c>
      <c r="BC452" s="1170">
        <f t="shared" si="752"/>
        <v>0.01</v>
      </c>
      <c r="BD452" s="1172">
        <f t="shared" si="752"/>
        <v>0</v>
      </c>
      <c r="BE452" s="14"/>
      <c r="BF452" s="900"/>
      <c r="BG452"/>
      <c r="BH452"/>
      <c r="BI452"/>
      <c r="BJ452"/>
      <c r="BK452"/>
      <c r="BL452"/>
      <c r="BM452" s="902"/>
      <c r="BN452" s="902"/>
      <c r="BO452" s="902"/>
      <c r="BP452" s="902"/>
      <c r="BQ452" s="902"/>
      <c r="BR452" s="902"/>
      <c r="BS452" s="902"/>
    </row>
    <row r="453" spans="1:71" s="701" customFormat="1" ht="12.75" customHeight="1">
      <c r="A453" s="1421" t="s">
        <v>2067</v>
      </c>
      <c r="B453" s="422"/>
      <c r="C453" s="422"/>
      <c r="D453" s="422"/>
      <c r="E453" s="1422">
        <f t="shared" ref="E453:AQ453" si="753">E451/E24</f>
        <v>7.8953891918691121E-2</v>
      </c>
      <c r="F453" s="422">
        <f t="shared" si="753"/>
        <v>4.7364226346350909E-2</v>
      </c>
      <c r="G453" s="421">
        <f t="shared" si="753"/>
        <v>5.4903801032379164E-2</v>
      </c>
      <c r="H453" s="421">
        <f t="shared" si="753"/>
        <v>4.9790794979079497E-2</v>
      </c>
      <c r="I453" s="421">
        <f t="shared" si="753"/>
        <v>3.7649979313198183E-2</v>
      </c>
      <c r="J453" s="421">
        <f t="shared" si="753"/>
        <v>5.6886227544910177E-2</v>
      </c>
      <c r="K453" s="422">
        <f t="shared" si="753"/>
        <v>4.9590340664079344E-2</v>
      </c>
      <c r="L453" s="421">
        <f t="shared" si="753"/>
        <v>4.2863455589924881E-2</v>
      </c>
      <c r="M453" s="421">
        <f t="shared" si="753"/>
        <v>3.8655462184873951E-2</v>
      </c>
      <c r="N453" s="421">
        <f t="shared" si="753"/>
        <v>5.3082890975908535E-2</v>
      </c>
      <c r="O453" s="421">
        <f t="shared" si="753"/>
        <v>0.1623155505107832</v>
      </c>
      <c r="P453" s="422">
        <f t="shared" si="753"/>
        <v>7.6836158192090401E-2</v>
      </c>
      <c r="Q453" s="421">
        <f t="shared" si="753"/>
        <v>4.1049513330512058E-2</v>
      </c>
      <c r="R453" s="421">
        <f t="shared" si="753"/>
        <v>4.9868766404199474E-2</v>
      </c>
      <c r="S453" s="421">
        <f t="shared" si="753"/>
        <v>4.5007564296520426E-2</v>
      </c>
      <c r="T453" s="421">
        <f t="shared" si="753"/>
        <v>5.0212164073550211E-2</v>
      </c>
      <c r="U453" s="422">
        <f t="shared" si="753"/>
        <v>4.6752999428680254E-2</v>
      </c>
      <c r="V453" s="421">
        <f t="shared" si="753"/>
        <v>4.8864948056944982E-2</v>
      </c>
      <c r="W453" s="421">
        <f t="shared" si="753"/>
        <v>7.5633127994524305E-2</v>
      </c>
      <c r="X453" s="421">
        <f t="shared" si="753"/>
        <v>5.0086355785837651E-2</v>
      </c>
      <c r="Y453" s="421">
        <f t="shared" si="753"/>
        <v>4.1316526610644257E-2</v>
      </c>
      <c r="Z453" s="422">
        <f t="shared" si="753"/>
        <v>5.4205110007097233E-2</v>
      </c>
      <c r="AA453" s="421">
        <f t="shared" si="753"/>
        <v>4.1090909090909088E-2</v>
      </c>
      <c r="AB453" s="421">
        <f t="shared" si="753"/>
        <v>4.3264503441494594E-2</v>
      </c>
      <c r="AC453" s="421">
        <f t="shared" si="753"/>
        <v>4.9966009517335146E-2</v>
      </c>
      <c r="AD453" s="421">
        <f t="shared" si="753"/>
        <v>7.6712328767123292E-2</v>
      </c>
      <c r="AE453" s="680">
        <f t="shared" si="753"/>
        <v>5.2816599502700852E-2</v>
      </c>
      <c r="AF453" s="421">
        <f t="shared" si="753"/>
        <v>4.8588616381304954E-2</v>
      </c>
      <c r="AG453" s="421">
        <f t="shared" si="753"/>
        <v>4.9872122762148335E-2</v>
      </c>
      <c r="AH453" s="421">
        <f t="shared" si="753"/>
        <v>4.4180118946474084E-2</v>
      </c>
      <c r="AI453" s="421">
        <f t="shared" si="753"/>
        <v>4.7389205792014041E-2</v>
      </c>
      <c r="AJ453" s="680">
        <f t="shared" si="753"/>
        <v>4.7483588621444202E-2</v>
      </c>
      <c r="AK453" s="2518">
        <f t="shared" si="753"/>
        <v>4.0926345117920787E-2</v>
      </c>
      <c r="AL453" s="419">
        <f t="shared" si="753"/>
        <v>4.0977329183503386E-2</v>
      </c>
      <c r="AM453" s="419">
        <f t="shared" si="753"/>
        <v>4.0969917789571639E-2</v>
      </c>
      <c r="AN453" s="876">
        <f t="shared" si="753"/>
        <v>4.5357556399076286E-2</v>
      </c>
      <c r="AO453" s="680">
        <f t="shared" si="753"/>
        <v>4.2049158203454756E-2</v>
      </c>
      <c r="AP453" s="680">
        <f t="shared" si="753"/>
        <v>3.9845660639572629E-2</v>
      </c>
      <c r="AQ453" s="680">
        <f t="shared" si="753"/>
        <v>3.9286602158288234E-2</v>
      </c>
      <c r="AR453" s="421"/>
      <c r="AS453" s="1421" t="str">
        <f>+A453</f>
        <v>% of Revenue</v>
      </c>
      <c r="AT453" s="1008">
        <f>+E453</f>
        <v>7.8953891918691121E-2</v>
      </c>
      <c r="AU453" s="1008">
        <f>+F453</f>
        <v>4.7364226346350909E-2</v>
      </c>
      <c r="AV453" s="1008">
        <f>+K453</f>
        <v>4.9590340664079344E-2</v>
      </c>
      <c r="AW453" s="1008">
        <f>+P453</f>
        <v>7.6836158192090401E-2</v>
      </c>
      <c r="AX453" s="1008">
        <f>+U453</f>
        <v>4.6752999428680254E-2</v>
      </c>
      <c r="AY453" s="1008">
        <f>+Z453</f>
        <v>5.4205110007097233E-2</v>
      </c>
      <c r="AZ453" s="1008">
        <f>+AE453</f>
        <v>5.2816599502700852E-2</v>
      </c>
      <c r="BA453" s="1008">
        <f>+AJ453</f>
        <v>4.7483588621444202E-2</v>
      </c>
      <c r="BB453" s="1008">
        <f t="shared" si="752"/>
        <v>4.2049158203454756E-2</v>
      </c>
      <c r="BC453" s="1008">
        <f t="shared" si="752"/>
        <v>3.9845660639572629E-2</v>
      </c>
      <c r="BD453" s="1009">
        <f t="shared" si="752"/>
        <v>3.9286602158288234E-2</v>
      </c>
      <c r="BE453" s="14"/>
      <c r="BF453" s="1423"/>
      <c r="BG453"/>
      <c r="BH453"/>
      <c r="BI453"/>
      <c r="BJ453"/>
      <c r="BK453"/>
      <c r="BL453"/>
      <c r="BM453" s="1424"/>
      <c r="BN453" s="1424"/>
      <c r="BO453" s="1424"/>
      <c r="BP453" s="1424"/>
      <c r="BQ453" s="1424"/>
      <c r="BR453" s="1424"/>
      <c r="BS453" s="1424"/>
    </row>
    <row r="454" spans="1:71" ht="12.75" customHeight="1">
      <c r="A454" s="1154"/>
      <c r="B454" s="142"/>
      <c r="C454" s="142"/>
      <c r="D454" s="142"/>
      <c r="E454" s="142"/>
      <c r="F454" s="143"/>
      <c r="G454" s="142"/>
      <c r="H454" s="142"/>
      <c r="I454" s="142"/>
      <c r="J454" s="142"/>
      <c r="K454" s="143"/>
      <c r="L454" s="142"/>
      <c r="M454" s="142"/>
      <c r="N454" s="142"/>
      <c r="O454" s="142"/>
      <c r="P454" s="143"/>
      <c r="Q454" s="142"/>
      <c r="R454" s="142"/>
      <c r="S454" s="142"/>
      <c r="T454" s="142"/>
      <c r="U454" s="143"/>
      <c r="V454" s="142"/>
      <c r="W454" s="142"/>
      <c r="X454" s="142"/>
      <c r="Y454" s="142"/>
      <c r="Z454" s="143"/>
      <c r="AA454" s="920"/>
      <c r="AB454" s="142"/>
      <c r="AC454" s="142"/>
      <c r="AD454" s="142"/>
      <c r="AE454" s="240"/>
      <c r="AF454" s="142"/>
      <c r="AG454" s="142"/>
      <c r="AH454" s="142"/>
      <c r="AI454" s="2541"/>
      <c r="AJ454" s="240"/>
      <c r="AK454" s="142"/>
      <c r="AL454" s="142"/>
      <c r="AM454" s="142"/>
      <c r="AN454" s="2541"/>
      <c r="AO454" s="240"/>
      <c r="AP454" s="143"/>
      <c r="AQ454" s="143"/>
      <c r="AR454" s="142"/>
      <c r="AS454" s="545"/>
      <c r="AT454" s="1170"/>
      <c r="AU454" s="1170"/>
      <c r="AV454" s="1170"/>
      <c r="AW454" s="1170"/>
      <c r="AX454" s="1170"/>
      <c r="AY454" s="1170"/>
      <c r="AZ454" s="1170"/>
      <c r="BA454" s="1170"/>
      <c r="BB454" s="1170"/>
      <c r="BC454" s="1170"/>
      <c r="BD454" s="1172"/>
      <c r="BF454" s="900"/>
      <c r="BM454" s="902"/>
      <c r="BN454" s="902"/>
      <c r="BO454" s="902"/>
      <c r="BP454" s="902"/>
      <c r="BQ454" s="902"/>
      <c r="BR454" s="902"/>
      <c r="BS454" s="902"/>
    </row>
    <row r="455" spans="1:71" s="2" customFormat="1" ht="12.75" customHeight="1">
      <c r="A455" s="497" t="s">
        <v>1613</v>
      </c>
      <c r="B455" s="915"/>
      <c r="C455" s="915"/>
      <c r="D455" s="915"/>
      <c r="E455" s="1160">
        <f t="shared" ref="E455:T455" si="754">E23</f>
        <v>2637</v>
      </c>
      <c r="F455" s="1161">
        <f t="shared" si="754"/>
        <v>2927</v>
      </c>
      <c r="G455" s="906">
        <f t="shared" si="754"/>
        <v>754</v>
      </c>
      <c r="H455" s="906">
        <f t="shared" si="754"/>
        <v>806</v>
      </c>
      <c r="I455" s="906">
        <f t="shared" si="754"/>
        <v>818</v>
      </c>
      <c r="J455" s="906">
        <f t="shared" si="754"/>
        <v>746</v>
      </c>
      <c r="K455" s="520">
        <f t="shared" si="754"/>
        <v>3124</v>
      </c>
      <c r="L455" s="906">
        <f t="shared" si="754"/>
        <v>841</v>
      </c>
      <c r="M455" s="906">
        <f t="shared" si="754"/>
        <v>750</v>
      </c>
      <c r="N455" s="906">
        <f t="shared" si="754"/>
        <v>842</v>
      </c>
      <c r="O455" s="906">
        <f t="shared" si="754"/>
        <v>972</v>
      </c>
      <c r="P455" s="520">
        <f t="shared" si="754"/>
        <v>3405</v>
      </c>
      <c r="Q455" s="906">
        <f t="shared" si="754"/>
        <v>827</v>
      </c>
      <c r="R455" s="906">
        <f t="shared" si="754"/>
        <v>920</v>
      </c>
      <c r="S455" s="906">
        <f t="shared" si="754"/>
        <v>906</v>
      </c>
      <c r="T455" s="906">
        <f t="shared" si="754"/>
        <v>1038</v>
      </c>
      <c r="U455" s="520">
        <f>SUM(Q455:T455)</f>
        <v>3691</v>
      </c>
      <c r="V455" s="906">
        <f>V23</f>
        <v>950</v>
      </c>
      <c r="W455" s="906">
        <f>W23</f>
        <v>1061</v>
      </c>
      <c r="X455" s="906">
        <f>X23</f>
        <v>1063</v>
      </c>
      <c r="Y455" s="906">
        <f>Y23</f>
        <v>1056</v>
      </c>
      <c r="Z455" s="520">
        <f>SUM(V455:Y455)</f>
        <v>4130</v>
      </c>
      <c r="AA455" s="906">
        <f>AA23</f>
        <v>1071</v>
      </c>
      <c r="AB455" s="906">
        <f>AB23</f>
        <v>1166</v>
      </c>
      <c r="AC455" s="906">
        <f>AC23</f>
        <v>1105</v>
      </c>
      <c r="AD455" s="906">
        <f>AD23</f>
        <v>1104</v>
      </c>
      <c r="AE455" s="520">
        <f>SUM(AA455:AD455)</f>
        <v>4446</v>
      </c>
      <c r="AF455" s="906">
        <f>AF23</f>
        <v>1395</v>
      </c>
      <c r="AG455" s="906">
        <f>AG23</f>
        <v>1436</v>
      </c>
      <c r="AH455" s="906">
        <f>AH23</f>
        <v>1433</v>
      </c>
      <c r="AI455" s="906">
        <f>AI23</f>
        <v>1381</v>
      </c>
      <c r="AJ455" s="520">
        <f>SUM(AF455:AI455)</f>
        <v>5645</v>
      </c>
      <c r="AK455" s="519">
        <f>+AF455*(1+AK456)</f>
        <v>1520.5500000000002</v>
      </c>
      <c r="AL455" s="519">
        <f t="shared" ref="AL455:AN455" si="755">+AG455*(1+AL456)</f>
        <v>1565.24</v>
      </c>
      <c r="AM455" s="519">
        <f t="shared" si="755"/>
        <v>1561.97</v>
      </c>
      <c r="AN455" s="519">
        <f t="shared" si="755"/>
        <v>1505.2900000000002</v>
      </c>
      <c r="AO455" s="520">
        <f>SUM(AK455:AN455)</f>
        <v>6153.05</v>
      </c>
      <c r="AP455" s="520">
        <f>+AO455*(1+AP456)</f>
        <v>6610.4017755928771</v>
      </c>
      <c r="AQ455" s="520">
        <f>+AP455*(1+AQ456)</f>
        <v>6776.6504737633004</v>
      </c>
      <c r="AR455" s="312"/>
      <c r="AS455" s="497" t="str">
        <f>+A455</f>
        <v>Other revenues from managed and franchised properties</v>
      </c>
      <c r="AT455" s="519">
        <f>+E455</f>
        <v>2637</v>
      </c>
      <c r="AU455" s="519">
        <f>+F455</f>
        <v>2927</v>
      </c>
      <c r="AV455" s="519">
        <f>+K455</f>
        <v>3124</v>
      </c>
      <c r="AW455" s="519">
        <f>+P455</f>
        <v>3405</v>
      </c>
      <c r="AX455" s="519">
        <f>+U455</f>
        <v>3691</v>
      </c>
      <c r="AY455" s="519">
        <f>+Z455</f>
        <v>4130</v>
      </c>
      <c r="AZ455" s="519">
        <f>+AE455</f>
        <v>4446</v>
      </c>
      <c r="BA455" s="519">
        <f>+AJ455</f>
        <v>5645</v>
      </c>
      <c r="BB455" s="519">
        <f t="shared" ref="BB455:BD456" si="756">+AO455</f>
        <v>6153.05</v>
      </c>
      <c r="BC455" s="519">
        <f t="shared" si="756"/>
        <v>6610.4017755928771</v>
      </c>
      <c r="BD455" s="885">
        <f t="shared" si="756"/>
        <v>6776.6504737633004</v>
      </c>
      <c r="BE455" s="14"/>
      <c r="BF455" s="900"/>
      <c r="BG455"/>
      <c r="BH455"/>
      <c r="BI455"/>
      <c r="BJ455"/>
      <c r="BK455"/>
      <c r="BL455"/>
      <c r="BM455" s="902"/>
      <c r="BN455" s="902"/>
      <c r="BO455" s="902"/>
      <c r="BP455" s="931"/>
      <c r="BQ455" s="3991"/>
      <c r="BR455" s="902"/>
      <c r="BS455" s="902"/>
    </row>
    <row r="456" spans="1:71" s="121" customFormat="1" ht="12.75" customHeight="1">
      <c r="A456" s="602" t="s">
        <v>2309</v>
      </c>
      <c r="B456" s="240"/>
      <c r="C456" s="240"/>
      <c r="D456" s="240"/>
      <c r="E456" s="1158"/>
      <c r="F456" s="1171">
        <f>IF(ISERROR(F455/E455-1),"NM",F455/E455-1)</f>
        <v>0.1099734546833524</v>
      </c>
      <c r="G456" s="142"/>
      <c r="H456" s="142"/>
      <c r="I456" s="142"/>
      <c r="J456" s="142"/>
      <c r="K456" s="1425">
        <f>IF(ISERROR(K455/F455-1),"NM",K455/F455-1)</f>
        <v>6.7304407242910758E-2</v>
      </c>
      <c r="L456" s="1426">
        <f>+L455/G455-1</f>
        <v>0.11538461538461542</v>
      </c>
      <c r="M456" s="1426">
        <f>+M455/H455-1</f>
        <v>-6.9478908188585597E-2</v>
      </c>
      <c r="N456" s="1426">
        <f>+N455/I455-1</f>
        <v>2.9339853300733409E-2</v>
      </c>
      <c r="O456" s="142">
        <f>+O455/J455-1</f>
        <v>0.30294906166219837</v>
      </c>
      <c r="P456" s="1425">
        <f>IF(ISERROR(P455/K455-1),"NM",P455/K455-1)</f>
        <v>8.9948783610755534E-2</v>
      </c>
      <c r="Q456" s="1426">
        <f>+Q455/L455-1</f>
        <v>-1.6646848989298468E-2</v>
      </c>
      <c r="R456" s="1426">
        <f>+R455/M455-1</f>
        <v>0.22666666666666657</v>
      </c>
      <c r="S456" s="1426">
        <f>+S455/N455-1</f>
        <v>7.6009501187648487E-2</v>
      </c>
      <c r="T456" s="1426">
        <f>+T455/O455-1</f>
        <v>6.7901234567901314E-2</v>
      </c>
      <c r="U456" s="240">
        <f>U455/P455-1</f>
        <v>8.3994126284875126E-2</v>
      </c>
      <c r="V456" s="1426">
        <f>+V455/Q455-1</f>
        <v>0.14873035066505436</v>
      </c>
      <c r="W456" s="1426">
        <f>+W455/R455-1</f>
        <v>0.15326086956521734</v>
      </c>
      <c r="X456" s="1426">
        <f>+X455/S455-1</f>
        <v>0.17328918322295817</v>
      </c>
      <c r="Y456" s="1426">
        <f>+Y455/T455-1</f>
        <v>1.7341040462427681E-2</v>
      </c>
      <c r="Z456" s="240">
        <f>Z455/U455-1</f>
        <v>0.11893795719317257</v>
      </c>
      <c r="AA456" s="1426">
        <f>+AA455/V455-1</f>
        <v>0.12736842105263158</v>
      </c>
      <c r="AB456" s="1426">
        <f>+AB455/W455-1</f>
        <v>9.8963242224316739E-2</v>
      </c>
      <c r="AC456" s="1426">
        <f>+AC455/X455-1</f>
        <v>3.9510818438381889E-2</v>
      </c>
      <c r="AD456" s="1426">
        <f>+AD455/Y455-1</f>
        <v>4.5454545454545414E-2</v>
      </c>
      <c r="AE456" s="240">
        <f>AE455/Z455-1</f>
        <v>7.6513317191283292E-2</v>
      </c>
      <c r="AF456" s="1426">
        <f>+AF455/AA455-1</f>
        <v>0.30252100840336138</v>
      </c>
      <c r="AG456" s="1426">
        <f>+AG455/AB455-1</f>
        <v>0.23156089193825036</v>
      </c>
      <c r="AH456" s="1426">
        <f>+AH455/AC455-1</f>
        <v>0.29683257918552042</v>
      </c>
      <c r="AI456" s="1426">
        <f>+AI455/AD455-1</f>
        <v>0.25090579710144922</v>
      </c>
      <c r="AJ456" s="240">
        <f>AJ455/AE455-1</f>
        <v>0.26968061178587499</v>
      </c>
      <c r="AK456" s="3952">
        <v>0.09</v>
      </c>
      <c r="AL456" s="3952">
        <v>0.09</v>
      </c>
      <c r="AM456" s="3952">
        <v>0.09</v>
      </c>
      <c r="AN456" s="3952">
        <v>0.09</v>
      </c>
      <c r="AO456" s="240">
        <f>AO455/AJ455-1</f>
        <v>9.000000000000008E-2</v>
      </c>
      <c r="AP456" s="1427">
        <f>+AP16/AO16-1</f>
        <v>7.4329279884427502E-2</v>
      </c>
      <c r="AQ456" s="1427">
        <f>+AQ16/AP16-1</f>
        <v>2.5149560316326314E-2</v>
      </c>
      <c r="AR456" s="132"/>
      <c r="AS456" s="602" t="str">
        <f>+A456</f>
        <v>% growth, y/y</v>
      </c>
      <c r="AT456" s="1170">
        <f>+E456</f>
        <v>0</v>
      </c>
      <c r="AU456" s="1170">
        <f>+F456</f>
        <v>0.1099734546833524</v>
      </c>
      <c r="AV456" s="1170">
        <f>+K456</f>
        <v>6.7304407242910758E-2</v>
      </c>
      <c r="AW456" s="1170">
        <f>+P456</f>
        <v>8.9948783610755534E-2</v>
      </c>
      <c r="AX456" s="1170">
        <f>+U456</f>
        <v>8.3994126284875126E-2</v>
      </c>
      <c r="AY456" s="1170">
        <f>+Z456</f>
        <v>0.11893795719317257</v>
      </c>
      <c r="AZ456" s="1170">
        <f>+AE456</f>
        <v>7.6513317191283292E-2</v>
      </c>
      <c r="BA456" s="1170">
        <f>+AJ456</f>
        <v>0.26968061178587499</v>
      </c>
      <c r="BB456" s="1170">
        <f t="shared" si="756"/>
        <v>9.000000000000008E-2</v>
      </c>
      <c r="BC456" s="1170">
        <f t="shared" si="756"/>
        <v>7.4329279884427502E-2</v>
      </c>
      <c r="BD456" s="1172">
        <f t="shared" si="756"/>
        <v>2.5149560316326314E-2</v>
      </c>
      <c r="BE456" s="14"/>
      <c r="BF456" s="900"/>
      <c r="BG456"/>
      <c r="BH456"/>
      <c r="BI456"/>
      <c r="BJ456"/>
      <c r="BK456"/>
      <c r="BL456"/>
      <c r="BM456" s="902"/>
      <c r="BN456" s="902"/>
      <c r="BO456" s="902"/>
      <c r="BP456" s="902"/>
      <c r="BQ456" s="902"/>
      <c r="BR456" s="902"/>
      <c r="BS456" s="902"/>
    </row>
    <row r="457" spans="1:71" s="121" customFormat="1" ht="12.75" customHeight="1">
      <c r="A457" s="1169"/>
      <c r="B457" s="239"/>
      <c r="C457" s="239"/>
      <c r="D457" s="239"/>
      <c r="E457" s="239"/>
      <c r="F457" s="1171"/>
      <c r="G457" s="142"/>
      <c r="H457" s="142"/>
      <c r="I457" s="142"/>
      <c r="J457" s="142"/>
      <c r="K457" s="1171"/>
      <c r="L457" s="142"/>
      <c r="M457" s="142"/>
      <c r="N457" s="142"/>
      <c r="O457" s="142"/>
      <c r="P457" s="1171"/>
      <c r="Q457" s="142"/>
      <c r="R457" s="281"/>
      <c r="S457" s="281"/>
      <c r="T457" s="281"/>
      <c r="U457" s="240"/>
      <c r="V457" s="281"/>
      <c r="W457" s="281"/>
      <c r="X457" s="281"/>
      <c r="Y457" s="281"/>
      <c r="Z457" s="240"/>
      <c r="AA457" s="2564"/>
      <c r="AB457" s="281"/>
      <c r="AC457" s="281"/>
      <c r="AD457" s="281"/>
      <c r="AE457" s="240"/>
      <c r="AF457" s="281"/>
      <c r="AG457" s="281"/>
      <c r="AH457" s="281"/>
      <c r="AI457" s="2565"/>
      <c r="AJ457" s="240"/>
      <c r="AK457" s="281"/>
      <c r="AL457" s="281"/>
      <c r="AM457" s="281"/>
      <c r="AN457" s="2565"/>
      <c r="AO457" s="240"/>
      <c r="AP457" s="240"/>
      <c r="AQ457" s="366"/>
      <c r="AR457" s="132"/>
      <c r="AS457" s="602"/>
      <c r="AT457" s="1170"/>
      <c r="AU457" s="1170"/>
      <c r="AV457" s="1170"/>
      <c r="AW457" s="1170"/>
      <c r="AX457" s="1170"/>
      <c r="AY457" s="1170"/>
      <c r="AZ457" s="1170"/>
      <c r="BA457" s="1170"/>
      <c r="BB457" s="1170"/>
      <c r="BC457" s="1170"/>
      <c r="BD457" s="1172"/>
      <c r="BE457" s="14"/>
      <c r="BF457" s="900"/>
      <c r="BG457"/>
      <c r="BH457"/>
      <c r="BI457"/>
      <c r="BJ457"/>
      <c r="BK457"/>
      <c r="BL457"/>
      <c r="BM457" s="902"/>
      <c r="BN457" s="902"/>
      <c r="BO457" s="902"/>
      <c r="BP457" s="902"/>
      <c r="BQ457" s="902"/>
      <c r="BR457" s="902"/>
      <c r="BS457" s="902"/>
    </row>
    <row r="458" spans="1:71" s="2" customFormat="1" ht="12.75" customHeight="1">
      <c r="A458" s="497" t="s">
        <v>2148</v>
      </c>
      <c r="B458" s="915"/>
      <c r="C458" s="915"/>
      <c r="D458" s="915"/>
      <c r="E458" s="1160">
        <f t="shared" ref="E458:T458" si="757">E52</f>
        <v>0</v>
      </c>
      <c r="F458" s="1161">
        <f t="shared" si="757"/>
        <v>0</v>
      </c>
      <c r="G458" s="906">
        <f t="shared" si="757"/>
        <v>0</v>
      </c>
      <c r="H458" s="906">
        <f t="shared" si="757"/>
        <v>-2</v>
      </c>
      <c r="I458" s="906">
        <f t="shared" si="757"/>
        <v>3</v>
      </c>
      <c r="J458" s="906">
        <f t="shared" si="757"/>
        <v>-12</v>
      </c>
      <c r="K458" s="520">
        <f t="shared" si="757"/>
        <v>-11</v>
      </c>
      <c r="L458" s="906">
        <f t="shared" si="757"/>
        <v>1</v>
      </c>
      <c r="M458" s="906">
        <f t="shared" si="757"/>
        <v>7</v>
      </c>
      <c r="N458" s="906">
        <f t="shared" si="757"/>
        <v>3</v>
      </c>
      <c r="O458" s="906">
        <f t="shared" si="757"/>
        <v>5</v>
      </c>
      <c r="P458" s="520">
        <f t="shared" si="757"/>
        <v>16</v>
      </c>
      <c r="Q458" s="906">
        <f t="shared" si="757"/>
        <v>4</v>
      </c>
      <c r="R458" s="906">
        <f t="shared" si="757"/>
        <v>8</v>
      </c>
      <c r="S458" s="906">
        <f t="shared" si="757"/>
        <v>4</v>
      </c>
      <c r="T458" s="906">
        <f t="shared" si="757"/>
        <v>3</v>
      </c>
      <c r="U458" s="520">
        <f>SUM(Q458:T458)</f>
        <v>19</v>
      </c>
      <c r="V458" s="906">
        <f>V52</f>
        <v>4</v>
      </c>
      <c r="W458" s="906">
        <f>W52</f>
        <v>9</v>
      </c>
      <c r="X458" s="906">
        <f>X52</f>
        <v>9</v>
      </c>
      <c r="Y458" s="906">
        <f>Y52</f>
        <v>1</v>
      </c>
      <c r="Z458" s="520">
        <f>SUM(V458:Y458)</f>
        <v>23</v>
      </c>
      <c r="AA458" s="906">
        <f>AA52</f>
        <v>3</v>
      </c>
      <c r="AB458" s="906">
        <f>AB52</f>
        <v>8</v>
      </c>
      <c r="AC458" s="906">
        <f>AC52</f>
        <v>7</v>
      </c>
      <c r="AD458" s="906">
        <f>AD52</f>
        <v>-10</v>
      </c>
      <c r="AE458" s="520">
        <f>SUM(AA458:AD458)</f>
        <v>8</v>
      </c>
      <c r="AF458" s="906">
        <f>AF52</f>
        <v>0</v>
      </c>
      <c r="AG458" s="906">
        <f>AG52</f>
        <v>0</v>
      </c>
      <c r="AH458" s="906">
        <f>AH52</f>
        <v>0</v>
      </c>
      <c r="AI458" s="906">
        <f ca="1">AI52</f>
        <v>0</v>
      </c>
      <c r="AJ458" s="520">
        <f ca="1">SUM(AF458:AI458)</f>
        <v>0</v>
      </c>
      <c r="AK458" s="3954">
        <f>AF458</f>
        <v>0</v>
      </c>
      <c r="AL458" s="3954">
        <f t="shared" ref="AL458:AN458" si="758">AG458</f>
        <v>0</v>
      </c>
      <c r="AM458" s="3954">
        <f t="shared" si="758"/>
        <v>0</v>
      </c>
      <c r="AN458" s="3954">
        <f t="shared" ca="1" si="758"/>
        <v>0</v>
      </c>
      <c r="AO458" s="520">
        <f ca="1">SUM(AK458:AN458)</f>
        <v>0</v>
      </c>
      <c r="AP458" s="1428">
        <f ca="1">AO458</f>
        <v>0</v>
      </c>
      <c r="AQ458" s="1428">
        <f ca="1">AP458</f>
        <v>0</v>
      </c>
      <c r="AR458" s="312"/>
      <c r="AS458" s="497" t="str">
        <f>+A458</f>
        <v>Equity in earnings (losses) from unconsolidated affiliates</v>
      </c>
      <c r="AT458" s="519">
        <f>+E458</f>
        <v>0</v>
      </c>
      <c r="AU458" s="519">
        <f>+F458</f>
        <v>0</v>
      </c>
      <c r="AV458" s="519">
        <f>+K458</f>
        <v>-11</v>
      </c>
      <c r="AW458" s="519">
        <f>+P458</f>
        <v>16</v>
      </c>
      <c r="AX458" s="519">
        <f>+U458</f>
        <v>19</v>
      </c>
      <c r="AY458" s="519">
        <f>+Z458</f>
        <v>23</v>
      </c>
      <c r="AZ458" s="519">
        <f>+AE458</f>
        <v>8</v>
      </c>
      <c r="BA458" s="519">
        <f ca="1">+AJ458</f>
        <v>0</v>
      </c>
      <c r="BB458" s="519">
        <f t="shared" ref="BB458:BD459" ca="1" si="759">+AO458</f>
        <v>0</v>
      </c>
      <c r="BC458" s="519">
        <f t="shared" ca="1" si="759"/>
        <v>0</v>
      </c>
      <c r="BD458" s="885">
        <f t="shared" ca="1" si="759"/>
        <v>0</v>
      </c>
      <c r="BE458" s="14"/>
      <c r="BF458" s="900"/>
      <c r="BG458"/>
      <c r="BH458"/>
      <c r="BI458"/>
      <c r="BJ458"/>
      <c r="BK458"/>
      <c r="BL458"/>
      <c r="BM458" s="902"/>
      <c r="BN458" s="902"/>
      <c r="BO458" s="902"/>
      <c r="BP458" s="902"/>
      <c r="BQ458" s="902"/>
      <c r="BR458" s="902"/>
      <c r="BS458" s="902"/>
    </row>
    <row r="459" spans="1:71" s="121" customFormat="1" ht="12.75" customHeight="1">
      <c r="A459" s="1155" t="s">
        <v>2309</v>
      </c>
      <c r="B459" s="1156"/>
      <c r="C459" s="1156"/>
      <c r="D459" s="1156"/>
      <c r="E459" s="1173"/>
      <c r="F459" s="640" t="str">
        <f>IF(ISERROR(F458/E458-1),"NM",F458/E458-1)</f>
        <v>NM</v>
      </c>
      <c r="G459" s="986"/>
      <c r="H459" s="986"/>
      <c r="I459" s="986"/>
      <c r="J459" s="986"/>
      <c r="K459" s="640" t="str">
        <f>IF(ISERROR(K458/F458-1),"NM",K458/F458-1)</f>
        <v>NM</v>
      </c>
      <c r="L459" s="1174" t="str">
        <f>IF(ISERROR(L458/G458-1),"NM",L458/G458-1)</f>
        <v>NM</v>
      </c>
      <c r="M459" s="986">
        <f>+M458/H458-1</f>
        <v>-4.5</v>
      </c>
      <c r="N459" s="986">
        <f>+N458/I458-1</f>
        <v>0</v>
      </c>
      <c r="O459" s="986"/>
      <c r="P459" s="640">
        <f>IF(ISERROR(P458/K458-1),"NM",P458/K458-1)</f>
        <v>-2.4545454545454546</v>
      </c>
      <c r="Q459" s="1174">
        <f>IF(ISERROR(Q458/L458-1),"NM",Q458/L458-1)</f>
        <v>3</v>
      </c>
      <c r="R459" s="1174">
        <f>IF(ISERROR(R458/M458-1),"NM",R458/M458-1)</f>
        <v>0.14285714285714279</v>
      </c>
      <c r="S459" s="1174">
        <f>IF(ISERROR(S458/N458-1),"NM",S458/N458-1)</f>
        <v>0.33333333333333326</v>
      </c>
      <c r="T459" s="1174">
        <f>IF(ISERROR(T458/O458-1),"NM",T458/O458-1)</f>
        <v>-0.4</v>
      </c>
      <c r="U459" s="1156">
        <f t="shared" ref="U459:Z459" si="760">U458/P458-1</f>
        <v>0.1875</v>
      </c>
      <c r="V459" s="1174">
        <f>IF(ISERROR(V458/Q458-1),"NM",V458/Q458-1)</f>
        <v>0</v>
      </c>
      <c r="W459" s="1174">
        <f>IF(ISERROR(W458/R458-1),"NM",W458/R458-1)</f>
        <v>0.125</v>
      </c>
      <c r="X459" s="1174">
        <f>IF(ISERROR(X458/S458-1),"NM",X458/S458-1)</f>
        <v>1.25</v>
      </c>
      <c r="Y459" s="886">
        <f t="shared" si="760"/>
        <v>-0.66666666666666674</v>
      </c>
      <c r="Z459" s="1156">
        <f t="shared" si="760"/>
        <v>0.21052631578947367</v>
      </c>
      <c r="AA459" s="1173">
        <f t="shared" ref="AA459:AF459" si="761">AA458/V458-1</f>
        <v>-0.25</v>
      </c>
      <c r="AB459" s="501">
        <f t="shared" si="761"/>
        <v>-0.11111111111111116</v>
      </c>
      <c r="AC459" s="501">
        <f t="shared" si="761"/>
        <v>-0.22222222222222221</v>
      </c>
      <c r="AD459" s="501">
        <f t="shared" si="761"/>
        <v>-11</v>
      </c>
      <c r="AE459" s="1156">
        <f t="shared" si="761"/>
        <v>-0.65217391304347827</v>
      </c>
      <c r="AF459" s="501">
        <f t="shared" si="761"/>
        <v>-1</v>
      </c>
      <c r="AG459" s="501"/>
      <c r="AH459" s="501"/>
      <c r="AI459" s="886"/>
      <c r="AJ459" s="1156"/>
      <c r="AK459" s="501"/>
      <c r="AL459" s="501"/>
      <c r="AM459" s="501"/>
      <c r="AN459" s="886"/>
      <c r="AO459" s="1156"/>
      <c r="AP459" s="1156"/>
      <c r="AQ459" s="1156"/>
      <c r="AR459" s="132"/>
      <c r="AS459" s="1155" t="str">
        <f>+A459</f>
        <v>% growth, y/y</v>
      </c>
      <c r="AT459" s="641">
        <f>+E459</f>
        <v>0</v>
      </c>
      <c r="AU459" s="641" t="str">
        <f>+F459</f>
        <v>NM</v>
      </c>
      <c r="AV459" s="641" t="str">
        <f>+K459</f>
        <v>NM</v>
      </c>
      <c r="AW459" s="641">
        <f>+P459</f>
        <v>-2.4545454545454546</v>
      </c>
      <c r="AX459" s="641">
        <f>+U459</f>
        <v>0.1875</v>
      </c>
      <c r="AY459" s="641">
        <f>+Z459</f>
        <v>0.21052631578947367</v>
      </c>
      <c r="AZ459" s="641">
        <f>+AE459</f>
        <v>-0.65217391304347827</v>
      </c>
      <c r="BA459" s="641">
        <f>+AJ459</f>
        <v>0</v>
      </c>
      <c r="BB459" s="641">
        <f t="shared" si="759"/>
        <v>0</v>
      </c>
      <c r="BC459" s="641">
        <f t="shared" si="759"/>
        <v>0</v>
      </c>
      <c r="BD459" s="873">
        <f t="shared" si="759"/>
        <v>0</v>
      </c>
      <c r="BE459" s="14"/>
      <c r="BF459" s="900"/>
      <c r="BG459"/>
      <c r="BH459"/>
      <c r="BI459"/>
      <c r="BJ459"/>
      <c r="BK459"/>
      <c r="BL459"/>
      <c r="BM459" s="902"/>
      <c r="BN459" s="902"/>
      <c r="BO459" s="902"/>
      <c r="BP459" s="902"/>
      <c r="BQ459" s="902"/>
      <c r="BR459" s="902"/>
      <c r="BS459" s="902"/>
    </row>
    <row r="460" spans="1:71" s="15" customFormat="1" ht="12.75" customHeight="1">
      <c r="A460" s="258"/>
      <c r="B460" s="191"/>
      <c r="C460" s="191"/>
      <c r="D460" s="191"/>
      <c r="E460" s="191"/>
      <c r="F460" s="191"/>
      <c r="G460" s="191"/>
      <c r="H460" s="191"/>
      <c r="I460" s="191"/>
      <c r="J460" s="191"/>
      <c r="K460" s="191"/>
      <c r="L460" s="191"/>
      <c r="M460" s="191"/>
      <c r="N460" s="191"/>
      <c r="O460" s="191"/>
      <c r="P460" s="191"/>
      <c r="Q460" s="191"/>
      <c r="R460" s="191"/>
      <c r="S460" s="191"/>
      <c r="T460" s="191"/>
      <c r="U460" s="191"/>
      <c r="V460" s="191"/>
      <c r="W460" s="191"/>
      <c r="X460" s="191"/>
      <c r="Y460" s="2752"/>
      <c r="Z460" s="2752"/>
      <c r="AA460" s="191"/>
      <c r="AB460" s="191"/>
      <c r="AC460" s="191"/>
      <c r="AD460" s="191"/>
      <c r="AE460" s="191"/>
      <c r="AF460" s="191"/>
      <c r="AG460" s="191"/>
      <c r="AH460" s="191"/>
      <c r="AI460" s="191"/>
      <c r="AJ460" s="191"/>
      <c r="AK460" s="191"/>
      <c r="AL460" s="191"/>
      <c r="AM460" s="191"/>
      <c r="AN460" s="191"/>
      <c r="AO460" s="191"/>
      <c r="AP460" s="191"/>
      <c r="AQ460" s="191"/>
      <c r="AR460" s="191"/>
      <c r="AS460" s="489"/>
      <c r="AT460" s="191"/>
      <c r="AU460" s="191"/>
      <c r="AV460" s="191"/>
      <c r="AW460" s="191"/>
      <c r="AX460" s="191"/>
      <c r="AY460" s="191"/>
      <c r="AZ460" s="191"/>
      <c r="BA460" s="191"/>
      <c r="BB460" s="191"/>
      <c r="BC460" s="191"/>
      <c r="BD460" s="420"/>
      <c r="BE460" s="14"/>
      <c r="BF460" s="900"/>
      <c r="BG460"/>
      <c r="BH460"/>
      <c r="BI460"/>
      <c r="BJ460"/>
      <c r="BK460"/>
      <c r="BL460"/>
      <c r="BM460" s="902"/>
      <c r="BN460" s="902"/>
      <c r="BO460" s="902"/>
      <c r="BP460" s="902"/>
      <c r="BQ460" s="902"/>
      <c r="BR460" s="902"/>
      <c r="BS460" s="902"/>
    </row>
    <row r="461" spans="1:71" ht="12.75" customHeight="1">
      <c r="A461" s="1"/>
      <c r="B461" s="340"/>
      <c r="C461" s="340"/>
      <c r="D461" s="340"/>
      <c r="E461" s="340"/>
      <c r="F461" s="340"/>
      <c r="G461" s="340"/>
      <c r="H461" s="340"/>
      <c r="I461" s="340"/>
      <c r="J461" s="340"/>
      <c r="K461" s="340"/>
      <c r="L461" s="340"/>
      <c r="M461" s="340"/>
      <c r="N461" s="340"/>
      <c r="O461" s="340"/>
      <c r="P461" s="340"/>
      <c r="Q461" s="340"/>
      <c r="R461" s="340"/>
      <c r="S461" s="340"/>
      <c r="T461" s="340"/>
      <c r="U461" s="340"/>
      <c r="V461" s="340"/>
      <c r="W461" s="340"/>
      <c r="X461" s="340"/>
      <c r="Y461" s="2740"/>
      <c r="Z461" s="2740"/>
      <c r="AA461" s="340"/>
      <c r="AB461" s="340"/>
      <c r="AC461" s="340"/>
      <c r="AD461" s="340"/>
      <c r="AE461" s="340"/>
      <c r="AF461" s="340"/>
      <c r="AG461" s="340"/>
      <c r="AH461" s="340"/>
      <c r="AI461" s="340"/>
      <c r="AJ461" s="340"/>
      <c r="AK461" s="340"/>
      <c r="AL461" s="340"/>
      <c r="AM461" s="340"/>
      <c r="AN461" s="340"/>
      <c r="AO461" s="340"/>
      <c r="AP461" s="340"/>
      <c r="AQ461" s="340"/>
      <c r="AR461" s="188"/>
      <c r="AS461" s="1000"/>
      <c r="AT461" s="340"/>
      <c r="AU461" s="340"/>
      <c r="AV461" s="340"/>
      <c r="AW461" s="340"/>
      <c r="AX461" s="340"/>
      <c r="AY461" s="340"/>
      <c r="AZ461" s="1585"/>
      <c r="BA461" s="1585"/>
      <c r="BB461" s="1585"/>
      <c r="BC461" s="1585"/>
      <c r="BD461" s="1003"/>
      <c r="BF461" s="900"/>
      <c r="BM461" s="902"/>
      <c r="BN461" s="902"/>
      <c r="BO461" s="902"/>
      <c r="BP461" s="902"/>
      <c r="BQ461" s="902"/>
      <c r="BR461" s="902"/>
      <c r="BS461" s="902"/>
    </row>
    <row r="462" spans="1:71" s="12" customFormat="1" ht="12.75" customHeight="1">
      <c r="A462" s="341" t="s">
        <v>1716</v>
      </c>
      <c r="B462" s="766"/>
      <c r="C462" s="766"/>
      <c r="D462" s="766"/>
      <c r="E462" s="766" t="str">
        <f>E$5</f>
        <v>2010</v>
      </c>
      <c r="F462" s="766" t="str">
        <f>F$5</f>
        <v>2011</v>
      </c>
      <c r="G462" s="767" t="str">
        <f t="shared" ref="G462:AQ462" si="762">G$5</f>
        <v>1Q12</v>
      </c>
      <c r="H462" s="767" t="str">
        <f t="shared" si="762"/>
        <v>2Q12</v>
      </c>
      <c r="I462" s="767" t="str">
        <f t="shared" si="762"/>
        <v>3Q12</v>
      </c>
      <c r="J462" s="767" t="str">
        <f t="shared" si="762"/>
        <v>4Q12</v>
      </c>
      <c r="K462" s="766">
        <f t="shared" si="762"/>
        <v>2012</v>
      </c>
      <c r="L462" s="767" t="str">
        <f t="shared" si="762"/>
        <v>1Q13</v>
      </c>
      <c r="M462" s="767" t="str">
        <f t="shared" si="762"/>
        <v>2Q13</v>
      </c>
      <c r="N462" s="767" t="str">
        <f t="shared" si="762"/>
        <v>3Q13</v>
      </c>
      <c r="O462" s="767" t="str">
        <f t="shared" si="762"/>
        <v>4Q13</v>
      </c>
      <c r="P462" s="766">
        <f t="shared" si="762"/>
        <v>2013</v>
      </c>
      <c r="Q462" s="767" t="str">
        <f t="shared" si="762"/>
        <v>1Q14</v>
      </c>
      <c r="R462" s="767" t="str">
        <f t="shared" si="762"/>
        <v>2Q14</v>
      </c>
      <c r="S462" s="767" t="str">
        <f t="shared" si="762"/>
        <v>3Q14</v>
      </c>
      <c r="T462" s="767" t="str">
        <f t="shared" si="762"/>
        <v>4Q14</v>
      </c>
      <c r="U462" s="766">
        <f t="shared" si="762"/>
        <v>2014</v>
      </c>
      <c r="V462" s="767" t="str">
        <f t="shared" si="762"/>
        <v>1Q15</v>
      </c>
      <c r="W462" s="767" t="str">
        <f t="shared" si="762"/>
        <v>2Q15</v>
      </c>
      <c r="X462" s="767" t="str">
        <f t="shared" si="762"/>
        <v>3Q15</v>
      </c>
      <c r="Y462" s="767" t="str">
        <f t="shared" si="762"/>
        <v>4Q15</v>
      </c>
      <c r="Z462" s="766">
        <f t="shared" si="762"/>
        <v>2015</v>
      </c>
      <c r="AA462" s="767" t="str">
        <f t="shared" si="762"/>
        <v>1Q16</v>
      </c>
      <c r="AB462" s="767" t="str">
        <f t="shared" si="762"/>
        <v>2Q16</v>
      </c>
      <c r="AC462" s="767" t="str">
        <f t="shared" si="762"/>
        <v>3Q16</v>
      </c>
      <c r="AD462" s="767" t="str">
        <f t="shared" si="762"/>
        <v>4Q16</v>
      </c>
      <c r="AE462" s="766">
        <f t="shared" si="762"/>
        <v>2016</v>
      </c>
      <c r="AF462" s="767" t="str">
        <f t="shared" si="762"/>
        <v>1Q17</v>
      </c>
      <c r="AG462" s="767" t="str">
        <f t="shared" si="762"/>
        <v>2Q17</v>
      </c>
      <c r="AH462" s="767" t="str">
        <f t="shared" si="762"/>
        <v>3Q17</v>
      </c>
      <c r="AI462" s="767" t="str">
        <f t="shared" si="762"/>
        <v>4Q17A</v>
      </c>
      <c r="AJ462" s="766" t="str">
        <f t="shared" si="762"/>
        <v>2017A</v>
      </c>
      <c r="AK462" s="767" t="str">
        <f t="shared" si="762"/>
        <v>1Q18E</v>
      </c>
      <c r="AL462" s="767" t="str">
        <f t="shared" si="762"/>
        <v>2Q18E</v>
      </c>
      <c r="AM462" s="767" t="str">
        <f t="shared" si="762"/>
        <v>3Q18E</v>
      </c>
      <c r="AN462" s="767" t="str">
        <f t="shared" si="762"/>
        <v>4Q18E</v>
      </c>
      <c r="AO462" s="766" t="str">
        <f t="shared" si="762"/>
        <v>2018E</v>
      </c>
      <c r="AP462" s="766" t="str">
        <f t="shared" si="762"/>
        <v>2019E</v>
      </c>
      <c r="AQ462" s="766" t="str">
        <f t="shared" si="762"/>
        <v>2020E</v>
      </c>
      <c r="AR462" s="431"/>
      <c r="AS462" s="341" t="str">
        <f>+A462</f>
        <v>Capital Expenditures &amp; Investing Activities</v>
      </c>
      <c r="AT462" s="767" t="str">
        <f>+E462</f>
        <v>2010</v>
      </c>
      <c r="AU462" s="767" t="str">
        <f>+F462</f>
        <v>2011</v>
      </c>
      <c r="AV462" s="767">
        <f>+K462</f>
        <v>2012</v>
      </c>
      <c r="AW462" s="767">
        <f>+P462</f>
        <v>2013</v>
      </c>
      <c r="AX462" s="767">
        <f>+U462</f>
        <v>2014</v>
      </c>
      <c r="AY462" s="767">
        <f>+Z462</f>
        <v>2015</v>
      </c>
      <c r="AZ462" s="1583">
        <f>+AE462</f>
        <v>2016</v>
      </c>
      <c r="BA462" s="1583" t="str">
        <f>+AJ462</f>
        <v>2017A</v>
      </c>
      <c r="BB462" s="1583" t="str">
        <f>+AO462</f>
        <v>2018E</v>
      </c>
      <c r="BC462" s="1583" t="str">
        <f>+AP462</f>
        <v>2019E</v>
      </c>
      <c r="BD462" s="995" t="str">
        <f>+AQ462</f>
        <v>2020E</v>
      </c>
      <c r="BE462" s="14"/>
      <c r="BF462" s="900"/>
      <c r="BG462"/>
      <c r="BH462"/>
      <c r="BI462"/>
      <c r="BJ462"/>
      <c r="BK462"/>
      <c r="BL462"/>
      <c r="BM462" s="902"/>
      <c r="BN462" s="902"/>
      <c r="BO462" s="902"/>
      <c r="BP462" s="902"/>
      <c r="BQ462" s="902"/>
      <c r="BR462" s="902"/>
      <c r="BS462" s="902"/>
    </row>
    <row r="463" spans="1:71" ht="12.75" customHeight="1">
      <c r="A463" s="521"/>
      <c r="B463" s="167"/>
      <c r="C463" s="167"/>
      <c r="D463" s="167"/>
      <c r="E463" s="167"/>
      <c r="F463" s="167"/>
      <c r="G463" s="302"/>
      <c r="H463" s="302"/>
      <c r="I463" s="302"/>
      <c r="J463" s="302"/>
      <c r="K463" s="167"/>
      <c r="L463" s="302"/>
      <c r="M463" s="302"/>
      <c r="N463" s="302"/>
      <c r="O463" s="302"/>
      <c r="P463" s="167"/>
      <c r="Q463" s="302"/>
      <c r="R463" s="302"/>
      <c r="S463" s="302"/>
      <c r="T463" s="302"/>
      <c r="U463" s="167"/>
      <c r="V463" s="302"/>
      <c r="W463" s="302"/>
      <c r="X463" s="302"/>
      <c r="Y463" s="302"/>
      <c r="Z463" s="167"/>
      <c r="AA463" s="2542"/>
      <c r="AB463" s="302"/>
      <c r="AC463" s="302"/>
      <c r="AD463" s="877"/>
      <c r="AE463" s="167"/>
      <c r="AF463" s="302"/>
      <c r="AG463" s="302"/>
      <c r="AH463" s="302"/>
      <c r="AI463" s="877"/>
      <c r="AJ463" s="167"/>
      <c r="AK463" s="302"/>
      <c r="AL463" s="302"/>
      <c r="AM463" s="302"/>
      <c r="AN463" s="877"/>
      <c r="AO463" s="167"/>
      <c r="AP463" s="167"/>
      <c r="AQ463" s="167"/>
      <c r="AR463" s="302"/>
      <c r="AS463" s="497"/>
      <c r="AT463" s="302"/>
      <c r="AU463" s="302"/>
      <c r="AV463" s="302"/>
      <c r="AW463" s="302"/>
      <c r="AX463" s="302"/>
      <c r="AY463" s="302"/>
      <c r="AZ463" s="1584"/>
      <c r="BA463" s="1584"/>
      <c r="BB463" s="1584"/>
      <c r="BC463" s="1584"/>
      <c r="BD463" s="996"/>
      <c r="BF463" s="900"/>
      <c r="BM463" s="902"/>
      <c r="BN463" s="902"/>
      <c r="BO463" s="902"/>
      <c r="BP463" s="902"/>
      <c r="BQ463" s="902"/>
      <c r="BR463" s="902"/>
      <c r="BS463" s="902"/>
    </row>
    <row r="464" spans="1:71" ht="12.75" customHeight="1">
      <c r="A464" s="497" t="s">
        <v>2320</v>
      </c>
      <c r="B464" s="343"/>
      <c r="C464" s="343"/>
      <c r="D464" s="343"/>
      <c r="E464" s="343"/>
      <c r="F464" s="343"/>
      <c r="G464" s="195"/>
      <c r="H464" s="195"/>
      <c r="I464" s="195"/>
      <c r="J464" s="195"/>
      <c r="K464" s="343"/>
      <c r="L464" s="195"/>
      <c r="M464" s="195"/>
      <c r="N464" s="195"/>
      <c r="O464" s="195"/>
      <c r="P464" s="343"/>
      <c r="Q464" s="195"/>
      <c r="R464" s="195"/>
      <c r="S464" s="195"/>
      <c r="T464" s="195"/>
      <c r="U464" s="343"/>
      <c r="V464" s="195"/>
      <c r="W464" s="195"/>
      <c r="X464" s="195"/>
      <c r="Y464" s="195"/>
      <c r="Z464" s="343"/>
      <c r="AA464" s="918"/>
      <c r="AB464" s="195"/>
      <c r="AC464" s="195"/>
      <c r="AD464" s="2517"/>
      <c r="AE464" s="343"/>
      <c r="AF464" s="195"/>
      <c r="AG464" s="195"/>
      <c r="AH464" s="195"/>
      <c r="AI464" s="2517"/>
      <c r="AJ464" s="343"/>
      <c r="AK464" s="195"/>
      <c r="AL464" s="195"/>
      <c r="AM464" s="195"/>
      <c r="AN464" s="2517"/>
      <c r="AO464" s="343"/>
      <c r="AP464" s="343"/>
      <c r="AQ464" s="343"/>
      <c r="AR464" s="195"/>
      <c r="AS464" s="497" t="str">
        <f t="shared" ref="AS464:AS472" si="763">+A464</f>
        <v>Capital Spending</v>
      </c>
      <c r="AT464" s="188"/>
      <c r="AU464" s="188"/>
      <c r="AV464" s="188"/>
      <c r="AW464" s="188"/>
      <c r="AX464" s="188"/>
      <c r="AY464" s="188"/>
      <c r="AZ464" s="188"/>
      <c r="BA464" s="188"/>
      <c r="BB464" s="188"/>
      <c r="BC464" s="188"/>
      <c r="BD464" s="849"/>
      <c r="BF464" s="900"/>
      <c r="BM464" s="902"/>
      <c r="BN464" s="902"/>
      <c r="BO464" s="902"/>
      <c r="BP464" s="902"/>
      <c r="BQ464" s="902"/>
      <c r="BR464" s="902"/>
      <c r="BS464" s="902"/>
    </row>
    <row r="465" spans="1:71" s="11" customFormat="1" ht="12.75" customHeight="1">
      <c r="A465" s="1547" t="s">
        <v>1242</v>
      </c>
      <c r="B465" s="487"/>
      <c r="C465" s="487"/>
      <c r="D465" s="487"/>
      <c r="E465" s="923">
        <v>132</v>
      </c>
      <c r="F465" s="923">
        <v>368</v>
      </c>
      <c r="G465" s="1548">
        <f>+G468-G467-G466</f>
        <v>106.75</v>
      </c>
      <c r="H465" s="1548">
        <f>+H468-H467-H466</f>
        <v>117.75</v>
      </c>
      <c r="I465" s="1548">
        <f>+I468-I467-I466</f>
        <v>83.75</v>
      </c>
      <c r="J465" s="1548">
        <f>+J468-J467-J466</f>
        <v>87.75</v>
      </c>
      <c r="K465" s="487">
        <f>SUM(G465:J465)</f>
        <v>396</v>
      </c>
      <c r="L465" s="1548">
        <f>+L468-L467-L466</f>
        <v>54</v>
      </c>
      <c r="M465" s="1548">
        <f>+M468-M467-M466</f>
        <v>61</v>
      </c>
      <c r="N465" s="1548">
        <f>+N468-N467-N466</f>
        <v>43</v>
      </c>
      <c r="O465" s="1548">
        <f>+O468-O467-O466</f>
        <v>84</v>
      </c>
      <c r="P465" s="487">
        <f>+SUM(L465:O465)</f>
        <v>242</v>
      </c>
      <c r="Q465" s="1548">
        <f>+Q468-Q467-Q466</f>
        <v>40</v>
      </c>
      <c r="R465" s="1548">
        <f>+R468-R467-R466</f>
        <v>64</v>
      </c>
      <c r="S465" s="1548">
        <f>+S468-S467-S466</f>
        <v>67</v>
      </c>
      <c r="T465" s="1548">
        <f>+T468-T467-T466</f>
        <v>72</v>
      </c>
      <c r="U465" s="487">
        <f>SUM(Q465:T465)</f>
        <v>243</v>
      </c>
      <c r="V465" s="1548">
        <f>+V468-V467-V466</f>
        <v>82</v>
      </c>
      <c r="W465" s="1548">
        <f>+W468-W467-W466</f>
        <v>66</v>
      </c>
      <c r="X465" s="1548">
        <f>+X468-X467-X466</f>
        <v>50</v>
      </c>
      <c r="Y465" s="1548">
        <f>+Y468-Y467-Y466</f>
        <v>77</v>
      </c>
      <c r="Z465" s="2588">
        <f>SUM(V465:Y465)</f>
        <v>275</v>
      </c>
      <c r="AA465" s="1548">
        <f>+AA468-AA467-AA466</f>
        <v>77</v>
      </c>
      <c r="AB465" s="1548">
        <f>+AB468-AB467-AB466</f>
        <v>76</v>
      </c>
      <c r="AC465" s="1548">
        <f>+AC468-AC467-AC466</f>
        <v>50</v>
      </c>
      <c r="AD465" s="1548">
        <f>+AD468-AD467-AD466</f>
        <v>67</v>
      </c>
      <c r="AE465" s="2588">
        <f>SUM(AA465:AD465)</f>
        <v>270</v>
      </c>
      <c r="AF465" s="1548">
        <f>+AF468-AF467-AF466</f>
        <v>9</v>
      </c>
      <c r="AG465" s="1548">
        <f>+AG468-AG467-AG466</f>
        <v>9</v>
      </c>
      <c r="AH465" s="1548">
        <f>+AH468-AH467-AH466</f>
        <v>18</v>
      </c>
      <c r="AI465" s="1548">
        <f>+AI468-AI467-AI466</f>
        <v>22</v>
      </c>
      <c r="AJ465" s="2588">
        <f>SUM(AF465:AI465)</f>
        <v>58</v>
      </c>
      <c r="AK465" s="1362">
        <f>AK9*AK475</f>
        <v>7.8714501393964316</v>
      </c>
      <c r="AL465" s="1362">
        <f>AL9*AL475</f>
        <v>10.963439100972771</v>
      </c>
      <c r="AM465" s="1362">
        <f>AM9*AM475</f>
        <v>10.727126685854381</v>
      </c>
      <c r="AN465" s="1362">
        <f>AN9*AN475</f>
        <v>10.260974126126964</v>
      </c>
      <c r="AO465" s="2588">
        <f>SUM(AK465:AN465)</f>
        <v>39.822990052350548</v>
      </c>
      <c r="AP465" s="487">
        <f>AP9*AP475</f>
        <v>40.881484791285459</v>
      </c>
      <c r="AQ465" s="487">
        <f>AQ9*AQ475</f>
        <v>39.096584677119992</v>
      </c>
      <c r="AR465" s="486"/>
      <c r="AS465" s="1549" t="str">
        <f t="shared" si="763"/>
        <v>Hotel PP&amp;E</v>
      </c>
      <c r="AT465" s="486">
        <f t="shared" ref="AT465:AU472" si="764">+E465</f>
        <v>132</v>
      </c>
      <c r="AU465" s="486">
        <f t="shared" si="764"/>
        <v>368</v>
      </c>
      <c r="AV465" s="486">
        <f t="shared" ref="AV465:AV472" si="765">+K465</f>
        <v>396</v>
      </c>
      <c r="AW465" s="486">
        <f t="shared" ref="AW465:AW472" si="766">+P465</f>
        <v>242</v>
      </c>
      <c r="AX465" s="486">
        <f t="shared" ref="AX465:AX472" si="767">+U465</f>
        <v>243</v>
      </c>
      <c r="AY465" s="486">
        <f t="shared" ref="AY465:AY472" si="768">+Z465</f>
        <v>275</v>
      </c>
      <c r="AZ465" s="486">
        <f t="shared" ref="AZ465:AZ472" si="769">+AE465</f>
        <v>270</v>
      </c>
      <c r="BA465" s="486">
        <f t="shared" ref="BA465:BA472" si="770">+AJ465</f>
        <v>58</v>
      </c>
      <c r="BB465" s="486">
        <f t="shared" ref="BB465:BB472" si="771">+AO465</f>
        <v>39.822990052350548</v>
      </c>
      <c r="BC465" s="486">
        <f t="shared" ref="BC465:BC472" si="772">+AP465</f>
        <v>40.881484791285459</v>
      </c>
      <c r="BD465" s="875">
        <f t="shared" ref="BD465:BD472" si="773">+AQ465</f>
        <v>39.096584677119992</v>
      </c>
      <c r="BE465" s="14"/>
      <c r="BF465" s="908"/>
      <c r="BG465"/>
      <c r="BH465"/>
      <c r="BI465"/>
      <c r="BJ465"/>
      <c r="BK465"/>
      <c r="BL465"/>
      <c r="BM465" s="909"/>
      <c r="BN465" s="909"/>
      <c r="BO465" s="909"/>
      <c r="BP465" s="931"/>
      <c r="BQ465" s="902"/>
      <c r="BR465" s="909"/>
      <c r="BS465" s="909"/>
    </row>
    <row r="466" spans="1:71" ht="12.75" customHeight="1">
      <c r="A466" s="522" t="s">
        <v>1243</v>
      </c>
      <c r="B466" s="164"/>
      <c r="C466" s="164"/>
      <c r="D466" s="164"/>
      <c r="E466" s="551">
        <v>5</v>
      </c>
      <c r="F466" s="551">
        <v>12</v>
      </c>
      <c r="G466" s="1418">
        <v>7</v>
      </c>
      <c r="H466" s="1418">
        <v>7</v>
      </c>
      <c r="I466" s="1418">
        <v>7</v>
      </c>
      <c r="J466" s="1418">
        <v>7</v>
      </c>
      <c r="K466" s="164">
        <f>SUM(G466:J466)</f>
        <v>28</v>
      </c>
      <c r="L466" s="1418">
        <f>5/4</f>
        <v>1.25</v>
      </c>
      <c r="M466" s="1418">
        <f>5/4</f>
        <v>1.25</v>
      </c>
      <c r="N466" s="1418">
        <f>5/4</f>
        <v>1.25</v>
      </c>
      <c r="O466" s="1418">
        <f>5/4</f>
        <v>1.25</v>
      </c>
      <c r="P466" s="164">
        <f>SUM(L466:O466)</f>
        <v>5</v>
      </c>
      <c r="Q466" s="1418">
        <f>5/4</f>
        <v>1.25</v>
      </c>
      <c r="R466" s="1418">
        <f>5/4</f>
        <v>1.25</v>
      </c>
      <c r="S466" s="1418">
        <v>4</v>
      </c>
      <c r="T466" s="1418">
        <v>9</v>
      </c>
      <c r="U466" s="164">
        <f>SUM(Q466:T466)</f>
        <v>15.5</v>
      </c>
      <c r="V466" s="2843">
        <v>2</v>
      </c>
      <c r="W466" s="2843">
        <v>3</v>
      </c>
      <c r="X466" s="2843">
        <v>3</v>
      </c>
      <c r="Y466" s="2843">
        <v>10</v>
      </c>
      <c r="Z466" s="2569">
        <f>SUM(V466:Y466)</f>
        <v>18</v>
      </c>
      <c r="AA466" s="2843">
        <v>3</v>
      </c>
      <c r="AB466" s="2843">
        <v>8</v>
      </c>
      <c r="AC466" s="2843">
        <v>4</v>
      </c>
      <c r="AD466" s="185">
        <v>13</v>
      </c>
      <c r="AE466" s="2569">
        <f>SUM(AA466:AD466)</f>
        <v>28</v>
      </c>
      <c r="AF466" s="185">
        <v>0</v>
      </c>
      <c r="AG466" s="185">
        <v>0</v>
      </c>
      <c r="AH466" s="185">
        <v>0</v>
      </c>
      <c r="AI466" s="2843">
        <v>0</v>
      </c>
      <c r="AJ466" s="2569">
        <f>SUM(AF466:AI466)</f>
        <v>0</v>
      </c>
      <c r="AK466" s="185">
        <f>AF466</f>
        <v>0</v>
      </c>
      <c r="AL466" s="185">
        <f t="shared" ref="AL466:AN467" si="774">AG466</f>
        <v>0</v>
      </c>
      <c r="AM466" s="185">
        <f t="shared" si="774"/>
        <v>0</v>
      </c>
      <c r="AN466" s="185">
        <f t="shared" si="774"/>
        <v>0</v>
      </c>
      <c r="AO466" s="2569">
        <f>SUM(AK466:AN466)</f>
        <v>0</v>
      </c>
      <c r="AP466" s="1550">
        <f t="shared" ref="AP466:AQ467" si="775">AO466</f>
        <v>0</v>
      </c>
      <c r="AQ466" s="1550">
        <f t="shared" si="775"/>
        <v>0</v>
      </c>
      <c r="AR466" s="162"/>
      <c r="AS466" s="494" t="str">
        <f t="shared" si="763"/>
        <v>Timeshare PP&amp;E</v>
      </c>
      <c r="AT466" s="162">
        <f t="shared" si="764"/>
        <v>5</v>
      </c>
      <c r="AU466" s="162">
        <f t="shared" si="764"/>
        <v>12</v>
      </c>
      <c r="AV466" s="162">
        <f t="shared" si="765"/>
        <v>28</v>
      </c>
      <c r="AW466" s="162">
        <f t="shared" si="766"/>
        <v>5</v>
      </c>
      <c r="AX466" s="162">
        <f t="shared" si="767"/>
        <v>15.5</v>
      </c>
      <c r="AY466" s="162">
        <f t="shared" si="768"/>
        <v>18</v>
      </c>
      <c r="AZ466" s="162">
        <f t="shared" si="769"/>
        <v>28</v>
      </c>
      <c r="BA466" s="162">
        <f t="shared" si="770"/>
        <v>0</v>
      </c>
      <c r="BB466" s="162">
        <f t="shared" si="771"/>
        <v>0</v>
      </c>
      <c r="BC466" s="162">
        <f t="shared" si="772"/>
        <v>0</v>
      </c>
      <c r="BD466" s="838">
        <f t="shared" si="773"/>
        <v>0</v>
      </c>
      <c r="BF466" s="900"/>
      <c r="BM466" s="902"/>
      <c r="BN466" s="902"/>
      <c r="BO466" s="902"/>
      <c r="BP466" s="902"/>
      <c r="BQ466" s="902"/>
      <c r="BR466" s="902"/>
      <c r="BS466" s="902"/>
    </row>
    <row r="467" spans="1:71" s="5" customFormat="1" ht="12.75" customHeight="1">
      <c r="A467" s="959" t="s">
        <v>1682</v>
      </c>
      <c r="B467" s="283"/>
      <c r="C467" s="283"/>
      <c r="D467" s="283"/>
      <c r="E467" s="360">
        <v>11</v>
      </c>
      <c r="F467" s="360">
        <v>9</v>
      </c>
      <c r="G467" s="1419">
        <v>2.25</v>
      </c>
      <c r="H467" s="1419">
        <v>2.25</v>
      </c>
      <c r="I467" s="1419">
        <v>2.25</v>
      </c>
      <c r="J467" s="1419">
        <v>2.25</v>
      </c>
      <c r="K467" s="283">
        <f>SUM(G467:J467)</f>
        <v>9</v>
      </c>
      <c r="L467" s="1419">
        <f>7/4</f>
        <v>1.75</v>
      </c>
      <c r="M467" s="1419">
        <f>7/4</f>
        <v>1.75</v>
      </c>
      <c r="N467" s="1419">
        <f>7/4</f>
        <v>1.75</v>
      </c>
      <c r="O467" s="1419">
        <f>7/4</f>
        <v>1.75</v>
      </c>
      <c r="P467" s="283">
        <f>SUM(L467:O467)</f>
        <v>7</v>
      </c>
      <c r="Q467" s="1419">
        <f>7/4</f>
        <v>1.75</v>
      </c>
      <c r="R467" s="1419">
        <f>7/4</f>
        <v>1.75</v>
      </c>
      <c r="S467" s="1419">
        <v>3</v>
      </c>
      <c r="T467" s="1419">
        <v>3</v>
      </c>
      <c r="U467" s="283">
        <f>SUM(Q467:T467)</f>
        <v>9.5</v>
      </c>
      <c r="V467" s="2784">
        <v>4</v>
      </c>
      <c r="W467" s="2784">
        <v>2</v>
      </c>
      <c r="X467" s="2784">
        <v>2</v>
      </c>
      <c r="Y467" s="2784">
        <v>9</v>
      </c>
      <c r="Z467" s="283">
        <f>SUM(V467:Y467)</f>
        <v>17</v>
      </c>
      <c r="AA467" s="2784">
        <v>4</v>
      </c>
      <c r="AB467" s="2784">
        <v>1</v>
      </c>
      <c r="AC467" s="2784">
        <v>4</v>
      </c>
      <c r="AD467" s="198">
        <v>10</v>
      </c>
      <c r="AE467" s="283">
        <f>SUM(AA467:AD467)</f>
        <v>19</v>
      </c>
      <c r="AF467" s="198">
        <v>0</v>
      </c>
      <c r="AG467" s="198">
        <v>0</v>
      </c>
      <c r="AH467" s="198">
        <v>0</v>
      </c>
      <c r="AI467" s="2784">
        <v>0</v>
      </c>
      <c r="AJ467" s="283">
        <f>SUM(AF467:AI467)</f>
        <v>0</v>
      </c>
      <c r="AK467" s="198">
        <f>AF467</f>
        <v>0</v>
      </c>
      <c r="AL467" s="198">
        <f t="shared" si="774"/>
        <v>0</v>
      </c>
      <c r="AM467" s="198">
        <f t="shared" si="774"/>
        <v>0</v>
      </c>
      <c r="AN467" s="198">
        <f t="shared" si="774"/>
        <v>0</v>
      </c>
      <c r="AO467" s="283">
        <f>SUM(AK467:AN467)</f>
        <v>0</v>
      </c>
      <c r="AP467" s="732">
        <f t="shared" si="775"/>
        <v>0</v>
      </c>
      <c r="AQ467" s="732">
        <f t="shared" si="775"/>
        <v>0</v>
      </c>
      <c r="AR467" s="165"/>
      <c r="AS467" s="541" t="str">
        <f t="shared" si="763"/>
        <v>Corporate &amp; Other PP&amp;E</v>
      </c>
      <c r="AT467" s="284">
        <f t="shared" si="764"/>
        <v>11</v>
      </c>
      <c r="AU467" s="284">
        <f t="shared" si="764"/>
        <v>9</v>
      </c>
      <c r="AV467" s="284">
        <f t="shared" si="765"/>
        <v>9</v>
      </c>
      <c r="AW467" s="284">
        <f t="shared" si="766"/>
        <v>7</v>
      </c>
      <c r="AX467" s="284">
        <f t="shared" si="767"/>
        <v>9.5</v>
      </c>
      <c r="AY467" s="284">
        <f t="shared" si="768"/>
        <v>17</v>
      </c>
      <c r="AZ467" s="284">
        <f t="shared" si="769"/>
        <v>19</v>
      </c>
      <c r="BA467" s="284">
        <f t="shared" si="770"/>
        <v>0</v>
      </c>
      <c r="BB467" s="284">
        <f t="shared" si="771"/>
        <v>0</v>
      </c>
      <c r="BC467" s="284">
        <f t="shared" si="772"/>
        <v>0</v>
      </c>
      <c r="BD467" s="788">
        <f t="shared" si="773"/>
        <v>0</v>
      </c>
      <c r="BE467" s="14"/>
      <c r="BF467" s="900"/>
      <c r="BG467"/>
      <c r="BH467"/>
      <c r="BI467"/>
      <c r="BJ467"/>
      <c r="BK467"/>
      <c r="BL467"/>
      <c r="BM467" s="902"/>
      <c r="BN467" s="902"/>
      <c r="BO467" s="902"/>
      <c r="BP467" s="902"/>
      <c r="BQ467" s="902"/>
      <c r="BR467" s="902"/>
      <c r="BS467" s="902"/>
    </row>
    <row r="468" spans="1:71" s="2" customFormat="1" ht="12.75" customHeight="1">
      <c r="A468" s="524" t="s">
        <v>1209</v>
      </c>
      <c r="B468" s="350"/>
      <c r="C468" s="350"/>
      <c r="D468" s="350"/>
      <c r="E468" s="350">
        <f>SUM(E465:E467)</f>
        <v>148</v>
      </c>
      <c r="F468" s="350">
        <f>SUM(F465:F467)</f>
        <v>389</v>
      </c>
      <c r="G468" s="1436">
        <f>-G516</f>
        <v>116</v>
      </c>
      <c r="H468" s="1436">
        <f>-H516</f>
        <v>127</v>
      </c>
      <c r="I468" s="1436">
        <f>-I516</f>
        <v>93</v>
      </c>
      <c r="J468" s="1436">
        <f>-J516</f>
        <v>97</v>
      </c>
      <c r="K468" s="350">
        <f>SUM(K465:K467)</f>
        <v>433</v>
      </c>
      <c r="L468" s="1436">
        <f>-L516</f>
        <v>57</v>
      </c>
      <c r="M468" s="1436">
        <f>-M516</f>
        <v>64</v>
      </c>
      <c r="N468" s="1436">
        <f>-N516</f>
        <v>46</v>
      </c>
      <c r="O468" s="1436">
        <f>-O516</f>
        <v>87</v>
      </c>
      <c r="P468" s="350">
        <f>SUM(P465:P467)</f>
        <v>254</v>
      </c>
      <c r="Q468" s="1436">
        <f>-Q516</f>
        <v>43</v>
      </c>
      <c r="R468" s="1436">
        <f>-R516</f>
        <v>67</v>
      </c>
      <c r="S468" s="1436">
        <f>-S516</f>
        <v>74</v>
      </c>
      <c r="T468" s="1436">
        <f>-T516</f>
        <v>84</v>
      </c>
      <c r="U468" s="350">
        <f>SUM(U465:U467)</f>
        <v>268</v>
      </c>
      <c r="V468" s="1436">
        <f>-V516</f>
        <v>88</v>
      </c>
      <c r="W468" s="1436">
        <f>-W516</f>
        <v>71</v>
      </c>
      <c r="X468" s="1436">
        <f>-X516</f>
        <v>55</v>
      </c>
      <c r="Y468" s="1436">
        <f>-Y516</f>
        <v>96</v>
      </c>
      <c r="Z468" s="350">
        <f>SUM(Z465:Z467)</f>
        <v>310</v>
      </c>
      <c r="AA468" s="1436">
        <f>-AA516</f>
        <v>84</v>
      </c>
      <c r="AB468" s="1436">
        <f>-AB516</f>
        <v>85</v>
      </c>
      <c r="AC468" s="1436">
        <f>-AC516</f>
        <v>58</v>
      </c>
      <c r="AD468" s="1436">
        <f>-AD516</f>
        <v>90</v>
      </c>
      <c r="AE468" s="350">
        <f t="shared" ref="AE468:AQ468" si="776">SUM(AE465:AE467)</f>
        <v>317</v>
      </c>
      <c r="AF468" s="1436">
        <f>-AF516</f>
        <v>9</v>
      </c>
      <c r="AG468" s="1436">
        <f>-AG516</f>
        <v>9</v>
      </c>
      <c r="AH468" s="1436">
        <f>-AH516</f>
        <v>18</v>
      </c>
      <c r="AI468" s="1436">
        <f>-AI516</f>
        <v>22</v>
      </c>
      <c r="AJ468" s="350">
        <f t="shared" si="776"/>
        <v>58</v>
      </c>
      <c r="AK468" s="290">
        <f t="shared" si="776"/>
        <v>7.8714501393964316</v>
      </c>
      <c r="AL468" s="290">
        <f t="shared" si="776"/>
        <v>10.963439100972771</v>
      </c>
      <c r="AM468" s="290">
        <f t="shared" si="776"/>
        <v>10.727126685854381</v>
      </c>
      <c r="AN468" s="290">
        <f t="shared" si="776"/>
        <v>10.260974126126964</v>
      </c>
      <c r="AO468" s="350">
        <f t="shared" ref="AO468" si="777">SUM(AO465:AO467)</f>
        <v>39.822990052350548</v>
      </c>
      <c r="AP468" s="350">
        <f t="shared" si="776"/>
        <v>40.881484791285459</v>
      </c>
      <c r="AQ468" s="350">
        <f t="shared" si="776"/>
        <v>39.096584677119992</v>
      </c>
      <c r="AR468" s="290"/>
      <c r="AS468" s="524" t="str">
        <f t="shared" si="763"/>
        <v>Total Capital Expenditures for PP&amp;E</v>
      </c>
      <c r="AT468" s="290">
        <f t="shared" si="764"/>
        <v>148</v>
      </c>
      <c r="AU468" s="290">
        <f t="shared" si="764"/>
        <v>389</v>
      </c>
      <c r="AV468" s="290">
        <f t="shared" si="765"/>
        <v>433</v>
      </c>
      <c r="AW468" s="290">
        <f t="shared" si="766"/>
        <v>254</v>
      </c>
      <c r="AX468" s="290">
        <f t="shared" si="767"/>
        <v>268</v>
      </c>
      <c r="AY468" s="290">
        <f t="shared" si="768"/>
        <v>310</v>
      </c>
      <c r="AZ468" s="290">
        <f t="shared" si="769"/>
        <v>317</v>
      </c>
      <c r="BA468" s="290">
        <f t="shared" si="770"/>
        <v>58</v>
      </c>
      <c r="BB468" s="290">
        <f t="shared" si="771"/>
        <v>39.822990052350548</v>
      </c>
      <c r="BC468" s="290">
        <f t="shared" si="772"/>
        <v>40.881484791285459</v>
      </c>
      <c r="BD468" s="840">
        <f t="shared" si="773"/>
        <v>39.096584677119992</v>
      </c>
      <c r="BE468" s="14"/>
      <c r="BF468" s="938"/>
      <c r="BG468"/>
      <c r="BH468"/>
      <c r="BI468"/>
      <c r="BJ468"/>
      <c r="BK468"/>
      <c r="BL468"/>
      <c r="BM468" s="939"/>
      <c r="BN468" s="939"/>
      <c r="BO468" s="939"/>
      <c r="BP468" s="939"/>
      <c r="BQ468" s="939"/>
      <c r="BR468" s="939"/>
      <c r="BS468" s="939"/>
    </row>
    <row r="469" spans="1:71" ht="12.75" customHeight="1">
      <c r="A469" s="522" t="s">
        <v>1210</v>
      </c>
      <c r="B469" s="282"/>
      <c r="C469" s="282"/>
      <c r="D469" s="282"/>
      <c r="E469" s="354">
        <v>20</v>
      </c>
      <c r="F469" s="354">
        <v>93</v>
      </c>
      <c r="G469" s="188">
        <f>-G523</f>
        <v>23</v>
      </c>
      <c r="H469" s="188">
        <f>-H523</f>
        <v>28</v>
      </c>
      <c r="I469" s="188">
        <f>-I523</f>
        <v>24</v>
      </c>
      <c r="J469" s="188">
        <f>-J523</f>
        <v>28</v>
      </c>
      <c r="K469" s="354">
        <v>103</v>
      </c>
      <c r="L469" s="188">
        <f>-L523</f>
        <v>11</v>
      </c>
      <c r="M469" s="188">
        <f>-M523</f>
        <v>15</v>
      </c>
      <c r="N469" s="188">
        <f>-N523</f>
        <v>24</v>
      </c>
      <c r="O469" s="188">
        <f>-O523</f>
        <v>28</v>
      </c>
      <c r="P469" s="2366">
        <v>78</v>
      </c>
      <c r="Q469" s="188">
        <f>-Q523</f>
        <v>15</v>
      </c>
      <c r="R469" s="188">
        <f>-R523</f>
        <v>17</v>
      </c>
      <c r="S469" s="188">
        <f>-S523</f>
        <v>13</v>
      </c>
      <c r="T469" s="188">
        <f>-T523</f>
        <v>24</v>
      </c>
      <c r="U469" s="282">
        <f>SUM(Q469:T469)</f>
        <v>69</v>
      </c>
      <c r="V469" s="188">
        <f>-V523</f>
        <v>8</v>
      </c>
      <c r="W469" s="188">
        <f>-W523</f>
        <v>15</v>
      </c>
      <c r="X469" s="188">
        <f>-X523</f>
        <v>15</v>
      </c>
      <c r="Y469" s="2726">
        <f>-Y523</f>
        <v>24</v>
      </c>
      <c r="Z469" s="2585">
        <f>SUM(V469:Y469)</f>
        <v>62</v>
      </c>
      <c r="AA469" s="2726">
        <f>-AA523</f>
        <v>11</v>
      </c>
      <c r="AB469" s="2726">
        <f>-AB523</f>
        <v>24</v>
      </c>
      <c r="AC469" s="2726">
        <f>-AC523</f>
        <v>21</v>
      </c>
      <c r="AD469" s="2726">
        <f>-AD523</f>
        <v>25</v>
      </c>
      <c r="AE469" s="2585">
        <f>SUM(AA469:AD469)</f>
        <v>81</v>
      </c>
      <c r="AF469" s="2726">
        <f>-AF523</f>
        <v>9</v>
      </c>
      <c r="AG469" s="2726">
        <f>-AG523</f>
        <v>20</v>
      </c>
      <c r="AH469" s="2726">
        <f>-AH523</f>
        <v>16</v>
      </c>
      <c r="AI469" s="2726">
        <f>-AI523</f>
        <v>30</v>
      </c>
      <c r="AJ469" s="2585">
        <f>SUM(AF469:AI469)</f>
        <v>75</v>
      </c>
      <c r="AK469" s="2726">
        <f>AF469</f>
        <v>9</v>
      </c>
      <c r="AL469" s="2726">
        <f t="shared" ref="AL469:AN470" si="778">AG469</f>
        <v>20</v>
      </c>
      <c r="AM469" s="2726">
        <f t="shared" si="778"/>
        <v>16</v>
      </c>
      <c r="AN469" s="2726">
        <f t="shared" si="778"/>
        <v>30</v>
      </c>
      <c r="AO469" s="2585">
        <f>SUM(AK469:AN469)</f>
        <v>75</v>
      </c>
      <c r="AP469" s="282">
        <f t="shared" ref="AP469:AQ470" si="779">AO469</f>
        <v>75</v>
      </c>
      <c r="AQ469" s="282">
        <f t="shared" si="779"/>
        <v>75</v>
      </c>
      <c r="AR469" s="162"/>
      <c r="AS469" s="494" t="str">
        <f t="shared" si="763"/>
        <v>Software Capitalization</v>
      </c>
      <c r="AT469" s="188">
        <f t="shared" si="764"/>
        <v>20</v>
      </c>
      <c r="AU469" s="188">
        <f t="shared" si="764"/>
        <v>93</v>
      </c>
      <c r="AV469" s="188">
        <f t="shared" si="765"/>
        <v>103</v>
      </c>
      <c r="AW469" s="188">
        <f t="shared" si="766"/>
        <v>78</v>
      </c>
      <c r="AX469" s="188">
        <f t="shared" si="767"/>
        <v>69</v>
      </c>
      <c r="AY469" s="188">
        <f t="shared" si="768"/>
        <v>62</v>
      </c>
      <c r="AZ469" s="188">
        <f t="shared" si="769"/>
        <v>81</v>
      </c>
      <c r="BA469" s="188">
        <f t="shared" si="770"/>
        <v>75</v>
      </c>
      <c r="BB469" s="188">
        <f t="shared" si="771"/>
        <v>75</v>
      </c>
      <c r="BC469" s="188">
        <f t="shared" si="772"/>
        <v>75</v>
      </c>
      <c r="BD469" s="849">
        <f t="shared" si="773"/>
        <v>75</v>
      </c>
      <c r="BF469" s="900"/>
      <c r="BM469" s="902"/>
      <c r="BN469" s="902"/>
      <c r="BO469" s="902"/>
      <c r="BP469" s="931"/>
      <c r="BQ469" s="902"/>
      <c r="BR469" s="902"/>
      <c r="BS469" s="902"/>
    </row>
    <row r="470" spans="1:71" ht="12.75" customHeight="1">
      <c r="A470" s="522" t="s">
        <v>1860</v>
      </c>
      <c r="B470" s="282"/>
      <c r="C470" s="282"/>
      <c r="D470" s="282"/>
      <c r="E470" s="354">
        <v>6</v>
      </c>
      <c r="F470" s="354">
        <v>53</v>
      </c>
      <c r="G470" s="188">
        <f>-G522</f>
        <v>6</v>
      </c>
      <c r="H470" s="188">
        <f>-H522</f>
        <v>5</v>
      </c>
      <c r="I470" s="188">
        <f>-I522</f>
        <v>0</v>
      </c>
      <c r="J470" s="188">
        <f>-J522</f>
        <v>20</v>
      </c>
      <c r="K470" s="354">
        <v>31</v>
      </c>
      <c r="L470" s="188">
        <f>-L522</f>
        <v>1</v>
      </c>
      <c r="M470" s="188">
        <f>-M522</f>
        <v>9</v>
      </c>
      <c r="N470" s="188">
        <f>-N522</f>
        <v>2</v>
      </c>
      <c r="O470" s="188">
        <f>-O522</f>
        <v>32</v>
      </c>
      <c r="P470" s="2366">
        <v>44</v>
      </c>
      <c r="Q470" s="188">
        <f>-Q522</f>
        <v>16</v>
      </c>
      <c r="R470" s="188">
        <f>-R522</f>
        <v>5</v>
      </c>
      <c r="S470" s="188">
        <f>-S522</f>
        <v>33</v>
      </c>
      <c r="T470" s="188">
        <f>-T522</f>
        <v>11</v>
      </c>
      <c r="U470" s="282">
        <f>SUM(Q470:T470)</f>
        <v>65</v>
      </c>
      <c r="V470" s="188">
        <f>-V522</f>
        <v>11</v>
      </c>
      <c r="W470" s="188">
        <f>-W522</f>
        <v>8</v>
      </c>
      <c r="X470" s="188">
        <f>-X522</f>
        <v>8</v>
      </c>
      <c r="Y470" s="2726">
        <f>-Y522</f>
        <v>10</v>
      </c>
      <c r="Z470" s="2585">
        <f>SUM(V470:Y470)</f>
        <v>37</v>
      </c>
      <c r="AA470" s="2726">
        <f>-AA522</f>
        <v>9</v>
      </c>
      <c r="AB470" s="2726">
        <f>-AB522</f>
        <v>9</v>
      </c>
      <c r="AC470" s="2726">
        <f>-AC522</f>
        <v>17</v>
      </c>
      <c r="AD470" s="2726">
        <f>-AD522</f>
        <v>20</v>
      </c>
      <c r="AE470" s="2585">
        <f>SUM(AA470:AD470)</f>
        <v>55</v>
      </c>
      <c r="AF470" s="2726">
        <f>-AF522</f>
        <v>13</v>
      </c>
      <c r="AG470" s="2726">
        <f>-AG522</f>
        <v>19</v>
      </c>
      <c r="AH470" s="2726">
        <f>-AH522</f>
        <v>19</v>
      </c>
      <c r="AI470" s="2726">
        <f>-AI522</f>
        <v>24</v>
      </c>
      <c r="AJ470" s="2585">
        <f>SUM(AF470:AI470)</f>
        <v>75</v>
      </c>
      <c r="AK470" s="2726">
        <f>AF470</f>
        <v>13</v>
      </c>
      <c r="AL470" s="2726">
        <f t="shared" si="778"/>
        <v>19</v>
      </c>
      <c r="AM470" s="2726">
        <f t="shared" si="778"/>
        <v>19</v>
      </c>
      <c r="AN470" s="2726">
        <f t="shared" si="778"/>
        <v>24</v>
      </c>
      <c r="AO470" s="2585">
        <f>SUM(AK470:AN470)</f>
        <v>75</v>
      </c>
      <c r="AP470" s="282">
        <f t="shared" si="779"/>
        <v>75</v>
      </c>
      <c r="AQ470" s="282">
        <f t="shared" si="779"/>
        <v>75</v>
      </c>
      <c r="AR470" s="162"/>
      <c r="AS470" s="494" t="str">
        <f t="shared" si="763"/>
        <v>Contract Acquisition Costs</v>
      </c>
      <c r="AT470" s="162">
        <f t="shared" si="764"/>
        <v>6</v>
      </c>
      <c r="AU470" s="162">
        <f t="shared" si="764"/>
        <v>53</v>
      </c>
      <c r="AV470" s="162">
        <f t="shared" si="765"/>
        <v>31</v>
      </c>
      <c r="AW470" s="162">
        <f t="shared" si="766"/>
        <v>44</v>
      </c>
      <c r="AX470" s="162">
        <f t="shared" si="767"/>
        <v>65</v>
      </c>
      <c r="AY470" s="162">
        <f t="shared" si="768"/>
        <v>37</v>
      </c>
      <c r="AZ470" s="162">
        <f t="shared" si="769"/>
        <v>55</v>
      </c>
      <c r="BA470" s="162">
        <f t="shared" si="770"/>
        <v>75</v>
      </c>
      <c r="BB470" s="162">
        <f t="shared" si="771"/>
        <v>75</v>
      </c>
      <c r="BC470" s="162">
        <f t="shared" si="772"/>
        <v>75</v>
      </c>
      <c r="BD470" s="838">
        <f t="shared" si="773"/>
        <v>75</v>
      </c>
      <c r="BF470" s="900"/>
      <c r="BM470" s="902"/>
      <c r="BN470" s="902"/>
      <c r="BO470" s="902"/>
      <c r="BP470" s="931"/>
      <c r="BQ470" s="902"/>
      <c r="BR470" s="902"/>
      <c r="BS470" s="902"/>
    </row>
    <row r="471" spans="1:71" s="5" customFormat="1" ht="12.75" customHeight="1">
      <c r="A471" s="959" t="s">
        <v>1211</v>
      </c>
      <c r="B471" s="283"/>
      <c r="C471" s="283"/>
      <c r="D471" s="283"/>
      <c r="E471" s="360"/>
      <c r="F471" s="360">
        <v>-116</v>
      </c>
      <c r="G471" s="284">
        <f>-G503</f>
        <v>0</v>
      </c>
      <c r="H471" s="284">
        <f>-H503</f>
        <v>0</v>
      </c>
      <c r="I471" s="284">
        <f>-I503</f>
        <v>0</v>
      </c>
      <c r="J471" s="284">
        <f>-J503</f>
        <v>0</v>
      </c>
      <c r="K471" s="360">
        <v>-140</v>
      </c>
      <c r="L471" s="284">
        <f>($P$471-$O$471)/3</f>
        <v>-2</v>
      </c>
      <c r="M471" s="284">
        <f>($P$471-$O$471)/3</f>
        <v>-2</v>
      </c>
      <c r="N471" s="284">
        <f>($P$471-$O$471)/3</f>
        <v>-2</v>
      </c>
      <c r="O471" s="198">
        <v>-12</v>
      </c>
      <c r="P471" s="2367">
        <v>-18</v>
      </c>
      <c r="Q471" s="2368">
        <v>-2</v>
      </c>
      <c r="R471" s="2368">
        <v>-2</v>
      </c>
      <c r="S471" s="2368">
        <v>-2</v>
      </c>
      <c r="T471" s="2368">
        <v>11</v>
      </c>
      <c r="U471" s="283">
        <f>SUM(Q471:T471)</f>
        <v>5</v>
      </c>
      <c r="V471" s="2368">
        <v>15</v>
      </c>
      <c r="W471" s="2368">
        <v>-1</v>
      </c>
      <c r="X471" s="2368">
        <v>6</v>
      </c>
      <c r="Y471" s="2368">
        <v>13</v>
      </c>
      <c r="Z471" s="283">
        <f>SUM(V471:Y471)</f>
        <v>33</v>
      </c>
      <c r="AA471" s="2368">
        <v>3</v>
      </c>
      <c r="AB471" s="2368">
        <v>-14</v>
      </c>
      <c r="AC471" s="2368">
        <v>-14</v>
      </c>
      <c r="AD471" s="2368">
        <v>-2</v>
      </c>
      <c r="AE471" s="283">
        <f>SUM(AA471:AD471)</f>
        <v>-27</v>
      </c>
      <c r="AF471" s="2784">
        <v>0</v>
      </c>
      <c r="AG471" s="2784">
        <v>0</v>
      </c>
      <c r="AH471" s="2784">
        <v>0</v>
      </c>
      <c r="AI471" s="2784">
        <v>0</v>
      </c>
      <c r="AJ471" s="283">
        <f>SUM(AF471:AI471)</f>
        <v>0</v>
      </c>
      <c r="AK471" s="2784">
        <f>AF471*0.85</f>
        <v>0</v>
      </c>
      <c r="AL471" s="2784">
        <f t="shared" ref="AL471:AN471" si="780">AG471*0.85</f>
        <v>0</v>
      </c>
      <c r="AM471" s="2784">
        <f t="shared" si="780"/>
        <v>0</v>
      </c>
      <c r="AN471" s="2784">
        <f t="shared" si="780"/>
        <v>0</v>
      </c>
      <c r="AO471" s="283">
        <f>SUM(AK471:AN471)</f>
        <v>0</v>
      </c>
      <c r="AP471" s="283">
        <f>AO471*0.85</f>
        <v>0</v>
      </c>
      <c r="AQ471" s="283">
        <f>AP471*0.85</f>
        <v>0</v>
      </c>
      <c r="AR471" s="165"/>
      <c r="AS471" s="541" t="str">
        <f t="shared" si="763"/>
        <v>Expenditures for Timeshare Inventory Net of Cost of Sales</v>
      </c>
      <c r="AT471" s="284">
        <f t="shared" si="764"/>
        <v>0</v>
      </c>
      <c r="AU471" s="284">
        <f t="shared" si="764"/>
        <v>-116</v>
      </c>
      <c r="AV471" s="284">
        <f t="shared" si="765"/>
        <v>-140</v>
      </c>
      <c r="AW471" s="284">
        <f t="shared" si="766"/>
        <v>-18</v>
      </c>
      <c r="AX471" s="284">
        <f t="shared" si="767"/>
        <v>5</v>
      </c>
      <c r="AY471" s="284">
        <f t="shared" si="768"/>
        <v>33</v>
      </c>
      <c r="AZ471" s="284">
        <f t="shared" si="769"/>
        <v>-27</v>
      </c>
      <c r="BA471" s="284">
        <f t="shared" si="770"/>
        <v>0</v>
      </c>
      <c r="BB471" s="284">
        <f t="shared" si="771"/>
        <v>0</v>
      </c>
      <c r="BC471" s="284">
        <f t="shared" si="772"/>
        <v>0</v>
      </c>
      <c r="BD471" s="788">
        <f t="shared" si="773"/>
        <v>0</v>
      </c>
      <c r="BE471" s="14"/>
      <c r="BF471" s="900"/>
      <c r="BG471"/>
      <c r="BH471"/>
      <c r="BI471"/>
      <c r="BJ471"/>
      <c r="BK471"/>
      <c r="BL471"/>
      <c r="BM471" s="902"/>
      <c r="BN471" s="902"/>
      <c r="BO471" s="902"/>
      <c r="BP471" s="902"/>
      <c r="BQ471" s="902"/>
      <c r="BR471" s="902"/>
      <c r="BS471" s="902"/>
    </row>
    <row r="472" spans="1:71" s="11" customFormat="1" ht="12.75" customHeight="1">
      <c r="A472" s="1545" t="s">
        <v>1212</v>
      </c>
      <c r="B472" s="936"/>
      <c r="C472" s="936"/>
      <c r="D472" s="936"/>
      <c r="E472" s="936">
        <f>SUM(E468:E471)</f>
        <v>174</v>
      </c>
      <c r="F472" s="936">
        <f>SUM(F468:F471)</f>
        <v>419</v>
      </c>
      <c r="G472" s="777">
        <f>SUM(G465:G471)</f>
        <v>261</v>
      </c>
      <c r="H472" s="777">
        <f>SUM(H465:H471)</f>
        <v>287</v>
      </c>
      <c r="I472" s="777">
        <f>SUM(I465:I471)</f>
        <v>210</v>
      </c>
      <c r="J472" s="777">
        <f>SUM(J465:J471)</f>
        <v>242</v>
      </c>
      <c r="K472" s="936">
        <f t="shared" ref="K472:T472" si="781">SUM(K468:K471)</f>
        <v>427</v>
      </c>
      <c r="L472" s="1546">
        <f t="shared" si="781"/>
        <v>67</v>
      </c>
      <c r="M472" s="1546">
        <f t="shared" si="781"/>
        <v>86</v>
      </c>
      <c r="N472" s="1546">
        <f t="shared" si="781"/>
        <v>70</v>
      </c>
      <c r="O472" s="777">
        <f>SUM(O465:O471)</f>
        <v>222</v>
      </c>
      <c r="P472" s="936">
        <f t="shared" si="781"/>
        <v>358</v>
      </c>
      <c r="Q472" s="1546">
        <f t="shared" si="781"/>
        <v>72</v>
      </c>
      <c r="R472" s="1546">
        <f t="shared" si="781"/>
        <v>87</v>
      </c>
      <c r="S472" s="1546">
        <f>SUM(S468:S471)</f>
        <v>118</v>
      </c>
      <c r="T472" s="1546">
        <f t="shared" si="781"/>
        <v>130</v>
      </c>
      <c r="U472" s="936">
        <f t="shared" ref="U472:AQ472" si="782">SUM(U468:U471)</f>
        <v>407</v>
      </c>
      <c r="V472" s="1546">
        <f t="shared" si="782"/>
        <v>122</v>
      </c>
      <c r="W472" s="1546">
        <f t="shared" si="782"/>
        <v>93</v>
      </c>
      <c r="X472" s="1546">
        <f t="shared" si="782"/>
        <v>84</v>
      </c>
      <c r="Y472" s="1546">
        <f t="shared" si="782"/>
        <v>143</v>
      </c>
      <c r="Z472" s="936">
        <f t="shared" si="782"/>
        <v>442</v>
      </c>
      <c r="AA472" s="2818">
        <f t="shared" si="782"/>
        <v>107</v>
      </c>
      <c r="AB472" s="1546">
        <f t="shared" si="782"/>
        <v>104</v>
      </c>
      <c r="AC472" s="1546">
        <f t="shared" si="782"/>
        <v>82</v>
      </c>
      <c r="AD472" s="1546">
        <f t="shared" si="782"/>
        <v>133</v>
      </c>
      <c r="AE472" s="936">
        <f t="shared" si="782"/>
        <v>426</v>
      </c>
      <c r="AF472" s="1546">
        <f t="shared" ref="AF472:AG472" si="783">SUM(AF468:AF471)</f>
        <v>31</v>
      </c>
      <c r="AG472" s="1546">
        <f t="shared" si="783"/>
        <v>48</v>
      </c>
      <c r="AH472" s="1546">
        <f t="shared" ref="AH472" si="784">SUM(AH468:AH471)</f>
        <v>53</v>
      </c>
      <c r="AI472" s="1546">
        <f>SUM(AI468:AI471)</f>
        <v>76</v>
      </c>
      <c r="AJ472" s="936">
        <f>SUM(AJ468:AJ471)</f>
        <v>208</v>
      </c>
      <c r="AK472" s="1546">
        <f t="shared" ref="AK472:AN472" si="785">SUM(AK468:AK471)</f>
        <v>29.87145013939643</v>
      </c>
      <c r="AL472" s="1546">
        <f t="shared" si="785"/>
        <v>49.963439100972771</v>
      </c>
      <c r="AM472" s="1546">
        <f t="shared" si="785"/>
        <v>45.72712668585438</v>
      </c>
      <c r="AN472" s="1546">
        <f t="shared" si="785"/>
        <v>64.260974126126968</v>
      </c>
      <c r="AO472" s="936">
        <f>SUM(AO468:AO471)</f>
        <v>189.82299005235055</v>
      </c>
      <c r="AP472" s="936">
        <f t="shared" si="782"/>
        <v>190.88148479128546</v>
      </c>
      <c r="AQ472" s="936">
        <f t="shared" si="782"/>
        <v>189.09658467712001</v>
      </c>
      <c r="AR472" s="486"/>
      <c r="AS472" s="1545" t="str">
        <f t="shared" si="763"/>
        <v xml:space="preserve">Total Capital Expenditures  </v>
      </c>
      <c r="AT472" s="777">
        <f t="shared" si="764"/>
        <v>174</v>
      </c>
      <c r="AU472" s="777">
        <f t="shared" si="764"/>
        <v>419</v>
      </c>
      <c r="AV472" s="777">
        <f t="shared" si="765"/>
        <v>427</v>
      </c>
      <c r="AW472" s="777">
        <f t="shared" si="766"/>
        <v>358</v>
      </c>
      <c r="AX472" s="777">
        <f t="shared" si="767"/>
        <v>407</v>
      </c>
      <c r="AY472" s="777">
        <f t="shared" si="768"/>
        <v>442</v>
      </c>
      <c r="AZ472" s="777">
        <f t="shared" si="769"/>
        <v>426</v>
      </c>
      <c r="BA472" s="777">
        <f t="shared" si="770"/>
        <v>208</v>
      </c>
      <c r="BB472" s="777">
        <f t="shared" si="771"/>
        <v>189.82299005235055</v>
      </c>
      <c r="BC472" s="777">
        <f t="shared" si="772"/>
        <v>190.88148479128546</v>
      </c>
      <c r="BD472" s="937">
        <f t="shared" si="773"/>
        <v>189.09658467712001</v>
      </c>
      <c r="BE472" s="14"/>
      <c r="BF472" s="908"/>
      <c r="BG472"/>
      <c r="BH472"/>
      <c r="BI472"/>
      <c r="BJ472"/>
      <c r="BK472"/>
      <c r="BL472"/>
      <c r="BM472" s="909"/>
      <c r="BN472" s="909"/>
      <c r="BO472" s="909"/>
      <c r="BP472" s="931"/>
      <c r="BQ472" s="902"/>
      <c r="BR472" s="909"/>
      <c r="BS472" s="909"/>
    </row>
    <row r="473" spans="1:71" ht="12.75" customHeight="1">
      <c r="A473" s="2354" t="s">
        <v>2330</v>
      </c>
      <c r="B473" s="164"/>
      <c r="C473" s="164"/>
      <c r="D473" s="164"/>
      <c r="E473" s="164"/>
      <c r="F473" s="164"/>
      <c r="G473" s="185"/>
      <c r="H473" s="185"/>
      <c r="I473" s="185"/>
      <c r="J473" s="185"/>
      <c r="K473" s="164"/>
      <c r="L473" s="185"/>
      <c r="M473" s="185"/>
      <c r="N473" s="185"/>
      <c r="O473" s="185"/>
      <c r="P473" s="2406">
        <v>350</v>
      </c>
      <c r="Q473" s="185"/>
      <c r="R473" s="792"/>
      <c r="S473" s="185"/>
      <c r="T473" s="185"/>
      <c r="U473" s="164"/>
      <c r="V473" s="185"/>
      <c r="W473" s="185"/>
      <c r="X473" s="185"/>
      <c r="Y473" s="185"/>
      <c r="Z473" s="2413" t="s">
        <v>2419</v>
      </c>
      <c r="AA473" s="185"/>
      <c r="AB473" s="185"/>
      <c r="AC473" s="185"/>
      <c r="AD473" s="185"/>
      <c r="AE473" s="2413" t="s">
        <v>2432</v>
      </c>
      <c r="AF473" s="185"/>
      <c r="AG473" s="185"/>
      <c r="AH473" s="185"/>
      <c r="AI473" s="185"/>
      <c r="AJ473" s="2413" t="s">
        <v>3014</v>
      </c>
      <c r="AK473" s="185"/>
      <c r="AL473" s="185"/>
      <c r="AM473" s="185"/>
      <c r="AN473" s="185"/>
      <c r="AO473" s="2413" t="s">
        <v>3216</v>
      </c>
      <c r="AP473" s="164"/>
      <c r="AQ473" s="164"/>
      <c r="AR473" s="162"/>
      <c r="AS473" s="494"/>
      <c r="AT473" s="162"/>
      <c r="AU473" s="162"/>
      <c r="AV473" s="162"/>
      <c r="AW473" s="162"/>
      <c r="AX473" s="162"/>
      <c r="AY473" s="162"/>
      <c r="AZ473" s="162"/>
      <c r="BA473" s="162"/>
      <c r="BB473" s="162"/>
      <c r="BC473" s="162"/>
      <c r="BD473" s="838"/>
      <c r="BF473" s="900"/>
      <c r="BM473" s="902"/>
      <c r="BN473" s="902"/>
      <c r="BO473" s="902"/>
      <c r="BP473" s="902"/>
      <c r="BQ473" s="902"/>
      <c r="BR473" s="902"/>
      <c r="BS473" s="902"/>
    </row>
    <row r="474" spans="1:71" ht="12.75" customHeight="1">
      <c r="A474" s="545" t="s">
        <v>1213</v>
      </c>
      <c r="B474" s="240"/>
      <c r="C474" s="240"/>
      <c r="D474" s="240"/>
      <c r="E474" s="240">
        <f>E465/-E516</f>
        <v>0.89189189189189189</v>
      </c>
      <c r="F474" s="240">
        <f>F465/-F516</f>
        <v>0.94601542416452444</v>
      </c>
      <c r="G474" s="1158">
        <f t="shared" ref="G474:N474" si="786">G465/G468</f>
        <v>0.92025862068965514</v>
      </c>
      <c r="H474" s="239">
        <f t="shared" si="786"/>
        <v>0.92716535433070868</v>
      </c>
      <c r="I474" s="239">
        <f t="shared" si="786"/>
        <v>0.90053763440860213</v>
      </c>
      <c r="J474" s="706">
        <f t="shared" si="786"/>
        <v>0.90463917525773196</v>
      </c>
      <c r="K474" s="240">
        <f t="shared" si="786"/>
        <v>0.91454965357967666</v>
      </c>
      <c r="L474" s="1158">
        <f t="shared" si="786"/>
        <v>0.94736842105263153</v>
      </c>
      <c r="M474" s="239">
        <f t="shared" si="786"/>
        <v>0.953125</v>
      </c>
      <c r="N474" s="239">
        <f t="shared" si="786"/>
        <v>0.93478260869565222</v>
      </c>
      <c r="O474" s="706">
        <f>O465/O468</f>
        <v>0.96551724137931039</v>
      </c>
      <c r="P474" s="240">
        <f t="shared" ref="P474:U474" si="787">P465/P468</f>
        <v>0.952755905511811</v>
      </c>
      <c r="Q474" s="1158">
        <f t="shared" si="787"/>
        <v>0.93023255813953487</v>
      </c>
      <c r="R474" s="239">
        <f t="shared" si="787"/>
        <v>0.95522388059701491</v>
      </c>
      <c r="S474" s="239">
        <f>S465/S468</f>
        <v>0.90540540540540537</v>
      </c>
      <c r="T474" s="239">
        <f>T465/T468</f>
        <v>0.8571428571428571</v>
      </c>
      <c r="U474" s="240">
        <f t="shared" si="787"/>
        <v>0.90671641791044777</v>
      </c>
      <c r="V474" s="239">
        <f t="shared" ref="V474:AQ474" si="788">V465/V468</f>
        <v>0.93181818181818177</v>
      </c>
      <c r="W474" s="239">
        <f t="shared" si="788"/>
        <v>0.92957746478873238</v>
      </c>
      <c r="X474" s="239">
        <f t="shared" si="788"/>
        <v>0.90909090909090906</v>
      </c>
      <c r="Y474" s="239">
        <f t="shared" si="788"/>
        <v>0.80208333333333337</v>
      </c>
      <c r="Z474" s="240">
        <f t="shared" si="788"/>
        <v>0.88709677419354838</v>
      </c>
      <c r="AA474" s="239">
        <f t="shared" si="788"/>
        <v>0.91666666666666663</v>
      </c>
      <c r="AB474" s="239">
        <f t="shared" si="788"/>
        <v>0.89411764705882357</v>
      </c>
      <c r="AC474" s="239">
        <f>AC465/AC468</f>
        <v>0.86206896551724133</v>
      </c>
      <c r="AD474" s="239">
        <f>AD465/AD468</f>
        <v>0.74444444444444446</v>
      </c>
      <c r="AE474" s="240">
        <f t="shared" si="788"/>
        <v>0.8517350157728707</v>
      </c>
      <c r="AF474" s="239">
        <f>AF465/AF468</f>
        <v>1</v>
      </c>
      <c r="AG474" s="1170">
        <f>IFERROR(AG465/AG468,"NA")</f>
        <v>1</v>
      </c>
      <c r="AH474" s="1170">
        <f>IFERROR(AH465/AH468,"NA")</f>
        <v>1</v>
      </c>
      <c r="AI474" s="239">
        <f t="shared" si="788"/>
        <v>1</v>
      </c>
      <c r="AJ474" s="240">
        <f t="shared" si="788"/>
        <v>1</v>
      </c>
      <c r="AK474" s="239">
        <f t="shared" si="788"/>
        <v>1</v>
      </c>
      <c r="AL474" s="239">
        <f t="shared" si="788"/>
        <v>1</v>
      </c>
      <c r="AM474" s="239">
        <f t="shared" si="788"/>
        <v>1</v>
      </c>
      <c r="AN474" s="239">
        <f t="shared" si="788"/>
        <v>1</v>
      </c>
      <c r="AO474" s="240">
        <f t="shared" ref="AO474" si="789">AO465/AO468</f>
        <v>1</v>
      </c>
      <c r="AP474" s="240">
        <f t="shared" si="788"/>
        <v>1</v>
      </c>
      <c r="AQ474" s="240">
        <f t="shared" si="788"/>
        <v>1</v>
      </c>
      <c r="AR474" s="239"/>
      <c r="AS474" s="542" t="str">
        <f>+A474</f>
        <v>Hotel PP&amp;E, % of PPE</v>
      </c>
      <c r="AT474" s="501">
        <f>+E474</f>
        <v>0.89189189189189189</v>
      </c>
      <c r="AU474" s="501">
        <f>+F474</f>
        <v>0.94601542416452444</v>
      </c>
      <c r="AV474" s="501">
        <f>+K474</f>
        <v>0.91454965357967666</v>
      </c>
      <c r="AW474" s="501">
        <f>+P474</f>
        <v>0.952755905511811</v>
      </c>
      <c r="AX474" s="501">
        <f>+U474</f>
        <v>0.90671641791044777</v>
      </c>
      <c r="AY474" s="501">
        <f>+Z474</f>
        <v>0.88709677419354838</v>
      </c>
      <c r="AZ474" s="501">
        <f>+AE474</f>
        <v>0.8517350157728707</v>
      </c>
      <c r="BA474" s="501">
        <f>+AJ474</f>
        <v>1</v>
      </c>
      <c r="BB474" s="501">
        <f>+AO474</f>
        <v>1</v>
      </c>
      <c r="BC474" s="501">
        <f>+AP474</f>
        <v>1</v>
      </c>
      <c r="BD474" s="886">
        <f>+AQ474</f>
        <v>1</v>
      </c>
      <c r="BF474" s="900"/>
      <c r="BM474" s="902"/>
      <c r="BN474" s="902"/>
      <c r="BO474" s="902"/>
      <c r="BP474" s="902"/>
      <c r="BQ474" s="902"/>
      <c r="BR474" s="902"/>
      <c r="BS474" s="902"/>
    </row>
    <row r="475" spans="1:71" s="7" customFormat="1" ht="12.75" customHeight="1">
      <c r="A475" s="1449" t="s">
        <v>617</v>
      </c>
      <c r="B475" s="1450"/>
      <c r="C475" s="1450"/>
      <c r="D475" s="1450"/>
      <c r="E475" s="1219">
        <f t="shared" ref="E475:AJ475" si="790">E465/E9</f>
        <v>3.5996727570220891E-2</v>
      </c>
      <c r="F475" s="1219">
        <f t="shared" si="790"/>
        <v>9.44073884043099E-2</v>
      </c>
      <c r="G475" s="1222">
        <f t="shared" si="790"/>
        <v>0.12048532731376975</v>
      </c>
      <c r="H475" s="1222">
        <f t="shared" si="790"/>
        <v>0.11333012512030799</v>
      </c>
      <c r="I475" s="1222">
        <f t="shared" si="790"/>
        <v>8.3250497017892638E-2</v>
      </c>
      <c r="J475" s="1222">
        <f t="shared" si="790"/>
        <v>8.3730916030534355E-2</v>
      </c>
      <c r="K475" s="1219">
        <f t="shared" si="790"/>
        <v>9.9522493088715761E-2</v>
      </c>
      <c r="L475" s="1222">
        <f t="shared" si="790"/>
        <v>5.9080962800875277E-2</v>
      </c>
      <c r="M475" s="1222">
        <f t="shared" si="790"/>
        <v>5.700934579439252E-2</v>
      </c>
      <c r="N475" s="1222">
        <f t="shared" si="790"/>
        <v>4.308617234468938E-2</v>
      </c>
      <c r="O475" s="1222">
        <f t="shared" si="790"/>
        <v>7.8947368421052627E-2</v>
      </c>
      <c r="P475" s="1219">
        <f t="shared" si="790"/>
        <v>5.9812160158180923E-2</v>
      </c>
      <c r="Q475" s="1222">
        <f t="shared" si="790"/>
        <v>4.2328042328042326E-2</v>
      </c>
      <c r="R475" s="1222">
        <f t="shared" si="790"/>
        <v>5.729632945389436E-2</v>
      </c>
      <c r="S475" s="1222">
        <f t="shared" si="790"/>
        <v>6.2094531974050043E-2</v>
      </c>
      <c r="T475" s="1222">
        <f t="shared" si="790"/>
        <v>6.5573770491803282E-2</v>
      </c>
      <c r="U475" s="1219">
        <f t="shared" si="790"/>
        <v>5.7324840764331211E-2</v>
      </c>
      <c r="V475" s="1222">
        <f t="shared" si="790"/>
        <v>8.5684430512016713E-2</v>
      </c>
      <c r="W475" s="1222">
        <f t="shared" si="790"/>
        <v>5.8149779735682819E-2</v>
      </c>
      <c r="X475" s="1222">
        <f t="shared" si="790"/>
        <v>4.6210720887245843E-2</v>
      </c>
      <c r="Y475" s="2753">
        <f t="shared" si="790"/>
        <v>7.2710103871576962E-2</v>
      </c>
      <c r="Z475" s="2589">
        <f t="shared" si="790"/>
        <v>6.4965745334278291E-2</v>
      </c>
      <c r="AA475" s="2753">
        <f t="shared" si="790"/>
        <v>7.9627714581178899E-2</v>
      </c>
      <c r="AB475" s="2753">
        <f t="shared" si="790"/>
        <v>6.8778280542986431E-2</v>
      </c>
      <c r="AC475" s="2753">
        <f t="shared" si="790"/>
        <v>4.8402710551790899E-2</v>
      </c>
      <c r="AD475" s="2753">
        <f t="shared" si="790"/>
        <v>6.5621939275220378E-2</v>
      </c>
      <c r="AE475" s="2589">
        <f t="shared" si="790"/>
        <v>6.5438681531749879E-2</v>
      </c>
      <c r="AF475" s="2753">
        <f t="shared" si="790"/>
        <v>0.03</v>
      </c>
      <c r="AG475" s="2753">
        <f t="shared" si="790"/>
        <v>2.3872679045092837E-2</v>
      </c>
      <c r="AH475" s="2753">
        <f t="shared" si="790"/>
        <v>4.6391752577319589E-2</v>
      </c>
      <c r="AI475" s="2753">
        <f t="shared" si="790"/>
        <v>5.7142857142857141E-2</v>
      </c>
      <c r="AJ475" s="2589">
        <f t="shared" si="790"/>
        <v>0.04</v>
      </c>
      <c r="AK475" s="2689">
        <v>2.5000000000000001E-2</v>
      </c>
      <c r="AL475" s="2689">
        <v>2.5000000000000001E-2</v>
      </c>
      <c r="AM475" s="2689">
        <v>2.5000000000000001E-2</v>
      </c>
      <c r="AN475" s="2689">
        <v>2.5000000000000001E-2</v>
      </c>
      <c r="AO475" s="2589">
        <f>AO465/AO9</f>
        <v>2.5000000000000005E-2</v>
      </c>
      <c r="AP475" s="1420">
        <f>+AO475</f>
        <v>2.5000000000000005E-2</v>
      </c>
      <c r="AQ475" s="1420">
        <f>+AP475</f>
        <v>2.5000000000000005E-2</v>
      </c>
      <c r="AR475" s="1451"/>
      <c r="AS475" s="1452"/>
      <c r="AT475" s="1222"/>
      <c r="AU475" s="1222"/>
      <c r="AV475" s="1222"/>
      <c r="AW475" s="1222"/>
      <c r="AX475" s="1222"/>
      <c r="AY475" s="1222"/>
      <c r="AZ475" s="1222"/>
      <c r="BA475" s="1222"/>
      <c r="BB475" s="1222"/>
      <c r="BC475" s="1222"/>
      <c r="BD475" s="1221"/>
      <c r="BE475" s="14"/>
      <c r="BG475"/>
      <c r="BH475"/>
      <c r="BI475"/>
      <c r="BJ475"/>
      <c r="BK475"/>
      <c r="BL475"/>
      <c r="BM475" s="698"/>
      <c r="BN475" s="698"/>
      <c r="BO475" s="698"/>
      <c r="BP475" s="698"/>
      <c r="BQ475" s="698"/>
      <c r="BR475" s="698"/>
      <c r="BS475" s="698"/>
    </row>
    <row r="476" spans="1:71" ht="12.75" customHeight="1">
      <c r="A476" s="545" t="s">
        <v>619</v>
      </c>
      <c r="B476" s="979"/>
      <c r="C476" s="979"/>
      <c r="D476" s="979"/>
      <c r="E476" s="1219">
        <f t="shared" ref="E476:AQ476" si="791">E468/E20</f>
        <v>2.7250966672804272E-2</v>
      </c>
      <c r="F476" s="1219">
        <f t="shared" si="791"/>
        <v>6.6427595628415298E-2</v>
      </c>
      <c r="G476" s="1222">
        <f t="shared" si="791"/>
        <v>8.424110384894698E-2</v>
      </c>
      <c r="H476" s="1222">
        <f t="shared" si="791"/>
        <v>8.017676767676768E-2</v>
      </c>
      <c r="I476" s="1222">
        <f t="shared" si="791"/>
        <v>5.8161350844277676E-2</v>
      </c>
      <c r="J476" s="1222">
        <f t="shared" si="791"/>
        <v>6.092964824120603E-2</v>
      </c>
      <c r="K476" s="1219">
        <f t="shared" si="791"/>
        <v>7.0383615084525356E-2</v>
      </c>
      <c r="L476" s="1220">
        <f t="shared" si="791"/>
        <v>4.0084388185654012E-2</v>
      </c>
      <c r="M476" s="1222">
        <f t="shared" si="791"/>
        <v>3.9263803680981597E-2</v>
      </c>
      <c r="N476" s="1222">
        <f t="shared" si="791"/>
        <v>2.8624766645924081E-2</v>
      </c>
      <c r="O476" s="1222">
        <f t="shared" si="791"/>
        <v>5.2064631956912029E-2</v>
      </c>
      <c r="P476" s="1219">
        <f t="shared" si="791"/>
        <v>4.0126382306477096E-2</v>
      </c>
      <c r="Q476" s="1220">
        <f t="shared" si="791"/>
        <v>2.7994791666666668E-2</v>
      </c>
      <c r="R476" s="1222">
        <f t="shared" si="791"/>
        <v>3.8351459645105897E-2</v>
      </c>
      <c r="S476" s="1222">
        <f t="shared" si="791"/>
        <v>4.2577675489067893E-2</v>
      </c>
      <c r="T476" s="1222">
        <f t="shared" si="791"/>
        <v>4.6927374301675977E-2</v>
      </c>
      <c r="U476" s="1219">
        <f t="shared" si="791"/>
        <v>3.9348113346057846E-2</v>
      </c>
      <c r="V476" s="1222">
        <f t="shared" si="791"/>
        <v>5.3365676167374164E-2</v>
      </c>
      <c r="W476" s="1222">
        <f t="shared" si="791"/>
        <v>3.8151531434712518E-2</v>
      </c>
      <c r="X476" s="1222">
        <f t="shared" si="791"/>
        <v>3.0021834061135372E-2</v>
      </c>
      <c r="Y476" s="2753">
        <f t="shared" si="791"/>
        <v>5.3333333333333337E-2</v>
      </c>
      <c r="Z476" s="2589">
        <f t="shared" si="791"/>
        <v>4.3405208625035004E-2</v>
      </c>
      <c r="AA476" s="2753">
        <f t="shared" si="791"/>
        <v>5.0029779630732581E-2</v>
      </c>
      <c r="AB476" s="2753">
        <f t="shared" si="791"/>
        <v>4.5092838196286469E-2</v>
      </c>
      <c r="AC476" s="2753">
        <f t="shared" si="791"/>
        <v>3.1573217201959713E-2</v>
      </c>
      <c r="AD476" s="2753">
        <f t="shared" si="791"/>
        <v>4.9559471365638763E-2</v>
      </c>
      <c r="AE476" s="2589">
        <f t="shared" si="791"/>
        <v>4.3924068172370788E-2</v>
      </c>
      <c r="AF476" s="2753">
        <f t="shared" si="791"/>
        <v>1.1749347258485639E-2</v>
      </c>
      <c r="AG476" s="1222">
        <f t="shared" si="791"/>
        <v>9.8901098901098897E-3</v>
      </c>
      <c r="AH476" s="1222">
        <f t="shared" si="791"/>
        <v>1.9543973941368076E-2</v>
      </c>
      <c r="AI476" s="1222">
        <f t="shared" si="791"/>
        <v>2.4498886414253896E-2</v>
      </c>
      <c r="AJ476" s="2589">
        <f t="shared" si="791"/>
        <v>1.6595135908440629E-2</v>
      </c>
      <c r="AK476" s="1222">
        <f t="shared" si="791"/>
        <v>9.983117952282879E-3</v>
      </c>
      <c r="AL476" s="1222">
        <f t="shared" si="791"/>
        <v>1.091461152005423E-2</v>
      </c>
      <c r="AM476" s="1222">
        <f t="shared" si="791"/>
        <v>1.0707186315726092E-2</v>
      </c>
      <c r="AN476" s="1222">
        <f t="shared" si="791"/>
        <v>1.0832690234553379E-2</v>
      </c>
      <c r="AO476" s="2589">
        <f t="shared" si="791"/>
        <v>1.0642067400785235E-2</v>
      </c>
      <c r="AP476" s="1219">
        <f t="shared" si="791"/>
        <v>1.038573137695374E-2</v>
      </c>
      <c r="AQ476" s="1219">
        <f t="shared" si="791"/>
        <v>9.9732462736992523E-3</v>
      </c>
      <c r="AR476" s="336"/>
      <c r="AS476" s="386"/>
      <c r="AT476" s="836"/>
      <c r="AU476" s="836"/>
      <c r="AV476" s="836"/>
      <c r="AW476" s="836"/>
      <c r="AX476" s="836"/>
      <c r="AY476" s="836"/>
      <c r="AZ476" s="836"/>
      <c r="BA476" s="836"/>
      <c r="BB476" s="836"/>
      <c r="BC476" s="836"/>
      <c r="BD476" s="997"/>
      <c r="BF476" s="900"/>
      <c r="BM476" s="902"/>
      <c r="BN476" s="902"/>
      <c r="BO476" s="902"/>
      <c r="BP476" s="902"/>
      <c r="BQ476" s="902"/>
      <c r="BR476" s="902"/>
      <c r="BS476" s="902"/>
    </row>
    <row r="477" spans="1:71" ht="12.75" customHeight="1">
      <c r="A477" s="545" t="s">
        <v>620</v>
      </c>
      <c r="B477" s="979"/>
      <c r="C477" s="979"/>
      <c r="D477" s="979"/>
      <c r="E477" s="979"/>
      <c r="F477" s="1219">
        <f>F468/E468-1</f>
        <v>1.6283783783783785</v>
      </c>
      <c r="G477" s="336"/>
      <c r="H477" s="336"/>
      <c r="I477" s="336"/>
      <c r="J477" s="336"/>
      <c r="K477" s="1219">
        <f t="shared" ref="K477:AF477" si="792">K468/F468-1</f>
        <v>0.11311053984575836</v>
      </c>
      <c r="L477" s="1222">
        <f t="shared" si="792"/>
        <v>-0.50862068965517238</v>
      </c>
      <c r="M477" s="1222">
        <f t="shared" si="792"/>
        <v>-0.49606299212598426</v>
      </c>
      <c r="N477" s="1222">
        <f t="shared" si="792"/>
        <v>-0.5053763440860215</v>
      </c>
      <c r="O477" s="1222">
        <f t="shared" si="792"/>
        <v>-0.10309278350515461</v>
      </c>
      <c r="P477" s="1219">
        <f t="shared" si="792"/>
        <v>-0.41339491916859128</v>
      </c>
      <c r="Q477" s="1222">
        <f t="shared" si="792"/>
        <v>-0.24561403508771928</v>
      </c>
      <c r="R477" s="1222">
        <f t="shared" si="792"/>
        <v>4.6875E-2</v>
      </c>
      <c r="S477" s="1222">
        <f t="shared" si="792"/>
        <v>0.60869565217391308</v>
      </c>
      <c r="T477" s="1222">
        <f t="shared" si="792"/>
        <v>-3.4482758620689613E-2</v>
      </c>
      <c r="U477" s="1219">
        <f t="shared" si="792"/>
        <v>5.5118110236220375E-2</v>
      </c>
      <c r="V477" s="1222">
        <f t="shared" si="792"/>
        <v>1.0465116279069768</v>
      </c>
      <c r="W477" s="1222">
        <f t="shared" si="792"/>
        <v>5.9701492537313383E-2</v>
      </c>
      <c r="X477" s="1222">
        <f t="shared" si="792"/>
        <v>-0.2567567567567568</v>
      </c>
      <c r="Y477" s="2753">
        <f t="shared" si="792"/>
        <v>0.14285714285714279</v>
      </c>
      <c r="Z477" s="2589">
        <f>Z468/U468-1</f>
        <v>0.15671641791044766</v>
      </c>
      <c r="AA477" s="2753">
        <f t="shared" si="792"/>
        <v>-4.5454545454545414E-2</v>
      </c>
      <c r="AB477" s="2753">
        <f t="shared" si="792"/>
        <v>0.19718309859154926</v>
      </c>
      <c r="AC477" s="2753">
        <f t="shared" si="792"/>
        <v>5.4545454545454453E-2</v>
      </c>
      <c r="AD477" s="2753">
        <f t="shared" si="792"/>
        <v>-6.25E-2</v>
      </c>
      <c r="AE477" s="2589">
        <f t="shared" ref="AE477:AJ477" si="793">AE468/Z468-1</f>
        <v>2.2580645161290214E-2</v>
      </c>
      <c r="AF477" s="2753">
        <f t="shared" si="792"/>
        <v>-0.8928571428571429</v>
      </c>
      <c r="AG477" s="1222">
        <f t="shared" si="793"/>
        <v>-0.89411764705882357</v>
      </c>
      <c r="AH477" s="1222">
        <f t="shared" si="793"/>
        <v>-0.68965517241379315</v>
      </c>
      <c r="AI477" s="1222">
        <f t="shared" si="793"/>
        <v>-0.75555555555555554</v>
      </c>
      <c r="AJ477" s="2589">
        <f t="shared" si="793"/>
        <v>-0.81703470031545744</v>
      </c>
      <c r="AK477" s="1222">
        <f t="shared" ref="AK477:AK478" si="794">AK468/AF468-1</f>
        <v>-0.1253944289559521</v>
      </c>
      <c r="AL477" s="1222">
        <f t="shared" ref="AL477:AL478" si="795">AL468/AG468-1</f>
        <v>0.21815990010808561</v>
      </c>
      <c r="AM477" s="1222">
        <f t="shared" ref="AM477:AM478" si="796">AM468/AH468-1</f>
        <v>-0.40404851745253434</v>
      </c>
      <c r="AN477" s="1222">
        <f t="shared" ref="AN477:AO478" si="797">AN468/AI468-1</f>
        <v>-0.53359208517604717</v>
      </c>
      <c r="AO477" s="2589">
        <f t="shared" si="797"/>
        <v>-0.31339672323533541</v>
      </c>
      <c r="AP477" s="1219">
        <f>AP468/AO468-1</f>
        <v>2.6579991546175519E-2</v>
      </c>
      <c r="AQ477" s="1219">
        <f>AQ468/AP468-1</f>
        <v>-4.3660354394612022E-2</v>
      </c>
      <c r="AR477" s="336"/>
      <c r="AS477" s="386"/>
      <c r="AT477" s="836"/>
      <c r="AU477" s="836"/>
      <c r="AV477" s="836"/>
      <c r="AW477" s="836"/>
      <c r="AX477" s="836"/>
      <c r="AY477" s="836"/>
      <c r="AZ477" s="836"/>
      <c r="BA477" s="836"/>
      <c r="BB477" s="836"/>
      <c r="BC477" s="836"/>
      <c r="BD477" s="997"/>
      <c r="BF477" s="900"/>
      <c r="BM477" s="902"/>
      <c r="BN477" s="902"/>
      <c r="BO477" s="902"/>
      <c r="BP477" s="902"/>
      <c r="BQ477" s="902"/>
      <c r="BR477" s="902"/>
      <c r="BS477" s="902"/>
    </row>
    <row r="478" spans="1:71" ht="12.75" customHeight="1">
      <c r="A478" s="545" t="s">
        <v>618</v>
      </c>
      <c r="B478" s="979"/>
      <c r="C478" s="979"/>
      <c r="D478" s="979"/>
      <c r="E478" s="979"/>
      <c r="F478" s="1219">
        <f>F472/E472-1</f>
        <v>1.4080459770114944</v>
      </c>
      <c r="G478" s="336"/>
      <c r="H478" s="336"/>
      <c r="I478" s="336"/>
      <c r="J478" s="336"/>
      <c r="K478" s="1219">
        <f>K472/F472-1</f>
        <v>1.9093078758949833E-2</v>
      </c>
      <c r="L478" s="1222">
        <f>L469/G469-1</f>
        <v>-0.52173913043478259</v>
      </c>
      <c r="M478" s="1222">
        <f>M469/H469-1</f>
        <v>-0.4642857142857143</v>
      </c>
      <c r="N478" s="1222">
        <f>N469/I469-1</f>
        <v>0</v>
      </c>
      <c r="O478" s="1222">
        <f>O469/J469-1</f>
        <v>0</v>
      </c>
      <c r="P478" s="1219">
        <f>P472/K472-1</f>
        <v>-0.16159250585480089</v>
      </c>
      <c r="Q478" s="1222">
        <f>Q469/L469-1</f>
        <v>0.36363636363636354</v>
      </c>
      <c r="R478" s="1222">
        <f>R469/M469-1</f>
        <v>0.1333333333333333</v>
      </c>
      <c r="S478" s="1222">
        <f>S469/N469-1</f>
        <v>-0.45833333333333337</v>
      </c>
      <c r="T478" s="1222">
        <f>T469/O469-1</f>
        <v>-0.1428571428571429</v>
      </c>
      <c r="U478" s="1219">
        <f>U472/P472-1</f>
        <v>0.13687150837988837</v>
      </c>
      <c r="V478" s="1222">
        <f>V469/Q469-1</f>
        <v>-0.46666666666666667</v>
      </c>
      <c r="W478" s="1222">
        <f>W469/R469-1</f>
        <v>-0.11764705882352944</v>
      </c>
      <c r="X478" s="1222">
        <f>X469/S469-1</f>
        <v>0.15384615384615374</v>
      </c>
      <c r="Y478" s="2753">
        <f>Y469/T469-1</f>
        <v>0</v>
      </c>
      <c r="Z478" s="2589">
        <f>Z472/U472-1</f>
        <v>8.5995085995085985E-2</v>
      </c>
      <c r="AA478" s="2753">
        <f>AA469/V469-1</f>
        <v>0.375</v>
      </c>
      <c r="AB478" s="2753">
        <f>AB469/W469-1</f>
        <v>0.60000000000000009</v>
      </c>
      <c r="AC478" s="2753">
        <f>AC469/X469-1</f>
        <v>0.39999999999999991</v>
      </c>
      <c r="AD478" s="2753">
        <f>AD469/Y469-1</f>
        <v>4.1666666666666741E-2</v>
      </c>
      <c r="AE478" s="2589">
        <f>AE472/Z472-1</f>
        <v>-3.6199095022624417E-2</v>
      </c>
      <c r="AF478" s="2753">
        <f>AF469/AA469-1</f>
        <v>-0.18181818181818177</v>
      </c>
      <c r="AG478" s="1222">
        <f>AG469/AB469-1</f>
        <v>-0.16666666666666663</v>
      </c>
      <c r="AH478" s="1222">
        <f>AH469/AC469-1</f>
        <v>-0.23809523809523814</v>
      </c>
      <c r="AI478" s="1222">
        <f>AI469/AD469-1</f>
        <v>0.19999999999999996</v>
      </c>
      <c r="AJ478" s="2589">
        <f>AJ472/AE472-1</f>
        <v>-0.51173708920187799</v>
      </c>
      <c r="AK478" s="1222">
        <f t="shared" si="794"/>
        <v>0</v>
      </c>
      <c r="AL478" s="1222">
        <f t="shared" si="795"/>
        <v>0</v>
      </c>
      <c r="AM478" s="1222">
        <f t="shared" si="796"/>
        <v>0</v>
      </c>
      <c r="AN478" s="1222">
        <f t="shared" si="797"/>
        <v>0</v>
      </c>
      <c r="AO478" s="2589">
        <f>AO472/AJ472-1</f>
        <v>-8.7389470902160871E-2</v>
      </c>
      <c r="AP478" s="1219">
        <f>AP472/AO472-1</f>
        <v>5.576219922797554E-3</v>
      </c>
      <c r="AQ478" s="1219">
        <f>AQ472/AP472-1</f>
        <v>-9.3508289508388298E-3</v>
      </c>
      <c r="AR478" s="336"/>
      <c r="AS478" s="386"/>
      <c r="AT478" s="836"/>
      <c r="AU478" s="836"/>
      <c r="AV478" s="836"/>
      <c r="AW478" s="836"/>
      <c r="AX478" s="836"/>
      <c r="AY478" s="836"/>
      <c r="AZ478" s="836"/>
      <c r="BA478" s="836"/>
      <c r="BB478" s="836"/>
      <c r="BC478" s="836"/>
      <c r="BD478" s="997"/>
      <c r="BF478" s="900"/>
      <c r="BM478" s="902"/>
      <c r="BN478" s="902"/>
      <c r="BO478" s="902"/>
      <c r="BP478" s="902"/>
      <c r="BQ478" s="902"/>
      <c r="BR478" s="902"/>
      <c r="BS478" s="902"/>
    </row>
    <row r="479" spans="1:71" s="130" customFormat="1" ht="12.75" customHeight="1">
      <c r="A479" s="289"/>
      <c r="B479" s="147"/>
      <c r="C479" s="147"/>
      <c r="D479" s="147"/>
      <c r="E479" s="147"/>
      <c r="F479" s="147"/>
      <c r="G479" s="960"/>
      <c r="H479" s="960"/>
      <c r="I479" s="960"/>
      <c r="J479" s="960"/>
      <c r="K479" s="147"/>
      <c r="L479" s="960"/>
      <c r="M479" s="960"/>
      <c r="N479" s="960"/>
      <c r="O479" s="960"/>
      <c r="P479" s="147"/>
      <c r="Q479" s="960"/>
      <c r="R479" s="960"/>
      <c r="S479" s="960"/>
      <c r="T479" s="960"/>
      <c r="U479" s="147"/>
      <c r="V479" s="960"/>
      <c r="W479" s="960"/>
      <c r="X479" s="960"/>
      <c r="Y479" s="960"/>
      <c r="Z479" s="2590"/>
      <c r="AA479" s="960"/>
      <c r="AB479" s="960"/>
      <c r="AC479" s="960"/>
      <c r="AD479" s="960"/>
      <c r="AE479" s="2590"/>
      <c r="AF479" s="960"/>
      <c r="AG479" s="960"/>
      <c r="AH479" s="960"/>
      <c r="AI479" s="960"/>
      <c r="AJ479" s="2590"/>
      <c r="AK479" s="960"/>
      <c r="AL479" s="960"/>
      <c r="AM479" s="960"/>
      <c r="AN479" s="960"/>
      <c r="AO479" s="2590"/>
      <c r="AP479" s="147"/>
      <c r="AQ479" s="147"/>
      <c r="AR479" s="148"/>
      <c r="AS479" s="386"/>
      <c r="AT479" s="148"/>
      <c r="AU479" s="148"/>
      <c r="AV479" s="148"/>
      <c r="AW479" s="148"/>
      <c r="AX479" s="148"/>
      <c r="AY479" s="148"/>
      <c r="AZ479" s="148"/>
      <c r="BA479" s="148"/>
      <c r="BB479" s="148"/>
      <c r="BC479" s="148"/>
      <c r="BD479" s="720"/>
      <c r="BE479" s="14"/>
      <c r="BF479" s="902"/>
      <c r="BG479"/>
      <c r="BH479"/>
      <c r="BI479"/>
      <c r="BJ479"/>
      <c r="BK479"/>
      <c r="BL479"/>
      <c r="BM479" s="902"/>
      <c r="BN479" s="902"/>
      <c r="BO479" s="902"/>
      <c r="BP479" s="902"/>
      <c r="BQ479" s="902"/>
      <c r="BR479" s="902"/>
      <c r="BS479" s="902"/>
    </row>
    <row r="480" spans="1:71" s="130" customFormat="1" ht="12.75" customHeight="1">
      <c r="A480" s="273" t="s">
        <v>730</v>
      </c>
      <c r="B480" s="154"/>
      <c r="C480" s="154"/>
      <c r="D480" s="154"/>
      <c r="E480" s="154"/>
      <c r="F480" s="154"/>
      <c r="G480" s="315"/>
      <c r="H480" s="315"/>
      <c r="I480" s="315"/>
      <c r="J480" s="315"/>
      <c r="K480" s="154"/>
      <c r="L480" s="315"/>
      <c r="M480" s="315"/>
      <c r="N480" s="315"/>
      <c r="O480" s="315"/>
      <c r="P480" s="154"/>
      <c r="Q480" s="315"/>
      <c r="R480" s="315"/>
      <c r="S480" s="315"/>
      <c r="T480" s="315"/>
      <c r="U480" s="154"/>
      <c r="V480" s="315"/>
      <c r="W480" s="315"/>
      <c r="X480" s="315"/>
      <c r="Y480" s="315"/>
      <c r="Z480" s="2591"/>
      <c r="AA480" s="315"/>
      <c r="AB480" s="315"/>
      <c r="AC480" s="315"/>
      <c r="AD480" s="315"/>
      <c r="AE480" s="2591"/>
      <c r="AF480" s="315"/>
      <c r="AG480" s="315"/>
      <c r="AH480" s="315"/>
      <c r="AI480" s="315"/>
      <c r="AJ480" s="2591"/>
      <c r="AK480" s="315"/>
      <c r="AL480" s="315"/>
      <c r="AM480" s="315"/>
      <c r="AN480" s="315"/>
      <c r="AO480" s="2591"/>
      <c r="AP480" s="154"/>
      <c r="AQ480" s="154"/>
      <c r="AR480" s="155"/>
      <c r="AS480" s="385" t="str">
        <f>+A480</f>
        <v>Working Capital &amp; Other</v>
      </c>
      <c r="AT480" s="155"/>
      <c r="AU480" s="155"/>
      <c r="AV480" s="155"/>
      <c r="AW480" s="155"/>
      <c r="AX480" s="155"/>
      <c r="AY480" s="155"/>
      <c r="AZ480" s="155"/>
      <c r="BA480" s="155"/>
      <c r="BB480" s="155"/>
      <c r="BC480" s="155"/>
      <c r="BD480" s="867"/>
      <c r="BE480" s="14"/>
      <c r="BF480" s="902"/>
      <c r="BG480"/>
      <c r="BH480"/>
      <c r="BI480"/>
      <c r="BJ480"/>
      <c r="BK480"/>
      <c r="BL480"/>
      <c r="BM480" s="902"/>
      <c r="BN480" s="902"/>
      <c r="BO480" s="902"/>
      <c r="BP480" s="902"/>
      <c r="BQ480" s="902"/>
      <c r="BR480" s="902"/>
      <c r="BS480" s="902"/>
    </row>
    <row r="481" spans="1:71" s="130" customFormat="1" ht="12.75" customHeight="1">
      <c r="A481" s="251" t="s">
        <v>615</v>
      </c>
      <c r="B481" s="154"/>
      <c r="C481" s="154"/>
      <c r="D481" s="154"/>
      <c r="E481" s="154"/>
      <c r="F481" s="154">
        <f>F553/(F24/360)</f>
        <v>26.150518046225663</v>
      </c>
      <c r="G481" s="155">
        <f>F553/(G24/G6)</f>
        <v>27.244486156733931</v>
      </c>
      <c r="H481" s="155">
        <f>G553/(H24/H6)</f>
        <v>27.071548117154812</v>
      </c>
      <c r="I481" s="155">
        <f>H553/(I24/I6)</f>
        <v>28.966487381050889</v>
      </c>
      <c r="J481" s="155">
        <f>I553/(J24/J6)</f>
        <v>31.007698887938407</v>
      </c>
      <c r="K481" s="154">
        <f>K553/(K24/360)</f>
        <v>27.904269081500647</v>
      </c>
      <c r="L481" s="155">
        <f>K553/(L24/L6)</f>
        <v>28.594785682722048</v>
      </c>
      <c r="M481" s="155">
        <f>L553/(M24/M6)</f>
        <v>31.697058823529414</v>
      </c>
      <c r="N481" s="155">
        <f>M553/(N24/N6)</f>
        <v>31.180073499387504</v>
      </c>
      <c r="O481" s="155">
        <f>N553/(O24/O6)</f>
        <v>28.299659477866062</v>
      </c>
      <c r="P481" s="154">
        <f>K553/(P24/P6)</f>
        <v>26.957883923985619</v>
      </c>
      <c r="Q481" s="155">
        <f>P553/(Q24/Q6)</f>
        <v>27.841726618705035</v>
      </c>
      <c r="R481" s="155">
        <f>Q553/(R24/R6)</f>
        <v>26.750656167979002</v>
      </c>
      <c r="S481" s="155">
        <f>R553/(S24/S6)</f>
        <v>29.854765506807865</v>
      </c>
      <c r="T481" s="155">
        <f>S553/(T24/T6)</f>
        <v>28.042432814710043</v>
      </c>
      <c r="U481" s="154">
        <f>P553/(U24/U6)</f>
        <v>25.406113121310224</v>
      </c>
      <c r="V481" s="155">
        <f>U553/(V24/V6)</f>
        <v>29.22662562524048</v>
      </c>
      <c r="W481" s="155">
        <f>V553/(W24/W6)</f>
        <v>27.99760438056126</v>
      </c>
      <c r="X481" s="155">
        <f>W553/(X24/X6)</f>
        <v>29.776856649395512</v>
      </c>
      <c r="Y481" s="2728">
        <f>X553/(Y24/Y6)</f>
        <v>29.925770308123248</v>
      </c>
      <c r="Z481" s="2591">
        <f>U553/(Z24/Z6)</f>
        <v>27.329666430092267</v>
      </c>
      <c r="AA481" s="155">
        <f>Z553/(AA24/AA6)</f>
        <v>28.987636363636366</v>
      </c>
      <c r="AB481" s="155">
        <f>AA553/(AB24/AB6)</f>
        <v>27.231399541134056</v>
      </c>
      <c r="AC481" s="155">
        <f>AB553/(AC24/AC6)</f>
        <v>31.427600271923861</v>
      </c>
      <c r="AD481" s="155">
        <f>AC553/(AD24/AD6)</f>
        <v>32.168493150684931</v>
      </c>
      <c r="AE481" s="2591">
        <f>Z553/(AE24/AE6)</f>
        <v>27.490011146360285</v>
      </c>
      <c r="AF481" s="155">
        <f>AE553/(AF24/AF6)</f>
        <v>41.855622397038402</v>
      </c>
      <c r="AG481" s="155">
        <f>AF553/(AG24/AG6)</f>
        <v>35.33716965046888</v>
      </c>
      <c r="AH481" s="155">
        <f>AG553/(AH24/AH6)</f>
        <v>35.994902293967719</v>
      </c>
      <c r="AI481" s="155">
        <f>AH553/(AI24/AI6)</f>
        <v>37.462044756472139</v>
      </c>
      <c r="AJ481" s="2591">
        <f>AE553/(AJ24/AJ6)</f>
        <v>40.134026258205694</v>
      </c>
      <c r="AK481" s="155">
        <f>AJ553/(AK24/AK6)</f>
        <v>36.171093589933804</v>
      </c>
      <c r="AL481" s="155">
        <f>AK553/(AL24/AL6)</f>
        <v>32.862806219263952</v>
      </c>
      <c r="AM481" s="155">
        <f>AL553/(AM24/AM6)</f>
        <v>33.300149478317479</v>
      </c>
      <c r="AN481" s="155">
        <f>AM553/(AN24/AN6)</f>
        <v>34.811639114774692</v>
      </c>
      <c r="AO481" s="2591">
        <f>AJ553/(AO24/AO6)</f>
        <v>34.23113551882858</v>
      </c>
      <c r="AP481" s="154">
        <f>AO553/(AP24/AP6)</f>
        <v>32.11616333263224</v>
      </c>
      <c r="AQ481" s="154">
        <f>AP553/(AQ24/AQ6)</f>
        <v>31.752309270918673</v>
      </c>
      <c r="AR481" s="155"/>
      <c r="AS481" s="384" t="str">
        <f>+A481</f>
        <v>Days of Sales in Accounts Receivable</v>
      </c>
      <c r="AT481" s="155">
        <f t="shared" ref="AT481:AU483" si="798">+E481</f>
        <v>0</v>
      </c>
      <c r="AU481" s="155">
        <f t="shared" si="798"/>
        <v>26.150518046225663</v>
      </c>
      <c r="AV481" s="155">
        <f>+K481</f>
        <v>27.904269081500647</v>
      </c>
      <c r="AW481" s="155">
        <f>+P481</f>
        <v>26.957883923985619</v>
      </c>
      <c r="AX481" s="155">
        <f>+U481</f>
        <v>25.406113121310224</v>
      </c>
      <c r="AY481" s="155">
        <f>+Z481</f>
        <v>27.329666430092267</v>
      </c>
      <c r="AZ481" s="155">
        <f>+AE481</f>
        <v>27.490011146360285</v>
      </c>
      <c r="BA481" s="155">
        <f>+AJ481</f>
        <v>40.134026258205694</v>
      </c>
      <c r="BB481" s="155">
        <f t="shared" ref="BB481:BD483" si="799">+AO481</f>
        <v>34.23113551882858</v>
      </c>
      <c r="BC481" s="155">
        <f t="shared" si="799"/>
        <v>32.11616333263224</v>
      </c>
      <c r="BD481" s="867">
        <f t="shared" si="799"/>
        <v>31.752309270918673</v>
      </c>
      <c r="BE481" s="14"/>
      <c r="BF481" s="902"/>
      <c r="BG481"/>
      <c r="BH481"/>
      <c r="BI481"/>
      <c r="BJ481"/>
      <c r="BK481"/>
      <c r="BL481"/>
      <c r="BM481" s="902"/>
      <c r="BN481" s="902"/>
      <c r="BO481" s="902"/>
      <c r="BP481" s="931"/>
      <c r="BQ481" s="902"/>
      <c r="BR481" s="902"/>
      <c r="BS481" s="902"/>
    </row>
    <row r="482" spans="1:71" s="130" customFormat="1" ht="12.75" customHeight="1">
      <c r="A482" s="251" t="s">
        <v>1681</v>
      </c>
      <c r="B482" s="154"/>
      <c r="C482" s="154"/>
      <c r="D482" s="154"/>
      <c r="E482" s="154" t="s">
        <v>2235</v>
      </c>
      <c r="F482" s="154">
        <f>F575/(F36/360)</f>
        <v>90</v>
      </c>
      <c r="G482" s="155">
        <f>F575/(G36/G6)</f>
        <v>90.899336283185832</v>
      </c>
      <c r="H482" s="155">
        <f>G575/(H36/H6)</f>
        <v>84.079136690647488</v>
      </c>
      <c r="I482" s="155">
        <f>H575/(I36/I6)</f>
        <v>90.945833333333326</v>
      </c>
      <c r="J482" s="155">
        <f>I575/(J36/J6)</f>
        <v>91.612223393045312</v>
      </c>
      <c r="K482" s="154">
        <f>K575/(K36/360)</f>
        <v>91.378763866877961</v>
      </c>
      <c r="L482" s="155">
        <f>K575/(L36/L6)</f>
        <v>93.452188006482984</v>
      </c>
      <c r="M482" s="155">
        <f>L575/(M36/M6)</f>
        <v>94.685823754789268</v>
      </c>
      <c r="N482" s="155">
        <f>M575/(N36/N6)</f>
        <v>90.48715313463515</v>
      </c>
      <c r="O482" s="155">
        <f>N575/(O36/O6)</f>
        <v>74.181213632585212</v>
      </c>
      <c r="P482" s="154">
        <f>K575/(P36/P6)</f>
        <v>87.36363636363636</v>
      </c>
      <c r="Q482" s="155">
        <f>P575/(Q36/Q6)</f>
        <v>99.95192307692308</v>
      </c>
      <c r="R482" s="155">
        <f>Q575/(R36/R6)</f>
        <v>84.945033751205401</v>
      </c>
      <c r="S482" s="155">
        <f>R575/(S36/S6)</f>
        <v>90.150980392156853</v>
      </c>
      <c r="T482" s="155">
        <f>S575/(T36/T6)</f>
        <v>83.194582392776525</v>
      </c>
      <c r="U482" s="154">
        <f>P575/(U36/U6)</f>
        <v>92.529569564687236</v>
      </c>
      <c r="V482" s="155">
        <f>U575/(V36/V6)</f>
        <v>90.865800865800864</v>
      </c>
      <c r="W482" s="155">
        <f>V575/(W36/W6)</f>
        <v>83.661923242777064</v>
      </c>
      <c r="X482" s="155">
        <f>W575/(X36/X6)</f>
        <v>93.447191011235958</v>
      </c>
      <c r="Y482" s="2728">
        <f>X575/(Y36/Y6)</f>
        <v>95.28721942281264</v>
      </c>
      <c r="Z482" s="2591">
        <f>U575/(Z36/Z6)</f>
        <v>87.001476266182152</v>
      </c>
      <c r="AA482" s="155">
        <f>Z575/(AA36/AA6)</f>
        <v>93.06722299490032</v>
      </c>
      <c r="AB482" s="155">
        <f>AA575/(AB36/AB6)</f>
        <v>87.952340060111638</v>
      </c>
      <c r="AC482" s="155">
        <f>AB575/(AC36/AC6)</f>
        <v>95.631578947368411</v>
      </c>
      <c r="AD482" s="155">
        <f>AC575/(AD36/AD6)</f>
        <v>92.392491467576789</v>
      </c>
      <c r="AE482" s="2591">
        <f>Z575/(AE36/AE6)</f>
        <v>88.627442371020862</v>
      </c>
      <c r="AF482" s="155">
        <f>AE575/(AF36/AF6)</f>
        <v>122.99164345403901</v>
      </c>
      <c r="AG482" s="155">
        <f>AF575/(AG36/AG6)</f>
        <v>86.387539598732843</v>
      </c>
      <c r="AH482" s="155">
        <f>AG575/(AH36/AH6)</f>
        <v>91.512969825304381</v>
      </c>
      <c r="AI482" s="155">
        <f>AH575/(AI36/AI6)</f>
        <v>95.394465545306559</v>
      </c>
      <c r="AJ482" s="2591">
        <f>AE575/(AJ36/AJ6)</f>
        <v>120.6501819161838</v>
      </c>
      <c r="AK482" s="155">
        <f>AJ575/(AK36/AK6)</f>
        <v>88.832506643697513</v>
      </c>
      <c r="AL482" s="155">
        <f>AK575/(AL36/AL6)</f>
        <v>84.063149221726832</v>
      </c>
      <c r="AM482" s="155">
        <f>AL575/(AM36/AM6)</f>
        <v>85.397036625410024</v>
      </c>
      <c r="AN482" s="155">
        <f>AM575/(AN36/AN6)</f>
        <v>88.081820274523693</v>
      </c>
      <c r="AO482" s="2591">
        <f>AJ575/(AO36/AO6)</f>
        <v>86.544852306726824</v>
      </c>
      <c r="AP482" s="154">
        <f>AO575/(AP36/AP6)</f>
        <v>81.492838771695091</v>
      </c>
      <c r="AQ482" s="154">
        <f>AP575/(AQ36/AQ6)</f>
        <v>80.608633735493328</v>
      </c>
      <c r="AR482" s="155"/>
      <c r="AS482" s="384" t="str">
        <f>+A482</f>
        <v>Days of Expense in Accounts Payable, Accrued Expenses, and Other</v>
      </c>
      <c r="AT482" s="155" t="str">
        <f t="shared" si="798"/>
        <v xml:space="preserve"> </v>
      </c>
      <c r="AU482" s="155">
        <f t="shared" si="798"/>
        <v>90</v>
      </c>
      <c r="AV482" s="155">
        <f>+K482</f>
        <v>91.378763866877961</v>
      </c>
      <c r="AW482" s="155">
        <f>+P482</f>
        <v>87.36363636363636</v>
      </c>
      <c r="AX482" s="155">
        <f>+U482</f>
        <v>92.529569564687236</v>
      </c>
      <c r="AY482" s="155">
        <f>+Z482</f>
        <v>87.001476266182152</v>
      </c>
      <c r="AZ482" s="155">
        <f>+AE482</f>
        <v>88.627442371020862</v>
      </c>
      <c r="BA482" s="155">
        <f>+AJ482</f>
        <v>120.6501819161838</v>
      </c>
      <c r="BB482" s="155">
        <f t="shared" si="799"/>
        <v>86.544852306726824</v>
      </c>
      <c r="BC482" s="155">
        <f t="shared" si="799"/>
        <v>81.492838771695091</v>
      </c>
      <c r="BD482" s="867">
        <f t="shared" si="799"/>
        <v>80.608633735493328</v>
      </c>
      <c r="BE482" s="14"/>
      <c r="BF482" s="902"/>
      <c r="BG482"/>
      <c r="BH482"/>
      <c r="BI482"/>
      <c r="BJ482"/>
      <c r="BK482"/>
      <c r="BL482"/>
      <c r="BM482" s="902"/>
      <c r="BN482" s="902"/>
      <c r="BO482" s="902"/>
      <c r="BP482" s="931"/>
      <c r="BQ482" s="902"/>
      <c r="BR482" s="902"/>
      <c r="BS482" s="902"/>
    </row>
    <row r="483" spans="1:71" s="130" customFormat="1" ht="12.75" customHeight="1">
      <c r="A483" s="251" t="s">
        <v>1215</v>
      </c>
      <c r="B483" s="154"/>
      <c r="C483" s="154"/>
      <c r="D483" s="154"/>
      <c r="E483" s="154"/>
      <c r="F483" s="154">
        <f>F554/(F36/360)</f>
        <v>27.508305647840533</v>
      </c>
      <c r="G483" s="155">
        <f>F554/(G36/G6)</f>
        <v>27.783185840707965</v>
      </c>
      <c r="H483" s="155">
        <f>G554/(H36/H6)</f>
        <v>24.737410071942449</v>
      </c>
      <c r="I483" s="155">
        <f>H554/(I36/I6)</f>
        <v>23.574999999999999</v>
      </c>
      <c r="J483" s="155">
        <f>I554/(J36/J6)</f>
        <v>21.667017913593256</v>
      </c>
      <c r="K483" s="154">
        <f>K554/(K36/360)</f>
        <v>19.730586370839934</v>
      </c>
      <c r="L483" s="155">
        <f>K554/(L36/L6)</f>
        <v>20.178282009724473</v>
      </c>
      <c r="M483" s="155">
        <f>L554/(M36/M6)</f>
        <v>19.873563218390807</v>
      </c>
      <c r="N483" s="155">
        <f>M554/(N36/N6)</f>
        <v>18.674203494347381</v>
      </c>
      <c r="O483" s="155">
        <f>N554/(O36/O6)</f>
        <v>14.759767248545304</v>
      </c>
      <c r="P483" s="154">
        <f>K554/(P36/P6)</f>
        <v>18.863636363636363</v>
      </c>
      <c r="Q483" s="155">
        <f>P554/(Q36/Q6)</f>
        <v>19.038461538461537</v>
      </c>
      <c r="R483" s="155">
        <f>Q554/(R36/R6)</f>
        <v>17.418997107039537</v>
      </c>
      <c r="S483" s="155">
        <f>R554/(S36/S6)</f>
        <v>16.190196078431374</v>
      </c>
      <c r="T483" s="155">
        <f>S554/(T36/T6)</f>
        <v>14.5372460496614</v>
      </c>
      <c r="U483" s="154">
        <f>P554/(U36/U6)</f>
        <v>17.624679917083281</v>
      </c>
      <c r="V483" s="155">
        <f>U554/(V36/V6)</f>
        <v>17.489177489177489</v>
      </c>
      <c r="W483" s="155">
        <f>V554/(W36/W6)</f>
        <v>16.520482966796035</v>
      </c>
      <c r="X483" s="155">
        <f>W554/(X36/X6)</f>
        <v>17.531685393258428</v>
      </c>
      <c r="Y483" s="2728">
        <f>X554/(Y36/Y6)</f>
        <v>18.121850664223544</v>
      </c>
      <c r="Z483" s="2591">
        <f>U554/(Z36/Z6)</f>
        <v>16.745400863047923</v>
      </c>
      <c r="AA483" s="155">
        <f>Z554/(AA36/AA6)</f>
        <v>18.647195178488641</v>
      </c>
      <c r="AB483" s="155">
        <f>AA554/(AB36/AB6)</f>
        <v>18.325032202662086</v>
      </c>
      <c r="AC483" s="155">
        <f>AB554/(AC36/AC6)</f>
        <v>18.521052631578947</v>
      </c>
      <c r="AD483" s="155">
        <f>AC554/(AD36/AD6)</f>
        <v>19.938566552901023</v>
      </c>
      <c r="AE483" s="2591">
        <f>Z554/(AE36/AE6)</f>
        <v>17.757628979143799</v>
      </c>
      <c r="AF483" s="155">
        <f>AE554/(AF36/AF6)</f>
        <v>27.125348189415043</v>
      </c>
      <c r="AG483" s="155">
        <f>AF554/(AG36/AG6)</f>
        <v>0</v>
      </c>
      <c r="AH483" s="155">
        <f>AG554/(AH36/AH6)</f>
        <v>0</v>
      </c>
      <c r="AI483" s="155">
        <f>AH554/(AI36/AI6)</f>
        <v>0</v>
      </c>
      <c r="AJ483" s="2591">
        <f>AE554/(AJ36/AJ6)</f>
        <v>26.60894758118852</v>
      </c>
      <c r="AK483" s="155">
        <f>AJ554/(AK36/AK6)</f>
        <v>0</v>
      </c>
      <c r="AL483" s="155">
        <f>AK554/(AL36/AL6)</f>
        <v>0</v>
      </c>
      <c r="AM483" s="155">
        <f>AL554/(AM36/AM6)</f>
        <v>0</v>
      </c>
      <c r="AN483" s="155">
        <f>AM554/(AN36/AN6)</f>
        <v>0</v>
      </c>
      <c r="AO483" s="2591">
        <f>AJ554/(AO36/AO6)</f>
        <v>0</v>
      </c>
      <c r="AP483" s="154">
        <f>AO554/(AP36/AP6)</f>
        <v>0</v>
      </c>
      <c r="AQ483" s="154">
        <f>AP554/(AQ36/AQ6)</f>
        <v>0</v>
      </c>
      <c r="AR483" s="155"/>
      <c r="AS483" s="384" t="str">
        <f>+A483</f>
        <v>Days of Inventories in Hand</v>
      </c>
      <c r="AT483" s="155">
        <f t="shared" si="798"/>
        <v>0</v>
      </c>
      <c r="AU483" s="155">
        <f t="shared" si="798"/>
        <v>27.508305647840533</v>
      </c>
      <c r="AV483" s="155">
        <f>+K483</f>
        <v>19.730586370839934</v>
      </c>
      <c r="AW483" s="155">
        <f>+P483</f>
        <v>18.863636363636363</v>
      </c>
      <c r="AX483" s="155">
        <f>+U483</f>
        <v>17.624679917083281</v>
      </c>
      <c r="AY483" s="155">
        <f>+Z483</f>
        <v>16.745400863047923</v>
      </c>
      <c r="AZ483" s="155">
        <f>+AE483</f>
        <v>17.757628979143799</v>
      </c>
      <c r="BA483" s="155">
        <f>+AJ483</f>
        <v>26.60894758118852</v>
      </c>
      <c r="BB483" s="155">
        <f t="shared" si="799"/>
        <v>0</v>
      </c>
      <c r="BC483" s="155">
        <f t="shared" si="799"/>
        <v>0</v>
      </c>
      <c r="BD483" s="867">
        <f t="shared" si="799"/>
        <v>0</v>
      </c>
      <c r="BE483" s="14"/>
      <c r="BF483" s="902"/>
      <c r="BG483"/>
      <c r="BH483"/>
      <c r="BI483"/>
      <c r="BJ483"/>
      <c r="BK483"/>
      <c r="BL483"/>
      <c r="BM483" s="902"/>
      <c r="BN483" s="902"/>
      <c r="BO483" s="902"/>
      <c r="BP483" s="931"/>
      <c r="BQ483" s="902"/>
      <c r="BR483" s="902"/>
      <c r="BS483" s="902"/>
    </row>
    <row r="484" spans="1:71" s="130" customFormat="1" ht="12.75" customHeight="1">
      <c r="A484" s="251"/>
      <c r="B484" s="961"/>
      <c r="C484" s="961"/>
      <c r="D484" s="961"/>
      <c r="E484" s="961"/>
      <c r="F484" s="961"/>
      <c r="G484" s="962"/>
      <c r="H484" s="962"/>
      <c r="I484" s="962"/>
      <c r="J484" s="962"/>
      <c r="K484" s="961"/>
      <c r="L484" s="962"/>
      <c r="M484" s="962"/>
      <c r="N484" s="962"/>
      <c r="O484" s="962"/>
      <c r="P484" s="961"/>
      <c r="Q484" s="962"/>
      <c r="R484" s="962"/>
      <c r="S484" s="962"/>
      <c r="T484" s="962"/>
      <c r="U484" s="961"/>
      <c r="V484" s="962"/>
      <c r="W484" s="962"/>
      <c r="X484" s="962"/>
      <c r="Y484" s="962"/>
      <c r="Z484" s="961"/>
      <c r="AA484" s="962"/>
      <c r="AB484" s="962"/>
      <c r="AC484" s="962"/>
      <c r="AD484" s="962"/>
      <c r="AE484" s="2592"/>
      <c r="AF484" s="962"/>
      <c r="AG484" s="962"/>
      <c r="AH484" s="962"/>
      <c r="AI484" s="962"/>
      <c r="AJ484" s="2592"/>
      <c r="AK484" s="962"/>
      <c r="AL484" s="962"/>
      <c r="AM484" s="962"/>
      <c r="AN484" s="962"/>
      <c r="AO484" s="2592"/>
      <c r="AP484" s="961"/>
      <c r="AQ484" s="961"/>
      <c r="AR484" s="962"/>
      <c r="AS484" s="384"/>
      <c r="AT484" s="335"/>
      <c r="AU484" s="335"/>
      <c r="AV484" s="335"/>
      <c r="AW484" s="335"/>
      <c r="AX484" s="335"/>
      <c r="AY484" s="335"/>
      <c r="AZ484" s="335"/>
      <c r="BA484" s="335"/>
      <c r="BB484" s="335"/>
      <c r="BC484" s="335"/>
      <c r="BD484" s="963"/>
      <c r="BE484" s="14"/>
      <c r="BF484" s="902"/>
      <c r="BG484"/>
      <c r="BH484"/>
      <c r="BI484"/>
      <c r="BJ484"/>
      <c r="BK484"/>
      <c r="BL484"/>
      <c r="BM484" s="902"/>
      <c r="BN484" s="902"/>
      <c r="BO484" s="902"/>
      <c r="BP484" s="902"/>
      <c r="BQ484" s="902"/>
      <c r="BR484" s="902"/>
      <c r="BS484" s="902"/>
    </row>
    <row r="485" spans="1:71" s="130" customFormat="1" ht="12.75" customHeight="1">
      <c r="A485" s="978" t="s">
        <v>1926</v>
      </c>
      <c r="B485" s="966"/>
      <c r="C485" s="966"/>
      <c r="D485" s="966"/>
      <c r="E485" s="966">
        <f>-E516</f>
        <v>148</v>
      </c>
      <c r="F485" s="966">
        <f t="shared" ref="F485:W485" si="800">-F516</f>
        <v>389</v>
      </c>
      <c r="G485" s="968">
        <f t="shared" si="800"/>
        <v>116</v>
      </c>
      <c r="H485" s="968">
        <f t="shared" si="800"/>
        <v>127</v>
      </c>
      <c r="I485" s="968">
        <f t="shared" si="800"/>
        <v>93</v>
      </c>
      <c r="J485" s="968">
        <f t="shared" si="800"/>
        <v>97</v>
      </c>
      <c r="K485" s="966">
        <f t="shared" si="800"/>
        <v>433</v>
      </c>
      <c r="L485" s="968">
        <f t="shared" si="800"/>
        <v>57</v>
      </c>
      <c r="M485" s="968">
        <f t="shared" si="800"/>
        <v>64</v>
      </c>
      <c r="N485" s="968">
        <f t="shared" si="800"/>
        <v>46</v>
      </c>
      <c r="O485" s="968">
        <f t="shared" si="800"/>
        <v>87</v>
      </c>
      <c r="P485" s="966">
        <f t="shared" si="800"/>
        <v>254</v>
      </c>
      <c r="Q485" s="968">
        <f>-Q516</f>
        <v>43</v>
      </c>
      <c r="R485" s="968">
        <f t="shared" si="800"/>
        <v>67</v>
      </c>
      <c r="S485" s="968">
        <f t="shared" si="800"/>
        <v>74</v>
      </c>
      <c r="T485" s="968">
        <f t="shared" si="800"/>
        <v>84</v>
      </c>
      <c r="U485" s="966">
        <f t="shared" si="800"/>
        <v>268</v>
      </c>
      <c r="V485" s="968">
        <f>-V516</f>
        <v>88</v>
      </c>
      <c r="W485" s="968">
        <f t="shared" si="800"/>
        <v>71</v>
      </c>
      <c r="X485" s="968">
        <f t="shared" ref="X485:AQ485" si="801">-X516</f>
        <v>55</v>
      </c>
      <c r="Y485" s="2754">
        <f t="shared" si="801"/>
        <v>96</v>
      </c>
      <c r="Z485" s="2593">
        <f t="shared" si="801"/>
        <v>310</v>
      </c>
      <c r="AA485" s="968">
        <f t="shared" si="801"/>
        <v>84</v>
      </c>
      <c r="AB485" s="968">
        <f t="shared" si="801"/>
        <v>85</v>
      </c>
      <c r="AC485" s="968">
        <f t="shared" si="801"/>
        <v>58</v>
      </c>
      <c r="AD485" s="968">
        <f t="shared" si="801"/>
        <v>90</v>
      </c>
      <c r="AE485" s="2593">
        <f t="shared" si="801"/>
        <v>317</v>
      </c>
      <c r="AF485" s="968">
        <f t="shared" si="801"/>
        <v>9</v>
      </c>
      <c r="AG485" s="968">
        <f t="shared" si="801"/>
        <v>9</v>
      </c>
      <c r="AH485" s="968">
        <f t="shared" si="801"/>
        <v>18</v>
      </c>
      <c r="AI485" s="968">
        <f t="shared" si="801"/>
        <v>22</v>
      </c>
      <c r="AJ485" s="2593">
        <f t="shared" si="801"/>
        <v>58</v>
      </c>
      <c r="AK485" s="968">
        <f t="shared" ref="AK485:AO485" si="802">-AK516</f>
        <v>7.8714501393964316</v>
      </c>
      <c r="AL485" s="968">
        <f t="shared" si="802"/>
        <v>10.963439100972771</v>
      </c>
      <c r="AM485" s="968">
        <f t="shared" si="802"/>
        <v>10.727126685854381</v>
      </c>
      <c r="AN485" s="968">
        <f t="shared" si="802"/>
        <v>10.260974126126964</v>
      </c>
      <c r="AO485" s="2593">
        <f t="shared" si="802"/>
        <v>39.822990052350548</v>
      </c>
      <c r="AP485" s="966">
        <f t="shared" si="801"/>
        <v>40.881484791285459</v>
      </c>
      <c r="AQ485" s="966">
        <f t="shared" si="801"/>
        <v>39.096584677119992</v>
      </c>
      <c r="AR485" s="335"/>
      <c r="AS485" s="967" t="str">
        <f>+A485</f>
        <v>CAPEX</v>
      </c>
      <c r="AT485" s="968">
        <f>+E485</f>
        <v>148</v>
      </c>
      <c r="AU485" s="968">
        <f>+F485</f>
        <v>389</v>
      </c>
      <c r="AV485" s="968">
        <f>+K485</f>
        <v>433</v>
      </c>
      <c r="AW485" s="968">
        <f>+P485</f>
        <v>254</v>
      </c>
      <c r="AX485" s="968">
        <f>+U485</f>
        <v>268</v>
      </c>
      <c r="AY485" s="968">
        <f>+Z485</f>
        <v>310</v>
      </c>
      <c r="AZ485" s="968">
        <f>+AE485</f>
        <v>317</v>
      </c>
      <c r="BA485" s="968">
        <f>+AJ485</f>
        <v>58</v>
      </c>
      <c r="BB485" s="968">
        <f>+AO485</f>
        <v>39.822990052350548</v>
      </c>
      <c r="BC485" s="968">
        <f>+AP485</f>
        <v>40.881484791285459</v>
      </c>
      <c r="BD485" s="969">
        <f>+AQ485</f>
        <v>39.096584677119992</v>
      </c>
      <c r="BE485" s="14"/>
      <c r="BF485" s="902"/>
      <c r="BG485"/>
      <c r="BH485"/>
      <c r="BI485"/>
      <c r="BJ485"/>
      <c r="BK485"/>
      <c r="BL485"/>
      <c r="BM485" s="902"/>
      <c r="BN485" s="902"/>
      <c r="BO485" s="902"/>
      <c r="BP485" s="902"/>
      <c r="BQ485" s="902"/>
      <c r="BR485" s="902"/>
      <c r="BS485" s="902"/>
    </row>
    <row r="486" spans="1:71" ht="12.75" customHeight="1">
      <c r="A486" s="257"/>
      <c r="B486" s="335"/>
      <c r="C486" s="335"/>
      <c r="D486" s="335"/>
      <c r="E486" s="335"/>
      <c r="F486" s="335"/>
      <c r="G486" s="335"/>
      <c r="H486" s="335"/>
      <c r="I486" s="335"/>
      <c r="J486" s="335"/>
      <c r="K486" s="335"/>
      <c r="L486" s="335"/>
      <c r="M486" s="335"/>
      <c r="N486" s="335"/>
      <c r="O486" s="335"/>
      <c r="P486" s="335"/>
      <c r="Q486" s="335"/>
      <c r="R486" s="335"/>
      <c r="S486" s="335"/>
      <c r="T486" s="335"/>
      <c r="U486" s="335"/>
      <c r="V486" s="335"/>
      <c r="W486" s="335"/>
      <c r="X486" s="335"/>
      <c r="Y486" s="335"/>
      <c r="Z486" s="335"/>
      <c r="AA486" s="335"/>
      <c r="AB486" s="335"/>
      <c r="AC486" s="335"/>
      <c r="AD486" s="335"/>
      <c r="AE486" s="335"/>
      <c r="AF486" s="335"/>
      <c r="AG486" s="335"/>
      <c r="AH486" s="335"/>
      <c r="AI486" s="335"/>
      <c r="AJ486" s="335"/>
      <c r="AK486" s="335"/>
      <c r="AL486" s="335"/>
      <c r="AM486" s="335"/>
      <c r="AN486" s="335"/>
      <c r="AO486" s="335"/>
      <c r="AP486" s="335"/>
      <c r="AQ486" s="335"/>
      <c r="AR486" s="335"/>
      <c r="AS486" s="257"/>
      <c r="AT486" s="335"/>
      <c r="AU486" s="335"/>
      <c r="AV486" s="335"/>
      <c r="AW486" s="335"/>
      <c r="AX486" s="335"/>
      <c r="AY486" s="335"/>
      <c r="AZ486" s="335"/>
      <c r="BA486" s="335"/>
      <c r="BB486" s="335"/>
      <c r="BC486" s="335"/>
      <c r="BD486" s="335"/>
      <c r="BF486" s="900"/>
      <c r="BM486" s="902"/>
      <c r="BN486" s="902"/>
      <c r="BO486" s="902"/>
      <c r="BP486" s="902"/>
      <c r="BQ486" s="902"/>
      <c r="BR486" s="902"/>
      <c r="BS486" s="902"/>
    </row>
    <row r="487" spans="1:71" s="12" customFormat="1" ht="12.75" customHeight="1">
      <c r="A487" s="292" t="s">
        <v>842</v>
      </c>
      <c r="B487" s="769"/>
      <c r="C487" s="769"/>
      <c r="D487" s="769"/>
      <c r="E487" s="769" t="str">
        <f t="shared" ref="E487:AQ487" si="803">E5</f>
        <v>2010</v>
      </c>
      <c r="F487" s="769" t="str">
        <f t="shared" si="803"/>
        <v>2011</v>
      </c>
      <c r="G487" s="767" t="str">
        <f t="shared" si="803"/>
        <v>1Q12</v>
      </c>
      <c r="H487" s="767" t="str">
        <f t="shared" si="803"/>
        <v>2Q12</v>
      </c>
      <c r="I487" s="767" t="str">
        <f t="shared" si="803"/>
        <v>3Q12</v>
      </c>
      <c r="J487" s="767" t="str">
        <f t="shared" si="803"/>
        <v>4Q12</v>
      </c>
      <c r="K487" s="769">
        <f t="shared" si="803"/>
        <v>2012</v>
      </c>
      <c r="L487" s="767" t="str">
        <f t="shared" si="803"/>
        <v>1Q13</v>
      </c>
      <c r="M487" s="767" t="str">
        <f t="shared" si="803"/>
        <v>2Q13</v>
      </c>
      <c r="N487" s="767" t="str">
        <f t="shared" si="803"/>
        <v>3Q13</v>
      </c>
      <c r="O487" s="767" t="str">
        <f t="shared" si="803"/>
        <v>4Q13</v>
      </c>
      <c r="P487" s="769">
        <f t="shared" si="803"/>
        <v>2013</v>
      </c>
      <c r="Q487" s="767" t="str">
        <f t="shared" si="803"/>
        <v>1Q14</v>
      </c>
      <c r="R487" s="767" t="str">
        <f t="shared" si="803"/>
        <v>2Q14</v>
      </c>
      <c r="S487" s="767" t="str">
        <f t="shared" si="803"/>
        <v>3Q14</v>
      </c>
      <c r="T487" s="865" t="str">
        <f t="shared" si="803"/>
        <v>4Q14</v>
      </c>
      <c r="U487" s="769">
        <f t="shared" si="803"/>
        <v>2014</v>
      </c>
      <c r="V487" s="767" t="str">
        <f t="shared" si="803"/>
        <v>1Q15</v>
      </c>
      <c r="W487" s="767" t="str">
        <f t="shared" si="803"/>
        <v>2Q15</v>
      </c>
      <c r="X487" s="767" t="str">
        <f t="shared" si="803"/>
        <v>3Q15</v>
      </c>
      <c r="Y487" s="865" t="str">
        <f t="shared" si="803"/>
        <v>4Q15</v>
      </c>
      <c r="Z487" s="769">
        <f t="shared" si="803"/>
        <v>2015</v>
      </c>
      <c r="AA487" s="767" t="str">
        <f t="shared" si="803"/>
        <v>1Q16</v>
      </c>
      <c r="AB487" s="767" t="str">
        <f t="shared" si="803"/>
        <v>2Q16</v>
      </c>
      <c r="AC487" s="767" t="str">
        <f t="shared" si="803"/>
        <v>3Q16</v>
      </c>
      <c r="AD487" s="865" t="str">
        <f t="shared" si="803"/>
        <v>4Q16</v>
      </c>
      <c r="AE487" s="769">
        <f t="shared" si="803"/>
        <v>2016</v>
      </c>
      <c r="AF487" s="767" t="str">
        <f t="shared" si="803"/>
        <v>1Q17</v>
      </c>
      <c r="AG487" s="767" t="str">
        <f t="shared" si="803"/>
        <v>2Q17</v>
      </c>
      <c r="AH487" s="767" t="str">
        <f t="shared" si="803"/>
        <v>3Q17</v>
      </c>
      <c r="AI487" s="865" t="str">
        <f t="shared" si="803"/>
        <v>4Q17A</v>
      </c>
      <c r="AJ487" s="769" t="str">
        <f t="shared" si="803"/>
        <v>2017A</v>
      </c>
      <c r="AK487" s="767" t="str">
        <f t="shared" si="803"/>
        <v>1Q18E</v>
      </c>
      <c r="AL487" s="767" t="str">
        <f t="shared" si="803"/>
        <v>2Q18E</v>
      </c>
      <c r="AM487" s="767" t="str">
        <f t="shared" si="803"/>
        <v>3Q18E</v>
      </c>
      <c r="AN487" s="865" t="str">
        <f t="shared" si="803"/>
        <v>4Q18E</v>
      </c>
      <c r="AO487" s="769" t="str">
        <f t="shared" si="803"/>
        <v>2018E</v>
      </c>
      <c r="AP487" s="769" t="str">
        <f t="shared" si="803"/>
        <v>2019E</v>
      </c>
      <c r="AQ487" s="769" t="str">
        <f t="shared" si="803"/>
        <v>2020E</v>
      </c>
      <c r="AR487" s="430"/>
      <c r="AS487" s="292" t="str">
        <f>+A487</f>
        <v>Cash Flow Statement</v>
      </c>
      <c r="AT487" s="771" t="str">
        <f>+E487</f>
        <v>2010</v>
      </c>
      <c r="AU487" s="771" t="str">
        <f>+F487</f>
        <v>2011</v>
      </c>
      <c r="AV487" s="771">
        <f>+K487</f>
        <v>2012</v>
      </c>
      <c r="AW487" s="771">
        <f>+P487</f>
        <v>2013</v>
      </c>
      <c r="AX487" s="771">
        <f>+U487</f>
        <v>2014</v>
      </c>
      <c r="AY487" s="771">
        <f>+Z487</f>
        <v>2015</v>
      </c>
      <c r="AZ487" s="771">
        <f>+AE487</f>
        <v>2016</v>
      </c>
      <c r="BA487" s="771" t="str">
        <f>+AJ487</f>
        <v>2017A</v>
      </c>
      <c r="BB487" s="771" t="str">
        <f>+AO487</f>
        <v>2018E</v>
      </c>
      <c r="BC487" s="771" t="str">
        <f>+AP487</f>
        <v>2019E</v>
      </c>
      <c r="BD487" s="770" t="str">
        <f>+AQ487</f>
        <v>2020E</v>
      </c>
      <c r="BE487" s="14"/>
      <c r="BF487" s="900"/>
      <c r="BG487"/>
      <c r="BH487"/>
      <c r="BI487"/>
      <c r="BJ487"/>
      <c r="BK487"/>
      <c r="BL487"/>
      <c r="BM487" s="902"/>
      <c r="BN487" s="902"/>
      <c r="BO487" s="902"/>
      <c r="BP487" s="902"/>
      <c r="BQ487" s="902"/>
      <c r="BR487" s="902"/>
      <c r="BS487" s="902"/>
    </row>
    <row r="488" spans="1:71" ht="12.75" customHeight="1">
      <c r="A488" s="3142"/>
      <c r="B488" s="3093"/>
      <c r="C488" s="3093"/>
      <c r="D488" s="3093"/>
      <c r="E488" s="3093"/>
      <c r="F488" s="3093"/>
      <c r="G488" s="3284"/>
      <c r="H488" s="3284"/>
      <c r="I488" s="3284"/>
      <c r="J488" s="3284"/>
      <c r="K488" s="3093"/>
      <c r="L488" s="3284"/>
      <c r="M488" s="3284"/>
      <c r="N488" s="3284"/>
      <c r="O488" s="3284"/>
      <c r="P488" s="3093"/>
      <c r="Q488" s="3284"/>
      <c r="R488" s="3284"/>
      <c r="S488" s="3284"/>
      <c r="T488" s="3285"/>
      <c r="U488" s="3093"/>
      <c r="V488" s="3284"/>
      <c r="W488" s="3284"/>
      <c r="X488" s="3284"/>
      <c r="Y488" s="3285"/>
      <c r="Z488" s="3093"/>
      <c r="AA488" s="3096"/>
      <c r="AB488" s="3094"/>
      <c r="AC488" s="3094"/>
      <c r="AD488" s="3097"/>
      <c r="AE488" s="3093"/>
      <c r="AF488" s="3675"/>
      <c r="AG488" s="3675"/>
      <c r="AH488" s="3675"/>
      <c r="AI488" s="3676"/>
      <c r="AJ488" s="3677"/>
      <c r="AK488" s="3675"/>
      <c r="AL488" s="3675"/>
      <c r="AM488" s="3675"/>
      <c r="AN488" s="3676"/>
      <c r="AO488" s="3677"/>
      <c r="AP488" s="3677"/>
      <c r="AQ488" s="3677"/>
      <c r="AR488" s="173"/>
      <c r="AS488" s="385"/>
      <c r="AT488" s="173"/>
      <c r="AU488" s="173"/>
      <c r="AV488" s="173"/>
      <c r="AW488" s="173"/>
      <c r="AX488" s="173"/>
      <c r="AY488" s="173"/>
      <c r="AZ488" s="173"/>
      <c r="BA488" s="173"/>
      <c r="BB488" s="173"/>
      <c r="BC488" s="173"/>
      <c r="BD488" s="423"/>
      <c r="BF488" s="900"/>
      <c r="BM488" s="902"/>
      <c r="BN488" s="902"/>
      <c r="BO488" s="902"/>
      <c r="BP488" s="902"/>
      <c r="BQ488" s="902"/>
      <c r="BR488" s="902"/>
      <c r="BS488" s="902"/>
    </row>
    <row r="489" spans="1:71" ht="12.75" customHeight="1">
      <c r="A489" s="3092" t="s">
        <v>1295</v>
      </c>
      <c r="B489" s="3229"/>
      <c r="C489" s="3229"/>
      <c r="D489" s="3229"/>
      <c r="E489" s="3229"/>
      <c r="F489" s="3229"/>
      <c r="G489" s="3166"/>
      <c r="H489" s="3166"/>
      <c r="I489" s="3166"/>
      <c r="J489" s="3166"/>
      <c r="K489" s="3229"/>
      <c r="L489" s="3286"/>
      <c r="M489" s="3166"/>
      <c r="N489" s="3166"/>
      <c r="O489" s="3166"/>
      <c r="P489" s="3229"/>
      <c r="Q489" s="3166"/>
      <c r="R489" s="3166"/>
      <c r="S489" s="3166"/>
      <c r="T489" s="3232"/>
      <c r="U489" s="3229"/>
      <c r="V489" s="3166"/>
      <c r="W489" s="3166"/>
      <c r="X489" s="3166"/>
      <c r="Y489" s="3232"/>
      <c r="Z489" s="3229"/>
      <c r="AA489" s="3231"/>
      <c r="AB489" s="3166"/>
      <c r="AC489" s="3166"/>
      <c r="AD489" s="3232"/>
      <c r="AE489" s="3229"/>
      <c r="AF489" s="3678"/>
      <c r="AG489" s="3678"/>
      <c r="AH489" s="3678"/>
      <c r="AI489" s="3679"/>
      <c r="AJ489" s="3680"/>
      <c r="AK489" s="3678"/>
      <c r="AL489" s="3678"/>
      <c r="AM489" s="3678"/>
      <c r="AN489" s="3679"/>
      <c r="AO489" s="3680"/>
      <c r="AP489" s="3680"/>
      <c r="AQ489" s="3680"/>
      <c r="AR489" s="155"/>
      <c r="AS489" s="493" t="str">
        <f t="shared" ref="AS489:AS513" si="804">+A489</f>
        <v>Cash Flows From Operations</v>
      </c>
      <c r="AT489" s="155"/>
      <c r="AU489" s="155"/>
      <c r="AV489" s="155"/>
      <c r="AW489" s="155"/>
      <c r="AX489" s="155"/>
      <c r="AY489" s="155"/>
      <c r="AZ489" s="155"/>
      <c r="BA489" s="155"/>
      <c r="BB489" s="155"/>
      <c r="BC489" s="155"/>
      <c r="BD489" s="867"/>
      <c r="BF489" s="900"/>
      <c r="BM489" s="902"/>
      <c r="BN489" s="902"/>
      <c r="BO489" s="902"/>
      <c r="BP489" s="902"/>
      <c r="BQ489" s="902"/>
      <c r="BR489" s="902"/>
      <c r="BS489" s="902"/>
    </row>
    <row r="490" spans="1:71" ht="12.75" customHeight="1">
      <c r="A490" s="3287" t="s">
        <v>396</v>
      </c>
      <c r="B490" s="3288"/>
      <c r="C490" s="3288"/>
      <c r="D490" s="3288"/>
      <c r="E490" s="3288">
        <f t="shared" ref="E490:T490" si="805">E60-E58</f>
        <v>111</v>
      </c>
      <c r="F490" s="3288">
        <f t="shared" si="805"/>
        <v>255</v>
      </c>
      <c r="G490" s="3289">
        <f t="shared" si="805"/>
        <v>47</v>
      </c>
      <c r="H490" s="3290">
        <f t="shared" si="805"/>
        <v>69</v>
      </c>
      <c r="I490" s="3290">
        <f t="shared" si="805"/>
        <v>179</v>
      </c>
      <c r="J490" s="3291">
        <f t="shared" si="805"/>
        <v>64</v>
      </c>
      <c r="K490" s="3288">
        <f t="shared" si="805"/>
        <v>359</v>
      </c>
      <c r="L490" s="3292">
        <f t="shared" si="805"/>
        <v>38</v>
      </c>
      <c r="M490" s="3293">
        <f t="shared" si="805"/>
        <v>157</v>
      </c>
      <c r="N490" s="3293">
        <f t="shared" si="805"/>
        <v>203</v>
      </c>
      <c r="O490" s="3294">
        <f t="shared" si="805"/>
        <v>62</v>
      </c>
      <c r="P490" s="3295">
        <f t="shared" si="805"/>
        <v>460</v>
      </c>
      <c r="Q490" s="3292">
        <f t="shared" si="805"/>
        <v>124</v>
      </c>
      <c r="R490" s="3293">
        <f t="shared" si="805"/>
        <v>212</v>
      </c>
      <c r="S490" s="3293">
        <f t="shared" si="805"/>
        <v>187</v>
      </c>
      <c r="T490" s="3294">
        <f t="shared" si="805"/>
        <v>159</v>
      </c>
      <c r="U490" s="3295">
        <f>SUM(Q490:T490)</f>
        <v>682</v>
      </c>
      <c r="V490" s="3293">
        <f>V60-V58</f>
        <v>150</v>
      </c>
      <c r="W490" s="3293">
        <f>W60-W58</f>
        <v>167</v>
      </c>
      <c r="X490" s="3293">
        <f>X60-X58</f>
        <v>283</v>
      </c>
      <c r="Y490" s="3294">
        <f>Y60-Y58</f>
        <v>816</v>
      </c>
      <c r="Z490" s="3295">
        <f t="shared" ref="Z490:Z512" si="806">SUM(V490:Y490)</f>
        <v>1416</v>
      </c>
      <c r="AA490" s="3292">
        <f>AA60-AA58</f>
        <v>310</v>
      </c>
      <c r="AB490" s="3293">
        <f>AB60-AB58</f>
        <v>244</v>
      </c>
      <c r="AC490" s="3293">
        <f>AC60-AC58</f>
        <v>192</v>
      </c>
      <c r="AD490" s="3294">
        <f>AD60-AD58</f>
        <v>-382</v>
      </c>
      <c r="AE490" s="3296">
        <f t="shared" ref="AE490:AE512" si="807">SUM(AA490:AD490)</f>
        <v>364</v>
      </c>
      <c r="AF490" s="3681">
        <f>AF60-AF58</f>
        <v>75</v>
      </c>
      <c r="AG490" s="3681">
        <f>AG60-AG58</f>
        <v>167</v>
      </c>
      <c r="AH490" s="4034">
        <f>AH60-AH58</f>
        <v>181</v>
      </c>
      <c r="AI490" s="3682">
        <f ca="1">AI60-AI58</f>
        <v>841</v>
      </c>
      <c r="AJ490" s="3683">
        <f t="shared" ref="AJ490:AJ512" ca="1" si="808">SUM(AF490:AI490)</f>
        <v>1264</v>
      </c>
      <c r="AK490" s="3681">
        <f ca="1">AK60-AK58</f>
        <v>148.27959376912989</v>
      </c>
      <c r="AL490" s="3681">
        <f ca="1">AL60-AL58</f>
        <v>236.35132859233701</v>
      </c>
      <c r="AM490" s="3681">
        <f ca="1">AM60-AM58</f>
        <v>241.43265143574433</v>
      </c>
      <c r="AN490" s="3681">
        <f ca="1">AN60-AN58</f>
        <v>203.29851663154517</v>
      </c>
      <c r="AO490" s="3683">
        <f t="shared" ref="AO490:AO512" ca="1" si="809">SUM(AK490:AN490)</f>
        <v>829.36209042875635</v>
      </c>
      <c r="AP490" s="3684">
        <f ca="1">AP60-AP58</f>
        <v>935.28070305077483</v>
      </c>
      <c r="AQ490" s="3684">
        <f ca="1">AQ60-AQ58</f>
        <v>958.30317099416948</v>
      </c>
      <c r="AR490" s="145"/>
      <c r="AS490" s="522" t="str">
        <f t="shared" si="804"/>
        <v>Net Income</v>
      </c>
      <c r="AT490" s="633">
        <f t="shared" ref="AT490:AT500" si="810">+E490</f>
        <v>111</v>
      </c>
      <c r="AU490" s="633">
        <f t="shared" ref="AU490:AU500" si="811">+F490</f>
        <v>255</v>
      </c>
      <c r="AV490" s="633">
        <f t="shared" ref="AV490:AV500" si="812">+K490</f>
        <v>359</v>
      </c>
      <c r="AW490" s="633">
        <f t="shared" ref="AW490:AW500" si="813">+P490</f>
        <v>460</v>
      </c>
      <c r="AX490" s="633">
        <f t="shared" ref="AX490:AX500" si="814">+U490</f>
        <v>682</v>
      </c>
      <c r="AY490" s="633">
        <f t="shared" ref="AY490:AY500" si="815">+Z490</f>
        <v>1416</v>
      </c>
      <c r="AZ490" s="633">
        <f t="shared" ref="AZ490:AZ500" si="816">+AE490</f>
        <v>364</v>
      </c>
      <c r="BA490" s="633">
        <f t="shared" ref="BA490:BA500" ca="1" si="817">+AJ490</f>
        <v>1264</v>
      </c>
      <c r="BB490" s="633">
        <f t="shared" ref="BB490:BB500" ca="1" si="818">+AO490</f>
        <v>829.36209042875635</v>
      </c>
      <c r="BC490" s="633">
        <f t="shared" ref="BC490:BC500" ca="1" si="819">+AP490</f>
        <v>935.28070305077483</v>
      </c>
      <c r="BD490" s="887">
        <f t="shared" ref="BD490:BD500" ca="1" si="820">+AQ490</f>
        <v>958.30317099416948</v>
      </c>
      <c r="BF490" s="900"/>
      <c r="BM490" s="902"/>
      <c r="BN490" s="902"/>
      <c r="BO490" s="902"/>
      <c r="BP490" s="931"/>
      <c r="BQ490" s="902"/>
      <c r="BR490" s="902"/>
      <c r="BS490" s="902"/>
    </row>
    <row r="491" spans="1:71" ht="12.75" customHeight="1">
      <c r="A491" s="3297" t="s">
        <v>2198</v>
      </c>
      <c r="B491" s="3107"/>
      <c r="C491" s="3107"/>
      <c r="D491" s="3107"/>
      <c r="E491" s="3107">
        <f t="shared" ref="E491:T491" si="821">E46</f>
        <v>24</v>
      </c>
      <c r="F491" s="3107">
        <f t="shared" si="821"/>
        <v>20</v>
      </c>
      <c r="G491" s="3298">
        <f t="shared" si="821"/>
        <v>1</v>
      </c>
      <c r="H491" s="3150">
        <f t="shared" si="821"/>
        <v>15</v>
      </c>
      <c r="I491" s="3150">
        <f t="shared" si="821"/>
        <v>17</v>
      </c>
      <c r="J491" s="3299">
        <f t="shared" si="821"/>
        <v>21</v>
      </c>
      <c r="K491" s="3107">
        <f t="shared" si="821"/>
        <v>54</v>
      </c>
      <c r="L491" s="3298">
        <f t="shared" si="821"/>
        <v>0</v>
      </c>
      <c r="M491" s="3150">
        <f t="shared" si="821"/>
        <v>0</v>
      </c>
      <c r="N491" s="3150">
        <f t="shared" si="821"/>
        <v>0</v>
      </c>
      <c r="O491" s="3299">
        <f t="shared" si="821"/>
        <v>0</v>
      </c>
      <c r="P491" s="3107">
        <f t="shared" si="821"/>
        <v>0</v>
      </c>
      <c r="Q491" s="3298">
        <f t="shared" si="821"/>
        <v>0</v>
      </c>
      <c r="R491" s="3300">
        <f t="shared" si="821"/>
        <v>0</v>
      </c>
      <c r="S491" s="3150">
        <f t="shared" si="821"/>
        <v>0</v>
      </c>
      <c r="T491" s="3299">
        <f t="shared" si="821"/>
        <v>0</v>
      </c>
      <c r="U491" s="3107">
        <f t="shared" ref="U491:U512" si="822">SUM(Q491:T491)</f>
        <v>0</v>
      </c>
      <c r="V491" s="3150">
        <f>V46</f>
        <v>-145</v>
      </c>
      <c r="W491" s="3150">
        <f>W46</f>
        <v>3</v>
      </c>
      <c r="X491" s="3150">
        <f>X46</f>
        <v>-164</v>
      </c>
      <c r="Y491" s="3299">
        <f>Y46</f>
        <v>9</v>
      </c>
      <c r="Z491" s="3107">
        <f t="shared" si="806"/>
        <v>-297</v>
      </c>
      <c r="AA491" s="3298">
        <f>AA46</f>
        <v>15</v>
      </c>
      <c r="AB491" s="3150">
        <f>AB46</f>
        <v>0</v>
      </c>
      <c r="AC491" s="3150">
        <f>AC46</f>
        <v>0</v>
      </c>
      <c r="AD491" s="3147">
        <f>15-SUM(AA491:AC491)</f>
        <v>0</v>
      </c>
      <c r="AE491" s="3148">
        <f t="shared" si="807"/>
        <v>15</v>
      </c>
      <c r="AF491" s="3685">
        <f>AF46</f>
        <v>0</v>
      </c>
      <c r="AG491" s="3685">
        <f>AG46</f>
        <v>0</v>
      </c>
      <c r="AH491" s="3929">
        <f>AH46</f>
        <v>0</v>
      </c>
      <c r="AI491" s="3686">
        <f>AI46</f>
        <v>0</v>
      </c>
      <c r="AJ491" s="3687">
        <f t="shared" si="808"/>
        <v>0</v>
      </c>
      <c r="AK491" s="3685">
        <f>AK46</f>
        <v>0</v>
      </c>
      <c r="AL491" s="3685">
        <f>AL46</f>
        <v>0</v>
      </c>
      <c r="AM491" s="3685">
        <f>AM46</f>
        <v>0</v>
      </c>
      <c r="AN491" s="3685">
        <f>AN46</f>
        <v>0</v>
      </c>
      <c r="AO491" s="3687">
        <f t="shared" si="809"/>
        <v>0</v>
      </c>
      <c r="AP491" s="3688">
        <f>AP46</f>
        <v>0</v>
      </c>
      <c r="AQ491" s="3688">
        <f>AQ46</f>
        <v>0</v>
      </c>
      <c r="AR491" s="148"/>
      <c r="AS491" s="500" t="str">
        <f t="shared" si="804"/>
        <v>Impairment Losses</v>
      </c>
      <c r="AT491" s="148">
        <f t="shared" si="810"/>
        <v>24</v>
      </c>
      <c r="AU491" s="148">
        <f t="shared" si="811"/>
        <v>20</v>
      </c>
      <c r="AV491" s="148">
        <f t="shared" si="812"/>
        <v>54</v>
      </c>
      <c r="AW491" s="148">
        <f t="shared" si="813"/>
        <v>0</v>
      </c>
      <c r="AX491" s="148">
        <f t="shared" si="814"/>
        <v>0</v>
      </c>
      <c r="AY491" s="148">
        <f t="shared" si="815"/>
        <v>-297</v>
      </c>
      <c r="AZ491" s="148">
        <f t="shared" si="816"/>
        <v>15</v>
      </c>
      <c r="BA491" s="148">
        <f t="shared" si="817"/>
        <v>0</v>
      </c>
      <c r="BB491" s="148">
        <f t="shared" si="818"/>
        <v>0</v>
      </c>
      <c r="BC491" s="148">
        <f t="shared" si="819"/>
        <v>0</v>
      </c>
      <c r="BD491" s="720">
        <f t="shared" si="820"/>
        <v>0</v>
      </c>
      <c r="BF491" s="900"/>
      <c r="BM491" s="902"/>
      <c r="BN491" s="902"/>
      <c r="BO491" s="902"/>
      <c r="BP491" s="931"/>
      <c r="BQ491" s="902"/>
      <c r="BR491" s="902"/>
      <c r="BS491" s="902"/>
    </row>
    <row r="492" spans="1:71" ht="12.75" customHeight="1">
      <c r="A492" s="3297" t="s">
        <v>2306</v>
      </c>
      <c r="B492" s="3107"/>
      <c r="C492" s="3107"/>
      <c r="D492" s="3107"/>
      <c r="E492" s="3107">
        <f t="shared" ref="E492:T492" si="823">E45</f>
        <v>574</v>
      </c>
      <c r="F492" s="3107">
        <f t="shared" si="823"/>
        <v>564</v>
      </c>
      <c r="G492" s="3298">
        <f t="shared" si="823"/>
        <v>128</v>
      </c>
      <c r="H492" s="3150">
        <f t="shared" si="823"/>
        <v>131</v>
      </c>
      <c r="I492" s="3150">
        <f t="shared" si="823"/>
        <v>135</v>
      </c>
      <c r="J492" s="3299">
        <f t="shared" si="823"/>
        <v>156</v>
      </c>
      <c r="K492" s="3107">
        <f t="shared" si="823"/>
        <v>550</v>
      </c>
      <c r="L492" s="3298">
        <f t="shared" si="823"/>
        <v>160</v>
      </c>
      <c r="M492" s="3150">
        <f t="shared" si="823"/>
        <v>149</v>
      </c>
      <c r="N492" s="3150">
        <f t="shared" si="823"/>
        <v>146</v>
      </c>
      <c r="O492" s="3299">
        <f t="shared" si="823"/>
        <v>148</v>
      </c>
      <c r="P492" s="3107">
        <f t="shared" si="823"/>
        <v>603</v>
      </c>
      <c r="Q492" s="3298">
        <f t="shared" si="823"/>
        <v>153</v>
      </c>
      <c r="R492" s="3150">
        <f t="shared" si="823"/>
        <v>158</v>
      </c>
      <c r="S492" s="3150">
        <f t="shared" si="823"/>
        <v>159</v>
      </c>
      <c r="T492" s="3299">
        <f t="shared" si="823"/>
        <v>158</v>
      </c>
      <c r="U492" s="3107">
        <f t="shared" si="822"/>
        <v>628</v>
      </c>
      <c r="V492" s="3150">
        <f>V45</f>
        <v>175</v>
      </c>
      <c r="W492" s="3150">
        <f>W45</f>
        <v>173</v>
      </c>
      <c r="X492" s="3150">
        <f>X45</f>
        <v>171</v>
      </c>
      <c r="Y492" s="3299">
        <f>Y45</f>
        <v>173</v>
      </c>
      <c r="Z492" s="3107">
        <f t="shared" si="806"/>
        <v>692</v>
      </c>
      <c r="AA492" s="3298">
        <f>AA45</f>
        <v>169</v>
      </c>
      <c r="AB492" s="3150">
        <f>AB45</f>
        <v>171</v>
      </c>
      <c r="AC492" s="3150">
        <f>AC45</f>
        <v>169</v>
      </c>
      <c r="AD492" s="3299">
        <f>AD45</f>
        <v>177</v>
      </c>
      <c r="AE492" s="3148">
        <f t="shared" si="807"/>
        <v>686</v>
      </c>
      <c r="AF492" s="3685">
        <f>AF45</f>
        <v>89</v>
      </c>
      <c r="AG492" s="3685">
        <f>AG45</f>
        <v>87</v>
      </c>
      <c r="AH492" s="3929">
        <f>AH45</f>
        <v>83</v>
      </c>
      <c r="AI492" s="3686">
        <f>AI45</f>
        <v>88</v>
      </c>
      <c r="AJ492" s="3687">
        <f t="shared" si="808"/>
        <v>347</v>
      </c>
      <c r="AK492" s="3685">
        <f>AK45</f>
        <v>82</v>
      </c>
      <c r="AL492" s="3685">
        <f>AL45</f>
        <v>85.5</v>
      </c>
      <c r="AM492" s="3685">
        <f>AM45</f>
        <v>81.5</v>
      </c>
      <c r="AN492" s="3685">
        <f>AN45</f>
        <v>86.5</v>
      </c>
      <c r="AO492" s="3687">
        <f t="shared" si="809"/>
        <v>335.5</v>
      </c>
      <c r="AP492" s="3688">
        <f>AP45</f>
        <v>335.5</v>
      </c>
      <c r="AQ492" s="3688">
        <f>AQ45</f>
        <v>335.5</v>
      </c>
      <c r="AR492" s="148"/>
      <c r="AS492" s="500" t="str">
        <f t="shared" si="804"/>
        <v>Depreciation &amp; Amortization</v>
      </c>
      <c r="AT492" s="148">
        <f t="shared" si="810"/>
        <v>574</v>
      </c>
      <c r="AU492" s="148">
        <f t="shared" si="811"/>
        <v>564</v>
      </c>
      <c r="AV492" s="148">
        <f t="shared" si="812"/>
        <v>550</v>
      </c>
      <c r="AW492" s="148">
        <f t="shared" si="813"/>
        <v>603</v>
      </c>
      <c r="AX492" s="148">
        <f t="shared" si="814"/>
        <v>628</v>
      </c>
      <c r="AY492" s="148">
        <f t="shared" si="815"/>
        <v>692</v>
      </c>
      <c r="AZ492" s="148">
        <f t="shared" si="816"/>
        <v>686</v>
      </c>
      <c r="BA492" s="148">
        <f t="shared" si="817"/>
        <v>347</v>
      </c>
      <c r="BB492" s="148">
        <f t="shared" si="818"/>
        <v>335.5</v>
      </c>
      <c r="BC492" s="148">
        <f t="shared" si="819"/>
        <v>335.5</v>
      </c>
      <c r="BD492" s="720">
        <f t="shared" si="820"/>
        <v>335.5</v>
      </c>
      <c r="BF492" s="900"/>
      <c r="BM492" s="902"/>
      <c r="BN492" s="902"/>
      <c r="BO492" s="902"/>
      <c r="BP492" s="931"/>
      <c r="BQ492" s="902"/>
      <c r="BR492" s="902"/>
      <c r="BS492" s="902"/>
    </row>
    <row r="493" spans="1:71" ht="12.75" customHeight="1">
      <c r="A493" s="3287" t="s">
        <v>2199</v>
      </c>
      <c r="B493" s="3301"/>
      <c r="C493" s="3301"/>
      <c r="D493" s="3301"/>
      <c r="E493" s="3302">
        <v>12</v>
      </c>
      <c r="F493" s="3302">
        <v>145</v>
      </c>
      <c r="G493" s="3300">
        <v>0</v>
      </c>
      <c r="H493" s="3300">
        <v>2</v>
      </c>
      <c r="I493" s="3300">
        <v>-3</v>
      </c>
      <c r="J493" s="3300">
        <v>12</v>
      </c>
      <c r="K493" s="3301">
        <f>SUM(G493:J493)</f>
        <v>11</v>
      </c>
      <c r="L493" s="3147">
        <v>-1</v>
      </c>
      <c r="M493" s="3147">
        <v>-7</v>
      </c>
      <c r="N493" s="3147">
        <v>-3</v>
      </c>
      <c r="O493" s="3300">
        <f>-16-SUM(L493:N493)</f>
        <v>-5</v>
      </c>
      <c r="P493" s="3301">
        <f>SUM(L493:O493)</f>
        <v>-16</v>
      </c>
      <c r="Q493" s="3147">
        <v>-4</v>
      </c>
      <c r="R493" s="3300">
        <f>-12-Q493</f>
        <v>-8</v>
      </c>
      <c r="S493" s="3300">
        <f>-16-R493-Q493</f>
        <v>-4</v>
      </c>
      <c r="T493" s="3300">
        <f>-19-S493-R493-Q493</f>
        <v>-3</v>
      </c>
      <c r="U493" s="3107">
        <f t="shared" si="822"/>
        <v>-19</v>
      </c>
      <c r="V493" s="3147">
        <v>-4</v>
      </c>
      <c r="W493" s="3147">
        <f>-13-V493</f>
        <v>-9</v>
      </c>
      <c r="X493" s="3147">
        <f>-22-W493-V493</f>
        <v>-9</v>
      </c>
      <c r="Y493" s="3300">
        <f>-23-X493-W493-V493</f>
        <v>-1</v>
      </c>
      <c r="Z493" s="3107">
        <f t="shared" si="806"/>
        <v>-23</v>
      </c>
      <c r="AA493" s="3147">
        <v>-3</v>
      </c>
      <c r="AB493" s="3147">
        <f>-11-AA493</f>
        <v>-8</v>
      </c>
      <c r="AC493" s="3147">
        <f>+-18-SUM(AA493:AB493)</f>
        <v>-7</v>
      </c>
      <c r="AD493" s="3147">
        <f>+-8-SUM(AA493:AC493)</f>
        <v>10</v>
      </c>
      <c r="AE493" s="3148">
        <f t="shared" si="807"/>
        <v>-8</v>
      </c>
      <c r="AF493" s="3689">
        <v>0</v>
      </c>
      <c r="AG493" s="3147">
        <v>0</v>
      </c>
      <c r="AH493" s="3147">
        <v>0</v>
      </c>
      <c r="AI493" s="3147">
        <v>0</v>
      </c>
      <c r="AJ493" s="3687">
        <f t="shared" si="808"/>
        <v>0</v>
      </c>
      <c r="AK493" s="3685">
        <f t="shared" ref="AK493:AN493" si="824">AF493</f>
        <v>0</v>
      </c>
      <c r="AL493" s="3685">
        <f t="shared" si="824"/>
        <v>0</v>
      </c>
      <c r="AM493" s="3685">
        <f t="shared" si="824"/>
        <v>0</v>
      </c>
      <c r="AN493" s="3685">
        <f t="shared" si="824"/>
        <v>0</v>
      </c>
      <c r="AO493" s="3687">
        <f t="shared" si="809"/>
        <v>0</v>
      </c>
      <c r="AP493" s="3688">
        <f>AO493</f>
        <v>0</v>
      </c>
      <c r="AQ493" s="3688">
        <f>AP493</f>
        <v>0</v>
      </c>
      <c r="AR493" s="268"/>
      <c r="AS493" s="522" t="str">
        <f t="shared" si="804"/>
        <v>Equity in Losses from Unconsolidated Affiliates</v>
      </c>
      <c r="AT493" s="270">
        <f t="shared" si="810"/>
        <v>12</v>
      </c>
      <c r="AU493" s="270">
        <f t="shared" si="811"/>
        <v>145</v>
      </c>
      <c r="AV493" s="270">
        <f t="shared" si="812"/>
        <v>11</v>
      </c>
      <c r="AW493" s="270">
        <f t="shared" si="813"/>
        <v>-16</v>
      </c>
      <c r="AX493" s="270">
        <f t="shared" si="814"/>
        <v>-19</v>
      </c>
      <c r="AY493" s="270">
        <f t="shared" si="815"/>
        <v>-23</v>
      </c>
      <c r="AZ493" s="270">
        <f t="shared" si="816"/>
        <v>-8</v>
      </c>
      <c r="BA493" s="270">
        <f t="shared" si="817"/>
        <v>0</v>
      </c>
      <c r="BB493" s="270">
        <f t="shared" si="818"/>
        <v>0</v>
      </c>
      <c r="BC493" s="270">
        <f t="shared" si="819"/>
        <v>0</v>
      </c>
      <c r="BD493" s="697">
        <f t="shared" si="820"/>
        <v>0</v>
      </c>
      <c r="BF493" s="900"/>
      <c r="BM493" s="902"/>
      <c r="BN493" s="902"/>
      <c r="BO493" s="902"/>
      <c r="BP493" s="931"/>
      <c r="BQ493" s="902"/>
      <c r="BR493" s="902"/>
      <c r="BS493" s="902"/>
    </row>
    <row r="494" spans="1:71" ht="12.75" customHeight="1">
      <c r="A494" s="3287" t="s">
        <v>2200</v>
      </c>
      <c r="B494" s="3301"/>
      <c r="C494" s="3301"/>
      <c r="D494" s="3301"/>
      <c r="E494" s="3301">
        <f t="shared" ref="E494:J494" si="825">E113</f>
        <v>-18</v>
      </c>
      <c r="F494" s="3301">
        <f t="shared" si="825"/>
        <v>21</v>
      </c>
      <c r="G494" s="3303">
        <f t="shared" si="825"/>
        <v>-30</v>
      </c>
      <c r="H494" s="3304">
        <f t="shared" si="825"/>
        <v>29</v>
      </c>
      <c r="I494" s="3304">
        <f t="shared" si="825"/>
        <v>-26</v>
      </c>
      <c r="J494" s="3304">
        <f t="shared" si="825"/>
        <v>4</v>
      </c>
      <c r="K494" s="3301">
        <f t="shared" ref="K494:K511" si="826">SUM(G494:J494)</f>
        <v>-23</v>
      </c>
      <c r="L494" s="3303">
        <f>L113</f>
        <v>43</v>
      </c>
      <c r="M494" s="3304">
        <f>M113</f>
        <v>39</v>
      </c>
      <c r="N494" s="3304">
        <f>N113</f>
        <v>-39</v>
      </c>
      <c r="O494" s="3304">
        <f>O113</f>
        <v>2</v>
      </c>
      <c r="P494" s="3301">
        <f t="shared" ref="P494:P511" si="827">SUM(L494:O494)</f>
        <v>45</v>
      </c>
      <c r="Q494" s="3300">
        <f>Q113</f>
        <v>-14</v>
      </c>
      <c r="R494" s="3300">
        <f>-46-Q494</f>
        <v>-32</v>
      </c>
      <c r="S494" s="3300">
        <f>-41-R494-Q494</f>
        <v>5</v>
      </c>
      <c r="T494" s="3300">
        <f>-26-S494-R494-Q494</f>
        <v>15</v>
      </c>
      <c r="U494" s="3301">
        <f t="shared" si="822"/>
        <v>-26</v>
      </c>
      <c r="V494" s="3300">
        <f>V113</f>
        <v>18</v>
      </c>
      <c r="W494" s="3147">
        <f>13-V494</f>
        <v>-5</v>
      </c>
      <c r="X494" s="3147">
        <f>21-W494-V494</f>
        <v>8</v>
      </c>
      <c r="Y494" s="3300">
        <f>41-X494-W494-V494</f>
        <v>20</v>
      </c>
      <c r="Z494" s="3301">
        <f t="shared" si="806"/>
        <v>41</v>
      </c>
      <c r="AA494" s="3300">
        <f>AA113</f>
        <v>12</v>
      </c>
      <c r="AB494" s="3147">
        <f>25-AA494</f>
        <v>13</v>
      </c>
      <c r="AC494" s="3147">
        <f>33-SUM(AA494:AB494)</f>
        <v>8</v>
      </c>
      <c r="AD494" s="3147">
        <f>13-SUM(AA494:AC494)</f>
        <v>-20</v>
      </c>
      <c r="AE494" s="3306">
        <f t="shared" si="807"/>
        <v>13</v>
      </c>
      <c r="AF494" s="3690">
        <v>4</v>
      </c>
      <c r="AG494" s="3147">
        <f>-1-AF494</f>
        <v>-5</v>
      </c>
      <c r="AH494" s="3147">
        <f>-3-AG494-AF494</f>
        <v>-2</v>
      </c>
      <c r="AI494" s="3692">
        <f>AI113</f>
        <v>0</v>
      </c>
      <c r="AJ494" s="3693">
        <f t="shared" si="808"/>
        <v>-3</v>
      </c>
      <c r="AK494" s="3691">
        <f t="shared" ref="AK494:AN495" si="828">AK113</f>
        <v>0</v>
      </c>
      <c r="AL494" s="3691">
        <f t="shared" si="828"/>
        <v>0</v>
      </c>
      <c r="AM494" s="3691">
        <f t="shared" si="828"/>
        <v>0</v>
      </c>
      <c r="AN494" s="3691">
        <f t="shared" si="828"/>
        <v>0</v>
      </c>
      <c r="AO494" s="3693">
        <f t="shared" si="809"/>
        <v>0</v>
      </c>
      <c r="AP494" s="3694">
        <f>AP113</f>
        <v>0</v>
      </c>
      <c r="AQ494" s="3694">
        <f>AQ113</f>
        <v>0</v>
      </c>
      <c r="AR494" s="268"/>
      <c r="AS494" s="522" t="str">
        <f t="shared" si="804"/>
        <v>Loss (gain) on Foreign Currency Transactions</v>
      </c>
      <c r="AT494" s="270">
        <f t="shared" si="810"/>
        <v>-18</v>
      </c>
      <c r="AU494" s="270">
        <f t="shared" si="811"/>
        <v>21</v>
      </c>
      <c r="AV494" s="270">
        <f t="shared" si="812"/>
        <v>-23</v>
      </c>
      <c r="AW494" s="270">
        <f t="shared" si="813"/>
        <v>45</v>
      </c>
      <c r="AX494" s="270">
        <f t="shared" si="814"/>
        <v>-26</v>
      </c>
      <c r="AY494" s="270">
        <f t="shared" si="815"/>
        <v>41</v>
      </c>
      <c r="AZ494" s="270">
        <f t="shared" si="816"/>
        <v>13</v>
      </c>
      <c r="BA494" s="270">
        <f t="shared" si="817"/>
        <v>-3</v>
      </c>
      <c r="BB494" s="270">
        <f t="shared" si="818"/>
        <v>0</v>
      </c>
      <c r="BC494" s="270">
        <f t="shared" si="819"/>
        <v>0</v>
      </c>
      <c r="BD494" s="697">
        <f t="shared" si="820"/>
        <v>0</v>
      </c>
      <c r="BF494" s="900"/>
      <c r="BM494" s="902"/>
      <c r="BN494" s="902"/>
      <c r="BO494" s="902"/>
      <c r="BP494" s="931"/>
      <c r="BQ494" s="902"/>
      <c r="BR494" s="902"/>
      <c r="BS494" s="902"/>
    </row>
    <row r="495" spans="1:71" ht="12.75" customHeight="1">
      <c r="A495" s="3287" t="s">
        <v>2201</v>
      </c>
      <c r="B495" s="3301"/>
      <c r="C495" s="3301"/>
      <c r="D495" s="3301"/>
      <c r="E495" s="3301">
        <f>E114</f>
        <v>-789</v>
      </c>
      <c r="F495" s="3301">
        <f>F114</f>
        <v>0</v>
      </c>
      <c r="G495" s="3300"/>
      <c r="H495" s="3304"/>
      <c r="I495" s="3304"/>
      <c r="J495" s="3304"/>
      <c r="K495" s="3301">
        <f t="shared" si="826"/>
        <v>0</v>
      </c>
      <c r="L495" s="3304">
        <v>0</v>
      </c>
      <c r="M495" s="3304">
        <v>0</v>
      </c>
      <c r="N495" s="3304">
        <v>0</v>
      </c>
      <c r="O495" s="3304">
        <f>-229-SUM(L495:N495)</f>
        <v>-229</v>
      </c>
      <c r="P495" s="3301">
        <f t="shared" si="827"/>
        <v>-229</v>
      </c>
      <c r="Q495" s="3304">
        <v>0</v>
      </c>
      <c r="R495" s="3300">
        <v>0</v>
      </c>
      <c r="S495" s="3304">
        <v>0</v>
      </c>
      <c r="T495" s="3300">
        <f>0-S495-R495-Q495</f>
        <v>0</v>
      </c>
      <c r="U495" s="3301">
        <f t="shared" si="822"/>
        <v>0</v>
      </c>
      <c r="V495" s="3304">
        <v>0</v>
      </c>
      <c r="W495" s="3147">
        <v>0</v>
      </c>
      <c r="X495" s="3147">
        <f>0-W495-V495</f>
        <v>0</v>
      </c>
      <c r="Y495" s="3300">
        <f>0-X495-W495-V495</f>
        <v>0</v>
      </c>
      <c r="Z495" s="3301">
        <f t="shared" si="806"/>
        <v>0</v>
      </c>
      <c r="AA495" s="3304">
        <v>0</v>
      </c>
      <c r="AB495" s="3147">
        <v>0</v>
      </c>
      <c r="AC495" s="3147">
        <v>0</v>
      </c>
      <c r="AD495" s="3147">
        <v>0</v>
      </c>
      <c r="AE495" s="3306">
        <f t="shared" si="807"/>
        <v>0</v>
      </c>
      <c r="AF495" s="3691">
        <f>AF114</f>
        <v>0</v>
      </c>
      <c r="AG495" s="3147">
        <v>0</v>
      </c>
      <c r="AH495" s="3147">
        <v>0</v>
      </c>
      <c r="AI495" s="3692">
        <f>AI114</f>
        <v>0</v>
      </c>
      <c r="AJ495" s="3693">
        <f t="shared" si="808"/>
        <v>0</v>
      </c>
      <c r="AK495" s="3691">
        <f t="shared" si="828"/>
        <v>0</v>
      </c>
      <c r="AL495" s="3691">
        <f t="shared" si="828"/>
        <v>0</v>
      </c>
      <c r="AM495" s="3691">
        <f t="shared" si="828"/>
        <v>0</v>
      </c>
      <c r="AN495" s="3691">
        <f t="shared" si="828"/>
        <v>0</v>
      </c>
      <c r="AO495" s="3693">
        <f t="shared" si="809"/>
        <v>0</v>
      </c>
      <c r="AP495" s="3694">
        <f>AP114</f>
        <v>0</v>
      </c>
      <c r="AQ495" s="3694">
        <f>AQ114</f>
        <v>0</v>
      </c>
      <c r="AR495" s="270"/>
      <c r="AS495" s="522" t="str">
        <f t="shared" si="804"/>
        <v>Gain on Debt Restructuring</v>
      </c>
      <c r="AT495" s="270">
        <f t="shared" si="810"/>
        <v>-789</v>
      </c>
      <c r="AU495" s="270">
        <f t="shared" si="811"/>
        <v>0</v>
      </c>
      <c r="AV495" s="270">
        <f t="shared" si="812"/>
        <v>0</v>
      </c>
      <c r="AW495" s="270">
        <f t="shared" si="813"/>
        <v>-229</v>
      </c>
      <c r="AX495" s="270">
        <f t="shared" si="814"/>
        <v>0</v>
      </c>
      <c r="AY495" s="270">
        <f t="shared" si="815"/>
        <v>0</v>
      </c>
      <c r="AZ495" s="270">
        <f t="shared" si="816"/>
        <v>0</v>
      </c>
      <c r="BA495" s="270">
        <f t="shared" si="817"/>
        <v>0</v>
      </c>
      <c r="BB495" s="270">
        <f t="shared" si="818"/>
        <v>0</v>
      </c>
      <c r="BC495" s="270">
        <f t="shared" si="819"/>
        <v>0</v>
      </c>
      <c r="BD495" s="697">
        <f t="shared" si="820"/>
        <v>0</v>
      </c>
      <c r="BF495" s="900"/>
      <c r="BM495" s="902"/>
      <c r="BN495" s="902"/>
      <c r="BO495" s="902"/>
      <c r="BP495" s="931"/>
      <c r="BQ495" s="902"/>
      <c r="BR495" s="902"/>
      <c r="BS495" s="902"/>
    </row>
    <row r="496" spans="1:71" ht="12.75" customHeight="1">
      <c r="A496" s="3287" t="s">
        <v>2202</v>
      </c>
      <c r="B496" s="3301"/>
      <c r="C496" s="3301"/>
      <c r="D496" s="3301"/>
      <c r="E496" s="3301">
        <f>E119</f>
        <v>-8</v>
      </c>
      <c r="F496" s="3301">
        <f>F119</f>
        <v>-19</v>
      </c>
      <c r="G496" s="3300">
        <v>-3</v>
      </c>
      <c r="H496" s="3300">
        <v>-6</v>
      </c>
      <c r="I496" s="3300">
        <v>1</v>
      </c>
      <c r="J496" s="3300">
        <v>-7</v>
      </c>
      <c r="K496" s="3301">
        <f t="shared" si="826"/>
        <v>-15</v>
      </c>
      <c r="L496" s="3300">
        <v>-7</v>
      </c>
      <c r="M496" s="3300">
        <v>1</v>
      </c>
      <c r="N496" s="3300">
        <v>1</v>
      </c>
      <c r="O496" s="3300">
        <f>-7-SUM(L496:N496)</f>
        <v>-2</v>
      </c>
      <c r="P496" s="3301">
        <f t="shared" si="827"/>
        <v>-7</v>
      </c>
      <c r="Q496" s="3300">
        <v>-3</v>
      </c>
      <c r="R496" s="3300">
        <f>-14-Q496</f>
        <v>-11</v>
      </c>
      <c r="S496" s="3300">
        <f>-38-R496-Q496</f>
        <v>-24</v>
      </c>
      <c r="T496" s="3300">
        <f>-37-S496-R496-Q496</f>
        <v>1</v>
      </c>
      <c r="U496" s="3301">
        <f t="shared" si="822"/>
        <v>-37</v>
      </c>
      <c r="V496" s="3300">
        <v>25</v>
      </c>
      <c r="W496" s="3147">
        <f>7-V496</f>
        <v>-18</v>
      </c>
      <c r="X496" s="3147">
        <f>6-W496-V496</f>
        <v>-1</v>
      </c>
      <c r="Y496" s="3300">
        <f>1-X496-W496-V496</f>
        <v>-5</v>
      </c>
      <c r="Z496" s="3301">
        <f t="shared" si="806"/>
        <v>1</v>
      </c>
      <c r="AA496" s="3300">
        <v>0</v>
      </c>
      <c r="AB496" s="3147">
        <f>5-2-AA496</f>
        <v>3</v>
      </c>
      <c r="AC496" s="3147">
        <f>15-2-SUM(AA496:AB496)</f>
        <v>10</v>
      </c>
      <c r="AD496" s="3147">
        <f>26-9-SUM(AA496:AC496)</f>
        <v>4</v>
      </c>
      <c r="AE496" s="3306">
        <f t="shared" si="807"/>
        <v>17</v>
      </c>
      <c r="AF496" s="3690">
        <v>60</v>
      </c>
      <c r="AG496" s="3147">
        <f>60-AF496</f>
        <v>0</v>
      </c>
      <c r="AH496" s="3147">
        <f>60-AG496-AF496</f>
        <v>0</v>
      </c>
      <c r="AI496" s="3692">
        <f>AI119</f>
        <v>0</v>
      </c>
      <c r="AJ496" s="3693">
        <f t="shared" si="808"/>
        <v>60</v>
      </c>
      <c r="AK496" s="3691">
        <f>AK119</f>
        <v>0</v>
      </c>
      <c r="AL496" s="3691">
        <f>AL119</f>
        <v>0</v>
      </c>
      <c r="AM496" s="3691">
        <f>AM119</f>
        <v>0</v>
      </c>
      <c r="AN496" s="3691">
        <f>AN119</f>
        <v>0</v>
      </c>
      <c r="AO496" s="3693">
        <f t="shared" si="809"/>
        <v>0</v>
      </c>
      <c r="AP496" s="3694">
        <f>AP119</f>
        <v>0</v>
      </c>
      <c r="AQ496" s="3694">
        <f>AQ119</f>
        <v>0</v>
      </c>
      <c r="AR496" s="270"/>
      <c r="AS496" s="522" t="str">
        <f t="shared" si="804"/>
        <v>Other Gain, net</v>
      </c>
      <c r="AT496" s="270">
        <f t="shared" si="810"/>
        <v>-8</v>
      </c>
      <c r="AU496" s="270">
        <f t="shared" si="811"/>
        <v>-19</v>
      </c>
      <c r="AV496" s="270">
        <f t="shared" si="812"/>
        <v>-15</v>
      </c>
      <c r="AW496" s="270">
        <f t="shared" si="813"/>
        <v>-7</v>
      </c>
      <c r="AX496" s="270">
        <f t="shared" si="814"/>
        <v>-37</v>
      </c>
      <c r="AY496" s="270">
        <f t="shared" si="815"/>
        <v>1</v>
      </c>
      <c r="AZ496" s="270">
        <f t="shared" si="816"/>
        <v>17</v>
      </c>
      <c r="BA496" s="270">
        <f t="shared" si="817"/>
        <v>60</v>
      </c>
      <c r="BB496" s="270">
        <f t="shared" si="818"/>
        <v>0</v>
      </c>
      <c r="BC496" s="270">
        <f t="shared" si="819"/>
        <v>0</v>
      </c>
      <c r="BD496" s="697">
        <f t="shared" si="820"/>
        <v>0</v>
      </c>
      <c r="BF496" s="900"/>
      <c r="BM496" s="902"/>
      <c r="BN496" s="902"/>
      <c r="BO496" s="902"/>
      <c r="BP496" s="931"/>
      <c r="BQ496" s="902"/>
      <c r="BR496" s="902"/>
      <c r="BS496" s="902"/>
    </row>
    <row r="497" spans="1:71" ht="12.75" customHeight="1">
      <c r="A497" s="3287" t="s">
        <v>2203</v>
      </c>
      <c r="B497" s="3301"/>
      <c r="C497" s="3301"/>
      <c r="D497" s="3301"/>
      <c r="E497" s="3301">
        <f>E116</f>
        <v>56</v>
      </c>
      <c r="F497" s="3301">
        <f>F116</f>
        <v>19</v>
      </c>
      <c r="G497" s="3300">
        <v>15</v>
      </c>
      <c r="H497" s="3300">
        <v>2</v>
      </c>
      <c r="I497" s="3300">
        <v>3</v>
      </c>
      <c r="J497" s="3300">
        <v>30</v>
      </c>
      <c r="K497" s="3301">
        <f t="shared" si="826"/>
        <v>50</v>
      </c>
      <c r="L497" s="3300">
        <v>2</v>
      </c>
      <c r="M497" s="3300">
        <v>1</v>
      </c>
      <c r="N497" s="3300">
        <v>2</v>
      </c>
      <c r="O497" s="3300">
        <f>262-SUM(L497:N497)</f>
        <v>257</v>
      </c>
      <c r="P497" s="3301">
        <f t="shared" si="827"/>
        <v>262</v>
      </c>
      <c r="Q497" s="3300">
        <v>19</v>
      </c>
      <c r="R497" s="3300">
        <f>41-Q497</f>
        <v>22</v>
      </c>
      <c r="S497" s="3300">
        <f>57-R497-Q497</f>
        <v>16</v>
      </c>
      <c r="T497" s="3300">
        <f>78-S497-R497-Q497</f>
        <v>21</v>
      </c>
      <c r="U497" s="3301">
        <f t="shared" si="822"/>
        <v>78</v>
      </c>
      <c r="V497" s="3300">
        <v>19</v>
      </c>
      <c r="W497" s="3147">
        <f>100-V497</f>
        <v>81</v>
      </c>
      <c r="X497" s="3147">
        <f>114-W497-V497</f>
        <v>14</v>
      </c>
      <c r="Y497" s="3300">
        <f>124-X497-W497-V497</f>
        <v>10</v>
      </c>
      <c r="Z497" s="3301">
        <f t="shared" si="806"/>
        <v>124</v>
      </c>
      <c r="AA497" s="3300">
        <v>11</v>
      </c>
      <c r="AB497" s="3147">
        <f>27-AA497</f>
        <v>16</v>
      </c>
      <c r="AC497" s="3147">
        <f>50-SUM(AA497:AB497)</f>
        <v>23</v>
      </c>
      <c r="AD497" s="3147">
        <f>65-SUM(AA497:AC497)</f>
        <v>15</v>
      </c>
      <c r="AE497" s="3306">
        <f t="shared" si="807"/>
        <v>65</v>
      </c>
      <c r="AF497" s="3690">
        <v>15</v>
      </c>
      <c r="AG497" s="3147">
        <f>36-AF497</f>
        <v>21</v>
      </c>
      <c r="AH497" s="3147">
        <f>56-AG497-AF497</f>
        <v>20</v>
      </c>
      <c r="AI497" s="3692">
        <f>AI116</f>
        <v>30</v>
      </c>
      <c r="AJ497" s="3693">
        <f t="shared" si="808"/>
        <v>86</v>
      </c>
      <c r="AK497" s="3691">
        <f>AK116</f>
        <v>26</v>
      </c>
      <c r="AL497" s="3691">
        <f>AL116</f>
        <v>33</v>
      </c>
      <c r="AM497" s="3691">
        <f>AM116</f>
        <v>31</v>
      </c>
      <c r="AN497" s="3691">
        <f>AN116</f>
        <v>30</v>
      </c>
      <c r="AO497" s="3693">
        <f t="shared" si="809"/>
        <v>120</v>
      </c>
      <c r="AP497" s="3694">
        <f>AP116</f>
        <v>120</v>
      </c>
      <c r="AQ497" s="3694">
        <f>AQ116</f>
        <v>120</v>
      </c>
      <c r="AR497" s="270"/>
      <c r="AS497" s="522" t="str">
        <f t="shared" si="804"/>
        <v>Share-based Compensation</v>
      </c>
      <c r="AT497" s="270">
        <f t="shared" si="810"/>
        <v>56</v>
      </c>
      <c r="AU497" s="270">
        <f t="shared" si="811"/>
        <v>19</v>
      </c>
      <c r="AV497" s="270">
        <f t="shared" si="812"/>
        <v>50</v>
      </c>
      <c r="AW497" s="270">
        <f t="shared" si="813"/>
        <v>262</v>
      </c>
      <c r="AX497" s="270">
        <f t="shared" si="814"/>
        <v>78</v>
      </c>
      <c r="AY497" s="270">
        <f t="shared" si="815"/>
        <v>124</v>
      </c>
      <c r="AZ497" s="270">
        <f t="shared" si="816"/>
        <v>65</v>
      </c>
      <c r="BA497" s="270">
        <f t="shared" si="817"/>
        <v>86</v>
      </c>
      <c r="BB497" s="270">
        <f t="shared" si="818"/>
        <v>120</v>
      </c>
      <c r="BC497" s="270">
        <f t="shared" si="819"/>
        <v>120</v>
      </c>
      <c r="BD497" s="697">
        <f t="shared" si="820"/>
        <v>120</v>
      </c>
      <c r="BF497" s="900"/>
      <c r="BM497" s="902"/>
      <c r="BN497" s="902"/>
      <c r="BO497" s="902"/>
      <c r="BP497" s="931"/>
      <c r="BQ497" s="902"/>
      <c r="BR497" s="902"/>
      <c r="BS497" s="902"/>
    </row>
    <row r="498" spans="1:71" ht="12.75" customHeight="1">
      <c r="A498" s="3297" t="s">
        <v>2204</v>
      </c>
      <c r="B498" s="3301"/>
      <c r="C498" s="3301"/>
      <c r="D498" s="3301"/>
      <c r="E498" s="3143">
        <v>31</v>
      </c>
      <c r="F498" s="3143">
        <v>6</v>
      </c>
      <c r="G498" s="3147">
        <v>0</v>
      </c>
      <c r="H498" s="3147">
        <v>0</v>
      </c>
      <c r="I498" s="3147">
        <v>0</v>
      </c>
      <c r="J498" s="3147">
        <v>0</v>
      </c>
      <c r="K498" s="3301">
        <f t="shared" si="826"/>
        <v>0</v>
      </c>
      <c r="L498" s="3147">
        <v>0</v>
      </c>
      <c r="M498" s="3147">
        <v>0</v>
      </c>
      <c r="N498" s="3147">
        <v>0</v>
      </c>
      <c r="O498" s="3147">
        <f>25-SUM(L498:N498)</f>
        <v>25</v>
      </c>
      <c r="P498" s="3301">
        <f t="shared" si="827"/>
        <v>25</v>
      </c>
      <c r="Q498" s="3147">
        <v>0</v>
      </c>
      <c r="R498" s="3300">
        <v>0</v>
      </c>
      <c r="S498" s="3147">
        <f>R498</f>
        <v>0</v>
      </c>
      <c r="T498" s="3300">
        <f>50-S498-R498-Q498</f>
        <v>50</v>
      </c>
      <c r="U498" s="3107">
        <f>SUM(Q498:T498)</f>
        <v>50</v>
      </c>
      <c r="V498" s="3147">
        <v>0</v>
      </c>
      <c r="W498" s="3147">
        <v>0</v>
      </c>
      <c r="X498" s="3147">
        <f>0-W498-V498</f>
        <v>0</v>
      </c>
      <c r="Y498" s="3300">
        <f>38-X498-W498-V498</f>
        <v>38</v>
      </c>
      <c r="Z498" s="3107">
        <f t="shared" si="806"/>
        <v>38</v>
      </c>
      <c r="AA498" s="3147">
        <v>0</v>
      </c>
      <c r="AB498" s="3147">
        <v>0</v>
      </c>
      <c r="AC498" s="3147">
        <v>0</v>
      </c>
      <c r="AD498" s="3307">
        <v>32</v>
      </c>
      <c r="AE498" s="3306">
        <f t="shared" si="807"/>
        <v>32</v>
      </c>
      <c r="AF498" s="3695">
        <v>0</v>
      </c>
      <c r="AG498" s="3147">
        <v>0</v>
      </c>
      <c r="AH498" s="3147">
        <v>0</v>
      </c>
      <c r="AI498" s="3696">
        <v>0</v>
      </c>
      <c r="AJ498" s="3693">
        <f t="shared" si="808"/>
        <v>0</v>
      </c>
      <c r="AK498" s="3695">
        <v>0</v>
      </c>
      <c r="AL498" s="3695">
        <v>0</v>
      </c>
      <c r="AM498" s="3695">
        <v>0</v>
      </c>
      <c r="AN498" s="3695">
        <v>0</v>
      </c>
      <c r="AO498" s="3693">
        <f t="shared" si="809"/>
        <v>0</v>
      </c>
      <c r="AP498" s="3694">
        <v>0</v>
      </c>
      <c r="AQ498" s="3697">
        <v>0</v>
      </c>
      <c r="AR498" s="148"/>
      <c r="AS498" s="500" t="str">
        <f t="shared" si="804"/>
        <v>Amortization of Deferred Financing Costs and Other</v>
      </c>
      <c r="AT498" s="148">
        <f t="shared" si="810"/>
        <v>31</v>
      </c>
      <c r="AU498" s="148">
        <f t="shared" si="811"/>
        <v>6</v>
      </c>
      <c r="AV498" s="148">
        <f t="shared" si="812"/>
        <v>0</v>
      </c>
      <c r="AW498" s="148">
        <f t="shared" si="813"/>
        <v>25</v>
      </c>
      <c r="AX498" s="148">
        <f t="shared" si="814"/>
        <v>50</v>
      </c>
      <c r="AY498" s="148">
        <f t="shared" si="815"/>
        <v>38</v>
      </c>
      <c r="AZ498" s="148">
        <f t="shared" si="816"/>
        <v>32</v>
      </c>
      <c r="BA498" s="148">
        <f t="shared" si="817"/>
        <v>0</v>
      </c>
      <c r="BB498" s="148">
        <f t="shared" si="818"/>
        <v>0</v>
      </c>
      <c r="BC498" s="148">
        <f t="shared" si="819"/>
        <v>0</v>
      </c>
      <c r="BD498" s="720">
        <f t="shared" si="820"/>
        <v>0</v>
      </c>
      <c r="BF498" s="900"/>
      <c r="BM498" s="902"/>
      <c r="BN498" s="902"/>
      <c r="BO498" s="902"/>
      <c r="BP498" s="931"/>
      <c r="BQ498" s="902"/>
      <c r="BR498" s="902"/>
      <c r="BS498" s="902"/>
    </row>
    <row r="499" spans="1:71" ht="12.75" customHeight="1">
      <c r="A499" s="3287" t="s">
        <v>2205</v>
      </c>
      <c r="B499" s="3301"/>
      <c r="C499" s="3301"/>
      <c r="D499" s="3301"/>
      <c r="E499" s="3302">
        <v>18</v>
      </c>
      <c r="F499" s="3302">
        <v>13</v>
      </c>
      <c r="G499" s="3300">
        <v>4</v>
      </c>
      <c r="H499" s="3300">
        <v>16</v>
      </c>
      <c r="I499" s="3300">
        <v>5</v>
      </c>
      <c r="J499" s="3300">
        <v>6</v>
      </c>
      <c r="K499" s="3301">
        <f t="shared" si="826"/>
        <v>31</v>
      </c>
      <c r="L499" s="3300">
        <v>7</v>
      </c>
      <c r="M499" s="3300">
        <v>3</v>
      </c>
      <c r="N499" s="3300">
        <v>8</v>
      </c>
      <c r="O499" s="3300">
        <f>27-SUM(L499:N499)</f>
        <v>9</v>
      </c>
      <c r="P499" s="3301">
        <f t="shared" si="827"/>
        <v>27</v>
      </c>
      <c r="Q499" s="3300">
        <v>2</v>
      </c>
      <c r="R499" s="3300">
        <f>11-Q499</f>
        <v>9</v>
      </c>
      <c r="S499" s="3300">
        <f>20-R499-Q499</f>
        <v>9</v>
      </c>
      <c r="T499" s="3300">
        <f>22-S499-R499-Q499</f>
        <v>2</v>
      </c>
      <c r="U499" s="3107">
        <f t="shared" si="822"/>
        <v>22</v>
      </c>
      <c r="V499" s="3300">
        <v>12</v>
      </c>
      <c r="W499" s="3147">
        <f>20-V499</f>
        <v>8</v>
      </c>
      <c r="X499" s="3147">
        <f>22-W499-V499</f>
        <v>2</v>
      </c>
      <c r="Y499" s="3300">
        <f>26-X499-W499-V499</f>
        <v>4</v>
      </c>
      <c r="Z499" s="3107">
        <f t="shared" si="806"/>
        <v>26</v>
      </c>
      <c r="AA499" s="3300">
        <v>5</v>
      </c>
      <c r="AB499" s="3147">
        <f>11-AA499</f>
        <v>6</v>
      </c>
      <c r="AC499" s="3147">
        <f>15-SUM(AA499:AB499)</f>
        <v>4</v>
      </c>
      <c r="AD499" s="3147">
        <f>22-SUM(AA499:AC499)</f>
        <v>7</v>
      </c>
      <c r="AE499" s="3306">
        <f t="shared" si="807"/>
        <v>22</v>
      </c>
      <c r="AF499" s="3695">
        <v>0</v>
      </c>
      <c r="AG499" s="3147">
        <v>0</v>
      </c>
      <c r="AH499" s="3147">
        <v>0</v>
      </c>
      <c r="AI499" s="3696">
        <v>0</v>
      </c>
      <c r="AJ499" s="3693">
        <f t="shared" si="808"/>
        <v>0</v>
      </c>
      <c r="AK499" s="3695">
        <v>0</v>
      </c>
      <c r="AL499" s="3695">
        <v>0</v>
      </c>
      <c r="AM499" s="3695">
        <v>0</v>
      </c>
      <c r="AN499" s="3695">
        <v>0</v>
      </c>
      <c r="AO499" s="3693">
        <f t="shared" si="809"/>
        <v>0</v>
      </c>
      <c r="AP499" s="3694">
        <v>0</v>
      </c>
      <c r="AQ499" s="3697">
        <v>0</v>
      </c>
      <c r="AR499" s="268"/>
      <c r="AS499" s="522" t="str">
        <f t="shared" si="804"/>
        <v>Distributions from Unconsolidated Affiliates</v>
      </c>
      <c r="AT499" s="270">
        <f t="shared" si="810"/>
        <v>18</v>
      </c>
      <c r="AU499" s="270">
        <f t="shared" si="811"/>
        <v>13</v>
      </c>
      <c r="AV499" s="270">
        <f t="shared" si="812"/>
        <v>31</v>
      </c>
      <c r="AW499" s="270">
        <f t="shared" si="813"/>
        <v>27</v>
      </c>
      <c r="AX499" s="270">
        <f t="shared" si="814"/>
        <v>22</v>
      </c>
      <c r="AY499" s="270">
        <f t="shared" si="815"/>
        <v>26</v>
      </c>
      <c r="AZ499" s="270">
        <f t="shared" si="816"/>
        <v>22</v>
      </c>
      <c r="BA499" s="270">
        <f t="shared" si="817"/>
        <v>0</v>
      </c>
      <c r="BB499" s="270">
        <f t="shared" si="818"/>
        <v>0</v>
      </c>
      <c r="BC499" s="270">
        <f t="shared" si="819"/>
        <v>0</v>
      </c>
      <c r="BD499" s="697">
        <f t="shared" si="820"/>
        <v>0</v>
      </c>
      <c r="BF499" s="900"/>
      <c r="BM499" s="902"/>
      <c r="BN499" s="902"/>
      <c r="BO499" s="902"/>
      <c r="BP499" s="931"/>
      <c r="BQ499" s="902"/>
      <c r="BR499" s="902"/>
      <c r="BS499" s="902"/>
    </row>
    <row r="500" spans="1:71" ht="12.75" customHeight="1">
      <c r="A500" s="3287" t="s">
        <v>80</v>
      </c>
      <c r="B500" s="3301"/>
      <c r="C500" s="3301"/>
      <c r="D500" s="3301"/>
      <c r="E500" s="3302">
        <v>18</v>
      </c>
      <c r="F500" s="3302">
        <v>-187</v>
      </c>
      <c r="G500" s="3300">
        <v>18</v>
      </c>
      <c r="H500" s="3300">
        <v>16</v>
      </c>
      <c r="I500" s="3300">
        <v>-38</v>
      </c>
      <c r="J500" s="3300">
        <v>77</v>
      </c>
      <c r="K500" s="3301">
        <f t="shared" si="826"/>
        <v>73</v>
      </c>
      <c r="L500" s="3300">
        <v>7</v>
      </c>
      <c r="M500" s="3300">
        <v>18</v>
      </c>
      <c r="N500" s="3300">
        <v>41</v>
      </c>
      <c r="O500" s="3300">
        <f>65-SUM(L500:N500)</f>
        <v>-1</v>
      </c>
      <c r="P500" s="3301">
        <f t="shared" si="827"/>
        <v>65</v>
      </c>
      <c r="Q500" s="3300">
        <v>-52</v>
      </c>
      <c r="R500" s="3300">
        <f>-42-Q500</f>
        <v>10</v>
      </c>
      <c r="S500" s="3300">
        <f>-62-R500-Q500</f>
        <v>-20</v>
      </c>
      <c r="T500" s="3300">
        <f>14-S500-R500-Q500</f>
        <v>76</v>
      </c>
      <c r="U500" s="3301">
        <f t="shared" si="822"/>
        <v>14</v>
      </c>
      <c r="V500" s="3300">
        <v>40</v>
      </c>
      <c r="W500" s="3147">
        <f>10-V500</f>
        <v>-30</v>
      </c>
      <c r="X500" s="3147">
        <f>34-W500-V500</f>
        <v>24</v>
      </c>
      <c r="Y500" s="3300">
        <f>-479-X500-W500-V500</f>
        <v>-513</v>
      </c>
      <c r="Z500" s="3301">
        <f t="shared" si="806"/>
        <v>-479</v>
      </c>
      <c r="AA500" s="3300">
        <v>-32</v>
      </c>
      <c r="AB500" s="3147">
        <f>-100-AA500</f>
        <v>-68</v>
      </c>
      <c r="AC500" s="3147">
        <f>+-147-SUM(AA500:AB500)</f>
        <v>-47</v>
      </c>
      <c r="AD500" s="3147">
        <f>-79-SUM(AA500:AC500)</f>
        <v>68</v>
      </c>
      <c r="AE500" s="3306">
        <f t="shared" si="807"/>
        <v>-79</v>
      </c>
      <c r="AF500" s="3695">
        <v>-51</v>
      </c>
      <c r="AG500" s="3147">
        <f>-98-AF500</f>
        <v>-47</v>
      </c>
      <c r="AH500" s="3147">
        <f>-123-AG500-AF500</f>
        <v>-25</v>
      </c>
      <c r="AI500" s="3696">
        <f ca="1">-AI121*0.26-AI57</f>
        <v>-714.48</v>
      </c>
      <c r="AJ500" s="3693">
        <f t="shared" ca="1" si="808"/>
        <v>-837.48</v>
      </c>
      <c r="AK500" s="3695">
        <f ca="1">-AK121*0.2-AK57</f>
        <v>-24.316532656025792</v>
      </c>
      <c r="AL500" s="3695">
        <f ca="1">-AL121*0.2-AL57</f>
        <v>-15.945634931957287</v>
      </c>
      <c r="AM500" s="3695">
        <f ca="1">-AM121*0.2-AM57</f>
        <v>-14.394648585609886</v>
      </c>
      <c r="AN500" s="3695">
        <f ca="1">-AN121*0.2-AN57</f>
        <v>-20.321677997409779</v>
      </c>
      <c r="AO500" s="3693">
        <f t="shared" ca="1" si="809"/>
        <v>-74.978494171002751</v>
      </c>
      <c r="AP500" s="3697">
        <f ca="1">-AP121*0.2-AP57</f>
        <v>-63.042191162577979</v>
      </c>
      <c r="AQ500" s="3697">
        <f ca="1">-AQ121*0.2-AQ57</f>
        <v>-61.613850155668729</v>
      </c>
      <c r="AR500" s="268"/>
      <c r="AS500" s="523" t="str">
        <f t="shared" si="804"/>
        <v>Deferred Income Taxes</v>
      </c>
      <c r="AT500" s="270">
        <f t="shared" si="810"/>
        <v>18</v>
      </c>
      <c r="AU500" s="270">
        <f t="shared" si="811"/>
        <v>-187</v>
      </c>
      <c r="AV500" s="270">
        <f t="shared" si="812"/>
        <v>73</v>
      </c>
      <c r="AW500" s="270">
        <f t="shared" si="813"/>
        <v>65</v>
      </c>
      <c r="AX500" s="270">
        <f t="shared" si="814"/>
        <v>14</v>
      </c>
      <c r="AY500" s="270">
        <f t="shared" si="815"/>
        <v>-479</v>
      </c>
      <c r="AZ500" s="270">
        <f t="shared" si="816"/>
        <v>-79</v>
      </c>
      <c r="BA500" s="270">
        <f t="shared" ca="1" si="817"/>
        <v>-837.48</v>
      </c>
      <c r="BB500" s="270">
        <f t="shared" ca="1" si="818"/>
        <v>-74.978494171002751</v>
      </c>
      <c r="BC500" s="270">
        <f t="shared" ca="1" si="819"/>
        <v>-63.042191162577979</v>
      </c>
      <c r="BD500" s="697">
        <f t="shared" ca="1" si="820"/>
        <v>-61.613850155668729</v>
      </c>
      <c r="BF500" s="900"/>
      <c r="BM500" s="902"/>
      <c r="BN500" s="902"/>
      <c r="BO500" s="902"/>
      <c r="BP500" s="931"/>
      <c r="BQ500" s="902"/>
      <c r="BR500" s="902"/>
      <c r="BS500" s="902"/>
    </row>
    <row r="501" spans="1:71" ht="12.75" customHeight="1">
      <c r="A501" s="3297" t="s">
        <v>1805</v>
      </c>
      <c r="B501" s="3107"/>
      <c r="C501" s="3107"/>
      <c r="D501" s="3107"/>
      <c r="E501" s="3107">
        <f>SUM(E502:E507)</f>
        <v>28</v>
      </c>
      <c r="F501" s="3107">
        <f>SUM(F502:F507)</f>
        <v>191</v>
      </c>
      <c r="G501" s="3147">
        <v>-116</v>
      </c>
      <c r="H501" s="3147">
        <v>158</v>
      </c>
      <c r="I501" s="3147">
        <v>51</v>
      </c>
      <c r="J501" s="3147">
        <v>6</v>
      </c>
      <c r="K501" s="3301">
        <f t="shared" si="826"/>
        <v>99</v>
      </c>
      <c r="L501" s="3147">
        <v>-51</v>
      </c>
      <c r="M501" s="3147">
        <v>125</v>
      </c>
      <c r="N501" s="3147">
        <v>47</v>
      </c>
      <c r="O501" s="3181">
        <f>-16+19+4-65+132-8-SUM(L501:N501)</f>
        <v>-55</v>
      </c>
      <c r="P501" s="3301">
        <f t="shared" si="827"/>
        <v>66</v>
      </c>
      <c r="Q501" s="3147">
        <v>-67</v>
      </c>
      <c r="R501" s="3300">
        <f>-72-Q501</f>
        <v>-5</v>
      </c>
      <c r="S501" s="3300">
        <f>-11-R501-Q501</f>
        <v>61</v>
      </c>
      <c r="T501" s="3300">
        <f>-143+56-8-57-10+8+10-S501-R501-Q501</f>
        <v>-133</v>
      </c>
      <c r="U501" s="3107">
        <f>SUM(Q501:T501)</f>
        <v>-144</v>
      </c>
      <c r="V501" s="3147">
        <v>-2</v>
      </c>
      <c r="W501" s="3147">
        <f>-3-V501</f>
        <v>-1</v>
      </c>
      <c r="X501" s="3147">
        <f>16-W501-V501</f>
        <v>19</v>
      </c>
      <c r="Y501" s="3300">
        <f>-47-39-27+35+32+59+13-X501-W501-V501</f>
        <v>10</v>
      </c>
      <c r="Z501" s="3107">
        <f t="shared" si="806"/>
        <v>26</v>
      </c>
      <c r="AA501" s="3147">
        <v>-161</v>
      </c>
      <c r="AB501" s="3147">
        <f>-203-AA501</f>
        <v>-42</v>
      </c>
      <c r="AC501" s="3147">
        <f>+-260-SUM(AA501:AB501)</f>
        <v>-57</v>
      </c>
      <c r="AD501" s="3147">
        <f>+-143+15+84-2+217+28-SUM(AA501:AC501)</f>
        <v>459</v>
      </c>
      <c r="AE501" s="3148">
        <f t="shared" si="807"/>
        <v>199</v>
      </c>
      <c r="AF501" s="3755">
        <f>+-129-(AF552-AE552)</f>
        <v>13</v>
      </c>
      <c r="AG501" s="3755">
        <f>-39-(AG552-AE552)-AF501</f>
        <v>89</v>
      </c>
      <c r="AH501" s="3755">
        <f>-26-(AH552-AE552)-AG501-AF501</f>
        <v>12</v>
      </c>
      <c r="AI501" s="3956">
        <f>+SUM(AI502:AI511)</f>
        <v>26</v>
      </c>
      <c r="AJ501" s="3687">
        <f t="shared" si="808"/>
        <v>140</v>
      </c>
      <c r="AK501" s="3955">
        <f t="shared" ref="AK501:AN501" si="829">+AF501*(1+AK314+AK322)</f>
        <v>14.162355790710915</v>
      </c>
      <c r="AL501" s="3955">
        <f t="shared" si="829"/>
        <v>97.255441105509007</v>
      </c>
      <c r="AM501" s="3955">
        <f t="shared" si="829"/>
        <v>13.140920956656933</v>
      </c>
      <c r="AN501" s="3956">
        <f t="shared" si="829"/>
        <v>28.250783717770304</v>
      </c>
      <c r="AO501" s="3687">
        <f t="shared" si="809"/>
        <v>152.80950157064717</v>
      </c>
      <c r="AP501" s="3688">
        <f>+AO501*(1+AP314+AP322)</f>
        <v>164.31717409499484</v>
      </c>
      <c r="AQ501" s="3688">
        <f>+AP501*(1+AQ314+AQ322)</f>
        <v>167.22298029484088</v>
      </c>
      <c r="AR501" s="148"/>
      <c r="AS501" s="500" t="str">
        <f t="shared" si="804"/>
        <v>Changes in Working Capital</v>
      </c>
      <c r="AT501" s="148"/>
      <c r="AU501" s="148"/>
      <c r="AV501" s="148"/>
      <c r="AW501" s="148"/>
      <c r="AX501" s="148"/>
      <c r="AY501" s="148"/>
      <c r="AZ501" s="148"/>
      <c r="BA501" s="148"/>
      <c r="BB501" s="148"/>
      <c r="BC501" s="148"/>
      <c r="BD501" s="720"/>
      <c r="BF501" s="900"/>
      <c r="BM501" s="902"/>
      <c r="BN501" s="902"/>
      <c r="BO501" s="902"/>
      <c r="BP501" s="931"/>
      <c r="BQ501" s="902"/>
      <c r="BR501" s="902"/>
      <c r="BS501" s="902"/>
    </row>
    <row r="502" spans="1:71" ht="12.75" customHeight="1">
      <c r="A502" s="3308" t="s">
        <v>1844</v>
      </c>
      <c r="B502" s="3123"/>
      <c r="C502" s="3123"/>
      <c r="D502" s="3123"/>
      <c r="E502" s="3309">
        <v>-40</v>
      </c>
      <c r="F502" s="3309">
        <v>-43</v>
      </c>
      <c r="G502" s="3181">
        <v>0</v>
      </c>
      <c r="H502" s="3181">
        <v>0</v>
      </c>
      <c r="I502" s="3181">
        <v>0</v>
      </c>
      <c r="J502" s="3181">
        <v>0</v>
      </c>
      <c r="K502" s="3301">
        <f t="shared" si="826"/>
        <v>0</v>
      </c>
      <c r="L502" s="3147">
        <v>0</v>
      </c>
      <c r="M502" s="3147">
        <v>0</v>
      </c>
      <c r="N502" s="3147">
        <v>0</v>
      </c>
      <c r="O502" s="3181">
        <v>0</v>
      </c>
      <c r="P502" s="3301">
        <f t="shared" si="827"/>
        <v>0</v>
      </c>
      <c r="Q502" s="3147">
        <v>0</v>
      </c>
      <c r="R502" s="3300">
        <v>0</v>
      </c>
      <c r="S502" s="3300">
        <v>0</v>
      </c>
      <c r="T502" s="3300">
        <v>0</v>
      </c>
      <c r="U502" s="3107">
        <f t="shared" si="822"/>
        <v>0</v>
      </c>
      <c r="V502" s="3147">
        <v>0</v>
      </c>
      <c r="W502" s="3147">
        <v>0</v>
      </c>
      <c r="X502" s="3147">
        <v>0</v>
      </c>
      <c r="Y502" s="3300">
        <v>0</v>
      </c>
      <c r="Z502" s="3107">
        <f t="shared" si="806"/>
        <v>0</v>
      </c>
      <c r="AA502" s="3147">
        <v>0</v>
      </c>
      <c r="AB502" s="3147">
        <v>0</v>
      </c>
      <c r="AC502" s="3147">
        <v>0</v>
      </c>
      <c r="AD502" s="3147">
        <v>0</v>
      </c>
      <c r="AE502" s="3124">
        <f t="shared" si="807"/>
        <v>0</v>
      </c>
      <c r="AF502" s="3695">
        <v>0</v>
      </c>
      <c r="AG502" s="3147">
        <v>0</v>
      </c>
      <c r="AH502" s="3147">
        <v>0</v>
      </c>
      <c r="AI502" s="3686">
        <f t="shared" ref="AI502:AI503" si="830">AH553-AI553</f>
        <v>0</v>
      </c>
      <c r="AJ502" s="3698">
        <f t="shared" si="808"/>
        <v>0</v>
      </c>
      <c r="AK502" s="3685">
        <f t="shared" ref="AK502:AK503" si="831">AJ553-AK553</f>
        <v>0</v>
      </c>
      <c r="AL502" s="3685">
        <f t="shared" ref="AL502:AL503" si="832">AK553-AL553</f>
        <v>0</v>
      </c>
      <c r="AM502" s="3685">
        <f t="shared" ref="AM502:AM503" si="833">AL553-AM553</f>
        <v>0</v>
      </c>
      <c r="AN502" s="3685">
        <f t="shared" ref="AN502:AN503" si="834">AM553-AN553</f>
        <v>0</v>
      </c>
      <c r="AO502" s="3698">
        <f t="shared" si="809"/>
        <v>0</v>
      </c>
      <c r="AP502" s="3699">
        <f t="shared" ref="AP502:AQ503" si="835">AO553-AP553</f>
        <v>0</v>
      </c>
      <c r="AQ502" s="3699">
        <f t="shared" si="835"/>
        <v>0</v>
      </c>
      <c r="AR502" s="162"/>
      <c r="AS502" s="643" t="str">
        <f t="shared" si="804"/>
        <v>Accounts Receivable, net</v>
      </c>
      <c r="AT502" s="162">
        <f t="shared" ref="AT502:AT513" si="836">+E502</f>
        <v>-40</v>
      </c>
      <c r="AU502" s="162">
        <f t="shared" ref="AU502:AU513" si="837">+F502</f>
        <v>-43</v>
      </c>
      <c r="AV502" s="162">
        <f t="shared" ref="AV502:AV513" si="838">+K502</f>
        <v>0</v>
      </c>
      <c r="AW502" s="162">
        <f t="shared" ref="AW502:AW514" si="839">+P502</f>
        <v>0</v>
      </c>
      <c r="AX502" s="162">
        <f t="shared" ref="AX502:AX513" si="840">+U502</f>
        <v>0</v>
      </c>
      <c r="AY502" s="162">
        <f t="shared" ref="AY502:AY513" si="841">+Z502</f>
        <v>0</v>
      </c>
      <c r="AZ502" s="162">
        <f t="shared" ref="AZ502:AZ513" si="842">+AE502</f>
        <v>0</v>
      </c>
      <c r="BA502" s="162">
        <f t="shared" ref="BA502:BA513" si="843">+AJ502</f>
        <v>0</v>
      </c>
      <c r="BB502" s="162">
        <f t="shared" ref="BB502:BD513" si="844">+AO502</f>
        <v>0</v>
      </c>
      <c r="BC502" s="162">
        <f t="shared" si="844"/>
        <v>0</v>
      </c>
      <c r="BD502" s="838">
        <f t="shared" si="844"/>
        <v>0</v>
      </c>
      <c r="BF502" s="900"/>
      <c r="BM502" s="902"/>
      <c r="BN502" s="902"/>
      <c r="BO502" s="902"/>
      <c r="BP502" s="931"/>
      <c r="BQ502" s="902"/>
      <c r="BR502" s="902"/>
      <c r="BS502" s="902"/>
    </row>
    <row r="503" spans="1:71" ht="12.75" customHeight="1">
      <c r="A503" s="3308" t="s">
        <v>1323</v>
      </c>
      <c r="B503" s="3123"/>
      <c r="C503" s="3123"/>
      <c r="D503" s="3123"/>
      <c r="E503" s="3309">
        <v>155</v>
      </c>
      <c r="F503" s="3309">
        <v>119</v>
      </c>
      <c r="G503" s="3181">
        <v>0</v>
      </c>
      <c r="H503" s="3181">
        <v>0</v>
      </c>
      <c r="I503" s="3181">
        <v>0</v>
      </c>
      <c r="J503" s="3181">
        <v>0</v>
      </c>
      <c r="K503" s="3301">
        <f t="shared" si="826"/>
        <v>0</v>
      </c>
      <c r="L503" s="3147">
        <v>0</v>
      </c>
      <c r="M503" s="3147">
        <v>0</v>
      </c>
      <c r="N503" s="3147">
        <v>0</v>
      </c>
      <c r="O503" s="3181">
        <v>0</v>
      </c>
      <c r="P503" s="3301">
        <f t="shared" si="827"/>
        <v>0</v>
      </c>
      <c r="Q503" s="3147">
        <v>0</v>
      </c>
      <c r="R503" s="3300">
        <v>0</v>
      </c>
      <c r="S503" s="3300">
        <v>0</v>
      </c>
      <c r="T503" s="3300">
        <v>0</v>
      </c>
      <c r="U503" s="3107">
        <f t="shared" si="822"/>
        <v>0</v>
      </c>
      <c r="V503" s="3147">
        <v>0</v>
      </c>
      <c r="W503" s="3147">
        <v>0</v>
      </c>
      <c r="X503" s="3147">
        <v>0</v>
      </c>
      <c r="Y503" s="3300">
        <v>0</v>
      </c>
      <c r="Z503" s="3107">
        <f t="shared" si="806"/>
        <v>0</v>
      </c>
      <c r="AA503" s="3147">
        <v>0</v>
      </c>
      <c r="AB503" s="3147">
        <v>0</v>
      </c>
      <c r="AC503" s="3147">
        <v>0</v>
      </c>
      <c r="AD503" s="3147">
        <v>0</v>
      </c>
      <c r="AE503" s="3124">
        <f t="shared" si="807"/>
        <v>0</v>
      </c>
      <c r="AF503" s="3695">
        <v>0</v>
      </c>
      <c r="AG503" s="3147">
        <v>0</v>
      </c>
      <c r="AH503" s="3147">
        <v>0</v>
      </c>
      <c r="AI503" s="3686">
        <f t="shared" si="830"/>
        <v>0</v>
      </c>
      <c r="AJ503" s="3698">
        <f t="shared" si="808"/>
        <v>0</v>
      </c>
      <c r="AK503" s="3685">
        <f t="shared" si="831"/>
        <v>0</v>
      </c>
      <c r="AL503" s="3685">
        <f t="shared" si="832"/>
        <v>0</v>
      </c>
      <c r="AM503" s="3685">
        <f t="shared" si="833"/>
        <v>0</v>
      </c>
      <c r="AN503" s="3685">
        <f t="shared" si="834"/>
        <v>0</v>
      </c>
      <c r="AO503" s="3698">
        <f t="shared" si="809"/>
        <v>0</v>
      </c>
      <c r="AP503" s="3699">
        <f t="shared" si="835"/>
        <v>0</v>
      </c>
      <c r="AQ503" s="3699">
        <f t="shared" si="835"/>
        <v>0</v>
      </c>
      <c r="AR503" s="162"/>
      <c r="AS503" s="643" t="str">
        <f t="shared" si="804"/>
        <v>Inventories</v>
      </c>
      <c r="AT503" s="162">
        <f t="shared" si="836"/>
        <v>155</v>
      </c>
      <c r="AU503" s="162">
        <f t="shared" si="837"/>
        <v>119</v>
      </c>
      <c r="AV503" s="162">
        <f t="shared" si="838"/>
        <v>0</v>
      </c>
      <c r="AW503" s="162">
        <f t="shared" si="839"/>
        <v>0</v>
      </c>
      <c r="AX503" s="162">
        <f t="shared" si="840"/>
        <v>0</v>
      </c>
      <c r="AY503" s="162">
        <f t="shared" si="841"/>
        <v>0</v>
      </c>
      <c r="AZ503" s="162">
        <f t="shared" si="842"/>
        <v>0</v>
      </c>
      <c r="BA503" s="162">
        <f t="shared" si="843"/>
        <v>0</v>
      </c>
      <c r="BB503" s="162">
        <f t="shared" si="844"/>
        <v>0</v>
      </c>
      <c r="BC503" s="162">
        <f t="shared" si="844"/>
        <v>0</v>
      </c>
      <c r="BD503" s="838">
        <f t="shared" si="844"/>
        <v>0</v>
      </c>
      <c r="BF503" s="900"/>
      <c r="BM503" s="902"/>
      <c r="BN503" s="902"/>
      <c r="BO503" s="902"/>
      <c r="BP503" s="931"/>
      <c r="BQ503" s="902"/>
      <c r="BR503" s="902"/>
      <c r="BS503" s="902"/>
    </row>
    <row r="504" spans="1:71" s="130" customFormat="1" ht="12.75" customHeight="1">
      <c r="A504" s="3310" t="s">
        <v>1635</v>
      </c>
      <c r="B504" s="3123"/>
      <c r="C504" s="3123"/>
      <c r="D504" s="3123"/>
      <c r="E504" s="3309">
        <v>4</v>
      </c>
      <c r="F504" s="3309">
        <v>-7</v>
      </c>
      <c r="G504" s="3181">
        <v>0</v>
      </c>
      <c r="H504" s="3181">
        <v>0</v>
      </c>
      <c r="I504" s="3181">
        <v>0</v>
      </c>
      <c r="J504" s="3181">
        <v>0</v>
      </c>
      <c r="K504" s="3301">
        <f t="shared" si="826"/>
        <v>0</v>
      </c>
      <c r="L504" s="3147">
        <v>0</v>
      </c>
      <c r="M504" s="3147">
        <v>0</v>
      </c>
      <c r="N504" s="3147">
        <v>0</v>
      </c>
      <c r="O504" s="3181">
        <v>0</v>
      </c>
      <c r="P504" s="3301">
        <f t="shared" si="827"/>
        <v>0</v>
      </c>
      <c r="Q504" s="3147">
        <v>0</v>
      </c>
      <c r="R504" s="3300">
        <v>0</v>
      </c>
      <c r="S504" s="3300">
        <v>0</v>
      </c>
      <c r="T504" s="3300">
        <v>0</v>
      </c>
      <c r="U504" s="3107">
        <f t="shared" si="822"/>
        <v>0</v>
      </c>
      <c r="V504" s="3147">
        <v>0</v>
      </c>
      <c r="W504" s="3147">
        <v>0</v>
      </c>
      <c r="X504" s="3147">
        <v>0</v>
      </c>
      <c r="Y504" s="3300">
        <v>0</v>
      </c>
      <c r="Z504" s="3107">
        <f t="shared" si="806"/>
        <v>0</v>
      </c>
      <c r="AA504" s="3147">
        <v>0</v>
      </c>
      <c r="AB504" s="3147">
        <v>0</v>
      </c>
      <c r="AC504" s="3147">
        <v>0</v>
      </c>
      <c r="AD504" s="3147">
        <v>0</v>
      </c>
      <c r="AE504" s="3124">
        <f t="shared" si="807"/>
        <v>0</v>
      </c>
      <c r="AF504" s="3695">
        <v>0</v>
      </c>
      <c r="AG504" s="3147">
        <v>0</v>
      </c>
      <c r="AH504" s="3147">
        <v>0</v>
      </c>
      <c r="AI504" s="3686">
        <f t="shared" ref="AI504:AI505" si="845">AH557-AI557</f>
        <v>0</v>
      </c>
      <c r="AJ504" s="3698">
        <f t="shared" si="808"/>
        <v>0</v>
      </c>
      <c r="AK504" s="3685">
        <f t="shared" ref="AK504:AK505" si="846">AJ557-AK557</f>
        <v>0</v>
      </c>
      <c r="AL504" s="3685">
        <f t="shared" ref="AL504:AL505" si="847">AK557-AL557</f>
        <v>0</v>
      </c>
      <c r="AM504" s="3685">
        <f t="shared" ref="AM504:AM505" si="848">AL557-AM557</f>
        <v>0</v>
      </c>
      <c r="AN504" s="3685">
        <f t="shared" ref="AN504:AN505" si="849">AM557-AN557</f>
        <v>0</v>
      </c>
      <c r="AO504" s="3698">
        <f t="shared" si="809"/>
        <v>0</v>
      </c>
      <c r="AP504" s="3699">
        <f t="shared" ref="AP504:AQ505" si="850">AO557-AP557</f>
        <v>0</v>
      </c>
      <c r="AQ504" s="3699">
        <f t="shared" si="850"/>
        <v>0</v>
      </c>
      <c r="AR504" s="162"/>
      <c r="AS504" s="643" t="str">
        <f t="shared" si="804"/>
        <v>Prepaid Expenses</v>
      </c>
      <c r="AT504" s="162">
        <f t="shared" si="836"/>
        <v>4</v>
      </c>
      <c r="AU504" s="162">
        <f t="shared" si="837"/>
        <v>-7</v>
      </c>
      <c r="AV504" s="162">
        <f t="shared" si="838"/>
        <v>0</v>
      </c>
      <c r="AW504" s="162">
        <f t="shared" si="839"/>
        <v>0</v>
      </c>
      <c r="AX504" s="162">
        <f t="shared" si="840"/>
        <v>0</v>
      </c>
      <c r="AY504" s="162">
        <f t="shared" si="841"/>
        <v>0</v>
      </c>
      <c r="AZ504" s="162">
        <f t="shared" si="842"/>
        <v>0</v>
      </c>
      <c r="BA504" s="162">
        <f t="shared" si="843"/>
        <v>0</v>
      </c>
      <c r="BB504" s="162">
        <f t="shared" si="844"/>
        <v>0</v>
      </c>
      <c r="BC504" s="162">
        <f t="shared" si="844"/>
        <v>0</v>
      </c>
      <c r="BD504" s="838">
        <f t="shared" si="844"/>
        <v>0</v>
      </c>
      <c r="BE504" s="14"/>
      <c r="BF504" s="900"/>
      <c r="BG504"/>
      <c r="BH504"/>
      <c r="BI504"/>
      <c r="BJ504"/>
      <c r="BK504"/>
      <c r="BL504"/>
      <c r="BM504" s="902"/>
      <c r="BN504" s="902"/>
      <c r="BO504" s="902"/>
      <c r="BP504" s="931"/>
      <c r="BQ504" s="902"/>
      <c r="BR504" s="902"/>
      <c r="BS504" s="902"/>
    </row>
    <row r="505" spans="1:71" s="130" customFormat="1" ht="12.75" customHeight="1">
      <c r="A505" s="3310" t="s">
        <v>2206</v>
      </c>
      <c r="B505" s="3123"/>
      <c r="C505" s="3123"/>
      <c r="D505" s="3123"/>
      <c r="E505" s="3309">
        <v>-21</v>
      </c>
      <c r="F505" s="3309">
        <v>-29</v>
      </c>
      <c r="G505" s="3181">
        <v>0</v>
      </c>
      <c r="H505" s="3181">
        <v>0</v>
      </c>
      <c r="I505" s="3181">
        <v>0</v>
      </c>
      <c r="J505" s="3181">
        <v>0</v>
      </c>
      <c r="K505" s="3301">
        <f t="shared" si="826"/>
        <v>0</v>
      </c>
      <c r="L505" s="3181">
        <v>0</v>
      </c>
      <c r="M505" s="3181">
        <v>0</v>
      </c>
      <c r="N505" s="3181">
        <v>0</v>
      </c>
      <c r="O505" s="3181">
        <v>0</v>
      </c>
      <c r="P505" s="3301">
        <f t="shared" si="827"/>
        <v>0</v>
      </c>
      <c r="Q505" s="3181">
        <v>0</v>
      </c>
      <c r="R505" s="3300">
        <v>0</v>
      </c>
      <c r="S505" s="3300">
        <v>0</v>
      </c>
      <c r="T505" s="3300">
        <v>0</v>
      </c>
      <c r="U505" s="3123">
        <f t="shared" si="822"/>
        <v>0</v>
      </c>
      <c r="V505" s="3181">
        <v>0</v>
      </c>
      <c r="W505" s="3181">
        <v>0</v>
      </c>
      <c r="X505" s="3147">
        <v>0</v>
      </c>
      <c r="Y505" s="3300">
        <v>0</v>
      </c>
      <c r="Z505" s="3123">
        <f t="shared" si="806"/>
        <v>0</v>
      </c>
      <c r="AA505" s="3181">
        <v>0</v>
      </c>
      <c r="AB505" s="3181">
        <v>0</v>
      </c>
      <c r="AC505" s="3181">
        <v>0</v>
      </c>
      <c r="AD505" s="3181">
        <v>0</v>
      </c>
      <c r="AE505" s="3124">
        <f t="shared" si="807"/>
        <v>0</v>
      </c>
      <c r="AF505" s="3695">
        <v>0</v>
      </c>
      <c r="AG505" s="3181">
        <v>0</v>
      </c>
      <c r="AH505" s="3181">
        <v>0</v>
      </c>
      <c r="AI505" s="3701">
        <f t="shared" si="845"/>
        <v>0</v>
      </c>
      <c r="AJ505" s="3698">
        <f t="shared" si="808"/>
        <v>0</v>
      </c>
      <c r="AK505" s="3700">
        <f t="shared" si="846"/>
        <v>0</v>
      </c>
      <c r="AL505" s="3700">
        <f t="shared" si="847"/>
        <v>0</v>
      </c>
      <c r="AM505" s="3700">
        <f t="shared" si="848"/>
        <v>0</v>
      </c>
      <c r="AN505" s="3700">
        <f t="shared" si="849"/>
        <v>0</v>
      </c>
      <c r="AO505" s="3698">
        <f t="shared" si="809"/>
        <v>0</v>
      </c>
      <c r="AP505" s="3699">
        <f t="shared" si="850"/>
        <v>0</v>
      </c>
      <c r="AQ505" s="3699">
        <f t="shared" si="850"/>
        <v>0</v>
      </c>
      <c r="AR505" s="162"/>
      <c r="AS505" s="643" t="str">
        <f t="shared" si="804"/>
        <v>Other Current Assets</v>
      </c>
      <c r="AT505" s="162">
        <f t="shared" si="836"/>
        <v>-21</v>
      </c>
      <c r="AU505" s="162">
        <f t="shared" si="837"/>
        <v>-29</v>
      </c>
      <c r="AV505" s="162">
        <f t="shared" si="838"/>
        <v>0</v>
      </c>
      <c r="AW505" s="162">
        <f t="shared" si="839"/>
        <v>0</v>
      </c>
      <c r="AX505" s="162">
        <f t="shared" si="840"/>
        <v>0</v>
      </c>
      <c r="AY505" s="162">
        <f t="shared" si="841"/>
        <v>0</v>
      </c>
      <c r="AZ505" s="162">
        <f t="shared" si="842"/>
        <v>0</v>
      </c>
      <c r="BA505" s="162">
        <f t="shared" si="843"/>
        <v>0</v>
      </c>
      <c r="BB505" s="162">
        <f t="shared" si="844"/>
        <v>0</v>
      </c>
      <c r="BC505" s="162">
        <f t="shared" si="844"/>
        <v>0</v>
      </c>
      <c r="BD505" s="838">
        <f t="shared" si="844"/>
        <v>0</v>
      </c>
      <c r="BE505" s="14"/>
      <c r="BF505" s="900"/>
      <c r="BG505"/>
      <c r="BH505"/>
      <c r="BI505"/>
      <c r="BJ505"/>
      <c r="BK505"/>
      <c r="BL505"/>
      <c r="BM505" s="902"/>
      <c r="BN505" s="902"/>
      <c r="BO505" s="902"/>
      <c r="BP505" s="931"/>
      <c r="BQ505" s="902"/>
      <c r="BR505" s="902"/>
      <c r="BS505" s="902"/>
    </row>
    <row r="506" spans="1:71" s="130" customFormat="1" ht="12.75" customHeight="1">
      <c r="A506" s="3310" t="s">
        <v>2189</v>
      </c>
      <c r="B506" s="3123"/>
      <c r="C506" s="3123"/>
      <c r="D506" s="3123"/>
      <c r="E506" s="3309">
        <v>-69</v>
      </c>
      <c r="F506" s="3309">
        <v>151</v>
      </c>
      <c r="G506" s="3181">
        <v>0</v>
      </c>
      <c r="H506" s="3181">
        <v>0</v>
      </c>
      <c r="I506" s="3181">
        <v>0</v>
      </c>
      <c r="J506" s="3181">
        <v>0</v>
      </c>
      <c r="K506" s="3301">
        <f t="shared" si="826"/>
        <v>0</v>
      </c>
      <c r="L506" s="3147">
        <v>0</v>
      </c>
      <c r="M506" s="3147">
        <v>0</v>
      </c>
      <c r="N506" s="3147">
        <v>0</v>
      </c>
      <c r="O506" s="3181">
        <v>0</v>
      </c>
      <c r="P506" s="3301">
        <f t="shared" si="827"/>
        <v>0</v>
      </c>
      <c r="Q506" s="3147">
        <v>0</v>
      </c>
      <c r="R506" s="3300">
        <v>0</v>
      </c>
      <c r="S506" s="3300">
        <v>0</v>
      </c>
      <c r="T506" s="3300">
        <v>0</v>
      </c>
      <c r="U506" s="3107">
        <f t="shared" si="822"/>
        <v>0</v>
      </c>
      <c r="V506" s="3147">
        <v>0</v>
      </c>
      <c r="W506" s="3147">
        <v>0</v>
      </c>
      <c r="X506" s="3147">
        <v>0</v>
      </c>
      <c r="Y506" s="3300">
        <v>0</v>
      </c>
      <c r="Z506" s="3107">
        <f t="shared" si="806"/>
        <v>0</v>
      </c>
      <c r="AA506" s="3147">
        <v>0</v>
      </c>
      <c r="AB506" s="3147">
        <v>0</v>
      </c>
      <c r="AC506" s="3147">
        <v>0</v>
      </c>
      <c r="AD506" s="3147">
        <v>0</v>
      </c>
      <c r="AE506" s="3124">
        <f t="shared" si="807"/>
        <v>0</v>
      </c>
      <c r="AF506" s="3695">
        <v>0</v>
      </c>
      <c r="AG506" s="3147">
        <v>0</v>
      </c>
      <c r="AH506" s="3147">
        <v>0</v>
      </c>
      <c r="AI506" s="3686">
        <f>AI575-AH575</f>
        <v>0</v>
      </c>
      <c r="AJ506" s="3698">
        <f t="shared" si="808"/>
        <v>0</v>
      </c>
      <c r="AK506" s="3685">
        <f t="shared" ref="AK506:AN506" si="851">AK575-AJ575</f>
        <v>0</v>
      </c>
      <c r="AL506" s="3685">
        <f t="shared" si="851"/>
        <v>0</v>
      </c>
      <c r="AM506" s="3685">
        <f t="shared" si="851"/>
        <v>0</v>
      </c>
      <c r="AN506" s="3685">
        <f t="shared" si="851"/>
        <v>0</v>
      </c>
      <c r="AO506" s="3698">
        <f t="shared" si="809"/>
        <v>0</v>
      </c>
      <c r="AP506" s="3699">
        <f>AP575-AO575</f>
        <v>0</v>
      </c>
      <c r="AQ506" s="3699">
        <f>AQ575-AP575</f>
        <v>0</v>
      </c>
      <c r="AR506" s="162"/>
      <c r="AS506" s="643" t="str">
        <f t="shared" si="804"/>
        <v>Accounts Payable, Accrued Expenses, and Other</v>
      </c>
      <c r="AT506" s="162">
        <f t="shared" si="836"/>
        <v>-69</v>
      </c>
      <c r="AU506" s="162">
        <f t="shared" si="837"/>
        <v>151</v>
      </c>
      <c r="AV506" s="162">
        <f t="shared" si="838"/>
        <v>0</v>
      </c>
      <c r="AW506" s="162">
        <f t="shared" si="839"/>
        <v>0</v>
      </c>
      <c r="AX506" s="162">
        <f t="shared" si="840"/>
        <v>0</v>
      </c>
      <c r="AY506" s="162">
        <f t="shared" si="841"/>
        <v>0</v>
      </c>
      <c r="AZ506" s="162">
        <f t="shared" si="842"/>
        <v>0</v>
      </c>
      <c r="BA506" s="162">
        <f t="shared" si="843"/>
        <v>0</v>
      </c>
      <c r="BB506" s="162">
        <f t="shared" si="844"/>
        <v>0</v>
      </c>
      <c r="BC506" s="162">
        <f t="shared" si="844"/>
        <v>0</v>
      </c>
      <c r="BD506" s="838">
        <f t="shared" si="844"/>
        <v>0</v>
      </c>
      <c r="BE506" s="14"/>
      <c r="BF506" s="900"/>
      <c r="BG506"/>
      <c r="BH506"/>
      <c r="BI506"/>
      <c r="BJ506"/>
      <c r="BK506"/>
      <c r="BL506"/>
      <c r="BM506" s="902"/>
      <c r="BN506" s="902"/>
      <c r="BO506" s="902"/>
      <c r="BP506" s="931"/>
      <c r="BQ506" s="902"/>
      <c r="BR506" s="902"/>
      <c r="BS506" s="902"/>
    </row>
    <row r="507" spans="1:71" s="130" customFormat="1" ht="12.75" customHeight="1">
      <c r="A507" s="3310" t="s">
        <v>2192</v>
      </c>
      <c r="B507" s="3123"/>
      <c r="C507" s="3123"/>
      <c r="D507" s="3123"/>
      <c r="E507" s="3309">
        <v>-1</v>
      </c>
      <c r="F507" s="3309">
        <v>0</v>
      </c>
      <c r="G507" s="3181">
        <v>0</v>
      </c>
      <c r="H507" s="3181">
        <v>0</v>
      </c>
      <c r="I507" s="3181">
        <v>0</v>
      </c>
      <c r="J507" s="3181">
        <v>0</v>
      </c>
      <c r="K507" s="3301">
        <f t="shared" si="826"/>
        <v>0</v>
      </c>
      <c r="L507" s="3181">
        <v>0</v>
      </c>
      <c r="M507" s="3181">
        <v>0</v>
      </c>
      <c r="N507" s="3181">
        <v>0</v>
      </c>
      <c r="O507" s="3181">
        <v>0</v>
      </c>
      <c r="P507" s="3301">
        <f t="shared" si="827"/>
        <v>0</v>
      </c>
      <c r="Q507" s="3181">
        <v>0</v>
      </c>
      <c r="R507" s="3300">
        <v>0</v>
      </c>
      <c r="S507" s="3300">
        <v>0</v>
      </c>
      <c r="T507" s="3300">
        <v>0</v>
      </c>
      <c r="U507" s="3123">
        <f t="shared" si="822"/>
        <v>0</v>
      </c>
      <c r="V507" s="3181">
        <v>0</v>
      </c>
      <c r="W507" s="3181">
        <v>0</v>
      </c>
      <c r="X507" s="3147">
        <v>0</v>
      </c>
      <c r="Y507" s="3300">
        <v>0</v>
      </c>
      <c r="Z507" s="3123">
        <f t="shared" si="806"/>
        <v>0</v>
      </c>
      <c r="AA507" s="3181">
        <v>0</v>
      </c>
      <c r="AB507" s="3181">
        <v>0</v>
      </c>
      <c r="AC507" s="3181">
        <v>0</v>
      </c>
      <c r="AD507" s="3181">
        <v>0</v>
      </c>
      <c r="AE507" s="3124">
        <f t="shared" si="807"/>
        <v>0</v>
      </c>
      <c r="AF507" s="3695">
        <v>0</v>
      </c>
      <c r="AG507" s="3181">
        <v>0</v>
      </c>
      <c r="AH507" s="3181">
        <v>0</v>
      </c>
      <c r="AI507" s="3701">
        <f>AI578-AH578</f>
        <v>0</v>
      </c>
      <c r="AJ507" s="3698">
        <f t="shared" si="808"/>
        <v>0</v>
      </c>
      <c r="AK507" s="3700">
        <f t="shared" ref="AK507:AN507" si="852">AK578-AJ578</f>
        <v>0</v>
      </c>
      <c r="AL507" s="3700">
        <f t="shared" si="852"/>
        <v>0</v>
      </c>
      <c r="AM507" s="3700">
        <f t="shared" si="852"/>
        <v>0</v>
      </c>
      <c r="AN507" s="3700">
        <f t="shared" si="852"/>
        <v>0</v>
      </c>
      <c r="AO507" s="3698">
        <f t="shared" si="809"/>
        <v>0</v>
      </c>
      <c r="AP507" s="3699">
        <f>AP578-AO578</f>
        <v>0</v>
      </c>
      <c r="AQ507" s="3699">
        <f>AQ578-AP578</f>
        <v>0</v>
      </c>
      <c r="AR507" s="162"/>
      <c r="AS507" s="643" t="str">
        <f t="shared" si="804"/>
        <v>Income Taxes Payable</v>
      </c>
      <c r="AT507" s="162">
        <f t="shared" si="836"/>
        <v>-1</v>
      </c>
      <c r="AU507" s="162">
        <f t="shared" si="837"/>
        <v>0</v>
      </c>
      <c r="AV507" s="162">
        <f t="shared" si="838"/>
        <v>0</v>
      </c>
      <c r="AW507" s="162">
        <f t="shared" si="839"/>
        <v>0</v>
      </c>
      <c r="AX507" s="162">
        <f t="shared" si="840"/>
        <v>0</v>
      </c>
      <c r="AY507" s="162">
        <f t="shared" si="841"/>
        <v>0</v>
      </c>
      <c r="AZ507" s="162">
        <f t="shared" si="842"/>
        <v>0</v>
      </c>
      <c r="BA507" s="162">
        <f t="shared" si="843"/>
        <v>0</v>
      </c>
      <c r="BB507" s="162">
        <f t="shared" si="844"/>
        <v>0</v>
      </c>
      <c r="BC507" s="162">
        <f t="shared" si="844"/>
        <v>0</v>
      </c>
      <c r="BD507" s="838">
        <f t="shared" si="844"/>
        <v>0</v>
      </c>
      <c r="BE507" s="14"/>
      <c r="BF507" s="900"/>
      <c r="BG507"/>
      <c r="BH507"/>
      <c r="BI507"/>
      <c r="BJ507"/>
      <c r="BK507"/>
      <c r="BL507"/>
      <c r="BM507" s="902"/>
      <c r="BN507" s="902"/>
      <c r="BO507" s="902"/>
      <c r="BP507" s="931"/>
      <c r="BQ507" s="902"/>
      <c r="BR507" s="902"/>
      <c r="BS507" s="902"/>
    </row>
    <row r="508" spans="1:71" s="130" customFormat="1" ht="12.75" customHeight="1">
      <c r="A508" s="3311" t="s">
        <v>2207</v>
      </c>
      <c r="B508" s="3301"/>
      <c r="C508" s="3301"/>
      <c r="D508" s="3301"/>
      <c r="E508" s="3309">
        <v>25</v>
      </c>
      <c r="F508" s="3309">
        <v>-14</v>
      </c>
      <c r="G508" s="3300">
        <v>-73</v>
      </c>
      <c r="H508" s="3300">
        <v>5</v>
      </c>
      <c r="I508" s="3300">
        <v>-2</v>
      </c>
      <c r="J508" s="3300">
        <v>-9</v>
      </c>
      <c r="K508" s="3301">
        <f t="shared" si="826"/>
        <v>-79</v>
      </c>
      <c r="L508" s="3300">
        <v>-26</v>
      </c>
      <c r="M508" s="3300">
        <v>-20</v>
      </c>
      <c r="N508" s="3300">
        <v>-20</v>
      </c>
      <c r="O508" s="3300">
        <f>91-SUM(L508:N508)</f>
        <v>157</v>
      </c>
      <c r="P508" s="3301">
        <f t="shared" si="827"/>
        <v>91</v>
      </c>
      <c r="Q508" s="3300">
        <v>-11</v>
      </c>
      <c r="R508" s="3300">
        <f>-1-Q508</f>
        <v>10</v>
      </c>
      <c r="S508" s="3300">
        <f>-3-R508-Q508</f>
        <v>-2</v>
      </c>
      <c r="T508" s="3300">
        <f>59-S508-R508-Q508</f>
        <v>62</v>
      </c>
      <c r="U508" s="3301">
        <f t="shared" si="822"/>
        <v>59</v>
      </c>
      <c r="V508" s="3300">
        <v>-2</v>
      </c>
      <c r="W508" s="3147">
        <f>-9-V508</f>
        <v>-7</v>
      </c>
      <c r="X508" s="3147">
        <f>-13-W508-V508</f>
        <v>-4</v>
      </c>
      <c r="Y508" s="3300">
        <f>-13-X508-W508-V508</f>
        <v>0</v>
      </c>
      <c r="Z508" s="3301">
        <f t="shared" si="806"/>
        <v>-13</v>
      </c>
      <c r="AA508" s="3300">
        <v>-14</v>
      </c>
      <c r="AB508" s="3147">
        <f>-6-AA508</f>
        <v>8</v>
      </c>
      <c r="AC508" s="3147">
        <f>+-20-SUM(AA508:AB508)</f>
        <v>-14</v>
      </c>
      <c r="AD508" s="3147">
        <f>0-SUM(AA508:AC508)</f>
        <v>20</v>
      </c>
      <c r="AE508" s="3306">
        <f t="shared" si="807"/>
        <v>0</v>
      </c>
      <c r="AF508" s="3695">
        <v>0</v>
      </c>
      <c r="AG508" s="3147">
        <v>0</v>
      </c>
      <c r="AH508" s="3147">
        <v>0</v>
      </c>
      <c r="AI508" s="3692">
        <f>AH552-AI552</f>
        <v>26</v>
      </c>
      <c r="AJ508" s="3693">
        <f t="shared" si="808"/>
        <v>26</v>
      </c>
      <c r="AK508" s="3691">
        <f t="shared" ref="AK508:AN508" si="853">AJ552-AK552</f>
        <v>0</v>
      </c>
      <c r="AL508" s="3691">
        <f t="shared" si="853"/>
        <v>0</v>
      </c>
      <c r="AM508" s="3691">
        <f t="shared" si="853"/>
        <v>0</v>
      </c>
      <c r="AN508" s="3691">
        <f t="shared" si="853"/>
        <v>0</v>
      </c>
      <c r="AO508" s="3693">
        <f t="shared" si="809"/>
        <v>0</v>
      </c>
      <c r="AP508" s="3694">
        <f>AO552-AP552</f>
        <v>0</v>
      </c>
      <c r="AQ508" s="3694">
        <f>AP552-AQ552</f>
        <v>0</v>
      </c>
      <c r="AR508" s="162"/>
      <c r="AS508" s="522" t="str">
        <f t="shared" si="804"/>
        <v>Change in Restricted Cash and Cash Equivalents</v>
      </c>
      <c r="AT508" s="270">
        <f t="shared" si="836"/>
        <v>25</v>
      </c>
      <c r="AU508" s="270">
        <f t="shared" si="837"/>
        <v>-14</v>
      </c>
      <c r="AV508" s="270">
        <f t="shared" si="838"/>
        <v>-79</v>
      </c>
      <c r="AW508" s="270">
        <f t="shared" si="839"/>
        <v>91</v>
      </c>
      <c r="AX508" s="270">
        <f t="shared" si="840"/>
        <v>59</v>
      </c>
      <c r="AY508" s="270">
        <f t="shared" si="841"/>
        <v>-13</v>
      </c>
      <c r="AZ508" s="270">
        <f t="shared" si="842"/>
        <v>0</v>
      </c>
      <c r="BA508" s="270">
        <f t="shared" si="843"/>
        <v>26</v>
      </c>
      <c r="BB508" s="270">
        <f t="shared" si="844"/>
        <v>0</v>
      </c>
      <c r="BC508" s="270">
        <f t="shared" si="844"/>
        <v>0</v>
      </c>
      <c r="BD508" s="697">
        <f t="shared" si="844"/>
        <v>0</v>
      </c>
      <c r="BE508" s="14"/>
      <c r="BF508" s="900"/>
      <c r="BG508"/>
      <c r="BH508"/>
      <c r="BI508"/>
      <c r="BJ508"/>
      <c r="BK508"/>
      <c r="BL508"/>
      <c r="BM508" s="902"/>
      <c r="BN508" s="902"/>
      <c r="BO508" s="902"/>
      <c r="BP508" s="931"/>
      <c r="BQ508" s="902"/>
      <c r="BR508" s="902"/>
      <c r="BS508" s="902"/>
    </row>
    <row r="509" spans="1:71" s="130" customFormat="1" ht="12.75" customHeight="1">
      <c r="A509" s="3311" t="s">
        <v>2208</v>
      </c>
      <c r="B509" s="3301"/>
      <c r="C509" s="3301"/>
      <c r="D509" s="3301"/>
      <c r="E509" s="3309">
        <v>-55</v>
      </c>
      <c r="F509" s="3309">
        <v>-53</v>
      </c>
      <c r="G509" s="3300">
        <v>0</v>
      </c>
      <c r="H509" s="3300">
        <v>0</v>
      </c>
      <c r="I509" s="3300">
        <v>0</v>
      </c>
      <c r="J509" s="3300">
        <v>0</v>
      </c>
      <c r="K509" s="3301">
        <f t="shared" si="826"/>
        <v>0</v>
      </c>
      <c r="L509" s="3300">
        <v>0</v>
      </c>
      <c r="M509" s="3300">
        <v>0</v>
      </c>
      <c r="N509" s="3300">
        <v>0</v>
      </c>
      <c r="O509" s="3300">
        <f>-15-SUM(L509:N509)</f>
        <v>-15</v>
      </c>
      <c r="P509" s="3301">
        <f t="shared" si="827"/>
        <v>-15</v>
      </c>
      <c r="Q509" s="3300">
        <v>0</v>
      </c>
      <c r="R509" s="3300">
        <v>0</v>
      </c>
      <c r="S509" s="3300">
        <v>0</v>
      </c>
      <c r="T509" s="3300">
        <f>-27-S509-R509-Q509</f>
        <v>-27</v>
      </c>
      <c r="U509" s="3301">
        <f t="shared" si="822"/>
        <v>-27</v>
      </c>
      <c r="V509" s="3300">
        <v>0</v>
      </c>
      <c r="W509" s="3300">
        <v>0</v>
      </c>
      <c r="X509" s="3147">
        <v>0</v>
      </c>
      <c r="Y509" s="3300">
        <f>-49-X509-W509-V509</f>
        <v>-49</v>
      </c>
      <c r="Z509" s="3301">
        <f t="shared" si="806"/>
        <v>-49</v>
      </c>
      <c r="AA509" s="3300">
        <v>0</v>
      </c>
      <c r="AB509" s="3300">
        <v>0</v>
      </c>
      <c r="AC509" s="3300">
        <v>0</v>
      </c>
      <c r="AD509" s="3147">
        <f>+-54</f>
        <v>-54</v>
      </c>
      <c r="AE509" s="3306">
        <f t="shared" si="807"/>
        <v>-54</v>
      </c>
      <c r="AF509" s="3695">
        <v>0</v>
      </c>
      <c r="AG509" s="3300">
        <v>0</v>
      </c>
      <c r="AH509" s="3300">
        <v>0</v>
      </c>
      <c r="AI509" s="3692">
        <v>0</v>
      </c>
      <c r="AJ509" s="3693">
        <f t="shared" si="808"/>
        <v>0</v>
      </c>
      <c r="AK509" s="3691">
        <v>0</v>
      </c>
      <c r="AL509" s="3691">
        <v>0</v>
      </c>
      <c r="AM509" s="3691">
        <v>0</v>
      </c>
      <c r="AN509" s="3691">
        <v>0</v>
      </c>
      <c r="AO509" s="3693">
        <f t="shared" si="809"/>
        <v>0</v>
      </c>
      <c r="AP509" s="3694">
        <v>0</v>
      </c>
      <c r="AQ509" s="3694">
        <v>0</v>
      </c>
      <c r="AR509" s="162"/>
      <c r="AS509" s="522" t="str">
        <f t="shared" si="804"/>
        <v>Change in Timeshare Notes Receivable</v>
      </c>
      <c r="AT509" s="270">
        <f t="shared" si="836"/>
        <v>-55</v>
      </c>
      <c r="AU509" s="270">
        <f t="shared" si="837"/>
        <v>-53</v>
      </c>
      <c r="AV509" s="270">
        <f t="shared" si="838"/>
        <v>0</v>
      </c>
      <c r="AW509" s="270">
        <f t="shared" si="839"/>
        <v>-15</v>
      </c>
      <c r="AX509" s="270">
        <f t="shared" si="840"/>
        <v>-27</v>
      </c>
      <c r="AY509" s="270">
        <f t="shared" si="841"/>
        <v>-49</v>
      </c>
      <c r="AZ509" s="270">
        <f t="shared" si="842"/>
        <v>-54</v>
      </c>
      <c r="BA509" s="270">
        <f t="shared" si="843"/>
        <v>0</v>
      </c>
      <c r="BB509" s="270">
        <f t="shared" si="844"/>
        <v>0</v>
      </c>
      <c r="BC509" s="270">
        <f t="shared" si="844"/>
        <v>0</v>
      </c>
      <c r="BD509" s="697">
        <f t="shared" si="844"/>
        <v>0</v>
      </c>
      <c r="BE509" s="14"/>
      <c r="BF509" s="900"/>
      <c r="BG509"/>
      <c r="BH509"/>
      <c r="BI509"/>
      <c r="BJ509"/>
      <c r="BK509"/>
      <c r="BL509"/>
      <c r="BM509" s="902"/>
      <c r="BN509" s="902"/>
      <c r="BO509" s="902"/>
      <c r="BP509" s="931"/>
      <c r="BQ509" s="902"/>
      <c r="BR509" s="902"/>
      <c r="BS509" s="902"/>
    </row>
    <row r="510" spans="1:71" s="130" customFormat="1" ht="12.75" customHeight="1">
      <c r="A510" s="3311" t="s">
        <v>2209</v>
      </c>
      <c r="B510" s="3301"/>
      <c r="C510" s="3301"/>
      <c r="D510" s="3301"/>
      <c r="E510" s="3309">
        <v>92</v>
      </c>
      <c r="F510" s="3309">
        <v>128</v>
      </c>
      <c r="G510" s="3300">
        <v>0</v>
      </c>
      <c r="H510" s="3300">
        <v>0</v>
      </c>
      <c r="I510" s="3300">
        <v>0</v>
      </c>
      <c r="J510" s="3300">
        <v>0</v>
      </c>
      <c r="K510" s="3301">
        <f t="shared" si="826"/>
        <v>0</v>
      </c>
      <c r="L510" s="3300">
        <v>0</v>
      </c>
      <c r="M510" s="3300">
        <v>0</v>
      </c>
      <c r="N510" s="3300">
        <v>0</v>
      </c>
      <c r="O510" s="3300">
        <f>139-SUM(L510:N510)</f>
        <v>139</v>
      </c>
      <c r="P510" s="3301">
        <f t="shared" si="827"/>
        <v>139</v>
      </c>
      <c r="Q510" s="3300">
        <v>0</v>
      </c>
      <c r="R510" s="3300">
        <v>0</v>
      </c>
      <c r="S510" s="3300">
        <v>0</v>
      </c>
      <c r="T510" s="3300">
        <f>206-S510-R510-Q510</f>
        <v>206</v>
      </c>
      <c r="U510" s="3301">
        <f>SUM(Q510:T510)</f>
        <v>206</v>
      </c>
      <c r="V510" s="3300">
        <v>0</v>
      </c>
      <c r="W510" s="3300">
        <v>0</v>
      </c>
      <c r="X510" s="3147">
        <v>0</v>
      </c>
      <c r="Y510" s="3300">
        <f>64-X510-W510-V510</f>
        <v>64</v>
      </c>
      <c r="Z510" s="3301">
        <f t="shared" si="806"/>
        <v>64</v>
      </c>
      <c r="AA510" s="3300">
        <v>0</v>
      </c>
      <c r="AB510" s="3300">
        <v>0</v>
      </c>
      <c r="AC510" s="3300">
        <v>0</v>
      </c>
      <c r="AD510" s="3147">
        <v>154</v>
      </c>
      <c r="AE510" s="3306">
        <f t="shared" si="807"/>
        <v>154</v>
      </c>
      <c r="AF510" s="3695">
        <v>0</v>
      </c>
      <c r="AG510" s="3300">
        <v>0</v>
      </c>
      <c r="AH510" s="3300">
        <v>0</v>
      </c>
      <c r="AI510" s="3702">
        <f>+AH510</f>
        <v>0</v>
      </c>
      <c r="AJ510" s="3693">
        <f t="shared" si="808"/>
        <v>0</v>
      </c>
      <c r="AK510" s="3702">
        <f t="shared" ref="AK510:AN510" si="854">+AJ510</f>
        <v>0</v>
      </c>
      <c r="AL510" s="3702">
        <f t="shared" si="854"/>
        <v>0</v>
      </c>
      <c r="AM510" s="3702">
        <f t="shared" si="854"/>
        <v>0</v>
      </c>
      <c r="AN510" s="3702">
        <f t="shared" si="854"/>
        <v>0</v>
      </c>
      <c r="AO510" s="3693">
        <f t="shared" si="809"/>
        <v>0</v>
      </c>
      <c r="AP510" s="3703">
        <f>+AO510</f>
        <v>0</v>
      </c>
      <c r="AQ510" s="3703">
        <f>+AP510</f>
        <v>0</v>
      </c>
      <c r="AR510" s="162"/>
      <c r="AS510" s="522" t="str">
        <f t="shared" si="804"/>
        <v>Change in Liability for Guest Loyalty Program</v>
      </c>
      <c r="AT510" s="270">
        <f t="shared" si="836"/>
        <v>92</v>
      </c>
      <c r="AU510" s="270">
        <f t="shared" si="837"/>
        <v>128</v>
      </c>
      <c r="AV510" s="270">
        <f t="shared" si="838"/>
        <v>0</v>
      </c>
      <c r="AW510" s="270">
        <f t="shared" si="839"/>
        <v>139</v>
      </c>
      <c r="AX510" s="270">
        <f t="shared" si="840"/>
        <v>206</v>
      </c>
      <c r="AY510" s="270">
        <f t="shared" si="841"/>
        <v>64</v>
      </c>
      <c r="AZ510" s="270">
        <f t="shared" si="842"/>
        <v>154</v>
      </c>
      <c r="BA510" s="270">
        <f t="shared" si="843"/>
        <v>0</v>
      </c>
      <c r="BB510" s="270">
        <f t="shared" si="844"/>
        <v>0</v>
      </c>
      <c r="BC510" s="270">
        <f t="shared" si="844"/>
        <v>0</v>
      </c>
      <c r="BD510" s="697">
        <f t="shared" si="844"/>
        <v>0</v>
      </c>
      <c r="BE510" s="14"/>
      <c r="BF510" s="900"/>
      <c r="BG510"/>
      <c r="BH510"/>
      <c r="BI510"/>
      <c r="BJ510"/>
      <c r="BK510"/>
      <c r="BL510"/>
      <c r="BM510" s="902"/>
      <c r="BN510" s="902"/>
      <c r="BO510" s="902"/>
      <c r="BP510" s="931"/>
      <c r="BQ510" s="902"/>
      <c r="BR510" s="902"/>
      <c r="BS510" s="902"/>
    </row>
    <row r="511" spans="1:71" s="130" customFormat="1" ht="12.75" customHeight="1">
      <c r="A511" s="3311" t="s">
        <v>2210</v>
      </c>
      <c r="B511" s="3301"/>
      <c r="C511" s="3301"/>
      <c r="D511" s="3301"/>
      <c r="E511" s="3309">
        <v>709</v>
      </c>
      <c r="F511" s="3309">
        <v>83</v>
      </c>
      <c r="G511" s="3300">
        <v>0</v>
      </c>
      <c r="H511" s="3300">
        <v>0</v>
      </c>
      <c r="I511" s="3300">
        <v>0</v>
      </c>
      <c r="J511" s="3300">
        <v>0</v>
      </c>
      <c r="K511" s="3301">
        <f t="shared" si="826"/>
        <v>0</v>
      </c>
      <c r="L511" s="3300">
        <v>0</v>
      </c>
      <c r="M511" s="3300">
        <v>0</v>
      </c>
      <c r="N511" s="3300">
        <v>0</v>
      </c>
      <c r="O511" s="3300">
        <f>592+14-SUM(L511:N511)</f>
        <v>606</v>
      </c>
      <c r="P511" s="3301">
        <f t="shared" si="827"/>
        <v>606</v>
      </c>
      <c r="Q511" s="3300">
        <v>0</v>
      </c>
      <c r="R511" s="3300">
        <v>0</v>
      </c>
      <c r="S511" s="3300">
        <v>0</v>
      </c>
      <c r="T511" s="3300">
        <f>12-S511-R511-Q511</f>
        <v>12</v>
      </c>
      <c r="U511" s="3301">
        <f>SUM(Q511:T511)</f>
        <v>12</v>
      </c>
      <c r="V511" s="3300">
        <v>0</v>
      </c>
      <c r="W511" s="3300">
        <v>0</v>
      </c>
      <c r="X511" s="3147">
        <v>0</v>
      </c>
      <c r="Y511" s="3300">
        <f>154-X511-W511-V511</f>
        <v>154</v>
      </c>
      <c r="Z511" s="3301">
        <f t="shared" si="806"/>
        <v>154</v>
      </c>
      <c r="AA511" s="3300">
        <v>0</v>
      </c>
      <c r="AB511" s="3300">
        <v>0</v>
      </c>
      <c r="AC511" s="3300">
        <v>0</v>
      </c>
      <c r="AD511" s="3147">
        <v>199</v>
      </c>
      <c r="AE511" s="3306">
        <f t="shared" si="807"/>
        <v>199</v>
      </c>
      <c r="AF511" s="3695">
        <v>0</v>
      </c>
      <c r="AG511" s="3300">
        <v>0</v>
      </c>
      <c r="AH511" s="3300">
        <v>0</v>
      </c>
      <c r="AI511" s="3696">
        <v>0</v>
      </c>
      <c r="AJ511" s="3693">
        <f t="shared" si="808"/>
        <v>0</v>
      </c>
      <c r="AK511" s="3695">
        <v>0</v>
      </c>
      <c r="AL511" s="3695">
        <v>0</v>
      </c>
      <c r="AM511" s="3695">
        <v>0</v>
      </c>
      <c r="AN511" s="3695">
        <v>0</v>
      </c>
      <c r="AO511" s="3693">
        <f t="shared" si="809"/>
        <v>0</v>
      </c>
      <c r="AP511" s="3704">
        <f t="shared" ref="AP511:AQ511" si="855">AO511</f>
        <v>0</v>
      </c>
      <c r="AQ511" s="3704">
        <f t="shared" si="855"/>
        <v>0</v>
      </c>
      <c r="AR511" s="162"/>
      <c r="AS511" s="522" t="str">
        <f t="shared" si="804"/>
        <v>Change in Other Liabilities</v>
      </c>
      <c r="AT511" s="270">
        <f t="shared" si="836"/>
        <v>709</v>
      </c>
      <c r="AU511" s="270">
        <f t="shared" si="837"/>
        <v>83</v>
      </c>
      <c r="AV511" s="270">
        <f t="shared" si="838"/>
        <v>0</v>
      </c>
      <c r="AW511" s="270">
        <f t="shared" si="839"/>
        <v>606</v>
      </c>
      <c r="AX511" s="270">
        <f t="shared" si="840"/>
        <v>12</v>
      </c>
      <c r="AY511" s="270">
        <f t="shared" si="841"/>
        <v>154</v>
      </c>
      <c r="AZ511" s="270">
        <f t="shared" si="842"/>
        <v>199</v>
      </c>
      <c r="BA511" s="270">
        <f t="shared" si="843"/>
        <v>0</v>
      </c>
      <c r="BB511" s="270">
        <f t="shared" si="844"/>
        <v>0</v>
      </c>
      <c r="BC511" s="270">
        <f t="shared" si="844"/>
        <v>0</v>
      </c>
      <c r="BD511" s="697">
        <f t="shared" si="844"/>
        <v>0</v>
      </c>
      <c r="BE511" s="14"/>
      <c r="BF511" s="900"/>
      <c r="BG511"/>
      <c r="BH511"/>
      <c r="BI511"/>
      <c r="BJ511"/>
      <c r="BK511"/>
      <c r="BL511"/>
      <c r="BM511" s="902"/>
      <c r="BN511" s="902"/>
      <c r="BO511" s="902"/>
      <c r="BP511" s="931"/>
      <c r="BQ511" s="902"/>
      <c r="BR511" s="902"/>
      <c r="BS511" s="902"/>
    </row>
    <row r="512" spans="1:71" ht="12.75" customHeight="1">
      <c r="A512" s="3312" t="s">
        <v>395</v>
      </c>
      <c r="B512" s="3313"/>
      <c r="C512" s="3313"/>
      <c r="D512" s="3313"/>
      <c r="E512" s="3314">
        <v>5</v>
      </c>
      <c r="F512" s="3314">
        <v>-5</v>
      </c>
      <c r="G512" s="3315">
        <v>0</v>
      </c>
      <c r="H512" s="3315">
        <v>0</v>
      </c>
      <c r="I512" s="3315">
        <v>0</v>
      </c>
      <c r="J512" s="3315">
        <v>0</v>
      </c>
      <c r="K512" s="3313">
        <f>SUM(G512:J512)</f>
        <v>0</v>
      </c>
      <c r="L512" s="3316">
        <v>0</v>
      </c>
      <c r="M512" s="3316">
        <v>0</v>
      </c>
      <c r="N512" s="3316">
        <v>0</v>
      </c>
      <c r="O512" s="3315">
        <f>-21-SUM(L512:N512)</f>
        <v>-21</v>
      </c>
      <c r="P512" s="3313">
        <f>SUM(L512:O512)</f>
        <v>-21</v>
      </c>
      <c r="Q512" s="3316">
        <v>0</v>
      </c>
      <c r="R512" s="3316">
        <v>0</v>
      </c>
      <c r="S512" s="3316">
        <v>0</v>
      </c>
      <c r="T512" s="3316">
        <f>47-179-S512-R512-Q512</f>
        <v>-132</v>
      </c>
      <c r="U512" s="3313">
        <f t="shared" si="822"/>
        <v>-132</v>
      </c>
      <c r="V512" s="3316">
        <v>0</v>
      </c>
      <c r="W512" s="3316">
        <v>0</v>
      </c>
      <c r="X512" s="3316">
        <v>0</v>
      </c>
      <c r="Y512" s="3316">
        <f>-115-212-X512-W512-V512</f>
        <v>-327</v>
      </c>
      <c r="Z512" s="3313">
        <f t="shared" si="806"/>
        <v>-327</v>
      </c>
      <c r="AA512" s="3316">
        <v>0</v>
      </c>
      <c r="AB512" s="3316">
        <v>0</v>
      </c>
      <c r="AC512" s="3316">
        <v>0</v>
      </c>
      <c r="AD512" s="3316">
        <f>+-219-56</f>
        <v>-275</v>
      </c>
      <c r="AE512" s="3313">
        <f t="shared" si="807"/>
        <v>-275</v>
      </c>
      <c r="AF512" s="3705">
        <v>0</v>
      </c>
      <c r="AG512" s="3316">
        <v>0</v>
      </c>
      <c r="AH512" s="3316">
        <v>0</v>
      </c>
      <c r="AI512" s="4081">
        <f ca="1">570-SUM(AI490:AI501,AI525,AI539,AH545)</f>
        <v>-71.899193874019375</v>
      </c>
      <c r="AJ512" s="3707">
        <f t="shared" ca="1" si="808"/>
        <v>-71.899193874019375</v>
      </c>
      <c r="AK512" s="4124">
        <f>15*(1-AK98)</f>
        <v>10.649999999999999</v>
      </c>
      <c r="AL512" s="4124">
        <f t="shared" ref="AL512:AN512" si="856">15*(1-AL98)</f>
        <v>10.649999999999999</v>
      </c>
      <c r="AM512" s="4124">
        <f t="shared" si="856"/>
        <v>10.649999999999999</v>
      </c>
      <c r="AN512" s="4124">
        <f t="shared" si="856"/>
        <v>10.649999999999999</v>
      </c>
      <c r="AO512" s="4125">
        <f t="shared" si="809"/>
        <v>42.599999999999994</v>
      </c>
      <c r="AP512" s="4126">
        <f>+AO512</f>
        <v>42.599999999999994</v>
      </c>
      <c r="AQ512" s="4126">
        <f>+AP512</f>
        <v>42.599999999999994</v>
      </c>
      <c r="AR512" s="269"/>
      <c r="AS512" s="617" t="str">
        <f t="shared" si="804"/>
        <v>Other</v>
      </c>
      <c r="AT512" s="829">
        <f t="shared" si="836"/>
        <v>5</v>
      </c>
      <c r="AU512" s="829">
        <f t="shared" si="837"/>
        <v>-5</v>
      </c>
      <c r="AV512" s="829">
        <f t="shared" si="838"/>
        <v>0</v>
      </c>
      <c r="AW512" s="829">
        <f t="shared" si="839"/>
        <v>-21</v>
      </c>
      <c r="AX512" s="829">
        <f t="shared" si="840"/>
        <v>-132</v>
      </c>
      <c r="AY512" s="829">
        <f t="shared" si="841"/>
        <v>-327</v>
      </c>
      <c r="AZ512" s="829">
        <f t="shared" si="842"/>
        <v>-275</v>
      </c>
      <c r="BA512" s="829">
        <f t="shared" ca="1" si="843"/>
        <v>-71.899193874019375</v>
      </c>
      <c r="BB512" s="829">
        <f t="shared" si="844"/>
        <v>42.599999999999994</v>
      </c>
      <c r="BC512" s="829">
        <f t="shared" si="844"/>
        <v>42.599999999999994</v>
      </c>
      <c r="BD512" s="888">
        <f t="shared" si="844"/>
        <v>42.599999999999994</v>
      </c>
      <c r="BF512" s="900"/>
      <c r="BM512" s="902"/>
      <c r="BN512" s="902"/>
      <c r="BO512" s="902"/>
      <c r="BP512" s="931"/>
      <c r="BQ512" s="902"/>
      <c r="BR512" s="902"/>
      <c r="BS512" s="902"/>
    </row>
    <row r="513" spans="1:71" s="11" customFormat="1" ht="12.75" customHeight="1">
      <c r="A513" s="3318" t="s">
        <v>903</v>
      </c>
      <c r="B513" s="3319"/>
      <c r="C513" s="3319"/>
      <c r="D513" s="3319"/>
      <c r="E513" s="3319">
        <f t="shared" ref="E513:M513" si="857">SUM(E490:E501,E508:E512)</f>
        <v>833</v>
      </c>
      <c r="F513" s="3319">
        <f t="shared" si="857"/>
        <v>1167</v>
      </c>
      <c r="G513" s="3320">
        <f t="shared" si="857"/>
        <v>-9</v>
      </c>
      <c r="H513" s="3321">
        <f t="shared" si="857"/>
        <v>437</v>
      </c>
      <c r="I513" s="3321">
        <f t="shared" si="857"/>
        <v>322</v>
      </c>
      <c r="J513" s="3322">
        <f t="shared" si="857"/>
        <v>360</v>
      </c>
      <c r="K513" s="3319">
        <f t="shared" si="857"/>
        <v>1110</v>
      </c>
      <c r="L513" s="3321">
        <f t="shared" si="857"/>
        <v>172</v>
      </c>
      <c r="M513" s="3321">
        <f t="shared" si="857"/>
        <v>466</v>
      </c>
      <c r="N513" s="3321">
        <f t="shared" ref="N513:U513" si="858">SUM(N490:N501,N508:N512)</f>
        <v>386</v>
      </c>
      <c r="O513" s="3322">
        <f t="shared" si="858"/>
        <v>1077</v>
      </c>
      <c r="P513" s="3319">
        <f t="shared" si="858"/>
        <v>2101</v>
      </c>
      <c r="Q513" s="3321">
        <f t="shared" si="858"/>
        <v>147</v>
      </c>
      <c r="R513" s="3321">
        <f t="shared" si="858"/>
        <v>365</v>
      </c>
      <c r="S513" s="3321">
        <f t="shared" si="858"/>
        <v>387</v>
      </c>
      <c r="T513" s="3322">
        <f t="shared" si="858"/>
        <v>467</v>
      </c>
      <c r="U513" s="3319">
        <f t="shared" si="858"/>
        <v>1366</v>
      </c>
      <c r="V513" s="3321">
        <f t="shared" ref="V513:AE513" si="859">SUM(V490:V501,V508:V512)</f>
        <v>286</v>
      </c>
      <c r="W513" s="3321">
        <f t="shared" si="859"/>
        <v>362</v>
      </c>
      <c r="X513" s="3321">
        <f t="shared" si="859"/>
        <v>343</v>
      </c>
      <c r="Y513" s="3322">
        <f t="shared" si="859"/>
        <v>403</v>
      </c>
      <c r="Z513" s="3319">
        <f t="shared" si="859"/>
        <v>1394</v>
      </c>
      <c r="AA513" s="3321">
        <f t="shared" si="859"/>
        <v>312</v>
      </c>
      <c r="AB513" s="3321">
        <f>SUM(AB490:AB501,AB508:AB512)</f>
        <v>343</v>
      </c>
      <c r="AC513" s="3321">
        <f t="shared" si="859"/>
        <v>281</v>
      </c>
      <c r="AD513" s="3322">
        <f t="shared" si="859"/>
        <v>414</v>
      </c>
      <c r="AE513" s="3319">
        <f t="shared" si="859"/>
        <v>1350</v>
      </c>
      <c r="AF513" s="3709">
        <f>SUM(AF490:AF501,AF508:AF512)</f>
        <v>205</v>
      </c>
      <c r="AG513" s="3321">
        <f>SUM(AG490:AG501,AG508:AG512)</f>
        <v>312</v>
      </c>
      <c r="AH513" s="3321">
        <f>SUM(AH490:AH501,AH508:AH512)</f>
        <v>269</v>
      </c>
      <c r="AI513" s="3710">
        <f t="shared" ref="AI513:AQ513" ca="1" si="860">SUM(AI490:AI501,AI508:AI512)</f>
        <v>224.62080612598061</v>
      </c>
      <c r="AJ513" s="3711">
        <f t="shared" ca="1" si="860"/>
        <v>1010.6208061259806</v>
      </c>
      <c r="AK513" s="3709">
        <f t="shared" ref="AK513:AO513" ca="1" si="861">SUM(AK490:AK501,AK508:AK512)</f>
        <v>256.77541690381497</v>
      </c>
      <c r="AL513" s="3709">
        <f t="shared" ca="1" si="861"/>
        <v>446.81113476588877</v>
      </c>
      <c r="AM513" s="3709">
        <f t="shared" ca="1" si="861"/>
        <v>363.32892380679135</v>
      </c>
      <c r="AN513" s="3709">
        <f t="shared" ca="1" si="861"/>
        <v>338.37762235190564</v>
      </c>
      <c r="AO513" s="3711">
        <f t="shared" ca="1" si="861"/>
        <v>1405.2930978284007</v>
      </c>
      <c r="AP513" s="3711">
        <f t="shared" ca="1" si="860"/>
        <v>1534.6556859831915</v>
      </c>
      <c r="AQ513" s="3711">
        <f t="shared" ca="1" si="860"/>
        <v>1562.0123011333417</v>
      </c>
      <c r="AR513" s="783"/>
      <c r="AS513" s="1545" t="str">
        <f t="shared" si="804"/>
        <v>Cash From Operating Activity</v>
      </c>
      <c r="AT513" s="783">
        <f t="shared" si="836"/>
        <v>833</v>
      </c>
      <c r="AU513" s="783">
        <f t="shared" si="837"/>
        <v>1167</v>
      </c>
      <c r="AV513" s="783">
        <f t="shared" si="838"/>
        <v>1110</v>
      </c>
      <c r="AW513" s="783">
        <f t="shared" si="839"/>
        <v>2101</v>
      </c>
      <c r="AX513" s="783">
        <f t="shared" si="840"/>
        <v>1366</v>
      </c>
      <c r="AY513" s="783">
        <f t="shared" si="841"/>
        <v>1394</v>
      </c>
      <c r="AZ513" s="783">
        <f t="shared" si="842"/>
        <v>1350</v>
      </c>
      <c r="BA513" s="783">
        <f t="shared" ca="1" si="843"/>
        <v>1010.6208061259806</v>
      </c>
      <c r="BB513" s="783">
        <f t="shared" ca="1" si="844"/>
        <v>1405.2930978284007</v>
      </c>
      <c r="BC513" s="783">
        <f t="shared" ca="1" si="844"/>
        <v>1534.6556859831915</v>
      </c>
      <c r="BD513" s="1441">
        <f t="shared" ca="1" si="844"/>
        <v>1562.0123011333417</v>
      </c>
      <c r="BE513" s="14"/>
      <c r="BF513" s="908"/>
      <c r="BG513"/>
      <c r="BH513"/>
      <c r="BI513"/>
      <c r="BJ513"/>
      <c r="BK513"/>
      <c r="BL513"/>
      <c r="BM513" s="909"/>
      <c r="BN513" s="909"/>
      <c r="BO513" s="909"/>
      <c r="BP513" s="931"/>
      <c r="BQ513" s="902"/>
      <c r="BR513" s="909"/>
      <c r="BS513" s="909"/>
    </row>
    <row r="514" spans="1:71" ht="12.75" customHeight="1">
      <c r="A514" s="3323"/>
      <c r="B514" s="3229"/>
      <c r="C514" s="3229"/>
      <c r="D514" s="3229"/>
      <c r="E514" s="3229"/>
      <c r="F514" s="3229"/>
      <c r="G514" s="3166"/>
      <c r="H514" s="3166"/>
      <c r="I514" s="3166"/>
      <c r="J514" s="3166"/>
      <c r="K514" s="3229"/>
      <c r="L514" s="3166"/>
      <c r="M514" s="3166"/>
      <c r="N514" s="3166"/>
      <c r="O514" s="3166"/>
      <c r="P514" s="3324"/>
      <c r="Q514" s="3166"/>
      <c r="R514" s="3166"/>
      <c r="S514" s="3166"/>
      <c r="T514" s="3325"/>
      <c r="U514" s="3324"/>
      <c r="V514" s="3166"/>
      <c r="W514" s="3166"/>
      <c r="X514" s="3166"/>
      <c r="Y514" s="3325"/>
      <c r="Z514" s="3324"/>
      <c r="AA514" s="3327"/>
      <c r="AB514" s="3166"/>
      <c r="AC514" s="3166"/>
      <c r="AD514" s="3326"/>
      <c r="AE514" s="3229"/>
      <c r="AF514" s="3712"/>
      <c r="AG514" s="3712"/>
      <c r="AH514" s="4035"/>
      <c r="AI514" s="3713"/>
      <c r="AJ514" s="3680"/>
      <c r="AK514" s="3712"/>
      <c r="AL514" s="3712"/>
      <c r="AM514" s="3712"/>
      <c r="AN514" s="3713"/>
      <c r="AO514" s="3680"/>
      <c r="AP514" s="3680"/>
      <c r="AQ514" s="3680"/>
      <c r="AR514" s="155"/>
      <c r="AS514" s="386"/>
      <c r="AT514" s="155"/>
      <c r="AU514" s="155"/>
      <c r="AV514" s="155"/>
      <c r="AW514" s="155">
        <f t="shared" si="839"/>
        <v>0</v>
      </c>
      <c r="AX514" s="155"/>
      <c r="AY514" s="155"/>
      <c r="AZ514" s="155"/>
      <c r="BA514" s="155"/>
      <c r="BB514" s="155"/>
      <c r="BC514" s="155"/>
      <c r="BD514" s="867"/>
      <c r="BF514" s="900"/>
      <c r="BM514" s="902"/>
      <c r="BN514" s="902"/>
      <c r="BO514" s="902"/>
      <c r="BP514" s="902"/>
      <c r="BQ514" s="902"/>
      <c r="BR514" s="902"/>
      <c r="BS514" s="902"/>
    </row>
    <row r="515" spans="1:71" ht="12.75" customHeight="1">
      <c r="A515" s="3328" t="s">
        <v>2176</v>
      </c>
      <c r="B515" s="3229"/>
      <c r="C515" s="3229"/>
      <c r="D515" s="3229"/>
      <c r="E515" s="3229"/>
      <c r="F515" s="3229"/>
      <c r="G515" s="3166"/>
      <c r="H515" s="3166"/>
      <c r="I515" s="3166"/>
      <c r="J515" s="3166"/>
      <c r="K515" s="3229"/>
      <c r="L515" s="3166"/>
      <c r="M515" s="3166"/>
      <c r="N515" s="3166"/>
      <c r="O515" s="3166"/>
      <c r="P515" s="3229"/>
      <c r="Q515" s="3166"/>
      <c r="R515" s="3166"/>
      <c r="S515" s="3166"/>
      <c r="T515" s="3326"/>
      <c r="U515" s="3229"/>
      <c r="V515" s="3166"/>
      <c r="W515" s="3166"/>
      <c r="X515" s="3166"/>
      <c r="Y515" s="3326"/>
      <c r="Z515" s="3229"/>
      <c r="AA515" s="3166"/>
      <c r="AB515" s="3166"/>
      <c r="AC515" s="3166"/>
      <c r="AD515" s="3232"/>
      <c r="AE515" s="3229"/>
      <c r="AF515" s="3678"/>
      <c r="AG515" s="3678"/>
      <c r="AH515" s="4036"/>
      <c r="AI515" s="3679"/>
      <c r="AJ515" s="3714"/>
      <c r="AK515" s="3678"/>
      <c r="AL515" s="3678"/>
      <c r="AM515" s="3678"/>
      <c r="AN515" s="3679"/>
      <c r="AO515" s="3680"/>
      <c r="AP515" s="3680"/>
      <c r="AQ515" s="3680"/>
      <c r="AR515" s="155"/>
      <c r="AS515" s="493" t="str">
        <f t="shared" ref="AS515:AS525" si="862">+A515</f>
        <v>Cash From Investing Activities</v>
      </c>
      <c r="AT515" s="155"/>
      <c r="AU515" s="155"/>
      <c r="AV515" s="155"/>
      <c r="AW515" s="155"/>
      <c r="AX515" s="155"/>
      <c r="AY515" s="155"/>
      <c r="AZ515" s="155"/>
      <c r="BA515" s="155"/>
      <c r="BB515" s="155"/>
      <c r="BC515" s="155"/>
      <c r="BD515" s="867"/>
      <c r="BF515" s="900"/>
      <c r="BM515" s="902"/>
      <c r="BN515" s="902"/>
      <c r="BO515" s="902"/>
      <c r="BP515" s="902"/>
      <c r="BQ515" s="902"/>
      <c r="BR515" s="902"/>
      <c r="BS515" s="902"/>
    </row>
    <row r="516" spans="1:71" ht="12.75" customHeight="1">
      <c r="A516" s="3311" t="s">
        <v>407</v>
      </c>
      <c r="B516" s="3329"/>
      <c r="C516" s="3329"/>
      <c r="D516" s="3329"/>
      <c r="E516" s="3302">
        <v>-148</v>
      </c>
      <c r="F516" s="3302">
        <v>-389</v>
      </c>
      <c r="G516" s="3330">
        <v>-116</v>
      </c>
      <c r="H516" s="3330">
        <v>-127</v>
      </c>
      <c r="I516" s="3330">
        <v>-93</v>
      </c>
      <c r="J516" s="3330">
        <v>-97</v>
      </c>
      <c r="K516" s="3301">
        <f>SUM(G516:J516)</f>
        <v>-433</v>
      </c>
      <c r="L516" s="3330">
        <v>-57</v>
      </c>
      <c r="M516" s="3330">
        <v>-64</v>
      </c>
      <c r="N516" s="3330">
        <v>-46</v>
      </c>
      <c r="O516" s="3330">
        <f>-254-SUM(L516:N516)</f>
        <v>-87</v>
      </c>
      <c r="P516" s="3301">
        <f>SUM(L516:O516)</f>
        <v>-254</v>
      </c>
      <c r="Q516" s="3330">
        <v>-43</v>
      </c>
      <c r="R516" s="3330">
        <f>-110-Q516</f>
        <v>-67</v>
      </c>
      <c r="S516" s="3300">
        <f>-184-R516-Q516</f>
        <v>-74</v>
      </c>
      <c r="T516" s="3307">
        <f>-268-S516-R516-Q516</f>
        <v>-84</v>
      </c>
      <c r="U516" s="3301">
        <f>SUM(Q516:T516)</f>
        <v>-268</v>
      </c>
      <c r="V516" s="3330">
        <v>-88</v>
      </c>
      <c r="W516" s="3330">
        <f>-159-V516</f>
        <v>-71</v>
      </c>
      <c r="X516" s="3147">
        <f>-214-W516-V516</f>
        <v>-55</v>
      </c>
      <c r="Y516" s="3307">
        <f>-310-X516-W516-V516</f>
        <v>-96</v>
      </c>
      <c r="Z516" s="3301">
        <f t="shared" ref="Z516:Z524" si="863">SUM(V516:Y516)</f>
        <v>-310</v>
      </c>
      <c r="AA516" s="3330">
        <v>-84</v>
      </c>
      <c r="AB516" s="3330">
        <f>-169-AA516</f>
        <v>-85</v>
      </c>
      <c r="AC516" s="3330">
        <f>+-227-SUM(AA516:AB516)</f>
        <v>-58</v>
      </c>
      <c r="AD516" s="3330">
        <v>-90</v>
      </c>
      <c r="AE516" s="3331">
        <f t="shared" ref="AE516:AE524" si="864">SUM(AA516:AD516)</f>
        <v>-317</v>
      </c>
      <c r="AF516" s="3715">
        <v>-9</v>
      </c>
      <c r="AG516" s="3330">
        <f>-18-AF516</f>
        <v>-9</v>
      </c>
      <c r="AH516" s="3330">
        <f>-36-AG516-AF516</f>
        <v>-18</v>
      </c>
      <c r="AI516" s="3330">
        <v>-22</v>
      </c>
      <c r="AJ516" s="3717">
        <f t="shared" ref="AJ516:AJ524" si="865">SUM(AF516:AI516)</f>
        <v>-58</v>
      </c>
      <c r="AK516" s="3716">
        <f t="shared" ref="AK516:AN516" si="866">-AK468</f>
        <v>-7.8714501393964316</v>
      </c>
      <c r="AL516" s="3716">
        <f t="shared" si="866"/>
        <v>-10.963439100972771</v>
      </c>
      <c r="AM516" s="3716">
        <f t="shared" si="866"/>
        <v>-10.727126685854381</v>
      </c>
      <c r="AN516" s="3716">
        <f t="shared" si="866"/>
        <v>-10.260974126126964</v>
      </c>
      <c r="AO516" s="3717">
        <f t="shared" ref="AO516:AO524" si="867">SUM(AK516:AN516)</f>
        <v>-39.822990052350548</v>
      </c>
      <c r="AP516" s="3718">
        <f>-AP468</f>
        <v>-40.881484791285459</v>
      </c>
      <c r="AQ516" s="3718">
        <f>-AQ468</f>
        <v>-39.096584677119992</v>
      </c>
      <c r="AR516" s="145"/>
      <c r="AS516" s="522" t="str">
        <f t="shared" si="862"/>
        <v>Capital Expenditures</v>
      </c>
      <c r="AT516" s="145">
        <f t="shared" ref="AT516:AT525" si="868">+E516</f>
        <v>-148</v>
      </c>
      <c r="AU516" s="145">
        <f t="shared" ref="AU516:AU525" si="869">+F516</f>
        <v>-389</v>
      </c>
      <c r="AV516" s="145">
        <f t="shared" ref="AV516:AV525" si="870">+K516</f>
        <v>-433</v>
      </c>
      <c r="AW516" s="145">
        <f t="shared" ref="AW516:AW526" si="871">+P516</f>
        <v>-254</v>
      </c>
      <c r="AX516" s="145">
        <f t="shared" ref="AX516:AX526" si="872">+U516</f>
        <v>-268</v>
      </c>
      <c r="AY516" s="145">
        <f t="shared" ref="AY516:AY525" si="873">+Z516</f>
        <v>-310</v>
      </c>
      <c r="AZ516" s="145">
        <f t="shared" ref="AZ516:AZ525" si="874">+AE516</f>
        <v>-317</v>
      </c>
      <c r="BA516" s="145">
        <f t="shared" ref="BA516:BA525" si="875">+AJ516</f>
        <v>-58</v>
      </c>
      <c r="BB516" s="145">
        <f t="shared" ref="BB516:BD525" si="876">+AO516</f>
        <v>-39.822990052350548</v>
      </c>
      <c r="BC516" s="145">
        <f t="shared" si="876"/>
        <v>-40.881484791285459</v>
      </c>
      <c r="BD516" s="892">
        <f t="shared" si="876"/>
        <v>-39.096584677119992</v>
      </c>
      <c r="BF516" s="900"/>
      <c r="BM516" s="902"/>
      <c r="BN516" s="902"/>
      <c r="BO516" s="902"/>
      <c r="BP516" s="931"/>
      <c r="BQ516" s="902"/>
      <c r="BR516" s="902"/>
      <c r="BS516" s="902"/>
    </row>
    <row r="517" spans="1:71" ht="12.75" customHeight="1">
      <c r="A517" s="3311" t="s">
        <v>1806</v>
      </c>
      <c r="B517" s="3301"/>
      <c r="C517" s="3301"/>
      <c r="D517" s="3301"/>
      <c r="E517" s="3302">
        <v>-216</v>
      </c>
      <c r="F517" s="3302">
        <v>-12</v>
      </c>
      <c r="G517" s="3300">
        <v>0</v>
      </c>
      <c r="H517" s="3300">
        <v>0</v>
      </c>
      <c r="I517" s="3300">
        <v>0</v>
      </c>
      <c r="J517" s="3300">
        <v>0</v>
      </c>
      <c r="K517" s="3301">
        <f t="shared" ref="K517:K524" si="877">SUM(G517:J517)</f>
        <v>0</v>
      </c>
      <c r="L517" s="3300">
        <v>0</v>
      </c>
      <c r="M517" s="3330">
        <v>-30</v>
      </c>
      <c r="N517" s="3300">
        <v>0</v>
      </c>
      <c r="O517" s="3300">
        <f>-30-SUM(L517:N517)</f>
        <v>0</v>
      </c>
      <c r="P517" s="3301">
        <f t="shared" ref="P517:P524" si="878">SUM(L517:O517)</f>
        <v>-30</v>
      </c>
      <c r="Q517" s="3300">
        <v>0</v>
      </c>
      <c r="R517" s="3300">
        <v>0</v>
      </c>
      <c r="S517" s="3300">
        <v>0</v>
      </c>
      <c r="T517" s="3307">
        <v>0</v>
      </c>
      <c r="U517" s="3301">
        <f t="shared" ref="U517:U524" si="879">SUM(Q517:T517)</f>
        <v>0</v>
      </c>
      <c r="V517" s="3333">
        <v>-1298</v>
      </c>
      <c r="W517" s="3300">
        <f>-1410-V517</f>
        <v>-112</v>
      </c>
      <c r="X517" s="3147">
        <f>-1410-W517-V517</f>
        <v>0</v>
      </c>
      <c r="Y517" s="3307">
        <f>-1410-V517-W517-X517</f>
        <v>0</v>
      </c>
      <c r="Z517" s="3301">
        <f t="shared" si="863"/>
        <v>-1410</v>
      </c>
      <c r="AA517" s="3333">
        <v>0</v>
      </c>
      <c r="AB517" s="3300">
        <f>0-AA517</f>
        <v>0</v>
      </c>
      <c r="AC517" s="3300">
        <v>0</v>
      </c>
      <c r="AD517" s="3307">
        <v>0</v>
      </c>
      <c r="AE517" s="3306">
        <f t="shared" si="864"/>
        <v>0</v>
      </c>
      <c r="AF517" s="3695">
        <v>0</v>
      </c>
      <c r="AG517" s="3300">
        <v>0</v>
      </c>
      <c r="AH517" s="3300">
        <v>0</v>
      </c>
      <c r="AI517" s="3696">
        <v>0</v>
      </c>
      <c r="AJ517" s="3693">
        <f t="shared" si="865"/>
        <v>0</v>
      </c>
      <c r="AK517" s="3695">
        <v>0</v>
      </c>
      <c r="AL517" s="3695">
        <v>0</v>
      </c>
      <c r="AM517" s="3695">
        <v>0</v>
      </c>
      <c r="AN517" s="3695">
        <v>0</v>
      </c>
      <c r="AO517" s="3693">
        <f t="shared" si="867"/>
        <v>0</v>
      </c>
      <c r="AP517" s="3696">
        <v>0</v>
      </c>
      <c r="AQ517" s="3697">
        <v>0</v>
      </c>
      <c r="AR517" s="268"/>
      <c r="AS517" s="522" t="str">
        <f t="shared" si="862"/>
        <v>Acquisitions</v>
      </c>
      <c r="AT517" s="270">
        <f t="shared" si="868"/>
        <v>-216</v>
      </c>
      <c r="AU517" s="270">
        <f t="shared" si="869"/>
        <v>-12</v>
      </c>
      <c r="AV517" s="270">
        <f t="shared" si="870"/>
        <v>0</v>
      </c>
      <c r="AW517" s="270">
        <f t="shared" si="871"/>
        <v>-30</v>
      </c>
      <c r="AX517" s="270">
        <f t="shared" si="872"/>
        <v>0</v>
      </c>
      <c r="AY517" s="270">
        <f t="shared" si="873"/>
        <v>-1410</v>
      </c>
      <c r="AZ517" s="270">
        <f t="shared" si="874"/>
        <v>0</v>
      </c>
      <c r="BA517" s="270">
        <f t="shared" si="875"/>
        <v>0</v>
      </c>
      <c r="BB517" s="270">
        <f t="shared" si="876"/>
        <v>0</v>
      </c>
      <c r="BC517" s="270">
        <f t="shared" si="876"/>
        <v>0</v>
      </c>
      <c r="BD517" s="697">
        <f t="shared" si="876"/>
        <v>0</v>
      </c>
      <c r="BF517" s="900"/>
      <c r="BM517" s="902"/>
      <c r="BN517" s="902"/>
      <c r="BO517" s="902"/>
      <c r="BP517" s="931"/>
      <c r="BQ517" s="902"/>
      <c r="BR517" s="902"/>
      <c r="BS517" s="902"/>
    </row>
    <row r="518" spans="1:71" ht="12.75" customHeight="1">
      <c r="A518" s="3311" t="s">
        <v>1856</v>
      </c>
      <c r="B518" s="3301"/>
      <c r="C518" s="3301"/>
      <c r="D518" s="3301"/>
      <c r="E518" s="3302">
        <v>4</v>
      </c>
      <c r="F518" s="3302">
        <v>7</v>
      </c>
      <c r="G518" s="3300">
        <v>3</v>
      </c>
      <c r="H518" s="3300">
        <v>1</v>
      </c>
      <c r="I518" s="3300">
        <v>3</v>
      </c>
      <c r="J518" s="3300">
        <v>1</v>
      </c>
      <c r="K518" s="3301">
        <f t="shared" si="877"/>
        <v>8</v>
      </c>
      <c r="L518" s="3300">
        <v>0</v>
      </c>
      <c r="M518" s="3330">
        <v>1</v>
      </c>
      <c r="N518" s="3300">
        <v>2</v>
      </c>
      <c r="O518" s="3300">
        <f>5-SUM(L518:N518)</f>
        <v>2</v>
      </c>
      <c r="P518" s="3301">
        <f t="shared" si="878"/>
        <v>5</v>
      </c>
      <c r="Q518" s="3300">
        <v>1</v>
      </c>
      <c r="R518" s="3300">
        <f>2-Q518</f>
        <v>1</v>
      </c>
      <c r="S518" s="3300">
        <f>18-R518-Q518</f>
        <v>16</v>
      </c>
      <c r="T518" s="3307">
        <f>20-S518-R518-Q518</f>
        <v>2</v>
      </c>
      <c r="U518" s="3301">
        <f t="shared" si="879"/>
        <v>20</v>
      </c>
      <c r="V518" s="3300">
        <v>1</v>
      </c>
      <c r="W518" s="3300">
        <f>2-V518</f>
        <v>1</v>
      </c>
      <c r="X518" s="3147">
        <f>3-W518-V518</f>
        <v>1</v>
      </c>
      <c r="Y518" s="3307">
        <f>5-X518-W518-V518</f>
        <v>2</v>
      </c>
      <c r="Z518" s="3301">
        <f t="shared" si="863"/>
        <v>5</v>
      </c>
      <c r="AA518" s="3300">
        <v>1</v>
      </c>
      <c r="AB518" s="3300">
        <f>1-AA518</f>
        <v>0</v>
      </c>
      <c r="AC518" s="3300">
        <f>2-SUM(AA518:AB518)</f>
        <v>1</v>
      </c>
      <c r="AD518" s="3307">
        <f>0-SUM(AA518:AC518)</f>
        <v>-2</v>
      </c>
      <c r="AE518" s="3334">
        <f t="shared" si="864"/>
        <v>0</v>
      </c>
      <c r="AF518" s="3695">
        <v>0</v>
      </c>
      <c r="AG518" s="3300">
        <v>0</v>
      </c>
      <c r="AH518" s="3300">
        <v>0</v>
      </c>
      <c r="AI518" s="3692">
        <f>AI553-AH553</f>
        <v>0</v>
      </c>
      <c r="AJ518" s="3719">
        <f t="shared" si="865"/>
        <v>0</v>
      </c>
      <c r="AK518" s="3691">
        <f t="shared" ref="AK518:AN518" si="880">AK553-AJ553</f>
        <v>0</v>
      </c>
      <c r="AL518" s="3691">
        <f t="shared" si="880"/>
        <v>0</v>
      </c>
      <c r="AM518" s="3691">
        <f t="shared" si="880"/>
        <v>0</v>
      </c>
      <c r="AN518" s="3691">
        <f t="shared" si="880"/>
        <v>0</v>
      </c>
      <c r="AO518" s="3693">
        <f t="shared" si="867"/>
        <v>0</v>
      </c>
      <c r="AP518" s="3692">
        <f>AP553-AO553</f>
        <v>0</v>
      </c>
      <c r="AQ518" s="3692">
        <f>AQ553-AP553</f>
        <v>0</v>
      </c>
      <c r="AR518" s="268"/>
      <c r="AS518" s="522" t="str">
        <f t="shared" si="862"/>
        <v>Payments Received on Other Financing Receivables</v>
      </c>
      <c r="AT518" s="270">
        <f t="shared" si="868"/>
        <v>4</v>
      </c>
      <c r="AU518" s="270">
        <f t="shared" si="869"/>
        <v>7</v>
      </c>
      <c r="AV518" s="270">
        <f t="shared" si="870"/>
        <v>8</v>
      </c>
      <c r="AW518" s="270">
        <f t="shared" si="871"/>
        <v>5</v>
      </c>
      <c r="AX518" s="270">
        <f t="shared" si="872"/>
        <v>20</v>
      </c>
      <c r="AY518" s="270">
        <f t="shared" si="873"/>
        <v>5</v>
      </c>
      <c r="AZ518" s="270">
        <f t="shared" si="874"/>
        <v>0</v>
      </c>
      <c r="BA518" s="270">
        <f t="shared" si="875"/>
        <v>0</v>
      </c>
      <c r="BB518" s="270">
        <f t="shared" si="876"/>
        <v>0</v>
      </c>
      <c r="BC518" s="270">
        <f t="shared" si="876"/>
        <v>0</v>
      </c>
      <c r="BD518" s="697">
        <f t="shared" si="876"/>
        <v>0</v>
      </c>
      <c r="BF518" s="900"/>
      <c r="BM518" s="902"/>
      <c r="BN518" s="902"/>
      <c r="BO518" s="902"/>
      <c r="BP518" s="931"/>
      <c r="BQ518" s="902"/>
      <c r="BR518" s="902"/>
      <c r="BS518" s="902"/>
    </row>
    <row r="519" spans="1:71" ht="12.75" customHeight="1">
      <c r="A519" s="3311" t="s">
        <v>1857</v>
      </c>
      <c r="B519" s="3301"/>
      <c r="C519" s="3301"/>
      <c r="D519" s="3301"/>
      <c r="E519" s="3302">
        <v>-2</v>
      </c>
      <c r="F519" s="3302">
        <v>0</v>
      </c>
      <c r="G519" s="3300">
        <v>-2</v>
      </c>
      <c r="H519" s="3300">
        <v>1</v>
      </c>
      <c r="I519" s="3300">
        <v>-2</v>
      </c>
      <c r="J519" s="3300">
        <v>-1</v>
      </c>
      <c r="K519" s="3301">
        <f t="shared" si="877"/>
        <v>-4</v>
      </c>
      <c r="L519" s="3300">
        <v>-7</v>
      </c>
      <c r="M519" s="3330">
        <v>0</v>
      </c>
      <c r="N519" s="3300">
        <v>-1</v>
      </c>
      <c r="O519" s="3300">
        <f>-10-SUM(L519:N519)</f>
        <v>-2</v>
      </c>
      <c r="P519" s="3301">
        <f t="shared" si="878"/>
        <v>-10</v>
      </c>
      <c r="Q519" s="3300">
        <v>-1</v>
      </c>
      <c r="R519" s="3300">
        <f>-1-Q519</f>
        <v>0</v>
      </c>
      <c r="S519" s="3300">
        <f>-1-R519-Q519</f>
        <v>0</v>
      </c>
      <c r="T519" s="3307">
        <f>-1-S519-R519-Q519</f>
        <v>0</v>
      </c>
      <c r="U519" s="3301">
        <f t="shared" si="879"/>
        <v>-1</v>
      </c>
      <c r="V519" s="3300">
        <v>-2</v>
      </c>
      <c r="W519" s="3300">
        <f>-6-V519</f>
        <v>-4</v>
      </c>
      <c r="X519" s="3147">
        <f>-9-W519-V519</f>
        <v>-3</v>
      </c>
      <c r="Y519" s="3307">
        <f>-11-X519-W519-V519</f>
        <v>-2</v>
      </c>
      <c r="Z519" s="3301">
        <f t="shared" si="863"/>
        <v>-11</v>
      </c>
      <c r="AA519" s="3300">
        <v>-9</v>
      </c>
      <c r="AB519" s="3300">
        <f>-18-AA519</f>
        <v>-9</v>
      </c>
      <c r="AC519" s="3300">
        <f>+-33-SUM(AA519:AB519)</f>
        <v>-15</v>
      </c>
      <c r="AD519" s="3307">
        <f>0-SUM(AA519:AC519)</f>
        <v>33</v>
      </c>
      <c r="AE519" s="3334">
        <f t="shared" si="864"/>
        <v>0</v>
      </c>
      <c r="AF519" s="3695">
        <v>0</v>
      </c>
      <c r="AG519" s="3300">
        <v>0</v>
      </c>
      <c r="AH519" s="3300">
        <v>0</v>
      </c>
      <c r="AI519" s="3692">
        <f>(AI556+AI564)-(AH556+AH564)</f>
        <v>0</v>
      </c>
      <c r="AJ519" s="3719">
        <f t="shared" si="865"/>
        <v>0</v>
      </c>
      <c r="AK519" s="3691">
        <f t="shared" ref="AK519:AN519" si="881">(AK556+AK564)-(AJ556+AJ564)</f>
        <v>0</v>
      </c>
      <c r="AL519" s="3691">
        <f t="shared" si="881"/>
        <v>0</v>
      </c>
      <c r="AM519" s="3691">
        <f t="shared" si="881"/>
        <v>0</v>
      </c>
      <c r="AN519" s="3691">
        <f t="shared" si="881"/>
        <v>0</v>
      </c>
      <c r="AO519" s="3693">
        <f t="shared" si="867"/>
        <v>0</v>
      </c>
      <c r="AP519" s="3692">
        <f>(AP556+AP564)-(AO556+AO564)</f>
        <v>0</v>
      </c>
      <c r="AQ519" s="3692">
        <f>(AQ556+AQ564)-(AP556+AP564)</f>
        <v>0</v>
      </c>
      <c r="AR519" s="270"/>
      <c r="AS519" s="522" t="str">
        <f t="shared" si="862"/>
        <v>Issuance of Other Financing Receivables</v>
      </c>
      <c r="AT519" s="270">
        <f t="shared" si="868"/>
        <v>-2</v>
      </c>
      <c r="AU519" s="270">
        <f t="shared" si="869"/>
        <v>0</v>
      </c>
      <c r="AV519" s="270">
        <f t="shared" si="870"/>
        <v>-4</v>
      </c>
      <c r="AW519" s="270">
        <f t="shared" si="871"/>
        <v>-10</v>
      </c>
      <c r="AX519" s="270">
        <f t="shared" si="872"/>
        <v>-1</v>
      </c>
      <c r="AY519" s="270">
        <f t="shared" si="873"/>
        <v>-11</v>
      </c>
      <c r="AZ519" s="270">
        <f t="shared" si="874"/>
        <v>0</v>
      </c>
      <c r="BA519" s="270">
        <f t="shared" si="875"/>
        <v>0</v>
      </c>
      <c r="BB519" s="270">
        <f t="shared" si="876"/>
        <v>0</v>
      </c>
      <c r="BC519" s="270">
        <f t="shared" si="876"/>
        <v>0</v>
      </c>
      <c r="BD519" s="697">
        <f t="shared" si="876"/>
        <v>0</v>
      </c>
      <c r="BF519" s="900"/>
      <c r="BM519" s="902"/>
      <c r="BN519" s="902"/>
      <c r="BO519" s="902"/>
      <c r="BP519" s="931"/>
      <c r="BQ519" s="902"/>
      <c r="BR519" s="902"/>
      <c r="BS519" s="902"/>
    </row>
    <row r="520" spans="1:71" ht="12.75" customHeight="1">
      <c r="A520" s="3335" t="s">
        <v>1858</v>
      </c>
      <c r="B520" s="3301"/>
      <c r="C520" s="3301"/>
      <c r="D520" s="3301"/>
      <c r="E520" s="3302">
        <v>-4</v>
      </c>
      <c r="F520" s="3302">
        <v>-11</v>
      </c>
      <c r="G520" s="3300">
        <v>0</v>
      </c>
      <c r="H520" s="3300">
        <v>-2</v>
      </c>
      <c r="I520" s="3300">
        <v>-1</v>
      </c>
      <c r="J520" s="3300">
        <v>0</v>
      </c>
      <c r="K520" s="3301">
        <f t="shared" si="877"/>
        <v>-3</v>
      </c>
      <c r="L520" s="3300">
        <f>13-1</f>
        <v>12</v>
      </c>
      <c r="M520" s="3300">
        <f>-2</f>
        <v>-2</v>
      </c>
      <c r="N520" s="3300">
        <f>-1+3</f>
        <v>2</v>
      </c>
      <c r="O520" s="3300">
        <f>-4-SUM(L520:N520)</f>
        <v>-16</v>
      </c>
      <c r="P520" s="3301">
        <f t="shared" si="878"/>
        <v>-4</v>
      </c>
      <c r="Q520" s="3300">
        <f>3-2</f>
        <v>1</v>
      </c>
      <c r="R520" s="3300">
        <f>-5-Q520</f>
        <v>-6</v>
      </c>
      <c r="S520" s="3300">
        <f>-6-R520-Q520</f>
        <v>-1</v>
      </c>
      <c r="T520" s="3307">
        <f>-9-S520-R520-Q520</f>
        <v>-3</v>
      </c>
      <c r="U520" s="3301">
        <f>SUM(Q520:T520)</f>
        <v>-9</v>
      </c>
      <c r="V520" s="3300">
        <v>0</v>
      </c>
      <c r="W520" s="3300">
        <f>-5-V520</f>
        <v>-5</v>
      </c>
      <c r="X520" s="3147">
        <f>-5-W520-V520</f>
        <v>0</v>
      </c>
      <c r="Y520" s="3307">
        <f>-5-X520-W520-V520</f>
        <v>0</v>
      </c>
      <c r="Z520" s="3301">
        <f t="shared" si="863"/>
        <v>-5</v>
      </c>
      <c r="AA520" s="3300">
        <v>2</v>
      </c>
      <c r="AB520" s="3300">
        <f>0-AA520</f>
        <v>-2</v>
      </c>
      <c r="AC520" s="3300">
        <f>0-SUM(AA520:AB520)</f>
        <v>0</v>
      </c>
      <c r="AD520" s="3307">
        <v>0</v>
      </c>
      <c r="AE520" s="3306">
        <f t="shared" si="864"/>
        <v>0</v>
      </c>
      <c r="AF520" s="3695">
        <v>0</v>
      </c>
      <c r="AG520" s="3300">
        <v>0</v>
      </c>
      <c r="AH520" s="3300">
        <v>0</v>
      </c>
      <c r="AI520" s="3696">
        <v>0</v>
      </c>
      <c r="AJ520" s="3693">
        <f t="shared" si="865"/>
        <v>0</v>
      </c>
      <c r="AK520" s="3695">
        <v>0</v>
      </c>
      <c r="AL520" s="3695">
        <v>0</v>
      </c>
      <c r="AM520" s="3695">
        <v>0</v>
      </c>
      <c r="AN520" s="3695">
        <v>0</v>
      </c>
      <c r="AO520" s="3693">
        <f t="shared" si="867"/>
        <v>0</v>
      </c>
      <c r="AP520" s="3696">
        <v>0</v>
      </c>
      <c r="AQ520" s="3697">
        <v>0</v>
      </c>
      <c r="AR520" s="270"/>
      <c r="AS520" s="522" t="str">
        <f t="shared" si="862"/>
        <v>Additional Investments in Affiliates</v>
      </c>
      <c r="AT520" s="270">
        <f t="shared" si="868"/>
        <v>-4</v>
      </c>
      <c r="AU520" s="270">
        <f t="shared" si="869"/>
        <v>-11</v>
      </c>
      <c r="AV520" s="270">
        <f t="shared" si="870"/>
        <v>-3</v>
      </c>
      <c r="AW520" s="270">
        <f t="shared" si="871"/>
        <v>-4</v>
      </c>
      <c r="AX520" s="270">
        <f t="shared" si="872"/>
        <v>-9</v>
      </c>
      <c r="AY520" s="270">
        <f t="shared" si="873"/>
        <v>-5</v>
      </c>
      <c r="AZ520" s="270">
        <f t="shared" si="874"/>
        <v>0</v>
      </c>
      <c r="BA520" s="270">
        <f t="shared" si="875"/>
        <v>0</v>
      </c>
      <c r="BB520" s="270">
        <f t="shared" si="876"/>
        <v>0</v>
      </c>
      <c r="BC520" s="270">
        <f t="shared" si="876"/>
        <v>0</v>
      </c>
      <c r="BD520" s="697">
        <f t="shared" si="876"/>
        <v>0</v>
      </c>
      <c r="BF520" s="900"/>
      <c r="BM520" s="902"/>
      <c r="BN520" s="902"/>
      <c r="BO520" s="902"/>
      <c r="BP520" s="931"/>
      <c r="BQ520" s="902"/>
      <c r="BR520" s="902"/>
      <c r="BS520" s="902"/>
    </row>
    <row r="521" spans="1:71" ht="12.75" customHeight="1">
      <c r="A521" s="3311" t="s">
        <v>1859</v>
      </c>
      <c r="B521" s="3301"/>
      <c r="C521" s="3301"/>
      <c r="D521" s="3301"/>
      <c r="E521" s="3302">
        <v>0</v>
      </c>
      <c r="F521" s="3302">
        <v>88</v>
      </c>
      <c r="G521" s="3300">
        <v>0</v>
      </c>
      <c r="H521" s="3300">
        <v>8</v>
      </c>
      <c r="I521" s="3300">
        <v>0</v>
      </c>
      <c r="J521" s="3300">
        <v>0</v>
      </c>
      <c r="K521" s="3301">
        <f t="shared" si="877"/>
        <v>8</v>
      </c>
      <c r="L521" s="3300">
        <v>0</v>
      </c>
      <c r="M521" s="3300">
        <v>0</v>
      </c>
      <c r="N521" s="3300">
        <v>0</v>
      </c>
      <c r="O521" s="3300">
        <f>0-SUM(L521:N521)</f>
        <v>0</v>
      </c>
      <c r="P521" s="3301">
        <f t="shared" si="878"/>
        <v>0</v>
      </c>
      <c r="Q521" s="3300">
        <v>0</v>
      </c>
      <c r="R521" s="3300">
        <f>35-Q521</f>
        <v>35</v>
      </c>
      <c r="S521" s="3300">
        <f>40-R521-Q521</f>
        <v>5</v>
      </c>
      <c r="T521" s="3307">
        <f>44-S521-R521-Q521</f>
        <v>4</v>
      </c>
      <c r="U521" s="3301">
        <f t="shared" si="879"/>
        <v>44</v>
      </c>
      <c r="V521" s="3333">
        <v>1869</v>
      </c>
      <c r="W521" s="3300">
        <f>1869-V521</f>
        <v>0</v>
      </c>
      <c r="X521" s="3300">
        <f>2197-W521-V521</f>
        <v>328</v>
      </c>
      <c r="Y521" s="3307">
        <f>2205-X521-W521-V521</f>
        <v>8</v>
      </c>
      <c r="Z521" s="3301">
        <f t="shared" si="863"/>
        <v>2205</v>
      </c>
      <c r="AA521" s="3333">
        <v>0</v>
      </c>
      <c r="AB521" s="3300">
        <f>1-AA521</f>
        <v>1</v>
      </c>
      <c r="AC521" s="3300">
        <f>1-SUM(AA521:AB521)</f>
        <v>0</v>
      </c>
      <c r="AD521" s="3307">
        <f>11-SUM(AA521:AC521)</f>
        <v>10</v>
      </c>
      <c r="AE521" s="3306">
        <f t="shared" si="864"/>
        <v>11</v>
      </c>
      <c r="AF521" s="3695">
        <v>0</v>
      </c>
      <c r="AG521" s="3300">
        <f>0-AF521</f>
        <v>0</v>
      </c>
      <c r="AH521" s="3300">
        <v>0</v>
      </c>
      <c r="AI521" s="3696">
        <v>0</v>
      </c>
      <c r="AJ521" s="3693">
        <f t="shared" si="865"/>
        <v>0</v>
      </c>
      <c r="AK521" s="3695">
        <v>0</v>
      </c>
      <c r="AL521" s="3695">
        <v>0</v>
      </c>
      <c r="AM521" s="3695">
        <v>0</v>
      </c>
      <c r="AN521" s="3695">
        <v>0</v>
      </c>
      <c r="AO521" s="3693">
        <f t="shared" si="867"/>
        <v>0</v>
      </c>
      <c r="AP521" s="3692">
        <v>0</v>
      </c>
      <c r="AQ521" s="3694">
        <v>0</v>
      </c>
      <c r="AR521" s="268"/>
      <c r="AS521" s="522" t="str">
        <f t="shared" si="862"/>
        <v>Proceeds from Asset Dispositions</v>
      </c>
      <c r="AT521" s="270">
        <f t="shared" si="868"/>
        <v>0</v>
      </c>
      <c r="AU521" s="270">
        <f t="shared" si="869"/>
        <v>88</v>
      </c>
      <c r="AV521" s="270">
        <f t="shared" si="870"/>
        <v>8</v>
      </c>
      <c r="AW521" s="270">
        <f t="shared" si="871"/>
        <v>0</v>
      </c>
      <c r="AX521" s="270">
        <f t="shared" si="872"/>
        <v>44</v>
      </c>
      <c r="AY521" s="270">
        <f t="shared" si="873"/>
        <v>2205</v>
      </c>
      <c r="AZ521" s="270">
        <f t="shared" si="874"/>
        <v>11</v>
      </c>
      <c r="BA521" s="270">
        <f t="shared" si="875"/>
        <v>0</v>
      </c>
      <c r="BB521" s="270">
        <f t="shared" si="876"/>
        <v>0</v>
      </c>
      <c r="BC521" s="270">
        <f t="shared" si="876"/>
        <v>0</v>
      </c>
      <c r="BD521" s="697">
        <f t="shared" si="876"/>
        <v>0</v>
      </c>
      <c r="BF521" s="900"/>
      <c r="BM521" s="902"/>
      <c r="BN521" s="902"/>
      <c r="BO521" s="902"/>
      <c r="BP521" s="931"/>
      <c r="BQ521" s="902"/>
      <c r="BR521" s="902"/>
      <c r="BS521" s="902"/>
    </row>
    <row r="522" spans="1:71" ht="12.75" customHeight="1">
      <c r="A522" s="3311" t="s">
        <v>1860</v>
      </c>
      <c r="B522" s="3301"/>
      <c r="C522" s="3301"/>
      <c r="D522" s="3301"/>
      <c r="E522" s="3302">
        <v>-6</v>
      </c>
      <c r="F522" s="3302">
        <v>-53</v>
      </c>
      <c r="G522" s="3300">
        <v>-6</v>
      </c>
      <c r="H522" s="3300">
        <v>-5</v>
      </c>
      <c r="I522" s="3300">
        <v>0</v>
      </c>
      <c r="J522" s="3300">
        <v>-20</v>
      </c>
      <c r="K522" s="3301">
        <f t="shared" si="877"/>
        <v>-31</v>
      </c>
      <c r="L522" s="3300">
        <v>-1</v>
      </c>
      <c r="M522" s="3300">
        <v>-9</v>
      </c>
      <c r="N522" s="3300">
        <v>-2</v>
      </c>
      <c r="O522" s="3300">
        <f>-44-SUM(L522:N522)</f>
        <v>-32</v>
      </c>
      <c r="P522" s="3301">
        <f t="shared" si="878"/>
        <v>-44</v>
      </c>
      <c r="Q522" s="3300">
        <v>-16</v>
      </c>
      <c r="R522" s="3300">
        <f>-21-Q522</f>
        <v>-5</v>
      </c>
      <c r="S522" s="3300">
        <f>-54-R522-Q522</f>
        <v>-33</v>
      </c>
      <c r="T522" s="3307">
        <f>-65-S522-R522-Q522</f>
        <v>-11</v>
      </c>
      <c r="U522" s="3301">
        <f t="shared" si="879"/>
        <v>-65</v>
      </c>
      <c r="V522" s="3333">
        <v>-11</v>
      </c>
      <c r="W522" s="3300">
        <f>-19-V522</f>
        <v>-8</v>
      </c>
      <c r="X522" s="3147">
        <f>-27-W522-V522</f>
        <v>-8</v>
      </c>
      <c r="Y522" s="3307">
        <f>-37-X522-W522-V522</f>
        <v>-10</v>
      </c>
      <c r="Z522" s="3301">
        <f t="shared" si="863"/>
        <v>-37</v>
      </c>
      <c r="AA522" s="3333">
        <v>-9</v>
      </c>
      <c r="AB522" s="3300">
        <f>-18-AA522</f>
        <v>-9</v>
      </c>
      <c r="AC522" s="3300">
        <f>+-35-SUM(AA522:AB522)</f>
        <v>-17</v>
      </c>
      <c r="AD522" s="3300">
        <f>+-55-SUM(AA522:AC522)</f>
        <v>-20</v>
      </c>
      <c r="AE522" s="3306">
        <f t="shared" si="864"/>
        <v>-55</v>
      </c>
      <c r="AF522" s="3695">
        <v>-13</v>
      </c>
      <c r="AG522" s="3300">
        <f>-32-AF522</f>
        <v>-19</v>
      </c>
      <c r="AH522" s="3300">
        <f>-51-AG522-AF522</f>
        <v>-19</v>
      </c>
      <c r="AI522" s="3300">
        <v>-24</v>
      </c>
      <c r="AJ522" s="3693">
        <f t="shared" si="865"/>
        <v>-75</v>
      </c>
      <c r="AK522" s="3691">
        <f t="shared" ref="AK522:AN522" si="882">-AK470</f>
        <v>-13</v>
      </c>
      <c r="AL522" s="3691">
        <f t="shared" si="882"/>
        <v>-19</v>
      </c>
      <c r="AM522" s="3691">
        <f t="shared" si="882"/>
        <v>-19</v>
      </c>
      <c r="AN522" s="3691">
        <f t="shared" si="882"/>
        <v>-24</v>
      </c>
      <c r="AO522" s="3693">
        <f t="shared" si="867"/>
        <v>-75</v>
      </c>
      <c r="AP522" s="3692">
        <f>-AP470</f>
        <v>-75</v>
      </c>
      <c r="AQ522" s="3694">
        <f>-AQ470</f>
        <v>-75</v>
      </c>
      <c r="AR522" s="268"/>
      <c r="AS522" s="522" t="str">
        <f t="shared" si="862"/>
        <v>Contract Acquisition Costs</v>
      </c>
      <c r="AT522" s="270">
        <f t="shared" si="868"/>
        <v>-6</v>
      </c>
      <c r="AU522" s="270">
        <f t="shared" si="869"/>
        <v>-53</v>
      </c>
      <c r="AV522" s="270">
        <f t="shared" si="870"/>
        <v>-31</v>
      </c>
      <c r="AW522" s="270">
        <f t="shared" si="871"/>
        <v>-44</v>
      </c>
      <c r="AX522" s="270">
        <f t="shared" si="872"/>
        <v>-65</v>
      </c>
      <c r="AY522" s="270">
        <f t="shared" si="873"/>
        <v>-37</v>
      </c>
      <c r="AZ522" s="270">
        <f t="shared" si="874"/>
        <v>-55</v>
      </c>
      <c r="BA522" s="270">
        <f t="shared" si="875"/>
        <v>-75</v>
      </c>
      <c r="BB522" s="270">
        <f t="shared" si="876"/>
        <v>-75</v>
      </c>
      <c r="BC522" s="270">
        <f t="shared" si="876"/>
        <v>-75</v>
      </c>
      <c r="BD522" s="697">
        <f t="shared" si="876"/>
        <v>-75</v>
      </c>
      <c r="BF522" s="900"/>
      <c r="BM522" s="902"/>
      <c r="BN522" s="902"/>
      <c r="BO522" s="902"/>
      <c r="BP522" s="931"/>
      <c r="BQ522" s="902"/>
      <c r="BR522" s="902"/>
      <c r="BS522" s="902"/>
    </row>
    <row r="523" spans="1:71" ht="12.75" customHeight="1">
      <c r="A523" s="3311" t="s">
        <v>15</v>
      </c>
      <c r="B523" s="3301"/>
      <c r="C523" s="3301"/>
      <c r="D523" s="3301"/>
      <c r="E523" s="3302">
        <v>-20</v>
      </c>
      <c r="F523" s="3302">
        <v>-93</v>
      </c>
      <c r="G523" s="3300">
        <v>-23</v>
      </c>
      <c r="H523" s="3300">
        <v>-28</v>
      </c>
      <c r="I523" s="3300">
        <v>-24</v>
      </c>
      <c r="J523" s="3300">
        <v>-28</v>
      </c>
      <c r="K523" s="3301">
        <f t="shared" si="877"/>
        <v>-103</v>
      </c>
      <c r="L523" s="3300">
        <v>-11</v>
      </c>
      <c r="M523" s="3300">
        <v>-15</v>
      </c>
      <c r="N523" s="3300">
        <v>-24</v>
      </c>
      <c r="O523" s="3300">
        <f>-78-SUM(L523:N523)</f>
        <v>-28</v>
      </c>
      <c r="P523" s="3301">
        <f t="shared" si="878"/>
        <v>-78</v>
      </c>
      <c r="Q523" s="3300">
        <v>-15</v>
      </c>
      <c r="R523" s="3300">
        <f>-32-Q523</f>
        <v>-17</v>
      </c>
      <c r="S523" s="3300">
        <f>-45-R523-Q523</f>
        <v>-13</v>
      </c>
      <c r="T523" s="3307">
        <f>-69-S523-R523-Q523</f>
        <v>-24</v>
      </c>
      <c r="U523" s="3301">
        <f t="shared" si="879"/>
        <v>-69</v>
      </c>
      <c r="V523" s="3333">
        <v>-8</v>
      </c>
      <c r="W523" s="3300">
        <f>-23-V523</f>
        <v>-15</v>
      </c>
      <c r="X523" s="3147">
        <f>-38-W523-V523</f>
        <v>-15</v>
      </c>
      <c r="Y523" s="3307">
        <f>-62-X523-W523-V523</f>
        <v>-24</v>
      </c>
      <c r="Z523" s="3301">
        <f t="shared" si="863"/>
        <v>-62</v>
      </c>
      <c r="AA523" s="3333">
        <v>-11</v>
      </c>
      <c r="AB523" s="3300">
        <f>-35-AA523</f>
        <v>-24</v>
      </c>
      <c r="AC523" s="3300">
        <f>+-56-SUM(AA523:AB523)</f>
        <v>-21</v>
      </c>
      <c r="AD523" s="3300">
        <f>+-81-SUM(AA523:AC523)</f>
        <v>-25</v>
      </c>
      <c r="AE523" s="3334">
        <f t="shared" si="864"/>
        <v>-81</v>
      </c>
      <c r="AF523" s="3695">
        <v>-9</v>
      </c>
      <c r="AG523" s="3300">
        <f>-29-AF523</f>
        <v>-20</v>
      </c>
      <c r="AH523" s="3300">
        <f>-45-AG523-AF523</f>
        <v>-16</v>
      </c>
      <c r="AI523" s="3300">
        <v>-30</v>
      </c>
      <c r="AJ523" s="3719">
        <f t="shared" si="865"/>
        <v>-75</v>
      </c>
      <c r="AK523" s="3691">
        <f t="shared" ref="AK523:AN523" si="883">-AK469-AK471</f>
        <v>-9</v>
      </c>
      <c r="AL523" s="3691">
        <f t="shared" si="883"/>
        <v>-20</v>
      </c>
      <c r="AM523" s="3691">
        <f t="shared" si="883"/>
        <v>-16</v>
      </c>
      <c r="AN523" s="3691">
        <f t="shared" si="883"/>
        <v>-30</v>
      </c>
      <c r="AO523" s="3693">
        <f t="shared" si="867"/>
        <v>-75</v>
      </c>
      <c r="AP523" s="3692">
        <f>-AP469-AP471</f>
        <v>-75</v>
      </c>
      <c r="AQ523" s="3692">
        <f>-AQ469-AQ471</f>
        <v>-75</v>
      </c>
      <c r="AR523" s="268"/>
      <c r="AS523" s="522" t="str">
        <f t="shared" si="862"/>
        <v>Software Capitalization Costs / TS capex, net</v>
      </c>
      <c r="AT523" s="270">
        <f t="shared" si="868"/>
        <v>-20</v>
      </c>
      <c r="AU523" s="270">
        <f t="shared" si="869"/>
        <v>-93</v>
      </c>
      <c r="AV523" s="270">
        <f t="shared" si="870"/>
        <v>-103</v>
      </c>
      <c r="AW523" s="270">
        <f t="shared" si="871"/>
        <v>-78</v>
      </c>
      <c r="AX523" s="270">
        <f t="shared" si="872"/>
        <v>-69</v>
      </c>
      <c r="AY523" s="270">
        <f t="shared" si="873"/>
        <v>-62</v>
      </c>
      <c r="AZ523" s="270">
        <f t="shared" si="874"/>
        <v>-81</v>
      </c>
      <c r="BA523" s="270">
        <f t="shared" si="875"/>
        <v>-75</v>
      </c>
      <c r="BB523" s="270">
        <f t="shared" si="876"/>
        <v>-75</v>
      </c>
      <c r="BC523" s="270">
        <f t="shared" si="876"/>
        <v>-75</v>
      </c>
      <c r="BD523" s="697">
        <f t="shared" si="876"/>
        <v>-75</v>
      </c>
      <c r="BF523" s="900"/>
      <c r="BM523" s="902"/>
      <c r="BN523" s="902"/>
      <c r="BO523" s="902"/>
      <c r="BP523" s="931"/>
      <c r="BQ523" s="902"/>
      <c r="BR523" s="902"/>
      <c r="BS523" s="902"/>
    </row>
    <row r="524" spans="1:71" ht="12.75" customHeight="1">
      <c r="A524" s="3312" t="s">
        <v>2396</v>
      </c>
      <c r="B524" s="3313"/>
      <c r="C524" s="3313"/>
      <c r="D524" s="3313"/>
      <c r="E524" s="3314">
        <v>324</v>
      </c>
      <c r="F524" s="3314">
        <v>0</v>
      </c>
      <c r="G524" s="3316">
        <v>0</v>
      </c>
      <c r="H524" s="3316">
        <v>0</v>
      </c>
      <c r="I524" s="3316">
        <v>0</v>
      </c>
      <c r="J524" s="3316">
        <v>0</v>
      </c>
      <c r="K524" s="3336">
        <f t="shared" si="877"/>
        <v>0</v>
      </c>
      <c r="L524" s="3316">
        <v>0</v>
      </c>
      <c r="M524" s="3316">
        <v>0</v>
      </c>
      <c r="N524" s="3316">
        <v>0</v>
      </c>
      <c r="O524" s="3316">
        <f>33-SUM(L524:N524)</f>
        <v>33</v>
      </c>
      <c r="P524" s="3336">
        <f t="shared" si="878"/>
        <v>33</v>
      </c>
      <c r="Q524" s="3316">
        <v>0</v>
      </c>
      <c r="R524" s="3316">
        <f>11-Q524</f>
        <v>11</v>
      </c>
      <c r="S524" s="3316">
        <f>32-R524-Q524</f>
        <v>21</v>
      </c>
      <c r="T524" s="3317">
        <f>38-S524-R524-Q524</f>
        <v>6</v>
      </c>
      <c r="U524" s="3336">
        <f t="shared" si="879"/>
        <v>38</v>
      </c>
      <c r="V524" s="3316">
        <v>2</v>
      </c>
      <c r="W524" s="3316">
        <f>9-V524</f>
        <v>7</v>
      </c>
      <c r="X524" s="3316">
        <f>18-W524-V524</f>
        <v>9</v>
      </c>
      <c r="Y524" s="3317">
        <f>31-14-X524-W524-V524</f>
        <v>-1</v>
      </c>
      <c r="Z524" s="3336">
        <f t="shared" si="863"/>
        <v>17</v>
      </c>
      <c r="AA524" s="3316">
        <v>14</v>
      </c>
      <c r="AB524" s="3316">
        <f>2+14-AA524</f>
        <v>2</v>
      </c>
      <c r="AC524" s="3316">
        <f>2+14-SUM(AA524:AB524)</f>
        <v>0</v>
      </c>
      <c r="AD524" s="3317">
        <f>+-36-SUM(AA524:AC524)</f>
        <v>-52</v>
      </c>
      <c r="AE524" s="3313">
        <f t="shared" si="864"/>
        <v>-36</v>
      </c>
      <c r="AF524" s="3705">
        <v>-19</v>
      </c>
      <c r="AG524" s="3316">
        <f>-18-AF524</f>
        <v>1</v>
      </c>
      <c r="AH524" s="3316">
        <f>-14-AG524-AF524</f>
        <v>4</v>
      </c>
      <c r="AI524" s="3706">
        <v>0</v>
      </c>
      <c r="AJ524" s="3707">
        <f t="shared" si="865"/>
        <v>-14</v>
      </c>
      <c r="AK524" s="3705">
        <v>0</v>
      </c>
      <c r="AL524" s="3705">
        <v>0</v>
      </c>
      <c r="AM524" s="3705">
        <v>0</v>
      </c>
      <c r="AN524" s="3705">
        <v>0</v>
      </c>
      <c r="AO524" s="3707">
        <f t="shared" si="867"/>
        <v>0</v>
      </c>
      <c r="AP524" s="3707">
        <v>0</v>
      </c>
      <c r="AQ524" s="3707">
        <v>0</v>
      </c>
      <c r="AR524" s="271"/>
      <c r="AS524" s="617" t="str">
        <f t="shared" si="862"/>
        <v>Proceeds from Settlement of Derivative Instruments / Other</v>
      </c>
      <c r="AT524" s="829">
        <f t="shared" si="868"/>
        <v>324</v>
      </c>
      <c r="AU524" s="829">
        <f t="shared" si="869"/>
        <v>0</v>
      </c>
      <c r="AV524" s="829">
        <f t="shared" si="870"/>
        <v>0</v>
      </c>
      <c r="AW524" s="829">
        <f t="shared" si="871"/>
        <v>33</v>
      </c>
      <c r="AX524" s="829">
        <f t="shared" si="872"/>
        <v>38</v>
      </c>
      <c r="AY524" s="829">
        <f t="shared" si="873"/>
        <v>17</v>
      </c>
      <c r="AZ524" s="829">
        <f t="shared" si="874"/>
        <v>-36</v>
      </c>
      <c r="BA524" s="829">
        <f t="shared" si="875"/>
        <v>-14</v>
      </c>
      <c r="BB524" s="829">
        <f t="shared" si="876"/>
        <v>0</v>
      </c>
      <c r="BC524" s="829">
        <f t="shared" si="876"/>
        <v>0</v>
      </c>
      <c r="BD524" s="888">
        <f t="shared" si="876"/>
        <v>0</v>
      </c>
      <c r="BF524" s="900"/>
      <c r="BM524" s="902"/>
      <c r="BN524" s="902"/>
      <c r="BO524" s="902"/>
      <c r="BP524" s="931"/>
      <c r="BQ524" s="902"/>
      <c r="BR524" s="902"/>
      <c r="BS524" s="902"/>
    </row>
    <row r="525" spans="1:71" s="11" customFormat="1" ht="12.75" customHeight="1">
      <c r="A525" s="3318" t="s">
        <v>547</v>
      </c>
      <c r="B525" s="3319"/>
      <c r="C525" s="3319"/>
      <c r="D525" s="3319"/>
      <c r="E525" s="3319">
        <f t="shared" ref="E525:N525" si="884">SUM(E516:E524)</f>
        <v>-68</v>
      </c>
      <c r="F525" s="3319">
        <f t="shared" si="884"/>
        <v>-463</v>
      </c>
      <c r="G525" s="3320">
        <f t="shared" si="884"/>
        <v>-144</v>
      </c>
      <c r="H525" s="3321">
        <f t="shared" si="884"/>
        <v>-152</v>
      </c>
      <c r="I525" s="3321">
        <f t="shared" si="884"/>
        <v>-117</v>
      </c>
      <c r="J525" s="3322">
        <f t="shared" si="884"/>
        <v>-145</v>
      </c>
      <c r="K525" s="3319">
        <f t="shared" si="884"/>
        <v>-558</v>
      </c>
      <c r="L525" s="3320">
        <f t="shared" si="884"/>
        <v>-64</v>
      </c>
      <c r="M525" s="3321">
        <f t="shared" si="884"/>
        <v>-119</v>
      </c>
      <c r="N525" s="3321">
        <f t="shared" si="884"/>
        <v>-69</v>
      </c>
      <c r="O525" s="3322">
        <f t="shared" ref="O525:AQ525" si="885">SUM(O516:O524)</f>
        <v>-130</v>
      </c>
      <c r="P525" s="3319">
        <f t="shared" si="885"/>
        <v>-382</v>
      </c>
      <c r="Q525" s="3320">
        <f t="shared" si="885"/>
        <v>-73</v>
      </c>
      <c r="R525" s="3321">
        <f t="shared" si="885"/>
        <v>-48</v>
      </c>
      <c r="S525" s="3321">
        <f t="shared" si="885"/>
        <v>-79</v>
      </c>
      <c r="T525" s="3322">
        <f t="shared" si="885"/>
        <v>-110</v>
      </c>
      <c r="U525" s="3319">
        <f t="shared" si="885"/>
        <v>-310</v>
      </c>
      <c r="V525" s="3321">
        <f t="shared" si="885"/>
        <v>465</v>
      </c>
      <c r="W525" s="3321">
        <f t="shared" si="885"/>
        <v>-207</v>
      </c>
      <c r="X525" s="3321">
        <f t="shared" si="885"/>
        <v>257</v>
      </c>
      <c r="Y525" s="3322">
        <f>SUM(Y516:Y524)</f>
        <v>-123</v>
      </c>
      <c r="Z525" s="3319">
        <f t="shared" si="885"/>
        <v>392</v>
      </c>
      <c r="AA525" s="3320">
        <f t="shared" si="885"/>
        <v>-96</v>
      </c>
      <c r="AB525" s="3321">
        <f>SUM(AB516:AB524)</f>
        <v>-126</v>
      </c>
      <c r="AC525" s="3321">
        <f t="shared" si="885"/>
        <v>-110</v>
      </c>
      <c r="AD525" s="3322">
        <f t="shared" si="885"/>
        <v>-146</v>
      </c>
      <c r="AE525" s="3319">
        <f t="shared" si="885"/>
        <v>-478</v>
      </c>
      <c r="AF525" s="3709">
        <f>SUM(AF516:AF524)</f>
        <v>-50</v>
      </c>
      <c r="AG525" s="3741">
        <f>SUM(AG516:AG524)</f>
        <v>-47</v>
      </c>
      <c r="AH525" s="3321">
        <f>SUM(AH516:AH524)</f>
        <v>-49</v>
      </c>
      <c r="AI525" s="3710">
        <f>SUM(AI516:AI524)</f>
        <v>-76</v>
      </c>
      <c r="AJ525" s="3711">
        <f>SUM(AJ516:AJ524)</f>
        <v>-222</v>
      </c>
      <c r="AK525" s="3709">
        <f t="shared" ref="AK525:AN525" si="886">SUM(AK516:AK524)</f>
        <v>-29.87145013939643</v>
      </c>
      <c r="AL525" s="3709">
        <f t="shared" si="886"/>
        <v>-49.963439100972771</v>
      </c>
      <c r="AM525" s="3709">
        <f t="shared" si="886"/>
        <v>-45.72712668585438</v>
      </c>
      <c r="AN525" s="3709">
        <f t="shared" si="886"/>
        <v>-64.260974126126968</v>
      </c>
      <c r="AO525" s="3711">
        <f>SUM(AO516:AO524)</f>
        <v>-189.82299005235055</v>
      </c>
      <c r="AP525" s="3711">
        <f t="shared" si="885"/>
        <v>-190.88148479128546</v>
      </c>
      <c r="AQ525" s="3711">
        <f t="shared" si="885"/>
        <v>-189.09658467712001</v>
      </c>
      <c r="AR525" s="783"/>
      <c r="AS525" s="1545" t="str">
        <f t="shared" si="862"/>
        <v>Cash Used in Investing Activities</v>
      </c>
      <c r="AT525" s="783">
        <f t="shared" si="868"/>
        <v>-68</v>
      </c>
      <c r="AU525" s="783">
        <f t="shared" si="869"/>
        <v>-463</v>
      </c>
      <c r="AV525" s="783">
        <f t="shared" si="870"/>
        <v>-558</v>
      </c>
      <c r="AW525" s="783">
        <f t="shared" si="871"/>
        <v>-382</v>
      </c>
      <c r="AX525" s="783">
        <f t="shared" si="872"/>
        <v>-310</v>
      </c>
      <c r="AY525" s="783">
        <f t="shared" si="873"/>
        <v>392</v>
      </c>
      <c r="AZ525" s="783">
        <f t="shared" si="874"/>
        <v>-478</v>
      </c>
      <c r="BA525" s="783">
        <f t="shared" si="875"/>
        <v>-222</v>
      </c>
      <c r="BB525" s="783">
        <f t="shared" si="876"/>
        <v>-189.82299005235055</v>
      </c>
      <c r="BC525" s="783">
        <f t="shared" si="876"/>
        <v>-190.88148479128546</v>
      </c>
      <c r="BD525" s="1441">
        <f t="shared" si="876"/>
        <v>-189.09658467712001</v>
      </c>
      <c r="BE525" s="14"/>
      <c r="BF525" s="908"/>
      <c r="BG525"/>
      <c r="BH525"/>
      <c r="BI525"/>
      <c r="BJ525"/>
      <c r="BK525"/>
      <c r="BL525"/>
      <c r="BM525" s="909"/>
      <c r="BN525" s="909"/>
      <c r="BO525" s="909"/>
      <c r="BP525" s="931"/>
      <c r="BQ525" s="902"/>
      <c r="BR525" s="909"/>
      <c r="BS525" s="909"/>
    </row>
    <row r="526" spans="1:71" ht="12.75" customHeight="1">
      <c r="A526" s="3323"/>
      <c r="B526" s="3229"/>
      <c r="C526" s="3229"/>
      <c r="D526" s="3229"/>
      <c r="E526" s="3229"/>
      <c r="F526" s="3229"/>
      <c r="G526" s="3166"/>
      <c r="H526" s="3166"/>
      <c r="I526" s="3166"/>
      <c r="J526" s="3166"/>
      <c r="K526" s="3229"/>
      <c r="L526" s="3166"/>
      <c r="M526" s="3166"/>
      <c r="N526" s="3166"/>
      <c r="O526" s="3166"/>
      <c r="P526" s="3229"/>
      <c r="Q526" s="3166"/>
      <c r="R526" s="3166"/>
      <c r="S526" s="3327"/>
      <c r="T526" s="3326"/>
      <c r="U526" s="3229"/>
      <c r="V526" s="3327"/>
      <c r="W526" s="3327"/>
      <c r="X526" s="3327"/>
      <c r="Y526" s="3326"/>
      <c r="Z526" s="3229"/>
      <c r="AA526" s="3337"/>
      <c r="AB526" s="3327"/>
      <c r="AC526" s="3327"/>
      <c r="AD526" s="3326"/>
      <c r="AE526" s="3230"/>
      <c r="AF526" s="3712"/>
      <c r="AG526" s="3712"/>
      <c r="AH526" s="4037"/>
      <c r="AI526" s="3713"/>
      <c r="AJ526" s="3720"/>
      <c r="AK526" s="3712"/>
      <c r="AL526" s="3712"/>
      <c r="AM526" s="3712"/>
      <c r="AN526" s="3713"/>
      <c r="AO526" s="3680"/>
      <c r="AP526" s="3680"/>
      <c r="AQ526" s="3680"/>
      <c r="AR526" s="155"/>
      <c r="AS526" s="386"/>
      <c r="AT526" s="155"/>
      <c r="AU526" s="155"/>
      <c r="AV526" s="155"/>
      <c r="AW526" s="155">
        <f t="shared" si="871"/>
        <v>0</v>
      </c>
      <c r="AX526" s="155">
        <f t="shared" si="872"/>
        <v>0</v>
      </c>
      <c r="AY526" s="155"/>
      <c r="AZ526" s="155"/>
      <c r="BA526" s="155"/>
      <c r="BB526" s="155"/>
      <c r="BC526" s="155"/>
      <c r="BD526" s="867"/>
      <c r="BF526" s="900"/>
      <c r="BM526" s="902"/>
      <c r="BN526" s="902"/>
      <c r="BO526" s="902"/>
      <c r="BP526" s="902"/>
      <c r="BQ526" s="902"/>
      <c r="BR526" s="902"/>
      <c r="BS526" s="902"/>
    </row>
    <row r="527" spans="1:71" ht="12.75" customHeight="1">
      <c r="A527" s="3328" t="s">
        <v>548</v>
      </c>
      <c r="B527" s="3229"/>
      <c r="C527" s="3229"/>
      <c r="D527" s="3229"/>
      <c r="E527" s="3229"/>
      <c r="F527" s="3229"/>
      <c r="G527" s="3166"/>
      <c r="H527" s="3166"/>
      <c r="I527" s="3166"/>
      <c r="J527" s="3166"/>
      <c r="K527" s="3229"/>
      <c r="L527" s="3166"/>
      <c r="M527" s="3166"/>
      <c r="N527" s="3166"/>
      <c r="O527" s="3166"/>
      <c r="P527" s="3229"/>
      <c r="Q527" s="3166"/>
      <c r="R527" s="3166"/>
      <c r="S527" s="3166"/>
      <c r="T527" s="3232"/>
      <c r="U527" s="3324"/>
      <c r="V527" s="3166"/>
      <c r="W527" s="3166"/>
      <c r="X527" s="3166"/>
      <c r="Y527" s="3232"/>
      <c r="Z527" s="3324"/>
      <c r="AA527" s="3231"/>
      <c r="AB527" s="3166"/>
      <c r="AC527" s="3166"/>
      <c r="AD527" s="3232"/>
      <c r="AE527" s="3230"/>
      <c r="AF527" s="3678"/>
      <c r="AG527" s="3678"/>
      <c r="AH527" s="3169"/>
      <c r="AI527" s="3679"/>
      <c r="AJ527" s="3720"/>
      <c r="AK527" s="3678"/>
      <c r="AL527" s="3678"/>
      <c r="AM527" s="3678"/>
      <c r="AN527" s="3679"/>
      <c r="AO527" s="3680"/>
      <c r="AP527" s="3680"/>
      <c r="AQ527" s="3680"/>
      <c r="AR527" s="155"/>
      <c r="AS527" s="493" t="str">
        <f t="shared" ref="AS527:AS539" si="887">+A527</f>
        <v>Cash From Financing Activities</v>
      </c>
      <c r="AT527" s="155"/>
      <c r="AU527" s="155"/>
      <c r="AV527" s="155"/>
      <c r="AW527" s="155"/>
      <c r="AX527" s="155"/>
      <c r="AY527" s="155"/>
      <c r="AZ527" s="155"/>
      <c r="BA527" s="155"/>
      <c r="BB527" s="155"/>
      <c r="BC527" s="155"/>
      <c r="BD527" s="867"/>
      <c r="BF527" s="900"/>
      <c r="BM527" s="902"/>
      <c r="BN527" s="902"/>
      <c r="BO527" s="902"/>
      <c r="BP527" s="902"/>
      <c r="BQ527" s="902"/>
      <c r="BR527" s="902"/>
      <c r="BS527" s="902"/>
    </row>
    <row r="528" spans="1:71" ht="12.75" customHeight="1">
      <c r="A528" s="3311" t="s">
        <v>2216</v>
      </c>
      <c r="B528" s="3301"/>
      <c r="C528" s="3301"/>
      <c r="D528" s="3301"/>
      <c r="E528" s="3302">
        <f>18-278</f>
        <v>-260</v>
      </c>
      <c r="F528" s="3302">
        <f>40-726</f>
        <v>-686</v>
      </c>
      <c r="G528" s="3300">
        <f>15-98</f>
        <v>-83</v>
      </c>
      <c r="H528" s="3300">
        <f>21-119</f>
        <v>-98</v>
      </c>
      <c r="I528" s="3300">
        <f>30-111</f>
        <v>-81</v>
      </c>
      <c r="J528" s="3300">
        <f>30-526</f>
        <v>-496</v>
      </c>
      <c r="K528" s="3301">
        <f>SUM(G528:J528)</f>
        <v>-758</v>
      </c>
      <c r="L528" s="3300">
        <f>32-134</f>
        <v>-102</v>
      </c>
      <c r="M528" s="3300">
        <f>419-818</f>
        <v>-399</v>
      </c>
      <c r="N528" s="3300">
        <f>251-650</f>
        <v>-399</v>
      </c>
      <c r="O528" s="3300">
        <f>14088-17203-SUM(L528:N528)</f>
        <v>-2215</v>
      </c>
      <c r="P528" s="3301">
        <f>SUM(L528:O528)</f>
        <v>-3115</v>
      </c>
      <c r="Q528" s="3300">
        <v>-219</v>
      </c>
      <c r="R528" s="3300">
        <f>350-783-Q528</f>
        <v>-214</v>
      </c>
      <c r="S528" s="3300">
        <f>350-1075-R528-Q528</f>
        <v>-292</v>
      </c>
      <c r="T528" s="3307">
        <f>350-1424-S528-R528-Q528</f>
        <v>-349</v>
      </c>
      <c r="U528" s="3301">
        <f>SUM(Q528:T528)</f>
        <v>-1074</v>
      </c>
      <c r="V528" s="3300">
        <v>-710</v>
      </c>
      <c r="W528" s="3300">
        <f>34-961-V528</f>
        <v>-217</v>
      </c>
      <c r="X528" s="3147">
        <f>-1342+35-W528-V528</f>
        <v>-380</v>
      </c>
      <c r="Y528" s="3307">
        <f>48-1624-X528-W528-V528</f>
        <v>-269</v>
      </c>
      <c r="Z528" s="3301">
        <f>SUM(V528:Y528)</f>
        <v>-1576</v>
      </c>
      <c r="AA528" s="3300">
        <v>-32</v>
      </c>
      <c r="AB528" s="3300">
        <f>-64-AA528</f>
        <v>-32</v>
      </c>
      <c r="AC528" s="3300">
        <f>1000-1094-35-SUM(AA528:AB528)</f>
        <v>-65</v>
      </c>
      <c r="AD528" s="3300">
        <f>4715-4359-76-SUM(AA528:AC528)</f>
        <v>409</v>
      </c>
      <c r="AE528" s="3306">
        <f t="shared" ref="AE528:AE538" si="888">SUM(AA528:AD528)</f>
        <v>280</v>
      </c>
      <c r="AF528" s="3690">
        <f>1823-1824-66</f>
        <v>-67</v>
      </c>
      <c r="AG528" s="3300">
        <f>-1836+1823-AF528</f>
        <v>54</v>
      </c>
      <c r="AH528" s="3300">
        <f>1823-1848-AG528-AF528</f>
        <v>-12</v>
      </c>
      <c r="AI528" s="3692">
        <f>(AI607+AI608)-(AH607+AH608)+(AI583-AH583)</f>
        <v>100</v>
      </c>
      <c r="AJ528" s="3693">
        <f t="shared" ref="AJ528:AJ538" si="889">SUM(AF528:AI528)</f>
        <v>75</v>
      </c>
      <c r="AK528" s="3691">
        <f t="shared" ref="AK528:AN528" si="890">(AK607+AK608)-(AJ607+AJ608)+(AK583-AJ583)</f>
        <v>62.5</v>
      </c>
      <c r="AL528" s="3691">
        <f t="shared" si="890"/>
        <v>62.5</v>
      </c>
      <c r="AM528" s="3691">
        <f t="shared" si="890"/>
        <v>62.5</v>
      </c>
      <c r="AN528" s="3691">
        <f t="shared" si="890"/>
        <v>62.5</v>
      </c>
      <c r="AO528" s="3693">
        <f t="shared" ref="AO528:AO538" si="891">SUM(AK528:AN528)</f>
        <v>250</v>
      </c>
      <c r="AP528" s="3692">
        <f>(AP607+AP608)-(AO607+AO608)+(AP583-AO583)</f>
        <v>250</v>
      </c>
      <c r="AQ528" s="3692">
        <f>(AQ607+AQ608)-(AP607+AP608)+(AQ583-AP583)</f>
        <v>250</v>
      </c>
      <c r="AR528" s="268"/>
      <c r="AS528" s="522" t="str">
        <f t="shared" si="887"/>
        <v>Borrowings/ (Repayment) of Debt</v>
      </c>
      <c r="AT528" s="270">
        <f t="shared" ref="AT528:AT539" si="892">+E528</f>
        <v>-260</v>
      </c>
      <c r="AU528" s="270">
        <f t="shared" ref="AU528:AU539" si="893">+F528</f>
        <v>-686</v>
      </c>
      <c r="AV528" s="270">
        <f t="shared" ref="AV528:AV539" si="894">+K528</f>
        <v>-758</v>
      </c>
      <c r="AW528" s="270">
        <f t="shared" ref="AW528:AW539" si="895">+P528</f>
        <v>-3115</v>
      </c>
      <c r="AX528" s="270">
        <f t="shared" ref="AX528:AX539" si="896">+U528</f>
        <v>-1074</v>
      </c>
      <c r="AY528" s="270">
        <f t="shared" ref="AY528:AY539" si="897">+Z528</f>
        <v>-1576</v>
      </c>
      <c r="AZ528" s="270">
        <f>+AE528</f>
        <v>280</v>
      </c>
      <c r="BA528" s="270">
        <f>+AJ528</f>
        <v>75</v>
      </c>
      <c r="BB528" s="270">
        <f t="shared" ref="BB528:BD529" si="898">+AO528</f>
        <v>250</v>
      </c>
      <c r="BC528" s="270">
        <f t="shared" si="898"/>
        <v>250</v>
      </c>
      <c r="BD528" s="697">
        <f t="shared" si="898"/>
        <v>250</v>
      </c>
      <c r="BF528" s="900"/>
      <c r="BM528" s="902"/>
      <c r="BN528" s="902"/>
      <c r="BO528" s="902"/>
      <c r="BP528" s="931"/>
      <c r="BQ528" s="902"/>
      <c r="BR528" s="902"/>
      <c r="BS528" s="902"/>
    </row>
    <row r="529" spans="1:71" ht="12.75" customHeight="1">
      <c r="A529" s="3311" t="s">
        <v>2069</v>
      </c>
      <c r="B529" s="3301"/>
      <c r="C529" s="3301"/>
      <c r="D529" s="3301"/>
      <c r="E529" s="3302">
        <v>0</v>
      </c>
      <c r="F529" s="3302">
        <v>0</v>
      </c>
      <c r="G529" s="3300">
        <v>0</v>
      </c>
      <c r="H529" s="3300">
        <v>0</v>
      </c>
      <c r="I529" s="3300">
        <v>0</v>
      </c>
      <c r="J529" s="3300">
        <v>0</v>
      </c>
      <c r="K529" s="3301">
        <f t="shared" ref="K529:K538" si="899">SUM(G529:J529)</f>
        <v>0</v>
      </c>
      <c r="L529" s="3300">
        <v>0</v>
      </c>
      <c r="M529" s="3300">
        <v>0</v>
      </c>
      <c r="N529" s="3300">
        <v>0</v>
      </c>
      <c r="O529" s="3300">
        <f>1243-SUM(L529:N529)</f>
        <v>1243</v>
      </c>
      <c r="P529" s="3301">
        <f t="shared" ref="P529:P538" si="900">SUM(L529:O529)</f>
        <v>1243</v>
      </c>
      <c r="Q529" s="3300">
        <v>0</v>
      </c>
      <c r="R529" s="3300">
        <v>0</v>
      </c>
      <c r="S529" s="3300">
        <v>0</v>
      </c>
      <c r="T529" s="3305">
        <f>0-S529-R529-Q529</f>
        <v>0</v>
      </c>
      <c r="U529" s="3301">
        <f t="shared" ref="U529:U537" si="901">SUM(Q529:T529)</f>
        <v>0</v>
      </c>
      <c r="V529" s="3304">
        <v>0</v>
      </c>
      <c r="W529" s="3304">
        <v>0</v>
      </c>
      <c r="X529" s="3304">
        <v>0</v>
      </c>
      <c r="Y529" s="3305">
        <f>0-X529-W529-V529</f>
        <v>0</v>
      </c>
      <c r="Z529" s="3301">
        <f t="shared" ref="Z529:Z537" si="902">SUM(V529:Y529)</f>
        <v>0</v>
      </c>
      <c r="AA529" s="3300">
        <v>0</v>
      </c>
      <c r="AB529" s="3304">
        <v>0</v>
      </c>
      <c r="AC529" s="3304">
        <v>0</v>
      </c>
      <c r="AD529" s="3305">
        <v>0</v>
      </c>
      <c r="AE529" s="3306">
        <f t="shared" si="888"/>
        <v>0</v>
      </c>
      <c r="AF529" s="3721">
        <v>-70</v>
      </c>
      <c r="AG529" s="3721">
        <f>-352-AF529</f>
        <v>-282</v>
      </c>
      <c r="AH529" s="3721">
        <f>-625-AG529-AF529</f>
        <v>-273</v>
      </c>
      <c r="AI529" s="3721">
        <v>-275</v>
      </c>
      <c r="AJ529" s="3698">
        <f>SUM(AF529:AI529)</f>
        <v>-900</v>
      </c>
      <c r="AK529" s="3721">
        <v>-300</v>
      </c>
      <c r="AL529" s="3721">
        <v>-300</v>
      </c>
      <c r="AM529" s="3721">
        <v>-300</v>
      </c>
      <c r="AN529" s="3721">
        <v>-300</v>
      </c>
      <c r="AO529" s="3698">
        <f>SUM(AK529:AN529)</f>
        <v>-1200</v>
      </c>
      <c r="AP529" s="3722">
        <v>-1200</v>
      </c>
      <c r="AQ529" s="3722">
        <v>-600</v>
      </c>
      <c r="AR529" s="268"/>
      <c r="AS529" s="522" t="str">
        <f t="shared" si="887"/>
        <v>Sale (Purchase) of Equity</v>
      </c>
      <c r="AT529" s="270">
        <f t="shared" si="892"/>
        <v>0</v>
      </c>
      <c r="AU529" s="270">
        <f t="shared" si="893"/>
        <v>0</v>
      </c>
      <c r="AV529" s="270">
        <f t="shared" si="894"/>
        <v>0</v>
      </c>
      <c r="AW529" s="270">
        <f t="shared" si="895"/>
        <v>1243</v>
      </c>
      <c r="AX529" s="270">
        <f t="shared" si="896"/>
        <v>0</v>
      </c>
      <c r="AY529" s="270">
        <f t="shared" si="897"/>
        <v>0</v>
      </c>
      <c r="AZ529" s="270">
        <f>+AE529</f>
        <v>0</v>
      </c>
      <c r="BA529" s="270">
        <f>+AJ529</f>
        <v>-900</v>
      </c>
      <c r="BB529" s="270">
        <f t="shared" si="898"/>
        <v>-1200</v>
      </c>
      <c r="BC529" s="270">
        <f t="shared" si="898"/>
        <v>-1200</v>
      </c>
      <c r="BD529" s="697">
        <f t="shared" si="898"/>
        <v>-600</v>
      </c>
      <c r="BF529" s="900"/>
      <c r="BM529" s="902"/>
      <c r="BN529" s="902"/>
      <c r="BO529" s="902"/>
      <c r="BP529" s="931"/>
      <c r="BQ529" s="902"/>
      <c r="BR529" s="902"/>
      <c r="BS529" s="902"/>
    </row>
    <row r="530" spans="1:71" ht="12.75" customHeight="1">
      <c r="A530" s="3335" t="s">
        <v>2397</v>
      </c>
      <c r="B530" s="3301"/>
      <c r="C530" s="3301"/>
      <c r="D530" s="3301"/>
      <c r="E530" s="3302"/>
      <c r="F530" s="3302"/>
      <c r="G530" s="3300"/>
      <c r="H530" s="3300"/>
      <c r="I530" s="3300"/>
      <c r="J530" s="3300"/>
      <c r="K530" s="3301"/>
      <c r="L530" s="3300"/>
      <c r="M530" s="3300"/>
      <c r="N530" s="3300"/>
      <c r="O530" s="3300"/>
      <c r="P530" s="3301"/>
      <c r="Q530" s="3304">
        <v>0</v>
      </c>
      <c r="R530" s="3304">
        <v>0</v>
      </c>
      <c r="S530" s="3304">
        <v>0</v>
      </c>
      <c r="T530" s="3304">
        <f>0-S530-R530-Q530</f>
        <v>0</v>
      </c>
      <c r="U530" s="3301">
        <v>0</v>
      </c>
      <c r="V530" s="3304">
        <v>0</v>
      </c>
      <c r="W530" s="3304">
        <v>0</v>
      </c>
      <c r="X530" s="3147">
        <f>-69-W530-V530</f>
        <v>-69</v>
      </c>
      <c r="Y530" s="3307">
        <f>-138-X530-W530-V530</f>
        <v>-69</v>
      </c>
      <c r="Z530" s="3301">
        <f t="shared" si="902"/>
        <v>-138</v>
      </c>
      <c r="AA530" s="3300">
        <v>-69</v>
      </c>
      <c r="AB530" s="3300">
        <f>-138-AA530</f>
        <v>-69</v>
      </c>
      <c r="AC530" s="3300">
        <f>+-207-SUM(AA530:AB530)</f>
        <v>-69</v>
      </c>
      <c r="AD530" s="3300">
        <f>-277-SUM(AA530:AC530)</f>
        <v>-70</v>
      </c>
      <c r="AE530" s="3306">
        <f t="shared" si="888"/>
        <v>-277</v>
      </c>
      <c r="AF530" s="3721">
        <v>-49</v>
      </c>
      <c r="AG530" s="3690">
        <f>-98-AF530</f>
        <v>-49</v>
      </c>
      <c r="AH530" s="3300">
        <f>-147-AG530-AF530</f>
        <v>-49</v>
      </c>
      <c r="AI530" s="3691">
        <f>-AI80*AI83</f>
        <v>-47.620806125980572</v>
      </c>
      <c r="AJ530" s="3693">
        <f t="shared" si="889"/>
        <v>-194.62080612598058</v>
      </c>
      <c r="AK530" s="3691">
        <f>-AK80*AK83</f>
        <v>-52.787159263219209</v>
      </c>
      <c r="AL530" s="3691">
        <f>-AL80*AL83</f>
        <v>-52.206578800045015</v>
      </c>
      <c r="AM530" s="3691">
        <f>-AM80*AM83</f>
        <v>-51.640158835972635</v>
      </c>
      <c r="AN530" s="3691">
        <f>-AN80*AN83</f>
        <v>-51.087553992975181</v>
      </c>
      <c r="AO530" s="3693">
        <f t="shared" si="891"/>
        <v>-207.72145089221206</v>
      </c>
      <c r="AP530" s="3694">
        <f>-AP80*AP83</f>
        <v>-209.66774038013435</v>
      </c>
      <c r="AQ530" s="3694">
        <f>-AQ80*AQ83</f>
        <v>-205.83147535436697</v>
      </c>
      <c r="AR530" s="268"/>
      <c r="AS530" s="522" t="str">
        <f t="shared" si="887"/>
        <v>Dividends Paid</v>
      </c>
      <c r="AT530" s="270">
        <f t="shared" si="892"/>
        <v>0</v>
      </c>
      <c r="AU530" s="270">
        <f t="shared" si="893"/>
        <v>0</v>
      </c>
      <c r="AV530" s="270">
        <f t="shared" si="894"/>
        <v>0</v>
      </c>
      <c r="AW530" s="270">
        <f t="shared" si="895"/>
        <v>0</v>
      </c>
      <c r="AX530" s="270">
        <f t="shared" si="896"/>
        <v>0</v>
      </c>
      <c r="AY530" s="270">
        <f t="shared" si="897"/>
        <v>-138</v>
      </c>
      <c r="AZ530" s="270">
        <f>+AE530</f>
        <v>-277</v>
      </c>
      <c r="BA530" s="270">
        <f>+AJ530</f>
        <v>-194.62080612598058</v>
      </c>
      <c r="BB530" s="270">
        <f>+AO530</f>
        <v>-207.72145089221206</v>
      </c>
      <c r="BC530" s="270">
        <f>+AP530</f>
        <v>-209.66774038013435</v>
      </c>
      <c r="BD530" s="697">
        <f>+AQ530</f>
        <v>-205.83147535436697</v>
      </c>
      <c r="BF530" s="900"/>
      <c r="BM530" s="902"/>
      <c r="BN530" s="902"/>
      <c r="BO530" s="902"/>
      <c r="BP530" s="931"/>
      <c r="BQ530" s="902"/>
      <c r="BR530" s="902"/>
      <c r="BS530" s="902"/>
    </row>
    <row r="531" spans="1:71" ht="12.75" customHeight="1">
      <c r="A531" s="3311" t="s">
        <v>1861</v>
      </c>
      <c r="B531" s="3301"/>
      <c r="C531" s="3301"/>
      <c r="D531" s="3301"/>
      <c r="E531" s="3302">
        <v>-895</v>
      </c>
      <c r="F531" s="3302">
        <v>0</v>
      </c>
      <c r="G531" s="3300">
        <v>0</v>
      </c>
      <c r="H531" s="3300">
        <v>0</v>
      </c>
      <c r="I531" s="3300">
        <v>0</v>
      </c>
      <c r="J531" s="3300">
        <v>0</v>
      </c>
      <c r="K531" s="3301">
        <f t="shared" si="899"/>
        <v>0</v>
      </c>
      <c r="L531" s="3300">
        <v>0</v>
      </c>
      <c r="M531" s="3300">
        <v>0</v>
      </c>
      <c r="N531" s="3300">
        <v>0</v>
      </c>
      <c r="O531" s="3300">
        <f>0-SUM(L531:N531)</f>
        <v>0</v>
      </c>
      <c r="P531" s="3301">
        <f t="shared" si="900"/>
        <v>0</v>
      </c>
      <c r="Q531" s="3300">
        <v>0</v>
      </c>
      <c r="R531" s="3300">
        <v>0</v>
      </c>
      <c r="S531" s="3300">
        <v>0</v>
      </c>
      <c r="T531" s="3307">
        <f>0-S531-R531-Q531</f>
        <v>0</v>
      </c>
      <c r="U531" s="3301">
        <f t="shared" si="901"/>
        <v>0</v>
      </c>
      <c r="V531" s="3300">
        <v>0</v>
      </c>
      <c r="W531" s="3300">
        <v>0</v>
      </c>
      <c r="X531" s="3300">
        <v>0</v>
      </c>
      <c r="Y531" s="3307">
        <f>0-X531-W531-V531</f>
        <v>0</v>
      </c>
      <c r="Z531" s="3301">
        <f t="shared" si="902"/>
        <v>0</v>
      </c>
      <c r="AA531" s="3300">
        <v>0</v>
      </c>
      <c r="AB531" s="3300">
        <v>0</v>
      </c>
      <c r="AC531" s="3300">
        <v>0</v>
      </c>
      <c r="AD531" s="3307">
        <v>0</v>
      </c>
      <c r="AE531" s="3306">
        <f t="shared" si="888"/>
        <v>0</v>
      </c>
      <c r="AF531" s="3695">
        <v>0</v>
      </c>
      <c r="AG531" s="3695">
        <v>0</v>
      </c>
      <c r="AH531" s="3300">
        <v>0</v>
      </c>
      <c r="AI531" s="3696">
        <v>0</v>
      </c>
      <c r="AJ531" s="3693">
        <f t="shared" si="889"/>
        <v>0</v>
      </c>
      <c r="AK531" s="3695">
        <v>0</v>
      </c>
      <c r="AL531" s="3695">
        <v>0</v>
      </c>
      <c r="AM531" s="3695">
        <v>0</v>
      </c>
      <c r="AN531" s="3695">
        <v>0</v>
      </c>
      <c r="AO531" s="3693">
        <f t="shared" si="891"/>
        <v>0</v>
      </c>
      <c r="AP531" s="3694">
        <v>0</v>
      </c>
      <c r="AQ531" s="3694">
        <v>0</v>
      </c>
      <c r="AR531" s="268"/>
      <c r="AS531" s="522" t="str">
        <f t="shared" si="887"/>
        <v>Cash Paid in Debt Restructuring</v>
      </c>
      <c r="AT531" s="270">
        <f t="shared" si="892"/>
        <v>-895</v>
      </c>
      <c r="AU531" s="270">
        <f t="shared" si="893"/>
        <v>0</v>
      </c>
      <c r="AV531" s="270">
        <f t="shared" si="894"/>
        <v>0</v>
      </c>
      <c r="AW531" s="270">
        <f t="shared" si="895"/>
        <v>0</v>
      </c>
      <c r="AX531" s="270">
        <f t="shared" si="896"/>
        <v>0</v>
      </c>
      <c r="AY531" s="270">
        <f t="shared" si="897"/>
        <v>0</v>
      </c>
      <c r="AZ531" s="270">
        <f t="shared" ref="AZ531:AZ539" si="903">+AE531</f>
        <v>0</v>
      </c>
      <c r="BA531" s="270">
        <f t="shared" ref="BA531:BA539" si="904">+AJ531</f>
        <v>0</v>
      </c>
      <c r="BB531" s="270">
        <f t="shared" ref="BB531:BB539" si="905">+AO531</f>
        <v>0</v>
      </c>
      <c r="BC531" s="270">
        <f t="shared" ref="BC531:BC539" si="906">+AP531</f>
        <v>0</v>
      </c>
      <c r="BD531" s="697">
        <f t="shared" ref="BD531:BD539" si="907">+AQ531</f>
        <v>0</v>
      </c>
      <c r="BF531" s="900"/>
      <c r="BM531" s="902"/>
      <c r="BN531" s="902"/>
      <c r="BO531" s="902"/>
      <c r="BP531" s="931"/>
      <c r="BQ531" s="902"/>
      <c r="BR531" s="902"/>
      <c r="BS531" s="902"/>
    </row>
    <row r="532" spans="1:71" ht="12.75" customHeight="1">
      <c r="A532" s="3297" t="s">
        <v>1862</v>
      </c>
      <c r="B532" s="3301"/>
      <c r="C532" s="3301"/>
      <c r="D532" s="3301"/>
      <c r="E532" s="3302">
        <v>-35</v>
      </c>
      <c r="F532" s="3307">
        <v>0</v>
      </c>
      <c r="G532" s="3300">
        <v>0</v>
      </c>
      <c r="H532" s="3300">
        <v>0</v>
      </c>
      <c r="I532" s="3300">
        <v>0</v>
      </c>
      <c r="J532" s="3300">
        <v>0</v>
      </c>
      <c r="K532" s="3301">
        <f t="shared" si="899"/>
        <v>0</v>
      </c>
      <c r="L532" s="3300">
        <v>0</v>
      </c>
      <c r="M532" s="3300">
        <v>0</v>
      </c>
      <c r="N532" s="3300">
        <v>0</v>
      </c>
      <c r="O532" s="3300">
        <f>0-SUM(L532:N532)</f>
        <v>0</v>
      </c>
      <c r="P532" s="3301">
        <f t="shared" si="900"/>
        <v>0</v>
      </c>
      <c r="Q532" s="3300">
        <v>-2</v>
      </c>
      <c r="R532" s="3300">
        <f>-2-Q532</f>
        <v>0</v>
      </c>
      <c r="S532" s="3300">
        <f>-9-R532-Q532</f>
        <v>-7</v>
      </c>
      <c r="T532" s="3307">
        <f>-9-S532-R532-Q532</f>
        <v>0</v>
      </c>
      <c r="U532" s="3301">
        <f t="shared" si="901"/>
        <v>-9</v>
      </c>
      <c r="V532" s="3300">
        <v>0</v>
      </c>
      <c r="W532" s="3300">
        <v>0</v>
      </c>
      <c r="X532" s="3300">
        <v>0</v>
      </c>
      <c r="Y532" s="3307">
        <f>0-X532-W532-V532</f>
        <v>0</v>
      </c>
      <c r="Z532" s="3301">
        <f t="shared" si="902"/>
        <v>0</v>
      </c>
      <c r="AA532" s="3300">
        <v>0</v>
      </c>
      <c r="AB532" s="3300">
        <v>0</v>
      </c>
      <c r="AC532" s="3300">
        <v>0</v>
      </c>
      <c r="AD532" s="3307">
        <v>0</v>
      </c>
      <c r="AE532" s="3306">
        <f t="shared" si="888"/>
        <v>0</v>
      </c>
      <c r="AF532" s="3695">
        <v>0</v>
      </c>
      <c r="AG532" s="3695">
        <f>-68-AF532</f>
        <v>-68</v>
      </c>
      <c r="AH532" s="3300">
        <f>-69-AG532-AF532</f>
        <v>-1</v>
      </c>
      <c r="AI532" s="3696">
        <v>0</v>
      </c>
      <c r="AJ532" s="3693">
        <f t="shared" si="889"/>
        <v>-69</v>
      </c>
      <c r="AK532" s="3695">
        <v>0</v>
      </c>
      <c r="AL532" s="3695">
        <v>0</v>
      </c>
      <c r="AM532" s="3695">
        <v>0</v>
      </c>
      <c r="AN532" s="3695">
        <v>0</v>
      </c>
      <c r="AO532" s="3693">
        <f t="shared" si="891"/>
        <v>0</v>
      </c>
      <c r="AP532" s="3694">
        <v>0</v>
      </c>
      <c r="AQ532" s="3694">
        <v>0</v>
      </c>
      <c r="AR532" s="268"/>
      <c r="AS532" s="525" t="str">
        <f t="shared" si="887"/>
        <v>Debt Restructuring Costs</v>
      </c>
      <c r="AT532" s="270">
        <f t="shared" si="892"/>
        <v>-35</v>
      </c>
      <c r="AU532" s="270">
        <f t="shared" si="893"/>
        <v>0</v>
      </c>
      <c r="AV532" s="270">
        <f t="shared" si="894"/>
        <v>0</v>
      </c>
      <c r="AW532" s="270">
        <f t="shared" si="895"/>
        <v>0</v>
      </c>
      <c r="AX532" s="270">
        <f t="shared" si="896"/>
        <v>-9</v>
      </c>
      <c r="AY532" s="270">
        <f t="shared" si="897"/>
        <v>0</v>
      </c>
      <c r="AZ532" s="270">
        <f t="shared" si="903"/>
        <v>0</v>
      </c>
      <c r="BA532" s="270">
        <f t="shared" si="904"/>
        <v>-69</v>
      </c>
      <c r="BB532" s="270">
        <f t="shared" si="905"/>
        <v>0</v>
      </c>
      <c r="BC532" s="270">
        <f t="shared" si="906"/>
        <v>0</v>
      </c>
      <c r="BD532" s="697">
        <f t="shared" si="907"/>
        <v>0</v>
      </c>
      <c r="BF532" s="900"/>
      <c r="BM532" s="902"/>
      <c r="BN532" s="902"/>
      <c r="BO532" s="902"/>
      <c r="BP532" s="931"/>
      <c r="BQ532" s="902"/>
      <c r="BR532" s="902"/>
      <c r="BS532" s="902"/>
    </row>
    <row r="533" spans="1:71" ht="12.75" customHeight="1">
      <c r="A533" s="3297" t="s">
        <v>2207</v>
      </c>
      <c r="B533" s="3301"/>
      <c r="C533" s="3301"/>
      <c r="D533" s="3301"/>
      <c r="E533" s="3302">
        <v>-249</v>
      </c>
      <c r="F533" s="3307">
        <v>-25</v>
      </c>
      <c r="G533" s="3300">
        <v>23</v>
      </c>
      <c r="H533" s="3300">
        <v>-13</v>
      </c>
      <c r="I533" s="3300">
        <v>18</v>
      </c>
      <c r="J533" s="3300">
        <v>159</v>
      </c>
      <c r="K533" s="3301">
        <f t="shared" si="899"/>
        <v>187</v>
      </c>
      <c r="L533" s="3300">
        <v>26</v>
      </c>
      <c r="M533" s="3300">
        <v>-56</v>
      </c>
      <c r="N533" s="3300">
        <v>144</v>
      </c>
      <c r="O533" s="3300">
        <f>193-SUM(L533:N533)</f>
        <v>79</v>
      </c>
      <c r="P533" s="3301">
        <f t="shared" si="900"/>
        <v>193</v>
      </c>
      <c r="Q533" s="3300">
        <v>-10</v>
      </c>
      <c r="R533" s="3300">
        <f>-17-Q533</f>
        <v>-7</v>
      </c>
      <c r="S533" s="3300">
        <f>-19-R533-Q533</f>
        <v>-2</v>
      </c>
      <c r="T533" s="3307">
        <f>5-S533-R533-Q533</f>
        <v>24</v>
      </c>
      <c r="U533" s="3301">
        <f t="shared" si="901"/>
        <v>5</v>
      </c>
      <c r="V533" s="3300">
        <v>-57</v>
      </c>
      <c r="W533" s="3300">
        <f>-29-V533</f>
        <v>28</v>
      </c>
      <c r="X533" s="3147">
        <f>-53-W533-V533</f>
        <v>-24</v>
      </c>
      <c r="Y533" s="3307">
        <f>-10-X533-W533-V533</f>
        <v>43</v>
      </c>
      <c r="Z533" s="3301">
        <f t="shared" si="902"/>
        <v>-10</v>
      </c>
      <c r="AA533" s="3300">
        <v>-34</v>
      </c>
      <c r="AB533" s="3300">
        <f>-32-AA533</f>
        <v>2</v>
      </c>
      <c r="AC533" s="3300">
        <f>+-19-SUM(AA533:AB533)</f>
        <v>13</v>
      </c>
      <c r="AD533" s="3307">
        <v>0</v>
      </c>
      <c r="AE533" s="3306">
        <f t="shared" si="888"/>
        <v>-19</v>
      </c>
      <c r="AF533" s="3695">
        <v>0</v>
      </c>
      <c r="AG533" s="3695">
        <v>0</v>
      </c>
      <c r="AH533" s="3300">
        <v>0</v>
      </c>
      <c r="AI533" s="3696">
        <v>0</v>
      </c>
      <c r="AJ533" s="3693">
        <f t="shared" si="889"/>
        <v>0</v>
      </c>
      <c r="AK533" s="3695">
        <v>0</v>
      </c>
      <c r="AL533" s="3695">
        <v>0</v>
      </c>
      <c r="AM533" s="3695">
        <v>0</v>
      </c>
      <c r="AN533" s="3695">
        <v>0</v>
      </c>
      <c r="AO533" s="3693">
        <f t="shared" si="891"/>
        <v>0</v>
      </c>
      <c r="AP533" s="3694">
        <v>0</v>
      </c>
      <c r="AQ533" s="3694">
        <v>0</v>
      </c>
      <c r="AR533" s="268"/>
      <c r="AS533" s="525" t="str">
        <f t="shared" si="887"/>
        <v>Change in Restricted Cash and Cash Equivalents</v>
      </c>
      <c r="AT533" s="270">
        <f t="shared" si="892"/>
        <v>-249</v>
      </c>
      <c r="AU533" s="270">
        <f t="shared" si="893"/>
        <v>-25</v>
      </c>
      <c r="AV533" s="270">
        <f t="shared" si="894"/>
        <v>187</v>
      </c>
      <c r="AW533" s="270">
        <f t="shared" si="895"/>
        <v>193</v>
      </c>
      <c r="AX533" s="270">
        <f t="shared" si="896"/>
        <v>5</v>
      </c>
      <c r="AY533" s="270">
        <f t="shared" si="897"/>
        <v>-10</v>
      </c>
      <c r="AZ533" s="270">
        <f t="shared" si="903"/>
        <v>-19</v>
      </c>
      <c r="BA533" s="270">
        <f t="shared" si="904"/>
        <v>0</v>
      </c>
      <c r="BB533" s="270">
        <f t="shared" si="905"/>
        <v>0</v>
      </c>
      <c r="BC533" s="270">
        <f t="shared" si="906"/>
        <v>0</v>
      </c>
      <c r="BD533" s="697">
        <f t="shared" si="907"/>
        <v>0</v>
      </c>
      <c r="BF533" s="900"/>
      <c r="BM533" s="902"/>
      <c r="BN533" s="902"/>
      <c r="BO533" s="902"/>
      <c r="BP533" s="931"/>
      <c r="BQ533" s="902"/>
      <c r="BR533" s="902"/>
      <c r="BS533" s="902"/>
    </row>
    <row r="534" spans="1:71" ht="12.75" customHeight="1">
      <c r="A534" s="3297" t="s">
        <v>1863</v>
      </c>
      <c r="B534" s="3301"/>
      <c r="C534" s="3301"/>
      <c r="D534" s="3301"/>
      <c r="E534" s="3302">
        <v>819</v>
      </c>
      <c r="F534" s="3307">
        <v>0</v>
      </c>
      <c r="G534" s="3300">
        <v>0</v>
      </c>
      <c r="H534" s="3300">
        <v>0</v>
      </c>
      <c r="I534" s="3300">
        <v>0</v>
      </c>
      <c r="J534" s="3300">
        <v>0</v>
      </c>
      <c r="K534" s="3301">
        <f t="shared" si="899"/>
        <v>0</v>
      </c>
      <c r="L534" s="3300">
        <v>0</v>
      </c>
      <c r="M534" s="3300">
        <v>0</v>
      </c>
      <c r="N534" s="3300">
        <v>0</v>
      </c>
      <c r="O534" s="3300">
        <f>0-SUM(L534:N534)</f>
        <v>0</v>
      </c>
      <c r="P534" s="3301">
        <f t="shared" si="900"/>
        <v>0</v>
      </c>
      <c r="Q534" s="3300">
        <v>0</v>
      </c>
      <c r="R534" s="3300">
        <v>0</v>
      </c>
      <c r="S534" s="3300">
        <f>13-R534-Q534</f>
        <v>13</v>
      </c>
      <c r="T534" s="3307">
        <f>13-S534-R534-Q534</f>
        <v>0</v>
      </c>
      <c r="U534" s="3301">
        <f t="shared" si="901"/>
        <v>13</v>
      </c>
      <c r="V534" s="3300">
        <v>0</v>
      </c>
      <c r="W534" s="3300">
        <v>0</v>
      </c>
      <c r="X534" s="3300">
        <v>0</v>
      </c>
      <c r="Y534" s="3307">
        <f>0-X534-W534-V534</f>
        <v>0</v>
      </c>
      <c r="Z534" s="3301">
        <f t="shared" si="902"/>
        <v>0</v>
      </c>
      <c r="AA534" s="3300">
        <v>0</v>
      </c>
      <c r="AB534" s="3300">
        <v>0</v>
      </c>
      <c r="AC534" s="3300">
        <v>0</v>
      </c>
      <c r="AD534" s="3307">
        <v>0</v>
      </c>
      <c r="AE534" s="3306">
        <f t="shared" si="888"/>
        <v>0</v>
      </c>
      <c r="AF534" s="3695">
        <v>0</v>
      </c>
      <c r="AG534" s="3695">
        <v>0</v>
      </c>
      <c r="AH534" s="3300">
        <v>0</v>
      </c>
      <c r="AI534" s="3696">
        <v>0</v>
      </c>
      <c r="AJ534" s="3693">
        <f t="shared" si="889"/>
        <v>0</v>
      </c>
      <c r="AK534" s="3695">
        <v>0</v>
      </c>
      <c r="AL534" s="3695">
        <v>0</v>
      </c>
      <c r="AM534" s="3695">
        <v>0</v>
      </c>
      <c r="AN534" s="3695">
        <v>0</v>
      </c>
      <c r="AO534" s="3693">
        <f t="shared" si="891"/>
        <v>0</v>
      </c>
      <c r="AP534" s="3694">
        <v>0</v>
      </c>
      <c r="AQ534" s="3694">
        <v>0</v>
      </c>
      <c r="AR534" s="268"/>
      <c r="AS534" s="525" t="str">
        <f t="shared" si="887"/>
        <v>Equity Contribution from Parent</v>
      </c>
      <c r="AT534" s="270">
        <f t="shared" si="892"/>
        <v>819</v>
      </c>
      <c r="AU534" s="270">
        <f t="shared" si="893"/>
        <v>0</v>
      </c>
      <c r="AV534" s="270">
        <f t="shared" si="894"/>
        <v>0</v>
      </c>
      <c r="AW534" s="270">
        <f t="shared" si="895"/>
        <v>0</v>
      </c>
      <c r="AX534" s="270">
        <f t="shared" si="896"/>
        <v>13</v>
      </c>
      <c r="AY534" s="270">
        <f t="shared" si="897"/>
        <v>0</v>
      </c>
      <c r="AZ534" s="270">
        <f t="shared" si="903"/>
        <v>0</v>
      </c>
      <c r="BA534" s="270">
        <f t="shared" si="904"/>
        <v>0</v>
      </c>
      <c r="BB534" s="270">
        <f t="shared" si="905"/>
        <v>0</v>
      </c>
      <c r="BC534" s="270">
        <f t="shared" si="906"/>
        <v>0</v>
      </c>
      <c r="BD534" s="697">
        <f t="shared" si="907"/>
        <v>0</v>
      </c>
      <c r="BF534" s="900"/>
      <c r="BM534" s="902"/>
      <c r="BN534" s="902"/>
      <c r="BO534" s="902"/>
      <c r="BP534" s="931"/>
      <c r="BQ534" s="902"/>
      <c r="BR534" s="902"/>
      <c r="BS534" s="902"/>
    </row>
    <row r="535" spans="1:71" ht="12.75" customHeight="1">
      <c r="A535" s="3287" t="s">
        <v>1864</v>
      </c>
      <c r="B535" s="3301"/>
      <c r="C535" s="3301"/>
      <c r="D535" s="3301"/>
      <c r="E535" s="3302">
        <v>33</v>
      </c>
      <c r="F535" s="3307">
        <v>0</v>
      </c>
      <c r="G535" s="3300">
        <v>0</v>
      </c>
      <c r="H535" s="3300">
        <v>0</v>
      </c>
      <c r="I535" s="3300">
        <v>0</v>
      </c>
      <c r="J535" s="3300">
        <v>0</v>
      </c>
      <c r="K535" s="3301">
        <f t="shared" si="899"/>
        <v>0</v>
      </c>
      <c r="L535" s="3300">
        <v>0</v>
      </c>
      <c r="M535" s="3300">
        <v>0</v>
      </c>
      <c r="N535" s="3300">
        <v>0</v>
      </c>
      <c r="O535" s="3300">
        <f>0-SUM(L535:N535)</f>
        <v>0</v>
      </c>
      <c r="P535" s="3301">
        <f t="shared" si="900"/>
        <v>0</v>
      </c>
      <c r="Q535" s="3300">
        <v>0</v>
      </c>
      <c r="R535" s="3300">
        <v>0</v>
      </c>
      <c r="S535" s="3300">
        <v>0</v>
      </c>
      <c r="T535" s="3307">
        <v>0</v>
      </c>
      <c r="U535" s="3301">
        <f t="shared" si="901"/>
        <v>0</v>
      </c>
      <c r="V535" s="3300">
        <v>0</v>
      </c>
      <c r="W535" s="3300">
        <v>0</v>
      </c>
      <c r="X535" s="3300">
        <v>0</v>
      </c>
      <c r="Y535" s="3307">
        <v>0</v>
      </c>
      <c r="Z535" s="3301">
        <f t="shared" si="902"/>
        <v>0</v>
      </c>
      <c r="AA535" s="3300">
        <v>0</v>
      </c>
      <c r="AB535" s="3300">
        <v>0</v>
      </c>
      <c r="AC535" s="3300">
        <v>0</v>
      </c>
      <c r="AD535" s="3307">
        <v>0</v>
      </c>
      <c r="AE535" s="3306">
        <f t="shared" si="888"/>
        <v>0</v>
      </c>
      <c r="AF535" s="3695">
        <v>0</v>
      </c>
      <c r="AG535" s="3695">
        <v>0</v>
      </c>
      <c r="AH535" s="3300">
        <v>0</v>
      </c>
      <c r="AI535" s="3696">
        <v>0</v>
      </c>
      <c r="AJ535" s="3693">
        <f t="shared" si="889"/>
        <v>0</v>
      </c>
      <c r="AK535" s="3695">
        <v>0</v>
      </c>
      <c r="AL535" s="3695">
        <v>0</v>
      </c>
      <c r="AM535" s="3695">
        <v>0</v>
      </c>
      <c r="AN535" s="3695">
        <v>0</v>
      </c>
      <c r="AO535" s="3693">
        <f t="shared" si="891"/>
        <v>0</v>
      </c>
      <c r="AP535" s="3694">
        <v>0</v>
      </c>
      <c r="AQ535" s="3694">
        <v>0</v>
      </c>
      <c r="AR535" s="268"/>
      <c r="AS535" s="523" t="str">
        <f t="shared" si="887"/>
        <v>Contribution from Noncontrolling Interests</v>
      </c>
      <c r="AT535" s="270">
        <f t="shared" si="892"/>
        <v>33</v>
      </c>
      <c r="AU535" s="270">
        <f t="shared" si="893"/>
        <v>0</v>
      </c>
      <c r="AV535" s="270">
        <f t="shared" si="894"/>
        <v>0</v>
      </c>
      <c r="AW535" s="270">
        <f t="shared" si="895"/>
        <v>0</v>
      </c>
      <c r="AX535" s="270">
        <f t="shared" si="896"/>
        <v>0</v>
      </c>
      <c r="AY535" s="270">
        <f t="shared" si="897"/>
        <v>0</v>
      </c>
      <c r="AZ535" s="270">
        <f t="shared" si="903"/>
        <v>0</v>
      </c>
      <c r="BA535" s="270">
        <f t="shared" si="904"/>
        <v>0</v>
      </c>
      <c r="BB535" s="270">
        <f t="shared" si="905"/>
        <v>0</v>
      </c>
      <c r="BC535" s="270">
        <f t="shared" si="906"/>
        <v>0</v>
      </c>
      <c r="BD535" s="697">
        <f t="shared" si="907"/>
        <v>0</v>
      </c>
      <c r="BF535" s="900"/>
      <c r="BM535" s="902"/>
      <c r="BN535" s="902"/>
      <c r="BO535" s="902"/>
      <c r="BP535" s="931"/>
      <c r="BQ535" s="902"/>
      <c r="BR535" s="902"/>
      <c r="BS535" s="902"/>
    </row>
    <row r="536" spans="1:71" ht="12.75" customHeight="1">
      <c r="A536" s="3297" t="s">
        <v>240</v>
      </c>
      <c r="B536" s="3301"/>
      <c r="C536" s="3301"/>
      <c r="D536" s="3301"/>
      <c r="E536" s="3302">
        <v>-9</v>
      </c>
      <c r="F536" s="3307">
        <v>-3</v>
      </c>
      <c r="G536" s="3300">
        <v>0</v>
      </c>
      <c r="H536" s="3300">
        <v>-2</v>
      </c>
      <c r="I536" s="3300">
        <v>0</v>
      </c>
      <c r="J536" s="3300">
        <v>-2</v>
      </c>
      <c r="K536" s="3301">
        <f t="shared" si="899"/>
        <v>-4</v>
      </c>
      <c r="L536" s="3300">
        <v>-1</v>
      </c>
      <c r="M536" s="3300">
        <v>-2</v>
      </c>
      <c r="N536" s="3300">
        <v>0</v>
      </c>
      <c r="O536" s="3300">
        <f>-4-SUM(L536:N536)</f>
        <v>-1</v>
      </c>
      <c r="P536" s="3301">
        <f t="shared" si="900"/>
        <v>-4</v>
      </c>
      <c r="Q536" s="3300">
        <v>-1</v>
      </c>
      <c r="R536" s="3300">
        <f>-2-Q536</f>
        <v>-1</v>
      </c>
      <c r="S536" s="3300">
        <f>-3-R536-Q536</f>
        <v>-1</v>
      </c>
      <c r="T536" s="3307">
        <f>-5-S536-R536-Q536</f>
        <v>-2</v>
      </c>
      <c r="U536" s="3301">
        <f t="shared" si="901"/>
        <v>-5</v>
      </c>
      <c r="V536" s="3300">
        <v>-2</v>
      </c>
      <c r="W536" s="3300">
        <f>-4-V536</f>
        <v>-2</v>
      </c>
      <c r="X536" s="3147">
        <f>-6-W536-V536</f>
        <v>-2</v>
      </c>
      <c r="Y536" s="3307">
        <f>-8-X536-W536-V536</f>
        <v>-2</v>
      </c>
      <c r="Z536" s="3301">
        <f t="shared" si="902"/>
        <v>-8</v>
      </c>
      <c r="AA536" s="3300">
        <v>-2</v>
      </c>
      <c r="AB536" s="3300">
        <f>-4-AA536</f>
        <v>-2</v>
      </c>
      <c r="AC536" s="3300">
        <f>+-6-SUM(AA536:AB536)</f>
        <v>-2</v>
      </c>
      <c r="AD536" s="3307">
        <f>+-32-SUM(AA536:AC536)</f>
        <v>-26</v>
      </c>
      <c r="AE536" s="3306">
        <f t="shared" si="888"/>
        <v>-32</v>
      </c>
      <c r="AF536" s="3695">
        <v>-1</v>
      </c>
      <c r="AG536" s="3695">
        <f>-1-AF536</f>
        <v>0</v>
      </c>
      <c r="AH536" s="3300">
        <f>-1-AG536-AF536</f>
        <v>0</v>
      </c>
      <c r="AI536" s="3696">
        <v>0</v>
      </c>
      <c r="AJ536" s="3693">
        <f t="shared" si="889"/>
        <v>-1</v>
      </c>
      <c r="AK536" s="3695">
        <v>0</v>
      </c>
      <c r="AL536" s="3695">
        <v>0</v>
      </c>
      <c r="AM536" s="3695">
        <v>0</v>
      </c>
      <c r="AN536" s="3695">
        <v>0</v>
      </c>
      <c r="AO536" s="3693">
        <f t="shared" si="891"/>
        <v>0</v>
      </c>
      <c r="AP536" s="3694">
        <v>0</v>
      </c>
      <c r="AQ536" s="3694">
        <v>0</v>
      </c>
      <c r="AR536" s="268"/>
      <c r="AS536" s="500" t="str">
        <f t="shared" si="887"/>
        <v>Distributions to Noncontrolling Interests</v>
      </c>
      <c r="AT536" s="270">
        <f t="shared" si="892"/>
        <v>-9</v>
      </c>
      <c r="AU536" s="270">
        <f t="shared" si="893"/>
        <v>-3</v>
      </c>
      <c r="AV536" s="270">
        <f t="shared" si="894"/>
        <v>-4</v>
      </c>
      <c r="AW536" s="270">
        <f t="shared" si="895"/>
        <v>-4</v>
      </c>
      <c r="AX536" s="270">
        <f t="shared" si="896"/>
        <v>-5</v>
      </c>
      <c r="AY536" s="270">
        <f t="shared" si="897"/>
        <v>-8</v>
      </c>
      <c r="AZ536" s="270">
        <f t="shared" si="903"/>
        <v>-32</v>
      </c>
      <c r="BA536" s="270">
        <f t="shared" si="904"/>
        <v>-1</v>
      </c>
      <c r="BB536" s="270">
        <f t="shared" si="905"/>
        <v>0</v>
      </c>
      <c r="BC536" s="270">
        <f t="shared" si="906"/>
        <v>0</v>
      </c>
      <c r="BD536" s="697">
        <f t="shared" si="907"/>
        <v>0</v>
      </c>
      <c r="BF536" s="900"/>
      <c r="BM536" s="902"/>
      <c r="BN536" s="902"/>
      <c r="BO536" s="902"/>
      <c r="BP536" s="931"/>
      <c r="BQ536" s="902"/>
      <c r="BR536" s="902"/>
      <c r="BS536" s="902"/>
    </row>
    <row r="537" spans="1:71" ht="12.75" customHeight="1">
      <c r="A537" s="3297" t="s">
        <v>1680</v>
      </c>
      <c r="B537" s="3301"/>
      <c r="C537" s="3301"/>
      <c r="D537" s="3301"/>
      <c r="E537" s="3302">
        <v>-107</v>
      </c>
      <c r="F537" s="3307">
        <v>0</v>
      </c>
      <c r="G537" s="3300">
        <v>0</v>
      </c>
      <c r="H537" s="3300">
        <v>0</v>
      </c>
      <c r="I537" s="3300">
        <v>0</v>
      </c>
      <c r="J537" s="3300">
        <v>-1</v>
      </c>
      <c r="K537" s="3301">
        <f t="shared" si="899"/>
        <v>-1</v>
      </c>
      <c r="L537" s="3300">
        <v>0</v>
      </c>
      <c r="M537" s="3300">
        <v>0</v>
      </c>
      <c r="N537" s="3300">
        <v>0</v>
      </c>
      <c r="O537" s="3300">
        <f>0-SUM(L537:N537)</f>
        <v>0</v>
      </c>
      <c r="P537" s="3301">
        <f t="shared" si="900"/>
        <v>0</v>
      </c>
      <c r="Q537" s="3300">
        <v>0</v>
      </c>
      <c r="R537" s="3300">
        <v>0</v>
      </c>
      <c r="S537" s="3300">
        <v>0</v>
      </c>
      <c r="T537" s="3307">
        <v>0</v>
      </c>
      <c r="U537" s="3301">
        <f t="shared" si="901"/>
        <v>0</v>
      </c>
      <c r="V537" s="3300">
        <v>0</v>
      </c>
      <c r="W537" s="3300">
        <v>0</v>
      </c>
      <c r="X537" s="3300">
        <v>0</v>
      </c>
      <c r="Y537" s="3307">
        <v>0</v>
      </c>
      <c r="Z537" s="3301">
        <f t="shared" si="902"/>
        <v>0</v>
      </c>
      <c r="AA537" s="3300">
        <v>0</v>
      </c>
      <c r="AB537" s="3300">
        <v>0</v>
      </c>
      <c r="AC537" s="3300">
        <v>0</v>
      </c>
      <c r="AD537" s="3307">
        <v>0</v>
      </c>
      <c r="AE537" s="3306">
        <f t="shared" si="888"/>
        <v>0</v>
      </c>
      <c r="AF537" s="3695">
        <v>0</v>
      </c>
      <c r="AG537" s="3695">
        <v>0</v>
      </c>
      <c r="AH537" s="3300">
        <v>0</v>
      </c>
      <c r="AI537" s="3696">
        <v>0</v>
      </c>
      <c r="AJ537" s="3693">
        <f t="shared" si="889"/>
        <v>0</v>
      </c>
      <c r="AK537" s="3695">
        <v>0</v>
      </c>
      <c r="AL537" s="3695">
        <v>0</v>
      </c>
      <c r="AM537" s="3695">
        <v>0</v>
      </c>
      <c r="AN537" s="3695">
        <v>0</v>
      </c>
      <c r="AO537" s="3693">
        <f t="shared" si="891"/>
        <v>0</v>
      </c>
      <c r="AP537" s="3694">
        <v>0</v>
      </c>
      <c r="AQ537" s="3694">
        <v>0</v>
      </c>
      <c r="AR537" s="268"/>
      <c r="AS537" s="525" t="str">
        <f t="shared" si="887"/>
        <v>Acquisition of Noncontrolling Interests</v>
      </c>
      <c r="AT537" s="270">
        <f t="shared" si="892"/>
        <v>-107</v>
      </c>
      <c r="AU537" s="270">
        <f t="shared" si="893"/>
        <v>0</v>
      </c>
      <c r="AV537" s="270">
        <f t="shared" si="894"/>
        <v>-1</v>
      </c>
      <c r="AW537" s="270">
        <f t="shared" si="895"/>
        <v>0</v>
      </c>
      <c r="AX537" s="270">
        <f t="shared" si="896"/>
        <v>0</v>
      </c>
      <c r="AY537" s="270">
        <f t="shared" si="897"/>
        <v>0</v>
      </c>
      <c r="AZ537" s="270">
        <f t="shared" si="903"/>
        <v>0</v>
      </c>
      <c r="BA537" s="270">
        <f t="shared" si="904"/>
        <v>0</v>
      </c>
      <c r="BB537" s="270">
        <f t="shared" si="905"/>
        <v>0</v>
      </c>
      <c r="BC537" s="270">
        <f t="shared" si="906"/>
        <v>0</v>
      </c>
      <c r="BD537" s="697">
        <f t="shared" si="907"/>
        <v>0</v>
      </c>
      <c r="BF537" s="900"/>
      <c r="BM537" s="902"/>
      <c r="BN537" s="902"/>
      <c r="BO537" s="902"/>
      <c r="BP537" s="931"/>
      <c r="BQ537" s="902"/>
      <c r="BR537" s="902"/>
      <c r="BS537" s="902"/>
    </row>
    <row r="538" spans="1:71" ht="12.75" customHeight="1">
      <c r="A538" s="3338" t="s">
        <v>395</v>
      </c>
      <c r="B538" s="3313"/>
      <c r="C538" s="3313"/>
      <c r="D538" s="3313"/>
      <c r="E538" s="3314">
        <v>0</v>
      </c>
      <c r="F538" s="3316">
        <v>0</v>
      </c>
      <c r="G538" s="3316">
        <v>0</v>
      </c>
      <c r="H538" s="3316">
        <v>0</v>
      </c>
      <c r="I538" s="3316">
        <v>0</v>
      </c>
      <c r="J538" s="3316">
        <v>0</v>
      </c>
      <c r="K538" s="3313">
        <f t="shared" si="899"/>
        <v>0</v>
      </c>
      <c r="L538" s="3316">
        <v>0</v>
      </c>
      <c r="M538" s="3316">
        <v>0</v>
      </c>
      <c r="N538" s="3316">
        <v>0</v>
      </c>
      <c r="O538" s="3316">
        <f>-180-SUM(L538:N538)</f>
        <v>-180</v>
      </c>
      <c r="P538" s="3313">
        <f t="shared" si="900"/>
        <v>-180</v>
      </c>
      <c r="Q538" s="3316">
        <v>0</v>
      </c>
      <c r="R538" s="3316">
        <f>13-Q538</f>
        <v>13</v>
      </c>
      <c r="S538" s="3316">
        <f>0-R538-Q538</f>
        <v>-13</v>
      </c>
      <c r="T538" s="3315">
        <v>0</v>
      </c>
      <c r="U538" s="3336">
        <f>SUM(Q538:T538)</f>
        <v>0</v>
      </c>
      <c r="V538" s="3316">
        <v>8</v>
      </c>
      <c r="W538" s="3316">
        <f>8-V538</f>
        <v>0</v>
      </c>
      <c r="X538" s="3316">
        <f>8-W538-V538</f>
        <v>0</v>
      </c>
      <c r="Y538" s="3315">
        <f>8-X538-W538-V538</f>
        <v>0</v>
      </c>
      <c r="Z538" s="3336">
        <f>SUM(V538:Y538)</f>
        <v>8</v>
      </c>
      <c r="AA538" s="3315">
        <v>0</v>
      </c>
      <c r="AB538" s="3316">
        <f>0-AA538</f>
        <v>0</v>
      </c>
      <c r="AC538" s="3316">
        <v>0</v>
      </c>
      <c r="AD538" s="3339">
        <v>0</v>
      </c>
      <c r="AE538" s="3336">
        <f t="shared" si="888"/>
        <v>0</v>
      </c>
      <c r="AF538" s="3750">
        <f>+-501-28</f>
        <v>-529</v>
      </c>
      <c r="AG538" s="3723">
        <f>-501-28-AF538</f>
        <v>0</v>
      </c>
      <c r="AH538" s="3316">
        <f>-501-28-AG538-AF538</f>
        <v>0</v>
      </c>
      <c r="AI538" s="3724">
        <v>0</v>
      </c>
      <c r="AJ538" s="3725">
        <f t="shared" si="889"/>
        <v>-529</v>
      </c>
      <c r="AK538" s="3723">
        <v>0</v>
      </c>
      <c r="AL538" s="3723">
        <v>0</v>
      </c>
      <c r="AM538" s="3723">
        <v>0</v>
      </c>
      <c r="AN538" s="3723">
        <v>0</v>
      </c>
      <c r="AO538" s="3707">
        <f t="shared" si="891"/>
        <v>0</v>
      </c>
      <c r="AP538" s="3708">
        <v>0</v>
      </c>
      <c r="AQ538" s="3708">
        <v>0</v>
      </c>
      <c r="AR538" s="271"/>
      <c r="AS538" s="617" t="str">
        <f t="shared" si="887"/>
        <v>Other</v>
      </c>
      <c r="AT538" s="829">
        <f t="shared" si="892"/>
        <v>0</v>
      </c>
      <c r="AU538" s="829">
        <f t="shared" si="893"/>
        <v>0</v>
      </c>
      <c r="AV538" s="829">
        <f t="shared" si="894"/>
        <v>0</v>
      </c>
      <c r="AW538" s="829">
        <f t="shared" si="895"/>
        <v>-180</v>
      </c>
      <c r="AX538" s="829">
        <f t="shared" si="896"/>
        <v>0</v>
      </c>
      <c r="AY538" s="829">
        <f t="shared" si="897"/>
        <v>8</v>
      </c>
      <c r="AZ538" s="829">
        <f t="shared" si="903"/>
        <v>0</v>
      </c>
      <c r="BA538" s="829">
        <f t="shared" si="904"/>
        <v>-529</v>
      </c>
      <c r="BB538" s="829">
        <f t="shared" si="905"/>
        <v>0</v>
      </c>
      <c r="BC538" s="829">
        <f t="shared" si="906"/>
        <v>0</v>
      </c>
      <c r="BD538" s="888">
        <f t="shared" si="907"/>
        <v>0</v>
      </c>
      <c r="BF538" s="900"/>
      <c r="BM538" s="902"/>
      <c r="BN538" s="902"/>
      <c r="BO538" s="902"/>
      <c r="BP538" s="931"/>
      <c r="BQ538" s="902"/>
      <c r="BR538" s="902"/>
      <c r="BS538" s="902"/>
    </row>
    <row r="539" spans="1:71" s="11" customFormat="1" ht="12.75" customHeight="1">
      <c r="A539" s="3340" t="s">
        <v>99</v>
      </c>
      <c r="B539" s="3319"/>
      <c r="C539" s="3319"/>
      <c r="D539" s="3319"/>
      <c r="E539" s="3319">
        <f t="shared" ref="E539:N539" si="908">SUM(E528:E538)</f>
        <v>-703</v>
      </c>
      <c r="F539" s="3322">
        <f t="shared" si="908"/>
        <v>-714</v>
      </c>
      <c r="G539" s="3320">
        <f t="shared" si="908"/>
        <v>-60</v>
      </c>
      <c r="H539" s="3321">
        <f t="shared" si="908"/>
        <v>-113</v>
      </c>
      <c r="I539" s="3321">
        <f t="shared" si="908"/>
        <v>-63</v>
      </c>
      <c r="J539" s="3322">
        <f t="shared" si="908"/>
        <v>-340</v>
      </c>
      <c r="K539" s="3319">
        <f t="shared" si="908"/>
        <v>-576</v>
      </c>
      <c r="L539" s="3320">
        <f t="shared" si="908"/>
        <v>-77</v>
      </c>
      <c r="M539" s="3321">
        <f t="shared" si="908"/>
        <v>-457</v>
      </c>
      <c r="N539" s="3321">
        <f t="shared" si="908"/>
        <v>-255</v>
      </c>
      <c r="O539" s="3322">
        <f t="shared" ref="O539:U539" si="909">SUM(O528:O538)</f>
        <v>-1074</v>
      </c>
      <c r="P539" s="3319">
        <f t="shared" si="909"/>
        <v>-1863</v>
      </c>
      <c r="Q539" s="3321">
        <f t="shared" si="909"/>
        <v>-232</v>
      </c>
      <c r="R539" s="3321">
        <f t="shared" si="909"/>
        <v>-209</v>
      </c>
      <c r="S539" s="3321">
        <f t="shared" si="909"/>
        <v>-302</v>
      </c>
      <c r="T539" s="3322">
        <f t="shared" si="909"/>
        <v>-327</v>
      </c>
      <c r="U539" s="3319">
        <f t="shared" si="909"/>
        <v>-1070</v>
      </c>
      <c r="V539" s="3321">
        <f t="shared" ref="V539:AE539" si="910">SUM(V528:V538)</f>
        <v>-761</v>
      </c>
      <c r="W539" s="3321">
        <f>SUM(W528:W538)</f>
        <v>-191</v>
      </c>
      <c r="X539" s="3321">
        <f t="shared" si="910"/>
        <v>-475</v>
      </c>
      <c r="Y539" s="3322">
        <f t="shared" si="910"/>
        <v>-297</v>
      </c>
      <c r="Z539" s="3319">
        <f t="shared" si="910"/>
        <v>-1724</v>
      </c>
      <c r="AA539" s="3321">
        <f t="shared" si="910"/>
        <v>-137</v>
      </c>
      <c r="AB539" s="3321">
        <f>SUM(AB528:AB538)</f>
        <v>-101</v>
      </c>
      <c r="AC539" s="3321">
        <f t="shared" si="910"/>
        <v>-123</v>
      </c>
      <c r="AD539" s="3322">
        <f t="shared" si="910"/>
        <v>313</v>
      </c>
      <c r="AE539" s="3319">
        <f t="shared" si="910"/>
        <v>-48</v>
      </c>
      <c r="AF539" s="3709">
        <f t="shared" ref="AF539:AQ539" si="911">SUM(AF528:AF538)</f>
        <v>-716</v>
      </c>
      <c r="AG539" s="3709">
        <f t="shared" si="911"/>
        <v>-345</v>
      </c>
      <c r="AH539" s="3321">
        <f t="shared" si="911"/>
        <v>-335</v>
      </c>
      <c r="AI539" s="3710">
        <f t="shared" si="911"/>
        <v>-222.62080612598058</v>
      </c>
      <c r="AJ539" s="3711">
        <f t="shared" si="911"/>
        <v>-1618.6208061259806</v>
      </c>
      <c r="AK539" s="3709">
        <f t="shared" ref="AK539:AO539" si="912">SUM(AK528:AK538)</f>
        <v>-290.28715926321922</v>
      </c>
      <c r="AL539" s="3709">
        <f t="shared" si="912"/>
        <v>-289.70657880004501</v>
      </c>
      <c r="AM539" s="3709">
        <f t="shared" si="912"/>
        <v>-289.14015883597261</v>
      </c>
      <c r="AN539" s="3709">
        <f t="shared" si="912"/>
        <v>-288.58755399297519</v>
      </c>
      <c r="AO539" s="3711">
        <f t="shared" si="912"/>
        <v>-1157.721450892212</v>
      </c>
      <c r="AP539" s="3711">
        <f t="shared" si="911"/>
        <v>-1159.6677403801343</v>
      </c>
      <c r="AQ539" s="3711">
        <f t="shared" si="911"/>
        <v>-555.83147535436694</v>
      </c>
      <c r="AR539" s="783"/>
      <c r="AS539" s="1545" t="str">
        <f t="shared" si="887"/>
        <v>Cash From Financing Activity</v>
      </c>
      <c r="AT539" s="783">
        <f t="shared" si="892"/>
        <v>-703</v>
      </c>
      <c r="AU539" s="783">
        <f t="shared" si="893"/>
        <v>-714</v>
      </c>
      <c r="AV539" s="783">
        <f t="shared" si="894"/>
        <v>-576</v>
      </c>
      <c r="AW539" s="783">
        <f t="shared" si="895"/>
        <v>-1863</v>
      </c>
      <c r="AX539" s="783">
        <f t="shared" si="896"/>
        <v>-1070</v>
      </c>
      <c r="AY539" s="783">
        <f t="shared" si="897"/>
        <v>-1724</v>
      </c>
      <c r="AZ539" s="783">
        <f t="shared" si="903"/>
        <v>-48</v>
      </c>
      <c r="BA539" s="783">
        <f t="shared" si="904"/>
        <v>-1618.6208061259806</v>
      </c>
      <c r="BB539" s="783">
        <f t="shared" si="905"/>
        <v>-1157.721450892212</v>
      </c>
      <c r="BC539" s="783">
        <f t="shared" si="906"/>
        <v>-1159.6677403801343</v>
      </c>
      <c r="BD539" s="1441">
        <f t="shared" si="907"/>
        <v>-555.83147535436694</v>
      </c>
      <c r="BE539" s="14"/>
      <c r="BF539" s="908"/>
      <c r="BG539"/>
      <c r="BH539"/>
      <c r="BI539"/>
      <c r="BJ539"/>
      <c r="BK539"/>
      <c r="BL539"/>
      <c r="BM539" s="909"/>
      <c r="BN539" s="909"/>
      <c r="BO539" s="909"/>
      <c r="BP539" s="931"/>
      <c r="BQ539" s="902"/>
      <c r="BR539" s="909"/>
      <c r="BS539" s="909"/>
    </row>
    <row r="540" spans="1:71" ht="12.75" customHeight="1">
      <c r="A540" s="3341"/>
      <c r="B540" s="3229"/>
      <c r="C540" s="3229"/>
      <c r="D540" s="3229"/>
      <c r="E540" s="3229"/>
      <c r="F540" s="3232"/>
      <c r="G540" s="3166"/>
      <c r="H540" s="3166"/>
      <c r="I540" s="3166"/>
      <c r="J540" s="3166"/>
      <c r="K540" s="3229"/>
      <c r="L540" s="3166"/>
      <c r="M540" s="3166"/>
      <c r="N540" s="3166"/>
      <c r="O540" s="3166"/>
      <c r="P540" s="3229"/>
      <c r="Q540" s="3166"/>
      <c r="R540" s="3166"/>
      <c r="S540" s="3166"/>
      <c r="T540" s="3232"/>
      <c r="U540" s="3229"/>
      <c r="V540" s="3166"/>
      <c r="W540" s="3166"/>
      <c r="X540" s="3166"/>
      <c r="Y540" s="3232"/>
      <c r="Z540" s="3229"/>
      <c r="AA540" s="3231"/>
      <c r="AB540" s="3166"/>
      <c r="AC540" s="3166"/>
      <c r="AD540" s="3232"/>
      <c r="AE540" s="3230"/>
      <c r="AF540" s="3678"/>
      <c r="AG540" s="3678"/>
      <c r="AH540" s="3169"/>
      <c r="AI540" s="3679"/>
      <c r="AJ540" s="3720"/>
      <c r="AK540" s="3678"/>
      <c r="AL540" s="3678"/>
      <c r="AM540" s="3678"/>
      <c r="AN540" s="3679"/>
      <c r="AO540" s="3720"/>
      <c r="AP540" s="3680"/>
      <c r="AQ540" s="3680"/>
      <c r="AR540" s="155"/>
      <c r="AS540" s="386"/>
      <c r="AT540" s="155"/>
      <c r="AU540" s="155"/>
      <c r="AV540" s="155"/>
      <c r="AW540" s="155"/>
      <c r="AX540" s="155"/>
      <c r="AY540" s="155"/>
      <c r="AZ540" s="155"/>
      <c r="BA540" s="155"/>
      <c r="BB540" s="155"/>
      <c r="BC540" s="155"/>
      <c r="BD540" s="867"/>
      <c r="BF540" s="900"/>
      <c r="BM540" s="902"/>
      <c r="BN540" s="902"/>
      <c r="BO540" s="902"/>
      <c r="BP540" s="902"/>
      <c r="BQ540" s="902"/>
      <c r="BR540" s="902"/>
      <c r="BS540" s="902"/>
    </row>
    <row r="541" spans="1:71" ht="12.75" customHeight="1">
      <c r="A541" s="3198" t="s">
        <v>100</v>
      </c>
      <c r="B541" s="3301"/>
      <c r="C541" s="3301"/>
      <c r="D541" s="3301"/>
      <c r="E541" s="3302">
        <v>-4</v>
      </c>
      <c r="F541" s="3307">
        <v>-5</v>
      </c>
      <c r="G541" s="3300">
        <v>2</v>
      </c>
      <c r="H541" s="3300">
        <v>-3</v>
      </c>
      <c r="I541" s="3300">
        <v>2</v>
      </c>
      <c r="J541" s="3300">
        <v>-3</v>
      </c>
      <c r="K541" s="3301">
        <f>SUM(G541:J541)</f>
        <v>-2</v>
      </c>
      <c r="L541" s="3300">
        <v>-9</v>
      </c>
      <c r="M541" s="3300">
        <v>-6</v>
      </c>
      <c r="N541" s="3300">
        <v>1</v>
      </c>
      <c r="O541" s="3300">
        <f>-17-SUM(L541:N541)</f>
        <v>-3</v>
      </c>
      <c r="P541" s="3301">
        <f>SUM(L541:O541)</f>
        <v>-17</v>
      </c>
      <c r="Q541" s="3300">
        <v>-1</v>
      </c>
      <c r="R541" s="3300">
        <f>1-Q541</f>
        <v>2</v>
      </c>
      <c r="S541" s="3300">
        <f>-7-R541-Q541</f>
        <v>-8</v>
      </c>
      <c r="T541" s="3307">
        <f>-14-S541-R541-Q541</f>
        <v>-7</v>
      </c>
      <c r="U541" s="3301">
        <f>SUM(Q541:T541)</f>
        <v>-14</v>
      </c>
      <c r="V541" s="3300">
        <v>-9</v>
      </c>
      <c r="W541" s="3300">
        <f>-9-V541</f>
        <v>0</v>
      </c>
      <c r="X541" s="3147">
        <f>-17-W541-V541</f>
        <v>-8</v>
      </c>
      <c r="Y541" s="3307">
        <f>-19-X541-W541-V541</f>
        <v>-2</v>
      </c>
      <c r="Z541" s="3301">
        <f>SUM(V541:Y541)</f>
        <v>-19</v>
      </c>
      <c r="AA541" s="3333">
        <v>4</v>
      </c>
      <c r="AB541" s="3300">
        <f>6-AA541</f>
        <v>2</v>
      </c>
      <c r="AC541" s="3300">
        <f>7-SUM(AA541:AB541)</f>
        <v>1</v>
      </c>
      <c r="AD541" s="3307">
        <f>+-15-SUM(AA541:AC541)</f>
        <v>-22</v>
      </c>
      <c r="AE541" s="3306">
        <f>SUM(AA541:AD541)</f>
        <v>-15</v>
      </c>
      <c r="AF541" s="3695">
        <v>5</v>
      </c>
      <c r="AG541" s="3695">
        <f>7-AF541</f>
        <v>2</v>
      </c>
      <c r="AH541" s="3300">
        <f>8-AG541-AF541</f>
        <v>1</v>
      </c>
      <c r="AI541" s="3696">
        <v>0</v>
      </c>
      <c r="AJ541" s="3693">
        <f>SUM(AF541:AI541)</f>
        <v>8</v>
      </c>
      <c r="AK541" s="3695">
        <v>0</v>
      </c>
      <c r="AL541" s="3695">
        <v>0</v>
      </c>
      <c r="AM541" s="3695">
        <v>0</v>
      </c>
      <c r="AN541" s="3695">
        <v>0</v>
      </c>
      <c r="AO541" s="3693">
        <f>SUM(AK541:AN541)</f>
        <v>0</v>
      </c>
      <c r="AP541" s="3694">
        <v>0</v>
      </c>
      <c r="AQ541" s="3694">
        <v>0</v>
      </c>
      <c r="AR541" s="268"/>
      <c r="AS541" s="494" t="str">
        <f>+A541</f>
        <v>Effect of Exchange Rate on Cash</v>
      </c>
      <c r="AT541" s="270">
        <f>+E541</f>
        <v>-4</v>
      </c>
      <c r="AU541" s="270">
        <f>+F541</f>
        <v>-5</v>
      </c>
      <c r="AV541" s="270">
        <f>+K541</f>
        <v>-2</v>
      </c>
      <c r="AW541" s="270">
        <f>+P541</f>
        <v>-17</v>
      </c>
      <c r="AX541" s="270">
        <f>+U541</f>
        <v>-14</v>
      </c>
      <c r="AY541" s="270">
        <f>+Z541</f>
        <v>-19</v>
      </c>
      <c r="AZ541" s="270">
        <f>+AE541</f>
        <v>-15</v>
      </c>
      <c r="BA541" s="270">
        <f>+AJ541</f>
        <v>8</v>
      </c>
      <c r="BB541" s="270">
        <f>+AO541</f>
        <v>0</v>
      </c>
      <c r="BC541" s="270">
        <f>+AP541</f>
        <v>0</v>
      </c>
      <c r="BD541" s="697">
        <f>+AQ541</f>
        <v>0</v>
      </c>
      <c r="BF541" s="900"/>
      <c r="BM541" s="902"/>
      <c r="BN541" s="902"/>
      <c r="BO541" s="902"/>
      <c r="BP541" s="931"/>
      <c r="BQ541" s="902"/>
      <c r="BR541" s="902"/>
      <c r="BS541" s="902"/>
    </row>
    <row r="542" spans="1:71" ht="12.75" customHeight="1">
      <c r="A542" s="3341"/>
      <c r="B542" s="3228"/>
      <c r="C542" s="3228"/>
      <c r="D542" s="3228"/>
      <c r="E542" s="3228"/>
      <c r="F542" s="3342"/>
      <c r="G542" s="3343"/>
      <c r="H542" s="3343"/>
      <c r="I542" s="3343"/>
      <c r="J542" s="3343"/>
      <c r="K542" s="3228"/>
      <c r="L542" s="3343"/>
      <c r="M542" s="3343"/>
      <c r="N542" s="3343"/>
      <c r="O542" s="3343"/>
      <c r="P542" s="3228"/>
      <c r="Q542" s="3343"/>
      <c r="R542" s="3343"/>
      <c r="S542" s="3343"/>
      <c r="T542" s="3342"/>
      <c r="U542" s="3228"/>
      <c r="V542" s="3343"/>
      <c r="W542" s="3343"/>
      <c r="X542" s="3343"/>
      <c r="Y542" s="3342"/>
      <c r="Z542" s="3228"/>
      <c r="AA542" s="3344"/>
      <c r="AB542" s="3343"/>
      <c r="AC542" s="3343"/>
      <c r="AD542" s="3342"/>
      <c r="AE542" s="3239"/>
      <c r="AF542" s="3726"/>
      <c r="AG542" s="3726"/>
      <c r="AH542" s="4038"/>
      <c r="AI542" s="3727"/>
      <c r="AJ542" s="3728"/>
      <c r="AK542" s="3726"/>
      <c r="AL542" s="3726"/>
      <c r="AM542" s="3726"/>
      <c r="AN542" s="3727"/>
      <c r="AO542" s="3728"/>
      <c r="AP542" s="3729"/>
      <c r="AQ542" s="3729"/>
      <c r="AR542" s="151"/>
      <c r="AS542" s="386"/>
      <c r="AT542" s="151"/>
      <c r="AU542" s="151"/>
      <c r="AV542" s="151"/>
      <c r="AW542" s="151"/>
      <c r="AX542" s="151"/>
      <c r="AY542" s="151"/>
      <c r="AZ542" s="151"/>
      <c r="BA542" s="151"/>
      <c r="BB542" s="151"/>
      <c r="BC542" s="151"/>
      <c r="BD542" s="858"/>
      <c r="BF542" s="900"/>
      <c r="BM542" s="902"/>
      <c r="BN542" s="902"/>
      <c r="BO542" s="902"/>
      <c r="BP542" s="902"/>
      <c r="BQ542" s="902"/>
      <c r="BR542" s="902"/>
      <c r="BS542" s="902"/>
    </row>
    <row r="543" spans="1:71" s="11" customFormat="1" ht="12.75" customHeight="1">
      <c r="A543" s="3340" t="s">
        <v>633</v>
      </c>
      <c r="B543" s="3319"/>
      <c r="C543" s="3319"/>
      <c r="D543" s="3319"/>
      <c r="E543" s="3319">
        <f t="shared" ref="E543:AQ543" si="913">E513+E525+E539+E541</f>
        <v>58</v>
      </c>
      <c r="F543" s="3322">
        <f t="shared" si="913"/>
        <v>-15</v>
      </c>
      <c r="G543" s="3320">
        <f t="shared" si="913"/>
        <v>-211</v>
      </c>
      <c r="H543" s="3321">
        <f t="shared" si="913"/>
        <v>169</v>
      </c>
      <c r="I543" s="3321">
        <f t="shared" si="913"/>
        <v>144</v>
      </c>
      <c r="J543" s="3322">
        <f t="shared" si="913"/>
        <v>-128</v>
      </c>
      <c r="K543" s="3319">
        <f t="shared" si="913"/>
        <v>-26</v>
      </c>
      <c r="L543" s="3320">
        <f t="shared" si="913"/>
        <v>22</v>
      </c>
      <c r="M543" s="3321">
        <f t="shared" si="913"/>
        <v>-116</v>
      </c>
      <c r="N543" s="3321">
        <f t="shared" si="913"/>
        <v>63</v>
      </c>
      <c r="O543" s="3322">
        <f>O513+O525+O539+O541</f>
        <v>-130</v>
      </c>
      <c r="P543" s="3319">
        <f>P513+P525+P539+P541</f>
        <v>-161</v>
      </c>
      <c r="Q543" s="3321">
        <f t="shared" si="913"/>
        <v>-159</v>
      </c>
      <c r="R543" s="3321">
        <f t="shared" si="913"/>
        <v>110</v>
      </c>
      <c r="S543" s="3321">
        <f t="shared" si="913"/>
        <v>-2</v>
      </c>
      <c r="T543" s="3322">
        <f t="shared" si="913"/>
        <v>23</v>
      </c>
      <c r="U543" s="3319">
        <f t="shared" si="913"/>
        <v>-28</v>
      </c>
      <c r="V543" s="3321">
        <f t="shared" si="913"/>
        <v>-19</v>
      </c>
      <c r="W543" s="3321">
        <f t="shared" si="913"/>
        <v>-36</v>
      </c>
      <c r="X543" s="3321">
        <f t="shared" ref="X543:AE543" si="914">X513+X525+X539+X541</f>
        <v>117</v>
      </c>
      <c r="Y543" s="3322">
        <f t="shared" si="914"/>
        <v>-19</v>
      </c>
      <c r="Z543" s="3319">
        <f t="shared" si="914"/>
        <v>43</v>
      </c>
      <c r="AA543" s="3320">
        <f>AA513+AA525+AA539+AA541</f>
        <v>83</v>
      </c>
      <c r="AB543" s="3321">
        <f>AB513+AB525+AB539+AB541</f>
        <v>118</v>
      </c>
      <c r="AC543" s="3321">
        <f t="shared" si="914"/>
        <v>49</v>
      </c>
      <c r="AD543" s="3322">
        <f>AD513+AD525+AD539+AD541</f>
        <v>559</v>
      </c>
      <c r="AE543" s="3319">
        <f t="shared" si="914"/>
        <v>809</v>
      </c>
      <c r="AF543" s="3709">
        <f>AF513+AF525+AF539+AF541</f>
        <v>-556</v>
      </c>
      <c r="AG543" s="3709">
        <f>AG513+AG525+AG539+AG541</f>
        <v>-78</v>
      </c>
      <c r="AH543" s="3321">
        <f>AH513+AH525+AH539+AH541</f>
        <v>-114</v>
      </c>
      <c r="AI543" s="3710">
        <f ca="1">AI513+AI525+AI539+AI541</f>
        <v>-73.999999999999972</v>
      </c>
      <c r="AJ543" s="3711">
        <f t="shared" ca="1" si="913"/>
        <v>-822</v>
      </c>
      <c r="AK543" s="3709">
        <f t="shared" ca="1" si="913"/>
        <v>-63.383192498800668</v>
      </c>
      <c r="AL543" s="3709">
        <f t="shared" ca="1" si="913"/>
        <v>107.14111686487098</v>
      </c>
      <c r="AM543" s="3709">
        <f t="shared" ca="1" si="913"/>
        <v>28.461638284964351</v>
      </c>
      <c r="AN543" s="3709">
        <f t="shared" ca="1" si="913"/>
        <v>-14.470905767196484</v>
      </c>
      <c r="AO543" s="3711">
        <f t="shared" ref="AO543" ca="1" si="915">AO513+AO525+AO539+AO541</f>
        <v>57.748656883838066</v>
      </c>
      <c r="AP543" s="3711">
        <f t="shared" ca="1" si="913"/>
        <v>184.10646081177174</v>
      </c>
      <c r="AQ543" s="3711">
        <f t="shared" ca="1" si="913"/>
        <v>817.08424110185467</v>
      </c>
      <c r="AR543" s="783"/>
      <c r="AS543" s="1545" t="str">
        <f>+A543</f>
        <v>Net Increase in Cash &amp; Equivalents</v>
      </c>
      <c r="AT543" s="783">
        <f t="shared" ref="AT543:AU545" si="916">+E543</f>
        <v>58</v>
      </c>
      <c r="AU543" s="783">
        <f t="shared" si="916"/>
        <v>-15</v>
      </c>
      <c r="AV543" s="783">
        <f>+K543</f>
        <v>-26</v>
      </c>
      <c r="AW543" s="783">
        <f>+P543</f>
        <v>-161</v>
      </c>
      <c r="AX543" s="783">
        <f>+U543</f>
        <v>-28</v>
      </c>
      <c r="AY543" s="783">
        <f>+Z543</f>
        <v>43</v>
      </c>
      <c r="AZ543" s="783">
        <f>+AE543</f>
        <v>809</v>
      </c>
      <c r="BA543" s="783">
        <f ca="1">+AJ543</f>
        <v>-822</v>
      </c>
      <c r="BB543" s="783">
        <f t="shared" ref="BB543:BD545" ca="1" si="917">+AO543</f>
        <v>57.748656883838066</v>
      </c>
      <c r="BC543" s="783">
        <f t="shared" ca="1" si="917"/>
        <v>184.10646081177174</v>
      </c>
      <c r="BD543" s="1441">
        <f t="shared" ca="1" si="917"/>
        <v>817.08424110185467</v>
      </c>
      <c r="BE543" s="14"/>
      <c r="BF543" s="908"/>
      <c r="BG543"/>
      <c r="BH543"/>
      <c r="BI543"/>
      <c r="BJ543"/>
      <c r="BK543"/>
      <c r="BL543"/>
      <c r="BM543" s="909"/>
      <c r="BN543" s="909"/>
      <c r="BO543" s="909"/>
      <c r="BP543" s="909"/>
      <c r="BQ543" s="909"/>
      <c r="BR543" s="909"/>
      <c r="BS543" s="909"/>
    </row>
    <row r="544" spans="1:71" ht="12.75" customHeight="1">
      <c r="A544" s="3297" t="s">
        <v>1720</v>
      </c>
      <c r="B544" s="3152"/>
      <c r="C544" s="3152"/>
      <c r="D544" s="3152"/>
      <c r="E544" s="3173">
        <v>738</v>
      </c>
      <c r="F544" s="3345">
        <f>E545</f>
        <v>796</v>
      </c>
      <c r="G544" s="3346">
        <f>F545</f>
        <v>781</v>
      </c>
      <c r="H544" s="3347">
        <f>G545</f>
        <v>570</v>
      </c>
      <c r="I544" s="3347">
        <f>H545</f>
        <v>739</v>
      </c>
      <c r="J544" s="3347">
        <f>I545</f>
        <v>883</v>
      </c>
      <c r="K544" s="3348">
        <f>F545</f>
        <v>781</v>
      </c>
      <c r="L544" s="3346">
        <f>K545</f>
        <v>755</v>
      </c>
      <c r="M544" s="3347">
        <f>L545</f>
        <v>777</v>
      </c>
      <c r="N544" s="3347">
        <f>M545</f>
        <v>661</v>
      </c>
      <c r="O544" s="3347">
        <f>N545</f>
        <v>724</v>
      </c>
      <c r="P544" s="3152">
        <f>K545</f>
        <v>755</v>
      </c>
      <c r="Q544" s="3347">
        <f>P545</f>
        <v>594</v>
      </c>
      <c r="R544" s="3347">
        <f>Q545</f>
        <v>435</v>
      </c>
      <c r="S544" s="3347">
        <f>R545</f>
        <v>545</v>
      </c>
      <c r="T544" s="3349">
        <f>S545</f>
        <v>543</v>
      </c>
      <c r="U544" s="3152">
        <f>P545</f>
        <v>594</v>
      </c>
      <c r="V544" s="3347">
        <f>U545</f>
        <v>566</v>
      </c>
      <c r="W544" s="3347">
        <f>V545</f>
        <v>547</v>
      </c>
      <c r="X544" s="3347">
        <f>W545</f>
        <v>511</v>
      </c>
      <c r="Y544" s="3349">
        <f>X545</f>
        <v>628</v>
      </c>
      <c r="Z544" s="3152">
        <f>U545</f>
        <v>566</v>
      </c>
      <c r="AA544" s="3346">
        <f>Z545</f>
        <v>609</v>
      </c>
      <c r="AB544" s="3350">
        <f>AA545</f>
        <v>692</v>
      </c>
      <c r="AC544" s="3350">
        <f>AB545</f>
        <v>810</v>
      </c>
      <c r="AD544" s="3349">
        <f>AC545</f>
        <v>859</v>
      </c>
      <c r="AE544" s="3152">
        <f>Z545</f>
        <v>609</v>
      </c>
      <c r="AF544" s="3730">
        <f>AE545</f>
        <v>1418</v>
      </c>
      <c r="AG544" s="3730">
        <f>AF545</f>
        <v>862</v>
      </c>
      <c r="AH544" s="3350">
        <f>AG545</f>
        <v>784</v>
      </c>
      <c r="AI544" s="3731">
        <f>AH545</f>
        <v>670</v>
      </c>
      <c r="AJ544" s="3732">
        <f>AE545</f>
        <v>1418</v>
      </c>
      <c r="AK544" s="3730">
        <f t="shared" ref="AK544:AN544" ca="1" si="918">AJ545</f>
        <v>596</v>
      </c>
      <c r="AL544" s="3730">
        <f t="shared" ca="1" si="918"/>
        <v>532.61680750119933</v>
      </c>
      <c r="AM544" s="3730">
        <f t="shared" ca="1" si="918"/>
        <v>639.75792436607026</v>
      </c>
      <c r="AN544" s="3730">
        <f t="shared" ca="1" si="918"/>
        <v>668.21956265103461</v>
      </c>
      <c r="AO544" s="3732">
        <f ca="1">AJ545</f>
        <v>596</v>
      </c>
      <c r="AP544" s="3732">
        <f ca="1">AO545</f>
        <v>653.74865688383807</v>
      </c>
      <c r="AQ544" s="3732">
        <f ca="1">AP545</f>
        <v>837.85511769560981</v>
      </c>
      <c r="AR544" s="158"/>
      <c r="AS544" s="500" t="str">
        <f>+A544</f>
        <v>Cash &amp; Equivalents - Beginning</v>
      </c>
      <c r="AT544" s="158">
        <f t="shared" si="916"/>
        <v>738</v>
      </c>
      <c r="AU544" s="158">
        <f t="shared" si="916"/>
        <v>796</v>
      </c>
      <c r="AV544" s="158">
        <f>+K544</f>
        <v>781</v>
      </c>
      <c r="AW544" s="158">
        <f>+P544</f>
        <v>755</v>
      </c>
      <c r="AX544" s="158">
        <f>+U544</f>
        <v>594</v>
      </c>
      <c r="AY544" s="158">
        <f>+Z544</f>
        <v>566</v>
      </c>
      <c r="AZ544" s="158">
        <f>+AE544</f>
        <v>609</v>
      </c>
      <c r="BA544" s="158">
        <f>+AJ544</f>
        <v>1418</v>
      </c>
      <c r="BB544" s="158">
        <f t="shared" ca="1" si="917"/>
        <v>596</v>
      </c>
      <c r="BC544" s="158">
        <f t="shared" ca="1" si="917"/>
        <v>653.74865688383807</v>
      </c>
      <c r="BD544" s="845">
        <f t="shared" ca="1" si="917"/>
        <v>837.85511769560981</v>
      </c>
      <c r="BF544" s="900"/>
      <c r="BM544" s="902"/>
      <c r="BN544" s="902"/>
      <c r="BO544" s="902"/>
      <c r="BP544" s="902"/>
      <c r="BQ544" s="902"/>
      <c r="BR544" s="902"/>
      <c r="BS544" s="902"/>
    </row>
    <row r="545" spans="1:71" s="11" customFormat="1" ht="12.75" customHeight="1">
      <c r="A545" s="3351" t="s">
        <v>848</v>
      </c>
      <c r="B545" s="3352"/>
      <c r="C545" s="3352"/>
      <c r="D545" s="3352"/>
      <c r="E545" s="3352">
        <f t="shared" ref="E545:J545" si="919">E543+E544</f>
        <v>796</v>
      </c>
      <c r="F545" s="3353">
        <f t="shared" si="919"/>
        <v>781</v>
      </c>
      <c r="G545" s="3354">
        <f t="shared" si="919"/>
        <v>570</v>
      </c>
      <c r="H545" s="3355">
        <f t="shared" si="919"/>
        <v>739</v>
      </c>
      <c r="I545" s="3355">
        <f t="shared" si="919"/>
        <v>883</v>
      </c>
      <c r="J545" s="3353">
        <f t="shared" si="919"/>
        <v>755</v>
      </c>
      <c r="K545" s="3352">
        <f t="shared" ref="K545:AQ545" si="920">K543+K544</f>
        <v>755</v>
      </c>
      <c r="L545" s="3354">
        <f t="shared" si="920"/>
        <v>777</v>
      </c>
      <c r="M545" s="3355">
        <f t="shared" si="920"/>
        <v>661</v>
      </c>
      <c r="N545" s="3355">
        <f t="shared" si="920"/>
        <v>724</v>
      </c>
      <c r="O545" s="3353">
        <f t="shared" si="920"/>
        <v>594</v>
      </c>
      <c r="P545" s="3352">
        <f t="shared" si="920"/>
        <v>594</v>
      </c>
      <c r="Q545" s="3355">
        <f t="shared" si="920"/>
        <v>435</v>
      </c>
      <c r="R545" s="3355">
        <f t="shared" si="920"/>
        <v>545</v>
      </c>
      <c r="S545" s="3355">
        <f t="shared" si="920"/>
        <v>543</v>
      </c>
      <c r="T545" s="3353">
        <f t="shared" si="920"/>
        <v>566</v>
      </c>
      <c r="U545" s="3352">
        <f t="shared" si="920"/>
        <v>566</v>
      </c>
      <c r="V545" s="3355">
        <f t="shared" si="920"/>
        <v>547</v>
      </c>
      <c r="W545" s="3355">
        <f t="shared" si="920"/>
        <v>511</v>
      </c>
      <c r="X545" s="3355">
        <f t="shared" si="920"/>
        <v>628</v>
      </c>
      <c r="Y545" s="3353">
        <f t="shared" si="920"/>
        <v>609</v>
      </c>
      <c r="Z545" s="3352">
        <f t="shared" si="920"/>
        <v>609</v>
      </c>
      <c r="AA545" s="3354">
        <f t="shared" si="920"/>
        <v>692</v>
      </c>
      <c r="AB545" s="3355">
        <f t="shared" si="920"/>
        <v>810</v>
      </c>
      <c r="AC545" s="3355">
        <f t="shared" si="920"/>
        <v>859</v>
      </c>
      <c r="AD545" s="3353">
        <f t="shared" si="920"/>
        <v>1418</v>
      </c>
      <c r="AE545" s="3352">
        <f t="shared" si="920"/>
        <v>1418</v>
      </c>
      <c r="AF545" s="3733">
        <f>AF543+AF544</f>
        <v>862</v>
      </c>
      <c r="AG545" s="3733">
        <f>AG543+AG544</f>
        <v>784</v>
      </c>
      <c r="AH545" s="3355">
        <f>AH543+AH544</f>
        <v>670</v>
      </c>
      <c r="AI545" s="3734">
        <f ca="1">AI543+AI544</f>
        <v>596</v>
      </c>
      <c r="AJ545" s="3735">
        <f t="shared" ca="1" si="920"/>
        <v>596</v>
      </c>
      <c r="AK545" s="3733">
        <f t="shared" ca="1" si="920"/>
        <v>532.61680750119933</v>
      </c>
      <c r="AL545" s="3733">
        <f t="shared" ca="1" si="920"/>
        <v>639.75792436607026</v>
      </c>
      <c r="AM545" s="3733">
        <f t="shared" ca="1" si="920"/>
        <v>668.21956265103461</v>
      </c>
      <c r="AN545" s="3733">
        <f t="shared" ca="1" si="920"/>
        <v>653.74865688383807</v>
      </c>
      <c r="AO545" s="3735">
        <f t="shared" ref="AO545" ca="1" si="921">AO543+AO544</f>
        <v>653.74865688383807</v>
      </c>
      <c r="AP545" s="3735">
        <f t="shared" ca="1" si="920"/>
        <v>837.85511769560981</v>
      </c>
      <c r="AQ545" s="3735">
        <f t="shared" ca="1" si="920"/>
        <v>1654.9393587974646</v>
      </c>
      <c r="AR545" s="783"/>
      <c r="AS545" s="1437" t="str">
        <f>+A545</f>
        <v>Cash &amp; Equivalents - Ending</v>
      </c>
      <c r="AT545" s="826">
        <f t="shared" si="916"/>
        <v>796</v>
      </c>
      <c r="AU545" s="826">
        <f t="shared" si="916"/>
        <v>781</v>
      </c>
      <c r="AV545" s="826">
        <f>+K545</f>
        <v>755</v>
      </c>
      <c r="AW545" s="826">
        <f>+P545</f>
        <v>594</v>
      </c>
      <c r="AX545" s="826">
        <f>+U545</f>
        <v>566</v>
      </c>
      <c r="AY545" s="826">
        <f>+Z545</f>
        <v>609</v>
      </c>
      <c r="AZ545" s="826">
        <f>+AE545</f>
        <v>1418</v>
      </c>
      <c r="BA545" s="826">
        <f ca="1">+AJ545</f>
        <v>596</v>
      </c>
      <c r="BB545" s="826">
        <f t="shared" ca="1" si="917"/>
        <v>653.74865688383807</v>
      </c>
      <c r="BC545" s="826">
        <f t="shared" ca="1" si="917"/>
        <v>837.85511769560981</v>
      </c>
      <c r="BD545" s="1438">
        <f t="shared" ca="1" si="917"/>
        <v>1654.9393587974646</v>
      </c>
      <c r="BE545" s="14"/>
      <c r="BF545" s="908"/>
      <c r="BG545"/>
      <c r="BH545"/>
      <c r="BI545"/>
      <c r="BJ545"/>
      <c r="BK545"/>
      <c r="BL545"/>
      <c r="BM545" s="909"/>
      <c r="BN545" s="909"/>
      <c r="BO545" s="909"/>
      <c r="BP545" s="909"/>
      <c r="BQ545" s="909"/>
      <c r="BR545" s="909"/>
      <c r="BS545" s="909"/>
    </row>
    <row r="546" spans="1:71" ht="12.75" customHeight="1">
      <c r="A546" s="278"/>
      <c r="B546" s="145"/>
      <c r="C546" s="145"/>
      <c r="D546" s="145"/>
      <c r="E546" s="163"/>
      <c r="F546" s="163"/>
      <c r="G546" s="163"/>
      <c r="H546" s="163"/>
      <c r="I546" s="163"/>
      <c r="J546" s="163"/>
      <c r="K546" s="163"/>
      <c r="L546" s="163"/>
      <c r="M546" s="163"/>
      <c r="N546" s="163"/>
      <c r="O546" s="163"/>
      <c r="P546" s="163"/>
      <c r="Q546" s="163"/>
      <c r="R546" s="163"/>
      <c r="S546" s="163"/>
      <c r="T546" s="163"/>
      <c r="U546" s="163"/>
      <c r="V546" s="163"/>
      <c r="W546" s="163"/>
      <c r="X546" s="163"/>
      <c r="Y546" s="163"/>
      <c r="Z546" s="163"/>
      <c r="AA546" s="163"/>
      <c r="AB546" s="163"/>
      <c r="AC546" s="3053"/>
      <c r="AD546" s="3053"/>
      <c r="AE546" s="163"/>
      <c r="AF546" s="3695"/>
      <c r="AG546" s="3695"/>
      <c r="AH546" s="3695"/>
      <c r="AI546" s="3695"/>
      <c r="AJ546" s="3695"/>
      <c r="AK546" s="3695"/>
      <c r="AL546" s="4024"/>
      <c r="AM546" s="3695"/>
      <c r="AN546" s="3695"/>
      <c r="AO546" s="3695"/>
      <c r="AP546" s="3695"/>
      <c r="AQ546" s="3695"/>
      <c r="AR546" s="145"/>
      <c r="AS546" s="278"/>
      <c r="AT546" s="145"/>
      <c r="AU546" s="145"/>
      <c r="AV546" s="145"/>
      <c r="AW546" s="145"/>
      <c r="AX546" s="145"/>
      <c r="AY546" s="145"/>
      <c r="AZ546" s="145"/>
      <c r="BA546" s="145"/>
      <c r="BB546" s="145"/>
      <c r="BC546" s="145"/>
      <c r="BD546" s="145"/>
      <c r="BF546" s="900"/>
      <c r="BM546" s="902"/>
      <c r="BN546" s="902"/>
      <c r="BO546" s="902"/>
      <c r="BP546" s="902"/>
      <c r="BQ546" s="902"/>
      <c r="BR546" s="902"/>
      <c r="BS546" s="902"/>
    </row>
    <row r="547" spans="1:71" ht="12.75" customHeight="1">
      <c r="A547" s="306"/>
      <c r="B547" s="155"/>
      <c r="C547" s="155"/>
      <c r="D547" s="155"/>
      <c r="E547" s="155"/>
      <c r="F547" s="155"/>
      <c r="G547" s="155"/>
      <c r="H547" s="155"/>
      <c r="I547" s="155"/>
      <c r="J547" s="155"/>
      <c r="K547" s="155"/>
      <c r="L547" s="155"/>
      <c r="M547" s="155"/>
      <c r="N547" s="155"/>
      <c r="O547" s="155"/>
      <c r="P547" s="155"/>
      <c r="Q547" s="155"/>
      <c r="R547" s="155"/>
      <c r="S547" s="155"/>
      <c r="T547" s="155"/>
      <c r="U547" s="548"/>
      <c r="V547" s="155"/>
      <c r="W547" s="155"/>
      <c r="X547" s="155"/>
      <c r="Y547" s="155"/>
      <c r="Z547" s="548"/>
      <c r="AA547" s="548"/>
      <c r="AB547" s="548"/>
      <c r="AC547" s="548"/>
      <c r="AD547" s="548"/>
      <c r="AE547" s="155"/>
      <c r="AF547" s="3712"/>
      <c r="AG547" s="3712"/>
      <c r="AH547" s="4035"/>
      <c r="AI547" s="3712"/>
      <c r="AJ547" s="3678"/>
      <c r="AK547" s="3712"/>
      <c r="AL547" s="3712"/>
      <c r="AM547" s="3712"/>
      <c r="AN547" s="3712"/>
      <c r="AO547" s="3678"/>
      <c r="AP547" s="3678"/>
      <c r="AQ547" s="3678"/>
      <c r="AR547" s="155"/>
      <c r="AS547" s="306"/>
      <c r="AT547" s="155"/>
      <c r="AU547" s="155"/>
      <c r="AV547" s="155"/>
      <c r="AW547" s="155"/>
      <c r="AX547" s="155"/>
      <c r="AY547" s="155"/>
      <c r="AZ547" s="155"/>
      <c r="BA547" s="155"/>
      <c r="BB547" s="155"/>
      <c r="BC547" s="155"/>
      <c r="BD547" s="155"/>
      <c r="BF547" s="900"/>
      <c r="BM547" s="902"/>
      <c r="BN547" s="902"/>
      <c r="BO547" s="902"/>
      <c r="BP547" s="902"/>
      <c r="BQ547" s="902"/>
      <c r="BR547" s="902"/>
      <c r="BS547" s="902"/>
    </row>
    <row r="548" spans="1:71" s="12" customFormat="1" ht="12.75" customHeight="1">
      <c r="A548" s="341" t="s">
        <v>2219</v>
      </c>
      <c r="B548" s="766"/>
      <c r="C548" s="766"/>
      <c r="D548" s="766"/>
      <c r="E548" s="766" t="str">
        <f t="shared" ref="E548:AQ548" si="922">E5</f>
        <v>2010</v>
      </c>
      <c r="F548" s="766" t="str">
        <f t="shared" si="922"/>
        <v>2011</v>
      </c>
      <c r="G548" s="767" t="str">
        <f t="shared" si="922"/>
        <v>1Q12</v>
      </c>
      <c r="H548" s="767" t="str">
        <f t="shared" si="922"/>
        <v>2Q12</v>
      </c>
      <c r="I548" s="767" t="str">
        <f t="shared" si="922"/>
        <v>3Q12</v>
      </c>
      <c r="J548" s="767" t="str">
        <f t="shared" si="922"/>
        <v>4Q12</v>
      </c>
      <c r="K548" s="766">
        <f t="shared" si="922"/>
        <v>2012</v>
      </c>
      <c r="L548" s="767" t="str">
        <f t="shared" si="922"/>
        <v>1Q13</v>
      </c>
      <c r="M548" s="767" t="str">
        <f t="shared" si="922"/>
        <v>2Q13</v>
      </c>
      <c r="N548" s="767" t="str">
        <f t="shared" si="922"/>
        <v>3Q13</v>
      </c>
      <c r="O548" s="767" t="str">
        <f t="shared" si="922"/>
        <v>4Q13</v>
      </c>
      <c r="P548" s="766">
        <f t="shared" si="922"/>
        <v>2013</v>
      </c>
      <c r="Q548" s="767" t="str">
        <f t="shared" si="922"/>
        <v>1Q14</v>
      </c>
      <c r="R548" s="767" t="str">
        <f t="shared" si="922"/>
        <v>2Q14</v>
      </c>
      <c r="S548" s="767" t="str">
        <f t="shared" si="922"/>
        <v>3Q14</v>
      </c>
      <c r="T548" s="767" t="str">
        <f t="shared" si="922"/>
        <v>4Q14</v>
      </c>
      <c r="U548" s="766">
        <f t="shared" si="922"/>
        <v>2014</v>
      </c>
      <c r="V548" s="767" t="str">
        <f t="shared" si="922"/>
        <v>1Q15</v>
      </c>
      <c r="W548" s="767" t="str">
        <f t="shared" si="922"/>
        <v>2Q15</v>
      </c>
      <c r="X548" s="767" t="str">
        <f t="shared" si="922"/>
        <v>3Q15</v>
      </c>
      <c r="Y548" s="767" t="str">
        <f t="shared" si="922"/>
        <v>4Q15</v>
      </c>
      <c r="Z548" s="766">
        <f t="shared" si="922"/>
        <v>2015</v>
      </c>
      <c r="AA548" s="767" t="str">
        <f t="shared" si="922"/>
        <v>1Q16</v>
      </c>
      <c r="AB548" s="767" t="str">
        <f t="shared" si="922"/>
        <v>2Q16</v>
      </c>
      <c r="AC548" s="767" t="str">
        <f t="shared" si="922"/>
        <v>3Q16</v>
      </c>
      <c r="AD548" s="767" t="str">
        <f t="shared" si="922"/>
        <v>4Q16</v>
      </c>
      <c r="AE548" s="766">
        <f t="shared" si="922"/>
        <v>2016</v>
      </c>
      <c r="AF548" s="767" t="str">
        <f t="shared" si="922"/>
        <v>1Q17</v>
      </c>
      <c r="AG548" s="767" t="str">
        <f t="shared" si="922"/>
        <v>2Q17</v>
      </c>
      <c r="AH548" s="4039" t="str">
        <f t="shared" si="922"/>
        <v>3Q17</v>
      </c>
      <c r="AI548" s="767" t="str">
        <f t="shared" si="922"/>
        <v>4Q17A</v>
      </c>
      <c r="AJ548" s="766" t="str">
        <f t="shared" si="922"/>
        <v>2017A</v>
      </c>
      <c r="AK548" s="767" t="str">
        <f t="shared" si="922"/>
        <v>1Q18E</v>
      </c>
      <c r="AL548" s="767" t="str">
        <f t="shared" si="922"/>
        <v>2Q18E</v>
      </c>
      <c r="AM548" s="767" t="str">
        <f t="shared" si="922"/>
        <v>3Q18E</v>
      </c>
      <c r="AN548" s="767" t="str">
        <f t="shared" si="922"/>
        <v>4Q18E</v>
      </c>
      <c r="AO548" s="766" t="str">
        <f t="shared" si="922"/>
        <v>2018E</v>
      </c>
      <c r="AP548" s="766" t="str">
        <f t="shared" si="922"/>
        <v>2019E</v>
      </c>
      <c r="AQ548" s="766" t="str">
        <f t="shared" si="922"/>
        <v>2020E</v>
      </c>
      <c r="AR548" s="431"/>
      <c r="AS548" s="341" t="str">
        <f>+A548</f>
        <v>Balance Sheet</v>
      </c>
      <c r="AT548" s="767" t="str">
        <f>+E548</f>
        <v>2010</v>
      </c>
      <c r="AU548" s="767" t="str">
        <f>+F548</f>
        <v>2011</v>
      </c>
      <c r="AV548" s="767">
        <f>+K548</f>
        <v>2012</v>
      </c>
      <c r="AW548" s="767">
        <f>+P548</f>
        <v>2013</v>
      </c>
      <c r="AX548" s="767">
        <f>+U548</f>
        <v>2014</v>
      </c>
      <c r="AY548" s="767">
        <f>+Z548</f>
        <v>2015</v>
      </c>
      <c r="AZ548" s="1583">
        <f>+AE548</f>
        <v>2016</v>
      </c>
      <c r="BA548" s="1583" t="str">
        <f>+AJ548</f>
        <v>2017A</v>
      </c>
      <c r="BB548" s="1583" t="str">
        <f>+AO548</f>
        <v>2018E</v>
      </c>
      <c r="BC548" s="1583" t="str">
        <f>+AP548</f>
        <v>2019E</v>
      </c>
      <c r="BD548" s="995" t="str">
        <f>+AQ548</f>
        <v>2020E</v>
      </c>
      <c r="BE548" s="14"/>
      <c r="BF548" s="900"/>
      <c r="BG548"/>
      <c r="BH548"/>
      <c r="BI548"/>
      <c r="BJ548"/>
      <c r="BK548"/>
      <c r="BL548"/>
      <c r="BM548" s="902"/>
      <c r="BN548" s="902"/>
      <c r="BO548" s="902"/>
      <c r="BP548" s="902"/>
      <c r="BQ548" s="902"/>
      <c r="BR548" s="902"/>
      <c r="BS548" s="902"/>
    </row>
    <row r="549" spans="1:71" ht="12.75" customHeight="1">
      <c r="A549" s="3356"/>
      <c r="B549" s="3093"/>
      <c r="C549" s="3093"/>
      <c r="D549" s="3093"/>
      <c r="E549" s="3093"/>
      <c r="F549" s="3093"/>
      <c r="G549" s="3284"/>
      <c r="H549" s="3284"/>
      <c r="I549" s="3284"/>
      <c r="J549" s="3284"/>
      <c r="K549" s="3093"/>
      <c r="L549" s="3284"/>
      <c r="M549" s="3284"/>
      <c r="N549" s="3284"/>
      <c r="O549" s="3284"/>
      <c r="P549" s="3093"/>
      <c r="Q549" s="3284"/>
      <c r="R549" s="3284"/>
      <c r="S549" s="3284"/>
      <c r="T549" s="3284"/>
      <c r="U549" s="3093"/>
      <c r="V549" s="3284"/>
      <c r="W549" s="3284"/>
      <c r="X549" s="3284"/>
      <c r="Y549" s="3284"/>
      <c r="Z549" s="3093"/>
      <c r="AA549" s="3357"/>
      <c r="AB549" s="3094"/>
      <c r="AC549" s="3094"/>
      <c r="AD549" s="3097"/>
      <c r="AE549" s="3093"/>
      <c r="AF549" s="3675"/>
      <c r="AG549" s="3675"/>
      <c r="AH549" s="4040"/>
      <c r="AI549" s="3676"/>
      <c r="AJ549" s="3677"/>
      <c r="AK549" s="3675"/>
      <c r="AL549" s="3675"/>
      <c r="AM549" s="3675"/>
      <c r="AN549" s="3676"/>
      <c r="AO549" s="3677"/>
      <c r="AP549" s="3677"/>
      <c r="AQ549" s="3677"/>
      <c r="AR549" s="173"/>
      <c r="AS549" s="385"/>
      <c r="AT549" s="173"/>
      <c r="AU549" s="173"/>
      <c r="AV549" s="173"/>
      <c r="AW549" s="173"/>
      <c r="AX549" s="173"/>
      <c r="AY549" s="173"/>
      <c r="AZ549" s="173"/>
      <c r="BA549" s="173"/>
      <c r="BB549" s="173"/>
      <c r="BC549" s="173"/>
      <c r="BD549" s="423"/>
      <c r="BF549" s="900"/>
      <c r="BM549" s="902"/>
      <c r="BN549" s="902"/>
      <c r="BO549" s="902"/>
      <c r="BP549" s="902"/>
      <c r="BQ549" s="902"/>
      <c r="BR549" s="902"/>
      <c r="BS549" s="902"/>
    </row>
    <row r="550" spans="1:71" ht="12.75" customHeight="1">
      <c r="A550" s="3328" t="s">
        <v>1674</v>
      </c>
      <c r="B550" s="3229"/>
      <c r="C550" s="3229"/>
      <c r="D550" s="3229"/>
      <c r="E550" s="3229"/>
      <c r="F550" s="3229"/>
      <c r="G550" s="3166"/>
      <c r="H550" s="3166"/>
      <c r="I550" s="3166"/>
      <c r="J550" s="3166"/>
      <c r="K550" s="3229"/>
      <c r="L550" s="3166"/>
      <c r="M550" s="3166"/>
      <c r="N550" s="3166"/>
      <c r="O550" s="3166"/>
      <c r="P550" s="3229"/>
      <c r="Q550" s="3166"/>
      <c r="R550" s="3166"/>
      <c r="S550" s="3166"/>
      <c r="T550" s="3166"/>
      <c r="U550" s="3229"/>
      <c r="V550" s="3166"/>
      <c r="W550" s="3166"/>
      <c r="X550" s="3166"/>
      <c r="Y550" s="3166"/>
      <c r="Z550" s="3229"/>
      <c r="AA550" s="3231"/>
      <c r="AB550" s="3166"/>
      <c r="AC550" s="3327"/>
      <c r="AD550" s="3232"/>
      <c r="AE550" s="3229"/>
      <c r="AF550" s="3678"/>
      <c r="AG550" s="3712"/>
      <c r="AH550" s="4036"/>
      <c r="AI550" s="3679"/>
      <c r="AJ550" s="3680"/>
      <c r="AK550" s="3678"/>
      <c r="AL550" s="3678"/>
      <c r="AM550" s="3678"/>
      <c r="AN550" s="3679"/>
      <c r="AO550" s="3680"/>
      <c r="AP550" s="3680"/>
      <c r="AQ550" s="3680"/>
      <c r="AR550" s="155"/>
      <c r="AS550" s="493" t="str">
        <f t="shared" ref="AS550:AS559" si="923">+A550</f>
        <v>Assets</v>
      </c>
      <c r="AT550" s="155"/>
      <c r="AU550" s="155"/>
      <c r="AV550" s="155"/>
      <c r="AW550" s="155"/>
      <c r="AX550" s="155"/>
      <c r="AY550" s="155"/>
      <c r="AZ550" s="155"/>
      <c r="BA550" s="155"/>
      <c r="BB550" s="155"/>
      <c r="BC550" s="155"/>
      <c r="BD550" s="867"/>
      <c r="BF550" s="900"/>
      <c r="BM550" s="902"/>
      <c r="BN550" s="902"/>
      <c r="BO550" s="902"/>
      <c r="BP550" s="902"/>
      <c r="BQ550" s="902"/>
      <c r="BR550" s="902"/>
      <c r="BS550" s="902"/>
    </row>
    <row r="551" spans="1:71" ht="12.75" customHeight="1">
      <c r="A551" s="3311" t="s">
        <v>1842</v>
      </c>
      <c r="B551" s="3358"/>
      <c r="C551" s="3358"/>
      <c r="D551" s="3358"/>
      <c r="E551" s="3359">
        <f>E545</f>
        <v>796</v>
      </c>
      <c r="F551" s="3288">
        <f>F545</f>
        <v>781</v>
      </c>
      <c r="G551" s="3360">
        <v>570</v>
      </c>
      <c r="H551" s="3360">
        <v>739</v>
      </c>
      <c r="I551" s="3360">
        <v>883</v>
      </c>
      <c r="J551" s="3360">
        <v>755</v>
      </c>
      <c r="K551" s="3288">
        <f>K545</f>
        <v>755</v>
      </c>
      <c r="L551" s="3360">
        <v>777</v>
      </c>
      <c r="M551" s="3360">
        <v>661</v>
      </c>
      <c r="N551" s="3360">
        <v>724</v>
      </c>
      <c r="O551" s="3360">
        <v>594</v>
      </c>
      <c r="P551" s="3288">
        <f t="shared" ref="P551:W551" si="924">P545</f>
        <v>594</v>
      </c>
      <c r="Q551" s="3290">
        <f t="shared" si="924"/>
        <v>435</v>
      </c>
      <c r="R551" s="3290">
        <f t="shared" si="924"/>
        <v>545</v>
      </c>
      <c r="S551" s="3290">
        <f t="shared" si="924"/>
        <v>543</v>
      </c>
      <c r="T551" s="3290">
        <f t="shared" si="924"/>
        <v>566</v>
      </c>
      <c r="U551" s="3288">
        <f t="shared" si="924"/>
        <v>566</v>
      </c>
      <c r="V551" s="3290">
        <f t="shared" si="924"/>
        <v>547</v>
      </c>
      <c r="W551" s="3290">
        <f t="shared" si="924"/>
        <v>511</v>
      </c>
      <c r="X551" s="3290">
        <f t="shared" ref="X551:AI551" si="925">X545</f>
        <v>628</v>
      </c>
      <c r="Y551" s="3290">
        <f>Y545</f>
        <v>609</v>
      </c>
      <c r="Z551" s="3288">
        <f t="shared" si="925"/>
        <v>609</v>
      </c>
      <c r="AA551" s="3290">
        <f>AA545</f>
        <v>692</v>
      </c>
      <c r="AB551" s="3290">
        <f>AB545</f>
        <v>810</v>
      </c>
      <c r="AC551" s="3290">
        <f>AC545</f>
        <v>859</v>
      </c>
      <c r="AD551" s="3290">
        <f>AD545</f>
        <v>1418</v>
      </c>
      <c r="AE551" s="3288">
        <f t="shared" si="925"/>
        <v>1418</v>
      </c>
      <c r="AF551" s="3736">
        <f t="shared" si="925"/>
        <v>862</v>
      </c>
      <c r="AG551" s="3736">
        <f t="shared" si="925"/>
        <v>784</v>
      </c>
      <c r="AH551" s="4041">
        <f t="shared" si="925"/>
        <v>670</v>
      </c>
      <c r="AI551" s="3736">
        <f t="shared" ca="1" si="925"/>
        <v>596</v>
      </c>
      <c r="AJ551" s="3684">
        <f ca="1">AJ545</f>
        <v>596</v>
      </c>
      <c r="AK551" s="3736">
        <f t="shared" ref="AK551:AN551" ca="1" si="926">AK545</f>
        <v>532.61680750119933</v>
      </c>
      <c r="AL551" s="3736">
        <f t="shared" ca="1" si="926"/>
        <v>639.75792436607026</v>
      </c>
      <c r="AM551" s="3736">
        <f t="shared" ca="1" si="926"/>
        <v>668.21956265103461</v>
      </c>
      <c r="AN551" s="3736">
        <f t="shared" ca="1" si="926"/>
        <v>653.74865688383807</v>
      </c>
      <c r="AO551" s="3683">
        <f ca="1">AO545</f>
        <v>653.74865688383807</v>
      </c>
      <c r="AP551" s="3684">
        <f ca="1">AP545</f>
        <v>837.85511769560981</v>
      </c>
      <c r="AQ551" s="3684">
        <f ca="1">AQ545</f>
        <v>1654.9393587974646</v>
      </c>
      <c r="AR551" s="824"/>
      <c r="AS551" s="522" t="str">
        <f t="shared" si="923"/>
        <v>Cash and Equivalents</v>
      </c>
      <c r="AT551" s="633">
        <f>+E551</f>
        <v>796</v>
      </c>
      <c r="AU551" s="633">
        <f>+F551</f>
        <v>781</v>
      </c>
      <c r="AV551" s="633">
        <f t="shared" ref="AV551:AV559" si="927">+K551</f>
        <v>755</v>
      </c>
      <c r="AW551" s="633">
        <f t="shared" ref="AW551:AW559" si="928">+P551</f>
        <v>594</v>
      </c>
      <c r="AX551" s="633">
        <f t="shared" ref="AX551:AX559" si="929">+U551</f>
        <v>566</v>
      </c>
      <c r="AY551" s="633">
        <f t="shared" ref="AY551:AY559" si="930">+Z551</f>
        <v>609</v>
      </c>
      <c r="AZ551" s="633">
        <f t="shared" ref="AZ551:AZ559" si="931">+AE551</f>
        <v>1418</v>
      </c>
      <c r="BA551" s="633">
        <f t="shared" ref="BA551:BA559" ca="1" si="932">+AJ551</f>
        <v>596</v>
      </c>
      <c r="BB551" s="633">
        <f t="shared" ref="BB551:BD559" ca="1" si="933">+AO551</f>
        <v>653.74865688383807</v>
      </c>
      <c r="BC551" s="633">
        <f t="shared" ca="1" si="933"/>
        <v>837.85511769560981</v>
      </c>
      <c r="BD551" s="887">
        <f t="shared" ca="1" si="933"/>
        <v>1654.9393587974646</v>
      </c>
      <c r="BF551" s="900"/>
      <c r="BM551" s="902"/>
      <c r="BN551" s="902"/>
      <c r="BO551" s="902"/>
      <c r="BP551" s="902"/>
      <c r="BQ551" s="902"/>
      <c r="BR551" s="902"/>
      <c r="BS551" s="902"/>
    </row>
    <row r="552" spans="1:71" ht="12.75" customHeight="1">
      <c r="A552" s="3361" t="s">
        <v>1843</v>
      </c>
      <c r="B552" s="3358"/>
      <c r="C552" s="3358"/>
      <c r="D552" s="3358"/>
      <c r="E552" s="3362"/>
      <c r="F552" s="3362">
        <v>658</v>
      </c>
      <c r="G552" s="3180">
        <v>708</v>
      </c>
      <c r="H552" s="3180">
        <v>716</v>
      </c>
      <c r="I552" s="3180">
        <v>700</v>
      </c>
      <c r="J552" s="3180">
        <v>550</v>
      </c>
      <c r="K552" s="3107">
        <f t="shared" ref="K552:K558" si="934">J552</f>
        <v>550</v>
      </c>
      <c r="L552" s="3180">
        <v>550</v>
      </c>
      <c r="M552" s="3180">
        <v>625</v>
      </c>
      <c r="N552" s="3180">
        <v>502</v>
      </c>
      <c r="O552" s="3180">
        <v>266</v>
      </c>
      <c r="P552" s="3107">
        <f t="shared" ref="P552:P558" si="935">O552</f>
        <v>266</v>
      </c>
      <c r="Q552" s="3180">
        <v>287</v>
      </c>
      <c r="R552" s="3180">
        <v>284</v>
      </c>
      <c r="S552" s="3180">
        <v>288</v>
      </c>
      <c r="T552" s="3180">
        <v>202</v>
      </c>
      <c r="U552" s="3107">
        <f t="shared" ref="U552:U558" si="936">T552</f>
        <v>202</v>
      </c>
      <c r="V552" s="3180">
        <v>269</v>
      </c>
      <c r="W552" s="3180">
        <v>248</v>
      </c>
      <c r="X552" s="3180">
        <v>276</v>
      </c>
      <c r="Y552" s="3180">
        <v>247</v>
      </c>
      <c r="Z552" s="3107">
        <f t="shared" ref="Z552:Z558" si="937">Y552</f>
        <v>247</v>
      </c>
      <c r="AA552" s="3180">
        <v>281</v>
      </c>
      <c r="AB552" s="3180">
        <v>271</v>
      </c>
      <c r="AC552" s="3180">
        <v>272</v>
      </c>
      <c r="AD552" s="3180">
        <v>266</v>
      </c>
      <c r="AE552" s="3148">
        <f t="shared" ref="AE552:AQ558" si="938">AD552</f>
        <v>266</v>
      </c>
      <c r="AF552" s="3751">
        <v>124</v>
      </c>
      <c r="AG552" s="3751">
        <v>125</v>
      </c>
      <c r="AH552" s="3751">
        <v>126</v>
      </c>
      <c r="AI552" s="3751">
        <v>100</v>
      </c>
      <c r="AJ552" s="3687">
        <f t="shared" si="938"/>
        <v>100</v>
      </c>
      <c r="AK552" s="3737">
        <f t="shared" ref="AK552" si="939">AJ552</f>
        <v>100</v>
      </c>
      <c r="AL552" s="3737">
        <f t="shared" ref="AL552" si="940">AK552</f>
        <v>100</v>
      </c>
      <c r="AM552" s="3737">
        <f t="shared" ref="AM552" si="941">AL552</f>
        <v>100</v>
      </c>
      <c r="AN552" s="3737">
        <f t="shared" ref="AN552" si="942">AM552</f>
        <v>100</v>
      </c>
      <c r="AO552" s="3687">
        <f t="shared" si="938"/>
        <v>100</v>
      </c>
      <c r="AP552" s="3687">
        <f t="shared" si="938"/>
        <v>100</v>
      </c>
      <c r="AQ552" s="3687">
        <f t="shared" si="938"/>
        <v>100</v>
      </c>
      <c r="AR552" s="824"/>
      <c r="AS552" s="522" t="str">
        <f t="shared" si="923"/>
        <v>Restricted Cash and Cash Equivalents</v>
      </c>
      <c r="AT552" s="145"/>
      <c r="AU552" s="145">
        <f t="shared" ref="AU552:AU559" si="943">+F552</f>
        <v>658</v>
      </c>
      <c r="AV552" s="145">
        <f t="shared" si="927"/>
        <v>550</v>
      </c>
      <c r="AW552" s="145">
        <f t="shared" si="928"/>
        <v>266</v>
      </c>
      <c r="AX552" s="145">
        <f t="shared" si="929"/>
        <v>202</v>
      </c>
      <c r="AY552" s="145">
        <f t="shared" si="930"/>
        <v>247</v>
      </c>
      <c r="AZ552" s="145">
        <f t="shared" si="931"/>
        <v>266</v>
      </c>
      <c r="BA552" s="145">
        <f t="shared" si="932"/>
        <v>100</v>
      </c>
      <c r="BB552" s="145">
        <f t="shared" si="933"/>
        <v>100</v>
      </c>
      <c r="BC552" s="145">
        <f t="shared" si="933"/>
        <v>100</v>
      </c>
      <c r="BD552" s="892">
        <f t="shared" si="933"/>
        <v>100</v>
      </c>
      <c r="BF552" s="900"/>
      <c r="BM552" s="902"/>
      <c r="BN552" s="902"/>
      <c r="BO552" s="902"/>
      <c r="BP552" s="902"/>
      <c r="BQ552" s="902"/>
      <c r="BR552" s="902"/>
      <c r="BS552" s="902"/>
    </row>
    <row r="553" spans="1:71" ht="12.75" customHeight="1">
      <c r="A553" s="3361" t="s">
        <v>1844</v>
      </c>
      <c r="B553" s="3358"/>
      <c r="C553" s="3358"/>
      <c r="D553" s="3358"/>
      <c r="E553" s="3362"/>
      <c r="F553" s="3362">
        <v>638</v>
      </c>
      <c r="G553" s="3180">
        <v>711</v>
      </c>
      <c r="H553" s="3180">
        <v>761</v>
      </c>
      <c r="I553" s="3180">
        <v>788</v>
      </c>
      <c r="J553" s="3180">
        <v>719</v>
      </c>
      <c r="K553" s="3107">
        <f t="shared" si="934"/>
        <v>719</v>
      </c>
      <c r="L553" s="3180">
        <v>829</v>
      </c>
      <c r="M553" s="3180">
        <v>830</v>
      </c>
      <c r="N553" s="3180">
        <v>813</v>
      </c>
      <c r="O553" s="3180">
        <v>731</v>
      </c>
      <c r="P553" s="3107">
        <f t="shared" si="935"/>
        <v>731</v>
      </c>
      <c r="Q553" s="3180">
        <v>784</v>
      </c>
      <c r="R553" s="3180">
        <v>858</v>
      </c>
      <c r="S553" s="3180">
        <v>862</v>
      </c>
      <c r="T553" s="3180">
        <v>844</v>
      </c>
      <c r="U553" s="3107">
        <f t="shared" si="936"/>
        <v>844</v>
      </c>
      <c r="V553" s="3180">
        <v>899</v>
      </c>
      <c r="W553" s="3180">
        <v>937</v>
      </c>
      <c r="X553" s="3180">
        <v>929</v>
      </c>
      <c r="Y553" s="3180">
        <v>876</v>
      </c>
      <c r="Z553" s="3107">
        <f t="shared" si="937"/>
        <v>876</v>
      </c>
      <c r="AA553" s="3180">
        <v>913</v>
      </c>
      <c r="AB553" s="3180">
        <v>1005</v>
      </c>
      <c r="AC553" s="3180">
        <v>1021</v>
      </c>
      <c r="AD553" s="3180">
        <v>1005</v>
      </c>
      <c r="AE553" s="3107">
        <f t="shared" ref="AE553:AE558" si="944">AD553</f>
        <v>1005</v>
      </c>
      <c r="AF553" s="3751">
        <v>911</v>
      </c>
      <c r="AG553" s="3751">
        <v>921</v>
      </c>
      <c r="AH553" s="3751">
        <v>928</v>
      </c>
      <c r="AI553" s="3738">
        <f>AI24/AI6*AI481</f>
        <v>928</v>
      </c>
      <c r="AJ553" s="3688">
        <f t="shared" ref="AJ553:AJ558" si="945">AI553</f>
        <v>928</v>
      </c>
      <c r="AK553" s="3738">
        <f>AK24/AK6*AK481</f>
        <v>928</v>
      </c>
      <c r="AL553" s="3738">
        <f>AL24/AL6*AL481</f>
        <v>928</v>
      </c>
      <c r="AM553" s="3738">
        <f>AM24/AM6*AM481</f>
        <v>928</v>
      </c>
      <c r="AN553" s="3738">
        <f>AN24/AN6*AN481</f>
        <v>928</v>
      </c>
      <c r="AO553" s="3687">
        <f t="shared" si="938"/>
        <v>928</v>
      </c>
      <c r="AP553" s="3688">
        <f>AP24/AP6*AP481</f>
        <v>927.99999999999989</v>
      </c>
      <c r="AQ553" s="3688">
        <f>AQ24/AQ6*AQ481</f>
        <v>927.99999999999989</v>
      </c>
      <c r="AR553" s="824"/>
      <c r="AS553" s="522" t="str">
        <f t="shared" si="923"/>
        <v>Accounts Receivable, net</v>
      </c>
      <c r="AT553" s="145"/>
      <c r="AU553" s="145">
        <f t="shared" si="943"/>
        <v>638</v>
      </c>
      <c r="AV553" s="145">
        <f t="shared" si="927"/>
        <v>719</v>
      </c>
      <c r="AW553" s="145">
        <f t="shared" si="928"/>
        <v>731</v>
      </c>
      <c r="AX553" s="145">
        <f t="shared" si="929"/>
        <v>844</v>
      </c>
      <c r="AY553" s="145">
        <f t="shared" si="930"/>
        <v>876</v>
      </c>
      <c r="AZ553" s="145">
        <f t="shared" si="931"/>
        <v>1005</v>
      </c>
      <c r="BA553" s="145">
        <f t="shared" si="932"/>
        <v>928</v>
      </c>
      <c r="BB553" s="145">
        <f t="shared" si="933"/>
        <v>928</v>
      </c>
      <c r="BC553" s="145">
        <f t="shared" si="933"/>
        <v>927.99999999999989</v>
      </c>
      <c r="BD553" s="892">
        <f t="shared" si="933"/>
        <v>927.99999999999989</v>
      </c>
      <c r="BF553" s="900"/>
      <c r="BM553" s="902"/>
      <c r="BN553" s="902"/>
      <c r="BO553" s="902"/>
      <c r="BP553" s="902"/>
      <c r="BQ553" s="902"/>
      <c r="BR553" s="902"/>
      <c r="BS553" s="902"/>
    </row>
    <row r="554" spans="1:71" ht="12.75" customHeight="1">
      <c r="A554" s="3361" t="s">
        <v>1323</v>
      </c>
      <c r="B554" s="3358"/>
      <c r="C554" s="3358"/>
      <c r="D554" s="3358"/>
      <c r="E554" s="3362"/>
      <c r="F554" s="3362">
        <v>552</v>
      </c>
      <c r="G554" s="3180">
        <v>529</v>
      </c>
      <c r="H554" s="3180">
        <v>492</v>
      </c>
      <c r="I554" s="3180">
        <v>447</v>
      </c>
      <c r="J554" s="3180">
        <v>415</v>
      </c>
      <c r="K554" s="3107">
        <f t="shared" si="934"/>
        <v>415</v>
      </c>
      <c r="L554" s="3180">
        <v>399</v>
      </c>
      <c r="M554" s="3180">
        <v>395</v>
      </c>
      <c r="N554" s="3180">
        <v>386</v>
      </c>
      <c r="O554" s="3180">
        <v>396</v>
      </c>
      <c r="P554" s="3107">
        <f t="shared" si="935"/>
        <v>396</v>
      </c>
      <c r="Q554" s="3180">
        <v>397</v>
      </c>
      <c r="R554" s="3180">
        <v>359</v>
      </c>
      <c r="S554" s="3180">
        <v>350</v>
      </c>
      <c r="T554" s="3180">
        <v>404</v>
      </c>
      <c r="U554" s="3107">
        <f t="shared" si="936"/>
        <v>404</v>
      </c>
      <c r="V554" s="3180">
        <v>421</v>
      </c>
      <c r="W554" s="3180">
        <v>424</v>
      </c>
      <c r="X554" s="3180">
        <v>430</v>
      </c>
      <c r="Y554" s="3180">
        <v>442</v>
      </c>
      <c r="Z554" s="3107">
        <f>Y554</f>
        <v>442</v>
      </c>
      <c r="AA554" s="3180">
        <v>469</v>
      </c>
      <c r="AB554" s="3180">
        <v>459</v>
      </c>
      <c r="AC554" s="3180">
        <v>508</v>
      </c>
      <c r="AD554" s="3180">
        <v>541</v>
      </c>
      <c r="AE554" s="3107">
        <f t="shared" si="944"/>
        <v>541</v>
      </c>
      <c r="AF554" s="3751">
        <v>0</v>
      </c>
      <c r="AG554" s="3751">
        <f>AF554+AG471</f>
        <v>0</v>
      </c>
      <c r="AH554" s="3751">
        <v>0</v>
      </c>
      <c r="AI554" s="3738">
        <f>AH554+AI471</f>
        <v>0</v>
      </c>
      <c r="AJ554" s="3688">
        <f t="shared" si="945"/>
        <v>0</v>
      </c>
      <c r="AK554" s="3738">
        <f t="shared" ref="AK554:AN554" si="946">AJ554+AK471</f>
        <v>0</v>
      </c>
      <c r="AL554" s="3738">
        <f t="shared" si="946"/>
        <v>0</v>
      </c>
      <c r="AM554" s="3738">
        <f t="shared" si="946"/>
        <v>0</v>
      </c>
      <c r="AN554" s="3738">
        <f t="shared" si="946"/>
        <v>0</v>
      </c>
      <c r="AO554" s="3687">
        <f t="shared" si="938"/>
        <v>0</v>
      </c>
      <c r="AP554" s="3688">
        <f>AO554+AP471</f>
        <v>0</v>
      </c>
      <c r="AQ554" s="3688">
        <f>AP554+AQ471</f>
        <v>0</v>
      </c>
      <c r="AR554" s="824"/>
      <c r="AS554" s="522" t="str">
        <f t="shared" si="923"/>
        <v>Inventories</v>
      </c>
      <c r="AT554" s="145"/>
      <c r="AU554" s="145">
        <f t="shared" si="943"/>
        <v>552</v>
      </c>
      <c r="AV554" s="145">
        <f t="shared" si="927"/>
        <v>415</v>
      </c>
      <c r="AW554" s="145">
        <f t="shared" si="928"/>
        <v>396</v>
      </c>
      <c r="AX554" s="145">
        <f t="shared" si="929"/>
        <v>404</v>
      </c>
      <c r="AY554" s="145">
        <f t="shared" si="930"/>
        <v>442</v>
      </c>
      <c r="AZ554" s="145">
        <f t="shared" si="931"/>
        <v>541</v>
      </c>
      <c r="BA554" s="145">
        <f t="shared" si="932"/>
        <v>0</v>
      </c>
      <c r="BB554" s="145">
        <f t="shared" si="933"/>
        <v>0</v>
      </c>
      <c r="BC554" s="145">
        <f t="shared" si="933"/>
        <v>0</v>
      </c>
      <c r="BD554" s="892">
        <f t="shared" si="933"/>
        <v>0</v>
      </c>
      <c r="BF554" s="900"/>
      <c r="BM554" s="902"/>
      <c r="BN554" s="902"/>
      <c r="BO554" s="902"/>
      <c r="BP554" s="902"/>
      <c r="BQ554" s="902"/>
      <c r="BR554" s="902"/>
      <c r="BS554" s="902"/>
    </row>
    <row r="555" spans="1:71" ht="12.75" customHeight="1">
      <c r="A555" s="3361" t="s">
        <v>1845</v>
      </c>
      <c r="B555" s="3358"/>
      <c r="C555" s="3358"/>
      <c r="D555" s="3358"/>
      <c r="E555" s="3362"/>
      <c r="F555" s="3362">
        <v>74</v>
      </c>
      <c r="G555" s="3180">
        <v>74</v>
      </c>
      <c r="H555" s="3180">
        <v>73</v>
      </c>
      <c r="I555" s="3180">
        <v>73</v>
      </c>
      <c r="J555" s="3180">
        <v>76</v>
      </c>
      <c r="K555" s="3107">
        <f t="shared" si="934"/>
        <v>76</v>
      </c>
      <c r="L555" s="3180">
        <v>75</v>
      </c>
      <c r="M555" s="3180">
        <v>75</v>
      </c>
      <c r="N555" s="3180">
        <v>75</v>
      </c>
      <c r="O555" s="3180">
        <v>23</v>
      </c>
      <c r="P555" s="3107">
        <f t="shared" si="935"/>
        <v>23</v>
      </c>
      <c r="Q555" s="3180">
        <v>23</v>
      </c>
      <c r="R555" s="3180">
        <v>23</v>
      </c>
      <c r="S555" s="3180">
        <v>23</v>
      </c>
      <c r="T555" s="3180">
        <v>20</v>
      </c>
      <c r="U555" s="3107">
        <f t="shared" si="936"/>
        <v>20</v>
      </c>
      <c r="V555" s="3180">
        <v>20</v>
      </c>
      <c r="W555" s="3180">
        <v>20</v>
      </c>
      <c r="X555" s="3180">
        <v>20</v>
      </c>
      <c r="Y555" s="3180">
        <v>0</v>
      </c>
      <c r="Z555" s="3107">
        <f t="shared" si="937"/>
        <v>0</v>
      </c>
      <c r="AA555" s="3180">
        <v>0</v>
      </c>
      <c r="AB555" s="3180">
        <v>0</v>
      </c>
      <c r="AC555" s="3180">
        <f t="shared" ref="AC555:AD555" si="947">AB555</f>
        <v>0</v>
      </c>
      <c r="AD555" s="3180">
        <f t="shared" si="947"/>
        <v>0</v>
      </c>
      <c r="AE555" s="3107">
        <f t="shared" si="944"/>
        <v>0</v>
      </c>
      <c r="AF555" s="3689">
        <f t="shared" ref="AF555:AI558" si="948">AE555</f>
        <v>0</v>
      </c>
      <c r="AG555" s="3689">
        <v>0</v>
      </c>
      <c r="AH555" s="3689">
        <v>5</v>
      </c>
      <c r="AI555" s="3685">
        <f t="shared" si="948"/>
        <v>5</v>
      </c>
      <c r="AJ555" s="3688">
        <f t="shared" si="945"/>
        <v>5</v>
      </c>
      <c r="AK555" s="3685">
        <f t="shared" ref="AK555:AK558" si="949">AJ555</f>
        <v>5</v>
      </c>
      <c r="AL555" s="3685">
        <f t="shared" ref="AL555:AL558" si="950">AK555</f>
        <v>5</v>
      </c>
      <c r="AM555" s="3685">
        <f t="shared" ref="AM555:AM558" si="951">AL555</f>
        <v>5</v>
      </c>
      <c r="AN555" s="3685">
        <f t="shared" ref="AN555:AN558" si="952">AM555</f>
        <v>5</v>
      </c>
      <c r="AO555" s="3687">
        <f t="shared" si="938"/>
        <v>5</v>
      </c>
      <c r="AP555" s="3688">
        <f t="shared" ref="AP555:AQ558" si="953">AO555</f>
        <v>5</v>
      </c>
      <c r="AQ555" s="3688">
        <f t="shared" si="953"/>
        <v>5</v>
      </c>
      <c r="AR555" s="824"/>
      <c r="AS555" s="522" t="str">
        <f t="shared" si="923"/>
        <v>Deferred Income Tax Assets</v>
      </c>
      <c r="AT555" s="145"/>
      <c r="AU555" s="145">
        <f t="shared" si="943"/>
        <v>74</v>
      </c>
      <c r="AV555" s="145">
        <f t="shared" si="927"/>
        <v>76</v>
      </c>
      <c r="AW555" s="145">
        <f t="shared" si="928"/>
        <v>23</v>
      </c>
      <c r="AX555" s="145">
        <f t="shared" si="929"/>
        <v>20</v>
      </c>
      <c r="AY555" s="145">
        <f t="shared" si="930"/>
        <v>0</v>
      </c>
      <c r="AZ555" s="145">
        <f t="shared" si="931"/>
        <v>0</v>
      </c>
      <c r="BA555" s="145">
        <f t="shared" si="932"/>
        <v>5</v>
      </c>
      <c r="BB555" s="145">
        <f t="shared" si="933"/>
        <v>5</v>
      </c>
      <c r="BC555" s="145">
        <f t="shared" si="933"/>
        <v>5</v>
      </c>
      <c r="BD555" s="892">
        <f t="shared" si="933"/>
        <v>5</v>
      </c>
      <c r="BF555" s="900"/>
      <c r="BM555" s="902"/>
      <c r="BN555" s="902"/>
      <c r="BO555" s="902"/>
      <c r="BP555" s="902"/>
      <c r="BQ555" s="902"/>
      <c r="BR555" s="902"/>
      <c r="BS555" s="902"/>
    </row>
    <row r="556" spans="1:71" ht="12.75" customHeight="1">
      <c r="A556" s="3361" t="s">
        <v>1846</v>
      </c>
      <c r="B556" s="3358"/>
      <c r="C556" s="3358"/>
      <c r="D556" s="3358"/>
      <c r="E556" s="3362"/>
      <c r="F556" s="3362">
        <v>103</v>
      </c>
      <c r="G556" s="3180">
        <v>102</v>
      </c>
      <c r="H556" s="3180">
        <v>107</v>
      </c>
      <c r="I556" s="3180">
        <v>111</v>
      </c>
      <c r="J556" s="3180">
        <v>119</v>
      </c>
      <c r="K556" s="3107">
        <f t="shared" si="934"/>
        <v>119</v>
      </c>
      <c r="L556" s="3180">
        <v>114</v>
      </c>
      <c r="M556" s="3180">
        <v>116</v>
      </c>
      <c r="N556" s="3180">
        <f>94+27</f>
        <v>121</v>
      </c>
      <c r="O556" s="3180">
        <f>94+27</f>
        <v>121</v>
      </c>
      <c r="P556" s="3107">
        <f t="shared" si="935"/>
        <v>121</v>
      </c>
      <c r="Q556" s="3180">
        <f>93+26</f>
        <v>119</v>
      </c>
      <c r="R556" s="3180">
        <f>52+65</f>
        <v>117</v>
      </c>
      <c r="S556" s="3180">
        <f>56+64</f>
        <v>120</v>
      </c>
      <c r="T556" s="3180">
        <f>66+62</f>
        <v>128</v>
      </c>
      <c r="U556" s="3107">
        <f t="shared" si="936"/>
        <v>128</v>
      </c>
      <c r="V556" s="3180">
        <f>60+60</f>
        <v>120</v>
      </c>
      <c r="W556" s="3180">
        <f>66+59</f>
        <v>125</v>
      </c>
      <c r="X556" s="3180">
        <f>68+56</f>
        <v>124</v>
      </c>
      <c r="Y556" s="3180">
        <f>74+55</f>
        <v>129</v>
      </c>
      <c r="Z556" s="3107">
        <f t="shared" si="937"/>
        <v>129</v>
      </c>
      <c r="AA556" s="3180">
        <v>124</v>
      </c>
      <c r="AB556" s="3180">
        <f>74+55</f>
        <v>129</v>
      </c>
      <c r="AC556" s="3180">
        <v>128</v>
      </c>
      <c r="AD556" s="3180">
        <v>138</v>
      </c>
      <c r="AE556" s="3107">
        <f t="shared" si="944"/>
        <v>138</v>
      </c>
      <c r="AF556" s="3689">
        <v>0</v>
      </c>
      <c r="AG556" s="3689">
        <v>0</v>
      </c>
      <c r="AH556" s="3689">
        <v>0</v>
      </c>
      <c r="AI556" s="3685">
        <f t="shared" si="948"/>
        <v>0</v>
      </c>
      <c r="AJ556" s="3688">
        <f t="shared" si="945"/>
        <v>0</v>
      </c>
      <c r="AK556" s="3685">
        <f t="shared" si="949"/>
        <v>0</v>
      </c>
      <c r="AL556" s="3685">
        <f t="shared" si="950"/>
        <v>0</v>
      </c>
      <c r="AM556" s="3685">
        <f t="shared" si="951"/>
        <v>0</v>
      </c>
      <c r="AN556" s="3685">
        <f t="shared" si="952"/>
        <v>0</v>
      </c>
      <c r="AO556" s="3687">
        <f t="shared" si="938"/>
        <v>0</v>
      </c>
      <c r="AP556" s="3688">
        <f t="shared" si="953"/>
        <v>0</v>
      </c>
      <c r="AQ556" s="3688">
        <f t="shared" si="953"/>
        <v>0</v>
      </c>
      <c r="AR556" s="824"/>
      <c r="AS556" s="522" t="str">
        <f t="shared" si="923"/>
        <v>Current Portion of Financing Receivables, net</v>
      </c>
      <c r="AT556" s="145"/>
      <c r="AU556" s="145">
        <f t="shared" si="943"/>
        <v>103</v>
      </c>
      <c r="AV556" s="145">
        <f t="shared" si="927"/>
        <v>119</v>
      </c>
      <c r="AW556" s="145">
        <f t="shared" si="928"/>
        <v>121</v>
      </c>
      <c r="AX556" s="145">
        <f t="shared" si="929"/>
        <v>128</v>
      </c>
      <c r="AY556" s="145">
        <f t="shared" si="930"/>
        <v>129</v>
      </c>
      <c r="AZ556" s="145">
        <f t="shared" si="931"/>
        <v>138</v>
      </c>
      <c r="BA556" s="145">
        <f t="shared" si="932"/>
        <v>0</v>
      </c>
      <c r="BB556" s="145">
        <f t="shared" si="933"/>
        <v>0</v>
      </c>
      <c r="BC556" s="145">
        <f t="shared" si="933"/>
        <v>0</v>
      </c>
      <c r="BD556" s="892">
        <f t="shared" si="933"/>
        <v>0</v>
      </c>
      <c r="BF556" s="900"/>
      <c r="BM556" s="902"/>
      <c r="BN556" s="902"/>
      <c r="BO556" s="902"/>
      <c r="BP556" s="902"/>
      <c r="BQ556" s="902"/>
      <c r="BR556" s="902"/>
      <c r="BS556" s="902"/>
    </row>
    <row r="557" spans="1:71" ht="12.75" customHeight="1">
      <c r="A557" s="3361" t="s">
        <v>1635</v>
      </c>
      <c r="B557" s="3358"/>
      <c r="C557" s="3358"/>
      <c r="D557" s="3358"/>
      <c r="E557" s="3362"/>
      <c r="F557" s="3362">
        <v>136</v>
      </c>
      <c r="G557" s="3180">
        <v>131</v>
      </c>
      <c r="H557" s="3180">
        <v>146</v>
      </c>
      <c r="I557" s="3180">
        <v>156</v>
      </c>
      <c r="J557" s="3180">
        <v>153</v>
      </c>
      <c r="K557" s="3107">
        <f t="shared" si="934"/>
        <v>153</v>
      </c>
      <c r="L557" s="3180">
        <v>156</v>
      </c>
      <c r="M557" s="3180">
        <v>139</v>
      </c>
      <c r="N557" s="3180">
        <v>156</v>
      </c>
      <c r="O557" s="3180">
        <v>148</v>
      </c>
      <c r="P557" s="3107">
        <f t="shared" si="935"/>
        <v>148</v>
      </c>
      <c r="Q557" s="3180">
        <v>182</v>
      </c>
      <c r="R557" s="3180">
        <v>166</v>
      </c>
      <c r="S557" s="3180">
        <v>172</v>
      </c>
      <c r="T557" s="3180">
        <v>133</v>
      </c>
      <c r="U557" s="3107">
        <f t="shared" si="936"/>
        <v>133</v>
      </c>
      <c r="V557" s="3180">
        <v>153</v>
      </c>
      <c r="W557" s="3180">
        <v>146</v>
      </c>
      <c r="X557" s="3180">
        <v>182</v>
      </c>
      <c r="Y557" s="3180">
        <v>147</v>
      </c>
      <c r="Z557" s="3107">
        <f t="shared" si="937"/>
        <v>147</v>
      </c>
      <c r="AA557" s="3180">
        <v>193</v>
      </c>
      <c r="AB557" s="3180">
        <v>186</v>
      </c>
      <c r="AC557" s="3180">
        <v>171</v>
      </c>
      <c r="AD557" s="3180">
        <v>137</v>
      </c>
      <c r="AE557" s="3107">
        <f t="shared" si="944"/>
        <v>137</v>
      </c>
      <c r="AF557" s="3689">
        <v>129</v>
      </c>
      <c r="AG557" s="3689">
        <v>123</v>
      </c>
      <c r="AH557" s="3689">
        <v>130</v>
      </c>
      <c r="AI557" s="3685">
        <f t="shared" si="948"/>
        <v>130</v>
      </c>
      <c r="AJ557" s="3688">
        <f t="shared" si="945"/>
        <v>130</v>
      </c>
      <c r="AK557" s="3685">
        <f t="shared" si="949"/>
        <v>130</v>
      </c>
      <c r="AL557" s="3685">
        <f t="shared" si="950"/>
        <v>130</v>
      </c>
      <c r="AM557" s="3685">
        <f t="shared" si="951"/>
        <v>130</v>
      </c>
      <c r="AN557" s="3685">
        <f t="shared" si="952"/>
        <v>130</v>
      </c>
      <c r="AO557" s="3687">
        <f t="shared" si="938"/>
        <v>130</v>
      </c>
      <c r="AP557" s="3688">
        <f t="shared" si="953"/>
        <v>130</v>
      </c>
      <c r="AQ557" s="3688">
        <f t="shared" si="953"/>
        <v>130</v>
      </c>
      <c r="AR557" s="824"/>
      <c r="AS557" s="522" t="str">
        <f t="shared" si="923"/>
        <v>Prepaid Expenses</v>
      </c>
      <c r="AT557" s="145"/>
      <c r="AU557" s="145">
        <f t="shared" si="943"/>
        <v>136</v>
      </c>
      <c r="AV557" s="145">
        <f t="shared" si="927"/>
        <v>153</v>
      </c>
      <c r="AW557" s="145">
        <f t="shared" si="928"/>
        <v>148</v>
      </c>
      <c r="AX557" s="145">
        <f t="shared" si="929"/>
        <v>133</v>
      </c>
      <c r="AY557" s="145">
        <f t="shared" si="930"/>
        <v>147</v>
      </c>
      <c r="AZ557" s="145">
        <f t="shared" si="931"/>
        <v>137</v>
      </c>
      <c r="BA557" s="145">
        <f t="shared" si="932"/>
        <v>130</v>
      </c>
      <c r="BB557" s="145">
        <f t="shared" si="933"/>
        <v>130</v>
      </c>
      <c r="BC557" s="145">
        <f t="shared" si="933"/>
        <v>130</v>
      </c>
      <c r="BD557" s="892">
        <f t="shared" si="933"/>
        <v>130</v>
      </c>
      <c r="BF557" s="900"/>
      <c r="BM557" s="902"/>
      <c r="BN557" s="902"/>
      <c r="BO557" s="902"/>
      <c r="BP557" s="902"/>
      <c r="BQ557" s="902"/>
      <c r="BR557" s="902"/>
      <c r="BS557" s="902"/>
    </row>
    <row r="558" spans="1:71" ht="12.75" customHeight="1">
      <c r="A558" s="3361" t="s">
        <v>395</v>
      </c>
      <c r="B558" s="3363"/>
      <c r="C558" s="3363"/>
      <c r="D558" s="3363"/>
      <c r="E558" s="3363"/>
      <c r="F558" s="3363">
        <v>91</v>
      </c>
      <c r="G558" s="3183">
        <v>75</v>
      </c>
      <c r="H558" s="3183">
        <v>61</v>
      </c>
      <c r="I558" s="3183">
        <v>36</v>
      </c>
      <c r="J558" s="3183">
        <v>40</v>
      </c>
      <c r="K558" s="3153">
        <f t="shared" si="934"/>
        <v>40</v>
      </c>
      <c r="L558" s="3183">
        <v>41</v>
      </c>
      <c r="M558" s="3183">
        <v>49</v>
      </c>
      <c r="N558" s="3183">
        <v>40</v>
      </c>
      <c r="O558" s="3183">
        <f>104</f>
        <v>104</v>
      </c>
      <c r="P558" s="3153">
        <f t="shared" si="935"/>
        <v>104</v>
      </c>
      <c r="Q558" s="3183">
        <v>68</v>
      </c>
      <c r="R558" s="3183">
        <v>65</v>
      </c>
      <c r="S558" s="3183">
        <v>56</v>
      </c>
      <c r="T558" s="3183">
        <f>132+70</f>
        <v>202</v>
      </c>
      <c r="U558" s="3153">
        <f t="shared" si="936"/>
        <v>202</v>
      </c>
      <c r="V558" s="3183">
        <f>29+31</f>
        <v>60</v>
      </c>
      <c r="W558" s="3183">
        <f>38+52</f>
        <v>90</v>
      </c>
      <c r="X558" s="3183">
        <f>19+38</f>
        <v>57</v>
      </c>
      <c r="Y558" s="3183">
        <f>38+97</f>
        <v>135</v>
      </c>
      <c r="Z558" s="3153">
        <f t="shared" si="937"/>
        <v>135</v>
      </c>
      <c r="AA558" s="3183">
        <f>28+38</f>
        <v>66</v>
      </c>
      <c r="AB558" s="3183">
        <f>18+52</f>
        <v>70</v>
      </c>
      <c r="AC558" s="3183">
        <f>17+48</f>
        <v>65</v>
      </c>
      <c r="AD558" s="3183">
        <f>13+39</f>
        <v>52</v>
      </c>
      <c r="AE558" s="3153">
        <f t="shared" si="944"/>
        <v>52</v>
      </c>
      <c r="AF558" s="3752">
        <v>43</v>
      </c>
      <c r="AG558" s="3752">
        <v>46</v>
      </c>
      <c r="AH558" s="3752">
        <v>46</v>
      </c>
      <c r="AI558" s="3739">
        <f t="shared" si="948"/>
        <v>46</v>
      </c>
      <c r="AJ558" s="3740">
        <f t="shared" si="945"/>
        <v>46</v>
      </c>
      <c r="AK558" s="3739">
        <f t="shared" si="949"/>
        <v>46</v>
      </c>
      <c r="AL558" s="3739">
        <f t="shared" si="950"/>
        <v>46</v>
      </c>
      <c r="AM558" s="3739">
        <f t="shared" si="951"/>
        <v>46</v>
      </c>
      <c r="AN558" s="3739">
        <f t="shared" si="952"/>
        <v>46</v>
      </c>
      <c r="AO558" s="3740">
        <f t="shared" si="938"/>
        <v>46</v>
      </c>
      <c r="AP558" s="3740">
        <f t="shared" si="953"/>
        <v>46</v>
      </c>
      <c r="AQ558" s="3732">
        <f t="shared" si="953"/>
        <v>46</v>
      </c>
      <c r="AR558" s="824"/>
      <c r="AS558" s="500" t="str">
        <f t="shared" si="923"/>
        <v>Other</v>
      </c>
      <c r="AT558" s="158"/>
      <c r="AU558" s="158">
        <f t="shared" si="943"/>
        <v>91</v>
      </c>
      <c r="AV558" s="158">
        <f t="shared" si="927"/>
        <v>40</v>
      </c>
      <c r="AW558" s="158">
        <f t="shared" si="928"/>
        <v>104</v>
      </c>
      <c r="AX558" s="158">
        <f t="shared" si="929"/>
        <v>202</v>
      </c>
      <c r="AY558" s="158">
        <f t="shared" si="930"/>
        <v>135</v>
      </c>
      <c r="AZ558" s="158">
        <f t="shared" si="931"/>
        <v>52</v>
      </c>
      <c r="BA558" s="158">
        <f t="shared" si="932"/>
        <v>46</v>
      </c>
      <c r="BB558" s="158">
        <f t="shared" si="933"/>
        <v>46</v>
      </c>
      <c r="BC558" s="158">
        <f t="shared" si="933"/>
        <v>46</v>
      </c>
      <c r="BD558" s="845">
        <f t="shared" si="933"/>
        <v>46</v>
      </c>
      <c r="BF558" s="900"/>
      <c r="BM558" s="902"/>
      <c r="BN558" s="902"/>
      <c r="BO558" s="902"/>
      <c r="BP558" s="902"/>
      <c r="BQ558" s="902"/>
      <c r="BR558" s="902"/>
      <c r="BS558" s="902"/>
    </row>
    <row r="559" spans="1:71" ht="12.75" customHeight="1">
      <c r="A559" s="3364" t="s">
        <v>82</v>
      </c>
      <c r="B559" s="3365"/>
      <c r="C559" s="3365"/>
      <c r="D559" s="3365"/>
      <c r="E559" s="3319"/>
      <c r="F559" s="3365">
        <f t="shared" ref="F559:AQ559" si="954">SUM(F551:F558)</f>
        <v>3033</v>
      </c>
      <c r="G559" s="3366">
        <f t="shared" si="954"/>
        <v>2900</v>
      </c>
      <c r="H559" s="3366">
        <f t="shared" si="954"/>
        <v>3095</v>
      </c>
      <c r="I559" s="3366">
        <f t="shared" si="954"/>
        <v>3194</v>
      </c>
      <c r="J559" s="3366">
        <f t="shared" si="954"/>
        <v>2827</v>
      </c>
      <c r="K559" s="3365">
        <f t="shared" si="954"/>
        <v>2827</v>
      </c>
      <c r="L559" s="3366">
        <f t="shared" si="954"/>
        <v>2941</v>
      </c>
      <c r="M559" s="3366">
        <f t="shared" si="954"/>
        <v>2890</v>
      </c>
      <c r="N559" s="3366">
        <f t="shared" si="954"/>
        <v>2817</v>
      </c>
      <c r="O559" s="3366">
        <f t="shared" si="954"/>
        <v>2383</v>
      </c>
      <c r="P559" s="3365">
        <f t="shared" si="954"/>
        <v>2383</v>
      </c>
      <c r="Q559" s="3366">
        <f t="shared" si="954"/>
        <v>2295</v>
      </c>
      <c r="R559" s="3366">
        <f t="shared" si="954"/>
        <v>2417</v>
      </c>
      <c r="S559" s="3366">
        <f t="shared" si="954"/>
        <v>2414</v>
      </c>
      <c r="T559" s="3366">
        <f t="shared" si="954"/>
        <v>2499</v>
      </c>
      <c r="U559" s="3365">
        <f t="shared" si="954"/>
        <v>2499</v>
      </c>
      <c r="V559" s="3366">
        <f t="shared" si="954"/>
        <v>2489</v>
      </c>
      <c r="W559" s="3366">
        <f>SUM(W551:W558)</f>
        <v>2501</v>
      </c>
      <c r="X559" s="3366">
        <f>SUM(X551:X558)</f>
        <v>2646</v>
      </c>
      <c r="Y559" s="3366">
        <f t="shared" si="954"/>
        <v>2585</v>
      </c>
      <c r="Z559" s="3365">
        <f t="shared" si="954"/>
        <v>2585</v>
      </c>
      <c r="AA559" s="3366">
        <f>SUM(AA551:AA558)</f>
        <v>2738</v>
      </c>
      <c r="AB559" s="3366">
        <f>SUM(AB551:AB558)</f>
        <v>2930</v>
      </c>
      <c r="AC559" s="3366">
        <f>SUM(AC551:AC558)</f>
        <v>3024</v>
      </c>
      <c r="AD559" s="3366">
        <f t="shared" si="954"/>
        <v>3557</v>
      </c>
      <c r="AE559" s="3365">
        <f t="shared" si="954"/>
        <v>3557</v>
      </c>
      <c r="AF559" s="3741">
        <f t="shared" si="954"/>
        <v>2069</v>
      </c>
      <c r="AG559" s="3741">
        <f t="shared" si="954"/>
        <v>1999</v>
      </c>
      <c r="AH559" s="3741">
        <f t="shared" ref="AH559" si="955">SUM(AH551:AH558)</f>
        <v>1905</v>
      </c>
      <c r="AI559" s="3741">
        <f t="shared" ca="1" si="954"/>
        <v>1805</v>
      </c>
      <c r="AJ559" s="3742">
        <f ca="1">SUM(AJ551:AJ558)</f>
        <v>1805</v>
      </c>
      <c r="AK559" s="3741">
        <f t="shared" ref="AK559:AN559" ca="1" si="956">SUM(AK551:AK558)</f>
        <v>1741.6168075011992</v>
      </c>
      <c r="AL559" s="3741">
        <f t="shared" ca="1" si="956"/>
        <v>1848.7579243660703</v>
      </c>
      <c r="AM559" s="3741">
        <f t="shared" ca="1" si="956"/>
        <v>1877.2195626510347</v>
      </c>
      <c r="AN559" s="3741">
        <f t="shared" ca="1" si="956"/>
        <v>1862.7486568838381</v>
      </c>
      <c r="AO559" s="3742">
        <f ca="1">SUM(AO551:AO558)</f>
        <v>1862.7486568838381</v>
      </c>
      <c r="AP559" s="3742">
        <f t="shared" ca="1" si="954"/>
        <v>2046.8551176956098</v>
      </c>
      <c r="AQ559" s="3742">
        <f t="shared" ca="1" si="954"/>
        <v>2863.9393587974646</v>
      </c>
      <c r="AR559" s="219"/>
      <c r="AS559" s="524" t="str">
        <f t="shared" si="923"/>
        <v>Total Current Assets</v>
      </c>
      <c r="AT559" s="219"/>
      <c r="AU559" s="219">
        <f t="shared" si="943"/>
        <v>3033</v>
      </c>
      <c r="AV559" s="219">
        <f t="shared" si="927"/>
        <v>2827</v>
      </c>
      <c r="AW559" s="219">
        <f t="shared" si="928"/>
        <v>2383</v>
      </c>
      <c r="AX559" s="219">
        <f t="shared" si="929"/>
        <v>2499</v>
      </c>
      <c r="AY559" s="219">
        <f t="shared" si="930"/>
        <v>2585</v>
      </c>
      <c r="AZ559" s="219">
        <f t="shared" si="931"/>
        <v>3557</v>
      </c>
      <c r="BA559" s="219">
        <f t="shared" ca="1" si="932"/>
        <v>1805</v>
      </c>
      <c r="BB559" s="219">
        <f t="shared" ca="1" si="933"/>
        <v>1862.7486568838381</v>
      </c>
      <c r="BC559" s="219">
        <f t="shared" ca="1" si="933"/>
        <v>2046.8551176956098</v>
      </c>
      <c r="BD559" s="889">
        <f t="shared" ca="1" si="933"/>
        <v>2863.9393587974646</v>
      </c>
      <c r="BF559" s="900"/>
      <c r="BM559" s="902"/>
      <c r="BN559" s="902"/>
      <c r="BO559" s="902"/>
      <c r="BP559" s="902"/>
      <c r="BQ559" s="902"/>
      <c r="BR559" s="902"/>
      <c r="BS559" s="902"/>
    </row>
    <row r="560" spans="1:71" ht="12.75" customHeight="1">
      <c r="A560" s="3323"/>
      <c r="B560" s="3229"/>
      <c r="C560" s="3229"/>
      <c r="D560" s="3229"/>
      <c r="E560" s="3162"/>
      <c r="F560" s="3162"/>
      <c r="G560" s="3163"/>
      <c r="H560" s="3163"/>
      <c r="I560" s="3163"/>
      <c r="J560" s="3163"/>
      <c r="K560" s="3229"/>
      <c r="L560" s="3163"/>
      <c r="M560" s="3163"/>
      <c r="N560" s="3163"/>
      <c r="O560" s="3163"/>
      <c r="P560" s="3229"/>
      <c r="Q560" s="3163"/>
      <c r="R560" s="3163"/>
      <c r="S560" s="3163"/>
      <c r="T560" s="3163"/>
      <c r="U560" s="3229"/>
      <c r="V560" s="3163"/>
      <c r="W560" s="3163"/>
      <c r="X560" s="3163"/>
      <c r="Y560" s="3163"/>
      <c r="Z560" s="3229"/>
      <c r="AA560" s="3163"/>
      <c r="AB560" s="3163"/>
      <c r="AC560" s="3163"/>
      <c r="AD560" s="3163"/>
      <c r="AE560" s="3229"/>
      <c r="AF560" s="3743"/>
      <c r="AG560" s="3743"/>
      <c r="AH560" s="4042"/>
      <c r="AI560" s="3743"/>
      <c r="AJ560" s="3680"/>
      <c r="AK560" s="3743"/>
      <c r="AL560" s="3743"/>
      <c r="AM560" s="3743"/>
      <c r="AN560" s="3743"/>
      <c r="AO560" s="3720"/>
      <c r="AP560" s="3680"/>
      <c r="AQ560" s="3680"/>
      <c r="AR560" s="155"/>
      <c r="AS560" s="386"/>
      <c r="AT560" s="155"/>
      <c r="AU560" s="155"/>
      <c r="AV560" s="155"/>
      <c r="AW560" s="155"/>
      <c r="AX560" s="155"/>
      <c r="AY560" s="155"/>
      <c r="AZ560" s="155"/>
      <c r="BA560" s="155"/>
      <c r="BB560" s="155"/>
      <c r="BC560" s="155"/>
      <c r="BD560" s="867"/>
      <c r="BF560" s="900"/>
      <c r="BM560" s="902"/>
      <c r="BN560" s="902"/>
      <c r="BO560" s="902"/>
      <c r="BP560" s="902"/>
      <c r="BQ560" s="902"/>
      <c r="BR560" s="902"/>
      <c r="BS560" s="902"/>
    </row>
    <row r="561" spans="1:71" ht="12.75" hidden="1" customHeight="1" outlineLevel="1">
      <c r="A561" s="3311" t="s">
        <v>394</v>
      </c>
      <c r="B561" s="3329"/>
      <c r="C561" s="3329"/>
      <c r="D561" s="3329"/>
      <c r="E561" s="3367"/>
      <c r="F561" s="3367">
        <v>10382</v>
      </c>
      <c r="G561" s="3330"/>
      <c r="H561" s="3330"/>
      <c r="I561" s="3330"/>
      <c r="J561" s="3330">
        <v>10739</v>
      </c>
      <c r="K561" s="3329">
        <f>J561</f>
        <v>10739</v>
      </c>
      <c r="L561" s="3330"/>
      <c r="M561" s="3330">
        <v>10723</v>
      </c>
      <c r="N561" s="3330"/>
      <c r="O561" s="3330">
        <v>10848</v>
      </c>
      <c r="P561" s="3329">
        <f>O561</f>
        <v>10848</v>
      </c>
      <c r="Q561" s="3330">
        <v>10896</v>
      </c>
      <c r="R561" s="3330">
        <v>10980</v>
      </c>
      <c r="S561" s="3330">
        <v>11121</v>
      </c>
      <c r="T561" s="3330">
        <v>9352</v>
      </c>
      <c r="U561" s="3329">
        <f>T561</f>
        <v>9352</v>
      </c>
      <c r="V561" s="3330">
        <v>11120</v>
      </c>
      <c r="W561" s="3330">
        <v>11120</v>
      </c>
      <c r="X561" s="3332">
        <f>+X563-X562</f>
        <v>11121</v>
      </c>
      <c r="Y561" s="3330">
        <v>11239</v>
      </c>
      <c r="Z561" s="3329">
        <f>Y561</f>
        <v>11239</v>
      </c>
      <c r="AA561" s="3330">
        <v>11349</v>
      </c>
      <c r="AB561" s="3330">
        <v>11407</v>
      </c>
      <c r="AC561" s="3330">
        <v>11410</v>
      </c>
      <c r="AD561" s="3330">
        <v>11219</v>
      </c>
      <c r="AE561" s="3329">
        <f>AD561</f>
        <v>11219</v>
      </c>
      <c r="AF561" s="3716">
        <f>+AF563-AF562</f>
        <v>2719</v>
      </c>
      <c r="AG561" s="3716">
        <f>+AG563-AG562</f>
        <v>2803</v>
      </c>
      <c r="AH561" s="4043">
        <f>+AH563-AH562</f>
        <v>2894</v>
      </c>
      <c r="AI561" s="3716">
        <f>+AI563-AI562</f>
        <v>2986.4</v>
      </c>
      <c r="AJ561" s="3718">
        <f>AI561</f>
        <v>2986.4</v>
      </c>
      <c r="AK561" s="3716">
        <f t="shared" ref="AK561:AN561" si="957">+AK563-AK562</f>
        <v>3059.8714501393965</v>
      </c>
      <c r="AL561" s="3716">
        <f t="shared" si="957"/>
        <v>3139.2348892403693</v>
      </c>
      <c r="AM561" s="3716">
        <f t="shared" si="957"/>
        <v>3215.1620159262238</v>
      </c>
      <c r="AN561" s="3716">
        <f t="shared" si="957"/>
        <v>3294.6229900523504</v>
      </c>
      <c r="AO561" s="3717">
        <f>AN561</f>
        <v>3294.6229900523504</v>
      </c>
      <c r="AP561" s="3718">
        <f>+AP563-AP562</f>
        <v>3603.9044748436359</v>
      </c>
      <c r="AQ561" s="3718">
        <f>+AQ563-AQ562</f>
        <v>3911.4010595207556</v>
      </c>
      <c r="AR561" s="145"/>
      <c r="AS561" s="529" t="str">
        <f t="shared" ref="AS561:AS572" si="958">+A561</f>
        <v>Gross PP&amp;E</v>
      </c>
      <c r="AT561" s="145"/>
      <c r="AU561" s="145">
        <f t="shared" ref="AU561:AU572" si="959">+F561</f>
        <v>10382</v>
      </c>
      <c r="AV561" s="145">
        <f t="shared" ref="AV561:AV572" si="960">+K561</f>
        <v>10739</v>
      </c>
      <c r="AW561" s="145">
        <f t="shared" ref="AW561:AW572" si="961">+P561</f>
        <v>10848</v>
      </c>
      <c r="AX561" s="145">
        <f t="shared" ref="AX561:AX572" si="962">+U561</f>
        <v>9352</v>
      </c>
      <c r="AY561" s="145">
        <f t="shared" ref="AY561:AY572" si="963">+Z561</f>
        <v>11239</v>
      </c>
      <c r="AZ561" s="145">
        <f t="shared" ref="AZ561:AZ572" si="964">+AE561</f>
        <v>11219</v>
      </c>
      <c r="BA561" s="145">
        <f t="shared" ref="BA561:BA572" si="965">+AJ561</f>
        <v>2986.4</v>
      </c>
      <c r="BB561" s="145">
        <f t="shared" ref="BB561:BB572" si="966">+AO561</f>
        <v>3294.6229900523504</v>
      </c>
      <c r="BC561" s="145">
        <f t="shared" ref="BC561:BC572" si="967">+AP561</f>
        <v>3603.9044748436359</v>
      </c>
      <c r="BD561" s="892">
        <f t="shared" ref="BD561:BD572" si="968">+AQ561</f>
        <v>3911.4010595207556</v>
      </c>
      <c r="BF561" s="900"/>
      <c r="BM561" s="902"/>
      <c r="BN561" s="902"/>
      <c r="BO561" s="902"/>
      <c r="BP561" s="902"/>
      <c r="BQ561" s="902"/>
      <c r="BR561" s="902"/>
      <c r="BS561" s="902"/>
    </row>
    <row r="562" spans="1:71" ht="12.75" hidden="1" customHeight="1" outlineLevel="1">
      <c r="A562" s="3312" t="s">
        <v>1696</v>
      </c>
      <c r="B562" s="3152"/>
      <c r="C562" s="3152"/>
      <c r="D562" s="3152"/>
      <c r="E562" s="3152"/>
      <c r="F562" s="3152">
        <f>-F561+F563</f>
        <v>-1265</v>
      </c>
      <c r="G562" s="3347"/>
      <c r="H562" s="3347"/>
      <c r="I562" s="3347"/>
      <c r="J562" s="3347">
        <f>-J561+J563</f>
        <v>-1542</v>
      </c>
      <c r="K562" s="3152">
        <f>J562</f>
        <v>-1542</v>
      </c>
      <c r="L562" s="3347"/>
      <c r="M562" s="3347">
        <f>-M561+M563</f>
        <v>-1639</v>
      </c>
      <c r="N562" s="3347"/>
      <c r="O562" s="3347">
        <f>-O561+O563</f>
        <v>-1790</v>
      </c>
      <c r="P562" s="3152">
        <f>O562</f>
        <v>-1790</v>
      </c>
      <c r="Q562" s="3347">
        <f>-Q561+Q563</f>
        <v>-1865</v>
      </c>
      <c r="R562" s="3347">
        <f>-R561+R563</f>
        <v>-1944</v>
      </c>
      <c r="S562" s="3347">
        <f>-S561+S563</f>
        <v>-1997</v>
      </c>
      <c r="T562" s="3347">
        <f>-T561+T563</f>
        <v>-1869</v>
      </c>
      <c r="U562" s="3152">
        <f>T562</f>
        <v>-1869</v>
      </c>
      <c r="V562" s="3347">
        <f>-V561+V563</f>
        <v>-1927</v>
      </c>
      <c r="W562" s="3347">
        <f>-W561+W563</f>
        <v>-1818</v>
      </c>
      <c r="X562" s="3347">
        <f>-(-W562+X45)</f>
        <v>-1989</v>
      </c>
      <c r="Y562" s="3347">
        <f>-Y561+Y563</f>
        <v>-2120</v>
      </c>
      <c r="Z562" s="3152">
        <f>Y562</f>
        <v>-2120</v>
      </c>
      <c r="AA562" s="3437">
        <f>-(-Z562+AA45)</f>
        <v>-2289</v>
      </c>
      <c r="AB562" s="3437">
        <f>-AB561+AB563</f>
        <v>-2300</v>
      </c>
      <c r="AC562" s="3437">
        <f>-AC561+AC563</f>
        <v>-2390</v>
      </c>
      <c r="AD562" s="3437">
        <f>-AD561+AD563</f>
        <v>-2289</v>
      </c>
      <c r="AE562" s="3152">
        <f>AD562</f>
        <v>-2289</v>
      </c>
      <c r="AF562" s="3739">
        <f>-(-AE562+AF45)</f>
        <v>-2378</v>
      </c>
      <c r="AG562" s="3739">
        <f>-(-AF562+AG45)</f>
        <v>-2465</v>
      </c>
      <c r="AH562" s="3739">
        <f>-(-AG562+AH45)</f>
        <v>-2548</v>
      </c>
      <c r="AI562" s="3739">
        <f>-(-AH562+AI45)</f>
        <v>-2636</v>
      </c>
      <c r="AJ562" s="3732">
        <f>AI562</f>
        <v>-2636</v>
      </c>
      <c r="AK562" s="3739">
        <f>-(-AJ562+AK45)</f>
        <v>-2718</v>
      </c>
      <c r="AL562" s="3739">
        <f>-(-AK562+AL45)</f>
        <v>-2803.5</v>
      </c>
      <c r="AM562" s="3739">
        <f>-(-AL562+AM45)</f>
        <v>-2885</v>
      </c>
      <c r="AN562" s="3739">
        <f>-(-AM562+AN45)</f>
        <v>-2971.5</v>
      </c>
      <c r="AO562" s="3732">
        <f>AN562</f>
        <v>-2971.5</v>
      </c>
      <c r="AP562" s="3732">
        <f>-(-AO562+AP45)</f>
        <v>-3307</v>
      </c>
      <c r="AQ562" s="3732">
        <f>-(-AP562+AQ45)</f>
        <v>-3642.5</v>
      </c>
      <c r="AR562" s="158"/>
      <c r="AS562" s="530" t="str">
        <f t="shared" si="958"/>
        <v>Accumulated Depreciation</v>
      </c>
      <c r="AT562" s="158"/>
      <c r="AU562" s="158">
        <f t="shared" si="959"/>
        <v>-1265</v>
      </c>
      <c r="AV562" s="158">
        <f t="shared" si="960"/>
        <v>-1542</v>
      </c>
      <c r="AW562" s="158">
        <f t="shared" si="961"/>
        <v>-1790</v>
      </c>
      <c r="AX562" s="158">
        <f t="shared" si="962"/>
        <v>-1869</v>
      </c>
      <c r="AY562" s="158">
        <f t="shared" si="963"/>
        <v>-2120</v>
      </c>
      <c r="AZ562" s="158">
        <f t="shared" si="964"/>
        <v>-2289</v>
      </c>
      <c r="BA562" s="158">
        <f t="shared" si="965"/>
        <v>-2636</v>
      </c>
      <c r="BB562" s="158">
        <f t="shared" si="966"/>
        <v>-2971.5</v>
      </c>
      <c r="BC562" s="158">
        <f t="shared" si="967"/>
        <v>-3307</v>
      </c>
      <c r="BD562" s="845">
        <f t="shared" si="968"/>
        <v>-3642.5</v>
      </c>
      <c r="BF562" s="900"/>
      <c r="BM562" s="902"/>
      <c r="BN562" s="902"/>
      <c r="BO562" s="902"/>
      <c r="BP562" s="902"/>
      <c r="BQ562" s="902"/>
      <c r="BR562" s="902"/>
      <c r="BS562" s="902"/>
    </row>
    <row r="563" spans="1:71" ht="12.75" customHeight="1" collapsed="1">
      <c r="A563" s="3311" t="s">
        <v>1695</v>
      </c>
      <c r="B563" s="3329"/>
      <c r="C563" s="3329"/>
      <c r="D563" s="3329"/>
      <c r="E563" s="3367"/>
      <c r="F563" s="3367">
        <v>9117</v>
      </c>
      <c r="G563" s="3330">
        <v>9183</v>
      </c>
      <c r="H563" s="3330">
        <v>9195</v>
      </c>
      <c r="I563" s="3330">
        <v>9216</v>
      </c>
      <c r="J563" s="3330">
        <v>9197</v>
      </c>
      <c r="K563" s="3329">
        <f>SUM(K561:K562)</f>
        <v>9197</v>
      </c>
      <c r="L563" s="3330">
        <v>9101</v>
      </c>
      <c r="M563" s="3330">
        <v>9084</v>
      </c>
      <c r="N563" s="3330">
        <v>9071</v>
      </c>
      <c r="O563" s="3330">
        <v>9058</v>
      </c>
      <c r="P563" s="3329">
        <f>SUM(P561:P562)</f>
        <v>9058</v>
      </c>
      <c r="Q563" s="3330">
        <v>9031</v>
      </c>
      <c r="R563" s="3330">
        <v>9036</v>
      </c>
      <c r="S563" s="3330">
        <v>9124</v>
      </c>
      <c r="T563" s="3330">
        <v>7483</v>
      </c>
      <c r="U563" s="3329">
        <f>SUM(U561:U562)</f>
        <v>7483</v>
      </c>
      <c r="V563" s="3330">
        <v>9193</v>
      </c>
      <c r="W563" s="3330">
        <f>9191+111</f>
        <v>9302</v>
      </c>
      <c r="X563" s="3330">
        <v>9132</v>
      </c>
      <c r="Y563" s="3330">
        <v>9119</v>
      </c>
      <c r="Z563" s="3329">
        <f>SUM(Z561:Z562)</f>
        <v>9119</v>
      </c>
      <c r="AA563" s="3330">
        <v>9098</v>
      </c>
      <c r="AB563" s="3330">
        <v>9107</v>
      </c>
      <c r="AC563" s="3330">
        <v>9020</v>
      </c>
      <c r="AD563" s="3330">
        <v>8930</v>
      </c>
      <c r="AE563" s="3329">
        <f>SUM(AE561:AE562)</f>
        <v>8930</v>
      </c>
      <c r="AF563" s="3330">
        <v>341</v>
      </c>
      <c r="AG563" s="3330">
        <v>338</v>
      </c>
      <c r="AH563" s="3330">
        <v>346</v>
      </c>
      <c r="AI563" s="145">
        <f>AH563-(AI45*0.2)-AI516-AI521</f>
        <v>350.4</v>
      </c>
      <c r="AJ563" s="144">
        <f>SUM(AJ561:AJ562)</f>
        <v>350.40000000000009</v>
      </c>
      <c r="AK563" s="145">
        <f>AJ563-(AK45*0.2)-AK516-AK521</f>
        <v>341.87145013939653</v>
      </c>
      <c r="AL563" s="145">
        <f>AK563-(AL45*0.2)-AL516-AL521</f>
        <v>335.73488924036928</v>
      </c>
      <c r="AM563" s="145">
        <f>AL563-(AM45*0.2)-AM516-AM521</f>
        <v>330.16201592622366</v>
      </c>
      <c r="AN563" s="145">
        <f>AM563-(AN45*0.2)-AN516-AN521</f>
        <v>323.12299005235059</v>
      </c>
      <c r="AO563" s="2594">
        <f>SUM(AO561:AO562)</f>
        <v>323.12299005235036</v>
      </c>
      <c r="AP563" s="144">
        <f>AO563-(AP45*0.2)-AP516-AP521</f>
        <v>296.9044748436358</v>
      </c>
      <c r="AQ563" s="144">
        <f>AP563-(AQ45*0.2)-AQ516-AQ521</f>
        <v>268.90105952075578</v>
      </c>
      <c r="AR563" s="824"/>
      <c r="AS563" s="522" t="str">
        <f t="shared" si="958"/>
        <v>Net PP&amp;E</v>
      </c>
      <c r="AT563" s="145"/>
      <c r="AU563" s="145">
        <f t="shared" si="959"/>
        <v>9117</v>
      </c>
      <c r="AV563" s="145">
        <f t="shared" si="960"/>
        <v>9197</v>
      </c>
      <c r="AW563" s="145">
        <f t="shared" si="961"/>
        <v>9058</v>
      </c>
      <c r="AX563" s="145">
        <f t="shared" si="962"/>
        <v>7483</v>
      </c>
      <c r="AY563" s="145">
        <f t="shared" si="963"/>
        <v>9119</v>
      </c>
      <c r="AZ563" s="145">
        <f t="shared" si="964"/>
        <v>8930</v>
      </c>
      <c r="BA563" s="145">
        <f t="shared" si="965"/>
        <v>350.40000000000009</v>
      </c>
      <c r="BB563" s="145">
        <f t="shared" si="966"/>
        <v>323.12299005235036</v>
      </c>
      <c r="BC563" s="145">
        <f t="shared" si="967"/>
        <v>296.9044748436358</v>
      </c>
      <c r="BD563" s="892">
        <f t="shared" si="968"/>
        <v>268.90105952075578</v>
      </c>
      <c r="BF563" s="900"/>
      <c r="BM563" s="902"/>
      <c r="BN563" s="902"/>
      <c r="BO563" s="902"/>
      <c r="BP563" s="902"/>
      <c r="BQ563" s="902"/>
      <c r="BR563" s="902"/>
      <c r="BS563" s="902"/>
    </row>
    <row r="564" spans="1:71" ht="12.75" customHeight="1">
      <c r="A564" s="3311" t="s">
        <v>1847</v>
      </c>
      <c r="B564" s="3329"/>
      <c r="C564" s="3329"/>
      <c r="D564" s="3329"/>
      <c r="E564" s="3367"/>
      <c r="F564" s="3367">
        <v>770</v>
      </c>
      <c r="G564" s="3330">
        <v>774</v>
      </c>
      <c r="H564" s="3330">
        <v>784</v>
      </c>
      <c r="I564" s="3330">
        <v>804</v>
      </c>
      <c r="J564" s="3330">
        <v>815</v>
      </c>
      <c r="K564" s="3329">
        <f t="shared" ref="K564:K571" si="969">J564</f>
        <v>815</v>
      </c>
      <c r="L564" s="3330">
        <v>818</v>
      </c>
      <c r="M564" s="3330">
        <v>817</v>
      </c>
      <c r="N564" s="3330">
        <f>623+202</f>
        <v>825</v>
      </c>
      <c r="O564" s="3330">
        <f>635+194</f>
        <v>829</v>
      </c>
      <c r="P564" s="3329">
        <f t="shared" ref="P564:P571" si="970">O564</f>
        <v>829</v>
      </c>
      <c r="Q564" s="3147">
        <f>634+184</f>
        <v>818</v>
      </c>
      <c r="R564" s="3147">
        <f>359+462</f>
        <v>821</v>
      </c>
      <c r="S564" s="3147">
        <f>381+433</f>
        <v>814</v>
      </c>
      <c r="T564" s="3147">
        <f>416+406</f>
        <v>822</v>
      </c>
      <c r="U564" s="3107">
        <f>T564</f>
        <v>822</v>
      </c>
      <c r="V564" s="3147">
        <f>451+376</f>
        <v>827</v>
      </c>
      <c r="W564" s="3147">
        <f>502+347</f>
        <v>849</v>
      </c>
      <c r="X564" s="3147">
        <f>544+321</f>
        <v>865</v>
      </c>
      <c r="Y564" s="3147">
        <f>592+295</f>
        <v>887</v>
      </c>
      <c r="Z564" s="3107">
        <f>Y564</f>
        <v>887</v>
      </c>
      <c r="AA564" s="3147">
        <v>897</v>
      </c>
      <c r="AB564" s="3147">
        <v>905</v>
      </c>
      <c r="AC564" s="3147">
        <v>929</v>
      </c>
      <c r="AD564" s="3147">
        <v>963</v>
      </c>
      <c r="AE564" s="3107">
        <f t="shared" ref="AE564:AQ571" si="971">AD564</f>
        <v>963</v>
      </c>
      <c r="AF564" s="3685">
        <v>0</v>
      </c>
      <c r="AG564" s="3685">
        <v>0</v>
      </c>
      <c r="AH564" s="3955">
        <v>0</v>
      </c>
      <c r="AI564" s="3685">
        <f t="shared" si="971"/>
        <v>0</v>
      </c>
      <c r="AJ564" s="3688">
        <f t="shared" si="971"/>
        <v>0</v>
      </c>
      <c r="AK564" s="3685">
        <f t="shared" ref="AK564" si="972">AJ564</f>
        <v>0</v>
      </c>
      <c r="AL564" s="3685">
        <f t="shared" ref="AL564" si="973">AK564</f>
        <v>0</v>
      </c>
      <c r="AM564" s="3685">
        <f t="shared" ref="AM564" si="974">AL564</f>
        <v>0</v>
      </c>
      <c r="AN564" s="3685">
        <f t="shared" ref="AN564" si="975">AM564</f>
        <v>0</v>
      </c>
      <c r="AO564" s="3687">
        <f t="shared" si="971"/>
        <v>0</v>
      </c>
      <c r="AP564" s="3688">
        <f t="shared" si="971"/>
        <v>0</v>
      </c>
      <c r="AQ564" s="3688">
        <f t="shared" si="971"/>
        <v>0</v>
      </c>
      <c r="AR564" s="824"/>
      <c r="AS564" s="522" t="str">
        <f t="shared" si="958"/>
        <v>Financing Receivables, net</v>
      </c>
      <c r="AT564" s="145"/>
      <c r="AU564" s="145">
        <f t="shared" si="959"/>
        <v>770</v>
      </c>
      <c r="AV564" s="145">
        <f t="shared" si="960"/>
        <v>815</v>
      </c>
      <c r="AW564" s="145">
        <f t="shared" si="961"/>
        <v>829</v>
      </c>
      <c r="AX564" s="145">
        <f t="shared" si="962"/>
        <v>822</v>
      </c>
      <c r="AY564" s="145">
        <f t="shared" si="963"/>
        <v>887</v>
      </c>
      <c r="AZ564" s="145">
        <f t="shared" si="964"/>
        <v>963</v>
      </c>
      <c r="BA564" s="145">
        <f t="shared" si="965"/>
        <v>0</v>
      </c>
      <c r="BB564" s="145">
        <f t="shared" si="966"/>
        <v>0</v>
      </c>
      <c r="BC564" s="145">
        <f t="shared" si="967"/>
        <v>0</v>
      </c>
      <c r="BD564" s="892">
        <f t="shared" si="968"/>
        <v>0</v>
      </c>
      <c r="BF564" s="900"/>
      <c r="BM564" s="902"/>
      <c r="BN564" s="902"/>
      <c r="BO564" s="902"/>
      <c r="BP564" s="902"/>
      <c r="BQ564" s="902"/>
      <c r="BR564" s="902"/>
      <c r="BS564" s="902"/>
    </row>
    <row r="565" spans="1:71" ht="12.75" customHeight="1">
      <c r="A565" s="3311" t="s">
        <v>2185</v>
      </c>
      <c r="B565" s="3329"/>
      <c r="C565" s="3329"/>
      <c r="D565" s="3329"/>
      <c r="E565" s="3367"/>
      <c r="F565" s="3367">
        <v>334</v>
      </c>
      <c r="G565" s="3330">
        <v>332</v>
      </c>
      <c r="H565" s="3330">
        <v>310</v>
      </c>
      <c r="I565" s="3330">
        <v>309</v>
      </c>
      <c r="J565" s="3330">
        <v>291</v>
      </c>
      <c r="K565" s="3329">
        <f t="shared" si="969"/>
        <v>291</v>
      </c>
      <c r="L565" s="3330">
        <v>271</v>
      </c>
      <c r="M565" s="3330">
        <v>274</v>
      </c>
      <c r="N565" s="3330">
        <v>268</v>
      </c>
      <c r="O565" s="3330">
        <v>260</v>
      </c>
      <c r="P565" s="3329">
        <f t="shared" si="970"/>
        <v>260</v>
      </c>
      <c r="Q565" s="3330">
        <v>264</v>
      </c>
      <c r="R565" s="3330">
        <v>257</v>
      </c>
      <c r="S565" s="3330">
        <v>174</v>
      </c>
      <c r="T565" s="3330">
        <v>170</v>
      </c>
      <c r="U565" s="3329">
        <f t="shared" ref="U565:U571" si="976">T565</f>
        <v>170</v>
      </c>
      <c r="V565" s="3330">
        <v>156</v>
      </c>
      <c r="W565" s="3330">
        <v>156</v>
      </c>
      <c r="X565" s="3330">
        <v>154</v>
      </c>
      <c r="Y565" s="3330">
        <v>138</v>
      </c>
      <c r="Z565" s="3329">
        <f t="shared" ref="Z565:Z571" si="977">Y565</f>
        <v>138</v>
      </c>
      <c r="AA565" s="3330">
        <v>127</v>
      </c>
      <c r="AB565" s="3330">
        <v>129</v>
      </c>
      <c r="AC565" s="3330">
        <v>132</v>
      </c>
      <c r="AD565" s="3330">
        <v>114</v>
      </c>
      <c r="AE565" s="3329">
        <f t="shared" ref="AE565:AE571" si="978">AD565</f>
        <v>114</v>
      </c>
      <c r="AF565" s="3716">
        <v>0</v>
      </c>
      <c r="AG565" s="3716">
        <v>0</v>
      </c>
      <c r="AH565" s="4043">
        <v>0</v>
      </c>
      <c r="AI565" s="3716">
        <f>AH565-AI520-AI493-AI499</f>
        <v>0</v>
      </c>
      <c r="AJ565" s="3718">
        <f t="shared" ref="AJ565:AJ571" si="979">AI565</f>
        <v>0</v>
      </c>
      <c r="AK565" s="3716">
        <f t="shared" ref="AK565:AN565" si="980">AJ565-AK520-AK493-AK499</f>
        <v>0</v>
      </c>
      <c r="AL565" s="3716">
        <f t="shared" si="980"/>
        <v>0</v>
      </c>
      <c r="AM565" s="3716">
        <f t="shared" si="980"/>
        <v>0</v>
      </c>
      <c r="AN565" s="3716">
        <f t="shared" si="980"/>
        <v>0</v>
      </c>
      <c r="AO565" s="3717">
        <f t="shared" si="971"/>
        <v>0</v>
      </c>
      <c r="AP565" s="3718">
        <f>AO565-AP520-AP493-AP499</f>
        <v>0</v>
      </c>
      <c r="AQ565" s="3718">
        <f>AP565-AQ520-AQ493-AQ499</f>
        <v>0</v>
      </c>
      <c r="AR565" s="824"/>
      <c r="AS565" s="522" t="str">
        <f t="shared" si="958"/>
        <v>Investments in Affiliates</v>
      </c>
      <c r="AT565" s="145"/>
      <c r="AU565" s="145">
        <f t="shared" si="959"/>
        <v>334</v>
      </c>
      <c r="AV565" s="145">
        <f t="shared" si="960"/>
        <v>291</v>
      </c>
      <c r="AW565" s="145">
        <f t="shared" si="961"/>
        <v>260</v>
      </c>
      <c r="AX565" s="145">
        <f t="shared" si="962"/>
        <v>170</v>
      </c>
      <c r="AY565" s="145">
        <f t="shared" si="963"/>
        <v>138</v>
      </c>
      <c r="AZ565" s="145">
        <f t="shared" si="964"/>
        <v>114</v>
      </c>
      <c r="BA565" s="145">
        <f t="shared" si="965"/>
        <v>0</v>
      </c>
      <c r="BB565" s="145">
        <f t="shared" si="966"/>
        <v>0</v>
      </c>
      <c r="BC565" s="145">
        <f t="shared" si="967"/>
        <v>0</v>
      </c>
      <c r="BD565" s="892">
        <f t="shared" si="968"/>
        <v>0</v>
      </c>
      <c r="BF565" s="900"/>
      <c r="BM565" s="902"/>
      <c r="BN565" s="902"/>
      <c r="BO565" s="902"/>
      <c r="BP565" s="902"/>
      <c r="BQ565" s="902"/>
      <c r="BR565" s="902"/>
      <c r="BS565" s="902"/>
    </row>
    <row r="566" spans="1:71" ht="12.75" customHeight="1">
      <c r="A566" s="3311" t="s">
        <v>2141</v>
      </c>
      <c r="B566" s="3329"/>
      <c r="C566" s="3329"/>
      <c r="D566" s="3329"/>
      <c r="E566" s="3143"/>
      <c r="F566" s="3143">
        <v>6175</v>
      </c>
      <c r="G566" s="3147">
        <v>6198</v>
      </c>
      <c r="H566" s="3147">
        <v>6172</v>
      </c>
      <c r="I566" s="3147">
        <v>6187</v>
      </c>
      <c r="J566" s="3147">
        <v>6197</v>
      </c>
      <c r="K566" s="3107">
        <f t="shared" si="969"/>
        <v>6197</v>
      </c>
      <c r="L566" s="3147">
        <v>6165</v>
      </c>
      <c r="M566" s="3147">
        <v>6172</v>
      </c>
      <c r="N566" s="3147">
        <v>6205</v>
      </c>
      <c r="O566" s="3147">
        <v>6220</v>
      </c>
      <c r="P566" s="3107">
        <f t="shared" si="970"/>
        <v>6220</v>
      </c>
      <c r="Q566" s="3147">
        <v>6222</v>
      </c>
      <c r="R566" s="3147">
        <v>6227</v>
      </c>
      <c r="S566" s="3147">
        <v>6185</v>
      </c>
      <c r="T566" s="3147">
        <v>6154</v>
      </c>
      <c r="U566" s="3107">
        <f t="shared" si="976"/>
        <v>6154</v>
      </c>
      <c r="V566" s="3147">
        <v>5916</v>
      </c>
      <c r="W566" s="3147">
        <v>5945</v>
      </c>
      <c r="X566" s="3147">
        <v>5902</v>
      </c>
      <c r="Y566" s="3147">
        <v>5887</v>
      </c>
      <c r="Z566" s="3107">
        <f t="shared" si="977"/>
        <v>5887</v>
      </c>
      <c r="AA566" s="3147">
        <v>5890</v>
      </c>
      <c r="AB566" s="3147">
        <v>5862</v>
      </c>
      <c r="AC566" s="3147">
        <v>5855</v>
      </c>
      <c r="AD566" s="3147">
        <v>5822</v>
      </c>
      <c r="AE566" s="3107">
        <f t="shared" si="978"/>
        <v>5822</v>
      </c>
      <c r="AF566" s="3689">
        <v>5135</v>
      </c>
      <c r="AG566" s="3689">
        <v>5164</v>
      </c>
      <c r="AH566" s="3689">
        <v>5183</v>
      </c>
      <c r="AI566" s="3685">
        <f>AH566-AI517</f>
        <v>5183</v>
      </c>
      <c r="AJ566" s="3688">
        <f t="shared" si="979"/>
        <v>5183</v>
      </c>
      <c r="AK566" s="3685">
        <f t="shared" ref="AK566:AN566" si="981">AJ566-AK517</f>
        <v>5183</v>
      </c>
      <c r="AL566" s="3685">
        <f t="shared" si="981"/>
        <v>5183</v>
      </c>
      <c r="AM566" s="3685">
        <f t="shared" si="981"/>
        <v>5183</v>
      </c>
      <c r="AN566" s="3685">
        <f t="shared" si="981"/>
        <v>5183</v>
      </c>
      <c r="AO566" s="3687">
        <f t="shared" si="971"/>
        <v>5183</v>
      </c>
      <c r="AP566" s="3688">
        <f>AO566-AP517</f>
        <v>5183</v>
      </c>
      <c r="AQ566" s="3688">
        <f>AP566-AQ517</f>
        <v>5183</v>
      </c>
      <c r="AR566" s="824"/>
      <c r="AS566" s="522" t="str">
        <f t="shared" si="958"/>
        <v>Goodwill</v>
      </c>
      <c r="AT566" s="145"/>
      <c r="AU566" s="145">
        <f t="shared" si="959"/>
        <v>6175</v>
      </c>
      <c r="AV566" s="145">
        <f t="shared" si="960"/>
        <v>6197</v>
      </c>
      <c r="AW566" s="145">
        <f t="shared" si="961"/>
        <v>6220</v>
      </c>
      <c r="AX566" s="145">
        <f t="shared" si="962"/>
        <v>6154</v>
      </c>
      <c r="AY566" s="145">
        <f t="shared" si="963"/>
        <v>5887</v>
      </c>
      <c r="AZ566" s="145">
        <f t="shared" si="964"/>
        <v>5822</v>
      </c>
      <c r="BA566" s="145">
        <f t="shared" si="965"/>
        <v>5183</v>
      </c>
      <c r="BB566" s="145">
        <f t="shared" si="966"/>
        <v>5183</v>
      </c>
      <c r="BC566" s="145">
        <f t="shared" si="967"/>
        <v>5183</v>
      </c>
      <c r="BD566" s="892">
        <f t="shared" si="968"/>
        <v>5183</v>
      </c>
      <c r="BF566" s="900"/>
      <c r="BM566" s="902"/>
      <c r="BN566" s="902"/>
      <c r="BO566" s="902"/>
      <c r="BP566" s="902"/>
      <c r="BQ566" s="902"/>
      <c r="BR566" s="902"/>
      <c r="BS566" s="902"/>
    </row>
    <row r="567" spans="1:71" ht="12.75" customHeight="1">
      <c r="A567" s="3311" t="s">
        <v>2186</v>
      </c>
      <c r="B567" s="3329"/>
      <c r="C567" s="3329"/>
      <c r="D567" s="3329"/>
      <c r="E567" s="3143"/>
      <c r="F567" s="3143">
        <v>5025</v>
      </c>
      <c r="G567" s="3147">
        <v>5034</v>
      </c>
      <c r="H567" s="3147">
        <v>5022</v>
      </c>
      <c r="I567" s="3147">
        <v>5033</v>
      </c>
      <c r="J567" s="3147">
        <v>5029</v>
      </c>
      <c r="K567" s="3107">
        <f t="shared" si="969"/>
        <v>5029</v>
      </c>
      <c r="L567" s="3147">
        <v>4997</v>
      </c>
      <c r="M567" s="3147">
        <v>4993</v>
      </c>
      <c r="N567" s="3147">
        <v>5012</v>
      </c>
      <c r="O567" s="3147">
        <v>5013</v>
      </c>
      <c r="P567" s="3107">
        <f t="shared" si="970"/>
        <v>5013</v>
      </c>
      <c r="Q567" s="3147">
        <v>5013</v>
      </c>
      <c r="R567" s="3147">
        <v>5016</v>
      </c>
      <c r="S567" s="3147">
        <v>4987</v>
      </c>
      <c r="T567" s="3147">
        <v>4963</v>
      </c>
      <c r="U567" s="3107">
        <f t="shared" si="976"/>
        <v>4963</v>
      </c>
      <c r="V567" s="3147">
        <v>4925</v>
      </c>
      <c r="W567" s="3147">
        <v>4940</v>
      </c>
      <c r="X567" s="3147">
        <v>4929</v>
      </c>
      <c r="Y567" s="3147">
        <v>4919</v>
      </c>
      <c r="Z567" s="3107">
        <f t="shared" si="977"/>
        <v>4919</v>
      </c>
      <c r="AA567" s="3147">
        <v>4920</v>
      </c>
      <c r="AB567" s="3147">
        <v>4911</v>
      </c>
      <c r="AC567" s="3147">
        <v>4908</v>
      </c>
      <c r="AD567" s="3147">
        <v>4848</v>
      </c>
      <c r="AE567" s="3107">
        <f t="shared" si="978"/>
        <v>4848</v>
      </c>
      <c r="AF567" s="3689">
        <v>4856</v>
      </c>
      <c r="AG567" s="3689">
        <v>4872</v>
      </c>
      <c r="AH567" s="3689">
        <v>4887</v>
      </c>
      <c r="AI567" s="3685">
        <f>AH567-AI523</f>
        <v>4917</v>
      </c>
      <c r="AJ567" s="3688">
        <f t="shared" si="979"/>
        <v>4917</v>
      </c>
      <c r="AK567" s="3685">
        <f t="shared" ref="AK567:AN567" si="982">AJ567-AK523</f>
        <v>4926</v>
      </c>
      <c r="AL567" s="3685">
        <f t="shared" si="982"/>
        <v>4946</v>
      </c>
      <c r="AM567" s="3685">
        <f t="shared" si="982"/>
        <v>4962</v>
      </c>
      <c r="AN567" s="3685">
        <f t="shared" si="982"/>
        <v>4992</v>
      </c>
      <c r="AO567" s="3687">
        <f t="shared" si="971"/>
        <v>4992</v>
      </c>
      <c r="AP567" s="3688">
        <f>AO567-AP523</f>
        <v>5067</v>
      </c>
      <c r="AQ567" s="3688">
        <f>AP567-AQ523</f>
        <v>5142</v>
      </c>
      <c r="AR567" s="824"/>
      <c r="AS567" s="522" t="str">
        <f t="shared" si="958"/>
        <v>Brands</v>
      </c>
      <c r="AT567" s="145"/>
      <c r="AU567" s="145">
        <f t="shared" si="959"/>
        <v>5025</v>
      </c>
      <c r="AV567" s="145">
        <f t="shared" si="960"/>
        <v>5029</v>
      </c>
      <c r="AW567" s="145">
        <f t="shared" si="961"/>
        <v>5013</v>
      </c>
      <c r="AX567" s="145">
        <f t="shared" si="962"/>
        <v>4963</v>
      </c>
      <c r="AY567" s="145">
        <f t="shared" si="963"/>
        <v>4919</v>
      </c>
      <c r="AZ567" s="145">
        <f t="shared" si="964"/>
        <v>4848</v>
      </c>
      <c r="BA567" s="145">
        <f t="shared" si="965"/>
        <v>4917</v>
      </c>
      <c r="BB567" s="145">
        <f t="shared" si="966"/>
        <v>4992</v>
      </c>
      <c r="BC567" s="145">
        <f t="shared" si="967"/>
        <v>5067</v>
      </c>
      <c r="BD567" s="892">
        <f t="shared" si="968"/>
        <v>5142</v>
      </c>
      <c r="BF567" s="900"/>
      <c r="BM567" s="902"/>
      <c r="BN567" s="902"/>
      <c r="BO567" s="902"/>
      <c r="BP567" s="902"/>
      <c r="BQ567" s="902"/>
      <c r="BR567" s="902"/>
      <c r="BS567" s="902"/>
    </row>
    <row r="568" spans="1:71" ht="12.75" customHeight="1">
      <c r="A568" s="3311" t="s">
        <v>2187</v>
      </c>
      <c r="B568" s="3329"/>
      <c r="C568" s="3329"/>
      <c r="D568" s="3329"/>
      <c r="E568" s="3143"/>
      <c r="F568" s="3143">
        <v>1748</v>
      </c>
      <c r="G568" s="3147">
        <v>1714</v>
      </c>
      <c r="H568" s="3147">
        <v>1666</v>
      </c>
      <c r="I568" s="3147">
        <v>1625</v>
      </c>
      <c r="J568" s="3147">
        <v>1600</v>
      </c>
      <c r="K568" s="3107">
        <f t="shared" si="969"/>
        <v>1600</v>
      </c>
      <c r="L568" s="3147">
        <v>1547</v>
      </c>
      <c r="M568" s="3147">
        <v>1505</v>
      </c>
      <c r="N568" s="3147">
        <v>1467</v>
      </c>
      <c r="O568" s="3147">
        <v>1452</v>
      </c>
      <c r="P568" s="3107">
        <f t="shared" si="970"/>
        <v>1452</v>
      </c>
      <c r="Q568" s="3147">
        <v>1425</v>
      </c>
      <c r="R568" s="3147">
        <v>1390</v>
      </c>
      <c r="S568" s="3147">
        <v>1346</v>
      </c>
      <c r="T568" s="3147">
        <v>1306</v>
      </c>
      <c r="U568" s="3107">
        <f t="shared" si="976"/>
        <v>1306</v>
      </c>
      <c r="V568" s="3147">
        <v>1252</v>
      </c>
      <c r="W568" s="3147">
        <v>1217</v>
      </c>
      <c r="X568" s="3147">
        <v>1176</v>
      </c>
      <c r="Y568" s="3147">
        <v>1149</v>
      </c>
      <c r="Z568" s="3107">
        <f t="shared" si="977"/>
        <v>1149</v>
      </c>
      <c r="AA568" s="3147">
        <v>1114</v>
      </c>
      <c r="AB568" s="3147">
        <v>1077</v>
      </c>
      <c r="AC568" s="3147">
        <v>1044</v>
      </c>
      <c r="AD568" s="3147">
        <v>1019</v>
      </c>
      <c r="AE568" s="3107">
        <f t="shared" si="978"/>
        <v>1019</v>
      </c>
      <c r="AF568" s="3689">
        <v>930</v>
      </c>
      <c r="AG568" s="3689">
        <v>930</v>
      </c>
      <c r="AH568" s="3689">
        <v>924</v>
      </c>
      <c r="AI568" s="3685">
        <f>AH568-AI522-(AI45*0.6)</f>
        <v>895.2</v>
      </c>
      <c r="AJ568" s="3688">
        <f t="shared" si="979"/>
        <v>895.2</v>
      </c>
      <c r="AK568" s="3685">
        <f>AJ568-AK522-(AK45*0.6)</f>
        <v>859</v>
      </c>
      <c r="AL568" s="3685">
        <f>AK568-AL522-(AL45*0.6)</f>
        <v>826.7</v>
      </c>
      <c r="AM568" s="3685">
        <f>AL568-AM522-(AM45*0.6)</f>
        <v>796.80000000000007</v>
      </c>
      <c r="AN568" s="3685">
        <f>AM568-AN522-(AN45*0.6)</f>
        <v>768.90000000000009</v>
      </c>
      <c r="AO568" s="3687">
        <f t="shared" si="971"/>
        <v>768.90000000000009</v>
      </c>
      <c r="AP568" s="3688">
        <f>AO568-AP522-(AP45*0.6)</f>
        <v>642.60000000000014</v>
      </c>
      <c r="AQ568" s="3688">
        <f>AP568-AQ522-(AQ45*0.6)</f>
        <v>516.30000000000018</v>
      </c>
      <c r="AR568" s="824"/>
      <c r="AS568" s="522" t="str">
        <f t="shared" si="958"/>
        <v>Management and Franchise Contracts, net</v>
      </c>
      <c r="AT568" s="145"/>
      <c r="AU568" s="145">
        <f t="shared" si="959"/>
        <v>1748</v>
      </c>
      <c r="AV568" s="145">
        <f t="shared" si="960"/>
        <v>1600</v>
      </c>
      <c r="AW568" s="145">
        <f t="shared" si="961"/>
        <v>1452</v>
      </c>
      <c r="AX568" s="145">
        <f t="shared" si="962"/>
        <v>1306</v>
      </c>
      <c r="AY568" s="145">
        <f t="shared" si="963"/>
        <v>1149</v>
      </c>
      <c r="AZ568" s="145">
        <f t="shared" si="964"/>
        <v>1019</v>
      </c>
      <c r="BA568" s="145">
        <f t="shared" si="965"/>
        <v>895.2</v>
      </c>
      <c r="BB568" s="145">
        <f t="shared" si="966"/>
        <v>768.90000000000009</v>
      </c>
      <c r="BC568" s="145">
        <f t="shared" si="967"/>
        <v>642.60000000000014</v>
      </c>
      <c r="BD568" s="892">
        <f t="shared" si="968"/>
        <v>516.30000000000018</v>
      </c>
      <c r="BF568" s="900"/>
      <c r="BM568" s="902"/>
      <c r="BN568" s="902"/>
      <c r="BO568" s="902"/>
      <c r="BP568" s="902"/>
      <c r="BQ568" s="902"/>
      <c r="BR568" s="902"/>
      <c r="BS568" s="902"/>
    </row>
    <row r="569" spans="1:71" ht="12.75" customHeight="1">
      <c r="A569" s="3311" t="s">
        <v>2188</v>
      </c>
      <c r="B569" s="3107"/>
      <c r="C569" s="3107"/>
      <c r="D569" s="3107"/>
      <c r="E569" s="3143"/>
      <c r="F569" s="3143">
        <v>703</v>
      </c>
      <c r="G569" s="3147">
        <v>719</v>
      </c>
      <c r="H569" s="3147">
        <v>727</v>
      </c>
      <c r="I569" s="3147">
        <v>742</v>
      </c>
      <c r="J569" s="3147">
        <v>744</v>
      </c>
      <c r="K569" s="3107">
        <f t="shared" si="969"/>
        <v>744</v>
      </c>
      <c r="L569" s="3147">
        <v>718</v>
      </c>
      <c r="M569" s="3147">
        <v>710</v>
      </c>
      <c r="N569" s="3147">
        <v>723</v>
      </c>
      <c r="O569" s="3147">
        <v>751</v>
      </c>
      <c r="P569" s="3107">
        <f t="shared" si="970"/>
        <v>751</v>
      </c>
      <c r="Q569" s="3147">
        <v>739</v>
      </c>
      <c r="R569" s="3147">
        <v>727</v>
      </c>
      <c r="S569" s="3147">
        <v>695</v>
      </c>
      <c r="T569" s="3147">
        <v>674</v>
      </c>
      <c r="U569" s="3107">
        <f t="shared" si="976"/>
        <v>674</v>
      </c>
      <c r="V569" s="3147">
        <v>639</v>
      </c>
      <c r="W569" s="3147">
        <v>629</v>
      </c>
      <c r="X569" s="3147">
        <v>603</v>
      </c>
      <c r="Y569" s="3147">
        <v>586</v>
      </c>
      <c r="Z569" s="3107">
        <f t="shared" si="977"/>
        <v>586</v>
      </c>
      <c r="AA569" s="3147">
        <v>563</v>
      </c>
      <c r="AB569" s="3147">
        <v>543</v>
      </c>
      <c r="AC569" s="3147">
        <v>525</v>
      </c>
      <c r="AD569" s="3147">
        <v>507</v>
      </c>
      <c r="AE569" s="3107">
        <f t="shared" si="978"/>
        <v>507</v>
      </c>
      <c r="AF569" s="3689">
        <v>431</v>
      </c>
      <c r="AG569" s="3689">
        <v>432</v>
      </c>
      <c r="AH569" s="3689">
        <v>428</v>
      </c>
      <c r="AI569" s="3685">
        <f>AH569-AI498-(AI45*0.2)</f>
        <v>410.4</v>
      </c>
      <c r="AJ569" s="3688">
        <f t="shared" si="979"/>
        <v>410.4</v>
      </c>
      <c r="AK569" s="3685">
        <f>AJ569-AK498-(AK45*0.2)</f>
        <v>394</v>
      </c>
      <c r="AL569" s="3685">
        <f>AK569-AL498-(AL45*0.2)</f>
        <v>376.9</v>
      </c>
      <c r="AM569" s="3685">
        <f>AL569-AM498-(AM45*0.2)</f>
        <v>360.59999999999997</v>
      </c>
      <c r="AN569" s="3685">
        <f>AM569-AN498-(AN45*0.2)</f>
        <v>343.29999999999995</v>
      </c>
      <c r="AO569" s="3687">
        <f t="shared" si="971"/>
        <v>343.29999999999995</v>
      </c>
      <c r="AP569" s="3688">
        <f>AO569-AP498-(AP45*0.2)</f>
        <v>276.19999999999993</v>
      </c>
      <c r="AQ569" s="3688">
        <f>AP569-AQ498-(AQ45*0.2)</f>
        <v>209.09999999999991</v>
      </c>
      <c r="AR569" s="824"/>
      <c r="AS569" s="522" t="str">
        <f t="shared" si="958"/>
        <v>Other Intangible Assets, net</v>
      </c>
      <c r="AT569" s="148"/>
      <c r="AU569" s="148">
        <f t="shared" si="959"/>
        <v>703</v>
      </c>
      <c r="AV569" s="148">
        <f t="shared" si="960"/>
        <v>744</v>
      </c>
      <c r="AW569" s="148">
        <f t="shared" si="961"/>
        <v>751</v>
      </c>
      <c r="AX569" s="148">
        <f t="shared" si="962"/>
        <v>674</v>
      </c>
      <c r="AY569" s="148">
        <f t="shared" si="963"/>
        <v>586</v>
      </c>
      <c r="AZ569" s="148">
        <f t="shared" si="964"/>
        <v>507</v>
      </c>
      <c r="BA569" s="148">
        <f t="shared" si="965"/>
        <v>410.4</v>
      </c>
      <c r="BB569" s="148">
        <f t="shared" si="966"/>
        <v>343.29999999999995</v>
      </c>
      <c r="BC569" s="148">
        <f t="shared" si="967"/>
        <v>276.19999999999993</v>
      </c>
      <c r="BD569" s="720">
        <f t="shared" si="968"/>
        <v>209.09999999999991</v>
      </c>
      <c r="BF569" s="900"/>
      <c r="BM569" s="902"/>
      <c r="BN569" s="902"/>
      <c r="BO569" s="902"/>
      <c r="BP569" s="902"/>
      <c r="BQ569" s="902"/>
      <c r="BR569" s="902"/>
      <c r="BS569" s="902"/>
    </row>
    <row r="570" spans="1:71" ht="12.75" customHeight="1">
      <c r="A570" s="3311" t="s">
        <v>1845</v>
      </c>
      <c r="B570" s="3368"/>
      <c r="C570" s="3368"/>
      <c r="D570" s="3368"/>
      <c r="E570" s="3143"/>
      <c r="F570" s="3143">
        <v>112</v>
      </c>
      <c r="G570" s="3147">
        <v>116</v>
      </c>
      <c r="H570" s="3147">
        <v>109</v>
      </c>
      <c r="I570" s="3147">
        <v>111</v>
      </c>
      <c r="J570" s="3147">
        <v>104</v>
      </c>
      <c r="K570" s="3107">
        <f t="shared" si="969"/>
        <v>104</v>
      </c>
      <c r="L570" s="3147">
        <v>103</v>
      </c>
      <c r="M570" s="3147">
        <v>103</v>
      </c>
      <c r="N570" s="3147">
        <v>103</v>
      </c>
      <c r="O570" s="3147">
        <v>193</v>
      </c>
      <c r="P570" s="3107">
        <f t="shared" si="970"/>
        <v>193</v>
      </c>
      <c r="Q570" s="3147">
        <v>195</v>
      </c>
      <c r="R570" s="3147">
        <v>196</v>
      </c>
      <c r="S570" s="3147">
        <v>195</v>
      </c>
      <c r="T570" s="3147">
        <v>155</v>
      </c>
      <c r="U570" s="3107">
        <f t="shared" si="976"/>
        <v>155</v>
      </c>
      <c r="V570" s="3147">
        <v>159</v>
      </c>
      <c r="W570" s="3147">
        <v>154</v>
      </c>
      <c r="X570" s="3147">
        <v>157</v>
      </c>
      <c r="Y570" s="3147">
        <v>78</v>
      </c>
      <c r="Z570" s="3107">
        <f t="shared" si="977"/>
        <v>78</v>
      </c>
      <c r="AA570" s="3147">
        <v>77</v>
      </c>
      <c r="AB570" s="3147">
        <v>76</v>
      </c>
      <c r="AC570" s="3147">
        <v>75</v>
      </c>
      <c r="AD570" s="3147">
        <v>117</v>
      </c>
      <c r="AE570" s="3107">
        <f t="shared" si="978"/>
        <v>117</v>
      </c>
      <c r="AF570" s="3689">
        <v>82</v>
      </c>
      <c r="AG570" s="3689">
        <v>82</v>
      </c>
      <c r="AH570" s="3689">
        <v>82</v>
      </c>
      <c r="AI570" s="3685">
        <f>AH570</f>
        <v>82</v>
      </c>
      <c r="AJ570" s="3688">
        <f t="shared" si="979"/>
        <v>82</v>
      </c>
      <c r="AK570" s="3685">
        <f t="shared" ref="AK570:AN570" si="983">AJ570</f>
        <v>82</v>
      </c>
      <c r="AL570" s="3685">
        <f t="shared" si="983"/>
        <v>82</v>
      </c>
      <c r="AM570" s="3685">
        <f t="shared" si="983"/>
        <v>82</v>
      </c>
      <c r="AN570" s="3685">
        <f t="shared" si="983"/>
        <v>82</v>
      </c>
      <c r="AO570" s="3687">
        <f t="shared" si="971"/>
        <v>82</v>
      </c>
      <c r="AP570" s="3688">
        <f>AO570</f>
        <v>82</v>
      </c>
      <c r="AQ570" s="3688">
        <f>AP570</f>
        <v>82</v>
      </c>
      <c r="AR570" s="824"/>
      <c r="AS570" s="522" t="str">
        <f t="shared" si="958"/>
        <v>Deferred Income Tax Assets</v>
      </c>
      <c r="AT570" s="148"/>
      <c r="AU570" s="148">
        <f t="shared" si="959"/>
        <v>112</v>
      </c>
      <c r="AV570" s="148">
        <f t="shared" si="960"/>
        <v>104</v>
      </c>
      <c r="AW570" s="148">
        <f t="shared" si="961"/>
        <v>193</v>
      </c>
      <c r="AX570" s="148">
        <f t="shared" si="962"/>
        <v>155</v>
      </c>
      <c r="AY570" s="148">
        <f t="shared" si="963"/>
        <v>78</v>
      </c>
      <c r="AZ570" s="148">
        <f t="shared" si="964"/>
        <v>117</v>
      </c>
      <c r="BA570" s="148">
        <f t="shared" si="965"/>
        <v>82</v>
      </c>
      <c r="BB570" s="148">
        <f t="shared" si="966"/>
        <v>82</v>
      </c>
      <c r="BC570" s="148">
        <f t="shared" si="967"/>
        <v>82</v>
      </c>
      <c r="BD570" s="720">
        <f t="shared" si="968"/>
        <v>82</v>
      </c>
      <c r="BF570" s="900"/>
      <c r="BM570" s="902"/>
      <c r="BN570" s="902"/>
      <c r="BO570" s="902"/>
      <c r="BP570" s="902"/>
      <c r="BQ570" s="902"/>
      <c r="BR570" s="902"/>
      <c r="BS570" s="902"/>
    </row>
    <row r="571" spans="1:71" ht="12.75" customHeight="1">
      <c r="A571" s="3311" t="s">
        <v>83</v>
      </c>
      <c r="B571" s="3152"/>
      <c r="C571" s="3152"/>
      <c r="D571" s="3152"/>
      <c r="E571" s="3173"/>
      <c r="F571" s="3173">
        <v>295</v>
      </c>
      <c r="G571" s="3369">
        <v>282</v>
      </c>
      <c r="H571" s="3369">
        <v>274</v>
      </c>
      <c r="I571" s="3369">
        <v>296</v>
      </c>
      <c r="J571" s="3369">
        <v>262</v>
      </c>
      <c r="K571" s="3152">
        <f t="shared" si="969"/>
        <v>262</v>
      </c>
      <c r="L571" s="3369">
        <v>250</v>
      </c>
      <c r="M571" s="3369">
        <v>237</v>
      </c>
      <c r="N571" s="3369">
        <v>238</v>
      </c>
      <c r="O571" s="3369">
        <v>403</v>
      </c>
      <c r="P571" s="3152">
        <f t="shared" si="970"/>
        <v>403</v>
      </c>
      <c r="Q571" s="3369">
        <v>391</v>
      </c>
      <c r="R571" s="3369">
        <v>410</v>
      </c>
      <c r="S571" s="3369">
        <v>390</v>
      </c>
      <c r="T571" s="3369">
        <f>1543+356</f>
        <v>1899</v>
      </c>
      <c r="U571" s="3152">
        <f t="shared" si="976"/>
        <v>1899</v>
      </c>
      <c r="V571" s="3369">
        <v>349</v>
      </c>
      <c r="W571" s="3369">
        <v>358</v>
      </c>
      <c r="X571" s="3369">
        <v>368</v>
      </c>
      <c r="Y571" s="3369">
        <f>368</f>
        <v>368</v>
      </c>
      <c r="Z571" s="3152">
        <f t="shared" si="977"/>
        <v>368</v>
      </c>
      <c r="AA571" s="3369">
        <v>297</v>
      </c>
      <c r="AB571" s="3369">
        <v>313</v>
      </c>
      <c r="AC571" s="3369">
        <v>359</v>
      </c>
      <c r="AD571" s="3369">
        <v>334</v>
      </c>
      <c r="AE571" s="3152">
        <f t="shared" si="978"/>
        <v>334</v>
      </c>
      <c r="AF571" s="3752">
        <v>443</v>
      </c>
      <c r="AG571" s="3752">
        <v>452</v>
      </c>
      <c r="AH571" s="3752">
        <v>468</v>
      </c>
      <c r="AI571" s="3739">
        <f ca="1">AH571-AI512-AI496-AI491-AI524</f>
        <v>539.89919387401937</v>
      </c>
      <c r="AJ571" s="3732">
        <f t="shared" ca="1" si="979"/>
        <v>539.89919387401937</v>
      </c>
      <c r="AK571" s="3739">
        <f t="shared" ref="AK571:AN571" ca="1" si="984">AJ571-AK512-AK496-AK491-AK524</f>
        <v>529.2491938740194</v>
      </c>
      <c r="AL571" s="3739">
        <f t="shared" ca="1" si="984"/>
        <v>518.59919387401942</v>
      </c>
      <c r="AM571" s="3739">
        <f t="shared" ca="1" si="984"/>
        <v>507.94919387401944</v>
      </c>
      <c r="AN571" s="3739">
        <f t="shared" ca="1" si="984"/>
        <v>497.29919387401947</v>
      </c>
      <c r="AO571" s="3732">
        <f t="shared" ca="1" si="971"/>
        <v>497.29919387401947</v>
      </c>
      <c r="AP571" s="3732">
        <f ca="1">AO571-AP512-AP496-AP491-AP524</f>
        <v>454.69919387401944</v>
      </c>
      <c r="AQ571" s="3732">
        <f ca="1">AP571-AQ512-AQ496-AQ491-AQ524</f>
        <v>412.09919387401942</v>
      </c>
      <c r="AR571" s="824"/>
      <c r="AS571" s="522" t="str">
        <f t="shared" si="958"/>
        <v>Other Assets</v>
      </c>
      <c r="AT571" s="158"/>
      <c r="AU571" s="158">
        <f t="shared" si="959"/>
        <v>295</v>
      </c>
      <c r="AV571" s="158">
        <f t="shared" si="960"/>
        <v>262</v>
      </c>
      <c r="AW571" s="158">
        <f t="shared" si="961"/>
        <v>403</v>
      </c>
      <c r="AX571" s="158">
        <f t="shared" si="962"/>
        <v>1899</v>
      </c>
      <c r="AY571" s="158">
        <f t="shared" si="963"/>
        <v>368</v>
      </c>
      <c r="AZ571" s="158">
        <f t="shared" si="964"/>
        <v>334</v>
      </c>
      <c r="BA571" s="158">
        <f t="shared" ca="1" si="965"/>
        <v>539.89919387401937</v>
      </c>
      <c r="BB571" s="158">
        <f t="shared" ca="1" si="966"/>
        <v>497.29919387401947</v>
      </c>
      <c r="BC571" s="158">
        <f t="shared" ca="1" si="967"/>
        <v>454.69919387401944</v>
      </c>
      <c r="BD571" s="845">
        <f t="shared" ca="1" si="968"/>
        <v>412.09919387401942</v>
      </c>
      <c r="BF571" s="900"/>
      <c r="BM571" s="902"/>
      <c r="BN571" s="902"/>
      <c r="BO571" s="902"/>
      <c r="BP571" s="902"/>
      <c r="BQ571" s="902"/>
      <c r="BR571" s="902"/>
      <c r="BS571" s="902"/>
    </row>
    <row r="572" spans="1:71" ht="12.75" customHeight="1">
      <c r="A572" s="3364" t="s">
        <v>1722</v>
      </c>
      <c r="B572" s="3370"/>
      <c r="C572" s="3370"/>
      <c r="D572" s="3370"/>
      <c r="E572" s="3370"/>
      <c r="F572" s="3370">
        <f t="shared" ref="F572:N572" si="985">SUM(F559,F563:F571)</f>
        <v>27312</v>
      </c>
      <c r="G572" s="3371">
        <f t="shared" si="985"/>
        <v>27252</v>
      </c>
      <c r="H572" s="3371">
        <f t="shared" si="985"/>
        <v>27354</v>
      </c>
      <c r="I572" s="3371">
        <f t="shared" si="985"/>
        <v>27517</v>
      </c>
      <c r="J572" s="3371">
        <f t="shared" si="985"/>
        <v>27066</v>
      </c>
      <c r="K572" s="3370">
        <f t="shared" si="985"/>
        <v>27066</v>
      </c>
      <c r="L572" s="3371">
        <f t="shared" si="985"/>
        <v>26911</v>
      </c>
      <c r="M572" s="3371">
        <f t="shared" si="985"/>
        <v>26785</v>
      </c>
      <c r="N572" s="3371">
        <f t="shared" si="985"/>
        <v>26729</v>
      </c>
      <c r="O572" s="3371">
        <f t="shared" ref="O572:AQ572" si="986">SUM(O559,O563:O571)</f>
        <v>26562</v>
      </c>
      <c r="P572" s="3370">
        <f t="shared" si="986"/>
        <v>26562</v>
      </c>
      <c r="Q572" s="3371">
        <f t="shared" si="986"/>
        <v>26393</v>
      </c>
      <c r="R572" s="3371">
        <f t="shared" si="986"/>
        <v>26497</v>
      </c>
      <c r="S572" s="3371">
        <f t="shared" si="986"/>
        <v>26324</v>
      </c>
      <c r="T572" s="3371">
        <f t="shared" si="986"/>
        <v>26125</v>
      </c>
      <c r="U572" s="3370">
        <f t="shared" si="986"/>
        <v>26125</v>
      </c>
      <c r="V572" s="3371">
        <f t="shared" si="986"/>
        <v>25905</v>
      </c>
      <c r="W572" s="3371">
        <f>SUM(W559,W563:W571)</f>
        <v>26051</v>
      </c>
      <c r="X572" s="3371">
        <f>SUM(X559,X563:X571)</f>
        <v>25932</v>
      </c>
      <c r="Y572" s="3371">
        <f t="shared" si="986"/>
        <v>25716</v>
      </c>
      <c r="Z572" s="3370">
        <f t="shared" si="986"/>
        <v>25716</v>
      </c>
      <c r="AA572" s="3371">
        <f>SUM(AA559,AA563:AA571)</f>
        <v>25721</v>
      </c>
      <c r="AB572" s="3371">
        <f>SUM(AB559,AB563:AB571)</f>
        <v>25853</v>
      </c>
      <c r="AC572" s="3371">
        <f>SUM(AC559,AC563:AC571)</f>
        <v>25871</v>
      </c>
      <c r="AD572" s="3371">
        <f t="shared" si="986"/>
        <v>26211</v>
      </c>
      <c r="AE572" s="3370">
        <f t="shared" si="986"/>
        <v>26211</v>
      </c>
      <c r="AF572" s="3744">
        <f t="shared" si="986"/>
        <v>14287</v>
      </c>
      <c r="AG572" s="3744">
        <f t="shared" si="986"/>
        <v>14269</v>
      </c>
      <c r="AH572" s="3744">
        <f t="shared" si="986"/>
        <v>14223</v>
      </c>
      <c r="AI572" s="3744">
        <f t="shared" ca="1" si="986"/>
        <v>14182.89919387402</v>
      </c>
      <c r="AJ572" s="3745">
        <f ca="1">SUM(AJ559,AJ563:AJ571)</f>
        <v>14182.89919387402</v>
      </c>
      <c r="AK572" s="3744">
        <f t="shared" ref="AK572:AN572" ca="1" si="987">SUM(AK559,AK563:AK571)</f>
        <v>14056.737451514615</v>
      </c>
      <c r="AL572" s="3744">
        <f t="shared" ca="1" si="987"/>
        <v>14117.692007480458</v>
      </c>
      <c r="AM572" s="3744">
        <f t="shared" ca="1" si="987"/>
        <v>14099.730772451278</v>
      </c>
      <c r="AN572" s="3744">
        <f t="shared" ca="1" si="987"/>
        <v>14052.370840810208</v>
      </c>
      <c r="AO572" s="3745">
        <f ca="1">SUM(AO559,AO563:AO571)</f>
        <v>14052.370840810207</v>
      </c>
      <c r="AP572" s="3745">
        <f t="shared" ca="1" si="986"/>
        <v>14049.258786413266</v>
      </c>
      <c r="AQ572" s="3745">
        <f t="shared" ca="1" si="986"/>
        <v>14677.33961219224</v>
      </c>
      <c r="AR572" s="219"/>
      <c r="AS572" s="524" t="str">
        <f t="shared" si="958"/>
        <v>Total Assets</v>
      </c>
      <c r="AT572" s="635"/>
      <c r="AU572" s="635">
        <f t="shared" si="959"/>
        <v>27312</v>
      </c>
      <c r="AV572" s="635">
        <f t="shared" si="960"/>
        <v>27066</v>
      </c>
      <c r="AW572" s="635">
        <f t="shared" si="961"/>
        <v>26562</v>
      </c>
      <c r="AX572" s="635">
        <f t="shared" si="962"/>
        <v>26125</v>
      </c>
      <c r="AY572" s="635">
        <f t="shared" si="963"/>
        <v>25716</v>
      </c>
      <c r="AZ572" s="635">
        <f t="shared" si="964"/>
        <v>26211</v>
      </c>
      <c r="BA572" s="635">
        <f t="shared" ca="1" si="965"/>
        <v>14182.89919387402</v>
      </c>
      <c r="BB572" s="635">
        <f t="shared" ca="1" si="966"/>
        <v>14052.370840810207</v>
      </c>
      <c r="BC572" s="635">
        <f t="shared" ca="1" si="967"/>
        <v>14049.258786413266</v>
      </c>
      <c r="BD572" s="890">
        <f t="shared" ca="1" si="968"/>
        <v>14677.33961219224</v>
      </c>
      <c r="BF572" s="900"/>
      <c r="BM572" s="902"/>
      <c r="BN572" s="902"/>
      <c r="BO572" s="902"/>
      <c r="BP572" s="902"/>
      <c r="BQ572" s="902"/>
      <c r="BR572" s="902"/>
      <c r="BS572" s="902"/>
    </row>
    <row r="573" spans="1:71" ht="12.75" customHeight="1">
      <c r="A573" s="3323"/>
      <c r="B573" s="3229"/>
      <c r="C573" s="3229"/>
      <c r="D573" s="3229"/>
      <c r="E573" s="3229"/>
      <c r="F573" s="3229"/>
      <c r="G573" s="3166"/>
      <c r="H573" s="3166"/>
      <c r="I573" s="3166"/>
      <c r="J573" s="3166"/>
      <c r="K573" s="3229"/>
      <c r="L573" s="3166"/>
      <c r="M573" s="3166"/>
      <c r="N573" s="3166"/>
      <c r="O573" s="3327"/>
      <c r="P573" s="3229"/>
      <c r="Q573" s="3166"/>
      <c r="R573" s="3166"/>
      <c r="S573" s="3166"/>
      <c r="T573" s="3166"/>
      <c r="U573" s="3229"/>
      <c r="V573" s="3166"/>
      <c r="W573" s="3166"/>
      <c r="X573" s="3166"/>
      <c r="Y573" s="3166"/>
      <c r="Z573" s="3229"/>
      <c r="AA573" s="3166"/>
      <c r="AB573" s="3166"/>
      <c r="AC573" s="3166"/>
      <c r="AD573" s="3166"/>
      <c r="AE573" s="3229"/>
      <c r="AF573" s="3678"/>
      <c r="AG573" s="3678"/>
      <c r="AH573" s="4036"/>
      <c r="AI573" s="3678"/>
      <c r="AJ573" s="3680"/>
      <c r="AK573" s="3678"/>
      <c r="AL573" s="3678"/>
      <c r="AM573" s="3678"/>
      <c r="AN573" s="3678"/>
      <c r="AO573" s="3720"/>
      <c r="AP573" s="3680"/>
      <c r="AQ573" s="3680"/>
      <c r="AR573" s="155"/>
      <c r="AS573" s="386"/>
      <c r="AT573" s="155"/>
      <c r="AU573" s="155"/>
      <c r="AV573" s="155"/>
      <c r="AW573" s="155"/>
      <c r="AX573" s="155"/>
      <c r="AY573" s="155"/>
      <c r="AZ573" s="155"/>
      <c r="BA573" s="155"/>
      <c r="BB573" s="155"/>
      <c r="BC573" s="155"/>
      <c r="BD573" s="867"/>
      <c r="BF573" s="900"/>
      <c r="BM573" s="902"/>
      <c r="BN573" s="902"/>
      <c r="BO573" s="902"/>
      <c r="BP573" s="902"/>
      <c r="BQ573" s="902"/>
      <c r="BR573" s="902"/>
      <c r="BS573" s="902"/>
    </row>
    <row r="574" spans="1:71" ht="12.75" customHeight="1">
      <c r="A574" s="3328" t="s">
        <v>2236</v>
      </c>
      <c r="B574" s="3229"/>
      <c r="C574" s="3229"/>
      <c r="D574" s="3229"/>
      <c r="E574" s="3229"/>
      <c r="F574" s="3229"/>
      <c r="G574" s="3166"/>
      <c r="H574" s="3166"/>
      <c r="I574" s="3166"/>
      <c r="J574" s="3166"/>
      <c r="K574" s="3229"/>
      <c r="L574" s="3166"/>
      <c r="M574" s="3166"/>
      <c r="N574" s="3166"/>
      <c r="O574" s="3166"/>
      <c r="P574" s="3229"/>
      <c r="Q574" s="3166"/>
      <c r="R574" s="3166"/>
      <c r="S574" s="3166"/>
      <c r="T574" s="3166"/>
      <c r="U574" s="3229"/>
      <c r="V574" s="3166"/>
      <c r="W574" s="3166"/>
      <c r="X574" s="3166"/>
      <c r="Y574" s="3166"/>
      <c r="Z574" s="3229"/>
      <c r="AA574" s="3166"/>
      <c r="AB574" s="3166"/>
      <c r="AC574" s="3166"/>
      <c r="AD574" s="3166"/>
      <c r="AE574" s="3229"/>
      <c r="AF574" s="3678"/>
      <c r="AG574" s="3678"/>
      <c r="AH574" s="4036"/>
      <c r="AI574" s="3678"/>
      <c r="AJ574" s="3680"/>
      <c r="AK574" s="3678"/>
      <c r="AL574" s="3678"/>
      <c r="AM574" s="3678"/>
      <c r="AN574" s="3678"/>
      <c r="AO574" s="3680"/>
      <c r="AP574" s="3680"/>
      <c r="AQ574" s="3680"/>
      <c r="AR574" s="155"/>
      <c r="AS574" s="493" t="str">
        <f t="shared" ref="AS574:AS579" si="988">+A574</f>
        <v>Liabilities</v>
      </c>
      <c r="AT574" s="155"/>
      <c r="AU574" s="155"/>
      <c r="AV574" s="155"/>
      <c r="AW574" s="155"/>
      <c r="AX574" s="155"/>
      <c r="AY574" s="155"/>
      <c r="AZ574" s="155"/>
      <c r="BA574" s="155"/>
      <c r="BB574" s="155"/>
      <c r="BC574" s="155"/>
      <c r="BD574" s="867"/>
      <c r="BF574" s="900"/>
      <c r="BM574" s="902"/>
      <c r="BN574" s="902"/>
      <c r="BO574" s="902"/>
      <c r="BP574" s="902"/>
      <c r="BQ574" s="902"/>
      <c r="BR574" s="902"/>
      <c r="BS574" s="902"/>
    </row>
    <row r="575" spans="1:71" ht="12.75" customHeight="1">
      <c r="A575" s="3361" t="s">
        <v>2189</v>
      </c>
      <c r="B575" s="3329"/>
      <c r="C575" s="3329"/>
      <c r="D575" s="3329"/>
      <c r="E575" s="3367"/>
      <c r="F575" s="3367">
        <v>1806</v>
      </c>
      <c r="G575" s="3330">
        <v>1798</v>
      </c>
      <c r="H575" s="3330">
        <v>1898</v>
      </c>
      <c r="I575" s="3330">
        <v>1890</v>
      </c>
      <c r="J575" s="3330">
        <v>1922</v>
      </c>
      <c r="K575" s="3329">
        <f>J575</f>
        <v>1922</v>
      </c>
      <c r="L575" s="3330">
        <v>1901</v>
      </c>
      <c r="M575" s="3330">
        <v>1914</v>
      </c>
      <c r="N575" s="3330">
        <v>1940</v>
      </c>
      <c r="O575" s="3330">
        <v>2079</v>
      </c>
      <c r="P575" s="3329">
        <f>O575</f>
        <v>2079</v>
      </c>
      <c r="Q575" s="3330">
        <v>1936</v>
      </c>
      <c r="R575" s="3330">
        <v>1999</v>
      </c>
      <c r="S575" s="3330">
        <v>2003</v>
      </c>
      <c r="T575" s="3330">
        <v>2099</v>
      </c>
      <c r="U575" s="3329">
        <f>T575</f>
        <v>2099</v>
      </c>
      <c r="V575" s="3330">
        <v>2132</v>
      </c>
      <c r="W575" s="3330">
        <v>2260</v>
      </c>
      <c r="X575" s="3330">
        <v>2261</v>
      </c>
      <c r="Y575" s="3330">
        <v>2206</v>
      </c>
      <c r="Z575" s="3329">
        <f>Y575</f>
        <v>2206</v>
      </c>
      <c r="AA575" s="3330">
        <v>2251</v>
      </c>
      <c r="AB575" s="3330">
        <v>2370</v>
      </c>
      <c r="AC575" s="3330">
        <v>2354</v>
      </c>
      <c r="AD575" s="3372">
        <v>2453</v>
      </c>
      <c r="AE575" s="3331">
        <f>AD575</f>
        <v>2453</v>
      </c>
      <c r="AF575" s="3715">
        <v>1798</v>
      </c>
      <c r="AG575" s="3715">
        <v>1879</v>
      </c>
      <c r="AH575" s="3715">
        <v>1911</v>
      </c>
      <c r="AI575" s="3716">
        <f>AI36/AI6*AI482</f>
        <v>1911</v>
      </c>
      <c r="AJ575" s="3717">
        <f>AI575</f>
        <v>1911</v>
      </c>
      <c r="AK575" s="3716">
        <f>AK36/AK6*AK482</f>
        <v>1911.0000000000002</v>
      </c>
      <c r="AL575" s="3716">
        <f>AL36/AL6*AL482</f>
        <v>1911.0000000000002</v>
      </c>
      <c r="AM575" s="3716">
        <f>AM36/AM6*AM482</f>
        <v>1911.0000000000002</v>
      </c>
      <c r="AN575" s="3716">
        <f>AN36/AN6*AN482</f>
        <v>1911.0000000000005</v>
      </c>
      <c r="AO575" s="3717">
        <f>AN575</f>
        <v>1911.0000000000005</v>
      </c>
      <c r="AP575" s="3718">
        <f>AP36/AP6*AP482</f>
        <v>1911.0000000000005</v>
      </c>
      <c r="AQ575" s="3718">
        <f>AQ36/AQ6*AQ482</f>
        <v>1911.0000000000005</v>
      </c>
      <c r="AR575" s="824"/>
      <c r="AS575" s="500" t="str">
        <f t="shared" si="988"/>
        <v>Accounts Payable, Accrued Expenses, and Other</v>
      </c>
      <c r="AT575" s="145"/>
      <c r="AU575" s="145">
        <f>+F575</f>
        <v>1806</v>
      </c>
      <c r="AV575" s="145">
        <f>+K575</f>
        <v>1922</v>
      </c>
      <c r="AW575" s="145">
        <f>+P575</f>
        <v>2079</v>
      </c>
      <c r="AX575" s="145">
        <f>+U575</f>
        <v>2099</v>
      </c>
      <c r="AY575" s="145">
        <f>+Z575</f>
        <v>2206</v>
      </c>
      <c r="AZ575" s="145">
        <f>+AE575</f>
        <v>2453</v>
      </c>
      <c r="BA575" s="145">
        <f>+AJ575</f>
        <v>1911</v>
      </c>
      <c r="BB575" s="145">
        <f t="shared" ref="BB575:BD576" si="989">+AO575</f>
        <v>1911.0000000000005</v>
      </c>
      <c r="BC575" s="145">
        <f t="shared" si="989"/>
        <v>1911.0000000000005</v>
      </c>
      <c r="BD575" s="892">
        <f t="shared" si="989"/>
        <v>1911.0000000000005</v>
      </c>
      <c r="BF575" s="900"/>
      <c r="BM575" s="902"/>
      <c r="BN575" s="902"/>
      <c r="BO575" s="902"/>
      <c r="BP575" s="902"/>
      <c r="BQ575" s="902"/>
      <c r="BR575" s="902"/>
      <c r="BS575" s="902"/>
    </row>
    <row r="576" spans="1:71" ht="12.75" customHeight="1">
      <c r="A576" s="3311" t="s">
        <v>2190</v>
      </c>
      <c r="B576" s="3329"/>
      <c r="C576" s="3329"/>
      <c r="D576" s="3329"/>
      <c r="E576" s="3143"/>
      <c r="F576" s="3143">
        <v>342</v>
      </c>
      <c r="G576" s="3147">
        <v>380</v>
      </c>
      <c r="H576" s="3147">
        <v>390</v>
      </c>
      <c r="I576" s="3147">
        <v>396</v>
      </c>
      <c r="J576" s="3147">
        <v>392</v>
      </c>
      <c r="K576" s="3107">
        <f>J576</f>
        <v>392</v>
      </c>
      <c r="L576" s="3147">
        <v>598</v>
      </c>
      <c r="M576" s="3147">
        <v>388</v>
      </c>
      <c r="N576" s="3147">
        <v>356</v>
      </c>
      <c r="O576" s="3147">
        <v>4</v>
      </c>
      <c r="P576" s="3107">
        <f>O576</f>
        <v>4</v>
      </c>
      <c r="Q576" s="3147">
        <v>3</v>
      </c>
      <c r="R576" s="3147">
        <v>3</v>
      </c>
      <c r="S576" s="3147">
        <v>3</v>
      </c>
      <c r="T576" s="3147">
        <v>10</v>
      </c>
      <c r="U576" s="3107">
        <f>T576</f>
        <v>10</v>
      </c>
      <c r="V576" s="3147">
        <v>10</v>
      </c>
      <c r="W576" s="3147">
        <v>10</v>
      </c>
      <c r="X576" s="3147">
        <v>116</v>
      </c>
      <c r="Y576" s="3147">
        <v>111</v>
      </c>
      <c r="Z576" s="3107">
        <f>Y576</f>
        <v>111</v>
      </c>
      <c r="AA576" s="3147">
        <v>97</v>
      </c>
      <c r="AB576" s="3147">
        <v>98</v>
      </c>
      <c r="AC576" s="3147">
        <v>101</v>
      </c>
      <c r="AD576" s="3147">
        <v>98</v>
      </c>
      <c r="AE576" s="3148">
        <f>AD576</f>
        <v>98</v>
      </c>
      <c r="AF576" s="3689">
        <v>41</v>
      </c>
      <c r="AG576" s="3689">
        <v>48</v>
      </c>
      <c r="AH576" s="3689">
        <v>49</v>
      </c>
      <c r="AI576" s="3685">
        <f>-AI653</f>
        <v>49</v>
      </c>
      <c r="AJ576" s="3687">
        <f>AI576</f>
        <v>49</v>
      </c>
      <c r="AK576" s="3685">
        <f t="shared" ref="AK576:AN576" si="990">-AK653</f>
        <v>49</v>
      </c>
      <c r="AL576" s="3685">
        <f t="shared" si="990"/>
        <v>49</v>
      </c>
      <c r="AM576" s="3685">
        <f t="shared" si="990"/>
        <v>49</v>
      </c>
      <c r="AN576" s="3685">
        <f t="shared" si="990"/>
        <v>49</v>
      </c>
      <c r="AO576" s="3687">
        <f>AN576</f>
        <v>49</v>
      </c>
      <c r="AP576" s="3688">
        <f>-AP653</f>
        <v>49</v>
      </c>
      <c r="AQ576" s="3688">
        <f>-AQ653</f>
        <v>49</v>
      </c>
      <c r="AR576" s="824"/>
      <c r="AS576" s="500" t="str">
        <f t="shared" si="988"/>
        <v>Current Maturities of Long-term Debt</v>
      </c>
      <c r="AT576" s="145"/>
      <c r="AU576" s="145">
        <f>+F576</f>
        <v>342</v>
      </c>
      <c r="AV576" s="145">
        <f>+K576</f>
        <v>392</v>
      </c>
      <c r="AW576" s="145">
        <f>+P576</f>
        <v>4</v>
      </c>
      <c r="AX576" s="145">
        <f>+U576</f>
        <v>10</v>
      </c>
      <c r="AY576" s="145">
        <f>+Z576</f>
        <v>111</v>
      </c>
      <c r="AZ576" s="145">
        <f>+AE576</f>
        <v>98</v>
      </c>
      <c r="BA576" s="145">
        <f>+AJ576</f>
        <v>49</v>
      </c>
      <c r="BB576" s="145">
        <f t="shared" si="989"/>
        <v>49</v>
      </c>
      <c r="BC576" s="145">
        <f t="shared" si="989"/>
        <v>49</v>
      </c>
      <c r="BD576" s="892">
        <f t="shared" si="989"/>
        <v>49</v>
      </c>
      <c r="BF576" s="900"/>
      <c r="BM576" s="902"/>
      <c r="BN576" s="902"/>
      <c r="BO576" s="902"/>
      <c r="BP576" s="902"/>
      <c r="BQ576" s="902"/>
      <c r="BR576" s="902"/>
      <c r="BS576" s="902"/>
    </row>
    <row r="577" spans="1:71" ht="12.75" customHeight="1">
      <c r="A577" s="3311" t="s">
        <v>2191</v>
      </c>
      <c r="B577" s="3107"/>
      <c r="C577" s="3107"/>
      <c r="D577" s="3107"/>
      <c r="E577" s="3143" t="s">
        <v>2235</v>
      </c>
      <c r="F577" s="3143">
        <v>42</v>
      </c>
      <c r="G577" s="3147">
        <v>40</v>
      </c>
      <c r="H577" s="3147">
        <v>32</v>
      </c>
      <c r="I577" s="3147">
        <v>35</v>
      </c>
      <c r="J577" s="3147">
        <v>15</v>
      </c>
      <c r="K577" s="3107">
        <f>J577</f>
        <v>15</v>
      </c>
      <c r="L577" s="3147">
        <v>27</v>
      </c>
      <c r="M577" s="3147">
        <v>13</v>
      </c>
      <c r="N577" s="3147">
        <v>53</v>
      </c>
      <c r="O577" s="3147">
        <v>48</v>
      </c>
      <c r="P577" s="3107">
        <f>O577</f>
        <v>48</v>
      </c>
      <c r="Q577" s="3147">
        <v>41</v>
      </c>
      <c r="R577" s="3147">
        <v>107</v>
      </c>
      <c r="S577" s="3147">
        <v>124</v>
      </c>
      <c r="T577" s="3147">
        <v>127</v>
      </c>
      <c r="U577" s="3107">
        <f>T577</f>
        <v>127</v>
      </c>
      <c r="V577" s="3147">
        <v>137</v>
      </c>
      <c r="W577" s="3147">
        <v>136</v>
      </c>
      <c r="X577" s="3147">
        <v>132</v>
      </c>
      <c r="Y577" s="3147">
        <v>117</v>
      </c>
      <c r="Z577" s="3107">
        <f>Y577</f>
        <v>117</v>
      </c>
      <c r="AA577" s="3147">
        <v>96</v>
      </c>
      <c r="AB577" s="3147">
        <v>88</v>
      </c>
      <c r="AC577" s="3147">
        <v>80</v>
      </c>
      <c r="AD577" s="3147">
        <v>73</v>
      </c>
      <c r="AE577" s="3148">
        <f>AD577</f>
        <v>73</v>
      </c>
      <c r="AF577" s="3689">
        <v>0</v>
      </c>
      <c r="AG577" s="3689">
        <f t="shared" ref="AG577:AI578" si="991">AF577</f>
        <v>0</v>
      </c>
      <c r="AH577" s="3689">
        <v>0</v>
      </c>
      <c r="AI577" s="3685">
        <f t="shared" si="991"/>
        <v>0</v>
      </c>
      <c r="AJ577" s="3687">
        <f>AI577</f>
        <v>0</v>
      </c>
      <c r="AK577" s="3685">
        <f t="shared" ref="AK577:AK578" si="992">AJ577</f>
        <v>0</v>
      </c>
      <c r="AL577" s="3685">
        <f t="shared" ref="AL577:AL578" si="993">AK577</f>
        <v>0</v>
      </c>
      <c r="AM577" s="3685">
        <f t="shared" ref="AM577:AM578" si="994">AL577</f>
        <v>0</v>
      </c>
      <c r="AN577" s="3685">
        <f t="shared" ref="AN577:AN578" si="995">AM577</f>
        <v>0</v>
      </c>
      <c r="AO577" s="3687">
        <f>AN577</f>
        <v>0</v>
      </c>
      <c r="AP577" s="3688">
        <f t="shared" ref="AP577:AQ578" si="996">AO577</f>
        <v>0</v>
      </c>
      <c r="AQ577" s="3688">
        <f t="shared" si="996"/>
        <v>0</v>
      </c>
      <c r="AR577" s="824"/>
      <c r="AS577" s="522" t="str">
        <f t="shared" si="988"/>
        <v>Current Maturities of Non-recourse Debt and Capital Lease Obligations of Consolidated Variable Interest Entities</v>
      </c>
      <c r="AT577" s="148"/>
      <c r="AU577" s="148">
        <f>+F577</f>
        <v>42</v>
      </c>
      <c r="AV577" s="148">
        <f>+K577</f>
        <v>15</v>
      </c>
      <c r="AW577" s="148">
        <f>+P577</f>
        <v>48</v>
      </c>
      <c r="AX577" s="148">
        <f>+U577</f>
        <v>127</v>
      </c>
      <c r="AY577" s="148">
        <f>+Z577</f>
        <v>117</v>
      </c>
      <c r="AZ577" s="148">
        <f>+AE577</f>
        <v>73</v>
      </c>
      <c r="BA577" s="148">
        <f>+AJ577</f>
        <v>0</v>
      </c>
      <c r="BB577" s="148">
        <f t="shared" ref="BB577:BD579" si="997">+AO577</f>
        <v>0</v>
      </c>
      <c r="BC577" s="148">
        <f t="shared" si="997"/>
        <v>0</v>
      </c>
      <c r="BD577" s="720">
        <f t="shared" si="997"/>
        <v>0</v>
      </c>
      <c r="BF577" s="900"/>
      <c r="BM577" s="902"/>
      <c r="BN577" s="902"/>
      <c r="BO577" s="902"/>
      <c r="BP577" s="902"/>
      <c r="BQ577" s="902"/>
      <c r="BR577" s="902"/>
      <c r="BS577" s="902"/>
    </row>
    <row r="578" spans="1:71" ht="12.75" customHeight="1">
      <c r="A578" s="3311" t="s">
        <v>2192</v>
      </c>
      <c r="B578" s="3152"/>
      <c r="C578" s="3152"/>
      <c r="D578" s="3152"/>
      <c r="E578" s="3173"/>
      <c r="F578" s="3173">
        <v>17</v>
      </c>
      <c r="G578" s="3369">
        <v>10</v>
      </c>
      <c r="H578" s="3369">
        <v>8</v>
      </c>
      <c r="I578" s="3369">
        <v>52</v>
      </c>
      <c r="J578" s="3369">
        <v>20</v>
      </c>
      <c r="K578" s="3152">
        <f>J578</f>
        <v>20</v>
      </c>
      <c r="L578" s="3369">
        <v>29</v>
      </c>
      <c r="M578" s="3369">
        <v>72</v>
      </c>
      <c r="N578" s="3369">
        <v>61</v>
      </c>
      <c r="O578" s="3369">
        <v>11</v>
      </c>
      <c r="P578" s="3152">
        <f>O578</f>
        <v>11</v>
      </c>
      <c r="Q578" s="3369">
        <v>6</v>
      </c>
      <c r="R578" s="3369">
        <v>11</v>
      </c>
      <c r="S578" s="3369">
        <v>10</v>
      </c>
      <c r="T578" s="3369">
        <v>21</v>
      </c>
      <c r="U578" s="3152">
        <f>T578</f>
        <v>21</v>
      </c>
      <c r="V578" s="3369">
        <v>19</v>
      </c>
      <c r="W578" s="3369">
        <v>20</v>
      </c>
      <c r="X578" s="3369">
        <v>49</v>
      </c>
      <c r="Y578" s="3369">
        <v>33</v>
      </c>
      <c r="Z578" s="3152">
        <f>Y578</f>
        <v>33</v>
      </c>
      <c r="AA578" s="3369">
        <v>101</v>
      </c>
      <c r="AB578" s="3369">
        <v>107</v>
      </c>
      <c r="AC578" s="3369">
        <v>63</v>
      </c>
      <c r="AD578" s="3369">
        <v>60</v>
      </c>
      <c r="AE578" s="3152">
        <f>AD578</f>
        <v>60</v>
      </c>
      <c r="AF578" s="3752">
        <v>128</v>
      </c>
      <c r="AG578" s="3752">
        <v>62</v>
      </c>
      <c r="AH578" s="3752">
        <v>73</v>
      </c>
      <c r="AI578" s="3739">
        <f t="shared" si="991"/>
        <v>73</v>
      </c>
      <c r="AJ578" s="3732">
        <f>AI578</f>
        <v>73</v>
      </c>
      <c r="AK578" s="3739">
        <f t="shared" si="992"/>
        <v>73</v>
      </c>
      <c r="AL578" s="3739">
        <f t="shared" si="993"/>
        <v>73</v>
      </c>
      <c r="AM578" s="3739">
        <f t="shared" si="994"/>
        <v>73</v>
      </c>
      <c r="AN578" s="3739">
        <f t="shared" si="995"/>
        <v>73</v>
      </c>
      <c r="AO578" s="3732">
        <f>AN578</f>
        <v>73</v>
      </c>
      <c r="AP578" s="3732">
        <f t="shared" si="996"/>
        <v>73</v>
      </c>
      <c r="AQ578" s="3732">
        <f t="shared" si="996"/>
        <v>73</v>
      </c>
      <c r="AR578" s="824"/>
      <c r="AS578" s="522" t="str">
        <f t="shared" si="988"/>
        <v>Income Taxes Payable</v>
      </c>
      <c r="AT578" s="158"/>
      <c r="AU578" s="158">
        <f>+F578</f>
        <v>17</v>
      </c>
      <c r="AV578" s="158">
        <f>+K578</f>
        <v>20</v>
      </c>
      <c r="AW578" s="158">
        <f>+P578</f>
        <v>11</v>
      </c>
      <c r="AX578" s="158">
        <f>+U578</f>
        <v>21</v>
      </c>
      <c r="AY578" s="158">
        <f>+Z578</f>
        <v>33</v>
      </c>
      <c r="AZ578" s="158">
        <f>+AE578</f>
        <v>60</v>
      </c>
      <c r="BA578" s="158">
        <f>+AJ578</f>
        <v>73</v>
      </c>
      <c r="BB578" s="158">
        <f t="shared" si="997"/>
        <v>73</v>
      </c>
      <c r="BC578" s="158">
        <f t="shared" si="997"/>
        <v>73</v>
      </c>
      <c r="BD578" s="845">
        <f t="shared" si="997"/>
        <v>73</v>
      </c>
      <c r="BF578" s="900"/>
      <c r="BM578" s="902"/>
      <c r="BN578" s="902"/>
      <c r="BO578" s="902"/>
      <c r="BP578" s="902"/>
      <c r="BQ578" s="902"/>
      <c r="BR578" s="902"/>
      <c r="BS578" s="902"/>
    </row>
    <row r="579" spans="1:71" ht="12.75" customHeight="1">
      <c r="A579" s="3364" t="s">
        <v>683</v>
      </c>
      <c r="B579" s="3365"/>
      <c r="C579" s="3365"/>
      <c r="D579" s="3365"/>
      <c r="E579" s="3365"/>
      <c r="F579" s="3365">
        <f t="shared" ref="F579:AQ579" si="998">SUM(F575:F578)</f>
        <v>2207</v>
      </c>
      <c r="G579" s="3366">
        <f t="shared" si="998"/>
        <v>2228</v>
      </c>
      <c r="H579" s="3366">
        <f t="shared" si="998"/>
        <v>2328</v>
      </c>
      <c r="I579" s="3366">
        <f t="shared" si="998"/>
        <v>2373</v>
      </c>
      <c r="J579" s="3366">
        <f t="shared" si="998"/>
        <v>2349</v>
      </c>
      <c r="K579" s="3365">
        <f t="shared" si="998"/>
        <v>2349</v>
      </c>
      <c r="L579" s="3366">
        <f t="shared" si="998"/>
        <v>2555</v>
      </c>
      <c r="M579" s="3366">
        <f t="shared" si="998"/>
        <v>2387</v>
      </c>
      <c r="N579" s="3366">
        <f t="shared" si="998"/>
        <v>2410</v>
      </c>
      <c r="O579" s="3366">
        <f t="shared" si="998"/>
        <v>2142</v>
      </c>
      <c r="P579" s="3365">
        <f t="shared" si="998"/>
        <v>2142</v>
      </c>
      <c r="Q579" s="3366">
        <f t="shared" si="998"/>
        <v>1986</v>
      </c>
      <c r="R579" s="3366">
        <f t="shared" si="998"/>
        <v>2120</v>
      </c>
      <c r="S579" s="3366">
        <f t="shared" si="998"/>
        <v>2140</v>
      </c>
      <c r="T579" s="3366">
        <f t="shared" si="998"/>
        <v>2257</v>
      </c>
      <c r="U579" s="3365">
        <f t="shared" si="998"/>
        <v>2257</v>
      </c>
      <c r="V579" s="3366">
        <f>SUM(V575:V578)</f>
        <v>2298</v>
      </c>
      <c r="W579" s="3366">
        <f>SUM(W575:W578)</f>
        <v>2426</v>
      </c>
      <c r="X579" s="3366">
        <f t="shared" si="998"/>
        <v>2558</v>
      </c>
      <c r="Y579" s="3366">
        <f t="shared" si="998"/>
        <v>2467</v>
      </c>
      <c r="Z579" s="3365">
        <f t="shared" si="998"/>
        <v>2467</v>
      </c>
      <c r="AA579" s="3366">
        <f t="shared" si="998"/>
        <v>2545</v>
      </c>
      <c r="AB579" s="3366">
        <f>SUM(AB575:AB578)</f>
        <v>2663</v>
      </c>
      <c r="AC579" s="3366">
        <f t="shared" si="998"/>
        <v>2598</v>
      </c>
      <c r="AD579" s="3366">
        <f t="shared" ref="AD579:AJ579" si="999">SUM(AD575:AD578)</f>
        <v>2684</v>
      </c>
      <c r="AE579" s="3365">
        <f t="shared" si="999"/>
        <v>2684</v>
      </c>
      <c r="AF579" s="3741">
        <f t="shared" si="999"/>
        <v>1967</v>
      </c>
      <c r="AG579" s="3741">
        <f t="shared" si="999"/>
        <v>1989</v>
      </c>
      <c r="AH579" s="3741">
        <f t="shared" si="999"/>
        <v>2033</v>
      </c>
      <c r="AI579" s="3741">
        <f t="shared" si="999"/>
        <v>2033</v>
      </c>
      <c r="AJ579" s="3742">
        <f t="shared" si="999"/>
        <v>2033</v>
      </c>
      <c r="AK579" s="3741">
        <f t="shared" ref="AK579:AO579" si="1000">SUM(AK575:AK578)</f>
        <v>2033.0000000000002</v>
      </c>
      <c r="AL579" s="3741">
        <f t="shared" si="1000"/>
        <v>2033.0000000000002</v>
      </c>
      <c r="AM579" s="3741">
        <f t="shared" si="1000"/>
        <v>2033.0000000000002</v>
      </c>
      <c r="AN579" s="3741">
        <f t="shared" si="1000"/>
        <v>2033.0000000000005</v>
      </c>
      <c r="AO579" s="3742">
        <f t="shared" si="1000"/>
        <v>2033.0000000000005</v>
      </c>
      <c r="AP579" s="3742">
        <f t="shared" si="998"/>
        <v>2033.0000000000005</v>
      </c>
      <c r="AQ579" s="3742">
        <f t="shared" si="998"/>
        <v>2033.0000000000005</v>
      </c>
      <c r="AR579" s="219"/>
      <c r="AS579" s="524" t="str">
        <f t="shared" si="988"/>
        <v>Total Current Liabilities</v>
      </c>
      <c r="AT579" s="219"/>
      <c r="AU579" s="219">
        <f>+F579</f>
        <v>2207</v>
      </c>
      <c r="AV579" s="219">
        <f>+K579</f>
        <v>2349</v>
      </c>
      <c r="AW579" s="219">
        <f>+P579</f>
        <v>2142</v>
      </c>
      <c r="AX579" s="219">
        <f>+U579</f>
        <v>2257</v>
      </c>
      <c r="AY579" s="219">
        <f>+Z579</f>
        <v>2467</v>
      </c>
      <c r="AZ579" s="219">
        <f>+AE579</f>
        <v>2684</v>
      </c>
      <c r="BA579" s="219">
        <f>+AJ579</f>
        <v>2033</v>
      </c>
      <c r="BB579" s="219">
        <f t="shared" si="997"/>
        <v>2033.0000000000005</v>
      </c>
      <c r="BC579" s="219">
        <f t="shared" si="997"/>
        <v>2033.0000000000005</v>
      </c>
      <c r="BD579" s="889">
        <f t="shared" si="997"/>
        <v>2033.0000000000005</v>
      </c>
      <c r="BF579" s="900"/>
      <c r="BM579" s="902"/>
      <c r="BN579" s="902"/>
      <c r="BO579" s="902"/>
      <c r="BP579" s="902"/>
      <c r="BQ579" s="902"/>
      <c r="BR579" s="902"/>
      <c r="BS579" s="902"/>
    </row>
    <row r="580" spans="1:71" ht="12.75" customHeight="1">
      <c r="A580" s="3323"/>
      <c r="B580" s="3229"/>
      <c r="C580" s="3229"/>
      <c r="D580" s="3229"/>
      <c r="E580" s="3229"/>
      <c r="F580" s="3229"/>
      <c r="G580" s="3166"/>
      <c r="H580" s="3166"/>
      <c r="I580" s="3166"/>
      <c r="J580" s="3166"/>
      <c r="K580" s="3229"/>
      <c r="L580" s="3166"/>
      <c r="M580" s="3166"/>
      <c r="N580" s="3166"/>
      <c r="O580" s="3166"/>
      <c r="P580" s="3229"/>
      <c r="Q580" s="3166"/>
      <c r="R580" s="3166"/>
      <c r="S580" s="3166"/>
      <c r="T580" s="3166"/>
      <c r="U580" s="3229"/>
      <c r="V580" s="3166"/>
      <c r="W580" s="3166"/>
      <c r="X580" s="3166"/>
      <c r="Y580" s="3166"/>
      <c r="Z580" s="3229"/>
      <c r="AA580" s="3166"/>
      <c r="AB580" s="3166"/>
      <c r="AC580" s="3166"/>
      <c r="AD580" s="3166"/>
      <c r="AE580" s="3230"/>
      <c r="AF580" s="3678"/>
      <c r="AG580" s="3678"/>
      <c r="AH580" s="4036"/>
      <c r="AI580" s="3678"/>
      <c r="AJ580" s="3720"/>
      <c r="AK580" s="3678"/>
      <c r="AL580" s="3678"/>
      <c r="AM580" s="3678"/>
      <c r="AN580" s="3678"/>
      <c r="AO580" s="3720"/>
      <c r="AP580" s="3680"/>
      <c r="AQ580" s="3680"/>
      <c r="AR580" s="155"/>
      <c r="AS580" s="386"/>
      <c r="AT580" s="155"/>
      <c r="AU580" s="155"/>
      <c r="AV580" s="155"/>
      <c r="AW580" s="155"/>
      <c r="AX580" s="155"/>
      <c r="AY580" s="155"/>
      <c r="AZ580" s="155"/>
      <c r="BA580" s="155"/>
      <c r="BB580" s="155"/>
      <c r="BC580" s="155"/>
      <c r="BD580" s="867"/>
      <c r="BF580" s="900"/>
      <c r="BM580" s="902"/>
      <c r="BN580" s="902"/>
      <c r="BO580" s="902"/>
      <c r="BP580" s="902"/>
      <c r="BQ580" s="902"/>
      <c r="BR580" s="902"/>
      <c r="BS580" s="902"/>
    </row>
    <row r="581" spans="1:71" ht="12.75" customHeight="1">
      <c r="A581" s="3373" t="s">
        <v>1807</v>
      </c>
      <c r="B581" s="3329"/>
      <c r="C581" s="3329"/>
      <c r="D581" s="3329"/>
      <c r="E581" s="3367"/>
      <c r="F581" s="3367">
        <v>15969</v>
      </c>
      <c r="G581" s="3330">
        <v>15849</v>
      </c>
      <c r="H581" s="3330">
        <v>15752</v>
      </c>
      <c r="I581" s="3330">
        <v>15668</v>
      </c>
      <c r="J581" s="3330">
        <v>15183</v>
      </c>
      <c r="K581" s="3329">
        <f t="shared" ref="K581:K587" si="1001">J581</f>
        <v>15183</v>
      </c>
      <c r="L581" s="3330">
        <v>14869</v>
      </c>
      <c r="M581" s="3330">
        <v>14280</v>
      </c>
      <c r="N581" s="3330">
        <v>13923</v>
      </c>
      <c r="O581" s="3330">
        <v>11751</v>
      </c>
      <c r="P581" s="3329">
        <f t="shared" ref="P581:P587" si="1002">O581</f>
        <v>11751</v>
      </c>
      <c r="Q581" s="3330">
        <v>11551</v>
      </c>
      <c r="R581" s="3330">
        <v>11314</v>
      </c>
      <c r="S581" s="3330">
        <v>11124</v>
      </c>
      <c r="T581" s="3330">
        <v>10803</v>
      </c>
      <c r="U581" s="3107">
        <f t="shared" ref="U581:U587" si="1003">T581</f>
        <v>10803</v>
      </c>
      <c r="V581" s="3330">
        <v>10572</v>
      </c>
      <c r="W581" s="3330">
        <v>10400</v>
      </c>
      <c r="X581" s="3330">
        <v>9945</v>
      </c>
      <c r="Y581" s="3330">
        <v>9710</v>
      </c>
      <c r="Z581" s="3107">
        <f t="shared" ref="Z581:Z587" si="1004">Y581</f>
        <v>9710</v>
      </c>
      <c r="AA581" s="3330">
        <v>9878</v>
      </c>
      <c r="AB581" s="3330">
        <v>9900</v>
      </c>
      <c r="AC581" s="3330">
        <v>9883</v>
      </c>
      <c r="AD581" s="3330">
        <v>10020</v>
      </c>
      <c r="AE581" s="3148">
        <f t="shared" ref="AE581:AE587" si="1005">AD581</f>
        <v>10020</v>
      </c>
      <c r="AF581" s="3715">
        <v>6588</v>
      </c>
      <c r="AG581" s="3715">
        <v>6572</v>
      </c>
      <c r="AH581" s="3715">
        <v>6564</v>
      </c>
      <c r="AI581" s="3716">
        <f>AI655</f>
        <v>6664</v>
      </c>
      <c r="AJ581" s="3687">
        <f t="shared" ref="AJ581:AJ586" si="1006">AI581</f>
        <v>6664</v>
      </c>
      <c r="AK581" s="3716">
        <f t="shared" ref="AK581:AN581" si="1007">AK655</f>
        <v>6726.5</v>
      </c>
      <c r="AL581" s="3716">
        <f t="shared" si="1007"/>
        <v>6789</v>
      </c>
      <c r="AM581" s="3716">
        <f t="shared" si="1007"/>
        <v>6851.5</v>
      </c>
      <c r="AN581" s="3716">
        <f t="shared" si="1007"/>
        <v>6914</v>
      </c>
      <c r="AO581" s="3687">
        <f t="shared" ref="AO581:AO586" si="1008">AN581</f>
        <v>6914</v>
      </c>
      <c r="AP581" s="3688">
        <f>AP655</f>
        <v>7164</v>
      </c>
      <c r="AQ581" s="3718">
        <f>AQ655</f>
        <v>7414</v>
      </c>
      <c r="AR581" s="824"/>
      <c r="AS581" s="531" t="str">
        <f t="shared" ref="AS581:AS587" si="1009">+A581</f>
        <v>Long-term Debt</v>
      </c>
      <c r="AT581" s="145"/>
      <c r="AU581" s="145">
        <f t="shared" ref="AU581:AU587" si="1010">+F581</f>
        <v>15969</v>
      </c>
      <c r="AV581" s="145">
        <f t="shared" ref="AV581:AV587" si="1011">+K581</f>
        <v>15183</v>
      </c>
      <c r="AW581" s="145">
        <f t="shared" ref="AW581:AW587" si="1012">+P581</f>
        <v>11751</v>
      </c>
      <c r="AX581" s="145">
        <f t="shared" ref="AX581:AX587" si="1013">+U581</f>
        <v>10803</v>
      </c>
      <c r="AY581" s="145">
        <f t="shared" ref="AY581:AY587" si="1014">+Z581</f>
        <v>9710</v>
      </c>
      <c r="AZ581" s="145">
        <f t="shared" ref="AZ581:AZ587" si="1015">+AE581</f>
        <v>10020</v>
      </c>
      <c r="BA581" s="145">
        <f t="shared" ref="BA581:BA587" si="1016">+AJ581</f>
        <v>6664</v>
      </c>
      <c r="BB581" s="145">
        <f t="shared" ref="BB581:BB587" si="1017">+AO581</f>
        <v>6914</v>
      </c>
      <c r="BC581" s="145">
        <f t="shared" ref="BC581:BC587" si="1018">+AP581</f>
        <v>7164</v>
      </c>
      <c r="BD581" s="892">
        <f t="shared" ref="BD581:BD587" si="1019">+AQ581</f>
        <v>7414</v>
      </c>
      <c r="BF581" s="900"/>
      <c r="BM581" s="902"/>
      <c r="BN581" s="902"/>
      <c r="BO581" s="902"/>
      <c r="BP581" s="902"/>
      <c r="BQ581" s="902"/>
      <c r="BR581" s="902"/>
      <c r="BS581" s="902"/>
    </row>
    <row r="582" spans="1:71" s="130" customFormat="1" ht="12.75" customHeight="1">
      <c r="A582" s="3373" t="s">
        <v>2197</v>
      </c>
      <c r="B582" s="3329"/>
      <c r="C582" s="3329"/>
      <c r="D582" s="3329"/>
      <c r="E582" s="3367" t="s">
        <v>2235</v>
      </c>
      <c r="F582" s="3367">
        <v>0</v>
      </c>
      <c r="G582" s="3330">
        <v>0</v>
      </c>
      <c r="H582" s="3330">
        <v>0</v>
      </c>
      <c r="I582" s="3330">
        <v>0</v>
      </c>
      <c r="J582" s="3330">
        <v>0</v>
      </c>
      <c r="K582" s="3329">
        <f t="shared" si="1001"/>
        <v>0</v>
      </c>
      <c r="L582" s="3330">
        <v>0</v>
      </c>
      <c r="M582" s="3330">
        <v>400</v>
      </c>
      <c r="N582" s="3330">
        <v>318</v>
      </c>
      <c r="O582" s="3330">
        <v>296</v>
      </c>
      <c r="P582" s="3329">
        <f t="shared" si="1002"/>
        <v>296</v>
      </c>
      <c r="Q582" s="3330">
        <v>300</v>
      </c>
      <c r="R582" s="3330">
        <v>299</v>
      </c>
      <c r="S582" s="3330">
        <v>164</v>
      </c>
      <c r="T582" s="3330">
        <v>164</v>
      </c>
      <c r="U582" s="3107">
        <f t="shared" si="1003"/>
        <v>164</v>
      </c>
      <c r="V582" s="3330">
        <v>162</v>
      </c>
      <c r="W582" s="3330">
        <v>164</v>
      </c>
      <c r="X582" s="3330">
        <v>164</v>
      </c>
      <c r="Y582" s="3330">
        <v>163</v>
      </c>
      <c r="Z582" s="3107">
        <f t="shared" si="1004"/>
        <v>163</v>
      </c>
      <c r="AA582" s="3330">
        <v>164</v>
      </c>
      <c r="AB582" s="3330">
        <v>164</v>
      </c>
      <c r="AC582" s="3330">
        <v>164</v>
      </c>
      <c r="AD582" s="3330">
        <v>164</v>
      </c>
      <c r="AE582" s="3148">
        <f t="shared" si="1005"/>
        <v>164</v>
      </c>
      <c r="AF582" s="3715">
        <v>0</v>
      </c>
      <c r="AG582" s="3715">
        <f>AG657</f>
        <v>0</v>
      </c>
      <c r="AH582" s="3715">
        <f>AH657</f>
        <v>0</v>
      </c>
      <c r="AI582" s="3716">
        <f>AI657</f>
        <v>0</v>
      </c>
      <c r="AJ582" s="3687">
        <f t="shared" si="1006"/>
        <v>0</v>
      </c>
      <c r="AK582" s="3716">
        <f t="shared" ref="AK582:AN582" si="1020">AK657</f>
        <v>0</v>
      </c>
      <c r="AL582" s="3716">
        <f t="shared" si="1020"/>
        <v>0</v>
      </c>
      <c r="AM582" s="3716">
        <f t="shared" si="1020"/>
        <v>0</v>
      </c>
      <c r="AN582" s="3716">
        <f t="shared" si="1020"/>
        <v>0</v>
      </c>
      <c r="AO582" s="3687">
        <f t="shared" si="1008"/>
        <v>0</v>
      </c>
      <c r="AP582" s="3688">
        <f>AP657</f>
        <v>0</v>
      </c>
      <c r="AQ582" s="3718">
        <f>AQ657</f>
        <v>0</v>
      </c>
      <c r="AR582" s="824"/>
      <c r="AS582" s="531" t="str">
        <f t="shared" si="1009"/>
        <v>Revolving Non-recourse Timeshare Notes Credit Facility</v>
      </c>
      <c r="AT582" s="145"/>
      <c r="AU582" s="145">
        <f t="shared" si="1010"/>
        <v>0</v>
      </c>
      <c r="AV582" s="145">
        <f t="shared" si="1011"/>
        <v>0</v>
      </c>
      <c r="AW582" s="145">
        <f t="shared" si="1012"/>
        <v>296</v>
      </c>
      <c r="AX582" s="145">
        <f t="shared" si="1013"/>
        <v>164</v>
      </c>
      <c r="AY582" s="145">
        <f t="shared" si="1014"/>
        <v>163</v>
      </c>
      <c r="AZ582" s="145">
        <f t="shared" si="1015"/>
        <v>164</v>
      </c>
      <c r="BA582" s="145">
        <f t="shared" si="1016"/>
        <v>0</v>
      </c>
      <c r="BB582" s="145">
        <f t="shared" si="1017"/>
        <v>0</v>
      </c>
      <c r="BC582" s="145">
        <f t="shared" si="1018"/>
        <v>0</v>
      </c>
      <c r="BD582" s="892">
        <f t="shared" si="1019"/>
        <v>0</v>
      </c>
      <c r="BE582" s="14"/>
      <c r="BF582" s="902"/>
      <c r="BG582"/>
      <c r="BH582"/>
      <c r="BI582"/>
      <c r="BJ582"/>
      <c r="BK582"/>
      <c r="BL582"/>
      <c r="BM582" s="902"/>
      <c r="BN582" s="902"/>
      <c r="BO582" s="902"/>
      <c r="BP582" s="902"/>
      <c r="BQ582" s="902"/>
      <c r="BR582" s="902"/>
      <c r="BS582" s="902"/>
    </row>
    <row r="583" spans="1:71" ht="12.75" customHeight="1">
      <c r="A583" s="3373" t="s">
        <v>2193</v>
      </c>
      <c r="B583" s="3107"/>
      <c r="C583" s="3107"/>
      <c r="D583" s="3107"/>
      <c r="E583" s="3143" t="s">
        <v>2235</v>
      </c>
      <c r="F583" s="3143">
        <v>439</v>
      </c>
      <c r="G583" s="3147">
        <v>407</v>
      </c>
      <c r="H583" s="3147">
        <v>429</v>
      </c>
      <c r="I583" s="3147">
        <v>436</v>
      </c>
      <c r="J583" s="3147">
        <v>405</v>
      </c>
      <c r="K583" s="3107">
        <f t="shared" si="1001"/>
        <v>405</v>
      </c>
      <c r="L583" s="3147">
        <v>307</v>
      </c>
      <c r="M583" s="3147">
        <f>706-M582</f>
        <v>306</v>
      </c>
      <c r="N583" s="3147">
        <f>653-N582</f>
        <v>335</v>
      </c>
      <c r="O583" s="3147">
        <f>920-O582</f>
        <v>624</v>
      </c>
      <c r="P583" s="3107">
        <f t="shared" si="1002"/>
        <v>624</v>
      </c>
      <c r="Q583" s="3147">
        <f>918-Q582</f>
        <v>618</v>
      </c>
      <c r="R583" s="3147">
        <f>890-R582</f>
        <v>591</v>
      </c>
      <c r="S583" s="3147">
        <f>813-S582</f>
        <v>649</v>
      </c>
      <c r="T583" s="3147">
        <f>752-T582</f>
        <v>588</v>
      </c>
      <c r="U583" s="3107">
        <f t="shared" si="1003"/>
        <v>588</v>
      </c>
      <c r="V583" s="3147">
        <f>711-V582</f>
        <v>549</v>
      </c>
      <c r="W583" s="3147">
        <f>644-W582</f>
        <v>480</v>
      </c>
      <c r="X583" s="3147">
        <f>623-X582</f>
        <v>459</v>
      </c>
      <c r="Y583" s="3147">
        <f>609-Y582</f>
        <v>446</v>
      </c>
      <c r="Z583" s="3107">
        <f t="shared" si="1004"/>
        <v>446</v>
      </c>
      <c r="AA583" s="3147">
        <f>377-AA582</f>
        <v>213</v>
      </c>
      <c r="AB583" s="3147">
        <f>357-AB582</f>
        <v>193</v>
      </c>
      <c r="AC583" s="3147">
        <f>337-AC582</f>
        <v>173</v>
      </c>
      <c r="AD583" s="3147">
        <f>621-AD582</f>
        <v>457</v>
      </c>
      <c r="AE583" s="3148">
        <f t="shared" si="1005"/>
        <v>457</v>
      </c>
      <c r="AF583" s="3689">
        <v>0</v>
      </c>
      <c r="AG583" s="3689">
        <f>AF583</f>
        <v>0</v>
      </c>
      <c r="AH583" s="3689">
        <v>0</v>
      </c>
      <c r="AI583" s="3685">
        <f>AH583</f>
        <v>0</v>
      </c>
      <c r="AJ583" s="3687">
        <f t="shared" si="1006"/>
        <v>0</v>
      </c>
      <c r="AK583" s="3685">
        <f t="shared" ref="AK583:AN583" si="1021">AJ583</f>
        <v>0</v>
      </c>
      <c r="AL583" s="3685">
        <f t="shared" si="1021"/>
        <v>0</v>
      </c>
      <c r="AM583" s="3685">
        <f t="shared" si="1021"/>
        <v>0</v>
      </c>
      <c r="AN583" s="3685">
        <f t="shared" si="1021"/>
        <v>0</v>
      </c>
      <c r="AO583" s="3687">
        <f t="shared" si="1008"/>
        <v>0</v>
      </c>
      <c r="AP583" s="3688">
        <f>AO583</f>
        <v>0</v>
      </c>
      <c r="AQ583" s="3688">
        <f>AP583</f>
        <v>0</v>
      </c>
      <c r="AR583" s="824"/>
      <c r="AS583" s="531" t="str">
        <f t="shared" si="1009"/>
        <v>Non-recourse Debt and Capital Lease Obligations of Consolidated Variable Interest Entities</v>
      </c>
      <c r="AT583" s="148"/>
      <c r="AU583" s="148">
        <f t="shared" si="1010"/>
        <v>439</v>
      </c>
      <c r="AV583" s="148">
        <f t="shared" si="1011"/>
        <v>405</v>
      </c>
      <c r="AW583" s="148">
        <f t="shared" si="1012"/>
        <v>624</v>
      </c>
      <c r="AX583" s="148">
        <f t="shared" si="1013"/>
        <v>588</v>
      </c>
      <c r="AY583" s="148">
        <f t="shared" si="1014"/>
        <v>446</v>
      </c>
      <c r="AZ583" s="148">
        <f t="shared" si="1015"/>
        <v>457</v>
      </c>
      <c r="BA583" s="148">
        <f t="shared" si="1016"/>
        <v>0</v>
      </c>
      <c r="BB583" s="148">
        <f t="shared" si="1017"/>
        <v>0</v>
      </c>
      <c r="BC583" s="148">
        <f t="shared" si="1018"/>
        <v>0</v>
      </c>
      <c r="BD583" s="720">
        <f t="shared" si="1019"/>
        <v>0</v>
      </c>
      <c r="BF583" s="900"/>
      <c r="BM583" s="902"/>
      <c r="BN583" s="902"/>
      <c r="BO583" s="902"/>
      <c r="BP583" s="902"/>
      <c r="BQ583" s="902"/>
      <c r="BR583" s="902"/>
      <c r="BS583" s="902"/>
    </row>
    <row r="584" spans="1:71" ht="12.75" customHeight="1">
      <c r="A584" s="3373" t="s">
        <v>575</v>
      </c>
      <c r="B584" s="3107"/>
      <c r="C584" s="3107"/>
      <c r="D584" s="3107"/>
      <c r="E584" s="3143"/>
      <c r="F584" s="3143">
        <v>-166</v>
      </c>
      <c r="G584" s="3147">
        <v>-157</v>
      </c>
      <c r="H584" s="3147">
        <v>-161</v>
      </c>
      <c r="I584" s="3147">
        <v>-163</v>
      </c>
      <c r="J584" s="3147">
        <v>-146</v>
      </c>
      <c r="K584" s="3107">
        <f t="shared" si="1001"/>
        <v>-146</v>
      </c>
      <c r="L584" s="3147">
        <v>-133</v>
      </c>
      <c r="M584" s="3147">
        <v>-127</v>
      </c>
      <c r="N584" s="3147">
        <v>-126</v>
      </c>
      <c r="O584" s="3147">
        <v>-87</v>
      </c>
      <c r="P584" s="3107">
        <f t="shared" si="1002"/>
        <v>-87</v>
      </c>
      <c r="Q584" s="3147">
        <v>-89</v>
      </c>
      <c r="R584" s="3147">
        <v>-87</v>
      </c>
      <c r="S584" s="3147">
        <v>-40</v>
      </c>
      <c r="T584" s="3147">
        <v>-38</v>
      </c>
      <c r="U584" s="3107">
        <f t="shared" si="1003"/>
        <v>-38</v>
      </c>
      <c r="V584" s="3147">
        <v>-40</v>
      </c>
      <c r="W584" s="3147">
        <v>-36</v>
      </c>
      <c r="X584" s="3147">
        <v>-34</v>
      </c>
      <c r="Y584" s="3147">
        <v>-34</v>
      </c>
      <c r="Z584" s="3107">
        <f t="shared" si="1004"/>
        <v>-34</v>
      </c>
      <c r="AA584" s="3147">
        <v>-32</v>
      </c>
      <c r="AB584" s="3147">
        <v>-29</v>
      </c>
      <c r="AC584" s="3147">
        <v>-25</v>
      </c>
      <c r="AD584" s="3147">
        <v>-50</v>
      </c>
      <c r="AE584" s="3148">
        <f t="shared" si="1005"/>
        <v>-50</v>
      </c>
      <c r="AF584" s="3689">
        <v>-2</v>
      </c>
      <c r="AG584" s="3689">
        <v>0</v>
      </c>
      <c r="AH584" s="3689">
        <v>1</v>
      </c>
      <c r="AI584" s="3685">
        <f>AH584-AI58+AI536+AI535+AI537</f>
        <v>1</v>
      </c>
      <c r="AJ584" s="3687">
        <f t="shared" si="1006"/>
        <v>1</v>
      </c>
      <c r="AK584" s="3685">
        <f>AJ584-AK58+AK536+AK535+AK537</f>
        <v>1</v>
      </c>
      <c r="AL584" s="3685">
        <f>AK584-AL58+AL536+AL535+AL537</f>
        <v>1</v>
      </c>
      <c r="AM584" s="3685">
        <f>AL584-AM58+AM536+AM535+AM537</f>
        <v>1</v>
      </c>
      <c r="AN584" s="3685">
        <f>AM584-AN58+AN536+AN535+AN537</f>
        <v>1</v>
      </c>
      <c r="AO584" s="3687">
        <f t="shared" si="1008"/>
        <v>1</v>
      </c>
      <c r="AP584" s="3688">
        <f>AO584-AP58+AP536+AP535+AP537</f>
        <v>1</v>
      </c>
      <c r="AQ584" s="3688">
        <f>AP584-AQ58+AQ536+AQ535+AQ537</f>
        <v>1</v>
      </c>
      <c r="AR584" s="824"/>
      <c r="AS584" s="531" t="str">
        <f t="shared" si="1009"/>
        <v>Minority Interest</v>
      </c>
      <c r="AT584" s="148"/>
      <c r="AU584" s="148">
        <f t="shared" si="1010"/>
        <v>-166</v>
      </c>
      <c r="AV584" s="148">
        <f t="shared" si="1011"/>
        <v>-146</v>
      </c>
      <c r="AW584" s="148">
        <f t="shared" si="1012"/>
        <v>-87</v>
      </c>
      <c r="AX584" s="148">
        <f t="shared" si="1013"/>
        <v>-38</v>
      </c>
      <c r="AY584" s="148">
        <f t="shared" si="1014"/>
        <v>-34</v>
      </c>
      <c r="AZ584" s="148">
        <f t="shared" si="1015"/>
        <v>-50</v>
      </c>
      <c r="BA584" s="148">
        <f t="shared" si="1016"/>
        <v>1</v>
      </c>
      <c r="BB584" s="148">
        <f t="shared" si="1017"/>
        <v>1</v>
      </c>
      <c r="BC584" s="148">
        <f t="shared" si="1018"/>
        <v>1</v>
      </c>
      <c r="BD584" s="720">
        <f t="shared" si="1019"/>
        <v>1</v>
      </c>
      <c r="BF584" s="900"/>
      <c r="BM584" s="902"/>
      <c r="BN584" s="902"/>
      <c r="BO584" s="902"/>
      <c r="BP584" s="902"/>
      <c r="BQ584" s="902"/>
      <c r="BR584" s="902"/>
      <c r="BS584" s="902"/>
    </row>
    <row r="585" spans="1:71" ht="12.75" customHeight="1">
      <c r="A585" s="3373" t="s">
        <v>2194</v>
      </c>
      <c r="B585" s="3107"/>
      <c r="C585" s="3107"/>
      <c r="D585" s="3107"/>
      <c r="E585" s="3143"/>
      <c r="F585" s="3143">
        <v>5006</v>
      </c>
      <c r="G585" s="3147">
        <v>5030</v>
      </c>
      <c r="H585" s="3147">
        <v>5027</v>
      </c>
      <c r="I585" s="3147">
        <v>5025</v>
      </c>
      <c r="J585" s="3147">
        <v>4948</v>
      </c>
      <c r="K585" s="3107">
        <f t="shared" si="1001"/>
        <v>4948</v>
      </c>
      <c r="L585" s="3147">
        <v>5082</v>
      </c>
      <c r="M585" s="3147">
        <v>5132</v>
      </c>
      <c r="N585" s="3147">
        <v>5040</v>
      </c>
      <c r="O585" s="3147">
        <v>5053</v>
      </c>
      <c r="P585" s="3107">
        <f t="shared" si="1002"/>
        <v>5053</v>
      </c>
      <c r="Q585" s="3147">
        <v>5111</v>
      </c>
      <c r="R585" s="3147">
        <v>5058</v>
      </c>
      <c r="S585" s="3147">
        <v>5137</v>
      </c>
      <c r="T585" s="3147">
        <v>5216</v>
      </c>
      <c r="U585" s="3107">
        <f t="shared" si="1003"/>
        <v>5216</v>
      </c>
      <c r="V585" s="3147">
        <v>5344</v>
      </c>
      <c r="W585" s="3147">
        <v>5192</v>
      </c>
      <c r="X585" s="3147">
        <v>5293</v>
      </c>
      <c r="Y585" s="3147">
        <v>4630</v>
      </c>
      <c r="Z585" s="3107">
        <f t="shared" si="1004"/>
        <v>4630</v>
      </c>
      <c r="AA585" s="3147">
        <v>4593</v>
      </c>
      <c r="AB585" s="3147">
        <v>4533</v>
      </c>
      <c r="AC585" s="3147">
        <v>4487</v>
      </c>
      <c r="AD585" s="3147">
        <v>4575</v>
      </c>
      <c r="AE585" s="3687">
        <f t="shared" si="1005"/>
        <v>4575</v>
      </c>
      <c r="AF585" s="3689">
        <v>1723</v>
      </c>
      <c r="AG585" s="3689">
        <v>1673</v>
      </c>
      <c r="AH585" s="3689">
        <v>1650</v>
      </c>
      <c r="AI585" s="3685">
        <f ca="1">+AH585+AI500</f>
        <v>935.52</v>
      </c>
      <c r="AJ585" s="3687">
        <f t="shared" ca="1" si="1006"/>
        <v>935.52</v>
      </c>
      <c r="AK585" s="3685">
        <f t="shared" ref="AK585:AN585" ca="1" si="1022">+AJ585+AK500</f>
        <v>911.20346734397424</v>
      </c>
      <c r="AL585" s="3685">
        <f t="shared" ca="1" si="1022"/>
        <v>895.25783241201691</v>
      </c>
      <c r="AM585" s="3685">
        <f t="shared" ca="1" si="1022"/>
        <v>880.86318382640707</v>
      </c>
      <c r="AN585" s="3685">
        <f t="shared" ca="1" si="1022"/>
        <v>860.54150582899729</v>
      </c>
      <c r="AO585" s="3687">
        <f t="shared" ca="1" si="1008"/>
        <v>860.54150582899729</v>
      </c>
      <c r="AP585" s="3688">
        <f ca="1">+AO585+AP500</f>
        <v>797.49931466641931</v>
      </c>
      <c r="AQ585" s="3688">
        <f ca="1">+AP585+AQ500</f>
        <v>735.88546451075058</v>
      </c>
      <c r="AR585" s="824"/>
      <c r="AS585" s="531" t="str">
        <f t="shared" si="1009"/>
        <v>Deferred Income Tax Liabilities</v>
      </c>
      <c r="AT585" s="148"/>
      <c r="AU585" s="148">
        <f t="shared" si="1010"/>
        <v>5006</v>
      </c>
      <c r="AV585" s="148">
        <f t="shared" si="1011"/>
        <v>4948</v>
      </c>
      <c r="AW585" s="148">
        <f t="shared" si="1012"/>
        <v>5053</v>
      </c>
      <c r="AX585" s="148">
        <f t="shared" si="1013"/>
        <v>5216</v>
      </c>
      <c r="AY585" s="148">
        <f t="shared" si="1014"/>
        <v>4630</v>
      </c>
      <c r="AZ585" s="148">
        <f t="shared" si="1015"/>
        <v>4575</v>
      </c>
      <c r="BA585" s="148">
        <f t="shared" ca="1" si="1016"/>
        <v>935.52</v>
      </c>
      <c r="BB585" s="148">
        <f t="shared" ca="1" si="1017"/>
        <v>860.54150582899729</v>
      </c>
      <c r="BC585" s="148">
        <f t="shared" ca="1" si="1018"/>
        <v>797.49931466641931</v>
      </c>
      <c r="BD585" s="720">
        <f t="shared" ca="1" si="1019"/>
        <v>735.88546451075058</v>
      </c>
      <c r="BF585" s="900"/>
      <c r="BM585" s="902"/>
      <c r="BN585" s="902"/>
      <c r="BO585" s="902"/>
      <c r="BP585" s="902"/>
      <c r="BQ585" s="902"/>
      <c r="BR585" s="902"/>
      <c r="BS585" s="902"/>
    </row>
    <row r="586" spans="1:71" ht="12.75" customHeight="1">
      <c r="A586" s="3373" t="s">
        <v>2195</v>
      </c>
      <c r="B586" s="3107"/>
      <c r="C586" s="3107"/>
      <c r="D586" s="3107"/>
      <c r="E586" s="3143"/>
      <c r="F586" s="3143">
        <v>512</v>
      </c>
      <c r="G586" s="3147">
        <v>526</v>
      </c>
      <c r="H586" s="3147">
        <v>540</v>
      </c>
      <c r="I586" s="3147">
        <v>552</v>
      </c>
      <c r="J586" s="3147">
        <v>503</v>
      </c>
      <c r="K586" s="3107">
        <f t="shared" si="1001"/>
        <v>503</v>
      </c>
      <c r="L586" s="3147">
        <v>511</v>
      </c>
      <c r="M586" s="3147">
        <v>529</v>
      </c>
      <c r="N586" s="3147">
        <v>546</v>
      </c>
      <c r="O586" s="3147">
        <v>597</v>
      </c>
      <c r="P586" s="3107">
        <f t="shared" si="1002"/>
        <v>597</v>
      </c>
      <c r="Q586" s="3300">
        <v>621</v>
      </c>
      <c r="R586" s="3300">
        <v>630</v>
      </c>
      <c r="S586" s="3300">
        <v>637</v>
      </c>
      <c r="T586" s="3300">
        <v>720</v>
      </c>
      <c r="U586" s="3301">
        <f t="shared" si="1003"/>
        <v>720</v>
      </c>
      <c r="V586" s="3300">
        <v>742</v>
      </c>
      <c r="W586" s="3300">
        <v>744</v>
      </c>
      <c r="X586" s="3300">
        <v>754</v>
      </c>
      <c r="Y586" s="3300">
        <v>784</v>
      </c>
      <c r="Z586" s="3301">
        <f t="shared" si="1004"/>
        <v>784</v>
      </c>
      <c r="AA586" s="3300">
        <v>803</v>
      </c>
      <c r="AB586" s="3300">
        <v>833</v>
      </c>
      <c r="AC586" s="3300">
        <v>853</v>
      </c>
      <c r="AD586" s="3300">
        <v>889</v>
      </c>
      <c r="AE586" s="3301">
        <f t="shared" si="1005"/>
        <v>889</v>
      </c>
      <c r="AF586" s="3690">
        <v>898</v>
      </c>
      <c r="AG586" s="3690">
        <v>884</v>
      </c>
      <c r="AH586" s="3690">
        <v>879</v>
      </c>
      <c r="AI586" s="3691">
        <f>AH586+AI501</f>
        <v>905</v>
      </c>
      <c r="AJ586" s="3694">
        <f t="shared" si="1006"/>
        <v>905</v>
      </c>
      <c r="AK586" s="3691">
        <f t="shared" ref="AK586:AN586" si="1023">AJ586+AK501</f>
        <v>919.16235579071088</v>
      </c>
      <c r="AL586" s="3691">
        <f t="shared" si="1023"/>
        <v>1016.4177968962199</v>
      </c>
      <c r="AM586" s="3691">
        <f t="shared" si="1023"/>
        <v>1029.5587178528767</v>
      </c>
      <c r="AN586" s="3691">
        <f t="shared" si="1023"/>
        <v>1057.8095015706469</v>
      </c>
      <c r="AO586" s="3693">
        <f t="shared" si="1008"/>
        <v>1057.8095015706469</v>
      </c>
      <c r="AP586" s="3694">
        <f>AO586+AP501</f>
        <v>1222.1266756656419</v>
      </c>
      <c r="AQ586" s="3694">
        <f>AP586+AQ501</f>
        <v>1389.3496559604828</v>
      </c>
      <c r="AR586" s="824"/>
      <c r="AS586" s="531" t="str">
        <f t="shared" si="1009"/>
        <v>Liability for Guest Loyalty Program</v>
      </c>
      <c r="AT586" s="148"/>
      <c r="AU586" s="148">
        <f t="shared" si="1010"/>
        <v>512</v>
      </c>
      <c r="AV586" s="148">
        <f t="shared" si="1011"/>
        <v>503</v>
      </c>
      <c r="AW586" s="148">
        <f t="shared" si="1012"/>
        <v>597</v>
      </c>
      <c r="AX586" s="148">
        <f t="shared" si="1013"/>
        <v>720</v>
      </c>
      <c r="AY586" s="148">
        <f t="shared" si="1014"/>
        <v>784</v>
      </c>
      <c r="AZ586" s="148">
        <f t="shared" si="1015"/>
        <v>889</v>
      </c>
      <c r="BA586" s="148">
        <f t="shared" si="1016"/>
        <v>905</v>
      </c>
      <c r="BB586" s="148">
        <f t="shared" si="1017"/>
        <v>1057.8095015706469</v>
      </c>
      <c r="BC586" s="148">
        <f t="shared" si="1018"/>
        <v>1222.1266756656419</v>
      </c>
      <c r="BD586" s="720">
        <f t="shared" si="1019"/>
        <v>1389.3496559604828</v>
      </c>
      <c r="BF586" s="900"/>
      <c r="BM586" s="902"/>
      <c r="BN586" s="902"/>
      <c r="BO586" s="902"/>
      <c r="BP586" s="902"/>
      <c r="BQ586" s="902"/>
      <c r="BR586" s="902"/>
      <c r="BS586" s="902"/>
    </row>
    <row r="587" spans="1:71" ht="12.75" customHeight="1">
      <c r="A587" s="3373" t="s">
        <v>395</v>
      </c>
      <c r="B587" s="3107"/>
      <c r="C587" s="3107"/>
      <c r="D587" s="3107"/>
      <c r="E587" s="3143"/>
      <c r="F587" s="3143">
        <v>1477</v>
      </c>
      <c r="G587" s="3147">
        <v>1437</v>
      </c>
      <c r="H587" s="3147">
        <v>1482</v>
      </c>
      <c r="I587" s="3147">
        <v>1482</v>
      </c>
      <c r="J587" s="3147">
        <v>1523</v>
      </c>
      <c r="K587" s="3107">
        <f t="shared" si="1001"/>
        <v>1523</v>
      </c>
      <c r="L587" s="3147">
        <v>1554</v>
      </c>
      <c r="M587" s="3147">
        <v>1573</v>
      </c>
      <c r="N587" s="3147">
        <v>1604</v>
      </c>
      <c r="O587" s="3147">
        <f>1149+674</f>
        <v>1823</v>
      </c>
      <c r="P587" s="3107">
        <f t="shared" si="1002"/>
        <v>1823</v>
      </c>
      <c r="Q587" s="3147">
        <f>1127+632</f>
        <v>1759</v>
      </c>
      <c r="R587" s="3147">
        <f>1145+593</f>
        <v>1738</v>
      </c>
      <c r="S587" s="3147">
        <f>1179+544</f>
        <v>1723</v>
      </c>
      <c r="T587" s="3147">
        <f>495+1168</f>
        <v>1663</v>
      </c>
      <c r="U587" s="3107">
        <f t="shared" si="1003"/>
        <v>1663</v>
      </c>
      <c r="V587" s="3147">
        <f>1169+447</f>
        <v>1616</v>
      </c>
      <c r="W587" s="3147">
        <f>1181+395</f>
        <v>1576</v>
      </c>
      <c r="X587" s="3147">
        <f>1238+341</f>
        <v>1579</v>
      </c>
      <c r="Y587" s="3147">
        <f>1282+283</f>
        <v>1565</v>
      </c>
      <c r="Z587" s="3107">
        <f t="shared" si="1004"/>
        <v>1565</v>
      </c>
      <c r="AA587" s="3147">
        <f>1092+228</f>
        <v>1320</v>
      </c>
      <c r="AB587" s="3147">
        <f>1060+161</f>
        <v>1221</v>
      </c>
      <c r="AC587" s="3147">
        <f>1126+96</f>
        <v>1222</v>
      </c>
      <c r="AD587" s="3147">
        <f>1509+64</f>
        <v>1573</v>
      </c>
      <c r="AE587" s="3687">
        <f t="shared" si="1005"/>
        <v>1573</v>
      </c>
      <c r="AF587" s="3689">
        <f>1493+22</f>
        <v>1515</v>
      </c>
      <c r="AG587" s="3689">
        <f>1537+99</f>
        <v>1636</v>
      </c>
      <c r="AH587" s="3689">
        <f>1554+95</f>
        <v>1649</v>
      </c>
      <c r="AI587" s="3685">
        <f t="shared" ref="AI587:AQ587" si="1024">AH587+AI495+AI511+AI538</f>
        <v>1649</v>
      </c>
      <c r="AJ587" s="3687">
        <f>AI587+AJ495</f>
        <v>1649</v>
      </c>
      <c r="AK587" s="3685">
        <f t="shared" ref="AK587" si="1025">AJ587+AK495+AK511+AK538</f>
        <v>1649</v>
      </c>
      <c r="AL587" s="3685">
        <f t="shared" ref="AL587" si="1026">AK587+AL495+AL511+AL538</f>
        <v>1649</v>
      </c>
      <c r="AM587" s="3685">
        <f t="shared" ref="AM587" si="1027">AL587+AM495+AM511+AM538</f>
        <v>1649</v>
      </c>
      <c r="AN587" s="3685">
        <f t="shared" ref="AN587" si="1028">AM587+AN495+AN511+AN538</f>
        <v>1649</v>
      </c>
      <c r="AO587" s="3687">
        <f>AN587+AO495</f>
        <v>1649</v>
      </c>
      <c r="AP587" s="3688">
        <f t="shared" si="1024"/>
        <v>1649</v>
      </c>
      <c r="AQ587" s="3688">
        <f t="shared" si="1024"/>
        <v>1649</v>
      </c>
      <c r="AR587" s="824"/>
      <c r="AS587" s="531" t="str">
        <f t="shared" si="1009"/>
        <v>Other</v>
      </c>
      <c r="AT587" s="148"/>
      <c r="AU587" s="148">
        <f t="shared" si="1010"/>
        <v>1477</v>
      </c>
      <c r="AV587" s="148">
        <f t="shared" si="1011"/>
        <v>1523</v>
      </c>
      <c r="AW587" s="148">
        <f t="shared" si="1012"/>
        <v>1823</v>
      </c>
      <c r="AX587" s="148">
        <f t="shared" si="1013"/>
        <v>1663</v>
      </c>
      <c r="AY587" s="148">
        <f t="shared" si="1014"/>
        <v>1565</v>
      </c>
      <c r="AZ587" s="148">
        <f t="shared" si="1015"/>
        <v>1573</v>
      </c>
      <c r="BA587" s="148">
        <f t="shared" si="1016"/>
        <v>1649</v>
      </c>
      <c r="BB587" s="148">
        <f t="shared" si="1017"/>
        <v>1649</v>
      </c>
      <c r="BC587" s="148">
        <f t="shared" si="1018"/>
        <v>1649</v>
      </c>
      <c r="BD587" s="720">
        <f t="shared" si="1019"/>
        <v>1649</v>
      </c>
      <c r="BF587" s="900"/>
      <c r="BM587" s="902"/>
      <c r="BN587" s="902"/>
      <c r="BO587" s="902"/>
      <c r="BP587" s="902"/>
      <c r="BQ587" s="902"/>
      <c r="BR587" s="902"/>
      <c r="BS587" s="902"/>
    </row>
    <row r="588" spans="1:71" ht="12.75" customHeight="1">
      <c r="A588" s="3374"/>
      <c r="B588" s="3195"/>
      <c r="C588" s="3195"/>
      <c r="D588" s="3195"/>
      <c r="E588" s="3195"/>
      <c r="F588" s="3195"/>
      <c r="G588" s="3210"/>
      <c r="H588" s="3210"/>
      <c r="I588" s="3210"/>
      <c r="J588" s="3210"/>
      <c r="K588" s="3195"/>
      <c r="L588" s="3210"/>
      <c r="M588" s="3210"/>
      <c r="N588" s="3210"/>
      <c r="O588" s="3210"/>
      <c r="P588" s="3195"/>
      <c r="Q588" s="3210"/>
      <c r="R588" s="3210"/>
      <c r="S588" s="3210"/>
      <c r="T588" s="3210"/>
      <c r="U588" s="3195"/>
      <c r="V588" s="3210"/>
      <c r="W588" s="3210"/>
      <c r="X588" s="3210"/>
      <c r="Y588" s="3210"/>
      <c r="Z588" s="3195"/>
      <c r="AA588" s="3210"/>
      <c r="AB588" s="3210"/>
      <c r="AC588" s="3210"/>
      <c r="AD588" s="3210"/>
      <c r="AE588" s="3195"/>
      <c r="AF588" s="3746"/>
      <c r="AG588" s="3746"/>
      <c r="AH588" s="4044"/>
      <c r="AI588" s="3746"/>
      <c r="AJ588" s="3747"/>
      <c r="AK588" s="3746"/>
      <c r="AL588" s="3746"/>
      <c r="AM588" s="3746"/>
      <c r="AN588" s="3746"/>
      <c r="AO588" s="3968"/>
      <c r="AP588" s="3747"/>
      <c r="AQ588" s="3747"/>
      <c r="AR588" s="267"/>
      <c r="AS588" s="494"/>
      <c r="AT588" s="267"/>
      <c r="AU588" s="267"/>
      <c r="AV588" s="267"/>
      <c r="AW588" s="267"/>
      <c r="AX588" s="267"/>
      <c r="AY588" s="267"/>
      <c r="AZ588" s="267"/>
      <c r="BA588" s="267"/>
      <c r="BB588" s="267"/>
      <c r="BC588" s="267"/>
      <c r="BD588" s="851"/>
      <c r="BF588" s="900"/>
      <c r="BM588" s="902"/>
      <c r="BN588" s="902"/>
      <c r="BO588" s="902"/>
      <c r="BP588" s="902"/>
      <c r="BQ588" s="902"/>
      <c r="BR588" s="902"/>
      <c r="BS588" s="902"/>
    </row>
    <row r="589" spans="1:71" ht="12.75" customHeight="1">
      <c r="A589" s="3356" t="s">
        <v>1841</v>
      </c>
      <c r="B589" s="3229"/>
      <c r="C589" s="3229"/>
      <c r="D589" s="3229"/>
      <c r="E589" s="3229"/>
      <c r="F589" s="3229"/>
      <c r="G589" s="3166"/>
      <c r="H589" s="3166"/>
      <c r="I589" s="3166"/>
      <c r="J589" s="3166"/>
      <c r="K589" s="3229"/>
      <c r="L589" s="3166"/>
      <c r="M589" s="3166"/>
      <c r="N589" s="3166"/>
      <c r="O589" s="3166"/>
      <c r="P589" s="3229"/>
      <c r="Q589" s="3166"/>
      <c r="R589" s="3166"/>
      <c r="S589" s="3166"/>
      <c r="T589" s="3166"/>
      <c r="U589" s="3229"/>
      <c r="V589" s="3166"/>
      <c r="W589" s="3166"/>
      <c r="X589" s="3166"/>
      <c r="Y589" s="3166"/>
      <c r="Z589" s="3229"/>
      <c r="AA589" s="3166"/>
      <c r="AB589" s="3166"/>
      <c r="AC589" s="3166"/>
      <c r="AD589" s="3166"/>
      <c r="AE589" s="3229"/>
      <c r="AF589" s="3678"/>
      <c r="AG589" s="3678"/>
      <c r="AH589" s="4036"/>
      <c r="AI589" s="3678"/>
      <c r="AJ589" s="3680"/>
      <c r="AK589" s="3678"/>
      <c r="AL589" s="3678"/>
      <c r="AM589" s="3678"/>
      <c r="AN589" s="3678"/>
      <c r="AO589" s="3720"/>
      <c r="AP589" s="3680"/>
      <c r="AQ589" s="3680"/>
      <c r="AR589" s="155"/>
      <c r="AS589" s="385" t="str">
        <f t="shared" ref="AS589:AS595" si="1029">+A589</f>
        <v>Shareholders' Equity</v>
      </c>
      <c r="AT589" s="155"/>
      <c r="AU589" s="155"/>
      <c r="AV589" s="155"/>
      <c r="AW589" s="155"/>
      <c r="AX589" s="155"/>
      <c r="AY589" s="155"/>
      <c r="AZ589" s="155"/>
      <c r="BA589" s="155"/>
      <c r="BB589" s="155"/>
      <c r="BC589" s="155"/>
      <c r="BD589" s="867"/>
      <c r="BF589" s="900"/>
      <c r="BM589" s="902"/>
      <c r="BN589" s="902"/>
      <c r="BO589" s="902"/>
      <c r="BP589" s="902"/>
      <c r="BQ589" s="902"/>
      <c r="BR589" s="902"/>
      <c r="BS589" s="902"/>
    </row>
    <row r="590" spans="1:71" ht="12.75" customHeight="1">
      <c r="A590" s="3373" t="s">
        <v>1759</v>
      </c>
      <c r="B590" s="3107"/>
      <c r="C590" s="3107"/>
      <c r="D590" s="3107"/>
      <c r="E590" s="3143"/>
      <c r="F590" s="3143">
        <v>1</v>
      </c>
      <c r="G590" s="3147">
        <v>1</v>
      </c>
      <c r="H590" s="3147">
        <v>1</v>
      </c>
      <c r="I590" s="3147">
        <v>1</v>
      </c>
      <c r="J590" s="3147">
        <v>1</v>
      </c>
      <c r="K590" s="3107">
        <f>J590</f>
        <v>1</v>
      </c>
      <c r="L590" s="3147">
        <v>1</v>
      </c>
      <c r="M590" s="3147">
        <v>1</v>
      </c>
      <c r="N590" s="3147">
        <v>1</v>
      </c>
      <c r="O590" s="3147">
        <v>10</v>
      </c>
      <c r="P590" s="3107">
        <f>O590</f>
        <v>10</v>
      </c>
      <c r="Q590" s="3147">
        <v>10</v>
      </c>
      <c r="R590" s="3147">
        <v>10</v>
      </c>
      <c r="S590" s="3147">
        <v>10</v>
      </c>
      <c r="T590" s="3147">
        <v>10</v>
      </c>
      <c r="U590" s="3107">
        <f>T590</f>
        <v>10</v>
      </c>
      <c r="V590" s="3147">
        <v>10</v>
      </c>
      <c r="W590" s="3147">
        <v>10</v>
      </c>
      <c r="X590" s="3147">
        <v>10</v>
      </c>
      <c r="Y590" s="3147">
        <f t="shared" ref="Y590:AQ590" si="1030">X590</f>
        <v>10</v>
      </c>
      <c r="Z590" s="3107">
        <f t="shared" si="1030"/>
        <v>10</v>
      </c>
      <c r="AA590" s="3147">
        <f>Z590</f>
        <v>10</v>
      </c>
      <c r="AB590" s="3147">
        <f t="shared" si="1030"/>
        <v>10</v>
      </c>
      <c r="AC590" s="3147">
        <v>10</v>
      </c>
      <c r="AD590" s="3147">
        <v>10</v>
      </c>
      <c r="AE590" s="3107">
        <f t="shared" si="1030"/>
        <v>10</v>
      </c>
      <c r="AF590" s="3689">
        <v>3</v>
      </c>
      <c r="AG590" s="3689">
        <v>3</v>
      </c>
      <c r="AH590" s="3689">
        <v>3</v>
      </c>
      <c r="AI590" s="3685">
        <f t="shared" si="1030"/>
        <v>3</v>
      </c>
      <c r="AJ590" s="3688">
        <f t="shared" si="1030"/>
        <v>3</v>
      </c>
      <c r="AK590" s="3685">
        <f t="shared" ref="AK590" si="1031">AJ590</f>
        <v>3</v>
      </c>
      <c r="AL590" s="3685">
        <f t="shared" ref="AL590" si="1032">AK590</f>
        <v>3</v>
      </c>
      <c r="AM590" s="3685">
        <f t="shared" ref="AM590" si="1033">AL590</f>
        <v>3</v>
      </c>
      <c r="AN590" s="3685">
        <f t="shared" ref="AN590" si="1034">AM590</f>
        <v>3</v>
      </c>
      <c r="AO590" s="3687">
        <f t="shared" si="1030"/>
        <v>3</v>
      </c>
      <c r="AP590" s="3688">
        <f t="shared" si="1030"/>
        <v>3</v>
      </c>
      <c r="AQ590" s="3688">
        <f t="shared" si="1030"/>
        <v>3</v>
      </c>
      <c r="AR590" s="824"/>
      <c r="AS590" s="531" t="str">
        <f t="shared" si="1029"/>
        <v>Common Stock</v>
      </c>
      <c r="AT590" s="148"/>
      <c r="AU590" s="148">
        <f>+F590</f>
        <v>1</v>
      </c>
      <c r="AV590" s="148">
        <f>+K590</f>
        <v>1</v>
      </c>
      <c r="AW590" s="148">
        <f>+P590</f>
        <v>10</v>
      </c>
      <c r="AX590" s="148">
        <f>+U590</f>
        <v>10</v>
      </c>
      <c r="AY590" s="148">
        <f>+Z590</f>
        <v>10</v>
      </c>
      <c r="AZ590" s="148">
        <f>+AE590</f>
        <v>10</v>
      </c>
      <c r="BA590" s="148">
        <f>+AJ590</f>
        <v>3</v>
      </c>
      <c r="BB590" s="148">
        <f t="shared" ref="BB590:BD595" si="1035">+AO590</f>
        <v>3</v>
      </c>
      <c r="BC590" s="148">
        <f t="shared" si="1035"/>
        <v>3</v>
      </c>
      <c r="BD590" s="720">
        <f t="shared" si="1035"/>
        <v>3</v>
      </c>
      <c r="BF590" s="900"/>
      <c r="BM590" s="902"/>
      <c r="BN590" s="902"/>
      <c r="BO590" s="931"/>
      <c r="BP590" s="931"/>
      <c r="BQ590" s="902"/>
      <c r="BR590" s="902"/>
      <c r="BS590" s="902"/>
    </row>
    <row r="591" spans="1:71" ht="12.75" customHeight="1">
      <c r="A591" s="3754" t="s">
        <v>3034</v>
      </c>
      <c r="B591" s="3107"/>
      <c r="C591" s="3107"/>
      <c r="D591" s="3107"/>
      <c r="E591" s="3143"/>
      <c r="F591" s="3143"/>
      <c r="G591" s="3147"/>
      <c r="H591" s="3147"/>
      <c r="I591" s="3147"/>
      <c r="J591" s="3147"/>
      <c r="K591" s="3107"/>
      <c r="L591" s="3147"/>
      <c r="M591" s="3147"/>
      <c r="N591" s="3147"/>
      <c r="O591" s="3147"/>
      <c r="P591" s="3107"/>
      <c r="Q591" s="3147"/>
      <c r="R591" s="3147"/>
      <c r="S591" s="3147"/>
      <c r="T591" s="3147"/>
      <c r="U591" s="3107"/>
      <c r="V591" s="3147"/>
      <c r="W591" s="3147"/>
      <c r="X591" s="3147"/>
      <c r="Y591" s="3147"/>
      <c r="Z591" s="3107"/>
      <c r="AA591" s="3147"/>
      <c r="AB591" s="3147"/>
      <c r="AC591" s="3147"/>
      <c r="AD591" s="3147"/>
      <c r="AE591" s="3107"/>
      <c r="AF591" s="3689">
        <v>-70</v>
      </c>
      <c r="AG591" s="3689">
        <v>-352</v>
      </c>
      <c r="AH591" s="3689">
        <v>-625</v>
      </c>
      <c r="AI591" s="3685">
        <f>+AH591+AI529</f>
        <v>-900</v>
      </c>
      <c r="AJ591" s="3688">
        <f>+AI591</f>
        <v>-900</v>
      </c>
      <c r="AK591" s="3685">
        <f t="shared" ref="AK591:AN591" si="1036">+AJ591+AK529</f>
        <v>-1200</v>
      </c>
      <c r="AL591" s="3685">
        <f t="shared" si="1036"/>
        <v>-1500</v>
      </c>
      <c r="AM591" s="3685">
        <f t="shared" si="1036"/>
        <v>-1800</v>
      </c>
      <c r="AN591" s="3685">
        <f t="shared" si="1036"/>
        <v>-2100</v>
      </c>
      <c r="AO591" s="3687">
        <f>+AN591</f>
        <v>-2100</v>
      </c>
      <c r="AP591" s="3688">
        <f>+AO591+AP529</f>
        <v>-3300</v>
      </c>
      <c r="AQ591" s="3688">
        <f>+AP591+AQ529</f>
        <v>-3900</v>
      </c>
      <c r="AR591" s="824"/>
      <c r="AS591" s="531" t="str">
        <f t="shared" si="1029"/>
        <v>Treasury Stock</v>
      </c>
      <c r="AT591" s="148"/>
      <c r="AU591" s="148"/>
      <c r="AV591" s="148"/>
      <c r="AW591" s="148"/>
      <c r="AX591" s="148"/>
      <c r="AY591" s="148"/>
      <c r="AZ591" s="148"/>
      <c r="BA591" s="148"/>
      <c r="BB591" s="148"/>
      <c r="BC591" s="148"/>
      <c r="BD591" s="720"/>
      <c r="BF591" s="900"/>
      <c r="BM591" s="902"/>
      <c r="BN591" s="902"/>
      <c r="BO591" s="931"/>
      <c r="BP591" s="931"/>
      <c r="BQ591" s="902"/>
      <c r="BR591" s="902"/>
      <c r="BS591" s="902"/>
    </row>
    <row r="592" spans="1:71" ht="12.75" customHeight="1">
      <c r="A592" s="3373" t="s">
        <v>688</v>
      </c>
      <c r="B592" s="3107"/>
      <c r="C592" s="3107"/>
      <c r="D592" s="3107"/>
      <c r="E592" s="3143"/>
      <c r="F592" s="3143">
        <v>8454</v>
      </c>
      <c r="G592" s="3147">
        <v>8454</v>
      </c>
      <c r="H592" s="3147">
        <v>8454</v>
      </c>
      <c r="I592" s="3147">
        <v>8454</v>
      </c>
      <c r="J592" s="3147">
        <v>8452</v>
      </c>
      <c r="K592" s="3107">
        <f>J592</f>
        <v>8452</v>
      </c>
      <c r="L592" s="3147">
        <v>8452</v>
      </c>
      <c r="M592" s="3147">
        <v>8452</v>
      </c>
      <c r="N592" s="3147">
        <v>8452</v>
      </c>
      <c r="O592" s="3147">
        <v>9948</v>
      </c>
      <c r="P592" s="3107">
        <f>O592</f>
        <v>9948</v>
      </c>
      <c r="Q592" s="3147">
        <v>9970</v>
      </c>
      <c r="R592" s="3147">
        <v>10009</v>
      </c>
      <c r="S592" s="3147">
        <v>10000</v>
      </c>
      <c r="T592" s="3147">
        <v>10028</v>
      </c>
      <c r="U592" s="3107">
        <f>T592</f>
        <v>10028</v>
      </c>
      <c r="V592" s="3147">
        <v>10028</v>
      </c>
      <c r="W592" s="3147">
        <v>10115</v>
      </c>
      <c r="X592" s="3147">
        <v>10134</v>
      </c>
      <c r="Y592" s="3147">
        <v>10151</v>
      </c>
      <c r="Z592" s="3107">
        <f>Y592</f>
        <v>10151</v>
      </c>
      <c r="AA592" s="3147">
        <v>10153</v>
      </c>
      <c r="AB592" s="3147">
        <v>10175</v>
      </c>
      <c r="AC592" s="3147">
        <v>10198</v>
      </c>
      <c r="AD592" s="3147">
        <v>10213</v>
      </c>
      <c r="AE592" s="3107">
        <f>AD592</f>
        <v>10213</v>
      </c>
      <c r="AF592" s="3689">
        <v>10214</v>
      </c>
      <c r="AG592" s="3689">
        <v>10245</v>
      </c>
      <c r="AH592" s="3689">
        <v>10273</v>
      </c>
      <c r="AI592" s="3685">
        <f>AH592+AI534+AI497</f>
        <v>10303</v>
      </c>
      <c r="AJ592" s="3688">
        <f>AI592</f>
        <v>10303</v>
      </c>
      <c r="AK592" s="3685">
        <f t="shared" ref="AK592:AN592" si="1037">AJ592+AK534+AK497</f>
        <v>10329</v>
      </c>
      <c r="AL592" s="3685">
        <f t="shared" si="1037"/>
        <v>10362</v>
      </c>
      <c r="AM592" s="3685">
        <f t="shared" si="1037"/>
        <v>10393</v>
      </c>
      <c r="AN592" s="3685">
        <f t="shared" si="1037"/>
        <v>10423</v>
      </c>
      <c r="AO592" s="3687">
        <f>AN592</f>
        <v>10423</v>
      </c>
      <c r="AP592" s="3688">
        <f>AO592+AP534+AP497</f>
        <v>10543</v>
      </c>
      <c r="AQ592" s="3688">
        <f>AP592+AQ534+AQ497</f>
        <v>10663</v>
      </c>
      <c r="AR592" s="824"/>
      <c r="AS592" s="531" t="str">
        <f t="shared" si="1029"/>
        <v>Additional Paid-In Capital</v>
      </c>
      <c r="AT592" s="148"/>
      <c r="AU592" s="148">
        <f>+F592</f>
        <v>8454</v>
      </c>
      <c r="AV592" s="148">
        <f>+K592</f>
        <v>8452</v>
      </c>
      <c r="AW592" s="148">
        <f>+P592</f>
        <v>9948</v>
      </c>
      <c r="AX592" s="148">
        <f>+U592</f>
        <v>10028</v>
      </c>
      <c r="AY592" s="148">
        <f>+Z592</f>
        <v>10151</v>
      </c>
      <c r="AZ592" s="148">
        <f>+AE592</f>
        <v>10213</v>
      </c>
      <c r="BA592" s="148">
        <f>+AJ592</f>
        <v>10303</v>
      </c>
      <c r="BB592" s="148">
        <f t="shared" si="1035"/>
        <v>10423</v>
      </c>
      <c r="BC592" s="148">
        <f t="shared" si="1035"/>
        <v>10543</v>
      </c>
      <c r="BD592" s="720">
        <f t="shared" si="1035"/>
        <v>10663</v>
      </c>
      <c r="BF592" s="900"/>
      <c r="BM592" s="902"/>
      <c r="BN592" s="902"/>
      <c r="BO592" s="931"/>
      <c r="BP592" s="931"/>
      <c r="BQ592" s="902"/>
      <c r="BR592" s="902"/>
      <c r="BS592" s="902"/>
    </row>
    <row r="593" spans="1:71" ht="12.75" customHeight="1">
      <c r="A593" s="3373" t="s">
        <v>1760</v>
      </c>
      <c r="B593" s="3107"/>
      <c r="C593" s="3107"/>
      <c r="D593" s="3107"/>
      <c r="E593" s="3143"/>
      <c r="F593" s="3143">
        <v>-6098</v>
      </c>
      <c r="G593" s="3147">
        <v>-6050</v>
      </c>
      <c r="H593" s="3147">
        <v>-5984</v>
      </c>
      <c r="I593" s="3147">
        <v>-5807</v>
      </c>
      <c r="J593" s="3147">
        <v>-5746</v>
      </c>
      <c r="K593" s="3107">
        <f>J593</f>
        <v>-5746</v>
      </c>
      <c r="L593" s="3147">
        <v>-5712</v>
      </c>
      <c r="M593" s="3147">
        <v>-5557</v>
      </c>
      <c r="N593" s="3147">
        <v>-5357</v>
      </c>
      <c r="O593" s="3147">
        <v>-5331</v>
      </c>
      <c r="P593" s="3107">
        <f>O593</f>
        <v>-5331</v>
      </c>
      <c r="Q593" s="3147">
        <v>-5208</v>
      </c>
      <c r="R593" s="3147">
        <v>-4999</v>
      </c>
      <c r="S593" s="3147">
        <v>-4816</v>
      </c>
      <c r="T593" s="3147">
        <v>-4658</v>
      </c>
      <c r="U593" s="3107">
        <f>T593</f>
        <v>-4658</v>
      </c>
      <c r="V593" s="3147">
        <v>-4508</v>
      </c>
      <c r="W593" s="3147">
        <v>-4347</v>
      </c>
      <c r="X593" s="3147">
        <v>-4137</v>
      </c>
      <c r="Y593" s="3147">
        <v>-3392</v>
      </c>
      <c r="Z593" s="3107">
        <f>Y593</f>
        <v>-3392</v>
      </c>
      <c r="AA593" s="3147">
        <v>-3152</v>
      </c>
      <c r="AB593" s="3147">
        <v>-2984</v>
      </c>
      <c r="AC593" s="3147">
        <v>-2866</v>
      </c>
      <c r="AD593" s="3147">
        <v>-3323</v>
      </c>
      <c r="AE593" s="3107">
        <f>AD593</f>
        <v>-3323</v>
      </c>
      <c r="AF593" s="3689">
        <f>+-7631</f>
        <v>-7631</v>
      </c>
      <c r="AG593" s="3689">
        <v>-7514</v>
      </c>
      <c r="AH593" s="3689">
        <v>-7384</v>
      </c>
      <c r="AI593" s="3685">
        <f ca="1">AH593+AI60+AI530</f>
        <v>-6590.6208061259804</v>
      </c>
      <c r="AJ593" s="3688">
        <f ca="1">AI593</f>
        <v>-6590.6208061259804</v>
      </c>
      <c r="AK593" s="3685">
        <f ca="1">AJ593+AK60+AK530</f>
        <v>-6495.1283716200696</v>
      </c>
      <c r="AL593" s="3685">
        <f ca="1">AK593+AL60+AL530</f>
        <v>-6310.9836218277778</v>
      </c>
      <c r="AM593" s="3685">
        <f ca="1">AL593+AM60+AM530</f>
        <v>-6121.1911292280056</v>
      </c>
      <c r="AN593" s="3685">
        <f ca="1">AM593+AN60+AN530</f>
        <v>-5968.9801665894356</v>
      </c>
      <c r="AO593" s="3687">
        <f ca="1">AN593</f>
        <v>-5968.9801665894356</v>
      </c>
      <c r="AP593" s="3688">
        <f ca="1">AO593+AP60+AP530</f>
        <v>-5243.367203918795</v>
      </c>
      <c r="AQ593" s="3688">
        <f ca="1">AP593+AQ60+AQ530</f>
        <v>-4490.8955082789926</v>
      </c>
      <c r="AR593" s="824"/>
      <c r="AS593" s="531" t="str">
        <f t="shared" si="1029"/>
        <v>Retained Earnings</v>
      </c>
      <c r="AT593" s="148"/>
      <c r="AU593" s="148">
        <f>+F593</f>
        <v>-6098</v>
      </c>
      <c r="AV593" s="148">
        <f>+K593</f>
        <v>-5746</v>
      </c>
      <c r="AW593" s="148">
        <f>+P593</f>
        <v>-5331</v>
      </c>
      <c r="AX593" s="148">
        <f>+U593</f>
        <v>-4658</v>
      </c>
      <c r="AY593" s="148">
        <f>+Z593</f>
        <v>-3392</v>
      </c>
      <c r="AZ593" s="148">
        <f>+AE593</f>
        <v>-3323</v>
      </c>
      <c r="BA593" s="148">
        <f ca="1">+AJ593</f>
        <v>-6590.6208061259804</v>
      </c>
      <c r="BB593" s="148">
        <f t="shared" ca="1" si="1035"/>
        <v>-5968.9801665894356</v>
      </c>
      <c r="BC593" s="148">
        <f t="shared" ca="1" si="1035"/>
        <v>-5243.367203918795</v>
      </c>
      <c r="BD593" s="720">
        <f t="shared" ca="1" si="1035"/>
        <v>-4490.8955082789926</v>
      </c>
      <c r="BF593" s="900"/>
      <c r="BM593" s="902"/>
      <c r="BN593" s="902"/>
      <c r="BO593" s="931"/>
      <c r="BP593" s="931"/>
      <c r="BQ593" s="902"/>
      <c r="BR593" s="902"/>
      <c r="BS593" s="902"/>
    </row>
    <row r="594" spans="1:71" ht="12.75" customHeight="1">
      <c r="A594" s="3373" t="s">
        <v>2196</v>
      </c>
      <c r="B594" s="3152"/>
      <c r="C594" s="3152"/>
      <c r="D594" s="3152"/>
      <c r="E594" s="3173"/>
      <c r="F594" s="3173">
        <v>-489</v>
      </c>
      <c r="G594" s="3369">
        <v>-473</v>
      </c>
      <c r="H594" s="3369">
        <v>-514</v>
      </c>
      <c r="I594" s="3369">
        <v>-504</v>
      </c>
      <c r="J594" s="3369">
        <v>-406</v>
      </c>
      <c r="K594" s="3152">
        <f>J594</f>
        <v>-406</v>
      </c>
      <c r="L594" s="3369">
        <v>-575</v>
      </c>
      <c r="M594" s="3369">
        <v>-591</v>
      </c>
      <c r="N594" s="3369">
        <v>-417</v>
      </c>
      <c r="O594" s="3369">
        <v>-264</v>
      </c>
      <c r="P594" s="3152">
        <f>O594</f>
        <v>-264</v>
      </c>
      <c r="Q594" s="3369">
        <v>-236</v>
      </c>
      <c r="R594" s="3369">
        <v>-186</v>
      </c>
      <c r="S594" s="3369">
        <v>-404</v>
      </c>
      <c r="T594" s="3369">
        <v>-628</v>
      </c>
      <c r="U594" s="3152">
        <f>T594</f>
        <v>-628</v>
      </c>
      <c r="V594" s="3369">
        <v>-868</v>
      </c>
      <c r="W594" s="3369">
        <v>-673</v>
      </c>
      <c r="X594" s="3369">
        <v>-793</v>
      </c>
      <c r="Y594" s="3369">
        <v>-784</v>
      </c>
      <c r="Z594" s="3152">
        <f>Y594</f>
        <v>-784</v>
      </c>
      <c r="AA594" s="3369">
        <v>-774</v>
      </c>
      <c r="AB594" s="3369">
        <v>-826</v>
      </c>
      <c r="AC594" s="3369">
        <v>-826</v>
      </c>
      <c r="AD594" s="3369">
        <v>-1001</v>
      </c>
      <c r="AE594" s="3152">
        <f>AD594</f>
        <v>-1001</v>
      </c>
      <c r="AF594" s="3752">
        <v>-918</v>
      </c>
      <c r="AG594" s="3752">
        <v>-867</v>
      </c>
      <c r="AH594" s="3752">
        <v>-820</v>
      </c>
      <c r="AI594" s="3739">
        <f>AH594+AI541+AI531+AI532+AI533+AI494</f>
        <v>-820</v>
      </c>
      <c r="AJ594" s="3732">
        <f>AI594</f>
        <v>-820</v>
      </c>
      <c r="AK594" s="3739">
        <f t="shared" ref="AK594:AN594" si="1038">AJ594+AK541+AK531+AK532+AK533+AK494</f>
        <v>-820</v>
      </c>
      <c r="AL594" s="3739">
        <f t="shared" si="1038"/>
        <v>-820</v>
      </c>
      <c r="AM594" s="3739">
        <f t="shared" si="1038"/>
        <v>-820</v>
      </c>
      <c r="AN594" s="3739">
        <f t="shared" si="1038"/>
        <v>-820</v>
      </c>
      <c r="AO594" s="3732">
        <f>AN594</f>
        <v>-820</v>
      </c>
      <c r="AP594" s="3732">
        <f>AO594+AP541+AP531+AP532+AP533+AP494</f>
        <v>-820</v>
      </c>
      <c r="AQ594" s="3732">
        <f>AP594+AQ541+AQ531+AQ532+AQ533+AQ494</f>
        <v>-820</v>
      </c>
      <c r="AR594" s="824"/>
      <c r="AS594" s="531" t="str">
        <f t="shared" si="1029"/>
        <v>Accumulated Other Comprehensive Loss</v>
      </c>
      <c r="AT594" s="158"/>
      <c r="AU594" s="158">
        <f>+F594</f>
        <v>-489</v>
      </c>
      <c r="AV594" s="158">
        <f>+K594</f>
        <v>-406</v>
      </c>
      <c r="AW594" s="158">
        <f>+P594</f>
        <v>-264</v>
      </c>
      <c r="AX594" s="158">
        <f>+U594</f>
        <v>-628</v>
      </c>
      <c r="AY594" s="158">
        <f>+Z594</f>
        <v>-784</v>
      </c>
      <c r="AZ594" s="158">
        <f>+AE594</f>
        <v>-1001</v>
      </c>
      <c r="BA594" s="158">
        <f>+AJ594</f>
        <v>-820</v>
      </c>
      <c r="BB594" s="158">
        <f t="shared" si="1035"/>
        <v>-820</v>
      </c>
      <c r="BC594" s="158">
        <f t="shared" si="1035"/>
        <v>-820</v>
      </c>
      <c r="BD594" s="845">
        <f t="shared" si="1035"/>
        <v>-820</v>
      </c>
      <c r="BF594" s="900"/>
      <c r="BM594" s="902"/>
      <c r="BN594" s="902"/>
      <c r="BO594" s="931"/>
      <c r="BP594" s="931"/>
      <c r="BQ594" s="902"/>
      <c r="BR594" s="902"/>
      <c r="BS594" s="902"/>
    </row>
    <row r="595" spans="1:71" ht="12.75" customHeight="1">
      <c r="A595" s="3364" t="s">
        <v>1840</v>
      </c>
      <c r="B595" s="3365"/>
      <c r="C595" s="3365"/>
      <c r="D595" s="3365"/>
      <c r="E595" s="3365"/>
      <c r="F595" s="3365">
        <f t="shared" ref="F595:AQ595" si="1039">SUM(F590:F594)</f>
        <v>1868</v>
      </c>
      <c r="G595" s="3366">
        <f t="shared" si="1039"/>
        <v>1932</v>
      </c>
      <c r="H595" s="3366">
        <f t="shared" si="1039"/>
        <v>1957</v>
      </c>
      <c r="I595" s="3366">
        <f t="shared" si="1039"/>
        <v>2144</v>
      </c>
      <c r="J595" s="3366">
        <f t="shared" si="1039"/>
        <v>2301</v>
      </c>
      <c r="K595" s="3365">
        <f t="shared" si="1039"/>
        <v>2301</v>
      </c>
      <c r="L595" s="3366">
        <f t="shared" si="1039"/>
        <v>2166</v>
      </c>
      <c r="M595" s="3366">
        <f t="shared" si="1039"/>
        <v>2305</v>
      </c>
      <c r="N595" s="3366">
        <f t="shared" si="1039"/>
        <v>2679</v>
      </c>
      <c r="O595" s="3366">
        <f t="shared" si="1039"/>
        <v>4363</v>
      </c>
      <c r="P595" s="3365">
        <f t="shared" si="1039"/>
        <v>4363</v>
      </c>
      <c r="Q595" s="3366">
        <f t="shared" si="1039"/>
        <v>4536</v>
      </c>
      <c r="R595" s="3366">
        <f t="shared" si="1039"/>
        <v>4834</v>
      </c>
      <c r="S595" s="3366">
        <f t="shared" si="1039"/>
        <v>4790</v>
      </c>
      <c r="T595" s="3366">
        <f t="shared" si="1039"/>
        <v>4752</v>
      </c>
      <c r="U595" s="3365">
        <f t="shared" si="1039"/>
        <v>4752</v>
      </c>
      <c r="V595" s="3366">
        <f t="shared" si="1039"/>
        <v>4662</v>
      </c>
      <c r="W595" s="3366">
        <f>SUM(W590:W594)</f>
        <v>5105</v>
      </c>
      <c r="X595" s="3366">
        <f t="shared" si="1039"/>
        <v>5214</v>
      </c>
      <c r="Y595" s="3366">
        <f t="shared" si="1039"/>
        <v>5985</v>
      </c>
      <c r="Z595" s="3365">
        <f t="shared" si="1039"/>
        <v>5985</v>
      </c>
      <c r="AA595" s="3366">
        <f t="shared" si="1039"/>
        <v>6237</v>
      </c>
      <c r="AB595" s="3366">
        <f>SUM(AB590:AB594)</f>
        <v>6375</v>
      </c>
      <c r="AC595" s="3366">
        <f t="shared" si="1039"/>
        <v>6516</v>
      </c>
      <c r="AD595" s="3366">
        <f t="shared" ref="AD595:AJ595" si="1040">SUM(AD590:AD594)</f>
        <v>5899</v>
      </c>
      <c r="AE595" s="3365">
        <f t="shared" si="1040"/>
        <v>5899</v>
      </c>
      <c r="AF595" s="3741">
        <f t="shared" si="1040"/>
        <v>1598</v>
      </c>
      <c r="AG595" s="3741">
        <f t="shared" si="1040"/>
        <v>1515</v>
      </c>
      <c r="AH595" s="3741">
        <f t="shared" si="1040"/>
        <v>1447</v>
      </c>
      <c r="AI595" s="3741">
        <f t="shared" ca="1" si="1040"/>
        <v>1995.3791938740196</v>
      </c>
      <c r="AJ595" s="3742">
        <f t="shared" ca="1" si="1040"/>
        <v>1995.3791938740196</v>
      </c>
      <c r="AK595" s="3741">
        <f t="shared" ref="AK595:AO595" ca="1" si="1041">SUM(AK590:AK594)</f>
        <v>1816.8716283799304</v>
      </c>
      <c r="AL595" s="3741">
        <f t="shared" ca="1" si="1041"/>
        <v>1734.0163781722222</v>
      </c>
      <c r="AM595" s="3741">
        <f t="shared" ca="1" si="1041"/>
        <v>1654.8088707719944</v>
      </c>
      <c r="AN595" s="3741">
        <f t="shared" ca="1" si="1041"/>
        <v>1537.0198334105644</v>
      </c>
      <c r="AO595" s="3742">
        <f t="shared" ca="1" si="1041"/>
        <v>1537.0198334105644</v>
      </c>
      <c r="AP595" s="3742">
        <f t="shared" ca="1" si="1039"/>
        <v>1182.632796081205</v>
      </c>
      <c r="AQ595" s="3742">
        <f t="shared" ca="1" si="1039"/>
        <v>1455.1044917210074</v>
      </c>
      <c r="AR595" s="219"/>
      <c r="AS595" s="524" t="str">
        <f t="shared" si="1029"/>
        <v>Total Shareholders' Equity</v>
      </c>
      <c r="AT595" s="219"/>
      <c r="AU595" s="219">
        <f>+F595</f>
        <v>1868</v>
      </c>
      <c r="AV595" s="219">
        <f>+K595</f>
        <v>2301</v>
      </c>
      <c r="AW595" s="219">
        <f>+P595</f>
        <v>4363</v>
      </c>
      <c r="AX595" s="219">
        <f>+U595</f>
        <v>4752</v>
      </c>
      <c r="AY595" s="219">
        <f>+Z595</f>
        <v>5985</v>
      </c>
      <c r="AZ595" s="219">
        <f>+AE595</f>
        <v>5899</v>
      </c>
      <c r="BA595" s="219">
        <f ca="1">+AJ595</f>
        <v>1995.3791938740196</v>
      </c>
      <c r="BB595" s="219">
        <f t="shared" ca="1" si="1035"/>
        <v>1537.0198334105644</v>
      </c>
      <c r="BC595" s="219">
        <f t="shared" ca="1" si="1035"/>
        <v>1182.632796081205</v>
      </c>
      <c r="BD595" s="889">
        <f t="shared" ca="1" si="1035"/>
        <v>1455.1044917210074</v>
      </c>
      <c r="BF595" s="900"/>
      <c r="BM595" s="902"/>
      <c r="BN595" s="902"/>
      <c r="BO595" s="931"/>
      <c r="BP595" s="931"/>
      <c r="BQ595" s="902"/>
      <c r="BR595" s="902"/>
      <c r="BS595" s="902"/>
    </row>
    <row r="596" spans="1:71" ht="12.75" customHeight="1">
      <c r="A596" s="3323"/>
      <c r="B596" s="3229"/>
      <c r="C596" s="3229"/>
      <c r="D596" s="3229"/>
      <c r="E596" s="3229"/>
      <c r="F596" s="3229"/>
      <c r="G596" s="3166"/>
      <c r="H596" s="3166"/>
      <c r="I596" s="3166"/>
      <c r="J596" s="3166"/>
      <c r="K596" s="3229"/>
      <c r="L596" s="3166"/>
      <c r="M596" s="3166"/>
      <c r="N596" s="3166"/>
      <c r="O596" s="3166"/>
      <c r="P596" s="3229"/>
      <c r="Q596" s="3166"/>
      <c r="R596" s="3166"/>
      <c r="S596" s="3166"/>
      <c r="T596" s="3166"/>
      <c r="U596" s="3229"/>
      <c r="V596" s="3166"/>
      <c r="W596" s="3166"/>
      <c r="X596" s="3166"/>
      <c r="Y596" s="3166"/>
      <c r="Z596" s="3229"/>
      <c r="AA596" s="3166"/>
      <c r="AB596" s="3166"/>
      <c r="AC596" s="3166"/>
      <c r="AD596" s="3166"/>
      <c r="AE596" s="3229"/>
      <c r="AF596" s="3678"/>
      <c r="AG596" s="3678"/>
      <c r="AH596" s="4036"/>
      <c r="AI596" s="3678"/>
      <c r="AJ596" s="3680"/>
      <c r="AK596" s="3678"/>
      <c r="AL596" s="3678"/>
      <c r="AM596" s="3678"/>
      <c r="AN596" s="3678"/>
      <c r="AO596" s="3720"/>
      <c r="AP596" s="3680"/>
      <c r="AQ596" s="3680"/>
      <c r="AR596" s="155"/>
      <c r="AS596" s="386"/>
      <c r="AT596" s="155"/>
      <c r="AU596" s="155"/>
      <c r="AV596" s="155"/>
      <c r="AW596" s="155"/>
      <c r="AX596" s="155"/>
      <c r="AY596" s="155"/>
      <c r="AZ596" s="155"/>
      <c r="BA596" s="155"/>
      <c r="BB596" s="155"/>
      <c r="BC596" s="155"/>
      <c r="BD596" s="867"/>
      <c r="BF596" s="900"/>
      <c r="BM596" s="902"/>
      <c r="BN596" s="902"/>
      <c r="BO596" s="902"/>
      <c r="BP596" s="902"/>
      <c r="BQ596" s="902"/>
      <c r="BR596" s="902"/>
      <c r="BS596" s="902"/>
    </row>
    <row r="597" spans="1:71" ht="12.75" customHeight="1">
      <c r="A597" s="3375" t="s">
        <v>1721</v>
      </c>
      <c r="B597" s="3376"/>
      <c r="C597" s="3376"/>
      <c r="D597" s="3376"/>
      <c r="E597" s="3376"/>
      <c r="F597" s="3376">
        <f t="shared" ref="F597:N597" si="1042">F595+F579+SUM(F581:F587)</f>
        <v>27312</v>
      </c>
      <c r="G597" s="3377">
        <f t="shared" si="1042"/>
        <v>27252</v>
      </c>
      <c r="H597" s="3377">
        <f t="shared" si="1042"/>
        <v>27354</v>
      </c>
      <c r="I597" s="3377">
        <f t="shared" si="1042"/>
        <v>27517</v>
      </c>
      <c r="J597" s="3377">
        <f t="shared" si="1042"/>
        <v>27066</v>
      </c>
      <c r="K597" s="3376">
        <f t="shared" si="1042"/>
        <v>27066</v>
      </c>
      <c r="L597" s="3377">
        <f t="shared" si="1042"/>
        <v>26911</v>
      </c>
      <c r="M597" s="3377">
        <f t="shared" si="1042"/>
        <v>26785</v>
      </c>
      <c r="N597" s="3377">
        <f t="shared" si="1042"/>
        <v>26729</v>
      </c>
      <c r="O597" s="3377">
        <f>O595+O579+SUM(O581:O587)</f>
        <v>26562</v>
      </c>
      <c r="P597" s="3376">
        <f>P595+P579+SUM(P581:P587)</f>
        <v>26562</v>
      </c>
      <c r="Q597" s="3377">
        <f t="shared" ref="Q597:W597" si="1043">Q595+Q579+SUM(Q581:Q587)</f>
        <v>26393</v>
      </c>
      <c r="R597" s="3377">
        <f t="shared" si="1043"/>
        <v>26497</v>
      </c>
      <c r="S597" s="3377">
        <f t="shared" si="1043"/>
        <v>26324</v>
      </c>
      <c r="T597" s="3377">
        <f t="shared" si="1043"/>
        <v>26125</v>
      </c>
      <c r="U597" s="3376">
        <f t="shared" si="1043"/>
        <v>26125</v>
      </c>
      <c r="V597" s="3377">
        <f t="shared" si="1043"/>
        <v>25905</v>
      </c>
      <c r="W597" s="3377">
        <f t="shared" si="1043"/>
        <v>26051</v>
      </c>
      <c r="X597" s="3377">
        <f t="shared" ref="X597:AQ597" si="1044">X595+X579+SUM(X581:X587)</f>
        <v>25932</v>
      </c>
      <c r="Y597" s="3377">
        <f t="shared" si="1044"/>
        <v>25716</v>
      </c>
      <c r="Z597" s="3376">
        <f t="shared" si="1044"/>
        <v>25716</v>
      </c>
      <c r="AA597" s="3377">
        <f t="shared" si="1044"/>
        <v>25721</v>
      </c>
      <c r="AB597" s="3377">
        <f>AB595+AB579+SUM(AB581:AB587)</f>
        <v>25853</v>
      </c>
      <c r="AC597" s="3377">
        <f t="shared" si="1044"/>
        <v>25871</v>
      </c>
      <c r="AD597" s="3377">
        <f t="shared" ref="AD597:AN597" si="1045">AD595+AD579+SUM(AD581:AD587)</f>
        <v>26211</v>
      </c>
      <c r="AE597" s="3376">
        <f t="shared" si="1045"/>
        <v>26211</v>
      </c>
      <c r="AF597" s="3748">
        <f t="shared" si="1045"/>
        <v>14287</v>
      </c>
      <c r="AG597" s="3748">
        <f t="shared" si="1045"/>
        <v>14269</v>
      </c>
      <c r="AH597" s="3748">
        <f t="shared" si="1045"/>
        <v>14223</v>
      </c>
      <c r="AI597" s="3748">
        <f t="shared" ca="1" si="1045"/>
        <v>14182.89919387402</v>
      </c>
      <c r="AJ597" s="3749">
        <f t="shared" ca="1" si="1045"/>
        <v>14182.89919387402</v>
      </c>
      <c r="AK597" s="3748">
        <f t="shared" ca="1" si="1045"/>
        <v>14056.737451514615</v>
      </c>
      <c r="AL597" s="3748">
        <f t="shared" ca="1" si="1045"/>
        <v>14117.692007480458</v>
      </c>
      <c r="AM597" s="3748">
        <f t="shared" ca="1" si="1045"/>
        <v>14099.730772451279</v>
      </c>
      <c r="AN597" s="3748">
        <f t="shared" ca="1" si="1045"/>
        <v>14052.370840810208</v>
      </c>
      <c r="AO597" s="3749">
        <f t="shared" ref="AO597" ca="1" si="1046">AO595+AO579+SUM(AO581:AO587)</f>
        <v>14052.370840810208</v>
      </c>
      <c r="AP597" s="3749">
        <f t="shared" ca="1" si="1044"/>
        <v>14049.258786413266</v>
      </c>
      <c r="AQ597" s="3749">
        <f t="shared" ca="1" si="1044"/>
        <v>14677.33961219224</v>
      </c>
      <c r="AR597" s="219"/>
      <c r="AS597" s="526" t="str">
        <f>+A597</f>
        <v>Total Liabilities and Equity</v>
      </c>
      <c r="AT597" s="636"/>
      <c r="AU597" s="636">
        <f>+F597</f>
        <v>27312</v>
      </c>
      <c r="AV597" s="636">
        <f>+K597</f>
        <v>27066</v>
      </c>
      <c r="AW597" s="636">
        <f>+P597</f>
        <v>26562</v>
      </c>
      <c r="AX597" s="636">
        <f>+U597</f>
        <v>26125</v>
      </c>
      <c r="AY597" s="636">
        <f>+Z597</f>
        <v>25716</v>
      </c>
      <c r="AZ597" s="636">
        <f>+AE597</f>
        <v>26211</v>
      </c>
      <c r="BA597" s="636">
        <f ca="1">+AJ597</f>
        <v>14182.89919387402</v>
      </c>
      <c r="BB597" s="636">
        <f ca="1">+AO597</f>
        <v>14052.370840810208</v>
      </c>
      <c r="BC597" s="636">
        <f ca="1">+AP597</f>
        <v>14049.258786413266</v>
      </c>
      <c r="BD597" s="891">
        <f ca="1">+AQ597</f>
        <v>14677.33961219224</v>
      </c>
      <c r="BF597" s="900"/>
      <c r="BM597" s="902"/>
      <c r="BN597" s="902"/>
      <c r="BO597" s="902"/>
      <c r="BP597" s="902"/>
      <c r="BQ597" s="902"/>
      <c r="BR597" s="902"/>
      <c r="BS597" s="902"/>
    </row>
    <row r="598" spans="1:71" s="130" customFormat="1" ht="12.75" customHeight="1">
      <c r="A598" s="278"/>
      <c r="B598" s="145"/>
      <c r="C598" s="145"/>
      <c r="D598" s="145"/>
      <c r="E598" s="145"/>
      <c r="F598" s="145"/>
      <c r="G598" s="145"/>
      <c r="H598" s="145"/>
      <c r="I598" s="145"/>
      <c r="J598" s="145"/>
      <c r="K598" s="145"/>
      <c r="L598" s="145"/>
      <c r="M598" s="145"/>
      <c r="N598" s="145"/>
      <c r="O598" s="799"/>
      <c r="P598" s="145"/>
      <c r="Q598" s="145"/>
      <c r="R598" s="145"/>
      <c r="S598" s="145"/>
      <c r="T598" s="145"/>
      <c r="U598" s="145"/>
      <c r="V598" s="145"/>
      <c r="W598" s="145"/>
      <c r="X598" s="145"/>
      <c r="Y598" s="145"/>
      <c r="Z598" s="145"/>
      <c r="AA598" s="145"/>
      <c r="AB598" s="145"/>
      <c r="AC598" s="145"/>
      <c r="AD598" s="145"/>
      <c r="AE598" s="145"/>
      <c r="AF598" s="145"/>
      <c r="AG598" s="145"/>
      <c r="AH598" s="2741"/>
      <c r="AI598" s="145"/>
      <c r="AJ598" s="145"/>
      <c r="AK598" s="145"/>
      <c r="AL598" s="145"/>
      <c r="AM598" s="145"/>
      <c r="AN598" s="145"/>
      <c r="AO598" s="145"/>
      <c r="AP598" s="145"/>
      <c r="AQ598" s="145"/>
      <c r="AR598" s="145"/>
      <c r="AS598" s="278"/>
      <c r="AT598" s="145"/>
      <c r="AU598" s="145"/>
      <c r="AV598" s="145"/>
      <c r="AW598" s="145"/>
      <c r="AX598" s="145"/>
      <c r="AY598" s="145"/>
      <c r="AZ598" s="145"/>
      <c r="BA598" s="145"/>
      <c r="BB598" s="145"/>
      <c r="BC598" s="145"/>
      <c r="BD598" s="145"/>
      <c r="BE598" s="2402"/>
      <c r="BF598" s="902"/>
      <c r="BG598"/>
      <c r="BH598"/>
      <c r="BI598"/>
      <c r="BJ598"/>
      <c r="BK598"/>
      <c r="BL598"/>
      <c r="BM598" s="902"/>
      <c r="BN598" s="902"/>
      <c r="BO598" s="902"/>
      <c r="BP598" s="902"/>
      <c r="BQ598" s="902"/>
      <c r="BR598" s="902"/>
      <c r="BS598" s="902"/>
    </row>
    <row r="599" spans="1:71" ht="12.75" customHeight="1">
      <c r="A599" s="313" t="s">
        <v>1167</v>
      </c>
      <c r="B599" s="338"/>
      <c r="C599" s="338"/>
      <c r="D599" s="338"/>
      <c r="E599" s="338">
        <f t="shared" ref="E599:W599" si="1047">E572-E597</f>
        <v>0</v>
      </c>
      <c r="F599" s="338">
        <f t="shared" si="1047"/>
        <v>0</v>
      </c>
      <c r="G599" s="338">
        <f>G572-G597</f>
        <v>0</v>
      </c>
      <c r="H599" s="338">
        <f>H572-H597</f>
        <v>0</v>
      </c>
      <c r="I599" s="338">
        <f>I572-I597</f>
        <v>0</v>
      </c>
      <c r="J599" s="338">
        <f t="shared" si="1047"/>
        <v>0</v>
      </c>
      <c r="K599" s="338">
        <f t="shared" si="1047"/>
        <v>0</v>
      </c>
      <c r="L599" s="338">
        <f t="shared" si="1047"/>
        <v>0</v>
      </c>
      <c r="M599" s="338">
        <f t="shared" si="1047"/>
        <v>0</v>
      </c>
      <c r="N599" s="338">
        <f t="shared" si="1047"/>
        <v>0</v>
      </c>
      <c r="O599" s="338">
        <f t="shared" si="1047"/>
        <v>0</v>
      </c>
      <c r="P599" s="338">
        <f t="shared" si="1047"/>
        <v>0</v>
      </c>
      <c r="Q599" s="338">
        <f t="shared" si="1047"/>
        <v>0</v>
      </c>
      <c r="R599" s="338">
        <f t="shared" si="1047"/>
        <v>0</v>
      </c>
      <c r="S599" s="338">
        <f t="shared" si="1047"/>
        <v>0</v>
      </c>
      <c r="T599" s="338">
        <f t="shared" si="1047"/>
        <v>0</v>
      </c>
      <c r="U599" s="338">
        <f t="shared" si="1047"/>
        <v>0</v>
      </c>
      <c r="V599" s="338">
        <f t="shared" si="1047"/>
        <v>0</v>
      </c>
      <c r="W599" s="338">
        <f t="shared" si="1047"/>
        <v>0</v>
      </c>
      <c r="X599" s="338">
        <f t="shared" ref="X599:AQ599" si="1048">X572-X597</f>
        <v>0</v>
      </c>
      <c r="Y599" s="338">
        <f t="shared" si="1048"/>
        <v>0</v>
      </c>
      <c r="Z599" s="338">
        <f t="shared" si="1048"/>
        <v>0</v>
      </c>
      <c r="AA599" s="338">
        <f t="shared" si="1048"/>
        <v>0</v>
      </c>
      <c r="AB599" s="338">
        <f t="shared" si="1048"/>
        <v>0</v>
      </c>
      <c r="AC599" s="338">
        <f t="shared" si="1048"/>
        <v>0</v>
      </c>
      <c r="AD599" s="338">
        <f t="shared" si="1048"/>
        <v>0</v>
      </c>
      <c r="AE599" s="338">
        <f t="shared" si="1048"/>
        <v>0</v>
      </c>
      <c r="AF599" s="338">
        <f>AF572-AF597</f>
        <v>0</v>
      </c>
      <c r="AG599" s="338">
        <f>AG572-AG597</f>
        <v>0</v>
      </c>
      <c r="AH599" s="338">
        <f>AH572-AH597</f>
        <v>0</v>
      </c>
      <c r="AI599" s="338">
        <f ca="1">AI572-AI597</f>
        <v>0</v>
      </c>
      <c r="AJ599" s="338">
        <f t="shared" ca="1" si="1048"/>
        <v>0</v>
      </c>
      <c r="AK599" s="338">
        <f ca="1">AK572-AK597</f>
        <v>0</v>
      </c>
      <c r="AL599" s="338">
        <f ca="1">AL572-AL597</f>
        <v>0</v>
      </c>
      <c r="AM599" s="338">
        <f ca="1">AM572-AM597</f>
        <v>0</v>
      </c>
      <c r="AN599" s="338">
        <f ca="1">AN572-AN597</f>
        <v>0</v>
      </c>
      <c r="AO599" s="338">
        <f t="shared" ca="1" si="1048"/>
        <v>0</v>
      </c>
      <c r="AP599" s="338">
        <f t="shared" ca="1" si="1048"/>
        <v>0</v>
      </c>
      <c r="AQ599" s="338">
        <f t="shared" ca="1" si="1048"/>
        <v>0</v>
      </c>
      <c r="AR599" s="337"/>
      <c r="AS599" s="313" t="str">
        <f>+A599</f>
        <v>Check</v>
      </c>
      <c r="AT599" s="338">
        <f>+E599</f>
        <v>0</v>
      </c>
      <c r="AU599" s="338">
        <f>+F599</f>
        <v>0</v>
      </c>
      <c r="AV599" s="338">
        <f>+K599</f>
        <v>0</v>
      </c>
      <c r="AW599" s="338">
        <f>+P599</f>
        <v>0</v>
      </c>
      <c r="AX599" s="338">
        <f>+U599</f>
        <v>0</v>
      </c>
      <c r="AY599" s="338">
        <f>+Z599</f>
        <v>0</v>
      </c>
      <c r="AZ599" s="338">
        <f>+AE599</f>
        <v>0</v>
      </c>
      <c r="BA599" s="338">
        <f ca="1">+AJ599</f>
        <v>0</v>
      </c>
      <c r="BB599" s="338">
        <f ca="1">+AO599</f>
        <v>0</v>
      </c>
      <c r="BC599" s="338">
        <f ca="1">+AP599</f>
        <v>0</v>
      </c>
      <c r="BD599" s="338">
        <f ca="1">+AQ599</f>
        <v>0</v>
      </c>
      <c r="BF599" s="900"/>
      <c r="BM599" s="902"/>
      <c r="BN599" s="902"/>
      <c r="BO599" s="902"/>
      <c r="BP599" s="902"/>
      <c r="BQ599" s="902"/>
      <c r="BR599" s="902"/>
      <c r="BS599" s="902"/>
    </row>
    <row r="600" spans="1:71" ht="12.75" customHeight="1">
      <c r="A600" s="28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155"/>
      <c r="AD600" s="155"/>
      <c r="AE600" s="155"/>
      <c r="AF600" s="155"/>
      <c r="AG600" s="155"/>
      <c r="AH600" s="2728"/>
      <c r="AI600" s="155"/>
      <c r="AJ600" s="155"/>
      <c r="AK600" s="155"/>
      <c r="AL600" s="155"/>
      <c r="AM600" s="155"/>
      <c r="AN600" s="155"/>
      <c r="AO600" s="155"/>
      <c r="AP600" s="155"/>
      <c r="AQ600" s="155"/>
      <c r="AR600" s="155"/>
      <c r="AS600" s="289"/>
      <c r="AT600" s="155"/>
      <c r="AU600" s="155"/>
      <c r="AV600" s="155"/>
      <c r="AW600" s="155"/>
      <c r="AX600" s="155"/>
      <c r="AY600" s="155"/>
      <c r="AZ600" s="155"/>
      <c r="BA600" s="155"/>
      <c r="BB600" s="155"/>
      <c r="BC600" s="155"/>
      <c r="BD600" s="155"/>
      <c r="BF600" s="900"/>
      <c r="BM600" s="902"/>
      <c r="BN600" s="902"/>
      <c r="BO600" s="902"/>
      <c r="BP600" s="902"/>
      <c r="BQ600" s="902"/>
      <c r="BR600" s="902"/>
      <c r="BS600" s="902"/>
    </row>
    <row r="601" spans="1:71" ht="12.75" customHeight="1">
      <c r="A601" s="1"/>
      <c r="B601" s="340"/>
      <c r="C601" s="340"/>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C601" s="340"/>
      <c r="AD601" s="340"/>
      <c r="AE601" s="340"/>
      <c r="AF601" s="3753"/>
      <c r="AG601" s="340"/>
      <c r="AH601" s="2740"/>
      <c r="AI601" s="340"/>
      <c r="AJ601" s="340"/>
      <c r="AK601" s="3753"/>
      <c r="AL601" s="340"/>
      <c r="AM601" s="340"/>
      <c r="AN601" s="340"/>
      <c r="AO601" s="340"/>
      <c r="AP601" s="340"/>
      <c r="AQ601" s="340"/>
      <c r="AR601" s="188"/>
      <c r="AS601" s="1"/>
      <c r="AT601" s="340"/>
      <c r="AU601" s="340"/>
      <c r="AV601" s="340"/>
      <c r="AW601" s="340"/>
      <c r="AX601" s="340"/>
      <c r="AY601" s="340"/>
      <c r="AZ601" s="340"/>
      <c r="BA601" s="340"/>
      <c r="BB601" s="340"/>
      <c r="BC601" s="340"/>
      <c r="BD601" s="340"/>
      <c r="BF601" s="900"/>
      <c r="BM601" s="902"/>
      <c r="BN601" s="902"/>
      <c r="BO601" s="902"/>
      <c r="BP601" s="902"/>
      <c r="BQ601" s="902"/>
      <c r="BR601" s="902"/>
      <c r="BS601" s="902"/>
    </row>
    <row r="602" spans="1:71" s="12" customFormat="1" ht="12.75" customHeight="1">
      <c r="A602" s="1015" t="s">
        <v>1808</v>
      </c>
      <c r="B602" s="766"/>
      <c r="C602" s="766"/>
      <c r="D602" s="766"/>
      <c r="E602" s="766" t="str">
        <f>E$5</f>
        <v>2010</v>
      </c>
      <c r="F602" s="766" t="str">
        <f>F$5</f>
        <v>2011</v>
      </c>
      <c r="G602" s="767" t="str">
        <f t="shared" ref="G602:AQ602" si="1049">G$5</f>
        <v>1Q12</v>
      </c>
      <c r="H602" s="767" t="str">
        <f t="shared" si="1049"/>
        <v>2Q12</v>
      </c>
      <c r="I602" s="767" t="str">
        <f t="shared" si="1049"/>
        <v>3Q12</v>
      </c>
      <c r="J602" s="767" t="str">
        <f t="shared" si="1049"/>
        <v>4Q12</v>
      </c>
      <c r="K602" s="766">
        <f t="shared" si="1049"/>
        <v>2012</v>
      </c>
      <c r="L602" s="767" t="str">
        <f t="shared" si="1049"/>
        <v>1Q13</v>
      </c>
      <c r="M602" s="767" t="str">
        <f t="shared" si="1049"/>
        <v>2Q13</v>
      </c>
      <c r="N602" s="767" t="str">
        <f t="shared" si="1049"/>
        <v>3Q13</v>
      </c>
      <c r="O602" s="767" t="str">
        <f t="shared" si="1049"/>
        <v>4Q13</v>
      </c>
      <c r="P602" s="766">
        <f t="shared" si="1049"/>
        <v>2013</v>
      </c>
      <c r="Q602" s="767" t="str">
        <f t="shared" si="1049"/>
        <v>1Q14</v>
      </c>
      <c r="R602" s="767" t="str">
        <f t="shared" si="1049"/>
        <v>2Q14</v>
      </c>
      <c r="S602" s="767" t="str">
        <f t="shared" si="1049"/>
        <v>3Q14</v>
      </c>
      <c r="T602" s="767" t="str">
        <f t="shared" si="1049"/>
        <v>4Q14</v>
      </c>
      <c r="U602" s="766">
        <f t="shared" si="1049"/>
        <v>2014</v>
      </c>
      <c r="V602" s="767" t="str">
        <f t="shared" si="1049"/>
        <v>1Q15</v>
      </c>
      <c r="W602" s="767" t="str">
        <f t="shared" si="1049"/>
        <v>2Q15</v>
      </c>
      <c r="X602" s="767" t="str">
        <f t="shared" si="1049"/>
        <v>3Q15</v>
      </c>
      <c r="Y602" s="767" t="str">
        <f t="shared" si="1049"/>
        <v>4Q15</v>
      </c>
      <c r="Z602" s="766">
        <f t="shared" si="1049"/>
        <v>2015</v>
      </c>
      <c r="AA602" s="767" t="str">
        <f t="shared" si="1049"/>
        <v>1Q16</v>
      </c>
      <c r="AB602" s="767" t="str">
        <f t="shared" si="1049"/>
        <v>2Q16</v>
      </c>
      <c r="AC602" s="767" t="str">
        <f t="shared" si="1049"/>
        <v>3Q16</v>
      </c>
      <c r="AD602" s="767" t="str">
        <f t="shared" si="1049"/>
        <v>4Q16</v>
      </c>
      <c r="AE602" s="766">
        <f t="shared" si="1049"/>
        <v>2016</v>
      </c>
      <c r="AF602" s="767" t="str">
        <f t="shared" si="1049"/>
        <v>1Q17</v>
      </c>
      <c r="AG602" s="767" t="str">
        <f t="shared" si="1049"/>
        <v>2Q17</v>
      </c>
      <c r="AH602" s="4039" t="str">
        <f t="shared" si="1049"/>
        <v>3Q17</v>
      </c>
      <c r="AI602" s="767" t="str">
        <f t="shared" si="1049"/>
        <v>4Q17A</v>
      </c>
      <c r="AJ602" s="766" t="str">
        <f t="shared" si="1049"/>
        <v>2017A</v>
      </c>
      <c r="AK602" s="767" t="str">
        <f t="shared" si="1049"/>
        <v>1Q18E</v>
      </c>
      <c r="AL602" s="767" t="str">
        <f t="shared" si="1049"/>
        <v>2Q18E</v>
      </c>
      <c r="AM602" s="767" t="str">
        <f t="shared" si="1049"/>
        <v>3Q18E</v>
      </c>
      <c r="AN602" s="767" t="str">
        <f t="shared" si="1049"/>
        <v>4Q18E</v>
      </c>
      <c r="AO602" s="766" t="str">
        <f t="shared" si="1049"/>
        <v>2018E</v>
      </c>
      <c r="AP602" s="766" t="str">
        <f t="shared" si="1049"/>
        <v>2019E</v>
      </c>
      <c r="AQ602" s="766" t="str">
        <f t="shared" si="1049"/>
        <v>2020E</v>
      </c>
      <c r="AR602" s="431"/>
      <c r="AS602" s="341" t="str">
        <f>+A602</f>
        <v>Credit &amp; Capitalization Summary</v>
      </c>
      <c r="AT602" s="767" t="str">
        <f>+E602</f>
        <v>2010</v>
      </c>
      <c r="AU602" s="767" t="str">
        <f>+F602</f>
        <v>2011</v>
      </c>
      <c r="AV602" s="767">
        <f>+K602</f>
        <v>2012</v>
      </c>
      <c r="AW602" s="767">
        <f>+P602</f>
        <v>2013</v>
      </c>
      <c r="AX602" s="767">
        <f>+U602</f>
        <v>2014</v>
      </c>
      <c r="AY602" s="767">
        <f>+Z602</f>
        <v>2015</v>
      </c>
      <c r="AZ602" s="767">
        <f>+AE602</f>
        <v>2016</v>
      </c>
      <c r="BA602" s="767" t="str">
        <f>+AJ602</f>
        <v>2017A</v>
      </c>
      <c r="BB602" s="767" t="str">
        <f>+AO602</f>
        <v>2018E</v>
      </c>
      <c r="BC602" s="767" t="str">
        <f>+AP602</f>
        <v>2019E</v>
      </c>
      <c r="BD602" s="865" t="str">
        <f>+AQ602</f>
        <v>2020E</v>
      </c>
      <c r="BE602" s="14"/>
      <c r="BF602" s="900"/>
      <c r="BG602"/>
      <c r="BH602"/>
      <c r="BI602"/>
      <c r="BJ602"/>
      <c r="BK602"/>
      <c r="BL602"/>
      <c r="BM602" s="902"/>
      <c r="BN602" s="902"/>
      <c r="BO602" s="902"/>
      <c r="BP602" s="902"/>
      <c r="BQ602" s="902"/>
      <c r="BR602" s="902"/>
      <c r="BS602" s="902"/>
    </row>
    <row r="603" spans="1:71" ht="12.75" customHeight="1">
      <c r="A603" s="1016"/>
      <c r="B603" s="167"/>
      <c r="C603" s="167"/>
      <c r="D603" s="167"/>
      <c r="E603" s="167"/>
      <c r="F603" s="167"/>
      <c r="G603" s="302"/>
      <c r="H603" s="302"/>
      <c r="I603" s="302"/>
      <c r="J603" s="302"/>
      <c r="K603" s="167"/>
      <c r="L603" s="302"/>
      <c r="M603" s="302"/>
      <c r="N603" s="302"/>
      <c r="O603" s="302"/>
      <c r="P603" s="167"/>
      <c r="Q603" s="302"/>
      <c r="R603" s="302"/>
      <c r="S603" s="302"/>
      <c r="T603" s="302"/>
      <c r="U603" s="167"/>
      <c r="V603" s="302"/>
      <c r="W603" s="302"/>
      <c r="X603" s="302"/>
      <c r="Y603" s="302"/>
      <c r="Z603" s="167"/>
      <c r="AA603" s="2542"/>
      <c r="AB603" s="302"/>
      <c r="AC603" s="302"/>
      <c r="AD603" s="877"/>
      <c r="AE603" s="167"/>
      <c r="AF603" s="302"/>
      <c r="AG603" s="302"/>
      <c r="AH603" s="302"/>
      <c r="AI603" s="877"/>
      <c r="AJ603" s="167"/>
      <c r="AK603" s="302"/>
      <c r="AL603" s="302"/>
      <c r="AM603" s="302"/>
      <c r="AN603" s="877"/>
      <c r="AO603" s="167"/>
      <c r="AP603" s="167"/>
      <c r="AQ603" s="167"/>
      <c r="AR603" s="302"/>
      <c r="AS603" s="497"/>
      <c r="AT603" s="302"/>
      <c r="AU603" s="302"/>
      <c r="AV603" s="302"/>
      <c r="AW603" s="302"/>
      <c r="AX603" s="302"/>
      <c r="AY603" s="302"/>
      <c r="AZ603" s="302"/>
      <c r="BA603" s="302"/>
      <c r="BB603" s="302"/>
      <c r="BC603" s="302"/>
      <c r="BD603" s="877"/>
      <c r="BF603" s="900"/>
      <c r="BM603" s="902"/>
      <c r="BN603" s="902"/>
      <c r="BO603" s="902"/>
      <c r="BP603" s="902"/>
      <c r="BQ603" s="902"/>
      <c r="BR603" s="902"/>
      <c r="BS603" s="902"/>
    </row>
    <row r="604" spans="1:71" ht="12.75" customHeight="1">
      <c r="A604" s="1016" t="s">
        <v>13</v>
      </c>
      <c r="B604" s="154"/>
      <c r="C604" s="154"/>
      <c r="D604" s="154"/>
      <c r="E604" s="154"/>
      <c r="F604" s="154"/>
      <c r="G604" s="155"/>
      <c r="H604" s="155"/>
      <c r="I604" s="155"/>
      <c r="J604" s="155"/>
      <c r="K604" s="154"/>
      <c r="L604" s="155"/>
      <c r="M604" s="155"/>
      <c r="N604" s="155"/>
      <c r="O604" s="155"/>
      <c r="P604" s="154"/>
      <c r="Q604" s="155"/>
      <c r="R604" s="155"/>
      <c r="S604" s="155"/>
      <c r="T604" s="155"/>
      <c r="U604" s="154"/>
      <c r="V604" s="155"/>
      <c r="W604" s="155"/>
      <c r="X604" s="155"/>
      <c r="Y604" s="155"/>
      <c r="Z604" s="154"/>
      <c r="AA604" s="2510"/>
      <c r="AB604" s="155"/>
      <c r="AC604" s="155"/>
      <c r="AD604" s="867"/>
      <c r="AE604" s="154"/>
      <c r="AF604" s="155"/>
      <c r="AG604" s="155"/>
      <c r="AH604" s="2728"/>
      <c r="AI604" s="867"/>
      <c r="AJ604" s="154"/>
      <c r="AK604" s="155"/>
      <c r="AL604" s="155"/>
      <c r="AM604" s="155"/>
      <c r="AN604" s="155"/>
      <c r="AO604" s="154"/>
      <c r="AP604" s="154"/>
      <c r="AQ604" s="154"/>
      <c r="AR604" s="155"/>
      <c r="AS604" s="497" t="str">
        <f t="shared" ref="AS604:AS610" si="1050">+A604</f>
        <v>Consolidated LT Debt Summary</v>
      </c>
      <c r="AT604" s="155"/>
      <c r="AU604" s="155"/>
      <c r="AV604" s="155"/>
      <c r="AW604" s="155"/>
      <c r="AX604" s="155"/>
      <c r="AY604" s="155"/>
      <c r="AZ604" s="155"/>
      <c r="BA604" s="155"/>
      <c r="BB604" s="155"/>
      <c r="BC604" s="155"/>
      <c r="BD604" s="867"/>
      <c r="BF604" s="900"/>
      <c r="BM604" s="902"/>
      <c r="BN604" s="902"/>
      <c r="BO604" s="902"/>
      <c r="BP604" s="902"/>
      <c r="BQ604" s="902"/>
      <c r="BR604" s="902"/>
      <c r="BS604" s="902"/>
    </row>
    <row r="605" spans="1:71" ht="12.75" customHeight="1">
      <c r="A605" s="1017" t="s">
        <v>1810</v>
      </c>
      <c r="B605" s="632"/>
      <c r="C605" s="632"/>
      <c r="D605" s="632"/>
      <c r="E605" s="632"/>
      <c r="F605" s="144">
        <f>F627+F628+F634+F637</f>
        <v>7596</v>
      </c>
      <c r="G605" s="145"/>
      <c r="H605" s="145"/>
      <c r="I605" s="145"/>
      <c r="J605" s="892">
        <f>J627+J628+J634+J637</f>
        <v>7271</v>
      </c>
      <c r="K605" s="144">
        <f>K627+K628+K634+K637</f>
        <v>7271</v>
      </c>
      <c r="L605" s="145"/>
      <c r="M605" s="145">
        <f t="shared" ref="M605:W605" si="1051">M627+M628+M634+M637</f>
        <v>7094</v>
      </c>
      <c r="N605" s="145">
        <f t="shared" si="1051"/>
        <v>7010</v>
      </c>
      <c r="O605" s="892">
        <f t="shared" si="1051"/>
        <v>7471</v>
      </c>
      <c r="P605" s="144">
        <f t="shared" si="1051"/>
        <v>7471</v>
      </c>
      <c r="Q605" s="145">
        <f>Q627+Q628+Q634+Q637</f>
        <v>7272</v>
      </c>
      <c r="R605" s="145">
        <f t="shared" si="1051"/>
        <v>7024</v>
      </c>
      <c r="S605" s="145">
        <f t="shared" si="1051"/>
        <v>6776</v>
      </c>
      <c r="T605" s="892">
        <f t="shared" si="1051"/>
        <v>6479</v>
      </c>
      <c r="U605" s="144">
        <f t="shared" si="1051"/>
        <v>6479</v>
      </c>
      <c r="V605" s="145">
        <f t="shared" si="1051"/>
        <v>6330</v>
      </c>
      <c r="W605" s="145">
        <f t="shared" si="1051"/>
        <v>6156</v>
      </c>
      <c r="X605" s="145">
        <f t="shared" ref="X605:AQ605" si="1052">X627+X628+X634+X637</f>
        <v>5806</v>
      </c>
      <c r="Y605" s="892">
        <f t="shared" si="1052"/>
        <v>5708</v>
      </c>
      <c r="Z605" s="144">
        <f t="shared" si="1052"/>
        <v>5708</v>
      </c>
      <c r="AA605" s="145">
        <f t="shared" si="1052"/>
        <v>5725</v>
      </c>
      <c r="AB605" s="145">
        <f t="shared" si="1052"/>
        <v>5725</v>
      </c>
      <c r="AC605" s="145">
        <f t="shared" si="1052"/>
        <v>2500</v>
      </c>
      <c r="AD605" s="145">
        <f t="shared" si="1052"/>
        <v>2250</v>
      </c>
      <c r="AE605" s="2594">
        <f t="shared" si="1052"/>
        <v>2250</v>
      </c>
      <c r="AF605" s="145">
        <f>+AF645+AF646+AF647</f>
        <v>2500</v>
      </c>
      <c r="AG605" s="145">
        <f t="shared" si="1052"/>
        <v>0</v>
      </c>
      <c r="AH605" s="2741">
        <f t="shared" ref="AH605" si="1053">+AH645+AH646+AH647</f>
        <v>2500</v>
      </c>
      <c r="AI605" s="145">
        <f t="shared" si="1052"/>
        <v>0</v>
      </c>
      <c r="AJ605" s="2594">
        <f t="shared" si="1052"/>
        <v>0</v>
      </c>
      <c r="AK605" s="145">
        <f t="shared" ref="AK605:AO605" si="1054">AK627+AK628+AK634+AK637</f>
        <v>0</v>
      </c>
      <c r="AL605" s="145">
        <f t="shared" si="1054"/>
        <v>0</v>
      </c>
      <c r="AM605" s="145">
        <f t="shared" si="1054"/>
        <v>0</v>
      </c>
      <c r="AN605" s="145">
        <f t="shared" si="1054"/>
        <v>0</v>
      </c>
      <c r="AO605" s="2594">
        <f t="shared" si="1054"/>
        <v>0</v>
      </c>
      <c r="AP605" s="144">
        <f t="shared" si="1052"/>
        <v>0</v>
      </c>
      <c r="AQ605" s="144">
        <f t="shared" si="1052"/>
        <v>0</v>
      </c>
      <c r="AR605" s="155"/>
      <c r="AS605" s="489" t="str">
        <f t="shared" si="1050"/>
        <v>Senior Notes</v>
      </c>
      <c r="AT605" s="633">
        <f t="shared" ref="AT605:AU607" si="1055">+E605</f>
        <v>0</v>
      </c>
      <c r="AU605" s="633">
        <f t="shared" si="1055"/>
        <v>7596</v>
      </c>
      <c r="AV605" s="633">
        <f>+K605</f>
        <v>7271</v>
      </c>
      <c r="AW605" s="633">
        <f>+P605</f>
        <v>7471</v>
      </c>
      <c r="AX605" s="633">
        <f>+U605</f>
        <v>6479</v>
      </c>
      <c r="AY605" s="633">
        <f>+Z605</f>
        <v>5708</v>
      </c>
      <c r="AZ605" s="633">
        <f>+AE605</f>
        <v>2250</v>
      </c>
      <c r="BA605" s="633">
        <f>+AJ605</f>
        <v>0</v>
      </c>
      <c r="BB605" s="633">
        <f t="shared" ref="BB605:BD610" si="1056">+AO605</f>
        <v>0</v>
      </c>
      <c r="BC605" s="633">
        <f t="shared" si="1056"/>
        <v>0</v>
      </c>
      <c r="BD605" s="887">
        <f t="shared" si="1056"/>
        <v>0</v>
      </c>
      <c r="BF605" s="900"/>
      <c r="BM605" s="902"/>
      <c r="BN605" s="902"/>
      <c r="BO605" s="902"/>
      <c r="BP605" s="931"/>
      <c r="BQ605" s="902"/>
      <c r="BR605" s="902"/>
      <c r="BS605" s="902"/>
    </row>
    <row r="606" spans="1:71" ht="12.75" customHeight="1">
      <c r="A606" s="1018" t="s">
        <v>595</v>
      </c>
      <c r="B606" s="174"/>
      <c r="C606" s="174"/>
      <c r="D606" s="174"/>
      <c r="E606" s="174"/>
      <c r="F606" s="174">
        <f>F607-F605</f>
        <v>8715</v>
      </c>
      <c r="G606" s="255"/>
      <c r="H606" s="255"/>
      <c r="I606" s="255"/>
      <c r="J606" s="893">
        <f>J607-J605</f>
        <v>8304</v>
      </c>
      <c r="K606" s="174">
        <f>K607-K605</f>
        <v>8304</v>
      </c>
      <c r="L606" s="255"/>
      <c r="M606" s="255">
        <f t="shared" ref="M606:U606" si="1057">M607-M605</f>
        <v>7574</v>
      </c>
      <c r="N606" s="255">
        <f t="shared" si="1057"/>
        <v>7269</v>
      </c>
      <c r="O606" s="893">
        <f t="shared" si="1057"/>
        <v>4284</v>
      </c>
      <c r="P606" s="174">
        <f t="shared" si="1057"/>
        <v>4284</v>
      </c>
      <c r="Q606" s="255">
        <f t="shared" si="1057"/>
        <v>4282</v>
      </c>
      <c r="R606" s="255">
        <f t="shared" si="1057"/>
        <v>4293</v>
      </c>
      <c r="S606" s="255">
        <f t="shared" si="1057"/>
        <v>4351</v>
      </c>
      <c r="T606" s="893">
        <f t="shared" si="1057"/>
        <v>4334</v>
      </c>
      <c r="U606" s="174">
        <f t="shared" si="1057"/>
        <v>4334</v>
      </c>
      <c r="V606" s="255">
        <f t="shared" ref="V606:AE606" si="1058">V607-V605</f>
        <v>4252</v>
      </c>
      <c r="W606" s="255">
        <f t="shared" si="1058"/>
        <v>4254</v>
      </c>
      <c r="X606" s="255">
        <f t="shared" si="1058"/>
        <v>4255</v>
      </c>
      <c r="Y606" s="893">
        <f t="shared" si="1058"/>
        <v>4113</v>
      </c>
      <c r="Z606" s="174">
        <f t="shared" si="1058"/>
        <v>4113</v>
      </c>
      <c r="AA606" s="255">
        <f t="shared" si="1058"/>
        <v>4351</v>
      </c>
      <c r="AB606" s="255">
        <f t="shared" si="1058"/>
        <v>4368</v>
      </c>
      <c r="AC606" s="255">
        <f t="shared" si="1058"/>
        <v>7595</v>
      </c>
      <c r="AD606" s="255">
        <f t="shared" si="1058"/>
        <v>7983</v>
      </c>
      <c r="AE606" s="174">
        <f t="shared" si="1058"/>
        <v>7983</v>
      </c>
      <c r="AF606" s="255">
        <f>AF607-AF605</f>
        <v>4218</v>
      </c>
      <c r="AG606" s="255">
        <f t="shared" ref="AG606:AQ606" si="1059">AG607-AG605</f>
        <v>6706</v>
      </c>
      <c r="AH606" s="255">
        <f>AH607-AH605</f>
        <v>4197</v>
      </c>
      <c r="AI606" s="255">
        <f t="shared" si="1059"/>
        <v>6797</v>
      </c>
      <c r="AJ606" s="174">
        <f t="shared" si="1059"/>
        <v>6797</v>
      </c>
      <c r="AK606" s="255">
        <f t="shared" ref="AK606:AO606" si="1060">AK607-AK605</f>
        <v>6859.5</v>
      </c>
      <c r="AL606" s="255">
        <f t="shared" si="1060"/>
        <v>6922</v>
      </c>
      <c r="AM606" s="255">
        <f t="shared" si="1060"/>
        <v>6984.5</v>
      </c>
      <c r="AN606" s="255">
        <f t="shared" si="1060"/>
        <v>7047</v>
      </c>
      <c r="AO606" s="174">
        <f t="shared" si="1060"/>
        <v>7047</v>
      </c>
      <c r="AP606" s="174">
        <f t="shared" si="1059"/>
        <v>7297</v>
      </c>
      <c r="AQ606" s="174">
        <f t="shared" si="1059"/>
        <v>7547</v>
      </c>
      <c r="AR606" s="255"/>
      <c r="AS606" s="544" t="str">
        <f t="shared" si="1050"/>
        <v>Mortgages and Other</v>
      </c>
      <c r="AT606" s="255">
        <f t="shared" si="1055"/>
        <v>0</v>
      </c>
      <c r="AU606" s="255">
        <f t="shared" si="1055"/>
        <v>8715</v>
      </c>
      <c r="AV606" s="255">
        <f>+K606</f>
        <v>8304</v>
      </c>
      <c r="AW606" s="255">
        <f>+P606</f>
        <v>4284</v>
      </c>
      <c r="AX606" s="255">
        <f>+U606</f>
        <v>4334</v>
      </c>
      <c r="AY606" s="255">
        <f>+Z606</f>
        <v>4113</v>
      </c>
      <c r="AZ606" s="255">
        <f>+AE606</f>
        <v>7983</v>
      </c>
      <c r="BA606" s="255">
        <f>+AJ606</f>
        <v>6797</v>
      </c>
      <c r="BB606" s="255">
        <f t="shared" si="1056"/>
        <v>7047</v>
      </c>
      <c r="BC606" s="255">
        <f t="shared" si="1056"/>
        <v>7297</v>
      </c>
      <c r="BD606" s="893">
        <f t="shared" si="1056"/>
        <v>7547</v>
      </c>
      <c r="BF606" s="900"/>
      <c r="BM606" s="902"/>
      <c r="BN606" s="902"/>
      <c r="BO606" s="902"/>
      <c r="BP606" s="931"/>
      <c r="BQ606" s="902"/>
      <c r="BR606" s="902"/>
      <c r="BS606" s="902"/>
    </row>
    <row r="607" spans="1:71" ht="12.75" customHeight="1">
      <c r="A607" s="1016" t="s">
        <v>245</v>
      </c>
      <c r="B607" s="634"/>
      <c r="C607" s="634"/>
      <c r="D607" s="634"/>
      <c r="E607" s="250"/>
      <c r="F607" s="346">
        <f>F651</f>
        <v>16311</v>
      </c>
      <c r="G607" s="315">
        <f t="shared" ref="G607:AQ607" si="1061">G651</f>
        <v>16676</v>
      </c>
      <c r="H607" s="315">
        <f t="shared" si="1061"/>
        <v>16603</v>
      </c>
      <c r="I607" s="315">
        <f t="shared" si="1061"/>
        <v>16535</v>
      </c>
      <c r="J607" s="846">
        <f t="shared" si="1061"/>
        <v>15575</v>
      </c>
      <c r="K607" s="346">
        <f t="shared" si="1061"/>
        <v>15575</v>
      </c>
      <c r="L607" s="315">
        <f t="shared" si="1061"/>
        <v>15801</v>
      </c>
      <c r="M607" s="315">
        <f t="shared" si="1061"/>
        <v>14668</v>
      </c>
      <c r="N607" s="315">
        <f t="shared" si="1061"/>
        <v>14279</v>
      </c>
      <c r="O607" s="846">
        <f t="shared" si="1061"/>
        <v>11755</v>
      </c>
      <c r="P607" s="346">
        <f t="shared" si="1061"/>
        <v>11755</v>
      </c>
      <c r="Q607" s="315">
        <f>Q651</f>
        <v>11554</v>
      </c>
      <c r="R607" s="315">
        <f t="shared" si="1061"/>
        <v>11317</v>
      </c>
      <c r="S607" s="315">
        <f t="shared" si="1061"/>
        <v>11127</v>
      </c>
      <c r="T607" s="846">
        <f t="shared" si="1061"/>
        <v>10813</v>
      </c>
      <c r="U607" s="346">
        <f t="shared" si="1061"/>
        <v>10813</v>
      </c>
      <c r="V607" s="315">
        <f t="shared" si="1061"/>
        <v>10582</v>
      </c>
      <c r="W607" s="315">
        <f t="shared" si="1061"/>
        <v>10410</v>
      </c>
      <c r="X607" s="315">
        <f t="shared" ref="X607:AE607" si="1062">X651</f>
        <v>10061</v>
      </c>
      <c r="Y607" s="846">
        <f t="shared" si="1062"/>
        <v>9821</v>
      </c>
      <c r="Z607" s="346">
        <f t="shared" si="1062"/>
        <v>9821</v>
      </c>
      <c r="AA607" s="315">
        <f t="shared" si="1062"/>
        <v>10076</v>
      </c>
      <c r="AB607" s="315">
        <f t="shared" si="1062"/>
        <v>10093</v>
      </c>
      <c r="AC607" s="315">
        <f t="shared" si="1062"/>
        <v>10095</v>
      </c>
      <c r="AD607" s="315">
        <f t="shared" si="1062"/>
        <v>10233</v>
      </c>
      <c r="AE607" s="346">
        <f t="shared" si="1062"/>
        <v>10233</v>
      </c>
      <c r="AF607" s="315">
        <f>AF651</f>
        <v>6718</v>
      </c>
      <c r="AG607" s="315">
        <f>AG651</f>
        <v>6706</v>
      </c>
      <c r="AH607" s="315">
        <f>AH651</f>
        <v>6697</v>
      </c>
      <c r="AI607" s="315">
        <f>AI651</f>
        <v>6797</v>
      </c>
      <c r="AJ607" s="346">
        <f>AJ651</f>
        <v>6797</v>
      </c>
      <c r="AK607" s="315">
        <f t="shared" ref="AK607:AN607" si="1063">AK651</f>
        <v>6859.5</v>
      </c>
      <c r="AL607" s="315">
        <f t="shared" si="1063"/>
        <v>6922</v>
      </c>
      <c r="AM607" s="315">
        <f t="shared" si="1063"/>
        <v>6984.5</v>
      </c>
      <c r="AN607" s="315">
        <f t="shared" si="1063"/>
        <v>7047</v>
      </c>
      <c r="AO607" s="346">
        <f>AO651</f>
        <v>7047</v>
      </c>
      <c r="AP607" s="346">
        <f t="shared" si="1061"/>
        <v>7297</v>
      </c>
      <c r="AQ607" s="346">
        <f t="shared" si="1061"/>
        <v>7547</v>
      </c>
      <c r="AR607" s="315"/>
      <c r="AS607" s="497" t="str">
        <f t="shared" si="1050"/>
        <v>Total Debt</v>
      </c>
      <c r="AT607" s="219">
        <f t="shared" si="1055"/>
        <v>0</v>
      </c>
      <c r="AU607" s="219">
        <f t="shared" si="1055"/>
        <v>16311</v>
      </c>
      <c r="AV607" s="219">
        <f>+K607</f>
        <v>15575</v>
      </c>
      <c r="AW607" s="219">
        <f>+P607</f>
        <v>11755</v>
      </c>
      <c r="AX607" s="219">
        <f>+U607</f>
        <v>10813</v>
      </c>
      <c r="AY607" s="219">
        <f>+Z607</f>
        <v>9821</v>
      </c>
      <c r="AZ607" s="219">
        <f>+AE607</f>
        <v>10233</v>
      </c>
      <c r="BA607" s="219">
        <f>+AJ607</f>
        <v>6797</v>
      </c>
      <c r="BB607" s="219">
        <f t="shared" si="1056"/>
        <v>7047</v>
      </c>
      <c r="BC607" s="219">
        <f t="shared" si="1056"/>
        <v>7297</v>
      </c>
      <c r="BD607" s="889">
        <f t="shared" si="1056"/>
        <v>7547</v>
      </c>
      <c r="BF607" s="900"/>
      <c r="BM607" s="902"/>
      <c r="BN607" s="902"/>
      <c r="BO607" s="902"/>
      <c r="BP607" s="931"/>
      <c r="BQ607" s="902"/>
      <c r="BR607" s="902"/>
      <c r="BS607" s="902"/>
    </row>
    <row r="608" spans="1:71" ht="12.75" customHeight="1">
      <c r="A608" s="1017" t="s">
        <v>246</v>
      </c>
      <c r="B608" s="632"/>
      <c r="C608" s="632"/>
      <c r="D608" s="632"/>
      <c r="E608" s="144"/>
      <c r="F608" s="154">
        <f t="shared" ref="F608:N608" si="1064">+F582</f>
        <v>0</v>
      </c>
      <c r="G608" s="155">
        <f t="shared" si="1064"/>
        <v>0</v>
      </c>
      <c r="H608" s="155">
        <f t="shared" si="1064"/>
        <v>0</v>
      </c>
      <c r="I608" s="155">
        <f t="shared" si="1064"/>
        <v>0</v>
      </c>
      <c r="J608" s="867">
        <f t="shared" si="1064"/>
        <v>0</v>
      </c>
      <c r="K608" s="154">
        <f t="shared" si="1064"/>
        <v>0</v>
      </c>
      <c r="L608" s="155">
        <f t="shared" si="1064"/>
        <v>0</v>
      </c>
      <c r="M608" s="155">
        <f t="shared" si="1064"/>
        <v>400</v>
      </c>
      <c r="N608" s="155">
        <f t="shared" si="1064"/>
        <v>318</v>
      </c>
      <c r="O608" s="155">
        <f t="shared" ref="O608:W608" si="1065">+O582</f>
        <v>296</v>
      </c>
      <c r="P608" s="154">
        <f t="shared" si="1065"/>
        <v>296</v>
      </c>
      <c r="Q608" s="155">
        <f t="shared" si="1065"/>
        <v>300</v>
      </c>
      <c r="R608" s="155">
        <f t="shared" si="1065"/>
        <v>299</v>
      </c>
      <c r="S608" s="155">
        <f t="shared" si="1065"/>
        <v>164</v>
      </c>
      <c r="T608" s="155">
        <f t="shared" si="1065"/>
        <v>164</v>
      </c>
      <c r="U608" s="154">
        <f t="shared" si="1065"/>
        <v>164</v>
      </c>
      <c r="V608" s="155">
        <f t="shared" si="1065"/>
        <v>162</v>
      </c>
      <c r="W608" s="155">
        <f t="shared" si="1065"/>
        <v>164</v>
      </c>
      <c r="X608" s="155">
        <f t="shared" ref="X608:AE608" si="1066">+X582</f>
        <v>164</v>
      </c>
      <c r="Y608" s="155">
        <f t="shared" si="1066"/>
        <v>163</v>
      </c>
      <c r="Z608" s="154">
        <f t="shared" si="1066"/>
        <v>163</v>
      </c>
      <c r="AA608" s="155">
        <f t="shared" si="1066"/>
        <v>164</v>
      </c>
      <c r="AB608" s="155">
        <f t="shared" si="1066"/>
        <v>164</v>
      </c>
      <c r="AC608" s="155">
        <f>+AC582</f>
        <v>164</v>
      </c>
      <c r="AD608" s="155">
        <f t="shared" si="1066"/>
        <v>164</v>
      </c>
      <c r="AE608" s="2591">
        <f t="shared" si="1066"/>
        <v>164</v>
      </c>
      <c r="AF608" s="155">
        <f t="shared" ref="AF608:AQ608" si="1067">+AF582</f>
        <v>0</v>
      </c>
      <c r="AG608" s="155">
        <f t="shared" si="1067"/>
        <v>0</v>
      </c>
      <c r="AH608" s="2728">
        <f t="shared" si="1067"/>
        <v>0</v>
      </c>
      <c r="AI608" s="155">
        <f t="shared" si="1067"/>
        <v>0</v>
      </c>
      <c r="AJ608" s="2591">
        <f t="shared" si="1067"/>
        <v>0</v>
      </c>
      <c r="AK608" s="155">
        <f t="shared" ref="AK608:AO608" si="1068">+AK582</f>
        <v>0</v>
      </c>
      <c r="AL608" s="155">
        <f t="shared" si="1068"/>
        <v>0</v>
      </c>
      <c r="AM608" s="155">
        <f t="shared" si="1068"/>
        <v>0</v>
      </c>
      <c r="AN608" s="155">
        <f t="shared" si="1068"/>
        <v>0</v>
      </c>
      <c r="AO608" s="2591">
        <f t="shared" si="1068"/>
        <v>0</v>
      </c>
      <c r="AP608" s="154">
        <f t="shared" si="1067"/>
        <v>0</v>
      </c>
      <c r="AQ608" s="154">
        <f t="shared" si="1067"/>
        <v>0</v>
      </c>
      <c r="AR608" s="155"/>
      <c r="AS608" s="489" t="str">
        <f t="shared" si="1050"/>
        <v>Plus: Non-recourse Debt</v>
      </c>
      <c r="AT608" s="145"/>
      <c r="AU608" s="145"/>
      <c r="AV608" s="145"/>
      <c r="AW608" s="145"/>
      <c r="AX608" s="145"/>
      <c r="AY608" s="145"/>
      <c r="AZ608" s="145"/>
      <c r="BA608" s="145"/>
      <c r="BB608" s="145"/>
      <c r="BC608" s="145"/>
      <c r="BD608" s="892"/>
      <c r="BF608" s="900"/>
      <c r="BM608" s="902"/>
      <c r="BN608" s="902"/>
      <c r="BO608" s="902"/>
      <c r="BP608" s="931"/>
      <c r="BQ608" s="902"/>
      <c r="BR608" s="902"/>
      <c r="BS608" s="902"/>
    </row>
    <row r="609" spans="1:71" ht="12.75" customHeight="1">
      <c r="A609" s="1018" t="s">
        <v>2073</v>
      </c>
      <c r="B609" s="174"/>
      <c r="C609" s="174"/>
      <c r="D609" s="174"/>
      <c r="E609" s="174"/>
      <c r="F609" s="174"/>
      <c r="G609" s="255"/>
      <c r="H609" s="255"/>
      <c r="I609" s="255"/>
      <c r="J609" s="893"/>
      <c r="K609" s="174"/>
      <c r="L609" s="255"/>
      <c r="M609" s="255"/>
      <c r="N609" s="157">
        <v>309</v>
      </c>
      <c r="O609" s="2033">
        <v>305</v>
      </c>
      <c r="P609" s="174">
        <f>O609</f>
        <v>305</v>
      </c>
      <c r="Q609" s="157">
        <v>273</v>
      </c>
      <c r="R609" s="157">
        <v>264</v>
      </c>
      <c r="S609" s="157">
        <v>219</v>
      </c>
      <c r="T609" s="157">
        <v>221</v>
      </c>
      <c r="U609" s="174">
        <f>T609</f>
        <v>221</v>
      </c>
      <c r="V609" s="157">
        <v>219</v>
      </c>
      <c r="W609" s="157">
        <v>219</v>
      </c>
      <c r="X609" s="157">
        <v>219</v>
      </c>
      <c r="Y609" s="157">
        <v>229</v>
      </c>
      <c r="Z609" s="174">
        <f t="shared" ref="Z609:AQ609" si="1069">Y609</f>
        <v>229</v>
      </c>
      <c r="AA609" s="157">
        <v>225</v>
      </c>
      <c r="AB609" s="157">
        <v>225</v>
      </c>
      <c r="AC609" s="157">
        <v>226</v>
      </c>
      <c r="AD609" s="157">
        <v>224</v>
      </c>
      <c r="AE609" s="174">
        <f t="shared" si="1069"/>
        <v>224</v>
      </c>
      <c r="AF609" s="3877">
        <v>13</v>
      </c>
      <c r="AG609" s="3877">
        <v>13</v>
      </c>
      <c r="AH609" s="157">
        <v>13</v>
      </c>
      <c r="AI609" s="255">
        <f t="shared" si="1069"/>
        <v>13</v>
      </c>
      <c r="AJ609" s="174">
        <f t="shared" si="1069"/>
        <v>13</v>
      </c>
      <c r="AK609" s="255">
        <f>AF609</f>
        <v>13</v>
      </c>
      <c r="AL609" s="255">
        <f t="shared" ref="AL609:AN609" si="1070">AG609</f>
        <v>13</v>
      </c>
      <c r="AM609" s="255">
        <f t="shared" si="1070"/>
        <v>13</v>
      </c>
      <c r="AN609" s="255">
        <f t="shared" si="1070"/>
        <v>13</v>
      </c>
      <c r="AO609" s="174">
        <f t="shared" si="1069"/>
        <v>13</v>
      </c>
      <c r="AP609" s="174">
        <f t="shared" si="1069"/>
        <v>13</v>
      </c>
      <c r="AQ609" s="174">
        <f t="shared" si="1069"/>
        <v>13</v>
      </c>
      <c r="AR609" s="255"/>
      <c r="AS609" s="544" t="str">
        <f t="shared" si="1050"/>
        <v>Plus: Share of JV Debt</v>
      </c>
      <c r="AT609" s="255">
        <f>+E609</f>
        <v>0</v>
      </c>
      <c r="AU609" s="255">
        <f>+F609</f>
        <v>0</v>
      </c>
      <c r="AV609" s="255">
        <f>+K609</f>
        <v>0</v>
      </c>
      <c r="AW609" s="255">
        <f>+P609</f>
        <v>305</v>
      </c>
      <c r="AX609" s="255">
        <f>+U609</f>
        <v>221</v>
      </c>
      <c r="AY609" s="255">
        <f>+Z609</f>
        <v>229</v>
      </c>
      <c r="AZ609" s="255">
        <f>+AE609</f>
        <v>224</v>
      </c>
      <c r="BA609" s="255">
        <f>+AJ609</f>
        <v>13</v>
      </c>
      <c r="BB609" s="255">
        <f t="shared" si="1056"/>
        <v>13</v>
      </c>
      <c r="BC609" s="255">
        <f t="shared" si="1056"/>
        <v>13</v>
      </c>
      <c r="BD609" s="893">
        <f t="shared" si="1056"/>
        <v>13</v>
      </c>
      <c r="BF609" s="900"/>
      <c r="BM609" s="902"/>
      <c r="BN609" s="902"/>
      <c r="BO609" s="902"/>
      <c r="BP609" s="931"/>
      <c r="BQ609" s="902"/>
      <c r="BR609" s="902"/>
      <c r="BS609" s="902"/>
    </row>
    <row r="610" spans="1:71" s="11" customFormat="1" ht="12.75" customHeight="1">
      <c r="A610" s="1439" t="s">
        <v>247</v>
      </c>
      <c r="B610" s="825"/>
      <c r="C610" s="825"/>
      <c r="D610" s="825"/>
      <c r="E610" s="825"/>
      <c r="F610" s="1440">
        <f>+SUM(F607:F609)</f>
        <v>16311</v>
      </c>
      <c r="G610" s="779">
        <f t="shared" ref="G610:AQ610" si="1071">+SUM(G607:G609)</f>
        <v>16676</v>
      </c>
      <c r="H610" s="779">
        <f t="shared" si="1071"/>
        <v>16603</v>
      </c>
      <c r="I610" s="779">
        <f t="shared" si="1071"/>
        <v>16535</v>
      </c>
      <c r="J610" s="779">
        <f t="shared" si="1071"/>
        <v>15575</v>
      </c>
      <c r="K610" s="1440">
        <f t="shared" si="1071"/>
        <v>15575</v>
      </c>
      <c r="L610" s="779">
        <f t="shared" si="1071"/>
        <v>15801</v>
      </c>
      <c r="M610" s="779">
        <f t="shared" si="1071"/>
        <v>15068</v>
      </c>
      <c r="N610" s="779">
        <f t="shared" si="1071"/>
        <v>14906</v>
      </c>
      <c r="O610" s="779">
        <f t="shared" si="1071"/>
        <v>12356</v>
      </c>
      <c r="P610" s="1440">
        <f t="shared" si="1071"/>
        <v>12356</v>
      </c>
      <c r="Q610" s="779">
        <f t="shared" si="1071"/>
        <v>12127</v>
      </c>
      <c r="R610" s="779">
        <f t="shared" si="1071"/>
        <v>11880</v>
      </c>
      <c r="S610" s="779">
        <f t="shared" si="1071"/>
        <v>11510</v>
      </c>
      <c r="T610" s="779">
        <f t="shared" si="1071"/>
        <v>11198</v>
      </c>
      <c r="U610" s="1440">
        <f t="shared" si="1071"/>
        <v>11198</v>
      </c>
      <c r="V610" s="779">
        <f t="shared" ref="V610:AE610" si="1072">+SUM(V607:V609)</f>
        <v>10963</v>
      </c>
      <c r="W610" s="779">
        <f t="shared" si="1072"/>
        <v>10793</v>
      </c>
      <c r="X610" s="779">
        <f t="shared" si="1072"/>
        <v>10444</v>
      </c>
      <c r="Y610" s="779">
        <f t="shared" si="1072"/>
        <v>10213</v>
      </c>
      <c r="Z610" s="1440">
        <f t="shared" si="1072"/>
        <v>10213</v>
      </c>
      <c r="AA610" s="779">
        <f t="shared" si="1072"/>
        <v>10465</v>
      </c>
      <c r="AB610" s="779">
        <f t="shared" si="1072"/>
        <v>10482</v>
      </c>
      <c r="AC610" s="779">
        <f t="shared" si="1072"/>
        <v>10485</v>
      </c>
      <c r="AD610" s="779">
        <f t="shared" si="1072"/>
        <v>10621</v>
      </c>
      <c r="AE610" s="1440">
        <f t="shared" si="1072"/>
        <v>10621</v>
      </c>
      <c r="AF610" s="315">
        <f>+SUM(AF607:AF609)</f>
        <v>6731</v>
      </c>
      <c r="AG610" s="779">
        <f>+SUM(AG607:AG609)</f>
        <v>6719</v>
      </c>
      <c r="AH610" s="779">
        <f>+SUM(AH607:AH609)</f>
        <v>6710</v>
      </c>
      <c r="AI610" s="779">
        <f>+SUM(AI607:AI609)</f>
        <v>6810</v>
      </c>
      <c r="AJ610" s="1440">
        <f>+SUM(AJ607:AJ609)</f>
        <v>6810</v>
      </c>
      <c r="AK610" s="779">
        <f t="shared" ref="AK610:AN610" si="1073">+SUM(AK607:AK609)</f>
        <v>6872.5</v>
      </c>
      <c r="AL610" s="779">
        <f t="shared" si="1073"/>
        <v>6935</v>
      </c>
      <c r="AM610" s="779">
        <f t="shared" si="1073"/>
        <v>6997.5</v>
      </c>
      <c r="AN610" s="779">
        <f t="shared" si="1073"/>
        <v>7060</v>
      </c>
      <c r="AO610" s="1440">
        <f>+SUM(AO607:AO609)</f>
        <v>7060</v>
      </c>
      <c r="AP610" s="1440">
        <f t="shared" si="1071"/>
        <v>7310</v>
      </c>
      <c r="AQ610" s="1440">
        <f t="shared" si="1071"/>
        <v>7560</v>
      </c>
      <c r="AR610" s="779"/>
      <c r="AS610" s="1401" t="str">
        <f t="shared" si="1050"/>
        <v>Total LT Debt, including JV / Non-recourse</v>
      </c>
      <c r="AT610" s="783">
        <f>+E610</f>
        <v>0</v>
      </c>
      <c r="AU610" s="783">
        <f>+F610</f>
        <v>16311</v>
      </c>
      <c r="AV610" s="783">
        <f>+K610</f>
        <v>15575</v>
      </c>
      <c r="AW610" s="783">
        <f>+P610</f>
        <v>12356</v>
      </c>
      <c r="AX610" s="783">
        <f>+U610</f>
        <v>11198</v>
      </c>
      <c r="AY610" s="783">
        <f>+Z610</f>
        <v>10213</v>
      </c>
      <c r="AZ610" s="783">
        <f>+AE610</f>
        <v>10621</v>
      </c>
      <c r="BA610" s="783">
        <f>+AJ610</f>
        <v>6810</v>
      </c>
      <c r="BB610" s="783">
        <f t="shared" si="1056"/>
        <v>7060</v>
      </c>
      <c r="BC610" s="783">
        <f t="shared" si="1056"/>
        <v>7310</v>
      </c>
      <c r="BD610" s="1441">
        <f t="shared" si="1056"/>
        <v>7560</v>
      </c>
      <c r="BE610" s="14"/>
      <c r="BF610" s="908"/>
      <c r="BG610"/>
      <c r="BH610"/>
      <c r="BI610"/>
      <c r="BJ610"/>
      <c r="BK610"/>
      <c r="BL610"/>
      <c r="BM610" s="909"/>
      <c r="BN610" s="909"/>
      <c r="BO610" s="909"/>
      <c r="BP610" s="931"/>
      <c r="BQ610" s="902"/>
      <c r="BR610" s="909"/>
      <c r="BS610" s="909"/>
    </row>
    <row r="611" spans="1:71" ht="12.75" customHeight="1">
      <c r="A611" s="1019"/>
      <c r="B611" s="154"/>
      <c r="C611" s="154"/>
      <c r="D611" s="154"/>
      <c r="E611" s="154"/>
      <c r="F611" s="154"/>
      <c r="G611" s="155"/>
      <c r="H611" s="155"/>
      <c r="I611" s="155"/>
      <c r="J611" s="155"/>
      <c r="K611" s="154"/>
      <c r="L611" s="155"/>
      <c r="M611" s="155"/>
      <c r="N611" s="155"/>
      <c r="O611" s="155"/>
      <c r="P611" s="154"/>
      <c r="Q611" s="155"/>
      <c r="R611" s="155"/>
      <c r="S611" s="155"/>
      <c r="T611" s="155"/>
      <c r="U611" s="154"/>
      <c r="V611" s="155"/>
      <c r="W611" s="155"/>
      <c r="X611" s="155"/>
      <c r="Y611" s="155"/>
      <c r="Z611" s="154"/>
      <c r="AA611" s="155"/>
      <c r="AB611" s="155"/>
      <c r="AC611" s="155"/>
      <c r="AD611" s="155"/>
      <c r="AE611" s="2591"/>
      <c r="AF611" s="155"/>
      <c r="AG611" s="155"/>
      <c r="AH611" s="2728"/>
      <c r="AI611" s="155"/>
      <c r="AJ611" s="2591"/>
      <c r="AK611" s="2510"/>
      <c r="AL611" s="155"/>
      <c r="AM611" s="155"/>
      <c r="AN611" s="867"/>
      <c r="AO611" s="3593"/>
      <c r="AP611" s="154"/>
      <c r="AQ611" s="154"/>
      <c r="AR611" s="155"/>
      <c r="AS611" s="489"/>
      <c r="AT611" s="155"/>
      <c r="AU611" s="155"/>
      <c r="AV611" s="155"/>
      <c r="AW611" s="155"/>
      <c r="AX611" s="155"/>
      <c r="AY611" s="155"/>
      <c r="AZ611" s="155"/>
      <c r="BA611" s="155"/>
      <c r="BB611" s="155"/>
      <c r="BC611" s="155"/>
      <c r="BD611" s="867"/>
      <c r="BF611" s="900"/>
      <c r="BM611" s="902"/>
      <c r="BN611" s="902"/>
      <c r="BO611" s="902"/>
      <c r="BP611" s="902"/>
      <c r="BQ611" s="902"/>
      <c r="BR611" s="902"/>
      <c r="BS611" s="902"/>
    </row>
    <row r="612" spans="1:71" ht="12.75" customHeight="1">
      <c r="A612" s="1019" t="s">
        <v>2072</v>
      </c>
      <c r="B612" s="154"/>
      <c r="C612" s="154"/>
      <c r="D612" s="154"/>
      <c r="E612" s="154"/>
      <c r="F612" s="154"/>
      <c r="G612" s="155"/>
      <c r="H612" s="155"/>
      <c r="I612" s="155"/>
      <c r="J612" s="155"/>
      <c r="K612" s="154"/>
      <c r="L612" s="155"/>
      <c r="M612" s="155"/>
      <c r="N612" s="155"/>
      <c r="O612" s="155"/>
      <c r="P612" s="154"/>
      <c r="Q612" s="155"/>
      <c r="R612" s="2357"/>
      <c r="S612" s="155"/>
      <c r="T612" s="155"/>
      <c r="U612" s="154"/>
      <c r="V612" s="155"/>
      <c r="W612" s="155"/>
      <c r="X612" s="155"/>
      <c r="Y612" s="155"/>
      <c r="Z612" s="154"/>
      <c r="AA612" s="155"/>
      <c r="AB612" s="155"/>
      <c r="AC612" s="155"/>
      <c r="AD612" s="155"/>
      <c r="AE612" s="2591"/>
      <c r="AF612" s="155"/>
      <c r="AG612" s="155"/>
      <c r="AH612" s="2728"/>
      <c r="AI612" s="155"/>
      <c r="AJ612" s="2591"/>
      <c r="AK612" s="2510"/>
      <c r="AL612" s="155"/>
      <c r="AM612" s="155"/>
      <c r="AN612" s="867"/>
      <c r="AO612" s="3593"/>
      <c r="AP612" s="154"/>
      <c r="AQ612" s="154"/>
      <c r="AR612" s="155"/>
      <c r="AS612" s="489" t="str">
        <f>+A612</f>
        <v>NPV of Operating Leases</v>
      </c>
      <c r="AT612" s="155">
        <f>+E612</f>
        <v>0</v>
      </c>
      <c r="AU612" s="155">
        <f>+F612</f>
        <v>0</v>
      </c>
      <c r="AV612" s="155">
        <f>+K612</f>
        <v>0</v>
      </c>
      <c r="AW612" s="155">
        <f>+P612</f>
        <v>0</v>
      </c>
      <c r="AX612" s="155">
        <f>+U612</f>
        <v>0</v>
      </c>
      <c r="AY612" s="155">
        <f>+Z612</f>
        <v>0</v>
      </c>
      <c r="AZ612" s="155">
        <f>+AE612</f>
        <v>0</v>
      </c>
      <c r="BA612" s="155">
        <f>+AJ612</f>
        <v>0</v>
      </c>
      <c r="BB612" s="155">
        <f>+AO612</f>
        <v>0</v>
      </c>
      <c r="BC612" s="155">
        <f>+AP612</f>
        <v>0</v>
      </c>
      <c r="BD612" s="867">
        <f>+AQ612</f>
        <v>0</v>
      </c>
      <c r="BF612" s="900"/>
      <c r="BM612" s="902"/>
      <c r="BN612" s="902"/>
      <c r="BO612" s="902"/>
      <c r="BP612" s="902"/>
      <c r="BQ612" s="902"/>
      <c r="BR612" s="902"/>
      <c r="BS612" s="902"/>
    </row>
    <row r="613" spans="1:71" ht="12.75" customHeight="1">
      <c r="A613" s="1016"/>
      <c r="B613" s="154"/>
      <c r="C613" s="154"/>
      <c r="D613" s="154"/>
      <c r="E613" s="154"/>
      <c r="F613" s="154"/>
      <c r="G613" s="155"/>
      <c r="H613" s="155"/>
      <c r="I613" s="155"/>
      <c r="J613" s="155"/>
      <c r="K613" s="154"/>
      <c r="L613" s="155"/>
      <c r="M613" s="155"/>
      <c r="N613" s="155"/>
      <c r="O613" s="155"/>
      <c r="P613" s="154"/>
      <c r="Q613" s="155"/>
      <c r="R613" s="155"/>
      <c r="S613" s="155"/>
      <c r="T613" s="155"/>
      <c r="U613" s="154"/>
      <c r="V613" s="155"/>
      <c r="W613" s="155"/>
      <c r="X613" s="155"/>
      <c r="Y613" s="155"/>
      <c r="Z613" s="154"/>
      <c r="AA613" s="155"/>
      <c r="AB613" s="155"/>
      <c r="AC613" s="155"/>
      <c r="AD613" s="155"/>
      <c r="AE613" s="2591"/>
      <c r="AF613" s="155"/>
      <c r="AG613" s="155"/>
      <c r="AH613" s="2728"/>
      <c r="AI613" s="155"/>
      <c r="AJ613" s="2591"/>
      <c r="AK613" s="2510"/>
      <c r="AL613" s="155"/>
      <c r="AM613" s="155"/>
      <c r="AN613" s="867"/>
      <c r="AO613" s="3593"/>
      <c r="AP613" s="154"/>
      <c r="AQ613" s="154"/>
      <c r="AR613" s="155"/>
      <c r="AS613" s="497"/>
      <c r="AT613" s="155"/>
      <c r="AU613" s="155"/>
      <c r="AV613" s="155"/>
      <c r="AW613" s="155"/>
      <c r="AX613" s="155"/>
      <c r="AY613" s="155"/>
      <c r="AZ613" s="155"/>
      <c r="BA613" s="155"/>
      <c r="BB613" s="155"/>
      <c r="BC613" s="155"/>
      <c r="BD613" s="867"/>
      <c r="BF613" s="900"/>
      <c r="BM613" s="902"/>
      <c r="BN613" s="902"/>
      <c r="BO613" s="902"/>
      <c r="BP613" s="902"/>
      <c r="BQ613" s="902"/>
      <c r="BR613" s="902"/>
      <c r="BS613" s="902"/>
    </row>
    <row r="614" spans="1:71" ht="12.75" customHeight="1">
      <c r="A614" s="1017" t="s">
        <v>1191</v>
      </c>
      <c r="B614" s="154"/>
      <c r="C614" s="154"/>
      <c r="D614" s="154"/>
      <c r="E614" s="154">
        <f t="shared" ref="E614:M614" si="1074">E551</f>
        <v>796</v>
      </c>
      <c r="F614" s="154">
        <f t="shared" si="1074"/>
        <v>781</v>
      </c>
      <c r="G614" s="155">
        <f t="shared" si="1074"/>
        <v>570</v>
      </c>
      <c r="H614" s="155">
        <f t="shared" si="1074"/>
        <v>739</v>
      </c>
      <c r="I614" s="155">
        <f t="shared" si="1074"/>
        <v>883</v>
      </c>
      <c r="J614" s="155">
        <f t="shared" si="1074"/>
        <v>755</v>
      </c>
      <c r="K614" s="154">
        <f t="shared" si="1074"/>
        <v>755</v>
      </c>
      <c r="L614" s="155">
        <f>L551</f>
        <v>777</v>
      </c>
      <c r="M614" s="155">
        <f t="shared" si="1074"/>
        <v>661</v>
      </c>
      <c r="N614" s="155">
        <f t="shared" ref="N614:AQ615" si="1075">N551</f>
        <v>724</v>
      </c>
      <c r="O614" s="155">
        <f t="shared" si="1075"/>
        <v>594</v>
      </c>
      <c r="P614" s="154">
        <f t="shared" si="1075"/>
        <v>594</v>
      </c>
      <c r="Q614" s="155">
        <f t="shared" si="1075"/>
        <v>435</v>
      </c>
      <c r="R614" s="155">
        <f t="shared" si="1075"/>
        <v>545</v>
      </c>
      <c r="S614" s="155">
        <f t="shared" si="1075"/>
        <v>543</v>
      </c>
      <c r="T614" s="155">
        <f t="shared" si="1075"/>
        <v>566</v>
      </c>
      <c r="U614" s="154">
        <f t="shared" si="1075"/>
        <v>566</v>
      </c>
      <c r="V614" s="155">
        <f t="shared" si="1075"/>
        <v>547</v>
      </c>
      <c r="W614" s="155">
        <f t="shared" si="1075"/>
        <v>511</v>
      </c>
      <c r="X614" s="155">
        <f t="shared" si="1075"/>
        <v>628</v>
      </c>
      <c r="Y614" s="155">
        <f t="shared" si="1075"/>
        <v>609</v>
      </c>
      <c r="Z614" s="154">
        <f t="shared" si="1075"/>
        <v>609</v>
      </c>
      <c r="AA614" s="155">
        <f t="shared" si="1075"/>
        <v>692</v>
      </c>
      <c r="AB614" s="155">
        <f t="shared" si="1075"/>
        <v>810</v>
      </c>
      <c r="AC614" s="155">
        <f t="shared" si="1075"/>
        <v>859</v>
      </c>
      <c r="AD614" s="155">
        <f t="shared" si="1075"/>
        <v>1418</v>
      </c>
      <c r="AE614" s="2591">
        <f t="shared" si="1075"/>
        <v>1418</v>
      </c>
      <c r="AF614" s="548">
        <f t="shared" si="1075"/>
        <v>862</v>
      </c>
      <c r="AG614" s="155">
        <f t="shared" si="1075"/>
        <v>784</v>
      </c>
      <c r="AH614" s="2728">
        <f t="shared" si="1075"/>
        <v>670</v>
      </c>
      <c r="AI614" s="155">
        <f t="shared" ca="1" si="1075"/>
        <v>596</v>
      </c>
      <c r="AJ614" s="2591">
        <f t="shared" ca="1" si="1075"/>
        <v>596</v>
      </c>
      <c r="AK614" s="155">
        <f t="shared" ref="AK614:AO614" ca="1" si="1076">AK551</f>
        <v>532.61680750119933</v>
      </c>
      <c r="AL614" s="155">
        <f t="shared" ca="1" si="1076"/>
        <v>639.75792436607026</v>
      </c>
      <c r="AM614" s="155">
        <f t="shared" ca="1" si="1076"/>
        <v>668.21956265103461</v>
      </c>
      <c r="AN614" s="155">
        <f t="shared" ca="1" si="1076"/>
        <v>653.74865688383807</v>
      </c>
      <c r="AO614" s="2591">
        <f t="shared" ca="1" si="1076"/>
        <v>653.74865688383807</v>
      </c>
      <c r="AP614" s="154">
        <f t="shared" ca="1" si="1075"/>
        <v>837.85511769560981</v>
      </c>
      <c r="AQ614" s="154">
        <f t="shared" ca="1" si="1075"/>
        <v>1654.9393587974646</v>
      </c>
      <c r="AR614" s="155"/>
      <c r="AS614" s="489" t="str">
        <f>+A614</f>
        <v>Cash</v>
      </c>
      <c r="AT614" s="155">
        <f t="shared" ref="AT614:AU616" si="1077">+E614</f>
        <v>796</v>
      </c>
      <c r="AU614" s="155">
        <f t="shared" si="1077"/>
        <v>781</v>
      </c>
      <c r="AV614" s="155">
        <f>+K614</f>
        <v>755</v>
      </c>
      <c r="AW614" s="155">
        <f>+P614</f>
        <v>594</v>
      </c>
      <c r="AX614" s="155">
        <f>+U614</f>
        <v>566</v>
      </c>
      <c r="AY614" s="155">
        <f>+Z614</f>
        <v>609</v>
      </c>
      <c r="AZ614" s="155">
        <f>+AE614</f>
        <v>1418</v>
      </c>
      <c r="BA614" s="155">
        <f ca="1">+AJ614</f>
        <v>596</v>
      </c>
      <c r="BB614" s="155">
        <f t="shared" ref="BB614:BD616" ca="1" si="1078">+AO614</f>
        <v>653.74865688383807</v>
      </c>
      <c r="BC614" s="155">
        <f t="shared" ca="1" si="1078"/>
        <v>837.85511769560981</v>
      </c>
      <c r="BD614" s="867">
        <f t="shared" ca="1" si="1078"/>
        <v>1654.9393587974646</v>
      </c>
      <c r="BF614" s="900"/>
      <c r="BM614" s="902"/>
      <c r="BN614" s="902"/>
      <c r="BO614" s="902"/>
      <c r="BP614" s="931"/>
      <c r="BQ614" s="902"/>
      <c r="BR614" s="902"/>
      <c r="BS614" s="902"/>
    </row>
    <row r="615" spans="1:71" ht="12.75" customHeight="1">
      <c r="A615" s="1017" t="s">
        <v>81</v>
      </c>
      <c r="B615" s="174"/>
      <c r="C615" s="174"/>
      <c r="D615" s="174"/>
      <c r="E615" s="255"/>
      <c r="F615" s="174">
        <f t="shared" ref="F615:K615" si="1079">F552</f>
        <v>658</v>
      </c>
      <c r="G615" s="255">
        <f t="shared" si="1079"/>
        <v>708</v>
      </c>
      <c r="H615" s="255">
        <f t="shared" si="1079"/>
        <v>716</v>
      </c>
      <c r="I615" s="255">
        <f t="shared" si="1079"/>
        <v>700</v>
      </c>
      <c r="J615" s="255">
        <f t="shared" si="1079"/>
        <v>550</v>
      </c>
      <c r="K615" s="174">
        <f t="shared" si="1079"/>
        <v>550</v>
      </c>
      <c r="L615" s="255">
        <f>L552</f>
        <v>550</v>
      </c>
      <c r="M615" s="255">
        <f>M552</f>
        <v>625</v>
      </c>
      <c r="N615" s="255">
        <f t="shared" ref="N615:AQ615" si="1080">N552</f>
        <v>502</v>
      </c>
      <c r="O615" s="255">
        <f t="shared" si="1080"/>
        <v>266</v>
      </c>
      <c r="P615" s="174">
        <f t="shared" si="1080"/>
        <v>266</v>
      </c>
      <c r="Q615" s="255">
        <f t="shared" si="1080"/>
        <v>287</v>
      </c>
      <c r="R615" s="255">
        <f t="shared" si="1080"/>
        <v>284</v>
      </c>
      <c r="S615" s="255">
        <f t="shared" si="1080"/>
        <v>288</v>
      </c>
      <c r="T615" s="255">
        <f t="shared" si="1080"/>
        <v>202</v>
      </c>
      <c r="U615" s="174">
        <f t="shared" si="1080"/>
        <v>202</v>
      </c>
      <c r="V615" s="255">
        <f t="shared" si="1080"/>
        <v>269</v>
      </c>
      <c r="W615" s="255">
        <f t="shared" si="1080"/>
        <v>248</v>
      </c>
      <c r="X615" s="255">
        <f t="shared" si="1080"/>
        <v>276</v>
      </c>
      <c r="Y615" s="255">
        <f t="shared" si="1080"/>
        <v>247</v>
      </c>
      <c r="Z615" s="174">
        <f t="shared" si="1080"/>
        <v>247</v>
      </c>
      <c r="AA615" s="255">
        <f t="shared" si="1080"/>
        <v>281</v>
      </c>
      <c r="AB615" s="255">
        <f t="shared" si="1080"/>
        <v>271</v>
      </c>
      <c r="AC615" s="255">
        <f t="shared" si="1080"/>
        <v>272</v>
      </c>
      <c r="AD615" s="255">
        <f t="shared" si="1080"/>
        <v>266</v>
      </c>
      <c r="AE615" s="174">
        <f t="shared" si="1080"/>
        <v>266</v>
      </c>
      <c r="AF615" s="255">
        <f t="shared" si="1080"/>
        <v>124</v>
      </c>
      <c r="AG615" s="255">
        <f t="shared" si="1080"/>
        <v>125</v>
      </c>
      <c r="AH615" s="255">
        <f t="shared" si="1075"/>
        <v>126</v>
      </c>
      <c r="AI615" s="255">
        <f t="shared" si="1080"/>
        <v>100</v>
      </c>
      <c r="AJ615" s="174">
        <f t="shared" si="1080"/>
        <v>100</v>
      </c>
      <c r="AK615" s="255">
        <f t="shared" ref="AK615:AO615" si="1081">AK552</f>
        <v>100</v>
      </c>
      <c r="AL615" s="255">
        <f t="shared" si="1081"/>
        <v>100</v>
      </c>
      <c r="AM615" s="255">
        <f t="shared" si="1081"/>
        <v>100</v>
      </c>
      <c r="AN615" s="255">
        <f t="shared" si="1081"/>
        <v>100</v>
      </c>
      <c r="AO615" s="174">
        <f t="shared" si="1081"/>
        <v>100</v>
      </c>
      <c r="AP615" s="174">
        <f t="shared" si="1080"/>
        <v>100</v>
      </c>
      <c r="AQ615" s="174">
        <f t="shared" si="1080"/>
        <v>100</v>
      </c>
      <c r="AR615" s="255"/>
      <c r="AS615" s="489" t="str">
        <f>+A615</f>
        <v>Restricted Cash</v>
      </c>
      <c r="AT615" s="255">
        <f t="shared" si="1077"/>
        <v>0</v>
      </c>
      <c r="AU615" s="255">
        <f t="shared" si="1077"/>
        <v>658</v>
      </c>
      <c r="AV615" s="255">
        <f>+K615</f>
        <v>550</v>
      </c>
      <c r="AW615" s="255">
        <f>+P615</f>
        <v>266</v>
      </c>
      <c r="AX615" s="255">
        <f>+U615</f>
        <v>202</v>
      </c>
      <c r="AY615" s="255">
        <f>+Z615</f>
        <v>247</v>
      </c>
      <c r="AZ615" s="255">
        <f>+AE615</f>
        <v>266</v>
      </c>
      <c r="BA615" s="255">
        <f>+AJ615</f>
        <v>100</v>
      </c>
      <c r="BB615" s="255">
        <f t="shared" si="1078"/>
        <v>100</v>
      </c>
      <c r="BC615" s="255">
        <f t="shared" si="1078"/>
        <v>100</v>
      </c>
      <c r="BD615" s="893">
        <f t="shared" si="1078"/>
        <v>100</v>
      </c>
      <c r="BF615" s="900"/>
      <c r="BM615" s="902"/>
      <c r="BN615" s="902"/>
      <c r="BO615" s="902"/>
      <c r="BP615" s="931"/>
      <c r="BQ615" s="902"/>
      <c r="BR615" s="902"/>
      <c r="BS615" s="902"/>
    </row>
    <row r="616" spans="1:71" s="11" customFormat="1" ht="12.75" customHeight="1">
      <c r="A616" s="1439" t="s">
        <v>1730</v>
      </c>
      <c r="B616" s="1440"/>
      <c r="C616" s="1440"/>
      <c r="D616" s="1440"/>
      <c r="E616" s="779"/>
      <c r="F616" s="1440">
        <f t="shared" ref="F616:N616" si="1082">F610-SUM(F614:F615)</f>
        <v>14872</v>
      </c>
      <c r="G616" s="779">
        <f t="shared" si="1082"/>
        <v>15398</v>
      </c>
      <c r="H616" s="779">
        <f t="shared" si="1082"/>
        <v>15148</v>
      </c>
      <c r="I616" s="779">
        <f t="shared" si="1082"/>
        <v>14952</v>
      </c>
      <c r="J616" s="779">
        <f t="shared" si="1082"/>
        <v>14270</v>
      </c>
      <c r="K616" s="1440">
        <f t="shared" si="1082"/>
        <v>14270</v>
      </c>
      <c r="L616" s="779">
        <f t="shared" si="1082"/>
        <v>14474</v>
      </c>
      <c r="M616" s="779">
        <f t="shared" si="1082"/>
        <v>13782</v>
      </c>
      <c r="N616" s="779">
        <f t="shared" si="1082"/>
        <v>13680</v>
      </c>
      <c r="O616" s="779">
        <f t="shared" ref="O616:AQ616" si="1083">O610-SUM(O614:O615)</f>
        <v>11496</v>
      </c>
      <c r="P616" s="1440">
        <f t="shared" si="1083"/>
        <v>11496</v>
      </c>
      <c r="Q616" s="779">
        <f t="shared" si="1083"/>
        <v>11405</v>
      </c>
      <c r="R616" s="779">
        <f t="shared" si="1083"/>
        <v>11051</v>
      </c>
      <c r="S616" s="779">
        <f t="shared" si="1083"/>
        <v>10679</v>
      </c>
      <c r="T616" s="779">
        <f t="shared" si="1083"/>
        <v>10430</v>
      </c>
      <c r="U616" s="1440">
        <f t="shared" si="1083"/>
        <v>10430</v>
      </c>
      <c r="V616" s="779">
        <f t="shared" si="1083"/>
        <v>10147</v>
      </c>
      <c r="W616" s="779">
        <f t="shared" si="1083"/>
        <v>10034</v>
      </c>
      <c r="X616" s="779">
        <f t="shared" si="1083"/>
        <v>9540</v>
      </c>
      <c r="Y616" s="779">
        <f t="shared" si="1083"/>
        <v>9357</v>
      </c>
      <c r="Z616" s="1440">
        <f t="shared" si="1083"/>
        <v>9357</v>
      </c>
      <c r="AA616" s="779">
        <f t="shared" si="1083"/>
        <v>9492</v>
      </c>
      <c r="AB616" s="779">
        <f t="shared" si="1083"/>
        <v>9401</v>
      </c>
      <c r="AC616" s="779">
        <f t="shared" si="1083"/>
        <v>9354</v>
      </c>
      <c r="AD616" s="779">
        <f t="shared" si="1083"/>
        <v>8937</v>
      </c>
      <c r="AE616" s="1440">
        <f t="shared" si="1083"/>
        <v>8937</v>
      </c>
      <c r="AF616" s="779">
        <f>AF610-SUM(AF614:AF615)</f>
        <v>5745</v>
      </c>
      <c r="AG616" s="779">
        <f>AG610-SUM(AG614:AG615)</f>
        <v>5810</v>
      </c>
      <c r="AH616" s="779">
        <f>AH610-SUM(AH614:AH615)</f>
        <v>5914</v>
      </c>
      <c r="AI616" s="779">
        <f ca="1">AI610-SUM(AI614:AI615)</f>
        <v>6114</v>
      </c>
      <c r="AJ616" s="1440">
        <f ca="1">AJ610-SUM(AJ614:AJ615)</f>
        <v>6114</v>
      </c>
      <c r="AK616" s="779">
        <f t="shared" ref="AK616:AN616" ca="1" si="1084">AK610-SUM(AK614:AK615)</f>
        <v>6239.8831924988008</v>
      </c>
      <c r="AL616" s="779">
        <f t="shared" ca="1" si="1084"/>
        <v>6195.2420756339297</v>
      </c>
      <c r="AM616" s="779">
        <f t="shared" ca="1" si="1084"/>
        <v>6229.2804373489653</v>
      </c>
      <c r="AN616" s="779">
        <f t="shared" ca="1" si="1084"/>
        <v>6306.2513431161624</v>
      </c>
      <c r="AO616" s="1440">
        <f ca="1">AO610-SUM(AO614:AO615)</f>
        <v>6306.2513431161624</v>
      </c>
      <c r="AP616" s="1440">
        <f t="shared" ca="1" si="1083"/>
        <v>6372.1448823043902</v>
      </c>
      <c r="AQ616" s="1440">
        <f t="shared" ca="1" si="1083"/>
        <v>5805.0606412025354</v>
      </c>
      <c r="AR616" s="779"/>
      <c r="AS616" s="1401" t="str">
        <f>+A616</f>
        <v>Net Debt (Including JVs)</v>
      </c>
      <c r="AT616" s="779">
        <f t="shared" si="1077"/>
        <v>0</v>
      </c>
      <c r="AU616" s="779">
        <f t="shared" si="1077"/>
        <v>14872</v>
      </c>
      <c r="AV616" s="779">
        <f>+K616</f>
        <v>14270</v>
      </c>
      <c r="AW616" s="779">
        <f>+P616</f>
        <v>11496</v>
      </c>
      <c r="AX616" s="779">
        <f>+U616</f>
        <v>10430</v>
      </c>
      <c r="AY616" s="779">
        <f>+Z616</f>
        <v>9357</v>
      </c>
      <c r="AZ616" s="779">
        <f>+AE616</f>
        <v>8937</v>
      </c>
      <c r="BA616" s="779">
        <f ca="1">+AJ616</f>
        <v>6114</v>
      </c>
      <c r="BB616" s="779">
        <f t="shared" ca="1" si="1078"/>
        <v>6306.2513431161624</v>
      </c>
      <c r="BC616" s="779">
        <f t="shared" ca="1" si="1078"/>
        <v>6372.1448823043902</v>
      </c>
      <c r="BD616" s="1442">
        <f t="shared" ca="1" si="1078"/>
        <v>5805.0606412025354</v>
      </c>
      <c r="BE616" s="14"/>
      <c r="BF616" s="908"/>
      <c r="BG616"/>
      <c r="BH616"/>
      <c r="BI616"/>
      <c r="BJ616"/>
      <c r="BK616"/>
      <c r="BL616"/>
      <c r="BM616" s="909"/>
      <c r="BN616" s="909"/>
      <c r="BO616" s="909"/>
      <c r="BP616" s="931"/>
      <c r="BQ616" s="902"/>
      <c r="BR616" s="909"/>
      <c r="BS616" s="909"/>
    </row>
    <row r="617" spans="1:71" ht="12.75" customHeight="1">
      <c r="A617" s="1016"/>
      <c r="B617" s="346"/>
      <c r="C617" s="346"/>
      <c r="D617" s="346"/>
      <c r="E617" s="346"/>
      <c r="F617" s="346"/>
      <c r="G617" s="315"/>
      <c r="H617" s="315"/>
      <c r="I617" s="315"/>
      <c r="J617" s="315"/>
      <c r="K617" s="346"/>
      <c r="L617" s="315"/>
      <c r="M617" s="315"/>
      <c r="N617" s="315"/>
      <c r="O617" s="779"/>
      <c r="P617" s="346"/>
      <c r="Q617" s="315"/>
      <c r="R617" s="315"/>
      <c r="S617" s="315"/>
      <c r="T617" s="315"/>
      <c r="U617" s="346"/>
      <c r="V617" s="315"/>
      <c r="W617" s="315"/>
      <c r="X617" s="315"/>
      <c r="Y617" s="315"/>
      <c r="Z617" s="346"/>
      <c r="AA617" s="315"/>
      <c r="AB617" s="315"/>
      <c r="AC617" s="315"/>
      <c r="AD617" s="315"/>
      <c r="AE617" s="346"/>
      <c r="AF617" s="779"/>
      <c r="AG617" s="315"/>
      <c r="AH617" s="315"/>
      <c r="AI617" s="315"/>
      <c r="AJ617" s="346"/>
      <c r="AK617" s="3920"/>
      <c r="AL617" s="315"/>
      <c r="AM617" s="315"/>
      <c r="AN617" s="315"/>
      <c r="AO617" s="346"/>
      <c r="AP617" s="346"/>
      <c r="AQ617" s="346"/>
      <c r="AR617" s="315"/>
      <c r="AS617" s="497"/>
      <c r="AT617" s="315"/>
      <c r="AU617" s="315"/>
      <c r="AV617" s="315"/>
      <c r="AW617" s="315"/>
      <c r="AX617" s="315"/>
      <c r="AY617" s="315"/>
      <c r="AZ617" s="315"/>
      <c r="BA617" s="315"/>
      <c r="BB617" s="315"/>
      <c r="BC617" s="315"/>
      <c r="BD617" s="846"/>
      <c r="BF617" s="900"/>
      <c r="BM617" s="902"/>
      <c r="BN617" s="902"/>
      <c r="BO617" s="902"/>
      <c r="BP617" s="902"/>
      <c r="BQ617" s="902"/>
      <c r="BR617" s="902"/>
      <c r="BS617" s="902"/>
    </row>
    <row r="618" spans="1:71" ht="12.75" customHeight="1">
      <c r="A618" s="1016" t="s">
        <v>873</v>
      </c>
      <c r="B618" s="346"/>
      <c r="C618" s="346"/>
      <c r="D618" s="346"/>
      <c r="E618" s="346"/>
      <c r="F618" s="346"/>
      <c r="G618" s="315"/>
      <c r="H618" s="315"/>
      <c r="I618" s="315"/>
      <c r="J618" s="315"/>
      <c r="K618" s="346"/>
      <c r="L618" s="315"/>
      <c r="M618" s="315"/>
      <c r="N618" s="315"/>
      <c r="O618" s="315"/>
      <c r="P618" s="346"/>
      <c r="Q618" s="315"/>
      <c r="R618" s="315"/>
      <c r="S618" s="315"/>
      <c r="T618" s="315"/>
      <c r="U618" s="346"/>
      <c r="V618" s="315"/>
      <c r="W618" s="315"/>
      <c r="X618" s="315"/>
      <c r="Y618" s="315"/>
      <c r="Z618" s="346"/>
      <c r="AA618" s="315"/>
      <c r="AB618" s="315"/>
      <c r="AC618" s="315"/>
      <c r="AD618" s="315"/>
      <c r="AE618" s="346"/>
      <c r="AF618" s="315"/>
      <c r="AG618" s="315"/>
      <c r="AH618" s="315"/>
      <c r="AI618" s="315"/>
      <c r="AJ618" s="346"/>
      <c r="AK618" s="3919"/>
      <c r="AL618" s="315"/>
      <c r="AM618" s="315"/>
      <c r="AN618" s="846"/>
      <c r="AO618" s="846"/>
      <c r="AP618" s="346"/>
      <c r="AQ618" s="346"/>
      <c r="AR618" s="315"/>
      <c r="AS618" s="497" t="str">
        <f>+A618</f>
        <v>Leverage Metrics</v>
      </c>
      <c r="AT618" s="315"/>
      <c r="AU618" s="315"/>
      <c r="AV618" s="315"/>
      <c r="AW618" s="315"/>
      <c r="AX618" s="315"/>
      <c r="AY618" s="315"/>
      <c r="AZ618" s="315"/>
      <c r="BA618" s="315"/>
      <c r="BB618" s="315"/>
      <c r="BC618" s="315"/>
      <c r="BD618" s="846"/>
      <c r="BF618" s="900"/>
      <c r="BM618" s="902"/>
      <c r="BN618" s="902"/>
      <c r="BO618" s="902"/>
      <c r="BP618" s="902"/>
      <c r="BQ618" s="902"/>
      <c r="BR618" s="902"/>
      <c r="BS618" s="902"/>
    </row>
    <row r="619" spans="1:71" s="7" customFormat="1" ht="12.75" customHeight="1">
      <c r="A619" s="1020" t="s">
        <v>442</v>
      </c>
      <c r="B619" s="707"/>
      <c r="C619" s="707"/>
      <c r="D619" s="707"/>
      <c r="E619" s="707"/>
      <c r="F619" s="707">
        <f>F67/AVERAGE(F595,F595)</f>
        <v>0.14614561027837258</v>
      </c>
      <c r="G619" s="390">
        <f>G67*4/AVERAGE(F595:G595)</f>
        <v>0.1031578947368421</v>
      </c>
      <c r="H619" s="390">
        <f>H67*4/AVERAGE(G595:H595)</f>
        <v>0.16662381074826432</v>
      </c>
      <c r="I619" s="390">
        <f>I67*4/AVERAGE(H595:I595)</f>
        <v>0.3784442818824677</v>
      </c>
      <c r="J619" s="390">
        <f>J67*4/AVERAGE(I595)</f>
        <v>0.15298507462686567</v>
      </c>
      <c r="K619" s="707">
        <f>K67/AVERAGE(F595,K595)</f>
        <v>0.1947709282801631</v>
      </c>
      <c r="L619" s="390">
        <f>L67*4/AVERAGE(K595:L595)</f>
        <v>6.0890978285202596E-2</v>
      </c>
      <c r="M619" s="390">
        <f>M67*4/AVERAGE(L595:M595)</f>
        <v>0.27734287631402371</v>
      </c>
      <c r="N619" s="390">
        <f>N67*4/AVERAGE(M595:N595)</f>
        <v>0.32102728731942215</v>
      </c>
      <c r="O619" s="390">
        <f>O67*4/AVERAGE(N595:O595)</f>
        <v>0.1147401306447032</v>
      </c>
      <c r="P619" s="707">
        <f>P67/AVERAGE(K595,P595)</f>
        <v>0.14705882352941177</v>
      </c>
      <c r="Q619" s="390">
        <f>Q67*4/AVERAGE(P595:Q595)</f>
        <v>0.1105742218226767</v>
      </c>
      <c r="R619" s="390">
        <f>R67*4/AVERAGE(Q595:R595)</f>
        <v>0.1784418356456777</v>
      </c>
      <c r="S619" s="390">
        <f>S67*4/AVERAGE(R595:S595)</f>
        <v>0.14463840399002495</v>
      </c>
      <c r="T619" s="390">
        <f>T67*4/AVERAGE(S595:T595)</f>
        <v>0.13833577866275415</v>
      </c>
      <c r="U619" s="707">
        <f>U67/AVERAGE(P595,U595)</f>
        <v>0.14722984092155786</v>
      </c>
      <c r="V619" s="390">
        <f>V67*4/AVERAGE(U595:V595)</f>
        <v>9.7726789887401744E-2</v>
      </c>
      <c r="W619" s="390">
        <f>W67*4/AVERAGE(V595:W595)</f>
        <v>0.20149482952800246</v>
      </c>
      <c r="X619" s="390">
        <f>X67*4/AVERAGE(W595:X595)</f>
        <v>0.17831185192363602</v>
      </c>
      <c r="Y619" s="390">
        <f>Y67*4/AVERAGE(X595:Y595)</f>
        <v>0.15287079203500312</v>
      </c>
      <c r="Z619" s="707">
        <f>Z67/AVERAGE(U595,Z595)</f>
        <v>0.14994877526310887</v>
      </c>
      <c r="AA619" s="390">
        <f>AA67*4/AVERAGE(Z595:AA595)</f>
        <v>0.11192930780559647</v>
      </c>
      <c r="AB619" s="390">
        <f>AB67*4/AVERAGE(AA595:AB595)</f>
        <v>0.15921344751030764</v>
      </c>
      <c r="AC619" s="390">
        <f>AC67*4/AVERAGE(AB595:AC595)</f>
        <v>0.14335582964859203</v>
      </c>
      <c r="AD619" s="390">
        <f>AD67*4/AVERAGE(AC595:AD595)</f>
        <v>0.15014095851792186</v>
      </c>
      <c r="AE619" s="2596">
        <f>AE67/AVERAGE(Z595,AE595)</f>
        <v>0.14910804442948503</v>
      </c>
      <c r="AF619" s="390">
        <f>AF67*4/AVERAGE(AE595:AF595)</f>
        <v>0.13338668800853676</v>
      </c>
      <c r="AG619" s="390">
        <f>AG67*4/AVERAGE(AF595:AG595)</f>
        <v>0.43944747831673625</v>
      </c>
      <c r="AH619" s="4045">
        <f>AH67*4/AVERAGE(AG595:AH595)</f>
        <v>0.48345712356515869</v>
      </c>
      <c r="AI619" s="390">
        <f ca="1">AI67*4/AVERAGE(AH595:AI595)</f>
        <v>0.40669546297845643</v>
      </c>
      <c r="AJ619" s="2596">
        <f ca="1">AJ67/AVERAGE(AE595,AJ595)</f>
        <v>0.16467412675195417</v>
      </c>
      <c r="AK619" s="390">
        <f ca="1">AK67*4/AVERAGE(AJ595:AK595)</f>
        <v>0.31116440272722928</v>
      </c>
      <c r="AL619" s="390">
        <f ca="1">AL67*4/AVERAGE(AK595:AL595)</f>
        <v>0.53248951396094257</v>
      </c>
      <c r="AM619" s="390">
        <f ca="1">AM67*4/AVERAGE(AL595:AM595)</f>
        <v>0.5699500769736352</v>
      </c>
      <c r="AN619" s="894">
        <f ca="1">AN67*4/AVERAGE(AM595:AN595)</f>
        <v>0.50954743621459053</v>
      </c>
      <c r="AO619" s="3969">
        <f ca="1">AO67/AVERAGE(AJ595,AO595)</f>
        <v>0.46957440766045055</v>
      </c>
      <c r="AP619" s="707">
        <f ca="1">AP67/AVERAGE(AO595,AP595)</f>
        <v>0.687794237329165</v>
      </c>
      <c r="AQ619" s="707">
        <f ca="1">AQ67/AVERAGE(AP595,AQ595)</f>
        <v>0.72661001944787051</v>
      </c>
      <c r="AR619" s="424"/>
      <c r="AS619" s="814" t="str">
        <f>+A619</f>
        <v>ROE</v>
      </c>
      <c r="AT619" s="390">
        <f t="shared" ref="AT619:AU622" si="1085">+E619</f>
        <v>0</v>
      </c>
      <c r="AU619" s="390">
        <f t="shared" si="1085"/>
        <v>0.14614561027837258</v>
      </c>
      <c r="AV619" s="390">
        <f>+K619</f>
        <v>0.1947709282801631</v>
      </c>
      <c r="AW619" s="390">
        <f>+P619</f>
        <v>0.14705882352941177</v>
      </c>
      <c r="AX619" s="390">
        <f>+U619</f>
        <v>0.14722984092155786</v>
      </c>
      <c r="AY619" s="390">
        <f>+Z619</f>
        <v>0.14994877526310887</v>
      </c>
      <c r="AZ619" s="390">
        <f>+AE619</f>
        <v>0.14910804442948503</v>
      </c>
      <c r="BA619" s="390">
        <f ca="1">+AJ619</f>
        <v>0.16467412675195417</v>
      </c>
      <c r="BB619" s="390">
        <f t="shared" ref="BB619:BD622" ca="1" si="1086">+AO619</f>
        <v>0.46957440766045055</v>
      </c>
      <c r="BC619" s="390">
        <f t="shared" ca="1" si="1086"/>
        <v>0.687794237329165</v>
      </c>
      <c r="BD619" s="894">
        <f t="shared" ca="1" si="1086"/>
        <v>0.72661001944787051</v>
      </c>
      <c r="BE619" s="14"/>
      <c r="BF619" s="900"/>
      <c r="BG619"/>
      <c r="BH619"/>
      <c r="BI619"/>
      <c r="BJ619"/>
      <c r="BK619"/>
      <c r="BL619"/>
      <c r="BM619" s="902"/>
      <c r="BN619" s="902"/>
      <c r="BO619" s="902"/>
      <c r="BP619" s="931"/>
      <c r="BQ619" s="902"/>
      <c r="BR619" s="902"/>
      <c r="BS619" s="902"/>
    </row>
    <row r="620" spans="1:71" s="698" customFormat="1" ht="12.75" customHeight="1">
      <c r="A620" s="1020" t="s">
        <v>1568</v>
      </c>
      <c r="B620" s="707"/>
      <c r="C620" s="707"/>
      <c r="D620" s="707"/>
      <c r="E620" s="707"/>
      <c r="F620" s="707"/>
      <c r="G620" s="390">
        <f>((G121-G109)*(1-G99))*4/AVERAGE((G595+G581+G576+G577),(F595+F581+F576+F577))</f>
        <v>2.9364425652383477E-2</v>
      </c>
      <c r="H620" s="390">
        <f>((H121-H109)*(1-H99))*4/AVERAGE((H595+H581+H576+H577),(G595+G581+G576+G577))</f>
        <v>4.0955631399317405E-2</v>
      </c>
      <c r="I620" s="390">
        <f>((I121-I109)*(1-I99))*4/AVERAGE((I595+I581+I576+I577),(H595+H581+H576+H577))</f>
        <v>6.9613464883538229E-2</v>
      </c>
      <c r="J620" s="390">
        <f>((J121-J109)*(1-J99))*4/AVERAGE((J595+J581+J576+J577),(I595+I581+I576+I577))</f>
        <v>4.6303837304003351E-2</v>
      </c>
      <c r="K620" s="707">
        <f>((K121-K109)*(1-K99))/AVERAGE((K595+K581+K576+K577),(F595+F581+F576+F577))</f>
        <v>4.8786942465596658E-2</v>
      </c>
      <c r="L620" s="390">
        <f>((L121-L109)*(1-L99))*4/AVERAGE((L595+L581+L576+L577),(K595+K581+K576+K577))</f>
        <v>3.2291637366037525E-2</v>
      </c>
      <c r="M620" s="390">
        <f>((M121-M109)*(1-M99))*4/AVERAGE((M595+M581+M576+M577),(L595+L581+L576+L577))</f>
        <v>6.6337344901353179E-2</v>
      </c>
      <c r="N620" s="390">
        <f>((N121-N109)*(1-N99))*4/AVERAGE((N595+N581+N576+N577),(M595+M581+M576+M577))</f>
        <v>7.4190558292096656E-2</v>
      </c>
      <c r="O620" s="390">
        <f>((O121-O109)*(1-O99))*4/AVERAGE((O595+O581+O576+O577),(N595+N581+N576+N577))</f>
        <v>6.2984285186413164E-2</v>
      </c>
      <c r="P620" s="707">
        <f>((P121-P109)*(1-P99))/AVERAGE((P595+P581+P576+P577),(K595+K581+K576+K577))</f>
        <v>6.2193055246248644E-2</v>
      </c>
      <c r="Q620" s="390">
        <f>((Q121-Q109)*(1-Q99))*4/AVERAGE((Q595+Q581+Q576+Q577),(P595+P581+P576+P577))</f>
        <v>5.8017084490131522E-2</v>
      </c>
      <c r="R620" s="390">
        <f>((R121-R109)*(1-R99))*4/AVERAGE((R595+R581+R576+R577),(Q595+Q581+Q576+Q577))</f>
        <v>7.7523075577970751E-2</v>
      </c>
      <c r="S620" s="390">
        <f>((S121-S109)*(1-S99))*4/AVERAGE((S595+S581+S576+S577),(R595+R581+R576+R577))</f>
        <v>7.1688441380626841E-2</v>
      </c>
      <c r="T620" s="390">
        <f>((T121-T109)*(1-T99))*4/AVERAGE((T595+T581+T576+T577),(S595+S581+S576+S577))</f>
        <v>6.9771576385689954E-2</v>
      </c>
      <c r="U620" s="707">
        <f>((U121-U109)*(1-U99))/AVERAGE((U595+U581+U576+U577),(P595+P581+P576+P577))</f>
        <v>7.0176272072185172E-2</v>
      </c>
      <c r="V620" s="390">
        <f>((V121-V109)*(1-V99))*4/AVERAGE((V595+V581+V576+V577),(U595+U581+U576+U577))</f>
        <v>5.2314198996920476E-2</v>
      </c>
      <c r="W620" s="390">
        <f>((W121-W109)*(1-W99))*4/AVERAGE((W595+W581+W576+W577),(V595+V581+V576+V577))</f>
        <v>8.3344901210330433E-2</v>
      </c>
      <c r="X620" s="390">
        <f>((X121-X109)*(1-X99))*4/AVERAGE((X595+X581+X576+X577),(W595+W581+W576+W577))</f>
        <v>8.073561698927266E-2</v>
      </c>
      <c r="Y620" s="390">
        <f>((Y121-Y109)*(1-Y99))*4/AVERAGE((Y595+Y581+Y576+Y577),(X595+X581+X576+X577))</f>
        <v>0.34951144425110425</v>
      </c>
      <c r="Z620" s="707">
        <f>((Z121-Z109)*(1-Z99))/AVERAGE((Z595+Z581+Z576+Z577),(U595+U581+U576+U577))</f>
        <v>0.13095354283360722</v>
      </c>
      <c r="AA620" s="390">
        <f>((AA121-AA109)*(1-AA99))*4/AVERAGE((AA595+AA581+AA576+AA577),(Z595+Z581+Z576+Z577))</f>
        <v>0.1410650202186301</v>
      </c>
      <c r="AB620" s="390">
        <f>((AB121-AB109)*(1-AB99))*4/AVERAGE((AB595+AB581+AB576+AB577),(AA595+AA581+AA576+AA577))</f>
        <v>9.4564985199426285E-2</v>
      </c>
      <c r="AC620" s="390">
        <f>((AC121-AC109)*(1-AC99))*4/AVERAGE((AC595+AC581+AC576+AC577),(AB595+AB581+AB576+AB577))</f>
        <v>8.2215630485889438E-2</v>
      </c>
      <c r="AD620" s="390">
        <f>((AD121-AD109)*(1-AD99))*4/AVERAGE((AD595+AD581+AD576+AD577),(AC595+AC581+AC576+AC577))</f>
        <v>-0.21138900337182367</v>
      </c>
      <c r="AE620" s="2596">
        <f>((AE121-AE109)*(1-AE99))/AVERAGE((AE595+AE581+AE576+AE577),(Z595+Z581+Z576+Z577))</f>
        <v>4.1476974680231385E-2</v>
      </c>
      <c r="AF620" s="390">
        <f>((AF121-AF109)*(1-AF99))*4/AVERAGE((AF595+AF581+AF576+AF577),(AE595+AE581+AE576+AE577))</f>
        <v>7.5143838765996118E-2</v>
      </c>
      <c r="AG620" s="390">
        <f>((AG121-AG109)*(1-AG99))*4/AVERAGE((AG595+AG581+AG576+AG577),(AF595+AF581+AF576+AF577))</f>
        <v>0.12826882688268829</v>
      </c>
      <c r="AH620" s="4045">
        <f>((AH121-AH109)*(1-AH99))*4/AVERAGE((AH595+AH581+AH576+AH577),(AG595+AG581+AG576+AG577))</f>
        <v>0.13643580454901391</v>
      </c>
      <c r="AI620" s="390">
        <f ca="1">((AI121-AI109)*(1-AI99))*4/AVERAGE((AI595+AI581+AI576+AI577),(AH595+AH581+AH576+AH577))</f>
        <v>0.64259713925938289</v>
      </c>
      <c r="AJ620" s="2596">
        <f ca="1">((AJ121-AJ109)*(1-AJ99))/AVERAGE((AJ595+AJ581+AJ576+AJ577),(AE595+AE581+AE576+AE577))</f>
        <v>0.1773574115348841</v>
      </c>
      <c r="AK620" s="390">
        <f ca="1">((AK121-AK109)*(1-AK99))*4/AVERAGE((AK595+AK581+AK576+AK577),(AJ595+AJ581+AJ576+AJ577))</f>
        <v>0.11241551509148089</v>
      </c>
      <c r="AL620" s="390">
        <f ca="1">((AL121-AL109)*(1-AL99))*4/AVERAGE((AL595+AL581+AL576+AL577),(AK595+AK581+AK576+AK577))</f>
        <v>0.1578204502662508</v>
      </c>
      <c r="AM620" s="390">
        <f ca="1">((AM121-AM109)*(1-AM99))*4/AVERAGE((AM595+AM581+AM576+AM577),(AL595+AL581+AL576+AL577))</f>
        <v>0.1603581841627757</v>
      </c>
      <c r="AN620" s="894">
        <f ca="1">((AN121-AN109)*(1-AN99))*4/AVERAGE((AN595+AN581+AN576+AN577),(AM595+AM581+AM576+AM577))</f>
        <v>0.14330292253194674</v>
      </c>
      <c r="AO620" s="3969">
        <f ca="1">((AO121-AO109)*(1-AO99))/AVERAGE((AO595+AO581+AO576+AO577),(AJ595+AJ581+AJ576+AJ577))</f>
        <v>0.1430166378031659</v>
      </c>
      <c r="AP620" s="707">
        <f ca="1">((AP121-AP109)*(1-AP99))/AVERAGE((AP595+AP581+AP576+AP577),(U595+U581+U576+U577))</f>
        <v>0.11140586618947987</v>
      </c>
      <c r="AQ620" s="707">
        <f ca="1">((AQ121-AQ109)*(1-AQ99))/AVERAGE((AQ595+AQ581+AQ576+AQ577),(Z595+Z581+Z576+Z577))</f>
        <v>0.11030618758926612</v>
      </c>
      <c r="AR620" s="424"/>
      <c r="AS620" s="814" t="str">
        <f>+A620</f>
        <v>ROIC</v>
      </c>
      <c r="AT620" s="390">
        <f t="shared" si="1085"/>
        <v>0</v>
      </c>
      <c r="AU620" s="390">
        <f t="shared" si="1085"/>
        <v>0</v>
      </c>
      <c r="AV620" s="390">
        <f>+K620</f>
        <v>4.8786942465596658E-2</v>
      </c>
      <c r="AW620" s="390">
        <f>+P620</f>
        <v>6.2193055246248644E-2</v>
      </c>
      <c r="AX620" s="390">
        <f>+U620</f>
        <v>7.0176272072185172E-2</v>
      </c>
      <c r="AY620" s="390">
        <f>+Z620</f>
        <v>0.13095354283360722</v>
      </c>
      <c r="AZ620" s="390">
        <f>+AE620</f>
        <v>4.1476974680231385E-2</v>
      </c>
      <c r="BA620" s="390">
        <f ca="1">+AJ620</f>
        <v>0.1773574115348841</v>
      </c>
      <c r="BB620" s="390">
        <f ca="1">+AO620</f>
        <v>0.1430166378031659</v>
      </c>
      <c r="BC620" s="390">
        <f ca="1">+AP620</f>
        <v>0.11140586618947987</v>
      </c>
      <c r="BD620" s="894">
        <f ca="1">+AQ620</f>
        <v>0.11030618758926612</v>
      </c>
      <c r="BE620" s="14"/>
      <c r="BF620" s="902"/>
      <c r="BG620"/>
      <c r="BH620"/>
      <c r="BI620"/>
      <c r="BJ620"/>
      <c r="BK620"/>
      <c r="BL620"/>
      <c r="BM620" s="902"/>
      <c r="BN620" s="902"/>
      <c r="BO620" s="902"/>
      <c r="BP620" s="931"/>
      <c r="BQ620" s="902"/>
      <c r="BR620" s="902"/>
      <c r="BS620" s="902"/>
    </row>
    <row r="621" spans="1:71" ht="12.75" customHeight="1">
      <c r="A621" s="1017" t="s">
        <v>1770</v>
      </c>
      <c r="B621" s="404"/>
      <c r="C621" s="404"/>
      <c r="D621" s="404"/>
      <c r="E621" s="404">
        <f>E121</f>
        <v>1564</v>
      </c>
      <c r="F621" s="404">
        <f>F121</f>
        <v>1753</v>
      </c>
      <c r="G621" s="552"/>
      <c r="H621" s="552"/>
      <c r="I621" s="552"/>
      <c r="J621" s="552">
        <f>J121+I121+H121+G121</f>
        <v>1956</v>
      </c>
      <c r="K621" s="404">
        <f>J621</f>
        <v>1956</v>
      </c>
      <c r="L621" s="552">
        <f>L121+J121+I121+H121</f>
        <v>2019</v>
      </c>
      <c r="M621" s="552">
        <f>M121+L121+J121+I121</f>
        <v>2106</v>
      </c>
      <c r="N621" s="552">
        <f>N121+M121+L121+J121</f>
        <v>2129</v>
      </c>
      <c r="O621" s="552">
        <f>O121+N121+M121+L121</f>
        <v>2210</v>
      </c>
      <c r="P621" s="404">
        <f>O621</f>
        <v>2210</v>
      </c>
      <c r="Q621" s="552">
        <f>Q121+O121+N121+M121</f>
        <v>2307</v>
      </c>
      <c r="R621" s="552">
        <f>R121+Q121+O121+N121</f>
        <v>2368</v>
      </c>
      <c r="S621" s="552">
        <f>S121+R121+Q121+O121</f>
        <v>2443</v>
      </c>
      <c r="T621" s="552">
        <f>T121+S121+R121+Q121</f>
        <v>2508</v>
      </c>
      <c r="U621" s="404">
        <f>T621</f>
        <v>2508</v>
      </c>
      <c r="V621" s="552">
        <f>V121+T121+S121+R121</f>
        <v>2563</v>
      </c>
      <c r="W621" s="552">
        <f>W121+V121+T121+S121</f>
        <v>2689</v>
      </c>
      <c r="X621" s="552">
        <f>X121+W121+V121+T121</f>
        <v>2802</v>
      </c>
      <c r="Y621" s="552">
        <f>Y121+X121+W121+V121</f>
        <v>2879</v>
      </c>
      <c r="Z621" s="404">
        <f>Y621</f>
        <v>2879</v>
      </c>
      <c r="AA621" s="552">
        <f>AA121+Y121+X121+W121</f>
        <v>2933</v>
      </c>
      <c r="AB621" s="552">
        <f>AB121+AA121+Y121+X121</f>
        <v>2962</v>
      </c>
      <c r="AC621" s="552">
        <f>AC121+AB121+AA121+Y121</f>
        <v>2969</v>
      </c>
      <c r="AD621" s="552">
        <f>AD121+AC121+AB121+AA121</f>
        <v>2975</v>
      </c>
      <c r="AE621" s="2597">
        <f>AD621</f>
        <v>2975</v>
      </c>
      <c r="AF621" s="3664">
        <f>AF121+AC121+AD121+AB121</f>
        <v>2746</v>
      </c>
      <c r="AG621" s="3892">
        <v>1867</v>
      </c>
      <c r="AH621" s="3664">
        <f>AH121+AD121+AF121+AD121</f>
        <v>2450</v>
      </c>
      <c r="AI621" s="552">
        <f ca="1">AI121+AH121+AG121+AF121</f>
        <v>1965</v>
      </c>
      <c r="AJ621" s="2597">
        <f ca="1">AI621</f>
        <v>1965</v>
      </c>
      <c r="AK621" s="552">
        <f ca="1">(AK121+AH121+AI121+AG121)</f>
        <v>1965.4071857663801</v>
      </c>
      <c r="AL621" s="552">
        <f ca="1">(AL121+AK121+AI121+AH121)</f>
        <v>2008.8246934668548</v>
      </c>
      <c r="AM621" s="552">
        <f ca="1">(AM121+AL121+AK121+AI121)</f>
        <v>2049.864618904523</v>
      </c>
      <c r="AN621" s="895">
        <f ca="1">(AN121+AM121+AL121+AK121)</f>
        <v>2068.6601203221921</v>
      </c>
      <c r="AO621" s="3970">
        <f ca="1">AN621</f>
        <v>2068.6601203221921</v>
      </c>
      <c r="AP621" s="404">
        <f ca="1">AP121</f>
        <v>2225.2912648602464</v>
      </c>
      <c r="AQ621" s="404">
        <f ca="1">AQ121</f>
        <v>2265.167276048126</v>
      </c>
      <c r="AR621" s="315"/>
      <c r="AS621" s="489" t="str">
        <f>+A621</f>
        <v>LTM Adjusted EBITDA</v>
      </c>
      <c r="AT621" s="552">
        <f t="shared" si="1085"/>
        <v>1564</v>
      </c>
      <c r="AU621" s="552">
        <f t="shared" si="1085"/>
        <v>1753</v>
      </c>
      <c r="AV621" s="552">
        <f>+K621</f>
        <v>1956</v>
      </c>
      <c r="AW621" s="552">
        <f>+P621</f>
        <v>2210</v>
      </c>
      <c r="AX621" s="552">
        <f>+U621</f>
        <v>2508</v>
      </c>
      <c r="AY621" s="552">
        <f>+Z621</f>
        <v>2879</v>
      </c>
      <c r="AZ621" s="552">
        <f>+AE621</f>
        <v>2975</v>
      </c>
      <c r="BA621" s="552">
        <f ca="1">+AJ621</f>
        <v>1965</v>
      </c>
      <c r="BB621" s="552">
        <f t="shared" ca="1" si="1086"/>
        <v>2068.6601203221921</v>
      </c>
      <c r="BC621" s="552">
        <f t="shared" ca="1" si="1086"/>
        <v>2225.2912648602464</v>
      </c>
      <c r="BD621" s="895">
        <f t="shared" ca="1" si="1086"/>
        <v>2265.167276048126</v>
      </c>
      <c r="BF621" s="900"/>
      <c r="BM621" s="902"/>
      <c r="BN621" s="902"/>
      <c r="BO621" s="902"/>
      <c r="BP621" s="931"/>
      <c r="BQ621" s="902"/>
      <c r="BR621" s="902"/>
      <c r="BS621" s="902"/>
    </row>
    <row r="622" spans="1:71" s="15" customFormat="1" ht="12.75" customHeight="1">
      <c r="A622" s="1021" t="s">
        <v>1771</v>
      </c>
      <c r="B622" s="418"/>
      <c r="C622" s="418"/>
      <c r="D622" s="418"/>
      <c r="E622" s="817"/>
      <c r="F622" s="817">
        <f>F616/F621</f>
        <v>8.4837421563034798</v>
      </c>
      <c r="G622" s="637"/>
      <c r="H622" s="637"/>
      <c r="I622" s="637"/>
      <c r="J622" s="817">
        <f t="shared" ref="J622:Q622" si="1087">J616/J621</f>
        <v>7.2955010224948875</v>
      </c>
      <c r="K622" s="817">
        <f t="shared" si="1087"/>
        <v>7.2955010224948875</v>
      </c>
      <c r="L622" s="637">
        <f t="shared" si="1087"/>
        <v>7.1688954928182271</v>
      </c>
      <c r="M622" s="637">
        <f t="shared" si="1087"/>
        <v>6.5441595441595446</v>
      </c>
      <c r="N622" s="637">
        <f t="shared" si="1087"/>
        <v>6.4255519023015504</v>
      </c>
      <c r="O622" s="817">
        <f t="shared" si="1087"/>
        <v>5.2018099547511314</v>
      </c>
      <c r="P622" s="817">
        <f t="shared" si="1087"/>
        <v>5.2018099547511314</v>
      </c>
      <c r="Q622" s="637">
        <f t="shared" si="1087"/>
        <v>4.9436497615951449</v>
      </c>
      <c r="R622" s="637">
        <f t="shared" ref="R622:AQ622" si="1088">R616/R621</f>
        <v>4.6668074324324325</v>
      </c>
      <c r="S622" s="637">
        <f t="shared" si="1088"/>
        <v>4.3712648383135493</v>
      </c>
      <c r="T622" s="817">
        <f t="shared" si="1088"/>
        <v>4.1586921850079746</v>
      </c>
      <c r="U622" s="817">
        <f t="shared" si="1088"/>
        <v>4.1586921850079746</v>
      </c>
      <c r="V622" s="637">
        <f t="shared" si="1088"/>
        <v>3.9590323839250878</v>
      </c>
      <c r="W622" s="637">
        <f t="shared" si="1088"/>
        <v>3.7314986984008924</v>
      </c>
      <c r="X622" s="637">
        <f t="shared" si="1088"/>
        <v>3.4047109207708779</v>
      </c>
      <c r="Y622" s="817">
        <f t="shared" si="1088"/>
        <v>3.2500868357068429</v>
      </c>
      <c r="Z622" s="817">
        <f t="shared" si="1088"/>
        <v>3.2500868357068429</v>
      </c>
      <c r="AA622" s="637">
        <f t="shared" si="1088"/>
        <v>3.2362768496420049</v>
      </c>
      <c r="AB622" s="637">
        <f t="shared" si="1088"/>
        <v>3.1738690074274141</v>
      </c>
      <c r="AC622" s="637">
        <f t="shared" si="1088"/>
        <v>3.1505557426743009</v>
      </c>
      <c r="AD622" s="637">
        <f t="shared" si="1088"/>
        <v>3.0040336134453782</v>
      </c>
      <c r="AE622" s="2622">
        <f t="shared" si="1088"/>
        <v>3.0040336134453782</v>
      </c>
      <c r="AF622" s="637">
        <f>AF616/AF621</f>
        <v>2.0921340131099782</v>
      </c>
      <c r="AG622" s="637">
        <f>AG616/AG621</f>
        <v>3.1119442956614889</v>
      </c>
      <c r="AH622" s="4046">
        <f>AH616/AH621</f>
        <v>2.4138775510204082</v>
      </c>
      <c r="AI622" s="637">
        <f ca="1">AI616/AI621</f>
        <v>3.1114503816793895</v>
      </c>
      <c r="AJ622" s="2622">
        <f ca="1">AJ616/AJ621</f>
        <v>3.1114503816793895</v>
      </c>
      <c r="AK622" s="637">
        <f t="shared" ref="AK622:AN622" ca="1" si="1089">AK616/AK621</f>
        <v>3.1748551840496377</v>
      </c>
      <c r="AL622" s="637">
        <f t="shared" ca="1" si="1089"/>
        <v>3.0840133017989255</v>
      </c>
      <c r="AM622" s="637">
        <f t="shared" ca="1" si="1089"/>
        <v>3.0388740699754027</v>
      </c>
      <c r="AN622" s="817">
        <f t="shared" ca="1" si="1089"/>
        <v>3.0484714628394194</v>
      </c>
      <c r="AO622" s="3971">
        <f ca="1">AO616/AO621</f>
        <v>3.0484714628394194</v>
      </c>
      <c r="AP622" s="817">
        <f t="shared" ca="1" si="1088"/>
        <v>2.8635104909309819</v>
      </c>
      <c r="AQ622" s="817">
        <f t="shared" ca="1" si="1088"/>
        <v>2.5627514146903119</v>
      </c>
      <c r="AR622" s="315"/>
      <c r="AS622" s="496" t="str">
        <f>+A622</f>
        <v>Net Debt / EBITDA</v>
      </c>
      <c r="AT622" s="637">
        <f t="shared" si="1085"/>
        <v>0</v>
      </c>
      <c r="AU622" s="637">
        <f t="shared" si="1085"/>
        <v>8.4837421563034798</v>
      </c>
      <c r="AV622" s="637">
        <f>+K622</f>
        <v>7.2955010224948875</v>
      </c>
      <c r="AW622" s="637">
        <f>+P622</f>
        <v>5.2018099547511314</v>
      </c>
      <c r="AX622" s="637">
        <f>+U622</f>
        <v>4.1586921850079746</v>
      </c>
      <c r="AY622" s="637">
        <f>+Z622</f>
        <v>3.2500868357068429</v>
      </c>
      <c r="AZ622" s="637">
        <f>+AE622</f>
        <v>3.0040336134453782</v>
      </c>
      <c r="BA622" s="637">
        <f ca="1">+AJ622</f>
        <v>3.1114503816793895</v>
      </c>
      <c r="BB622" s="637">
        <f t="shared" ca="1" si="1086"/>
        <v>3.0484714628394194</v>
      </c>
      <c r="BC622" s="637">
        <f t="shared" ca="1" si="1086"/>
        <v>2.8635104909309819</v>
      </c>
      <c r="BD622" s="817">
        <f t="shared" ca="1" si="1086"/>
        <v>2.5627514146903119</v>
      </c>
      <c r="BE622" s="14"/>
      <c r="BF622" s="900"/>
      <c r="BG622"/>
      <c r="BH622"/>
      <c r="BI622"/>
      <c r="BJ622"/>
      <c r="BK622"/>
      <c r="BL622"/>
      <c r="BM622" s="902"/>
      <c r="BN622" s="902"/>
      <c r="BO622" s="902"/>
      <c r="BP622" s="931"/>
      <c r="BQ622" s="902"/>
      <c r="BR622" s="902"/>
      <c r="BS622" s="902"/>
    </row>
    <row r="623" spans="1:71" s="15" customFormat="1" ht="12.75" customHeight="1">
      <c r="A623" s="1"/>
      <c r="B623" s="155"/>
      <c r="C623" s="155"/>
      <c r="D623" s="155"/>
      <c r="E623" s="155"/>
      <c r="F623" s="155"/>
      <c r="G623" s="155"/>
      <c r="H623" s="155"/>
      <c r="I623" s="155"/>
      <c r="J623" s="155"/>
      <c r="K623" s="155"/>
      <c r="L623" s="155"/>
      <c r="M623" s="155"/>
      <c r="N623" s="155"/>
      <c r="O623" s="155"/>
      <c r="P623" s="155"/>
      <c r="Q623" s="155"/>
      <c r="R623" s="155"/>
      <c r="S623" s="2357"/>
      <c r="T623" s="155"/>
      <c r="U623" s="155"/>
      <c r="V623" s="155"/>
      <c r="W623" s="155"/>
      <c r="X623" s="155"/>
      <c r="Y623" s="155"/>
      <c r="Z623" s="155"/>
      <c r="AA623" s="155"/>
      <c r="AB623" s="155"/>
      <c r="AC623" s="155"/>
      <c r="AD623" s="155"/>
      <c r="AE623" s="155"/>
      <c r="AF623" s="155"/>
      <c r="AG623" s="155"/>
      <c r="AH623" s="2728"/>
      <c r="AI623" s="155"/>
      <c r="AJ623" s="155"/>
      <c r="AK623" s="155"/>
      <c r="AL623" s="155"/>
      <c r="AM623" s="155"/>
      <c r="AN623" s="155"/>
      <c r="AO623" s="155"/>
      <c r="AP623" s="155"/>
      <c r="AQ623" s="155"/>
      <c r="AR623" s="155"/>
      <c r="AS623" s="1"/>
      <c r="AT623" s="155"/>
      <c r="AU623" s="155"/>
      <c r="AV623" s="155"/>
      <c r="AW623" s="155"/>
      <c r="AX623" s="155"/>
      <c r="AY623" s="155"/>
      <c r="AZ623" s="155"/>
      <c r="BA623" s="155"/>
      <c r="BB623" s="155"/>
      <c r="BC623" s="155"/>
      <c r="BD623" s="155"/>
      <c r="BE623" s="14"/>
      <c r="BF623" s="900"/>
      <c r="BG623"/>
      <c r="BH623"/>
      <c r="BI623"/>
      <c r="BJ623"/>
      <c r="BK623"/>
      <c r="BL623"/>
      <c r="BM623" s="902"/>
      <c r="BN623" s="902"/>
      <c r="BO623" s="902"/>
      <c r="BP623" s="902"/>
      <c r="BQ623" s="902"/>
      <c r="BR623" s="902"/>
      <c r="BS623" s="902"/>
    </row>
    <row r="624" spans="1:71" ht="12.75" customHeight="1">
      <c r="A624" s="341" t="s">
        <v>1807</v>
      </c>
      <c r="B624" s="413"/>
      <c r="C624" s="413"/>
      <c r="D624" s="413"/>
      <c r="E624" s="413" t="str">
        <f>E602</f>
        <v>2010</v>
      </c>
      <c r="F624" s="413" t="str">
        <f>F602</f>
        <v>2011</v>
      </c>
      <c r="G624" s="412" t="str">
        <f t="shared" ref="G624:W624" si="1090">G602</f>
        <v>1Q12</v>
      </c>
      <c r="H624" s="412" t="str">
        <f t="shared" si="1090"/>
        <v>2Q12</v>
      </c>
      <c r="I624" s="412" t="str">
        <f t="shared" si="1090"/>
        <v>3Q12</v>
      </c>
      <c r="J624" s="412" t="str">
        <f t="shared" si="1090"/>
        <v>4Q12</v>
      </c>
      <c r="K624" s="413">
        <f t="shared" si="1090"/>
        <v>2012</v>
      </c>
      <c r="L624" s="412" t="str">
        <f>L602</f>
        <v>1Q13</v>
      </c>
      <c r="M624" s="412" t="str">
        <f t="shared" si="1090"/>
        <v>2Q13</v>
      </c>
      <c r="N624" s="412" t="str">
        <f t="shared" si="1090"/>
        <v>3Q13</v>
      </c>
      <c r="O624" s="412" t="str">
        <f t="shared" si="1090"/>
        <v>4Q13</v>
      </c>
      <c r="P624" s="766">
        <f t="shared" si="1090"/>
        <v>2013</v>
      </c>
      <c r="Q624" s="412" t="str">
        <f>Q602</f>
        <v>1Q14</v>
      </c>
      <c r="R624" s="412" t="str">
        <f t="shared" si="1090"/>
        <v>2Q14</v>
      </c>
      <c r="S624" s="412" t="str">
        <f t="shared" si="1090"/>
        <v>3Q14</v>
      </c>
      <c r="T624" s="412" t="str">
        <f t="shared" si="1090"/>
        <v>4Q14</v>
      </c>
      <c r="U624" s="413">
        <f t="shared" si="1090"/>
        <v>2014</v>
      </c>
      <c r="V624" s="412" t="str">
        <f t="shared" si="1090"/>
        <v>1Q15</v>
      </c>
      <c r="W624" s="412" t="str">
        <f t="shared" si="1090"/>
        <v>2Q15</v>
      </c>
      <c r="X624" s="412" t="str">
        <f t="shared" ref="X624:AQ624" si="1091">X602</f>
        <v>3Q15</v>
      </c>
      <c r="Y624" s="412" t="str">
        <f t="shared" si="1091"/>
        <v>4Q15</v>
      </c>
      <c r="Z624" s="413">
        <f t="shared" si="1091"/>
        <v>2015</v>
      </c>
      <c r="AA624" s="412" t="str">
        <f t="shared" si="1091"/>
        <v>1Q16</v>
      </c>
      <c r="AB624" s="412" t="str">
        <f t="shared" si="1091"/>
        <v>2Q16</v>
      </c>
      <c r="AC624" s="412" t="str">
        <f t="shared" si="1091"/>
        <v>3Q16</v>
      </c>
      <c r="AD624" s="412" t="str">
        <f t="shared" si="1091"/>
        <v>4Q16</v>
      </c>
      <c r="AE624" s="3653">
        <f t="shared" si="1091"/>
        <v>2016</v>
      </c>
      <c r="AF624" s="412" t="str">
        <f>AF602</f>
        <v>1Q17</v>
      </c>
      <c r="AG624" s="412" t="str">
        <f>AG602</f>
        <v>2Q17</v>
      </c>
      <c r="AH624" s="4047" t="str">
        <f>AH602</f>
        <v>3Q17</v>
      </c>
      <c r="AI624" s="412" t="str">
        <f>AI602</f>
        <v>4Q17A</v>
      </c>
      <c r="AJ624" s="413" t="str">
        <f t="shared" si="1091"/>
        <v>2017A</v>
      </c>
      <c r="AK624" s="412" t="str">
        <f>AK602</f>
        <v>1Q18E</v>
      </c>
      <c r="AL624" s="412" t="str">
        <f>AL602</f>
        <v>2Q18E</v>
      </c>
      <c r="AM624" s="412" t="str">
        <f>AM602</f>
        <v>3Q18E</v>
      </c>
      <c r="AN624" s="412" t="str">
        <f>AN602</f>
        <v>4Q18E</v>
      </c>
      <c r="AO624" s="413" t="str">
        <f t="shared" si="1091"/>
        <v>2018E</v>
      </c>
      <c r="AP624" s="413" t="str">
        <f t="shared" si="1091"/>
        <v>2019E</v>
      </c>
      <c r="AQ624" s="413" t="str">
        <f t="shared" si="1091"/>
        <v>2020E</v>
      </c>
      <c r="AR624" s="155"/>
      <c r="AS624" s="341" t="str">
        <f>+A624</f>
        <v>Long-term Debt</v>
      </c>
      <c r="AT624" s="412" t="str">
        <f>+E624</f>
        <v>2010</v>
      </c>
      <c r="AU624" s="412" t="str">
        <f>+F624</f>
        <v>2011</v>
      </c>
      <c r="AV624" s="412">
        <f>+K624</f>
        <v>2012</v>
      </c>
      <c r="AW624" s="412">
        <f>+P624</f>
        <v>2013</v>
      </c>
      <c r="AX624" s="412">
        <f>+U624</f>
        <v>2014</v>
      </c>
      <c r="AY624" s="412">
        <f>+Z624</f>
        <v>2015</v>
      </c>
      <c r="AZ624" s="412">
        <f>+AE624</f>
        <v>2016</v>
      </c>
      <c r="BA624" s="412" t="str">
        <f>+AJ624</f>
        <v>2017A</v>
      </c>
      <c r="BB624" s="412" t="str">
        <f>+AO624</f>
        <v>2018E</v>
      </c>
      <c r="BC624" s="412" t="str">
        <f>+AP624</f>
        <v>2019E</v>
      </c>
      <c r="BD624" s="896" t="str">
        <f>+AQ624</f>
        <v>2020E</v>
      </c>
      <c r="BF624" s="900"/>
      <c r="BM624" s="902"/>
      <c r="BN624" s="902"/>
      <c r="BO624" s="902"/>
      <c r="BP624" s="902"/>
      <c r="BQ624" s="902"/>
      <c r="BR624" s="902"/>
      <c r="BS624" s="902"/>
    </row>
    <row r="625" spans="1:71" ht="12.75" customHeight="1">
      <c r="A625" s="488"/>
      <c r="B625" s="154"/>
      <c r="C625" s="154"/>
      <c r="D625" s="154"/>
      <c r="E625" s="154"/>
      <c r="F625" s="154"/>
      <c r="G625" s="155"/>
      <c r="H625" s="155"/>
      <c r="I625" s="155"/>
      <c r="J625" s="155"/>
      <c r="K625" s="154"/>
      <c r="L625" s="155"/>
      <c r="M625" s="155"/>
      <c r="N625" s="155"/>
      <c r="O625" s="155"/>
      <c r="P625" s="154"/>
      <c r="Q625" s="155"/>
      <c r="R625" s="155"/>
      <c r="S625" s="155"/>
      <c r="T625" s="155"/>
      <c r="U625" s="154"/>
      <c r="V625" s="155"/>
      <c r="W625" s="155"/>
      <c r="X625" s="155"/>
      <c r="Y625" s="155"/>
      <c r="Z625" s="154"/>
      <c r="AA625" s="2510"/>
      <c r="AB625" s="155"/>
      <c r="AC625" s="155"/>
      <c r="AD625" s="867"/>
      <c r="AE625" s="154"/>
      <c r="AF625" s="155"/>
      <c r="AG625" s="155"/>
      <c r="AH625" s="2728"/>
      <c r="AI625" s="867"/>
      <c r="AJ625" s="154"/>
      <c r="AK625" s="155"/>
      <c r="AL625" s="155"/>
      <c r="AM625" s="155"/>
      <c r="AN625" s="867"/>
      <c r="AO625" s="154"/>
      <c r="AP625" s="154"/>
      <c r="AQ625" s="154"/>
      <c r="AR625" s="155"/>
      <c r="AS625" s="488"/>
      <c r="AT625" s="155"/>
      <c r="AU625" s="155"/>
      <c r="AV625" s="155"/>
      <c r="AW625" s="155"/>
      <c r="AX625" s="155"/>
      <c r="AY625" s="155"/>
      <c r="AZ625" s="155"/>
      <c r="BA625" s="155"/>
      <c r="BB625" s="155"/>
      <c r="BC625" s="155"/>
      <c r="BD625" s="867"/>
      <c r="BF625" s="900"/>
      <c r="BM625" s="902"/>
      <c r="BN625" s="902"/>
      <c r="BO625" s="902"/>
      <c r="BP625" s="902"/>
      <c r="BQ625" s="902"/>
      <c r="BR625" s="902"/>
      <c r="BS625" s="902"/>
    </row>
    <row r="626" spans="1:71" ht="12.75" customHeight="1">
      <c r="A626" s="497" t="s">
        <v>1237</v>
      </c>
      <c r="B626" s="154"/>
      <c r="C626" s="154"/>
      <c r="D626" s="154"/>
      <c r="E626" s="154"/>
      <c r="F626" s="154"/>
      <c r="G626" s="155"/>
      <c r="H626" s="155"/>
      <c r="I626" s="155"/>
      <c r="J626" s="155"/>
      <c r="K626" s="154"/>
      <c r="L626" s="155"/>
      <c r="M626" s="155"/>
      <c r="N626" s="156"/>
      <c r="O626" s="155"/>
      <c r="P626" s="154"/>
      <c r="Q626" s="155"/>
      <c r="R626" s="155"/>
      <c r="S626" s="155"/>
      <c r="T626" s="155"/>
      <c r="U626" s="154"/>
      <c r="V626" s="155"/>
      <c r="W626" s="155"/>
      <c r="X626" s="155"/>
      <c r="Y626" s="155"/>
      <c r="Z626" s="154"/>
      <c r="AA626" s="2510"/>
      <c r="AB626" s="155"/>
      <c r="AC626" s="155"/>
      <c r="AD626" s="867"/>
      <c r="AE626" s="154"/>
      <c r="AF626" s="155"/>
      <c r="AG626" s="155"/>
      <c r="AH626" s="2728"/>
      <c r="AI626" s="155"/>
      <c r="AJ626" s="154"/>
      <c r="AK626" s="155"/>
      <c r="AL626" s="155"/>
      <c r="AM626" s="155"/>
      <c r="AN626" s="155"/>
      <c r="AO626" s="154"/>
      <c r="AP626" s="154"/>
      <c r="AQ626" s="154"/>
      <c r="AR626" s="155"/>
      <c r="AS626" s="497" t="str">
        <f t="shared" ref="AS626:AS651" si="1092">+A626</f>
        <v>Long term debt</v>
      </c>
      <c r="AT626" s="155"/>
      <c r="AU626" s="155"/>
      <c r="AV626" s="155"/>
      <c r="AW626" s="155"/>
      <c r="AX626" s="155"/>
      <c r="AY626" s="155"/>
      <c r="AZ626" s="155"/>
      <c r="BA626" s="155"/>
      <c r="BB626" s="155"/>
      <c r="BC626" s="155"/>
      <c r="BD626" s="867"/>
      <c r="BF626" s="900"/>
      <c r="BM626" s="902"/>
      <c r="BN626" s="902"/>
      <c r="BO626" s="902"/>
      <c r="BP626" s="902"/>
      <c r="BQ626" s="902"/>
      <c r="BR626" s="902"/>
      <c r="BS626" s="902"/>
    </row>
    <row r="627" spans="1:71" ht="12.75" customHeight="1">
      <c r="A627" s="304" t="s">
        <v>390</v>
      </c>
      <c r="B627" s="153"/>
      <c r="C627" s="153"/>
      <c r="D627" s="153"/>
      <c r="E627" s="153" t="s">
        <v>2235</v>
      </c>
      <c r="F627" s="152"/>
      <c r="G627" s="267"/>
      <c r="H627" s="267"/>
      <c r="I627" s="267"/>
      <c r="J627" s="180">
        <v>0</v>
      </c>
      <c r="K627" s="153">
        <f>J627</f>
        <v>0</v>
      </c>
      <c r="L627" s="267"/>
      <c r="M627" s="180">
        <v>0</v>
      </c>
      <c r="N627" s="180">
        <v>0</v>
      </c>
      <c r="O627" s="180">
        <f t="shared" ref="O627:U627" si="1093">N627</f>
        <v>0</v>
      </c>
      <c r="P627" s="153">
        <f t="shared" si="1093"/>
        <v>0</v>
      </c>
      <c r="Q627" s="180">
        <v>0</v>
      </c>
      <c r="R627" s="180">
        <v>0</v>
      </c>
      <c r="S627" s="180">
        <v>0</v>
      </c>
      <c r="T627" s="267">
        <f t="shared" si="1093"/>
        <v>0</v>
      </c>
      <c r="U627" s="153">
        <f t="shared" si="1093"/>
        <v>0</v>
      </c>
      <c r="V627" s="267">
        <v>0</v>
      </c>
      <c r="W627" s="267">
        <v>0</v>
      </c>
      <c r="X627" s="267">
        <v>0</v>
      </c>
      <c r="Y627" s="267">
        <f t="shared" ref="Y627:AE627" si="1094">X627</f>
        <v>0</v>
      </c>
      <c r="Z627" s="153">
        <f t="shared" si="1094"/>
        <v>0</v>
      </c>
      <c r="AA627" s="267">
        <f t="shared" si="1094"/>
        <v>0</v>
      </c>
      <c r="AB627" s="267">
        <f t="shared" si="1094"/>
        <v>0</v>
      </c>
      <c r="AC627" s="267">
        <f t="shared" si="1094"/>
        <v>0</v>
      </c>
      <c r="AD627" s="267">
        <f t="shared" si="1094"/>
        <v>0</v>
      </c>
      <c r="AE627" s="2598">
        <f t="shared" si="1094"/>
        <v>0</v>
      </c>
      <c r="AF627" s="267"/>
      <c r="AG627" s="267"/>
      <c r="AH627" s="3577"/>
      <c r="AI627" s="267"/>
      <c r="AJ627" s="2598"/>
      <c r="AK627" s="267"/>
      <c r="AL627" s="267"/>
      <c r="AM627" s="267"/>
      <c r="AN627" s="267"/>
      <c r="AO627" s="2598"/>
      <c r="AP627" s="2598"/>
      <c r="AQ627" s="2598"/>
      <c r="AR627" s="267"/>
      <c r="AS627" s="522" t="str">
        <f t="shared" si="1092"/>
        <v>Senior secured revolver (LIBOR + 225bps) due 2018</v>
      </c>
      <c r="AT627" s="267" t="str">
        <f t="shared" ref="AT627:AT643" si="1095">+E627</f>
        <v xml:space="preserve"> </v>
      </c>
      <c r="AU627" s="267">
        <f t="shared" ref="AU627:AU643" si="1096">+F627</f>
        <v>0</v>
      </c>
      <c r="AV627" s="267">
        <f t="shared" ref="AV627:AV643" si="1097">+K627</f>
        <v>0</v>
      </c>
      <c r="AW627" s="267">
        <f t="shared" ref="AW627:AW643" si="1098">+P627</f>
        <v>0</v>
      </c>
      <c r="AX627" s="267">
        <f t="shared" ref="AX627:AX643" si="1099">+U627</f>
        <v>0</v>
      </c>
      <c r="AY627" s="267">
        <f t="shared" ref="AY627:AY643" si="1100">+Z627</f>
        <v>0</v>
      </c>
      <c r="AZ627" s="267">
        <f t="shared" ref="AZ627:AZ651" si="1101">+AE627</f>
        <v>0</v>
      </c>
      <c r="BA627" s="267">
        <f t="shared" ref="BA627:BA651" si="1102">+AJ627</f>
        <v>0</v>
      </c>
      <c r="BB627" s="267">
        <f t="shared" ref="BB627:BB651" si="1103">+AO627</f>
        <v>0</v>
      </c>
      <c r="BC627" s="267">
        <f t="shared" ref="BC627:BC651" si="1104">+AP627</f>
        <v>0</v>
      </c>
      <c r="BD627" s="851">
        <f t="shared" ref="BD627:BD651" si="1105">+AQ627</f>
        <v>0</v>
      </c>
      <c r="BF627" s="900"/>
      <c r="BM627" s="902"/>
      <c r="BN627" s="902"/>
      <c r="BO627" s="902"/>
      <c r="BP627" s="902"/>
      <c r="BQ627" s="902"/>
      <c r="BR627" s="902"/>
      <c r="BS627" s="902"/>
    </row>
    <row r="628" spans="1:71" ht="12.75" customHeight="1">
      <c r="A628" s="2464" t="s">
        <v>2904</v>
      </c>
      <c r="B628" s="153"/>
      <c r="C628" s="153"/>
      <c r="D628" s="153"/>
      <c r="E628" s="153" t="s">
        <v>2235</v>
      </c>
      <c r="F628" s="152"/>
      <c r="G628" s="267"/>
      <c r="H628" s="267"/>
      <c r="I628" s="267"/>
      <c r="J628" s="180">
        <v>0</v>
      </c>
      <c r="K628" s="153">
        <f t="shared" ref="K628:K650" si="1106">J628</f>
        <v>0</v>
      </c>
      <c r="L628" s="267"/>
      <c r="M628" s="180">
        <v>0</v>
      </c>
      <c r="N628" s="180">
        <v>0</v>
      </c>
      <c r="O628" s="180">
        <f>6000-29</f>
        <v>5971</v>
      </c>
      <c r="P628" s="153">
        <f>O628</f>
        <v>5971</v>
      </c>
      <c r="Q628" s="180">
        <f>5800-28</f>
        <v>5772</v>
      </c>
      <c r="R628" s="180">
        <f>5550-26</f>
        <v>5524</v>
      </c>
      <c r="S628" s="180">
        <f>5300-24</f>
        <v>5276</v>
      </c>
      <c r="T628" s="180">
        <f>5000-21</f>
        <v>4979</v>
      </c>
      <c r="U628" s="153">
        <f>T628</f>
        <v>4979</v>
      </c>
      <c r="V628" s="180">
        <f>4850-20</f>
        <v>4830</v>
      </c>
      <c r="W628" s="180">
        <f>4675-19</f>
        <v>4656</v>
      </c>
      <c r="X628" s="180">
        <f>4325-19</f>
        <v>4306</v>
      </c>
      <c r="Y628" s="180">
        <f>4225-17</f>
        <v>4208</v>
      </c>
      <c r="Z628" s="153">
        <f t="shared" ref="Z628:Z650" si="1107">Y628</f>
        <v>4208</v>
      </c>
      <c r="AA628" s="180">
        <v>4225</v>
      </c>
      <c r="AB628" s="180">
        <v>4225</v>
      </c>
      <c r="AC628" s="2782">
        <v>1000</v>
      </c>
      <c r="AD628" s="2782">
        <v>750</v>
      </c>
      <c r="AE628" s="2598">
        <f t="shared" ref="AE628:AE650" si="1108">AD628</f>
        <v>750</v>
      </c>
      <c r="AF628" s="267"/>
      <c r="AG628" s="267"/>
      <c r="AH628" s="3577"/>
      <c r="AI628" s="267"/>
      <c r="AJ628" s="2598"/>
      <c r="AK628" s="267"/>
      <c r="AL628" s="267"/>
      <c r="AM628" s="267"/>
      <c r="AN628" s="267"/>
      <c r="AO628" s="2598"/>
      <c r="AP628" s="2598"/>
      <c r="AQ628" s="2598"/>
      <c r="AR628" s="267"/>
      <c r="AS628" s="522" t="str">
        <f t="shared" si="1092"/>
        <v>Senior secured term loan facility with a rate of 3.50%, due 2020</v>
      </c>
      <c r="AT628" s="267" t="str">
        <f t="shared" si="1095"/>
        <v xml:space="preserve"> </v>
      </c>
      <c r="AU628" s="267">
        <f t="shared" si="1096"/>
        <v>0</v>
      </c>
      <c r="AV628" s="267">
        <f t="shared" si="1097"/>
        <v>0</v>
      </c>
      <c r="AW628" s="267">
        <f t="shared" si="1098"/>
        <v>5971</v>
      </c>
      <c r="AX628" s="267">
        <f t="shared" si="1099"/>
        <v>4979</v>
      </c>
      <c r="AY628" s="267">
        <f t="shared" si="1100"/>
        <v>4208</v>
      </c>
      <c r="AZ628" s="267">
        <f t="shared" si="1101"/>
        <v>750</v>
      </c>
      <c r="BA628" s="267">
        <f t="shared" si="1102"/>
        <v>0</v>
      </c>
      <c r="BB628" s="267">
        <f t="shared" si="1103"/>
        <v>0</v>
      </c>
      <c r="BC628" s="267">
        <f t="shared" si="1104"/>
        <v>0</v>
      </c>
      <c r="BD628" s="851">
        <f t="shared" si="1105"/>
        <v>0</v>
      </c>
      <c r="BF628" s="900"/>
      <c r="BM628" s="902"/>
      <c r="BN628" s="902"/>
      <c r="BO628" s="902"/>
      <c r="BP628" s="902"/>
      <c r="BQ628" s="902"/>
      <c r="BR628" s="902"/>
      <c r="BS628" s="902"/>
    </row>
    <row r="629" spans="1:71" ht="12.75" customHeight="1">
      <c r="A629" s="2464" t="s">
        <v>2903</v>
      </c>
      <c r="B629" s="153"/>
      <c r="C629" s="153"/>
      <c r="D629" s="153"/>
      <c r="E629" s="153"/>
      <c r="F629" s="152"/>
      <c r="G629" s="267"/>
      <c r="H629" s="267"/>
      <c r="I629" s="267"/>
      <c r="J629" s="180"/>
      <c r="K629" s="153"/>
      <c r="L629" s="267"/>
      <c r="M629" s="180"/>
      <c r="N629" s="180"/>
      <c r="O629" s="180"/>
      <c r="P629" s="153"/>
      <c r="Q629" s="180"/>
      <c r="R629" s="180"/>
      <c r="S629" s="180"/>
      <c r="T629" s="180"/>
      <c r="U629" s="153"/>
      <c r="V629" s="180"/>
      <c r="W629" s="180"/>
      <c r="X629" s="180"/>
      <c r="Y629" s="180"/>
      <c r="Z629" s="153"/>
      <c r="AA629" s="180"/>
      <c r="AB629" s="180"/>
      <c r="AC629" s="2782">
        <v>3217</v>
      </c>
      <c r="AD629" s="2782">
        <v>3209</v>
      </c>
      <c r="AE629" s="2598">
        <f t="shared" si="1108"/>
        <v>3209</v>
      </c>
      <c r="AF629" s="267"/>
      <c r="AG629" s="267"/>
      <c r="AH629" s="3577"/>
      <c r="AI629" s="267"/>
      <c r="AJ629" s="2598"/>
      <c r="AK629" s="267"/>
      <c r="AL629" s="267"/>
      <c r="AM629" s="267"/>
      <c r="AN629" s="267"/>
      <c r="AO629" s="2598"/>
      <c r="AP629" s="2598"/>
      <c r="AQ629" s="2598"/>
      <c r="AR629" s="267"/>
      <c r="AS629" s="522"/>
      <c r="AT629" s="267"/>
      <c r="AU629" s="267"/>
      <c r="AV629" s="267"/>
      <c r="AW629" s="267"/>
      <c r="AX629" s="267"/>
      <c r="AY629" s="267"/>
      <c r="AZ629" s="267"/>
      <c r="BA629" s="267"/>
      <c r="BB629" s="267"/>
      <c r="BC629" s="267"/>
      <c r="BD629" s="851"/>
      <c r="BF629" s="900"/>
      <c r="BM629" s="902"/>
      <c r="BN629" s="902"/>
      <c r="BO629" s="902"/>
      <c r="BP629" s="902"/>
      <c r="BQ629" s="902"/>
      <c r="BR629" s="902"/>
      <c r="BS629" s="902"/>
    </row>
    <row r="630" spans="1:71" ht="12.75" customHeight="1">
      <c r="A630" s="2464" t="s">
        <v>2367</v>
      </c>
      <c r="B630" s="153"/>
      <c r="C630" s="153"/>
      <c r="D630" s="153"/>
      <c r="E630" s="153" t="s">
        <v>2235</v>
      </c>
      <c r="F630" s="152"/>
      <c r="G630" s="267"/>
      <c r="H630" s="267"/>
      <c r="I630" s="267"/>
      <c r="J630" s="180">
        <v>0</v>
      </c>
      <c r="K630" s="153">
        <f t="shared" si="1106"/>
        <v>0</v>
      </c>
      <c r="L630" s="267"/>
      <c r="M630" s="180">
        <v>0</v>
      </c>
      <c r="N630" s="180">
        <v>0</v>
      </c>
      <c r="O630" s="180">
        <v>3500</v>
      </c>
      <c r="P630" s="153">
        <f t="shared" ref="P630:U630" si="1109">O630</f>
        <v>3500</v>
      </c>
      <c r="Q630" s="180">
        <v>3500</v>
      </c>
      <c r="R630" s="180">
        <f t="shared" si="1109"/>
        <v>3500</v>
      </c>
      <c r="S630" s="180">
        <f t="shared" si="1109"/>
        <v>3500</v>
      </c>
      <c r="T630" s="180">
        <v>3487</v>
      </c>
      <c r="U630" s="153">
        <f t="shared" si="1109"/>
        <v>3487</v>
      </c>
      <c r="V630" s="180">
        <v>3487</v>
      </c>
      <c r="W630" s="180">
        <v>3487</v>
      </c>
      <c r="X630" s="180">
        <v>3487</v>
      </c>
      <c r="Y630" s="180">
        <v>3418</v>
      </c>
      <c r="Z630" s="153">
        <f t="shared" si="1107"/>
        <v>3418</v>
      </c>
      <c r="AA630" s="180">
        <v>3418</v>
      </c>
      <c r="AB630" s="180">
        <v>3418</v>
      </c>
      <c r="AC630" s="180">
        <v>2427</v>
      </c>
      <c r="AD630" s="3591">
        <v>0</v>
      </c>
      <c r="AE630" s="2598">
        <f t="shared" si="1108"/>
        <v>0</v>
      </c>
      <c r="AF630" s="267"/>
      <c r="AG630" s="267"/>
      <c r="AH630" s="3577"/>
      <c r="AI630" s="267"/>
      <c r="AJ630" s="2598"/>
      <c r="AK630" s="267"/>
      <c r="AL630" s="267"/>
      <c r="AM630" s="267"/>
      <c r="AN630" s="267"/>
      <c r="AO630" s="2598"/>
      <c r="AP630" s="2598"/>
      <c r="AQ630" s="2598"/>
      <c r="AR630" s="267"/>
      <c r="AS630" s="522" t="str">
        <f t="shared" si="1092"/>
        <v>CMBS loan with an average rate of 4.06% due 2018</v>
      </c>
      <c r="AT630" s="267" t="str">
        <f t="shared" si="1095"/>
        <v xml:space="preserve"> </v>
      </c>
      <c r="AU630" s="267">
        <f t="shared" si="1096"/>
        <v>0</v>
      </c>
      <c r="AV630" s="267">
        <f t="shared" si="1097"/>
        <v>0</v>
      </c>
      <c r="AW630" s="267">
        <f t="shared" si="1098"/>
        <v>3500</v>
      </c>
      <c r="AX630" s="267">
        <f t="shared" si="1099"/>
        <v>3487</v>
      </c>
      <c r="AY630" s="267">
        <f t="shared" si="1100"/>
        <v>3418</v>
      </c>
      <c r="AZ630" s="267">
        <f t="shared" si="1101"/>
        <v>0</v>
      </c>
      <c r="BA630" s="267">
        <f t="shared" si="1102"/>
        <v>0</v>
      </c>
      <c r="BB630" s="267">
        <f t="shared" si="1103"/>
        <v>0</v>
      </c>
      <c r="BC630" s="267">
        <f t="shared" si="1104"/>
        <v>0</v>
      </c>
      <c r="BD630" s="851">
        <f t="shared" si="1105"/>
        <v>0</v>
      </c>
      <c r="BF630" s="900"/>
      <c r="BM630" s="902"/>
      <c r="BN630" s="902"/>
      <c r="BO630" s="902"/>
      <c r="BP630" s="902"/>
      <c r="BQ630" s="902"/>
      <c r="BR630" s="902"/>
      <c r="BS630" s="902"/>
    </row>
    <row r="631" spans="1:71" ht="12.75" customHeight="1">
      <c r="A631" s="2464" t="s">
        <v>2818</v>
      </c>
      <c r="B631" s="153"/>
      <c r="C631" s="153"/>
      <c r="D631" s="153"/>
      <c r="E631" s="153"/>
      <c r="F631" s="152"/>
      <c r="G631" s="267"/>
      <c r="H631" s="267"/>
      <c r="I631" s="267"/>
      <c r="J631" s="180"/>
      <c r="K631" s="153"/>
      <c r="L631" s="267"/>
      <c r="M631" s="180"/>
      <c r="N631" s="180"/>
      <c r="O631" s="180"/>
      <c r="P631" s="153"/>
      <c r="Q631" s="180"/>
      <c r="R631" s="180"/>
      <c r="S631" s="180"/>
      <c r="T631" s="180"/>
      <c r="U631" s="153"/>
      <c r="V631" s="180"/>
      <c r="W631" s="180"/>
      <c r="X631" s="180"/>
      <c r="Y631" s="180"/>
      <c r="Z631" s="153"/>
      <c r="AA631" s="180"/>
      <c r="AB631" s="180"/>
      <c r="AC631" s="267"/>
      <c r="AD631" s="3592">
        <v>725</v>
      </c>
      <c r="AE631" s="2598">
        <f t="shared" si="1108"/>
        <v>725</v>
      </c>
      <c r="AF631" s="267"/>
      <c r="AG631" s="267"/>
      <c r="AH631" s="3577"/>
      <c r="AI631" s="267"/>
      <c r="AJ631" s="2598"/>
      <c r="AK631" s="267"/>
      <c r="AL631" s="267"/>
      <c r="AM631" s="267"/>
      <c r="AN631" s="267"/>
      <c r="AO631" s="2598"/>
      <c r="AP631" s="2598"/>
      <c r="AQ631" s="2598"/>
      <c r="AR631" s="267"/>
      <c r="AS631" s="522" t="str">
        <f t="shared" si="1092"/>
        <v>CMBS loan due 2023</v>
      </c>
      <c r="AT631" s="267"/>
      <c r="AU631" s="267"/>
      <c r="AV631" s="267"/>
      <c r="AW631" s="267"/>
      <c r="AX631" s="267"/>
      <c r="AY631" s="267"/>
      <c r="AZ631" s="267"/>
      <c r="BA631" s="267"/>
      <c r="BB631" s="267"/>
      <c r="BC631" s="267"/>
      <c r="BD631" s="851"/>
      <c r="BF631" s="900"/>
      <c r="BM631" s="902"/>
      <c r="BN631" s="902"/>
      <c r="BO631" s="902"/>
      <c r="BP631" s="902"/>
      <c r="BQ631" s="902"/>
      <c r="BR631" s="902"/>
      <c r="BS631" s="902"/>
    </row>
    <row r="632" spans="1:71" ht="12.75" customHeight="1">
      <c r="A632" s="2464" t="s">
        <v>2819</v>
      </c>
      <c r="B632" s="153"/>
      <c r="C632" s="153"/>
      <c r="D632" s="153"/>
      <c r="E632" s="153"/>
      <c r="F632" s="152"/>
      <c r="G632" s="267"/>
      <c r="H632" s="267"/>
      <c r="I632" s="267"/>
      <c r="J632" s="180"/>
      <c r="K632" s="153"/>
      <c r="L632" s="267"/>
      <c r="M632" s="180"/>
      <c r="N632" s="180"/>
      <c r="O632" s="180"/>
      <c r="P632" s="153"/>
      <c r="Q632" s="180"/>
      <c r="R632" s="180"/>
      <c r="S632" s="180"/>
      <c r="T632" s="180"/>
      <c r="U632" s="153"/>
      <c r="V632" s="180"/>
      <c r="W632" s="180"/>
      <c r="X632" s="180"/>
      <c r="Y632" s="180"/>
      <c r="Z632" s="153"/>
      <c r="AA632" s="180"/>
      <c r="AB632" s="180"/>
      <c r="AC632" s="267"/>
      <c r="AD632" s="3592">
        <v>1275</v>
      </c>
      <c r="AE632" s="2598">
        <f t="shared" si="1108"/>
        <v>1275</v>
      </c>
      <c r="AF632" s="267"/>
      <c r="AG632" s="267"/>
      <c r="AH632" s="3577"/>
      <c r="AI632" s="267"/>
      <c r="AJ632" s="2598"/>
      <c r="AK632" s="267"/>
      <c r="AL632" s="267"/>
      <c r="AM632" s="267"/>
      <c r="AN632" s="267"/>
      <c r="AO632" s="2598"/>
      <c r="AP632" s="2598"/>
      <c r="AQ632" s="2598"/>
      <c r="AR632" s="267"/>
      <c r="AS632" s="522"/>
      <c r="AT632" s="267"/>
      <c r="AU632" s="267"/>
      <c r="AV632" s="267"/>
      <c r="AW632" s="267"/>
      <c r="AX632" s="267"/>
      <c r="AY632" s="267"/>
      <c r="AZ632" s="267"/>
      <c r="BA632" s="267"/>
      <c r="BB632" s="267"/>
      <c r="BC632" s="267"/>
      <c r="BD632" s="851"/>
      <c r="BF632" s="900"/>
      <c r="BM632" s="902"/>
      <c r="BN632" s="902"/>
      <c r="BO632" s="902"/>
      <c r="BP632" s="902"/>
      <c r="BQ632" s="902"/>
      <c r="BR632" s="902"/>
      <c r="BS632" s="902"/>
    </row>
    <row r="633" spans="1:71" ht="12.75" customHeight="1">
      <c r="A633" s="304" t="s">
        <v>384</v>
      </c>
      <c r="B633" s="153"/>
      <c r="C633" s="153"/>
      <c r="D633" s="153"/>
      <c r="E633" s="153" t="s">
        <v>2235</v>
      </c>
      <c r="F633" s="152"/>
      <c r="G633" s="267"/>
      <c r="H633" s="267"/>
      <c r="I633" s="267"/>
      <c r="J633" s="180">
        <v>0</v>
      </c>
      <c r="K633" s="153">
        <f t="shared" si="1106"/>
        <v>0</v>
      </c>
      <c r="L633" s="267"/>
      <c r="M633" s="180">
        <v>0</v>
      </c>
      <c r="N633" s="180">
        <v>0</v>
      </c>
      <c r="O633" s="180">
        <v>525</v>
      </c>
      <c r="P633" s="153">
        <f t="shared" ref="P633:U633" si="1110">O633</f>
        <v>525</v>
      </c>
      <c r="Q633" s="180">
        <v>525</v>
      </c>
      <c r="R633" s="180">
        <f t="shared" si="1110"/>
        <v>525</v>
      </c>
      <c r="S633" s="180">
        <f t="shared" si="1110"/>
        <v>525</v>
      </c>
      <c r="T633" s="180">
        <v>525</v>
      </c>
      <c r="U633" s="153">
        <f t="shared" si="1110"/>
        <v>525</v>
      </c>
      <c r="V633" s="180">
        <v>0</v>
      </c>
      <c r="W633" s="180">
        <v>0</v>
      </c>
      <c r="X633" s="180">
        <v>0</v>
      </c>
      <c r="Y633" s="180">
        <f>X633</f>
        <v>0</v>
      </c>
      <c r="Z633" s="153">
        <f t="shared" si="1107"/>
        <v>0</v>
      </c>
      <c r="AA633" s="180">
        <v>0</v>
      </c>
      <c r="AB633" s="180">
        <v>0</v>
      </c>
      <c r="AC633" s="267">
        <f>AB633</f>
        <v>0</v>
      </c>
      <c r="AD633" s="156">
        <v>0</v>
      </c>
      <c r="AE633" s="2598">
        <f t="shared" si="1108"/>
        <v>0</v>
      </c>
      <c r="AF633" s="267"/>
      <c r="AG633" s="267"/>
      <c r="AH633" s="3577"/>
      <c r="AI633" s="267"/>
      <c r="AJ633" s="2598"/>
      <c r="AK633" s="267"/>
      <c r="AL633" s="267"/>
      <c r="AM633" s="267"/>
      <c r="AN633" s="267"/>
      <c r="AO633" s="2598"/>
      <c r="AP633" s="2598"/>
      <c r="AQ633" s="2598"/>
      <c r="AR633" s="267"/>
      <c r="AS633" s="522" t="str">
        <f t="shared" si="1092"/>
        <v>Mortgage loan with a rate of 2.32%, due 2018</v>
      </c>
      <c r="AT633" s="267" t="str">
        <f t="shared" si="1095"/>
        <v xml:space="preserve"> </v>
      </c>
      <c r="AU633" s="267">
        <f t="shared" si="1096"/>
        <v>0</v>
      </c>
      <c r="AV633" s="267">
        <f t="shared" si="1097"/>
        <v>0</v>
      </c>
      <c r="AW633" s="267">
        <f t="shared" si="1098"/>
        <v>525</v>
      </c>
      <c r="AX633" s="267">
        <f t="shared" si="1099"/>
        <v>525</v>
      </c>
      <c r="AY633" s="267">
        <f t="shared" si="1100"/>
        <v>0</v>
      </c>
      <c r="AZ633" s="267">
        <f t="shared" si="1101"/>
        <v>0</v>
      </c>
      <c r="BA633" s="267">
        <f t="shared" si="1102"/>
        <v>0</v>
      </c>
      <c r="BB633" s="267">
        <f t="shared" si="1103"/>
        <v>0</v>
      </c>
      <c r="BC633" s="267">
        <f t="shared" si="1104"/>
        <v>0</v>
      </c>
      <c r="BD633" s="851">
        <f t="shared" si="1105"/>
        <v>0</v>
      </c>
      <c r="BF633" s="900"/>
      <c r="BM633" s="902"/>
      <c r="BN633" s="902"/>
      <c r="BO633" s="902"/>
      <c r="BP633" s="902"/>
      <c r="BQ633" s="902"/>
      <c r="BR633" s="902"/>
      <c r="BS633" s="902"/>
    </row>
    <row r="634" spans="1:71" ht="12.75" customHeight="1">
      <c r="A634" s="252" t="s">
        <v>391</v>
      </c>
      <c r="B634" s="153"/>
      <c r="C634" s="153"/>
      <c r="D634" s="153"/>
      <c r="E634" s="153" t="s">
        <v>2235</v>
      </c>
      <c r="F634" s="152"/>
      <c r="G634" s="267"/>
      <c r="H634" s="267"/>
      <c r="I634" s="267"/>
      <c r="J634" s="180">
        <v>0</v>
      </c>
      <c r="K634" s="153">
        <f t="shared" si="1106"/>
        <v>0</v>
      </c>
      <c r="L634" s="267"/>
      <c r="M634" s="180">
        <v>0</v>
      </c>
      <c r="N634" s="180">
        <v>0</v>
      </c>
      <c r="O634" s="180">
        <v>1500</v>
      </c>
      <c r="P634" s="153">
        <f t="shared" ref="P634:U634" si="1111">O634</f>
        <v>1500</v>
      </c>
      <c r="Q634" s="180">
        <v>1500</v>
      </c>
      <c r="R634" s="180">
        <f t="shared" si="1111"/>
        <v>1500</v>
      </c>
      <c r="S634" s="180">
        <f t="shared" si="1111"/>
        <v>1500</v>
      </c>
      <c r="T634" s="180">
        <v>1500</v>
      </c>
      <c r="U634" s="153">
        <f t="shared" si="1111"/>
        <v>1500</v>
      </c>
      <c r="V634" s="180">
        <v>1500</v>
      </c>
      <c r="W634" s="180">
        <v>1500</v>
      </c>
      <c r="X634" s="180">
        <v>1500</v>
      </c>
      <c r="Y634" s="180">
        <v>1500</v>
      </c>
      <c r="Z634" s="153">
        <f t="shared" si="1107"/>
        <v>1500</v>
      </c>
      <c r="AA634" s="180">
        <v>1500</v>
      </c>
      <c r="AB634" s="180">
        <v>1500</v>
      </c>
      <c r="AC634" s="180">
        <v>1500</v>
      </c>
      <c r="AD634" s="180">
        <v>1500</v>
      </c>
      <c r="AE634" s="2598">
        <f t="shared" si="1108"/>
        <v>1500</v>
      </c>
      <c r="AF634" s="3654">
        <v>0</v>
      </c>
      <c r="AG634" s="267">
        <f t="shared" ref="AG634:AJ647" si="1112">AF634</f>
        <v>0</v>
      </c>
      <c r="AH634" s="3577">
        <f t="shared" si="1112"/>
        <v>0</v>
      </c>
      <c r="AI634" s="267">
        <f t="shared" si="1112"/>
        <v>0</v>
      </c>
      <c r="AJ634" s="2598">
        <f t="shared" si="1112"/>
        <v>0</v>
      </c>
      <c r="AK634" s="3654">
        <f>AJ634</f>
        <v>0</v>
      </c>
      <c r="AL634" s="3654">
        <f t="shared" ref="AL634:AO647" si="1113">AK634</f>
        <v>0</v>
      </c>
      <c r="AM634" s="3654">
        <f t="shared" si="1113"/>
        <v>0</v>
      </c>
      <c r="AN634" s="3654">
        <f t="shared" si="1113"/>
        <v>0</v>
      </c>
      <c r="AO634" s="2598">
        <f t="shared" si="1113"/>
        <v>0</v>
      </c>
      <c r="AP634" s="2598">
        <f t="shared" ref="AP634:AQ634" si="1114">AO634</f>
        <v>0</v>
      </c>
      <c r="AQ634" s="2598">
        <f t="shared" si="1114"/>
        <v>0</v>
      </c>
      <c r="AR634" s="267"/>
      <c r="AS634" s="522" t="str">
        <f t="shared" si="1092"/>
        <v>Senior unsecured notes (5.625%), due 2021</v>
      </c>
      <c r="AT634" s="267" t="str">
        <f t="shared" si="1095"/>
        <v xml:space="preserve"> </v>
      </c>
      <c r="AU634" s="267">
        <f t="shared" si="1096"/>
        <v>0</v>
      </c>
      <c r="AV634" s="267">
        <f t="shared" si="1097"/>
        <v>0</v>
      </c>
      <c r="AW634" s="267">
        <f t="shared" si="1098"/>
        <v>1500</v>
      </c>
      <c r="AX634" s="267">
        <f t="shared" si="1099"/>
        <v>1500</v>
      </c>
      <c r="AY634" s="267">
        <f t="shared" si="1100"/>
        <v>1500</v>
      </c>
      <c r="AZ634" s="267">
        <f t="shared" si="1101"/>
        <v>1500</v>
      </c>
      <c r="BA634" s="267">
        <f t="shared" si="1102"/>
        <v>0</v>
      </c>
      <c r="BB634" s="267">
        <f t="shared" si="1103"/>
        <v>0</v>
      </c>
      <c r="BC634" s="267">
        <f t="shared" si="1104"/>
        <v>0</v>
      </c>
      <c r="BD634" s="851">
        <f t="shared" si="1105"/>
        <v>0</v>
      </c>
      <c r="BF634" s="900"/>
      <c r="BM634" s="902"/>
      <c r="BN634" s="902"/>
      <c r="BO634" s="902"/>
      <c r="BP634" s="902"/>
      <c r="BQ634" s="902"/>
      <c r="BR634" s="902"/>
      <c r="BS634" s="902"/>
    </row>
    <row r="635" spans="1:71" ht="12.75" customHeight="1">
      <c r="A635" s="304" t="s">
        <v>385</v>
      </c>
      <c r="B635" s="153"/>
      <c r="C635" s="153"/>
      <c r="D635" s="153"/>
      <c r="E635" s="153"/>
      <c r="F635" s="152"/>
      <c r="G635" s="267"/>
      <c r="H635" s="267"/>
      <c r="I635" s="267"/>
      <c r="J635" s="180">
        <v>0</v>
      </c>
      <c r="K635" s="153">
        <f t="shared" si="1106"/>
        <v>0</v>
      </c>
      <c r="L635" s="267"/>
      <c r="M635" s="180">
        <v>0</v>
      </c>
      <c r="N635" s="180">
        <v>149</v>
      </c>
      <c r="O635" s="180">
        <v>53</v>
      </c>
      <c r="P635" s="153">
        <f>O635</f>
        <v>53</v>
      </c>
      <c r="Q635" s="180">
        <v>53</v>
      </c>
      <c r="R635" s="180">
        <v>54</v>
      </c>
      <c r="S635" s="180">
        <v>54</v>
      </c>
      <c r="T635" s="180">
        <v>54</v>
      </c>
      <c r="U635" s="153">
        <f>T635</f>
        <v>54</v>
      </c>
      <c r="V635" s="180">
        <v>54</v>
      </c>
      <c r="W635" s="180">
        <v>54</v>
      </c>
      <c r="X635" s="180">
        <v>54</v>
      </c>
      <c r="Y635" s="180">
        <v>54</v>
      </c>
      <c r="Z635" s="153">
        <f t="shared" si="1107"/>
        <v>54</v>
      </c>
      <c r="AA635" s="180">
        <v>54</v>
      </c>
      <c r="AB635" s="180">
        <v>54</v>
      </c>
      <c r="AC635" s="180">
        <v>54</v>
      </c>
      <c r="AD635" s="180">
        <v>54</v>
      </c>
      <c r="AE635" s="2598">
        <f t="shared" si="1108"/>
        <v>54</v>
      </c>
      <c r="AF635" s="267"/>
      <c r="AG635" s="267"/>
      <c r="AH635" s="3577"/>
      <c r="AI635" s="267"/>
      <c r="AJ635" s="2598"/>
      <c r="AK635" s="267"/>
      <c r="AL635" s="267"/>
      <c r="AM635" s="267"/>
      <c r="AN635" s="267"/>
      <c r="AO635" s="2598"/>
      <c r="AP635" s="2598"/>
      <c r="AQ635" s="2598"/>
      <c r="AR635" s="267"/>
      <c r="AS635" s="522" t="str">
        <f t="shared" si="1092"/>
        <v>Other unsecured notes with a rate of 7.50%, due 2017</v>
      </c>
      <c r="AT635" s="267">
        <f t="shared" si="1095"/>
        <v>0</v>
      </c>
      <c r="AU635" s="267">
        <f t="shared" si="1096"/>
        <v>0</v>
      </c>
      <c r="AV635" s="267">
        <f t="shared" si="1097"/>
        <v>0</v>
      </c>
      <c r="AW635" s="267">
        <f t="shared" si="1098"/>
        <v>53</v>
      </c>
      <c r="AX635" s="267">
        <f t="shared" si="1099"/>
        <v>54</v>
      </c>
      <c r="AY635" s="267">
        <f t="shared" si="1100"/>
        <v>54</v>
      </c>
      <c r="AZ635" s="267">
        <f t="shared" si="1101"/>
        <v>54</v>
      </c>
      <c r="BA635" s="267">
        <f t="shared" si="1102"/>
        <v>0</v>
      </c>
      <c r="BB635" s="267">
        <f t="shared" si="1103"/>
        <v>0</v>
      </c>
      <c r="BC635" s="267">
        <f t="shared" si="1104"/>
        <v>0</v>
      </c>
      <c r="BD635" s="851">
        <f t="shared" si="1105"/>
        <v>0</v>
      </c>
      <c r="BF635" s="900"/>
      <c r="BM635" s="902"/>
      <c r="BN635" s="902"/>
      <c r="BO635" s="902"/>
      <c r="BP635" s="902"/>
      <c r="BQ635" s="902"/>
      <c r="BR635" s="902"/>
      <c r="BS635" s="902"/>
    </row>
    <row r="636" spans="1:71" ht="12.75" customHeight="1">
      <c r="A636" s="304" t="s">
        <v>1235</v>
      </c>
      <c r="B636" s="153"/>
      <c r="C636" s="153"/>
      <c r="D636" s="153"/>
      <c r="E636" s="153"/>
      <c r="F636" s="152"/>
      <c r="G636" s="267"/>
      <c r="H636" s="267"/>
      <c r="I636" s="267"/>
      <c r="J636" s="180">
        <v>0</v>
      </c>
      <c r="K636" s="153">
        <f t="shared" si="1106"/>
        <v>0</v>
      </c>
      <c r="L636" s="267"/>
      <c r="M636" s="180">
        <v>0</v>
      </c>
      <c r="N636" s="180">
        <v>215</v>
      </c>
      <c r="O636" s="180">
        <v>0</v>
      </c>
      <c r="P636" s="153">
        <f t="shared" ref="P636:U636" si="1115">O636</f>
        <v>0</v>
      </c>
      <c r="Q636" s="180">
        <v>0</v>
      </c>
      <c r="R636" s="180">
        <f t="shared" si="1115"/>
        <v>0</v>
      </c>
      <c r="S636" s="180">
        <f t="shared" si="1115"/>
        <v>0</v>
      </c>
      <c r="T636" s="180">
        <v>0</v>
      </c>
      <c r="U636" s="153">
        <f t="shared" si="1115"/>
        <v>0</v>
      </c>
      <c r="V636" s="180">
        <v>0</v>
      </c>
      <c r="W636" s="180">
        <v>0</v>
      </c>
      <c r="X636" s="180">
        <v>0</v>
      </c>
      <c r="Y636" s="180">
        <v>0</v>
      </c>
      <c r="Z636" s="153">
        <f t="shared" si="1107"/>
        <v>0</v>
      </c>
      <c r="AA636" s="180">
        <v>0</v>
      </c>
      <c r="AB636" s="180">
        <v>0</v>
      </c>
      <c r="AC636" s="180">
        <v>0</v>
      </c>
      <c r="AD636" s="156">
        <v>0</v>
      </c>
      <c r="AE636" s="2598">
        <f t="shared" si="1108"/>
        <v>0</v>
      </c>
      <c r="AF636" s="267"/>
      <c r="AG636" s="267"/>
      <c r="AH636" s="3577"/>
      <c r="AI636" s="267"/>
      <c r="AJ636" s="2598"/>
      <c r="AK636" s="267"/>
      <c r="AL636" s="267"/>
      <c r="AM636" s="267"/>
      <c r="AN636" s="267"/>
      <c r="AO636" s="2598"/>
      <c r="AP636" s="2598"/>
      <c r="AQ636" s="2598"/>
      <c r="AR636" s="267"/>
      <c r="AS636" s="522" t="str">
        <f t="shared" si="1092"/>
        <v>Other secured debt notes &amp; obligations</v>
      </c>
      <c r="AT636" s="267">
        <f t="shared" si="1095"/>
        <v>0</v>
      </c>
      <c r="AU636" s="267">
        <f t="shared" si="1096"/>
        <v>0</v>
      </c>
      <c r="AV636" s="267">
        <f t="shared" si="1097"/>
        <v>0</v>
      </c>
      <c r="AW636" s="267">
        <f t="shared" si="1098"/>
        <v>0</v>
      </c>
      <c r="AX636" s="267">
        <f t="shared" si="1099"/>
        <v>0</v>
      </c>
      <c r="AY636" s="267">
        <f t="shared" si="1100"/>
        <v>0</v>
      </c>
      <c r="AZ636" s="267">
        <f t="shared" si="1101"/>
        <v>0</v>
      </c>
      <c r="BA636" s="267">
        <f t="shared" si="1102"/>
        <v>0</v>
      </c>
      <c r="BB636" s="267">
        <f t="shared" si="1103"/>
        <v>0</v>
      </c>
      <c r="BC636" s="267">
        <f t="shared" si="1104"/>
        <v>0</v>
      </c>
      <c r="BD636" s="851">
        <f t="shared" si="1105"/>
        <v>0</v>
      </c>
      <c r="BF636" s="900"/>
      <c r="BM636" s="902"/>
      <c r="BN636" s="902"/>
      <c r="BO636" s="902"/>
      <c r="BP636" s="902"/>
      <c r="BQ636" s="902"/>
      <c r="BR636" s="902"/>
      <c r="BS636" s="902"/>
    </row>
    <row r="637" spans="1:71" ht="12.75" customHeight="1">
      <c r="A637" s="304" t="s">
        <v>779</v>
      </c>
      <c r="B637" s="153"/>
      <c r="C637" s="153"/>
      <c r="D637" s="153"/>
      <c r="E637" s="153"/>
      <c r="F637" s="152">
        <v>7596</v>
      </c>
      <c r="G637" s="267"/>
      <c r="H637" s="267"/>
      <c r="I637" s="267"/>
      <c r="J637" s="180">
        <v>7271</v>
      </c>
      <c r="K637" s="153">
        <f t="shared" si="1106"/>
        <v>7271</v>
      </c>
      <c r="L637" s="267"/>
      <c r="M637" s="180">
        <v>7094</v>
      </c>
      <c r="N637" s="180">
        <v>7010</v>
      </c>
      <c r="O637" s="180">
        <v>0</v>
      </c>
      <c r="P637" s="153">
        <f t="shared" ref="P637:U637" si="1116">O637</f>
        <v>0</v>
      </c>
      <c r="Q637" s="180">
        <v>0</v>
      </c>
      <c r="R637" s="180">
        <f t="shared" si="1116"/>
        <v>0</v>
      </c>
      <c r="S637" s="180">
        <f t="shared" si="1116"/>
        <v>0</v>
      </c>
      <c r="T637" s="180">
        <v>0</v>
      </c>
      <c r="U637" s="153">
        <f t="shared" si="1116"/>
        <v>0</v>
      </c>
      <c r="V637" s="180">
        <v>0</v>
      </c>
      <c r="W637" s="180">
        <v>0</v>
      </c>
      <c r="X637" s="180">
        <v>0</v>
      </c>
      <c r="Y637" s="180">
        <v>0</v>
      </c>
      <c r="Z637" s="153">
        <f t="shared" si="1107"/>
        <v>0</v>
      </c>
      <c r="AA637" s="180">
        <v>0</v>
      </c>
      <c r="AB637" s="180">
        <v>0</v>
      </c>
      <c r="AC637" s="180">
        <v>0</v>
      </c>
      <c r="AD637" s="156">
        <v>0</v>
      </c>
      <c r="AE637" s="2598">
        <f t="shared" si="1108"/>
        <v>0</v>
      </c>
      <c r="AF637" s="267"/>
      <c r="AG637" s="267"/>
      <c r="AH637" s="3577"/>
      <c r="AI637" s="267"/>
      <c r="AJ637" s="2598"/>
      <c r="AK637" s="267"/>
      <c r="AL637" s="267"/>
      <c r="AM637" s="267"/>
      <c r="AN637" s="267"/>
      <c r="AO637" s="2598"/>
      <c r="AP637" s="2598"/>
      <c r="AQ637" s="2598"/>
      <c r="AR637" s="267"/>
      <c r="AS637" s="522" t="str">
        <f t="shared" si="1092"/>
        <v>Senior mortgage loans with a rate of 2.49%, due 2015</v>
      </c>
      <c r="AT637" s="267">
        <f t="shared" si="1095"/>
        <v>0</v>
      </c>
      <c r="AU637" s="267">
        <f t="shared" si="1096"/>
        <v>7596</v>
      </c>
      <c r="AV637" s="267">
        <f t="shared" si="1097"/>
        <v>7271</v>
      </c>
      <c r="AW637" s="267">
        <f t="shared" si="1098"/>
        <v>0</v>
      </c>
      <c r="AX637" s="267">
        <f t="shared" si="1099"/>
        <v>0</v>
      </c>
      <c r="AY637" s="267">
        <f t="shared" si="1100"/>
        <v>0</v>
      </c>
      <c r="AZ637" s="267">
        <f t="shared" si="1101"/>
        <v>0</v>
      </c>
      <c r="BA637" s="267">
        <f t="shared" si="1102"/>
        <v>0</v>
      </c>
      <c r="BB637" s="267">
        <f t="shared" si="1103"/>
        <v>0</v>
      </c>
      <c r="BC637" s="267">
        <f t="shared" si="1104"/>
        <v>0</v>
      </c>
      <c r="BD637" s="851">
        <f t="shared" si="1105"/>
        <v>0</v>
      </c>
      <c r="BF637" s="900"/>
      <c r="BM637" s="902"/>
      <c r="BN637" s="902"/>
      <c r="BO637" s="902"/>
      <c r="BP637" s="902"/>
      <c r="BQ637" s="902"/>
      <c r="BR637" s="902"/>
      <c r="BS637" s="902"/>
    </row>
    <row r="638" spans="1:71" ht="12.75" customHeight="1">
      <c r="A638" s="304" t="s">
        <v>64</v>
      </c>
      <c r="B638" s="153"/>
      <c r="C638" s="153"/>
      <c r="D638" s="153"/>
      <c r="E638" s="153"/>
      <c r="F638" s="152">
        <v>7698</v>
      </c>
      <c r="G638" s="267"/>
      <c r="H638" s="267"/>
      <c r="I638" s="267"/>
      <c r="J638" s="180">
        <v>7697</v>
      </c>
      <c r="K638" s="153">
        <f t="shared" si="1106"/>
        <v>7697</v>
      </c>
      <c r="L638" s="267"/>
      <c r="M638" s="180">
        <v>6993</v>
      </c>
      <c r="N638" s="180">
        <v>6905</v>
      </c>
      <c r="O638" s="180">
        <v>0</v>
      </c>
      <c r="P638" s="153">
        <f t="shared" ref="P638:U638" si="1117">O638</f>
        <v>0</v>
      </c>
      <c r="Q638" s="180">
        <v>0</v>
      </c>
      <c r="R638" s="180">
        <f t="shared" si="1117"/>
        <v>0</v>
      </c>
      <c r="S638" s="180">
        <f t="shared" si="1117"/>
        <v>0</v>
      </c>
      <c r="T638" s="180">
        <v>0</v>
      </c>
      <c r="U638" s="153">
        <f t="shared" si="1117"/>
        <v>0</v>
      </c>
      <c r="V638" s="180">
        <v>0</v>
      </c>
      <c r="W638" s="180">
        <v>0</v>
      </c>
      <c r="X638" s="180">
        <v>0</v>
      </c>
      <c r="Y638" s="180">
        <v>0</v>
      </c>
      <c r="Z638" s="153">
        <f t="shared" si="1107"/>
        <v>0</v>
      </c>
      <c r="AA638" s="180">
        <v>0</v>
      </c>
      <c r="AB638" s="180">
        <v>0</v>
      </c>
      <c r="AC638" s="180">
        <v>0</v>
      </c>
      <c r="AD638" s="156">
        <v>0</v>
      </c>
      <c r="AE638" s="2598">
        <f t="shared" si="1108"/>
        <v>0</v>
      </c>
      <c r="AF638" s="267"/>
      <c r="AG638" s="267"/>
      <c r="AH638" s="3577"/>
      <c r="AI638" s="267"/>
      <c r="AJ638" s="2598"/>
      <c r="AK638" s="267"/>
      <c r="AL638" s="267"/>
      <c r="AM638" s="267"/>
      <c r="AN638" s="267"/>
      <c r="AO638" s="2598"/>
      <c r="AP638" s="2598"/>
      <c r="AQ638" s="2598"/>
      <c r="AR638" s="267"/>
      <c r="AS638" s="522" t="str">
        <f t="shared" si="1092"/>
        <v>Secured mezzanine loans with an average rate of 4.10%, due 2015</v>
      </c>
      <c r="AT638" s="267">
        <f t="shared" si="1095"/>
        <v>0</v>
      </c>
      <c r="AU638" s="267">
        <f t="shared" si="1096"/>
        <v>7698</v>
      </c>
      <c r="AV638" s="267">
        <f t="shared" si="1097"/>
        <v>7697</v>
      </c>
      <c r="AW638" s="267">
        <f t="shared" si="1098"/>
        <v>0</v>
      </c>
      <c r="AX638" s="267">
        <f t="shared" si="1099"/>
        <v>0</v>
      </c>
      <c r="AY638" s="267">
        <f t="shared" si="1100"/>
        <v>0</v>
      </c>
      <c r="AZ638" s="267">
        <f t="shared" si="1101"/>
        <v>0</v>
      </c>
      <c r="BA638" s="267">
        <f t="shared" si="1102"/>
        <v>0</v>
      </c>
      <c r="BB638" s="267">
        <f t="shared" si="1103"/>
        <v>0</v>
      </c>
      <c r="BC638" s="267">
        <f t="shared" si="1104"/>
        <v>0</v>
      </c>
      <c r="BD638" s="851">
        <f t="shared" si="1105"/>
        <v>0</v>
      </c>
      <c r="BF638" s="900"/>
      <c r="BM638" s="902"/>
      <c r="BN638" s="902"/>
      <c r="BO638" s="902"/>
      <c r="BP638" s="902"/>
      <c r="BQ638" s="902"/>
      <c r="BR638" s="902"/>
      <c r="BS638" s="902"/>
    </row>
    <row r="639" spans="1:71" ht="12.75" customHeight="1">
      <c r="A639" s="304" t="s">
        <v>65</v>
      </c>
      <c r="B639" s="153"/>
      <c r="C639" s="153"/>
      <c r="D639" s="153"/>
      <c r="E639" s="153"/>
      <c r="F639" s="152">
        <v>250</v>
      </c>
      <c r="G639" s="267"/>
      <c r="H639" s="267"/>
      <c r="I639" s="267"/>
      <c r="J639" s="180">
        <v>240</v>
      </c>
      <c r="K639" s="153">
        <f t="shared" si="1106"/>
        <v>240</v>
      </c>
      <c r="L639" s="267"/>
      <c r="M639" s="180">
        <v>216</v>
      </c>
      <c r="N639" s="180">
        <v>0</v>
      </c>
      <c r="O639" s="180">
        <f t="shared" ref="O639:U639" si="1118">N639</f>
        <v>0</v>
      </c>
      <c r="P639" s="153">
        <f t="shared" si="1118"/>
        <v>0</v>
      </c>
      <c r="Q639" s="180">
        <v>0</v>
      </c>
      <c r="R639" s="180">
        <f t="shared" si="1118"/>
        <v>0</v>
      </c>
      <c r="S639" s="180">
        <f t="shared" si="1118"/>
        <v>0</v>
      </c>
      <c r="T639" s="180">
        <v>0</v>
      </c>
      <c r="U639" s="153">
        <f t="shared" si="1118"/>
        <v>0</v>
      </c>
      <c r="V639" s="180">
        <v>0</v>
      </c>
      <c r="W639" s="180">
        <v>0</v>
      </c>
      <c r="X639" s="180">
        <v>0</v>
      </c>
      <c r="Y639" s="180">
        <v>0</v>
      </c>
      <c r="Z639" s="153">
        <f t="shared" si="1107"/>
        <v>0</v>
      </c>
      <c r="AA639" s="180">
        <v>0</v>
      </c>
      <c r="AB639" s="180">
        <v>0</v>
      </c>
      <c r="AC639" s="180">
        <v>0</v>
      </c>
      <c r="AD639" s="156">
        <v>0</v>
      </c>
      <c r="AE639" s="2598">
        <f t="shared" si="1108"/>
        <v>0</v>
      </c>
      <c r="AF639" s="267"/>
      <c r="AG639" s="267"/>
      <c r="AH639" s="3577"/>
      <c r="AI639" s="267"/>
      <c r="AJ639" s="2598"/>
      <c r="AK639" s="267"/>
      <c r="AL639" s="267"/>
      <c r="AM639" s="267"/>
      <c r="AN639" s="267"/>
      <c r="AO639" s="2598"/>
      <c r="AP639" s="2598"/>
      <c r="AQ639" s="2598"/>
      <c r="AR639" s="267"/>
      <c r="AS639" s="522" t="str">
        <f t="shared" si="1092"/>
        <v>Secured mezzanine loans with a rate of 4.69%, due 2015</v>
      </c>
      <c r="AT639" s="267">
        <f t="shared" si="1095"/>
        <v>0</v>
      </c>
      <c r="AU639" s="267">
        <f t="shared" si="1096"/>
        <v>250</v>
      </c>
      <c r="AV639" s="267">
        <f t="shared" si="1097"/>
        <v>240</v>
      </c>
      <c r="AW639" s="267">
        <f t="shared" si="1098"/>
        <v>0</v>
      </c>
      <c r="AX639" s="267">
        <f t="shared" si="1099"/>
        <v>0</v>
      </c>
      <c r="AY639" s="267">
        <f t="shared" si="1100"/>
        <v>0</v>
      </c>
      <c r="AZ639" s="267">
        <f t="shared" si="1101"/>
        <v>0</v>
      </c>
      <c r="BA639" s="267">
        <f t="shared" si="1102"/>
        <v>0</v>
      </c>
      <c r="BB639" s="267">
        <f t="shared" si="1103"/>
        <v>0</v>
      </c>
      <c r="BC639" s="267">
        <f t="shared" si="1104"/>
        <v>0</v>
      </c>
      <c r="BD639" s="851">
        <f t="shared" si="1105"/>
        <v>0</v>
      </c>
      <c r="BF639" s="900"/>
      <c r="BM639" s="902"/>
      <c r="BN639" s="902"/>
      <c r="BO639" s="902"/>
      <c r="BP639" s="902"/>
      <c r="BQ639" s="902"/>
      <c r="BR639" s="902"/>
      <c r="BS639" s="902"/>
    </row>
    <row r="640" spans="1:71" ht="12.75" customHeight="1">
      <c r="A640" s="304" t="s">
        <v>386</v>
      </c>
      <c r="B640" s="153"/>
      <c r="C640" s="153"/>
      <c r="D640" s="153"/>
      <c r="E640" s="153"/>
      <c r="F640" s="152">
        <v>158</v>
      </c>
      <c r="G640" s="267"/>
      <c r="H640" s="267"/>
      <c r="I640" s="267"/>
      <c r="J640" s="180">
        <v>134</v>
      </c>
      <c r="K640" s="153">
        <f t="shared" si="1106"/>
        <v>134</v>
      </c>
      <c r="L640" s="267"/>
      <c r="M640" s="180">
        <v>135</v>
      </c>
      <c r="N640" s="180">
        <v>0</v>
      </c>
      <c r="O640" s="180">
        <v>133</v>
      </c>
      <c r="P640" s="153">
        <f>O640</f>
        <v>133</v>
      </c>
      <c r="Q640" s="180">
        <v>132</v>
      </c>
      <c r="R640" s="180">
        <f>Q640</f>
        <v>132</v>
      </c>
      <c r="S640" s="180">
        <v>196</v>
      </c>
      <c r="T640" s="180">
        <v>196</v>
      </c>
      <c r="U640" s="153">
        <f>T640</f>
        <v>196</v>
      </c>
      <c r="V640" s="180">
        <v>0</v>
      </c>
      <c r="W640" s="180">
        <v>0</v>
      </c>
      <c r="X640" s="180">
        <v>0</v>
      </c>
      <c r="Y640" s="180">
        <v>0</v>
      </c>
      <c r="Z640" s="153">
        <f t="shared" si="1107"/>
        <v>0</v>
      </c>
      <c r="AA640" s="180">
        <v>0</v>
      </c>
      <c r="AB640" s="180">
        <v>0</v>
      </c>
      <c r="AC640" s="180">
        <v>0</v>
      </c>
      <c r="AD640" s="156">
        <v>0</v>
      </c>
      <c r="AE640" s="2598">
        <f t="shared" si="1108"/>
        <v>0</v>
      </c>
      <c r="AF640" s="267"/>
      <c r="AG640" s="267"/>
      <c r="AH640" s="3577"/>
      <c r="AI640" s="267"/>
      <c r="AJ640" s="2598"/>
      <c r="AK640" s="267"/>
      <c r="AL640" s="267"/>
      <c r="AM640" s="267"/>
      <c r="AN640" s="267"/>
      <c r="AO640" s="2598"/>
      <c r="AP640" s="2598"/>
      <c r="AQ640" s="2598"/>
      <c r="AR640" s="267"/>
      <c r="AS640" s="522" t="str">
        <f t="shared" si="1092"/>
        <v>Mortgage notes with an average rate of 6.13%, due 2013 to 2016</v>
      </c>
      <c r="AT640" s="267">
        <f t="shared" si="1095"/>
        <v>0</v>
      </c>
      <c r="AU640" s="267">
        <f t="shared" si="1096"/>
        <v>158</v>
      </c>
      <c r="AV640" s="267">
        <f t="shared" si="1097"/>
        <v>134</v>
      </c>
      <c r="AW640" s="267">
        <f t="shared" si="1098"/>
        <v>133</v>
      </c>
      <c r="AX640" s="267">
        <f t="shared" si="1099"/>
        <v>196</v>
      </c>
      <c r="AY640" s="267">
        <f t="shared" si="1100"/>
        <v>0</v>
      </c>
      <c r="AZ640" s="267">
        <f t="shared" si="1101"/>
        <v>0</v>
      </c>
      <c r="BA640" s="267">
        <f t="shared" si="1102"/>
        <v>0</v>
      </c>
      <c r="BB640" s="267">
        <f t="shared" si="1103"/>
        <v>0</v>
      </c>
      <c r="BC640" s="267">
        <f t="shared" si="1104"/>
        <v>0</v>
      </c>
      <c r="BD640" s="851">
        <f t="shared" si="1105"/>
        <v>0</v>
      </c>
      <c r="BF640" s="900"/>
      <c r="BM640" s="902"/>
      <c r="BN640" s="902"/>
      <c r="BO640" s="902"/>
      <c r="BP640" s="902"/>
      <c r="BQ640" s="902"/>
      <c r="BR640" s="902"/>
      <c r="BS640" s="902"/>
    </row>
    <row r="641" spans="1:71" ht="12.75" customHeight="1">
      <c r="A641" s="304" t="s">
        <v>66</v>
      </c>
      <c r="B641" s="153"/>
      <c r="C641" s="153"/>
      <c r="D641" s="153"/>
      <c r="E641" s="153"/>
      <c r="F641" s="152">
        <v>153</v>
      </c>
      <c r="G641" s="267"/>
      <c r="H641" s="267"/>
      <c r="I641" s="267"/>
      <c r="J641" s="180">
        <v>149</v>
      </c>
      <c r="K641" s="153">
        <f t="shared" si="1106"/>
        <v>149</v>
      </c>
      <c r="L641" s="267"/>
      <c r="M641" s="180">
        <v>149</v>
      </c>
      <c r="N641" s="180">
        <v>0</v>
      </c>
      <c r="O641" s="180">
        <f t="shared" ref="O641:U641" si="1119">N641</f>
        <v>0</v>
      </c>
      <c r="P641" s="153">
        <f t="shared" si="1119"/>
        <v>0</v>
      </c>
      <c r="Q641" s="180">
        <v>0</v>
      </c>
      <c r="R641" s="180">
        <f t="shared" si="1119"/>
        <v>0</v>
      </c>
      <c r="S641" s="180">
        <f t="shared" si="1119"/>
        <v>0</v>
      </c>
      <c r="T641" s="180">
        <v>0</v>
      </c>
      <c r="U641" s="153">
        <f t="shared" si="1119"/>
        <v>0</v>
      </c>
      <c r="V641" s="180">
        <v>0</v>
      </c>
      <c r="W641" s="180">
        <v>0</v>
      </c>
      <c r="X641" s="180">
        <v>0</v>
      </c>
      <c r="Y641" s="180">
        <v>0</v>
      </c>
      <c r="Z641" s="153">
        <f t="shared" si="1107"/>
        <v>0</v>
      </c>
      <c r="AA641" s="180">
        <v>0</v>
      </c>
      <c r="AB641" s="180">
        <v>0</v>
      </c>
      <c r="AC641" s="180">
        <v>0</v>
      </c>
      <c r="AD641" s="156">
        <v>0</v>
      </c>
      <c r="AE641" s="2598">
        <f t="shared" si="1108"/>
        <v>0</v>
      </c>
      <c r="AF641" s="267"/>
      <c r="AG641" s="267"/>
      <c r="AH641" s="3577"/>
      <c r="AI641" s="267"/>
      <c r="AJ641" s="2598"/>
      <c r="AK641" s="267"/>
      <c r="AL641" s="267"/>
      <c r="AM641" s="267"/>
      <c r="AN641" s="267"/>
      <c r="AO641" s="2598"/>
      <c r="AP641" s="2598"/>
      <c r="AQ641" s="2598"/>
      <c r="AR641" s="267"/>
      <c r="AS641" s="522" t="str">
        <f t="shared" si="1092"/>
        <v>Other unsecured notes with an average rate of 7.82%, due 2017 to 2031</v>
      </c>
      <c r="AT641" s="267">
        <f t="shared" si="1095"/>
        <v>0</v>
      </c>
      <c r="AU641" s="267">
        <f t="shared" si="1096"/>
        <v>153</v>
      </c>
      <c r="AV641" s="267">
        <f t="shared" si="1097"/>
        <v>149</v>
      </c>
      <c r="AW641" s="267">
        <f t="shared" si="1098"/>
        <v>0</v>
      </c>
      <c r="AX641" s="267">
        <f t="shared" si="1099"/>
        <v>0</v>
      </c>
      <c r="AY641" s="267">
        <f t="shared" si="1100"/>
        <v>0</v>
      </c>
      <c r="AZ641" s="267">
        <f t="shared" si="1101"/>
        <v>0</v>
      </c>
      <c r="BA641" s="267">
        <f t="shared" si="1102"/>
        <v>0</v>
      </c>
      <c r="BB641" s="267">
        <f t="shared" si="1103"/>
        <v>0</v>
      </c>
      <c r="BC641" s="267">
        <f t="shared" si="1104"/>
        <v>0</v>
      </c>
      <c r="BD641" s="851">
        <f t="shared" si="1105"/>
        <v>0</v>
      </c>
      <c r="BF641" s="900"/>
      <c r="BM641" s="902"/>
      <c r="BN641" s="902"/>
      <c r="BO641" s="902"/>
      <c r="BP641" s="902"/>
      <c r="BQ641" s="902"/>
      <c r="BR641" s="902"/>
      <c r="BS641" s="902"/>
    </row>
    <row r="642" spans="1:71" ht="12.75" customHeight="1">
      <c r="A642" s="2464" t="s">
        <v>2368</v>
      </c>
      <c r="B642" s="153"/>
      <c r="C642" s="153"/>
      <c r="D642" s="153"/>
      <c r="E642" s="153"/>
      <c r="F642" s="152">
        <v>66</v>
      </c>
      <c r="G642" s="267"/>
      <c r="H642" s="267"/>
      <c r="I642" s="267"/>
      <c r="J642" s="180">
        <v>83</v>
      </c>
      <c r="K642" s="153">
        <f t="shared" si="1106"/>
        <v>83</v>
      </c>
      <c r="L642" s="267"/>
      <c r="M642" s="180">
        <v>80</v>
      </c>
      <c r="N642" s="180">
        <v>0</v>
      </c>
      <c r="O642" s="180">
        <v>73</v>
      </c>
      <c r="P642" s="153">
        <f>O642</f>
        <v>73</v>
      </c>
      <c r="Q642" s="180">
        <v>72</v>
      </c>
      <c r="R642" s="180">
        <v>82</v>
      </c>
      <c r="S642" s="180">
        <v>76</v>
      </c>
      <c r="T642" s="180">
        <v>72</v>
      </c>
      <c r="U642" s="153">
        <f>T642</f>
        <v>72</v>
      </c>
      <c r="V642" s="180">
        <v>65</v>
      </c>
      <c r="W642" s="180">
        <v>66</v>
      </c>
      <c r="X642" s="180">
        <v>66</v>
      </c>
      <c r="Y642" s="180">
        <v>57</v>
      </c>
      <c r="Z642" s="153">
        <f t="shared" si="1107"/>
        <v>57</v>
      </c>
      <c r="AA642" s="180">
        <v>258</v>
      </c>
      <c r="AB642" s="180">
        <v>274</v>
      </c>
      <c r="AC642" s="180">
        <v>277</v>
      </c>
      <c r="AD642" s="180">
        <v>242</v>
      </c>
      <c r="AE642" s="2598">
        <f t="shared" si="1108"/>
        <v>242</v>
      </c>
      <c r="AF642" s="267"/>
      <c r="AG642" s="267"/>
      <c r="AH642" s="3577"/>
      <c r="AI642" s="267"/>
      <c r="AJ642" s="2598"/>
      <c r="AK642" s="267"/>
      <c r="AL642" s="267"/>
      <c r="AM642" s="267"/>
      <c r="AN642" s="267"/>
      <c r="AO642" s="2598"/>
      <c r="AP642" s="2598"/>
      <c r="AQ642" s="2598"/>
      <c r="AR642" s="267"/>
      <c r="AS642" s="522" t="str">
        <f t="shared" si="1092"/>
        <v>Capital lease obligations with an average rate of 6.08%, due 2015 to 2097</v>
      </c>
      <c r="AT642" s="267">
        <f t="shared" si="1095"/>
        <v>0</v>
      </c>
      <c r="AU642" s="267">
        <f t="shared" si="1096"/>
        <v>66</v>
      </c>
      <c r="AV642" s="267">
        <f t="shared" si="1097"/>
        <v>83</v>
      </c>
      <c r="AW642" s="267">
        <f t="shared" si="1098"/>
        <v>73</v>
      </c>
      <c r="AX642" s="267">
        <f t="shared" si="1099"/>
        <v>72</v>
      </c>
      <c r="AY642" s="267">
        <f t="shared" si="1100"/>
        <v>57</v>
      </c>
      <c r="AZ642" s="267">
        <f t="shared" si="1101"/>
        <v>242</v>
      </c>
      <c r="BA642" s="267">
        <f t="shared" si="1102"/>
        <v>0</v>
      </c>
      <c r="BB642" s="267">
        <f t="shared" si="1103"/>
        <v>0</v>
      </c>
      <c r="BC642" s="267">
        <f t="shared" si="1104"/>
        <v>0</v>
      </c>
      <c r="BD642" s="851">
        <f t="shared" si="1105"/>
        <v>0</v>
      </c>
      <c r="BF642" s="900"/>
      <c r="BM642" s="902"/>
      <c r="BN642" s="902"/>
      <c r="BO642" s="902"/>
      <c r="BP642" s="902"/>
      <c r="BQ642" s="902"/>
      <c r="BR642" s="902"/>
      <c r="BS642" s="902"/>
    </row>
    <row r="643" spans="1:71" ht="12.75" customHeight="1">
      <c r="A643" s="500" t="s">
        <v>67</v>
      </c>
      <c r="B643" s="174"/>
      <c r="C643" s="174"/>
      <c r="D643" s="174"/>
      <c r="E643" s="174"/>
      <c r="F643" s="154">
        <v>1</v>
      </c>
      <c r="G643" s="157"/>
      <c r="H643" s="157"/>
      <c r="I643" s="157"/>
      <c r="J643" s="156">
        <v>1</v>
      </c>
      <c r="K643" s="154">
        <f t="shared" si="1106"/>
        <v>1</v>
      </c>
      <c r="L643" s="157"/>
      <c r="M643" s="156">
        <v>1</v>
      </c>
      <c r="N643" s="156">
        <v>0</v>
      </c>
      <c r="O643" s="156">
        <f>N643</f>
        <v>0</v>
      </c>
      <c r="P643" s="154">
        <f>O643</f>
        <v>0</v>
      </c>
      <c r="Q643" s="156">
        <v>0</v>
      </c>
      <c r="R643" s="156">
        <f t="shared" ref="R643:S650" si="1120">Q643</f>
        <v>0</v>
      </c>
      <c r="S643" s="156">
        <f t="shared" si="1120"/>
        <v>0</v>
      </c>
      <c r="T643" s="156">
        <v>0</v>
      </c>
      <c r="U643" s="154">
        <f>T643</f>
        <v>0</v>
      </c>
      <c r="V643" s="180">
        <v>0</v>
      </c>
      <c r="W643" s="180">
        <v>0</v>
      </c>
      <c r="X643" s="180">
        <v>0</v>
      </c>
      <c r="Y643" s="156">
        <v>0</v>
      </c>
      <c r="Z643" s="154">
        <f t="shared" si="1107"/>
        <v>0</v>
      </c>
      <c r="AA643" s="156">
        <v>0</v>
      </c>
      <c r="AB643" s="156">
        <v>0</v>
      </c>
      <c r="AC643" s="156">
        <v>0</v>
      </c>
      <c r="AD643" s="156">
        <v>0</v>
      </c>
      <c r="AE643" s="2591">
        <f t="shared" si="1108"/>
        <v>0</v>
      </c>
      <c r="AF643" s="267"/>
      <c r="AG643" s="267"/>
      <c r="AH643" s="3577"/>
      <c r="AI643" s="267"/>
      <c r="AJ643" s="2598"/>
      <c r="AK643" s="267"/>
      <c r="AL643" s="267"/>
      <c r="AM643" s="267"/>
      <c r="AN643" s="267"/>
      <c r="AO643" s="2598"/>
      <c r="AP643" s="2598"/>
      <c r="AQ643" s="2598"/>
      <c r="AR643" s="155"/>
      <c r="AS643" s="522" t="str">
        <f t="shared" si="1092"/>
        <v>Contingently convertible notes with a rate of 3.38%, due 2023</v>
      </c>
      <c r="AT643" s="155">
        <f t="shared" si="1095"/>
        <v>0</v>
      </c>
      <c r="AU643" s="155">
        <f t="shared" si="1096"/>
        <v>1</v>
      </c>
      <c r="AV643" s="155">
        <f t="shared" si="1097"/>
        <v>1</v>
      </c>
      <c r="AW643" s="155">
        <f t="shared" si="1098"/>
        <v>0</v>
      </c>
      <c r="AX643" s="155">
        <f t="shared" si="1099"/>
        <v>0</v>
      </c>
      <c r="AY643" s="155">
        <f t="shared" si="1100"/>
        <v>0</v>
      </c>
      <c r="AZ643" s="155">
        <f t="shared" si="1101"/>
        <v>0</v>
      </c>
      <c r="BA643" s="155">
        <f t="shared" si="1102"/>
        <v>0</v>
      </c>
      <c r="BB643" s="155">
        <f t="shared" si="1103"/>
        <v>0</v>
      </c>
      <c r="BC643" s="155">
        <f t="shared" si="1104"/>
        <v>0</v>
      </c>
      <c r="BD643" s="867">
        <f t="shared" si="1105"/>
        <v>0</v>
      </c>
      <c r="BF643" s="900"/>
      <c r="BM643" s="902"/>
      <c r="BN643" s="902"/>
      <c r="BO643" s="902"/>
      <c r="BP643" s="902"/>
      <c r="BQ643" s="902"/>
      <c r="BR643" s="902"/>
      <c r="BS643" s="902"/>
    </row>
    <row r="644" spans="1:71" ht="12.75" customHeight="1">
      <c r="A644" s="2465" t="s">
        <v>2369</v>
      </c>
      <c r="B644" s="174"/>
      <c r="C644" s="174"/>
      <c r="D644" s="174"/>
      <c r="E644" s="174"/>
      <c r="F644" s="154"/>
      <c r="G644" s="157"/>
      <c r="H644" s="157"/>
      <c r="I644" s="157"/>
      <c r="J644" s="156"/>
      <c r="K644" s="154"/>
      <c r="L644" s="157"/>
      <c r="M644" s="156">
        <v>0</v>
      </c>
      <c r="N644" s="156">
        <f>M644</f>
        <v>0</v>
      </c>
      <c r="O644" s="156">
        <f>N644</f>
        <v>0</v>
      </c>
      <c r="P644" s="154">
        <f>O644</f>
        <v>0</v>
      </c>
      <c r="Q644" s="156">
        <v>0</v>
      </c>
      <c r="R644" s="156">
        <f t="shared" si="1120"/>
        <v>0</v>
      </c>
      <c r="S644" s="156">
        <f t="shared" si="1120"/>
        <v>0</v>
      </c>
      <c r="T644" s="156">
        <v>0</v>
      </c>
      <c r="U644" s="154">
        <f>T644</f>
        <v>0</v>
      </c>
      <c r="V644" s="180">
        <v>646</v>
      </c>
      <c r="W644" s="180">
        <v>647</v>
      </c>
      <c r="X644" s="180">
        <v>648</v>
      </c>
      <c r="Y644" s="156">
        <v>584</v>
      </c>
      <c r="Z644" s="154">
        <f>Y644</f>
        <v>584</v>
      </c>
      <c r="AA644" s="156">
        <v>621</v>
      </c>
      <c r="AB644" s="156">
        <v>622</v>
      </c>
      <c r="AC644" s="156">
        <v>620</v>
      </c>
      <c r="AD644" s="156">
        <v>63</v>
      </c>
      <c r="AE644" s="2591">
        <f>AD644</f>
        <v>63</v>
      </c>
      <c r="AF644" s="267"/>
      <c r="AG644" s="267"/>
      <c r="AH644" s="3577"/>
      <c r="AI644" s="267"/>
      <c r="AJ644" s="2598"/>
      <c r="AK644" s="267"/>
      <c r="AL644" s="267"/>
      <c r="AM644" s="267"/>
      <c r="AN644" s="267"/>
      <c r="AO644" s="2598"/>
      <c r="AP644" s="2598"/>
      <c r="AQ644" s="2598"/>
      <c r="AR644" s="155"/>
      <c r="AS644" s="522" t="str">
        <f t="shared" si="1092"/>
        <v>Mortgage loans with a rate of 4.13%, due 2016 to 2019</v>
      </c>
      <c r="AT644" s="155"/>
      <c r="AU644" s="155"/>
      <c r="AV644" s="155"/>
      <c r="AW644" s="155"/>
      <c r="AX644" s="155"/>
      <c r="AY644" s="155"/>
      <c r="AZ644" s="155"/>
      <c r="BA644" s="155"/>
      <c r="BB644" s="155"/>
      <c r="BC644" s="155"/>
      <c r="BD644" s="867"/>
      <c r="BF644" s="900"/>
      <c r="BM644" s="902"/>
      <c r="BN644" s="902"/>
      <c r="BO644" s="902"/>
      <c r="BP644" s="902"/>
      <c r="BQ644" s="902"/>
      <c r="BR644" s="902"/>
      <c r="BS644" s="902"/>
    </row>
    <row r="645" spans="1:71" ht="12.75" customHeight="1">
      <c r="A645" s="2465" t="s">
        <v>3028</v>
      </c>
      <c r="B645" s="174"/>
      <c r="C645" s="174"/>
      <c r="D645" s="174"/>
      <c r="E645" s="174"/>
      <c r="F645" s="154"/>
      <c r="G645" s="157"/>
      <c r="H645" s="157"/>
      <c r="I645" s="157"/>
      <c r="J645" s="156"/>
      <c r="K645" s="154"/>
      <c r="L645" s="3655">
        <v>0</v>
      </c>
      <c r="M645" s="156">
        <v>0</v>
      </c>
      <c r="N645" s="156">
        <v>0</v>
      </c>
      <c r="O645" s="156">
        <v>0</v>
      </c>
      <c r="P645" s="2591">
        <f>O645</f>
        <v>0</v>
      </c>
      <c r="Q645" s="3655">
        <v>0</v>
      </c>
      <c r="R645" s="156">
        <v>0</v>
      </c>
      <c r="S645" s="156">
        <v>0</v>
      </c>
      <c r="T645" s="156">
        <v>0</v>
      </c>
      <c r="U645" s="2591">
        <f>T645</f>
        <v>0</v>
      </c>
      <c r="V645" s="3655">
        <v>0</v>
      </c>
      <c r="W645" s="156">
        <v>0</v>
      </c>
      <c r="X645" s="156">
        <v>0</v>
      </c>
      <c r="Y645" s="156">
        <v>0</v>
      </c>
      <c r="Z645" s="2591">
        <f>Y645</f>
        <v>0</v>
      </c>
      <c r="AA645" s="3655">
        <v>0</v>
      </c>
      <c r="AB645" s="156">
        <v>0</v>
      </c>
      <c r="AC645" s="156">
        <v>0</v>
      </c>
      <c r="AD645" s="156">
        <v>0</v>
      </c>
      <c r="AE645" s="2591">
        <f>AD645</f>
        <v>0</v>
      </c>
      <c r="AF645" s="3654">
        <v>600</v>
      </c>
      <c r="AG645" s="3654">
        <v>600</v>
      </c>
      <c r="AH645" s="3654">
        <v>600</v>
      </c>
      <c r="AI645" s="267">
        <f t="shared" si="1112"/>
        <v>600</v>
      </c>
      <c r="AJ645" s="2598">
        <f t="shared" si="1112"/>
        <v>600</v>
      </c>
      <c r="AK645" s="3577">
        <f>AJ645</f>
        <v>600</v>
      </c>
      <c r="AL645" s="3577">
        <f t="shared" ref="AL645:AN645" si="1121">AK645</f>
        <v>600</v>
      </c>
      <c r="AM645" s="3577">
        <f t="shared" si="1121"/>
        <v>600</v>
      </c>
      <c r="AN645" s="3577">
        <f t="shared" si="1121"/>
        <v>600</v>
      </c>
      <c r="AO645" s="2598">
        <f t="shared" si="1113"/>
        <v>600</v>
      </c>
      <c r="AP645" s="2598">
        <f t="shared" ref="AP645:AQ645" si="1122">AO645</f>
        <v>600</v>
      </c>
      <c r="AQ645" s="2598">
        <f t="shared" si="1122"/>
        <v>600</v>
      </c>
      <c r="AR645" s="155"/>
      <c r="AS645" s="522" t="str">
        <f t="shared" si="1092"/>
        <v>$600m 4.875% senior notes due 2027</v>
      </c>
      <c r="AT645" s="155"/>
      <c r="AU645" s="155"/>
      <c r="AV645" s="155"/>
      <c r="AW645" s="155"/>
      <c r="AX645" s="155"/>
      <c r="AY645" s="155"/>
      <c r="AZ645" s="155"/>
      <c r="BA645" s="155"/>
      <c r="BB645" s="155"/>
      <c r="BC645" s="155"/>
      <c r="BD645" s="867"/>
      <c r="BF645" s="900"/>
      <c r="BM645" s="902"/>
      <c r="BN645" s="902"/>
      <c r="BO645" s="902"/>
      <c r="BP645" s="931"/>
      <c r="BQ645" s="902"/>
      <c r="BR645" s="902"/>
      <c r="BS645" s="902"/>
    </row>
    <row r="646" spans="1:71" ht="12.75" customHeight="1">
      <c r="A646" s="2465" t="s">
        <v>3029</v>
      </c>
      <c r="B646" s="174"/>
      <c r="C646" s="174"/>
      <c r="D646" s="174"/>
      <c r="E646" s="174"/>
      <c r="F646" s="154"/>
      <c r="G646" s="157"/>
      <c r="H646" s="157"/>
      <c r="I646" s="157"/>
      <c r="J646" s="156"/>
      <c r="K646" s="154"/>
      <c r="L646" s="3655">
        <v>0</v>
      </c>
      <c r="M646" s="156">
        <v>0</v>
      </c>
      <c r="N646" s="156">
        <v>0</v>
      </c>
      <c r="O646" s="156">
        <v>0</v>
      </c>
      <c r="P646" s="2591">
        <f>O646</f>
        <v>0</v>
      </c>
      <c r="Q646" s="3655">
        <v>0</v>
      </c>
      <c r="R646" s="156">
        <v>0</v>
      </c>
      <c r="S646" s="156">
        <v>0</v>
      </c>
      <c r="T646" s="156">
        <v>0</v>
      </c>
      <c r="U646" s="2591">
        <f>T646</f>
        <v>0</v>
      </c>
      <c r="V646" s="3655">
        <v>0</v>
      </c>
      <c r="W646" s="156">
        <v>0</v>
      </c>
      <c r="X646" s="156">
        <v>0</v>
      </c>
      <c r="Y646" s="156">
        <v>0</v>
      </c>
      <c r="Z646" s="2591">
        <f>Y646</f>
        <v>0</v>
      </c>
      <c r="AA646" s="3655">
        <v>0</v>
      </c>
      <c r="AB646" s="156">
        <v>0</v>
      </c>
      <c r="AC646" s="156">
        <v>0</v>
      </c>
      <c r="AD646" s="156">
        <v>0</v>
      </c>
      <c r="AE646" s="2591">
        <f>AD646</f>
        <v>0</v>
      </c>
      <c r="AF646" s="3654">
        <v>900</v>
      </c>
      <c r="AG646" s="3654">
        <v>900</v>
      </c>
      <c r="AH646" s="3654">
        <v>900</v>
      </c>
      <c r="AI646" s="267">
        <f t="shared" si="1112"/>
        <v>900</v>
      </c>
      <c r="AJ646" s="2598">
        <f t="shared" si="1112"/>
        <v>900</v>
      </c>
      <c r="AK646" s="3577">
        <f>AJ646</f>
        <v>900</v>
      </c>
      <c r="AL646" s="3577">
        <f t="shared" ref="AL646:AN646" si="1123">AK646</f>
        <v>900</v>
      </c>
      <c r="AM646" s="3577">
        <f t="shared" si="1123"/>
        <v>900</v>
      </c>
      <c r="AN646" s="3577">
        <f t="shared" si="1123"/>
        <v>900</v>
      </c>
      <c r="AO646" s="2598">
        <f t="shared" si="1113"/>
        <v>900</v>
      </c>
      <c r="AP646" s="2598">
        <f t="shared" ref="AP646:AQ647" si="1124">AO646</f>
        <v>900</v>
      </c>
      <c r="AQ646" s="2598">
        <f t="shared" si="1124"/>
        <v>900</v>
      </c>
      <c r="AR646" s="155"/>
      <c r="AS646" s="522" t="str">
        <f t="shared" si="1092"/>
        <v>$900m 4.625% senior notes due 2025</v>
      </c>
      <c r="AT646" s="155"/>
      <c r="AU646" s="155"/>
      <c r="AV646" s="155"/>
      <c r="AW646" s="155"/>
      <c r="AX646" s="155"/>
      <c r="AY646" s="155"/>
      <c r="AZ646" s="155"/>
      <c r="BA646" s="155"/>
      <c r="BB646" s="155"/>
      <c r="BC646" s="155"/>
      <c r="BD646" s="867"/>
      <c r="BF646" s="900"/>
      <c r="BM646" s="902"/>
      <c r="BN646" s="902"/>
      <c r="BO646" s="902"/>
      <c r="BP646" s="931"/>
      <c r="BQ646" s="902"/>
      <c r="BR646" s="902"/>
      <c r="BS646" s="902"/>
    </row>
    <row r="647" spans="1:71" ht="12.75" customHeight="1">
      <c r="A647" s="2465" t="s">
        <v>2817</v>
      </c>
      <c r="B647" s="174"/>
      <c r="C647" s="174"/>
      <c r="D647" s="174"/>
      <c r="E647" s="174"/>
      <c r="F647" s="154"/>
      <c r="G647" s="157"/>
      <c r="H647" s="157"/>
      <c r="I647" s="157"/>
      <c r="J647" s="156"/>
      <c r="K647" s="154"/>
      <c r="L647" s="157"/>
      <c r="M647" s="156"/>
      <c r="N647" s="156"/>
      <c r="O647" s="156"/>
      <c r="P647" s="154"/>
      <c r="Q647" s="156"/>
      <c r="R647" s="156"/>
      <c r="S647" s="156"/>
      <c r="T647" s="156"/>
      <c r="U647" s="154"/>
      <c r="V647" s="180"/>
      <c r="W647" s="180"/>
      <c r="X647" s="180"/>
      <c r="Y647" s="156"/>
      <c r="Z647" s="154"/>
      <c r="AA647" s="156"/>
      <c r="AB647" s="156"/>
      <c r="AC647" s="2656">
        <v>1000</v>
      </c>
      <c r="AD647" s="2656">
        <v>1000</v>
      </c>
      <c r="AE647" s="2591">
        <f>AD647</f>
        <v>1000</v>
      </c>
      <c r="AF647" s="3654">
        <v>1000</v>
      </c>
      <c r="AG647" s="3654">
        <v>1000</v>
      </c>
      <c r="AH647" s="3654">
        <v>1000</v>
      </c>
      <c r="AI647" s="3756">
        <f t="shared" ref="AI647" si="1125">AH647</f>
        <v>1000</v>
      </c>
      <c r="AJ647" s="2598">
        <f t="shared" si="1112"/>
        <v>1000</v>
      </c>
      <c r="AK647" s="3577">
        <f>AJ647</f>
        <v>1000</v>
      </c>
      <c r="AL647" s="3577">
        <f t="shared" ref="AL647:AN647" si="1126">AK647</f>
        <v>1000</v>
      </c>
      <c r="AM647" s="3577">
        <f t="shared" si="1126"/>
        <v>1000</v>
      </c>
      <c r="AN647" s="3577">
        <f t="shared" si="1126"/>
        <v>1000</v>
      </c>
      <c r="AO647" s="2598">
        <f t="shared" si="1113"/>
        <v>1000</v>
      </c>
      <c r="AP647" s="2598">
        <f t="shared" ref="AP647" si="1127">AO647</f>
        <v>1000</v>
      </c>
      <c r="AQ647" s="2598">
        <f t="shared" si="1124"/>
        <v>1000</v>
      </c>
      <c r="AR647" s="155"/>
      <c r="AS647" s="522" t="str">
        <f t="shared" si="1092"/>
        <v>$1.0B 4.25% senior notes due 2024</v>
      </c>
      <c r="AT647" s="155"/>
      <c r="AU647" s="155"/>
      <c r="AV647" s="155"/>
      <c r="AW647" s="155"/>
      <c r="AX647" s="155"/>
      <c r="AY647" s="155"/>
      <c r="AZ647" s="155"/>
      <c r="BA647" s="155"/>
      <c r="BB647" s="155"/>
      <c r="BC647" s="155"/>
      <c r="BD647" s="867"/>
      <c r="BF647" s="900"/>
      <c r="BM647" s="902"/>
      <c r="BN647" s="902"/>
      <c r="BO647" s="902"/>
      <c r="BP647" s="931"/>
      <c r="BQ647" s="902"/>
      <c r="BR647" s="902"/>
      <c r="BS647" s="902"/>
    </row>
    <row r="648" spans="1:71" ht="12.75" customHeight="1">
      <c r="A648" s="2465" t="s">
        <v>3035</v>
      </c>
      <c r="B648" s="174"/>
      <c r="C648" s="174"/>
      <c r="D648" s="174"/>
      <c r="E648" s="174"/>
      <c r="F648" s="154"/>
      <c r="G648" s="157"/>
      <c r="H648" s="157"/>
      <c r="I648" s="157"/>
      <c r="J648" s="156"/>
      <c r="K648" s="154"/>
      <c r="L648" s="157"/>
      <c r="M648" s="156"/>
      <c r="N648" s="156"/>
      <c r="O648" s="156"/>
      <c r="P648" s="154"/>
      <c r="Q648" s="156"/>
      <c r="R648" s="156"/>
      <c r="S648" s="156"/>
      <c r="T648" s="156"/>
      <c r="U648" s="154"/>
      <c r="V648" s="180"/>
      <c r="W648" s="180"/>
      <c r="X648" s="180"/>
      <c r="Y648" s="156"/>
      <c r="Z648" s="154"/>
      <c r="AA648" s="156"/>
      <c r="AB648" s="156"/>
      <c r="AC648" s="155"/>
      <c r="AD648" s="3593"/>
      <c r="AE648" s="2591"/>
      <c r="AF648" s="2656">
        <v>3959</v>
      </c>
      <c r="AG648" s="2656">
        <v>3949</v>
      </c>
      <c r="AH648" s="156">
        <v>3939</v>
      </c>
      <c r="AI648" s="2656">
        <f>AH648+100</f>
        <v>4039</v>
      </c>
      <c r="AJ648" s="2591">
        <f t="shared" ref="AI648:AQ650" si="1128">AI648</f>
        <v>4039</v>
      </c>
      <c r="AK648" s="2728">
        <f>AJ648+(250/4)</f>
        <v>4101.5</v>
      </c>
      <c r="AL648" s="2728">
        <f>AK648+(250/4)</f>
        <v>4164</v>
      </c>
      <c r="AM648" s="2728">
        <f>AL648+(250/4)</f>
        <v>4226.5</v>
      </c>
      <c r="AN648" s="2728">
        <f>AM648+(250/4)</f>
        <v>4289</v>
      </c>
      <c r="AO648" s="2591">
        <f t="shared" si="1128"/>
        <v>4289</v>
      </c>
      <c r="AP648" s="3517">
        <f>AO648+250</f>
        <v>4539</v>
      </c>
      <c r="AQ648" s="3517">
        <f>AP648+250</f>
        <v>4789</v>
      </c>
      <c r="AR648" s="155"/>
      <c r="AS648" s="522" t="str">
        <f t="shared" si="1092"/>
        <v>Senior secured term loan facility with rate of 2.98%, due 2023</v>
      </c>
      <c r="AT648" s="155"/>
      <c r="AU648" s="155"/>
      <c r="AV648" s="155"/>
      <c r="AW648" s="155"/>
      <c r="AX648" s="155"/>
      <c r="AY648" s="155"/>
      <c r="AZ648" s="155"/>
      <c r="BA648" s="155"/>
      <c r="BB648" s="155"/>
      <c r="BC648" s="155"/>
      <c r="BD648" s="867"/>
      <c r="BF648" s="900"/>
      <c r="BM648" s="902"/>
      <c r="BN648" s="902"/>
      <c r="BO648" s="902"/>
      <c r="BP648" s="931"/>
      <c r="BQ648" s="902"/>
      <c r="BR648" s="902"/>
      <c r="BS648" s="902"/>
    </row>
    <row r="649" spans="1:71" ht="12.75" customHeight="1">
      <c r="A649" s="2465" t="s">
        <v>3036</v>
      </c>
      <c r="B649" s="174"/>
      <c r="C649" s="174"/>
      <c r="D649" s="174"/>
      <c r="E649" s="174"/>
      <c r="F649" s="154"/>
      <c r="G649" s="157"/>
      <c r="H649" s="157"/>
      <c r="I649" s="157"/>
      <c r="J649" s="156"/>
      <c r="K649" s="154"/>
      <c r="L649" s="157"/>
      <c r="M649" s="156"/>
      <c r="N649" s="156"/>
      <c r="O649" s="156"/>
      <c r="P649" s="154"/>
      <c r="Q649" s="156"/>
      <c r="R649" s="156"/>
      <c r="S649" s="156"/>
      <c r="T649" s="156"/>
      <c r="U649" s="154"/>
      <c r="V649" s="180"/>
      <c r="W649" s="180"/>
      <c r="X649" s="180"/>
      <c r="Y649" s="156"/>
      <c r="Z649" s="154"/>
      <c r="AA649" s="156"/>
      <c r="AB649" s="156"/>
      <c r="AC649" s="155"/>
      <c r="AD649" s="2728"/>
      <c r="AE649" s="2591"/>
      <c r="AF649" s="2656">
        <v>237</v>
      </c>
      <c r="AG649" s="2656">
        <v>236</v>
      </c>
      <c r="AH649" s="156">
        <v>237</v>
      </c>
      <c r="AI649" s="3756">
        <f t="shared" ref="AI649" si="1129">AH649</f>
        <v>237</v>
      </c>
      <c r="AJ649" s="2598">
        <f t="shared" si="1128"/>
        <v>237</v>
      </c>
      <c r="AK649" s="2728">
        <f>AJ649</f>
        <v>237</v>
      </c>
      <c r="AL649" s="2728">
        <f t="shared" ref="AL649:AN649" si="1130">AK649</f>
        <v>237</v>
      </c>
      <c r="AM649" s="2728">
        <f t="shared" si="1130"/>
        <v>237</v>
      </c>
      <c r="AN649" s="2728">
        <f t="shared" si="1130"/>
        <v>237</v>
      </c>
      <c r="AO649" s="2598">
        <f t="shared" si="1128"/>
        <v>237</v>
      </c>
      <c r="AP649" s="2598">
        <f t="shared" ref="AP649" si="1131">AO649</f>
        <v>237</v>
      </c>
      <c r="AQ649" s="2598">
        <f t="shared" ref="AQ649" si="1132">AP649</f>
        <v>237</v>
      </c>
      <c r="AR649" s="155"/>
      <c r="AS649" s="522" t="str">
        <f t="shared" si="1092"/>
        <v>Capital lease obligations with avg rate of 6.34%, due 2021 to 2030</v>
      </c>
      <c r="AT649" s="155"/>
      <c r="AU649" s="155"/>
      <c r="AV649" s="155"/>
      <c r="AW649" s="155"/>
      <c r="AX649" s="155"/>
      <c r="AY649" s="155"/>
      <c r="AZ649" s="155"/>
      <c r="BA649" s="155"/>
      <c r="BB649" s="155"/>
      <c r="BC649" s="155"/>
      <c r="BD649" s="867"/>
      <c r="BF649" s="900"/>
      <c r="BM649" s="902"/>
      <c r="BN649" s="902"/>
      <c r="BO649" s="902"/>
      <c r="BP649" s="931"/>
      <c r="BQ649" s="902"/>
      <c r="BR649" s="902"/>
      <c r="BS649" s="902"/>
    </row>
    <row r="650" spans="1:71" ht="12.75" customHeight="1">
      <c r="A650" s="617" t="s">
        <v>3024</v>
      </c>
      <c r="B650" s="174"/>
      <c r="C650" s="174"/>
      <c r="D650" s="174"/>
      <c r="E650" s="174"/>
      <c r="F650" s="945">
        <v>389</v>
      </c>
      <c r="G650" s="157"/>
      <c r="H650" s="157"/>
      <c r="I650" s="157"/>
      <c r="J650" s="157">
        <v>0</v>
      </c>
      <c r="K650" s="174">
        <f t="shared" si="1106"/>
        <v>0</v>
      </c>
      <c r="L650" s="157">
        <v>0</v>
      </c>
      <c r="M650" s="157">
        <v>0</v>
      </c>
      <c r="N650" s="157">
        <v>0</v>
      </c>
      <c r="O650" s="157">
        <f>N650</f>
        <v>0</v>
      </c>
      <c r="P650" s="174">
        <f>O650</f>
        <v>0</v>
      </c>
      <c r="Q650" s="157">
        <v>0</v>
      </c>
      <c r="R650" s="157">
        <f t="shared" si="1120"/>
        <v>0</v>
      </c>
      <c r="S650" s="157">
        <f t="shared" si="1120"/>
        <v>0</v>
      </c>
      <c r="T650" s="157">
        <v>0</v>
      </c>
      <c r="U650" s="174">
        <f>T650</f>
        <v>0</v>
      </c>
      <c r="V650" s="157">
        <v>0</v>
      </c>
      <c r="W650" s="157">
        <v>0</v>
      </c>
      <c r="X650" s="157">
        <v>0</v>
      </c>
      <c r="Y650" s="157">
        <v>0</v>
      </c>
      <c r="Z650" s="174">
        <f t="shared" si="1107"/>
        <v>0</v>
      </c>
      <c r="AA650" s="157">
        <v>0</v>
      </c>
      <c r="AB650" s="157">
        <v>0</v>
      </c>
      <c r="AC650" s="157">
        <v>0</v>
      </c>
      <c r="AD650" s="157">
        <f>300+200+750+165</f>
        <v>1415</v>
      </c>
      <c r="AE650" s="174">
        <f t="shared" si="1108"/>
        <v>1415</v>
      </c>
      <c r="AF650" s="3757">
        <v>22</v>
      </c>
      <c r="AG650" s="3757">
        <v>21</v>
      </c>
      <c r="AH650" s="3757">
        <v>21</v>
      </c>
      <c r="AI650" s="893">
        <f t="shared" si="1128"/>
        <v>21</v>
      </c>
      <c r="AJ650" s="174">
        <f t="shared" si="1128"/>
        <v>21</v>
      </c>
      <c r="AK650" s="255">
        <f>AJ650</f>
        <v>21</v>
      </c>
      <c r="AL650" s="255">
        <f t="shared" ref="AL650:AN650" si="1133">AK650</f>
        <v>21</v>
      </c>
      <c r="AM650" s="255">
        <f t="shared" si="1133"/>
        <v>21</v>
      </c>
      <c r="AN650" s="255">
        <f t="shared" si="1133"/>
        <v>21</v>
      </c>
      <c r="AO650" s="174">
        <f t="shared" si="1128"/>
        <v>21</v>
      </c>
      <c r="AP650" s="174">
        <f t="shared" si="1128"/>
        <v>21</v>
      </c>
      <c r="AQ650" s="174">
        <f t="shared" si="1128"/>
        <v>21</v>
      </c>
      <c r="AR650" s="155"/>
      <c r="AS650" s="959" t="str">
        <f t="shared" si="1092"/>
        <v>Other Debt</v>
      </c>
      <c r="AT650" s="255">
        <f>+E650</f>
        <v>0</v>
      </c>
      <c r="AU650" s="255">
        <f>+F650</f>
        <v>389</v>
      </c>
      <c r="AV650" s="255">
        <f>+K650</f>
        <v>0</v>
      </c>
      <c r="AW650" s="255">
        <f>+P650</f>
        <v>0</v>
      </c>
      <c r="AX650" s="255">
        <f>+U650</f>
        <v>0</v>
      </c>
      <c r="AY650" s="255">
        <f>+Z650</f>
        <v>0</v>
      </c>
      <c r="AZ650" s="255">
        <f t="shared" si="1101"/>
        <v>1415</v>
      </c>
      <c r="BA650" s="255">
        <f t="shared" si="1102"/>
        <v>21</v>
      </c>
      <c r="BB650" s="255">
        <f t="shared" si="1103"/>
        <v>21</v>
      </c>
      <c r="BC650" s="255">
        <f t="shared" si="1104"/>
        <v>21</v>
      </c>
      <c r="BD650" s="893">
        <f t="shared" si="1105"/>
        <v>21</v>
      </c>
      <c r="BF650" s="900"/>
      <c r="BM650" s="902"/>
      <c r="BN650" s="902"/>
      <c r="BO650" s="902"/>
      <c r="BP650" s="931"/>
      <c r="BQ650" s="902"/>
      <c r="BR650" s="902"/>
      <c r="BS650" s="902"/>
    </row>
    <row r="651" spans="1:71" ht="12.75" customHeight="1">
      <c r="A651" s="940" t="s">
        <v>70</v>
      </c>
      <c r="B651" s="253"/>
      <c r="C651" s="253"/>
      <c r="D651" s="253"/>
      <c r="E651" s="253">
        <f>SUM(E627:E650)</f>
        <v>0</v>
      </c>
      <c r="F651" s="253">
        <f>SUM(F627:F650)</f>
        <v>16311</v>
      </c>
      <c r="G651" s="1344">
        <f>G581+G582+G583+G576+G577</f>
        <v>16676</v>
      </c>
      <c r="H651" s="1344">
        <f>H581+H582+H583+H576+H577</f>
        <v>16603</v>
      </c>
      <c r="I651" s="1344">
        <f>I581+I582+I583+I576+I577</f>
        <v>16535</v>
      </c>
      <c r="J651" s="254">
        <f>SUM(J627:J650)</f>
        <v>15575</v>
      </c>
      <c r="K651" s="253">
        <f>SUM(K627:K650)</f>
        <v>15575</v>
      </c>
      <c r="L651" s="1344">
        <f>L581+L582+L583+L576+L577</f>
        <v>15801</v>
      </c>
      <c r="M651" s="254">
        <f t="shared" ref="M651:AQ651" si="1134">SUM(M627:M650)</f>
        <v>14668</v>
      </c>
      <c r="N651" s="254">
        <f t="shared" si="1134"/>
        <v>14279</v>
      </c>
      <c r="O651" s="254">
        <f t="shared" si="1134"/>
        <v>11755</v>
      </c>
      <c r="P651" s="253">
        <f t="shared" si="1134"/>
        <v>11755</v>
      </c>
      <c r="Q651" s="254">
        <f t="shared" si="1134"/>
        <v>11554</v>
      </c>
      <c r="R651" s="254">
        <f t="shared" si="1134"/>
        <v>11317</v>
      </c>
      <c r="S651" s="254">
        <f t="shared" si="1134"/>
        <v>11127</v>
      </c>
      <c r="T651" s="254">
        <f t="shared" si="1134"/>
        <v>10813</v>
      </c>
      <c r="U651" s="253">
        <f t="shared" si="1134"/>
        <v>10813</v>
      </c>
      <c r="V651" s="254">
        <f t="shared" si="1134"/>
        <v>10582</v>
      </c>
      <c r="W651" s="254">
        <f t="shared" si="1134"/>
        <v>10410</v>
      </c>
      <c r="X651" s="254">
        <f t="shared" si="1134"/>
        <v>10061</v>
      </c>
      <c r="Y651" s="254">
        <f t="shared" si="1134"/>
        <v>9821</v>
      </c>
      <c r="Z651" s="253">
        <f t="shared" si="1134"/>
        <v>9821</v>
      </c>
      <c r="AA651" s="2543">
        <f t="shared" si="1134"/>
        <v>10076</v>
      </c>
      <c r="AB651" s="254">
        <f t="shared" si="1134"/>
        <v>10093</v>
      </c>
      <c r="AC651" s="254">
        <f t="shared" si="1134"/>
        <v>10095</v>
      </c>
      <c r="AD651" s="254">
        <f t="shared" si="1134"/>
        <v>10233</v>
      </c>
      <c r="AE651" s="253">
        <f t="shared" si="1134"/>
        <v>10233</v>
      </c>
      <c r="AF651" s="254">
        <f t="shared" si="1134"/>
        <v>6718</v>
      </c>
      <c r="AG651" s="254">
        <f t="shared" si="1134"/>
        <v>6706</v>
      </c>
      <c r="AH651" s="254">
        <f t="shared" si="1134"/>
        <v>6697</v>
      </c>
      <c r="AI651" s="897">
        <f t="shared" si="1134"/>
        <v>6797</v>
      </c>
      <c r="AJ651" s="253">
        <f t="shared" si="1134"/>
        <v>6797</v>
      </c>
      <c r="AK651" s="254">
        <f t="shared" si="1134"/>
        <v>6859.5</v>
      </c>
      <c r="AL651" s="254">
        <f t="shared" si="1134"/>
        <v>6922</v>
      </c>
      <c r="AM651" s="254">
        <f t="shared" si="1134"/>
        <v>6984.5</v>
      </c>
      <c r="AN651" s="254">
        <f t="shared" si="1134"/>
        <v>7047</v>
      </c>
      <c r="AO651" s="253">
        <f t="shared" ref="AO651" si="1135">SUM(AO627:AO650)</f>
        <v>7047</v>
      </c>
      <c r="AP651" s="253">
        <f t="shared" si="1134"/>
        <v>7297</v>
      </c>
      <c r="AQ651" s="253">
        <f t="shared" si="1134"/>
        <v>7547</v>
      </c>
      <c r="AR651" s="254"/>
      <c r="AS651" s="524" t="str">
        <f t="shared" si="1092"/>
        <v xml:space="preserve">Total long-term debt, including current maturities
</v>
      </c>
      <c r="AT651" s="254">
        <f>+E651</f>
        <v>0</v>
      </c>
      <c r="AU651" s="254">
        <f>+F651</f>
        <v>16311</v>
      </c>
      <c r="AV651" s="254">
        <f>+K651</f>
        <v>15575</v>
      </c>
      <c r="AW651" s="254">
        <f>+P651</f>
        <v>11755</v>
      </c>
      <c r="AX651" s="254">
        <f>+U651</f>
        <v>10813</v>
      </c>
      <c r="AY651" s="254">
        <f>+Z651</f>
        <v>9821</v>
      </c>
      <c r="AZ651" s="254">
        <f t="shared" si="1101"/>
        <v>10233</v>
      </c>
      <c r="BA651" s="254">
        <f t="shared" si="1102"/>
        <v>6797</v>
      </c>
      <c r="BB651" s="254">
        <f t="shared" si="1103"/>
        <v>7047</v>
      </c>
      <c r="BC651" s="254">
        <f t="shared" si="1104"/>
        <v>7297</v>
      </c>
      <c r="BD651" s="897">
        <f t="shared" si="1105"/>
        <v>7547</v>
      </c>
      <c r="BF651" s="900"/>
      <c r="BM651" s="902"/>
      <c r="BN651" s="902"/>
      <c r="BO651" s="902"/>
      <c r="BP651" s="931"/>
      <c r="BQ651" s="902"/>
      <c r="BR651" s="902"/>
      <c r="BS651" s="902"/>
    </row>
    <row r="652" spans="1:71" ht="12.75" customHeight="1">
      <c r="A652" s="524"/>
      <c r="B652" s="253"/>
      <c r="C652" s="253"/>
      <c r="D652" s="253"/>
      <c r="E652" s="253"/>
      <c r="F652" s="253"/>
      <c r="G652" s="254"/>
      <c r="H652" s="254"/>
      <c r="I652" s="254"/>
      <c r="J652" s="254"/>
      <c r="K652" s="253"/>
      <c r="L652" s="254"/>
      <c r="M652" s="254"/>
      <c r="N652" s="254"/>
      <c r="O652" s="254"/>
      <c r="P652" s="253"/>
      <c r="Q652" s="254"/>
      <c r="R652" s="254"/>
      <c r="S652" s="254"/>
      <c r="T652" s="254"/>
      <c r="U652" s="253"/>
      <c r="V652" s="254"/>
      <c r="W652" s="254"/>
      <c r="X652" s="254"/>
      <c r="Y652" s="254"/>
      <c r="Z652" s="253"/>
      <c r="AA652" s="2543"/>
      <c r="AB652" s="254"/>
      <c r="AC652" s="254"/>
      <c r="AD652" s="897"/>
      <c r="AE652" s="253"/>
      <c r="AF652" s="254"/>
      <c r="AG652" s="254"/>
      <c r="AH652" s="254"/>
      <c r="AI652" s="897"/>
      <c r="AJ652" s="253"/>
      <c r="AK652" s="254"/>
      <c r="AL652" s="254"/>
      <c r="AM652" s="254"/>
      <c r="AN652" s="897"/>
      <c r="AO652" s="253"/>
      <c r="AP652" s="253"/>
      <c r="AQ652" s="253"/>
      <c r="AR652" s="254"/>
      <c r="AS652" s="524"/>
      <c r="AT652" s="254"/>
      <c r="AU652" s="254"/>
      <c r="AV652" s="254"/>
      <c r="AW652" s="254"/>
      <c r="AX652" s="254">
        <f>+U652</f>
        <v>0</v>
      </c>
      <c r="AY652" s="254"/>
      <c r="AZ652" s="254"/>
      <c r="BA652" s="254"/>
      <c r="BB652" s="254"/>
      <c r="BC652" s="254"/>
      <c r="BD652" s="897"/>
      <c r="BF652" s="900"/>
      <c r="BM652" s="902"/>
      <c r="BN652" s="902"/>
      <c r="BO652" s="902"/>
      <c r="BP652" s="902"/>
      <c r="BQ652" s="902"/>
      <c r="BR652" s="902"/>
      <c r="BS652" s="902"/>
    </row>
    <row r="653" spans="1:71" ht="12.75" customHeight="1">
      <c r="A653" s="304" t="s">
        <v>68</v>
      </c>
      <c r="B653" s="153"/>
      <c r="C653" s="153"/>
      <c r="D653" s="153"/>
      <c r="E653" s="153"/>
      <c r="F653" s="152">
        <v>-342</v>
      </c>
      <c r="G653" s="267">
        <f>-G576-G577</f>
        <v>-420</v>
      </c>
      <c r="H653" s="267">
        <f>-H576-H577</f>
        <v>-422</v>
      </c>
      <c r="I653" s="267">
        <f>-I576-I577</f>
        <v>-431</v>
      </c>
      <c r="J653" s="180">
        <v>-392</v>
      </c>
      <c r="K653" s="153">
        <f>J653</f>
        <v>-392</v>
      </c>
      <c r="L653" s="267">
        <f>-L576-L577</f>
        <v>-625</v>
      </c>
      <c r="M653" s="267">
        <f>-M576-M577</f>
        <v>-401</v>
      </c>
      <c r="N653" s="267">
        <f>-N576-N577</f>
        <v>-409</v>
      </c>
      <c r="O653" s="180">
        <v>-4</v>
      </c>
      <c r="P653" s="153">
        <f>O653</f>
        <v>-4</v>
      </c>
      <c r="Q653" s="180">
        <v>-3</v>
      </c>
      <c r="R653" s="180">
        <v>-3</v>
      </c>
      <c r="S653" s="180">
        <v>-3</v>
      </c>
      <c r="T653" s="180">
        <v>-10</v>
      </c>
      <c r="U653" s="153">
        <f>T653</f>
        <v>-10</v>
      </c>
      <c r="V653" s="180">
        <v>-10</v>
      </c>
      <c r="W653" s="180">
        <v>-10</v>
      </c>
      <c r="X653" s="180">
        <v>-116</v>
      </c>
      <c r="Y653" s="180">
        <v>-111</v>
      </c>
      <c r="Z653" s="153">
        <f t="shared" ref="Z653:AQ654" si="1136">Y653</f>
        <v>-111</v>
      </c>
      <c r="AA653" s="180">
        <f>-97</f>
        <v>-97</v>
      </c>
      <c r="AB653" s="180">
        <v>-98</v>
      </c>
      <c r="AC653" s="180">
        <v>-101</v>
      </c>
      <c r="AD653" s="180">
        <v>-98</v>
      </c>
      <c r="AE653" s="2598">
        <f t="shared" si="1136"/>
        <v>-98</v>
      </c>
      <c r="AF653" s="180">
        <v>-41</v>
      </c>
      <c r="AG653" s="180">
        <v>-48</v>
      </c>
      <c r="AH653" s="180">
        <v>-49</v>
      </c>
      <c r="AI653" s="851">
        <f t="shared" si="1136"/>
        <v>-49</v>
      </c>
      <c r="AJ653" s="2598">
        <f t="shared" si="1136"/>
        <v>-49</v>
      </c>
      <c r="AK653" s="267">
        <f t="shared" ref="AK653:AK654" si="1137">AJ653</f>
        <v>-49</v>
      </c>
      <c r="AL653" s="267">
        <f t="shared" ref="AL653:AL654" si="1138">AK653</f>
        <v>-49</v>
      </c>
      <c r="AM653" s="267">
        <f t="shared" ref="AM653:AM654" si="1139">AL653</f>
        <v>-49</v>
      </c>
      <c r="AN653" s="267">
        <f t="shared" ref="AN653:AN654" si="1140">AM653</f>
        <v>-49</v>
      </c>
      <c r="AO653" s="2598">
        <f t="shared" si="1136"/>
        <v>-49</v>
      </c>
      <c r="AP653" s="153">
        <f t="shared" si="1136"/>
        <v>-49</v>
      </c>
      <c r="AQ653" s="153">
        <f t="shared" si="1136"/>
        <v>-49</v>
      </c>
      <c r="AR653" s="267"/>
      <c r="AS653" s="522" t="str">
        <f>+A653</f>
        <v>Less: current maturities of long-term debt</v>
      </c>
      <c r="AT653" s="267">
        <f>+E653</f>
        <v>0</v>
      </c>
      <c r="AU653" s="267">
        <f>+F653</f>
        <v>-342</v>
      </c>
      <c r="AV653" s="267">
        <f>+K653</f>
        <v>-392</v>
      </c>
      <c r="AW653" s="267">
        <f>+P653</f>
        <v>-4</v>
      </c>
      <c r="AX653" s="267">
        <f>+U653</f>
        <v>-10</v>
      </c>
      <c r="AY653" s="267">
        <f>+Z653</f>
        <v>-111</v>
      </c>
      <c r="AZ653" s="267">
        <f>+AE653</f>
        <v>-98</v>
      </c>
      <c r="BA653" s="267">
        <f>+AJ653</f>
        <v>-49</v>
      </c>
      <c r="BB653" s="267">
        <f t="shared" ref="BB653:BD655" si="1141">+AO653</f>
        <v>-49</v>
      </c>
      <c r="BC653" s="267">
        <f t="shared" si="1141"/>
        <v>-49</v>
      </c>
      <c r="BD653" s="851">
        <f t="shared" si="1141"/>
        <v>-49</v>
      </c>
      <c r="BF653" s="900"/>
      <c r="BM653" s="902"/>
      <c r="BN653" s="902"/>
      <c r="BO653" s="902"/>
      <c r="BP653" s="931"/>
      <c r="BQ653" s="902"/>
      <c r="BR653" s="902"/>
      <c r="BS653" s="902"/>
    </row>
    <row r="654" spans="1:71" ht="12.75" customHeight="1">
      <c r="A654" s="2464" t="s">
        <v>2547</v>
      </c>
      <c r="B654" s="153"/>
      <c r="C654" s="153"/>
      <c r="D654" s="153"/>
      <c r="E654" s="153"/>
      <c r="F654" s="152"/>
      <c r="G654" s="267"/>
      <c r="H654" s="267"/>
      <c r="I654" s="267"/>
      <c r="J654" s="180"/>
      <c r="K654" s="153"/>
      <c r="L654" s="267"/>
      <c r="M654" s="180"/>
      <c r="N654" s="180"/>
      <c r="O654" s="180"/>
      <c r="P654" s="153"/>
      <c r="Q654" s="180"/>
      <c r="R654" s="267"/>
      <c r="S654" s="267"/>
      <c r="T654" s="267"/>
      <c r="U654" s="153"/>
      <c r="V654" s="267"/>
      <c r="W654" s="267"/>
      <c r="X654" s="267"/>
      <c r="Y654" s="267"/>
      <c r="Z654" s="153"/>
      <c r="AA654" s="180">
        <v>-101</v>
      </c>
      <c r="AB654" s="180">
        <v>-95</v>
      </c>
      <c r="AC654" s="180">
        <v>-111</v>
      </c>
      <c r="AD654" s="180">
        <v>-115</v>
      </c>
      <c r="AE654" s="2598">
        <f t="shared" ref="AE654:AQ654" si="1142">AD654</f>
        <v>-115</v>
      </c>
      <c r="AF654" s="180">
        <f>-89</f>
        <v>-89</v>
      </c>
      <c r="AG654" s="180">
        <v>-86</v>
      </c>
      <c r="AH654" s="180">
        <v>-84</v>
      </c>
      <c r="AI654" s="851">
        <f t="shared" si="1136"/>
        <v>-84</v>
      </c>
      <c r="AJ654" s="2598">
        <f t="shared" si="1142"/>
        <v>-84</v>
      </c>
      <c r="AK654" s="267">
        <f t="shared" si="1137"/>
        <v>-84</v>
      </c>
      <c r="AL654" s="267">
        <f t="shared" si="1138"/>
        <v>-84</v>
      </c>
      <c r="AM654" s="267">
        <f t="shared" si="1139"/>
        <v>-84</v>
      </c>
      <c r="AN654" s="267">
        <f t="shared" si="1140"/>
        <v>-84</v>
      </c>
      <c r="AO654" s="2598">
        <f t="shared" si="1142"/>
        <v>-84</v>
      </c>
      <c r="AP654" s="153">
        <f t="shared" si="1142"/>
        <v>-84</v>
      </c>
      <c r="AQ654" s="153">
        <f t="shared" si="1142"/>
        <v>-84</v>
      </c>
      <c r="AR654" s="267"/>
      <c r="AS654" s="2835" t="s">
        <v>2547</v>
      </c>
      <c r="AT654" s="267"/>
      <c r="AU654" s="267">
        <f>+F654</f>
        <v>0</v>
      </c>
      <c r="AV654" s="267">
        <f>+G654</f>
        <v>0</v>
      </c>
      <c r="AW654" s="267">
        <f>+H654</f>
        <v>0</v>
      </c>
      <c r="AX654" s="267">
        <f>+I654</f>
        <v>0</v>
      </c>
      <c r="AY654" s="267">
        <f>+J654</f>
        <v>0</v>
      </c>
      <c r="AZ654" s="267">
        <f>+AE654</f>
        <v>-115</v>
      </c>
      <c r="BA654" s="267">
        <f>+AJ654</f>
        <v>-84</v>
      </c>
      <c r="BB654" s="267">
        <f t="shared" si="1141"/>
        <v>-84</v>
      </c>
      <c r="BC654" s="267">
        <f t="shared" si="1141"/>
        <v>-84</v>
      </c>
      <c r="BD654" s="851">
        <f t="shared" si="1141"/>
        <v>-84</v>
      </c>
      <c r="BF654" s="900"/>
      <c r="BM654" s="902"/>
      <c r="BN654" s="902"/>
      <c r="BO654" s="902"/>
      <c r="BP654" s="931"/>
      <c r="BQ654" s="902"/>
      <c r="BR654" s="902"/>
      <c r="BS654" s="902"/>
    </row>
    <row r="655" spans="1:71" ht="12.75" customHeight="1">
      <c r="A655" s="524" t="s">
        <v>69</v>
      </c>
      <c r="B655" s="253"/>
      <c r="C655" s="253"/>
      <c r="D655" s="253"/>
      <c r="E655" s="253">
        <f t="shared" ref="E655:L655" si="1143">E651+E653</f>
        <v>0</v>
      </c>
      <c r="F655" s="253">
        <f t="shared" si="1143"/>
        <v>15969</v>
      </c>
      <c r="G655" s="254">
        <f t="shared" si="1143"/>
        <v>16256</v>
      </c>
      <c r="H655" s="254">
        <f t="shared" si="1143"/>
        <v>16181</v>
      </c>
      <c r="I655" s="254">
        <f t="shared" si="1143"/>
        <v>16104</v>
      </c>
      <c r="J655" s="254">
        <f>J651+J653</f>
        <v>15183</v>
      </c>
      <c r="K655" s="253">
        <f t="shared" si="1143"/>
        <v>15183</v>
      </c>
      <c r="L655" s="254">
        <f t="shared" si="1143"/>
        <v>15176</v>
      </c>
      <c r="M655" s="254">
        <f>M651+M653</f>
        <v>14267</v>
      </c>
      <c r="N655" s="254">
        <f t="shared" ref="N655:W655" si="1144">N651+N653</f>
        <v>13870</v>
      </c>
      <c r="O655" s="254">
        <f>O651+O653</f>
        <v>11751</v>
      </c>
      <c r="P655" s="253">
        <f t="shared" si="1144"/>
        <v>11751</v>
      </c>
      <c r="Q655" s="254">
        <f t="shared" si="1144"/>
        <v>11551</v>
      </c>
      <c r="R655" s="254">
        <f t="shared" si="1144"/>
        <v>11314</v>
      </c>
      <c r="S655" s="254">
        <f t="shared" si="1144"/>
        <v>11124</v>
      </c>
      <c r="T655" s="254">
        <f t="shared" si="1144"/>
        <v>10803</v>
      </c>
      <c r="U655" s="253">
        <f t="shared" si="1144"/>
        <v>10803</v>
      </c>
      <c r="V655" s="254">
        <f t="shared" si="1144"/>
        <v>10572</v>
      </c>
      <c r="W655" s="254">
        <f t="shared" si="1144"/>
        <v>10400</v>
      </c>
      <c r="X655" s="254">
        <f>X651+X653</f>
        <v>9945</v>
      </c>
      <c r="Y655" s="254">
        <f>Y651+Y653</f>
        <v>9710</v>
      </c>
      <c r="Z655" s="253">
        <f>Z651+Z653</f>
        <v>9710</v>
      </c>
      <c r="AA655" s="2543">
        <f>AA651+AA653+AA654</f>
        <v>9878</v>
      </c>
      <c r="AB655" s="254">
        <f t="shared" ref="AB655:AQ655" si="1145">AB651+AB653+AB654</f>
        <v>9900</v>
      </c>
      <c r="AC655" s="254">
        <f t="shared" si="1145"/>
        <v>9883</v>
      </c>
      <c r="AD655" s="897">
        <f t="shared" si="1145"/>
        <v>10020</v>
      </c>
      <c r="AE655" s="253">
        <f t="shared" si="1145"/>
        <v>10020</v>
      </c>
      <c r="AF655" s="254">
        <f>AF651+AF653+AF654</f>
        <v>6588</v>
      </c>
      <c r="AG655" s="254">
        <f>AG651+AG653+AG654</f>
        <v>6572</v>
      </c>
      <c r="AH655" s="254">
        <f>AH651+AH653+AH654</f>
        <v>6564</v>
      </c>
      <c r="AI655" s="897">
        <f>AI651+AI653+AI654</f>
        <v>6664</v>
      </c>
      <c r="AJ655" s="253">
        <f>AJ651+AJ653+AJ654</f>
        <v>6664</v>
      </c>
      <c r="AK655" s="254">
        <f t="shared" ref="AK655:AN655" si="1146">AK651+AK653+AK654</f>
        <v>6726.5</v>
      </c>
      <c r="AL655" s="254">
        <f t="shared" si="1146"/>
        <v>6789</v>
      </c>
      <c r="AM655" s="254">
        <f t="shared" si="1146"/>
        <v>6851.5</v>
      </c>
      <c r="AN655" s="254">
        <f t="shared" si="1146"/>
        <v>6914</v>
      </c>
      <c r="AO655" s="253">
        <f>AO651+AO653+AO654</f>
        <v>6914</v>
      </c>
      <c r="AP655" s="253">
        <f t="shared" si="1145"/>
        <v>7164</v>
      </c>
      <c r="AQ655" s="253">
        <f t="shared" si="1145"/>
        <v>7414</v>
      </c>
      <c r="AR655" s="254"/>
      <c r="AS655" s="524" t="str">
        <f>+A655</f>
        <v>Total long-term debt</v>
      </c>
      <c r="AT655" s="254">
        <f>+E655</f>
        <v>0</v>
      </c>
      <c r="AU655" s="254">
        <f>+F655</f>
        <v>15969</v>
      </c>
      <c r="AV655" s="254">
        <f>+K655</f>
        <v>15183</v>
      </c>
      <c r="AW655" s="254">
        <f>+P655</f>
        <v>11751</v>
      </c>
      <c r="AX655" s="254">
        <f>+U655</f>
        <v>10803</v>
      </c>
      <c r="AY655" s="254">
        <f>+Z655</f>
        <v>9710</v>
      </c>
      <c r="AZ655" s="254">
        <f>+AE655</f>
        <v>10020</v>
      </c>
      <c r="BA655" s="254">
        <f>+AJ655</f>
        <v>6664</v>
      </c>
      <c r="BB655" s="254">
        <f t="shared" si="1141"/>
        <v>6914</v>
      </c>
      <c r="BC655" s="254">
        <f t="shared" si="1141"/>
        <v>7164</v>
      </c>
      <c r="BD655" s="897">
        <f t="shared" si="1141"/>
        <v>7414</v>
      </c>
      <c r="BF655" s="900"/>
      <c r="BM655" s="902"/>
      <c r="BN655" s="902"/>
      <c r="BO655" s="902"/>
      <c r="BP655" s="931"/>
      <c r="BQ655" s="902"/>
      <c r="BR655" s="902"/>
      <c r="BS655" s="902"/>
    </row>
    <row r="656" spans="1:71" ht="12.75" customHeight="1">
      <c r="A656" s="522"/>
      <c r="B656" s="153"/>
      <c r="C656" s="153"/>
      <c r="D656" s="153"/>
      <c r="E656" s="153"/>
      <c r="F656" s="153"/>
      <c r="G656" s="267"/>
      <c r="H656" s="267"/>
      <c r="I656" s="267"/>
      <c r="J656" s="267"/>
      <c r="K656" s="153"/>
      <c r="L656" s="267"/>
      <c r="M656" s="267"/>
      <c r="N656" s="267"/>
      <c r="O656" s="267"/>
      <c r="P656" s="153"/>
      <c r="Q656" s="267"/>
      <c r="R656" s="267"/>
      <c r="S656" s="267"/>
      <c r="T656" s="267"/>
      <c r="U656" s="153"/>
      <c r="V656" s="267"/>
      <c r="W656" s="267"/>
      <c r="X656" s="267"/>
      <c r="Y656" s="267"/>
      <c r="Z656" s="153"/>
      <c r="AA656" s="2504"/>
      <c r="AB656" s="267"/>
      <c r="AC656" s="267"/>
      <c r="AD656" s="851"/>
      <c r="AE656" s="2598"/>
      <c r="AF656" s="267"/>
      <c r="AG656" s="267"/>
      <c r="AH656" s="3577"/>
      <c r="AI656" s="851"/>
      <c r="AJ656" s="2598"/>
      <c r="AK656" s="267"/>
      <c r="AL656" s="267"/>
      <c r="AM656" s="267"/>
      <c r="AN656" s="267"/>
      <c r="AO656" s="2598"/>
      <c r="AP656" s="153"/>
      <c r="AQ656" s="153"/>
      <c r="AR656" s="267"/>
      <c r="AS656" s="522"/>
      <c r="AT656" s="267"/>
      <c r="AU656" s="267"/>
      <c r="AV656" s="267"/>
      <c r="AW656" s="267"/>
      <c r="AX656" s="267"/>
      <c r="AY656" s="267"/>
      <c r="AZ656" s="267"/>
      <c r="BA656" s="267"/>
      <c r="BB656" s="267"/>
      <c r="BC656" s="267"/>
      <c r="BD656" s="851"/>
      <c r="BF656" s="900"/>
      <c r="BM656" s="902"/>
      <c r="BN656" s="902"/>
      <c r="BO656" s="902"/>
      <c r="BP656" s="902"/>
      <c r="BQ656" s="902"/>
      <c r="BR656" s="902"/>
      <c r="BS656" s="902"/>
    </row>
    <row r="657" spans="1:71" ht="12.75" customHeight="1">
      <c r="A657" s="526" t="s">
        <v>1238</v>
      </c>
      <c r="B657" s="971"/>
      <c r="C657" s="971"/>
      <c r="D657" s="971"/>
      <c r="E657" s="971"/>
      <c r="F657" s="971">
        <v>0</v>
      </c>
      <c r="G657" s="972"/>
      <c r="H657" s="972"/>
      <c r="I657" s="972"/>
      <c r="J657" s="972">
        <v>0</v>
      </c>
      <c r="K657" s="971">
        <f>J657</f>
        <v>0</v>
      </c>
      <c r="L657" s="972"/>
      <c r="M657" s="972">
        <v>400</v>
      </c>
      <c r="N657" s="972">
        <v>318</v>
      </c>
      <c r="O657" s="972">
        <v>296</v>
      </c>
      <c r="P657" s="973">
        <f>O657</f>
        <v>296</v>
      </c>
      <c r="Q657" s="972">
        <v>300</v>
      </c>
      <c r="R657" s="972">
        <v>299</v>
      </c>
      <c r="S657" s="972">
        <v>264</v>
      </c>
      <c r="T657" s="972">
        <v>237</v>
      </c>
      <c r="U657" s="973">
        <f>T657</f>
        <v>237</v>
      </c>
      <c r="V657" s="972">
        <v>236</v>
      </c>
      <c r="W657" s="972">
        <v>205</v>
      </c>
      <c r="X657" s="972">
        <v>221</v>
      </c>
      <c r="Y657" s="972">
        <v>220</v>
      </c>
      <c r="Z657" s="973">
        <f t="shared" ref="Z657:AQ657" si="1147">Y657</f>
        <v>220</v>
      </c>
      <c r="AA657" s="972">
        <v>323</v>
      </c>
      <c r="AB657" s="972">
        <v>295</v>
      </c>
      <c r="AC657" s="972">
        <v>164</v>
      </c>
      <c r="AD657" s="972">
        <v>509</v>
      </c>
      <c r="AE657" s="973">
        <f>+AD657</f>
        <v>509</v>
      </c>
      <c r="AF657" s="3537">
        <v>0</v>
      </c>
      <c r="AG657" s="974">
        <f t="shared" si="1147"/>
        <v>0</v>
      </c>
      <c r="AH657" s="974">
        <f t="shared" si="1147"/>
        <v>0</v>
      </c>
      <c r="AI657" s="1001">
        <f t="shared" si="1147"/>
        <v>0</v>
      </c>
      <c r="AJ657" s="973">
        <f t="shared" si="1147"/>
        <v>0</v>
      </c>
      <c r="AK657" s="974">
        <f t="shared" ref="AK657" si="1148">AJ657</f>
        <v>0</v>
      </c>
      <c r="AL657" s="974">
        <f t="shared" ref="AL657" si="1149">AK657</f>
        <v>0</v>
      </c>
      <c r="AM657" s="974">
        <f t="shared" ref="AM657" si="1150">AL657</f>
        <v>0</v>
      </c>
      <c r="AN657" s="974">
        <f t="shared" ref="AN657" si="1151">AM657</f>
        <v>0</v>
      </c>
      <c r="AO657" s="973">
        <f t="shared" si="1147"/>
        <v>0</v>
      </c>
      <c r="AP657" s="973">
        <f t="shared" si="1147"/>
        <v>0</v>
      </c>
      <c r="AQ657" s="973">
        <f t="shared" si="1147"/>
        <v>0</v>
      </c>
      <c r="AR657" s="254"/>
      <c r="AS657" s="526" t="str">
        <f>+A657</f>
        <v>Non-recourse debt</v>
      </c>
      <c r="AT657" s="974">
        <f>+E657</f>
        <v>0</v>
      </c>
      <c r="AU657" s="974">
        <f>+F657</f>
        <v>0</v>
      </c>
      <c r="AV657" s="974">
        <f>+K657</f>
        <v>0</v>
      </c>
      <c r="AW657" s="974">
        <f>+P657</f>
        <v>296</v>
      </c>
      <c r="AX657" s="974">
        <f>+U657</f>
        <v>237</v>
      </c>
      <c r="AY657" s="974">
        <f>+Z657</f>
        <v>220</v>
      </c>
      <c r="AZ657" s="974">
        <f>+AE657</f>
        <v>509</v>
      </c>
      <c r="BA657" s="974">
        <f>+AJ657</f>
        <v>0</v>
      </c>
      <c r="BB657" s="974">
        <f>+AO657</f>
        <v>0</v>
      </c>
      <c r="BC657" s="974">
        <f>+AP657</f>
        <v>0</v>
      </c>
      <c r="BD657" s="1001">
        <f>+AQ657</f>
        <v>0</v>
      </c>
      <c r="BF657" s="900"/>
      <c r="BM657" s="902"/>
      <c r="BN657" s="902"/>
      <c r="BO657" s="902"/>
      <c r="BP657" s="902"/>
      <c r="BQ657" s="902"/>
      <c r="BR657" s="902"/>
      <c r="BS657" s="902"/>
    </row>
    <row r="658" spans="1:71" ht="12.75" customHeight="1">
      <c r="A658" s="260"/>
      <c r="B658" s="317"/>
      <c r="C658" s="317"/>
      <c r="D658" s="317"/>
      <c r="E658" s="317"/>
      <c r="F658" s="317"/>
      <c r="G658" s="317"/>
      <c r="H658" s="317"/>
      <c r="I658" s="317"/>
      <c r="J658" s="317"/>
      <c r="K658" s="317"/>
      <c r="L658" s="317"/>
      <c r="M658" s="317"/>
      <c r="N658" s="317"/>
      <c r="O658" s="317"/>
      <c r="P658" s="317"/>
      <c r="Q658" s="317"/>
      <c r="R658" s="317"/>
      <c r="S658" s="317"/>
      <c r="T658" s="317"/>
      <c r="U658" s="317"/>
      <c r="V658" s="317"/>
      <c r="W658" s="317"/>
      <c r="X658" s="317"/>
      <c r="Y658" s="317"/>
      <c r="Z658" s="317"/>
      <c r="AA658" s="317"/>
      <c r="AB658" s="317"/>
      <c r="AC658" s="317"/>
      <c r="AD658" s="317"/>
      <c r="AE658" s="317"/>
      <c r="AF658" s="317"/>
      <c r="AG658" s="317"/>
      <c r="AH658" s="317"/>
      <c r="AI658" s="317"/>
      <c r="AJ658" s="317"/>
      <c r="AK658" s="317"/>
      <c r="AL658" s="317"/>
      <c r="AM658" s="317"/>
      <c r="AN658" s="317"/>
      <c r="AO658" s="317"/>
      <c r="AP658" s="317"/>
      <c r="AQ658" s="317"/>
      <c r="AR658" s="266"/>
      <c r="AS658" s="260"/>
      <c r="AT658" s="317"/>
      <c r="AU658" s="317"/>
      <c r="AV658" s="317"/>
      <c r="AW658" s="317"/>
      <c r="AX658" s="317"/>
      <c r="AY658" s="317"/>
      <c r="AZ658" s="317"/>
      <c r="BA658" s="317"/>
      <c r="BB658" s="317"/>
      <c r="BC658" s="317"/>
      <c r="BD658" s="317"/>
      <c r="BF658" s="900"/>
      <c r="BM658" s="902"/>
      <c r="BN658" s="902"/>
      <c r="BO658" s="902"/>
      <c r="BP658" s="902"/>
      <c r="BQ658" s="902"/>
      <c r="BR658" s="902"/>
      <c r="BS658" s="902"/>
    </row>
    <row r="659" spans="1:71" ht="12.75" customHeight="1">
      <c r="A659" s="260"/>
      <c r="B659" s="317"/>
      <c r="C659" s="317"/>
      <c r="D659" s="317"/>
      <c r="E659" s="317"/>
      <c r="F659" s="317"/>
      <c r="G659" s="317"/>
      <c r="H659" s="317"/>
      <c r="I659" s="317"/>
      <c r="J659" s="317"/>
      <c r="K659" s="317"/>
      <c r="L659" s="317"/>
      <c r="M659" s="317"/>
      <c r="N659" s="317"/>
      <c r="O659" s="317"/>
      <c r="P659" s="317"/>
      <c r="Q659" s="317"/>
      <c r="R659" s="317"/>
      <c r="S659" s="317"/>
      <c r="T659" s="317"/>
      <c r="U659" s="317"/>
      <c r="V659" s="317"/>
      <c r="W659" s="317"/>
      <c r="X659" s="317"/>
      <c r="Y659" s="317"/>
      <c r="Z659" s="317"/>
      <c r="AA659" s="317"/>
      <c r="AB659" s="317"/>
      <c r="AC659" s="317"/>
      <c r="AD659" s="317"/>
      <c r="AE659" s="317"/>
      <c r="AF659" s="317"/>
      <c r="AG659" s="317"/>
      <c r="AH659" s="317"/>
      <c r="AI659" s="317"/>
      <c r="AJ659" s="317"/>
      <c r="AK659" s="317"/>
      <c r="AL659" s="317"/>
      <c r="AM659" s="317"/>
      <c r="AN659" s="317"/>
      <c r="AO659" s="317"/>
      <c r="AP659" s="317"/>
      <c r="AQ659" s="317"/>
      <c r="AR659" s="266"/>
      <c r="AS659" s="260"/>
      <c r="AT659" s="317"/>
      <c r="AU659" s="317"/>
      <c r="AV659" s="317"/>
      <c r="AW659" s="317"/>
      <c r="AX659" s="317"/>
      <c r="AY659" s="317"/>
      <c r="AZ659" s="317"/>
      <c r="BA659" s="317"/>
      <c r="BB659" s="317"/>
      <c r="BC659" s="317"/>
      <c r="BD659" s="317"/>
      <c r="BF659" s="900"/>
      <c r="BM659" s="902"/>
      <c r="BN659" s="902"/>
      <c r="BO659" s="902"/>
      <c r="BP659" s="902"/>
      <c r="BQ659" s="902"/>
      <c r="BR659" s="902"/>
      <c r="BS659" s="902"/>
    </row>
    <row r="660" spans="1:71" s="12" customFormat="1" ht="12.75" customHeight="1">
      <c r="A660" s="291" t="s">
        <v>1610</v>
      </c>
      <c r="B660" s="772" t="s">
        <v>592</v>
      </c>
      <c r="C660" s="772" t="s">
        <v>593</v>
      </c>
      <c r="D660" s="772" t="s">
        <v>594</v>
      </c>
      <c r="E660" s="769" t="str">
        <f t="shared" ref="E660:AQ660" si="1152">E624</f>
        <v>2010</v>
      </c>
      <c r="F660" s="769" t="str">
        <f t="shared" si="1152"/>
        <v>2011</v>
      </c>
      <c r="G660" s="771" t="str">
        <f t="shared" si="1152"/>
        <v>1Q12</v>
      </c>
      <c r="H660" s="771" t="str">
        <f t="shared" si="1152"/>
        <v>2Q12</v>
      </c>
      <c r="I660" s="771" t="str">
        <f t="shared" si="1152"/>
        <v>3Q12</v>
      </c>
      <c r="J660" s="771" t="str">
        <f t="shared" si="1152"/>
        <v>4Q12</v>
      </c>
      <c r="K660" s="769">
        <f t="shared" si="1152"/>
        <v>2012</v>
      </c>
      <c r="L660" s="771" t="str">
        <f t="shared" si="1152"/>
        <v>1Q13</v>
      </c>
      <c r="M660" s="771" t="str">
        <f t="shared" si="1152"/>
        <v>2Q13</v>
      </c>
      <c r="N660" s="771" t="str">
        <f t="shared" si="1152"/>
        <v>3Q13</v>
      </c>
      <c r="O660" s="771" t="str">
        <f t="shared" si="1152"/>
        <v>4Q13</v>
      </c>
      <c r="P660" s="769">
        <f t="shared" si="1152"/>
        <v>2013</v>
      </c>
      <c r="Q660" s="771" t="str">
        <f t="shared" si="1152"/>
        <v>1Q14</v>
      </c>
      <c r="R660" s="771" t="str">
        <f t="shared" si="1152"/>
        <v>2Q14</v>
      </c>
      <c r="S660" s="771" t="str">
        <f t="shared" si="1152"/>
        <v>3Q14</v>
      </c>
      <c r="T660" s="771" t="str">
        <f t="shared" si="1152"/>
        <v>4Q14</v>
      </c>
      <c r="U660" s="769">
        <f t="shared" si="1152"/>
        <v>2014</v>
      </c>
      <c r="V660" s="771" t="str">
        <f t="shared" si="1152"/>
        <v>1Q15</v>
      </c>
      <c r="W660" s="771" t="str">
        <f t="shared" si="1152"/>
        <v>2Q15</v>
      </c>
      <c r="X660" s="771" t="str">
        <f t="shared" si="1152"/>
        <v>3Q15</v>
      </c>
      <c r="Y660" s="771" t="str">
        <f t="shared" si="1152"/>
        <v>4Q15</v>
      </c>
      <c r="Z660" s="769">
        <f t="shared" si="1152"/>
        <v>2015</v>
      </c>
      <c r="AA660" s="771" t="str">
        <f t="shared" si="1152"/>
        <v>1Q16</v>
      </c>
      <c r="AB660" s="771" t="str">
        <f t="shared" si="1152"/>
        <v>2Q16</v>
      </c>
      <c r="AC660" s="771" t="str">
        <f t="shared" si="1152"/>
        <v>3Q16</v>
      </c>
      <c r="AD660" s="771" t="str">
        <f t="shared" si="1152"/>
        <v>4Q16</v>
      </c>
      <c r="AE660" s="769">
        <f t="shared" si="1152"/>
        <v>2016</v>
      </c>
      <c r="AF660" s="771" t="str">
        <f t="shared" si="1152"/>
        <v>1Q17</v>
      </c>
      <c r="AG660" s="771" t="str">
        <f t="shared" si="1152"/>
        <v>2Q17</v>
      </c>
      <c r="AH660" s="4048" t="str">
        <f t="shared" si="1152"/>
        <v>3Q17</v>
      </c>
      <c r="AI660" s="771" t="str">
        <f t="shared" si="1152"/>
        <v>4Q17A</v>
      </c>
      <c r="AJ660" s="769" t="str">
        <f t="shared" si="1152"/>
        <v>2017A</v>
      </c>
      <c r="AK660" s="771" t="str">
        <f t="shared" ref="AK660:AN660" si="1153">AK624</f>
        <v>1Q18E</v>
      </c>
      <c r="AL660" s="771" t="str">
        <f t="shared" si="1153"/>
        <v>2Q18E</v>
      </c>
      <c r="AM660" s="771" t="str">
        <f t="shared" si="1153"/>
        <v>3Q18E</v>
      </c>
      <c r="AN660" s="771" t="str">
        <f t="shared" si="1153"/>
        <v>4Q18E</v>
      </c>
      <c r="AO660" s="769" t="str">
        <f t="shared" si="1152"/>
        <v>2018E</v>
      </c>
      <c r="AP660" s="769" t="str">
        <f t="shared" si="1152"/>
        <v>2019E</v>
      </c>
      <c r="AQ660" s="769" t="str">
        <f t="shared" si="1152"/>
        <v>2020E</v>
      </c>
      <c r="AR660" s="289"/>
      <c r="AS660" s="291" t="str">
        <f>+A660</f>
        <v>Interest Expense Summary</v>
      </c>
      <c r="AT660" s="771" t="str">
        <f t="shared" ref="AT660:AU662" si="1154">+E660</f>
        <v>2010</v>
      </c>
      <c r="AU660" s="771" t="str">
        <f t="shared" si="1154"/>
        <v>2011</v>
      </c>
      <c r="AV660" s="771">
        <f>+K660</f>
        <v>2012</v>
      </c>
      <c r="AW660" s="771">
        <f>+P660</f>
        <v>2013</v>
      </c>
      <c r="AX660" s="771">
        <f>+U660</f>
        <v>2014</v>
      </c>
      <c r="AY660" s="771">
        <f>+Z660</f>
        <v>2015</v>
      </c>
      <c r="AZ660" s="771">
        <f>+AE660</f>
        <v>2016</v>
      </c>
      <c r="BA660" s="771" t="str">
        <f>+AJ660</f>
        <v>2017A</v>
      </c>
      <c r="BB660" s="771" t="str">
        <f t="shared" ref="BB660:BD662" si="1155">+AO660</f>
        <v>2018E</v>
      </c>
      <c r="BC660" s="771" t="str">
        <f t="shared" si="1155"/>
        <v>2019E</v>
      </c>
      <c r="BD660" s="770" t="str">
        <f t="shared" si="1155"/>
        <v>2020E</v>
      </c>
      <c r="BE660" s="14"/>
      <c r="BF660" s="900"/>
      <c r="BG660"/>
      <c r="BH660"/>
      <c r="BI660"/>
      <c r="BJ660"/>
      <c r="BK660"/>
      <c r="BL660"/>
      <c r="BM660" s="902"/>
      <c r="BN660" s="902"/>
      <c r="BO660" s="902"/>
      <c r="BP660" s="902"/>
      <c r="BQ660" s="902"/>
      <c r="BR660" s="902"/>
      <c r="BS660" s="902"/>
    </row>
    <row r="661" spans="1:71" s="7" customFormat="1" ht="12.75" customHeight="1">
      <c r="A661" s="388" t="s">
        <v>593</v>
      </c>
      <c r="B661" s="1100"/>
      <c r="C661" s="1100"/>
      <c r="D661" s="425"/>
      <c r="E661" s="391">
        <v>4.0000000000000001E-3</v>
      </c>
      <c r="F661" s="391">
        <v>3.0000000000000001E-3</v>
      </c>
      <c r="G661" s="425">
        <v>5.0000000000000001E-3</v>
      </c>
      <c r="H661" s="425">
        <v>4.6629999999999996E-3</v>
      </c>
      <c r="I661" s="425">
        <v>4.2509999999999996E-3</v>
      </c>
      <c r="J661" s="425">
        <v>3.176E-3</v>
      </c>
      <c r="K661" s="707">
        <f>AVERAGE(G661:J661)</f>
        <v>4.2725000000000003E-3</v>
      </c>
      <c r="L661" s="425">
        <v>3.0000000000000001E-3</v>
      </c>
      <c r="M661" s="425">
        <v>2.7499999999999998E-3</v>
      </c>
      <c r="N661" s="425">
        <v>2.6159999999999998E-3</v>
      </c>
      <c r="O661" s="425">
        <v>2.4130000000000002E-3</v>
      </c>
      <c r="P661" s="707">
        <f>AVERAGE(L661:O661)</f>
        <v>2.6947500000000001E-3</v>
      </c>
      <c r="Q661" s="425">
        <v>3.6580000000000002E-3</v>
      </c>
      <c r="R661" s="425">
        <v>5.0000000000000001E-3</v>
      </c>
      <c r="S661" s="425">
        <v>5.0000000000000001E-3</v>
      </c>
      <c r="T661" s="425">
        <v>5.0000000000000001E-3</v>
      </c>
      <c r="U661" s="707">
        <f>AVERAGE(Q661:T661)</f>
        <v>4.6645000000000002E-3</v>
      </c>
      <c r="V661" s="2815">
        <v>3.7499999999999999E-3</v>
      </c>
      <c r="W661" s="2815">
        <v>3.7499999999999999E-3</v>
      </c>
      <c r="X661" s="2815">
        <v>3.7499999999999999E-3</v>
      </c>
      <c r="Y661" s="2816">
        <v>6.2500000000000003E-3</v>
      </c>
      <c r="Z661" s="707">
        <f>AVERAGE(V661:Y661)</f>
        <v>4.3750000000000004E-3</v>
      </c>
      <c r="AA661" s="2816">
        <v>6.2500000000000003E-3</v>
      </c>
      <c r="AB661" s="2816">
        <v>6.2500000000000003E-3</v>
      </c>
      <c r="AC661" s="2816">
        <v>6.2500000000000003E-3</v>
      </c>
      <c r="AD661" s="2816">
        <v>8.7500000000000008E-3</v>
      </c>
      <c r="AE661" s="2596">
        <f>AVERAGE(AA661:AD661)</f>
        <v>6.8750000000000009E-3</v>
      </c>
      <c r="AF661" s="2816">
        <v>1.125E-2</v>
      </c>
      <c r="AG661" s="2816">
        <v>1.375E-2</v>
      </c>
      <c r="AH661" s="4049">
        <v>1.375E-2</v>
      </c>
      <c r="AI661" s="2816">
        <v>1.6250000000000001E-2</v>
      </c>
      <c r="AJ661" s="2596">
        <f>AVERAGE(AF661:AI661)</f>
        <v>1.375E-2</v>
      </c>
      <c r="AK661" s="2816">
        <v>1.8749999999999999E-2</v>
      </c>
      <c r="AL661" s="2816">
        <v>2.1250000000000002E-2</v>
      </c>
      <c r="AM661" s="2816">
        <v>2.375E-2</v>
      </c>
      <c r="AN661" s="2816">
        <v>2.6249999999999999E-2</v>
      </c>
      <c r="AO661" s="2596">
        <f>AVERAGE(AK661:AN661)</f>
        <v>2.2499999999999999E-2</v>
      </c>
      <c r="AP661" s="391">
        <f>+AN661+0.0025</f>
        <v>2.8749999999999998E-2</v>
      </c>
      <c r="AQ661" s="391">
        <f>+AP661+0.0025</f>
        <v>3.1249999999999997E-2</v>
      </c>
      <c r="AR661" s="390"/>
      <c r="AS661" s="814" t="str">
        <f>+A661</f>
        <v>LIBOR</v>
      </c>
      <c r="AT661" s="390">
        <f t="shared" si="1154"/>
        <v>4.0000000000000001E-3</v>
      </c>
      <c r="AU661" s="390">
        <f t="shared" si="1154"/>
        <v>3.0000000000000001E-3</v>
      </c>
      <c r="AV661" s="390">
        <f>+K661</f>
        <v>4.2725000000000003E-3</v>
      </c>
      <c r="AW661" s="390">
        <f>+P661</f>
        <v>2.6947500000000001E-3</v>
      </c>
      <c r="AX661" s="390">
        <f>+U661</f>
        <v>4.6645000000000002E-3</v>
      </c>
      <c r="AY661" s="390">
        <f>+Z661</f>
        <v>4.3750000000000004E-3</v>
      </c>
      <c r="AZ661" s="390">
        <f>+AE661</f>
        <v>6.8750000000000009E-3</v>
      </c>
      <c r="BA661" s="390">
        <f>+AJ661</f>
        <v>1.375E-2</v>
      </c>
      <c r="BB661" s="390">
        <f t="shared" si="1155"/>
        <v>2.2499999999999999E-2</v>
      </c>
      <c r="BC661" s="390">
        <f t="shared" si="1155"/>
        <v>2.8749999999999998E-2</v>
      </c>
      <c r="BD661" s="894">
        <f t="shared" si="1155"/>
        <v>3.1249999999999997E-2</v>
      </c>
      <c r="BE661" s="14"/>
      <c r="BF661" s="900"/>
      <c r="BG661"/>
      <c r="BH661"/>
      <c r="BI661"/>
      <c r="BJ661"/>
      <c r="BK661"/>
      <c r="BL661"/>
      <c r="BM661" s="902"/>
      <c r="BN661" s="902"/>
      <c r="BO661" s="902"/>
      <c r="BP661" s="931"/>
      <c r="BQ661" s="902"/>
      <c r="BR661" s="902"/>
      <c r="BS661" s="902"/>
    </row>
    <row r="662" spans="1:71" s="7" customFormat="1" ht="12.75" customHeight="1">
      <c r="A662" s="388" t="s">
        <v>2078</v>
      </c>
      <c r="B662" s="391"/>
      <c r="C662" s="391"/>
      <c r="D662" s="425"/>
      <c r="E662" s="391"/>
      <c r="F662" s="391"/>
      <c r="G662" s="425">
        <v>0.05</v>
      </c>
      <c r="H662" s="425">
        <v>0.05</v>
      </c>
      <c r="I662" s="425">
        <v>0.05</v>
      </c>
      <c r="J662" s="425">
        <v>0.05</v>
      </c>
      <c r="K662" s="391"/>
      <c r="L662" s="425">
        <v>0.05</v>
      </c>
      <c r="M662" s="425">
        <v>0.05</v>
      </c>
      <c r="N662" s="425">
        <v>0.05</v>
      </c>
      <c r="O662" s="425">
        <v>0.05</v>
      </c>
      <c r="P662" s="391"/>
      <c r="Q662" s="425">
        <v>0.05</v>
      </c>
      <c r="R662" s="425">
        <v>0.05</v>
      </c>
      <c r="S662" s="425">
        <v>0.05</v>
      </c>
      <c r="T662" s="425">
        <v>0.05</v>
      </c>
      <c r="U662" s="391"/>
      <c r="V662" s="425">
        <v>0.05</v>
      </c>
      <c r="W662" s="425">
        <v>0.05</v>
      </c>
      <c r="X662" s="425">
        <v>0.05</v>
      </c>
      <c r="Y662" s="425">
        <v>0.05</v>
      </c>
      <c r="Z662" s="391"/>
      <c r="AA662" s="425">
        <v>0.05</v>
      </c>
      <c r="AB662" s="425">
        <v>0.05</v>
      </c>
      <c r="AC662" s="425">
        <v>0.05</v>
      </c>
      <c r="AD662" s="425">
        <v>0.05</v>
      </c>
      <c r="AE662" s="2596"/>
      <c r="AF662" s="425">
        <v>0.05</v>
      </c>
      <c r="AG662" s="425">
        <v>0.05</v>
      </c>
      <c r="AH662" s="425">
        <v>0.05</v>
      </c>
      <c r="AI662" s="425">
        <v>0.05</v>
      </c>
      <c r="AJ662" s="2596"/>
      <c r="AK662" s="425">
        <v>0.05</v>
      </c>
      <c r="AL662" s="425">
        <v>0.05</v>
      </c>
      <c r="AM662" s="425">
        <v>0.05</v>
      </c>
      <c r="AN662" s="425">
        <v>0.05</v>
      </c>
      <c r="AO662" s="391">
        <v>0.05</v>
      </c>
      <c r="AP662" s="391">
        <v>0.05</v>
      </c>
      <c r="AQ662" s="391">
        <v>0.05</v>
      </c>
      <c r="AR662" s="425"/>
      <c r="AS662" s="814" t="str">
        <f>+A662</f>
        <v>Floating Rate Mortgages &amp; Other</v>
      </c>
      <c r="AT662" s="390">
        <f t="shared" si="1154"/>
        <v>0</v>
      </c>
      <c r="AU662" s="390">
        <f t="shared" si="1154"/>
        <v>0</v>
      </c>
      <c r="AV662" s="390">
        <f>+K662</f>
        <v>0</v>
      </c>
      <c r="AW662" s="390">
        <f>+P662</f>
        <v>0</v>
      </c>
      <c r="AX662" s="390">
        <f>+U662</f>
        <v>0</v>
      </c>
      <c r="AY662" s="390">
        <f>+Z662</f>
        <v>0</v>
      </c>
      <c r="AZ662" s="390">
        <f>+AE662</f>
        <v>0</v>
      </c>
      <c r="BA662" s="390">
        <f>+AJ662</f>
        <v>0</v>
      </c>
      <c r="BB662" s="390">
        <f t="shared" si="1155"/>
        <v>0.05</v>
      </c>
      <c r="BC662" s="390">
        <f t="shared" si="1155"/>
        <v>0.05</v>
      </c>
      <c r="BD662" s="894">
        <f t="shared" si="1155"/>
        <v>0.05</v>
      </c>
      <c r="BE662" s="14"/>
      <c r="BF662" s="900"/>
      <c r="BG662"/>
      <c r="BH662"/>
      <c r="BI662"/>
      <c r="BJ662"/>
      <c r="BK662"/>
      <c r="BL662"/>
      <c r="BM662" s="902"/>
      <c r="BN662" s="902"/>
      <c r="BO662" s="902"/>
      <c r="BP662" s="931"/>
      <c r="BQ662" s="902"/>
      <c r="BR662" s="902"/>
      <c r="BS662" s="902"/>
    </row>
    <row r="663" spans="1:71" ht="12.75" customHeight="1">
      <c r="A663" s="426" t="s">
        <v>2288</v>
      </c>
      <c r="B663" s="348"/>
      <c r="C663" s="348"/>
      <c r="D663" s="186"/>
      <c r="E663" s="348"/>
      <c r="F663" s="348"/>
      <c r="G663" s="186"/>
      <c r="H663" s="186"/>
      <c r="I663" s="186"/>
      <c r="J663" s="425"/>
      <c r="K663" s="348"/>
      <c r="L663" s="186"/>
      <c r="M663" s="186"/>
      <c r="N663" s="186"/>
      <c r="O663" s="186"/>
      <c r="P663" s="348"/>
      <c r="Q663" s="186"/>
      <c r="R663" s="186"/>
      <c r="S663" s="186"/>
      <c r="T663" s="186"/>
      <c r="U663" s="348"/>
      <c r="V663" s="186"/>
      <c r="W663" s="186"/>
      <c r="X663" s="186"/>
      <c r="Y663" s="186"/>
      <c r="Z663" s="348"/>
      <c r="AA663" s="186"/>
      <c r="AB663" s="186"/>
      <c r="AC663" s="186"/>
      <c r="AD663" s="186"/>
      <c r="AE663" s="2599"/>
      <c r="AF663" s="186"/>
      <c r="AG663" s="186"/>
      <c r="AH663" s="186"/>
      <c r="AI663" s="186"/>
      <c r="AJ663" s="2599"/>
      <c r="AK663" s="186"/>
      <c r="AL663" s="186"/>
      <c r="AM663" s="186"/>
      <c r="AN663" s="186"/>
      <c r="AO663" s="348"/>
      <c r="AP663" s="348"/>
      <c r="AQ663" s="348"/>
      <c r="AR663" s="186"/>
      <c r="AS663" s="493" t="str">
        <f>+A663</f>
        <v>Variable Interest Rate Assumptions</v>
      </c>
      <c r="AT663" s="159"/>
      <c r="AU663" s="159"/>
      <c r="AV663" s="159"/>
      <c r="AW663" s="159"/>
      <c r="AX663" s="159"/>
      <c r="AY663" s="159"/>
      <c r="AZ663" s="159"/>
      <c r="BA663" s="159"/>
      <c r="BB663" s="159"/>
      <c r="BC663" s="159"/>
      <c r="BD663" s="848"/>
      <c r="BF663" s="900"/>
      <c r="BM663" s="902"/>
      <c r="BN663" s="902"/>
      <c r="BO663" s="902"/>
      <c r="BP663" s="902"/>
      <c r="BQ663" s="902"/>
      <c r="BR663" s="902"/>
      <c r="BS663" s="902"/>
    </row>
    <row r="664" spans="1:71" ht="12.75" customHeight="1">
      <c r="A664" s="257"/>
      <c r="B664" s="154"/>
      <c r="C664" s="154"/>
      <c r="D664" s="155"/>
      <c r="E664" s="154"/>
      <c r="F664" s="154"/>
      <c r="G664" s="155"/>
      <c r="H664" s="155"/>
      <c r="I664" s="155"/>
      <c r="J664" s="155"/>
      <c r="K664" s="154"/>
      <c r="L664" s="155"/>
      <c r="M664" s="155"/>
      <c r="N664" s="155"/>
      <c r="O664" s="155"/>
      <c r="P664" s="154"/>
      <c r="Q664" s="155"/>
      <c r="R664" s="155"/>
      <c r="S664" s="155"/>
      <c r="T664" s="155"/>
      <c r="U664" s="154"/>
      <c r="V664" s="155"/>
      <c r="W664" s="155"/>
      <c r="X664" s="155"/>
      <c r="Y664" s="155"/>
      <c r="Z664" s="154"/>
      <c r="AA664" s="155"/>
      <c r="AB664" s="155"/>
      <c r="AC664" s="155"/>
      <c r="AD664" s="155"/>
      <c r="AE664" s="2591"/>
      <c r="AF664" s="155"/>
      <c r="AG664" s="155"/>
      <c r="AH664" s="2728"/>
      <c r="AI664" s="155"/>
      <c r="AJ664" s="2591"/>
      <c r="AK664" s="155"/>
      <c r="AL664" s="155"/>
      <c r="AM664" s="155"/>
      <c r="AN664" s="155"/>
      <c r="AO664" s="154"/>
      <c r="AP664" s="154"/>
      <c r="AQ664" s="154"/>
      <c r="AR664" s="155"/>
      <c r="AS664" s="493"/>
      <c r="AT664" s="155"/>
      <c r="AU664" s="155"/>
      <c r="AV664" s="155"/>
      <c r="AW664" s="155"/>
      <c r="AX664" s="155"/>
      <c r="AY664" s="155"/>
      <c r="AZ664" s="155"/>
      <c r="BA664" s="155"/>
      <c r="BB664" s="155"/>
      <c r="BC664" s="155"/>
      <c r="BD664" s="867"/>
      <c r="BF664" s="900"/>
      <c r="BM664" s="902"/>
      <c r="BN664" s="902"/>
      <c r="BO664" s="902"/>
      <c r="BP664" s="902"/>
      <c r="BQ664" s="902"/>
      <c r="BR664" s="902"/>
      <c r="BS664" s="902"/>
    </row>
    <row r="665" spans="1:71" ht="12.75" customHeight="1">
      <c r="A665" s="275" t="s">
        <v>21</v>
      </c>
      <c r="B665" s="154"/>
      <c r="C665" s="154"/>
      <c r="D665" s="155"/>
      <c r="E665" s="154"/>
      <c r="F665" s="154"/>
      <c r="G665" s="155"/>
      <c r="H665" s="155"/>
      <c r="I665" s="155"/>
      <c r="J665" s="155"/>
      <c r="K665" s="154"/>
      <c r="L665" s="155"/>
      <c r="M665" s="155"/>
      <c r="N665" s="155"/>
      <c r="O665" s="155"/>
      <c r="P665" s="154"/>
      <c r="Q665" s="155"/>
      <c r="R665" s="155"/>
      <c r="S665" s="155"/>
      <c r="T665" s="155"/>
      <c r="U665" s="154"/>
      <c r="V665" s="155"/>
      <c r="W665" s="155"/>
      <c r="X665" s="155"/>
      <c r="Y665" s="155"/>
      <c r="Z665" s="154"/>
      <c r="AA665" s="155"/>
      <c r="AB665" s="155"/>
      <c r="AC665" s="155"/>
      <c r="AD665" s="155"/>
      <c r="AE665" s="2591"/>
      <c r="AF665" s="155"/>
      <c r="AG665" s="155"/>
      <c r="AH665" s="2728"/>
      <c r="AI665" s="155"/>
      <c r="AJ665" s="2591"/>
      <c r="AK665" s="155"/>
      <c r="AL665" s="155"/>
      <c r="AM665" s="155"/>
      <c r="AN665" s="155"/>
      <c r="AO665" s="154"/>
      <c r="AP665" s="154"/>
      <c r="AQ665" s="154"/>
      <c r="AR665" s="155"/>
      <c r="AS665" s="1101" t="s">
        <v>21</v>
      </c>
      <c r="AT665" s="155"/>
      <c r="AU665" s="155"/>
      <c r="AV665" s="155"/>
      <c r="AW665" s="155"/>
      <c r="AX665" s="155"/>
      <c r="AY665" s="155"/>
      <c r="AZ665" s="155"/>
      <c r="BA665" s="155"/>
      <c r="BB665" s="155"/>
      <c r="BC665" s="155"/>
      <c r="BD665" s="867"/>
      <c r="BF665" s="900"/>
      <c r="BM665" s="902"/>
      <c r="BN665" s="902"/>
      <c r="BO665" s="902"/>
      <c r="BP665" s="902"/>
      <c r="BQ665" s="902"/>
      <c r="BR665" s="902"/>
      <c r="BS665" s="902"/>
    </row>
    <row r="666" spans="1:71" ht="12.75" customHeight="1">
      <c r="A666" s="304" t="str">
        <f t="shared" ref="A666:A683" si="1156">A627</f>
        <v>Senior secured revolver (LIBOR + 225bps) due 2018</v>
      </c>
      <c r="B666" s="941">
        <v>2.2499999999999999E-2</v>
      </c>
      <c r="C666" s="941">
        <v>0.01</v>
      </c>
      <c r="D666" s="942">
        <f>C666+B666</f>
        <v>3.2500000000000001E-2</v>
      </c>
      <c r="E666" s="144" t="s">
        <v>2235</v>
      </c>
      <c r="F666" s="189" t="str">
        <f>IF(ISERROR(AVERAGE(E627:F627)*$D666),"NM",AVERAGE(E627:F627)*$D666)</f>
        <v>NM</v>
      </c>
      <c r="G666" s="286" t="str">
        <f t="shared" ref="G666:I667" si="1157">IF(ISERROR(AVERAGE(F627:G627)*$D666/4),"NM",AVERAGE(F627:G627)*$D666/4)</f>
        <v>NM</v>
      </c>
      <c r="H666" s="286" t="str">
        <f t="shared" si="1157"/>
        <v>NM</v>
      </c>
      <c r="I666" s="286" t="str">
        <f t="shared" si="1157"/>
        <v>NM</v>
      </c>
      <c r="J666" s="145">
        <f>AVERAGE(I627:J627)*$D666/4</f>
        <v>0</v>
      </c>
      <c r="K666" s="144">
        <f>SUM(G666:J666)</f>
        <v>0</v>
      </c>
      <c r="L666" s="145">
        <f t="shared" ref="L666:O667" si="1158">AVERAGE(K627:L627)*$D666/4</f>
        <v>0</v>
      </c>
      <c r="M666" s="145">
        <f t="shared" si="1158"/>
        <v>0</v>
      </c>
      <c r="N666" s="145">
        <f t="shared" si="1158"/>
        <v>0</v>
      </c>
      <c r="O666" s="145">
        <f t="shared" si="1158"/>
        <v>0</v>
      </c>
      <c r="P666" s="144">
        <f>SUM(L666:O666)</f>
        <v>0</v>
      </c>
      <c r="Q666" s="145">
        <f t="shared" ref="Q666:T667" si="1159">AVERAGE(P627:Q627)*$D666/4</f>
        <v>0</v>
      </c>
      <c r="R666" s="145">
        <f t="shared" si="1159"/>
        <v>0</v>
      </c>
      <c r="S666" s="145">
        <f t="shared" si="1159"/>
        <v>0</v>
      </c>
      <c r="T666" s="145">
        <f t="shared" si="1159"/>
        <v>0</v>
      </c>
      <c r="U666" s="144">
        <f>SUM(Q666:T666)</f>
        <v>0</v>
      </c>
      <c r="V666" s="145">
        <f t="shared" ref="V666:Y667" si="1160">AVERAGE(U627:V627)*$D666/4</f>
        <v>0</v>
      </c>
      <c r="W666" s="145">
        <f t="shared" si="1160"/>
        <v>0</v>
      </c>
      <c r="X666" s="145">
        <f t="shared" si="1160"/>
        <v>0</v>
      </c>
      <c r="Y666" s="145">
        <f t="shared" si="1160"/>
        <v>0</v>
      </c>
      <c r="Z666" s="144">
        <f>SUM(V666:Y666)</f>
        <v>0</v>
      </c>
      <c r="AA666" s="145">
        <f t="shared" ref="AA666:AD667" si="1161">AVERAGE(Z627:AA627)*$D666/4</f>
        <v>0</v>
      </c>
      <c r="AB666" s="145">
        <f t="shared" si="1161"/>
        <v>0</v>
      </c>
      <c r="AC666" s="145">
        <f t="shared" si="1161"/>
        <v>0</v>
      </c>
      <c r="AD666" s="145">
        <f t="shared" si="1161"/>
        <v>0</v>
      </c>
      <c r="AE666" s="2594">
        <f>SUM(AA666:AD666)</f>
        <v>0</v>
      </c>
      <c r="AF666" s="145"/>
      <c r="AG666" s="145"/>
      <c r="AH666" s="2741"/>
      <c r="AI666" s="145"/>
      <c r="AJ666" s="2594"/>
      <c r="AK666" s="145"/>
      <c r="AL666" s="145"/>
      <c r="AM666" s="145"/>
      <c r="AN666" s="145"/>
      <c r="AO666" s="2594"/>
      <c r="AP666" s="2594"/>
      <c r="AQ666" s="2594"/>
      <c r="AR666" s="145"/>
      <c r="AS666" s="522" t="str">
        <f t="shared" ref="AS666:AS682" si="1162">+A666</f>
        <v>Senior secured revolver (LIBOR + 225bps) due 2018</v>
      </c>
      <c r="AT666" s="145" t="str">
        <f t="shared" ref="AT666:AT682" si="1163">+E666</f>
        <v xml:space="preserve"> </v>
      </c>
      <c r="AU666" s="286" t="str">
        <f t="shared" ref="AU666:AU682" si="1164">+F666</f>
        <v>NM</v>
      </c>
      <c r="AV666" s="145">
        <f t="shared" ref="AV666:AV682" si="1165">+K666</f>
        <v>0</v>
      </c>
      <c r="AW666" s="145">
        <f t="shared" ref="AW666:AW682" si="1166">+P666</f>
        <v>0</v>
      </c>
      <c r="AX666" s="145">
        <f t="shared" ref="AX666:AX682" si="1167">+U666</f>
        <v>0</v>
      </c>
      <c r="AY666" s="145">
        <f t="shared" ref="AY666:AY682" si="1168">+Z666</f>
        <v>0</v>
      </c>
      <c r="AZ666" s="145">
        <f t="shared" ref="AZ666:AZ682" si="1169">+AE666</f>
        <v>0</v>
      </c>
      <c r="BA666" s="145">
        <f>+AJ666</f>
        <v>0</v>
      </c>
      <c r="BB666" s="145">
        <f t="shared" ref="BB666:BD690" si="1170">+AO666</f>
        <v>0</v>
      </c>
      <c r="BC666" s="145">
        <f t="shared" si="1170"/>
        <v>0</v>
      </c>
      <c r="BD666" s="892">
        <f t="shared" si="1170"/>
        <v>0</v>
      </c>
      <c r="BF666" s="900"/>
      <c r="BM666" s="902"/>
      <c r="BN666" s="902"/>
      <c r="BO666" s="902"/>
      <c r="BP666" s="902"/>
      <c r="BQ666" s="902"/>
      <c r="BR666" s="902"/>
      <c r="BS666" s="902"/>
    </row>
    <row r="667" spans="1:71" ht="12.75" customHeight="1">
      <c r="A667" s="304" t="str">
        <f t="shared" si="1156"/>
        <v>Senior secured term loan facility with a rate of 3.50%, due 2020</v>
      </c>
      <c r="B667" s="941"/>
      <c r="C667" s="941"/>
      <c r="D667" s="943">
        <v>3.5000000000000003E-2</v>
      </c>
      <c r="E667" s="144" t="s">
        <v>2235</v>
      </c>
      <c r="F667" s="189" t="str">
        <f>IF(ISERROR(AVERAGE(E628:F628)*$D667),"NM",AVERAGE(E628:F628)*$D667)</f>
        <v>NM</v>
      </c>
      <c r="G667" s="286" t="str">
        <f t="shared" si="1157"/>
        <v>NM</v>
      </c>
      <c r="H667" s="286" t="str">
        <f t="shared" si="1157"/>
        <v>NM</v>
      </c>
      <c r="I667" s="286" t="str">
        <f t="shared" si="1157"/>
        <v>NM</v>
      </c>
      <c r="J667" s="145">
        <f>AVERAGE(I628:J628)*$D667/4</f>
        <v>0</v>
      </c>
      <c r="K667" s="144">
        <f t="shared" ref="K667:K682" si="1171">SUM(G667:J667)</f>
        <v>0</v>
      </c>
      <c r="L667" s="145">
        <f t="shared" si="1158"/>
        <v>0</v>
      </c>
      <c r="M667" s="145">
        <f t="shared" si="1158"/>
        <v>0</v>
      </c>
      <c r="N667" s="145">
        <f t="shared" si="1158"/>
        <v>0</v>
      </c>
      <c r="O667" s="145">
        <f t="shared" si="1158"/>
        <v>26.123125000000002</v>
      </c>
      <c r="P667" s="144">
        <f t="shared" ref="P667:P682" si="1172">SUM(L667:O667)</f>
        <v>26.123125000000002</v>
      </c>
      <c r="Q667" s="145">
        <f t="shared" si="1159"/>
        <v>51.375625000000007</v>
      </c>
      <c r="R667" s="145">
        <f t="shared" si="1159"/>
        <v>49.42</v>
      </c>
      <c r="S667" s="145">
        <f t="shared" si="1159"/>
        <v>47.250000000000007</v>
      </c>
      <c r="T667" s="145">
        <f t="shared" si="1159"/>
        <v>44.865625000000001</v>
      </c>
      <c r="U667" s="144">
        <f t="shared" ref="U667:U682" si="1173">SUM(Q667:T667)</f>
        <v>192.91125</v>
      </c>
      <c r="V667" s="145">
        <f t="shared" si="1160"/>
        <v>42.914375000000007</v>
      </c>
      <c r="W667" s="145">
        <f t="shared" si="1160"/>
        <v>41.501250000000006</v>
      </c>
      <c r="X667" s="145">
        <f t="shared" si="1160"/>
        <v>39.208750000000002</v>
      </c>
      <c r="Y667" s="145">
        <f t="shared" si="1160"/>
        <v>37.248750000000001</v>
      </c>
      <c r="Z667" s="144">
        <f t="shared" ref="Z667:Z682" si="1174">SUM(V667:Y667)</f>
        <v>160.87312500000002</v>
      </c>
      <c r="AA667" s="145">
        <f t="shared" si="1161"/>
        <v>36.894375000000004</v>
      </c>
      <c r="AB667" s="145">
        <f t="shared" si="1161"/>
        <v>36.96875</v>
      </c>
      <c r="AC667" s="145">
        <f t="shared" si="1161"/>
        <v>22.859375000000004</v>
      </c>
      <c r="AD667" s="145">
        <f t="shared" si="1161"/>
        <v>7.6562500000000009</v>
      </c>
      <c r="AE667" s="2594">
        <f t="shared" ref="AE667:AE690" si="1175">SUM(AA667:AD667)</f>
        <v>104.37875</v>
      </c>
      <c r="AF667" s="145"/>
      <c r="AG667" s="145"/>
      <c r="AH667" s="2741"/>
      <c r="AI667" s="145"/>
      <c r="AJ667" s="2594"/>
      <c r="AK667" s="145"/>
      <c r="AL667" s="145"/>
      <c r="AM667" s="145"/>
      <c r="AN667" s="145"/>
      <c r="AO667" s="2594"/>
      <c r="AP667" s="2594"/>
      <c r="AQ667" s="2594"/>
      <c r="AR667" s="145"/>
      <c r="AS667" s="522" t="str">
        <f t="shared" si="1162"/>
        <v>Senior secured term loan facility with a rate of 3.50%, due 2020</v>
      </c>
      <c r="AT667" s="145" t="str">
        <f t="shared" si="1163"/>
        <v xml:space="preserve"> </v>
      </c>
      <c r="AU667" s="286" t="str">
        <f t="shared" si="1164"/>
        <v>NM</v>
      </c>
      <c r="AV667" s="145">
        <f t="shared" si="1165"/>
        <v>0</v>
      </c>
      <c r="AW667" s="145">
        <f t="shared" si="1166"/>
        <v>26.123125000000002</v>
      </c>
      <c r="AX667" s="145">
        <f t="shared" si="1167"/>
        <v>192.91125</v>
      </c>
      <c r="AY667" s="145">
        <f t="shared" si="1168"/>
        <v>160.87312500000002</v>
      </c>
      <c r="AZ667" s="145">
        <f t="shared" si="1169"/>
        <v>104.37875</v>
      </c>
      <c r="BA667" s="145">
        <f>+AJ667</f>
        <v>0</v>
      </c>
      <c r="BB667" s="145">
        <f t="shared" si="1170"/>
        <v>0</v>
      </c>
      <c r="BC667" s="145">
        <f t="shared" si="1170"/>
        <v>0</v>
      </c>
      <c r="BD667" s="892">
        <f t="shared" si="1170"/>
        <v>0</v>
      </c>
      <c r="BF667" s="900"/>
      <c r="BM667" s="902"/>
      <c r="BN667" s="902"/>
      <c r="BO667" s="902"/>
      <c r="BP667" s="902"/>
      <c r="BQ667" s="902"/>
      <c r="BR667" s="902"/>
      <c r="BS667" s="902"/>
    </row>
    <row r="668" spans="1:71" ht="12.75" customHeight="1">
      <c r="A668" s="304" t="str">
        <f t="shared" si="1156"/>
        <v>Senior secured term loan facility with a rate of 3.10%, due 2023</v>
      </c>
      <c r="B668" s="941"/>
      <c r="C668" s="941"/>
      <c r="D668" s="943">
        <v>3.1E-2</v>
      </c>
      <c r="E668" s="144"/>
      <c r="F668" s="189"/>
      <c r="G668" s="286"/>
      <c r="H668" s="286"/>
      <c r="I668" s="286"/>
      <c r="J668" s="145"/>
      <c r="K668" s="144"/>
      <c r="L668" s="145"/>
      <c r="M668" s="145"/>
      <c r="N668" s="145"/>
      <c r="O668" s="145"/>
      <c r="P668" s="144"/>
      <c r="Q668" s="145"/>
      <c r="R668" s="145"/>
      <c r="S668" s="145"/>
      <c r="T668" s="145"/>
      <c r="U668" s="144"/>
      <c r="V668" s="145"/>
      <c r="W668" s="145"/>
      <c r="X668" s="145"/>
      <c r="Y668" s="145"/>
      <c r="Z668" s="144"/>
      <c r="AA668" s="145"/>
      <c r="AB668" s="145"/>
      <c r="AC668" s="145">
        <f>AVERAGE(AB629:AC629)*$D668/4</f>
        <v>24.931750000000001</v>
      </c>
      <c r="AD668" s="145">
        <f>AVERAGE(AC629:AD629)*$D668/4</f>
        <v>24.900749999999999</v>
      </c>
      <c r="AE668" s="2594">
        <f t="shared" si="1175"/>
        <v>49.832499999999996</v>
      </c>
      <c r="AF668" s="145"/>
      <c r="AG668" s="145"/>
      <c r="AH668" s="2741"/>
      <c r="AI668" s="145"/>
      <c r="AJ668" s="2594"/>
      <c r="AK668" s="145"/>
      <c r="AL668" s="145"/>
      <c r="AM668" s="145"/>
      <c r="AN668" s="145"/>
      <c r="AO668" s="2594"/>
      <c r="AP668" s="2594"/>
      <c r="AQ668" s="2594"/>
      <c r="AR668" s="145"/>
      <c r="AS668" s="522"/>
      <c r="AT668" s="145"/>
      <c r="AU668" s="286"/>
      <c r="AV668" s="145"/>
      <c r="AW668" s="145"/>
      <c r="AX668" s="145"/>
      <c r="AY668" s="145"/>
      <c r="AZ668" s="145"/>
      <c r="BA668" s="145"/>
      <c r="BB668" s="145"/>
      <c r="BC668" s="145"/>
      <c r="BD668" s="892"/>
      <c r="BF668" s="900"/>
      <c r="BM668" s="902"/>
      <c r="BN668" s="902"/>
      <c r="BO668" s="902"/>
      <c r="BP668" s="902"/>
      <c r="BQ668" s="902"/>
      <c r="BR668" s="902"/>
      <c r="BS668" s="902"/>
    </row>
    <row r="669" spans="1:71" ht="12.75" customHeight="1">
      <c r="A669" s="304" t="str">
        <f t="shared" si="1156"/>
        <v>CMBS loan with an average rate of 4.06% due 2018</v>
      </c>
      <c r="B669" s="941">
        <v>2.6499999999999999E-2</v>
      </c>
      <c r="C669" s="941">
        <v>2E-3</v>
      </c>
      <c r="D669" s="942">
        <f>((2625/(2625+875))*4.465%+(875/(2625+875)*(C669+B669)))</f>
        <v>4.0612499999999996E-2</v>
      </c>
      <c r="E669" s="144" t="s">
        <v>2235</v>
      </c>
      <c r="F669" s="189" t="str">
        <f>IF(ISERROR(AVERAGE(E630:F630)*$D669),"NM",AVERAGE(E630:F630)*$D669)</f>
        <v>NM</v>
      </c>
      <c r="G669" s="286" t="str">
        <f>IF(ISERROR(AVERAGE(F630:G630)*$D669/4),"NM",AVERAGE(F630:G630)*$D669/4)</f>
        <v>NM</v>
      </c>
      <c r="H669" s="286" t="str">
        <f>IF(ISERROR(AVERAGE(G630:H630)*$D669/4),"NM",AVERAGE(G630:H630)*$D669/4)</f>
        <v>NM</v>
      </c>
      <c r="I669" s="286" t="str">
        <f>IF(ISERROR(AVERAGE(H630:I630)*$D669/4),"NM",AVERAGE(H630:I630)*$D669/4)</f>
        <v>NM</v>
      </c>
      <c r="J669" s="145">
        <f>AVERAGE(I630:J630)*$D669/4</f>
        <v>0</v>
      </c>
      <c r="K669" s="144">
        <f t="shared" si="1171"/>
        <v>0</v>
      </c>
      <c r="L669" s="145">
        <f>AVERAGE(K630:L630)*$D669/4</f>
        <v>0</v>
      </c>
      <c r="M669" s="145">
        <f>AVERAGE(L630:M630)*$D669/4</f>
        <v>0</v>
      </c>
      <c r="N669" s="145">
        <f>AVERAGE(M630:N630)*$D669/4</f>
        <v>0</v>
      </c>
      <c r="O669" s="145">
        <f>AVERAGE(N630:O630)*$D669/4</f>
        <v>17.767968749999998</v>
      </c>
      <c r="P669" s="144">
        <f t="shared" si="1172"/>
        <v>17.767968749999998</v>
      </c>
      <c r="Q669" s="145">
        <f>AVERAGE(P630:Q630)*$D669/4</f>
        <v>35.535937499999996</v>
      </c>
      <c r="R669" s="145">
        <f>AVERAGE(Q630:R630)*$D669/4</f>
        <v>35.535937499999996</v>
      </c>
      <c r="S669" s="145">
        <f>AVERAGE(R630:S630)*$D669/4</f>
        <v>35.535937499999996</v>
      </c>
      <c r="T669" s="145">
        <f>AVERAGE(S630:T630)*$D669/4</f>
        <v>35.469942187499996</v>
      </c>
      <c r="U669" s="144">
        <f t="shared" si="1173"/>
        <v>142.07775468749998</v>
      </c>
      <c r="V669" s="145">
        <f>AVERAGE(U630:V630)*$D669/4</f>
        <v>35.403946874999995</v>
      </c>
      <c r="W669" s="145">
        <f>AVERAGE(V630:W630)*$D669/4</f>
        <v>35.403946874999995</v>
      </c>
      <c r="X669" s="145">
        <f>AVERAGE(W630:X630)*$D669/4</f>
        <v>35.403946874999995</v>
      </c>
      <c r="Y669" s="145">
        <f>AVERAGE(X630:Y630)*$D669/4</f>
        <v>35.053664062499998</v>
      </c>
      <c r="Z669" s="144">
        <f t="shared" si="1174"/>
        <v>141.26550468749997</v>
      </c>
      <c r="AA669" s="145">
        <f>AVERAGE(Z630:AA630)*$D669/4</f>
        <v>34.70338125</v>
      </c>
      <c r="AB669" s="145">
        <f>AVERAGE(AA630:AB630)*$D669/4</f>
        <v>34.70338125</v>
      </c>
      <c r="AC669" s="145">
        <f>AVERAGE(AB630:AC630)*$D669/4</f>
        <v>29.672507812499997</v>
      </c>
      <c r="AD669" s="145">
        <f>AVERAGE(AC630:AD630)*$D669/4</f>
        <v>12.320817187499999</v>
      </c>
      <c r="AE669" s="2594">
        <f t="shared" si="1175"/>
        <v>111.4000875</v>
      </c>
      <c r="AF669" s="145"/>
      <c r="AG669" s="145"/>
      <c r="AH669" s="2741"/>
      <c r="AI669" s="145"/>
      <c r="AJ669" s="2594"/>
      <c r="AK669" s="145"/>
      <c r="AL669" s="145"/>
      <c r="AM669" s="145"/>
      <c r="AN669" s="145"/>
      <c r="AO669" s="2594"/>
      <c r="AP669" s="2594"/>
      <c r="AQ669" s="2594"/>
      <c r="AR669" s="145"/>
      <c r="AS669" s="523" t="str">
        <f t="shared" si="1162"/>
        <v>CMBS loan with an average rate of 4.06% due 2018</v>
      </c>
      <c r="AT669" s="145" t="str">
        <f t="shared" si="1163"/>
        <v xml:space="preserve"> </v>
      </c>
      <c r="AU669" s="286" t="str">
        <f t="shared" si="1164"/>
        <v>NM</v>
      </c>
      <c r="AV669" s="145">
        <f t="shared" si="1165"/>
        <v>0</v>
      </c>
      <c r="AW669" s="145">
        <f t="shared" si="1166"/>
        <v>17.767968749999998</v>
      </c>
      <c r="AX669" s="145">
        <f t="shared" si="1167"/>
        <v>142.07775468749998</v>
      </c>
      <c r="AY669" s="145">
        <f t="shared" si="1168"/>
        <v>141.26550468749997</v>
      </c>
      <c r="AZ669" s="145">
        <f t="shared" si="1169"/>
        <v>111.4000875</v>
      </c>
      <c r="BA669" s="145">
        <f>+AJ669</f>
        <v>0</v>
      </c>
      <c r="BB669" s="145">
        <f t="shared" si="1170"/>
        <v>0</v>
      </c>
      <c r="BC669" s="145">
        <f t="shared" si="1170"/>
        <v>0</v>
      </c>
      <c r="BD669" s="892">
        <f t="shared" si="1170"/>
        <v>0</v>
      </c>
      <c r="BF669" s="900"/>
      <c r="BM669" s="902"/>
      <c r="BN669" s="902"/>
      <c r="BO669" s="902"/>
      <c r="BP669" s="902"/>
      <c r="BQ669" s="902"/>
      <c r="BR669" s="902"/>
      <c r="BS669" s="902"/>
    </row>
    <row r="670" spans="1:71" ht="12.75" customHeight="1">
      <c r="A670" s="304" t="str">
        <f t="shared" si="1156"/>
        <v>CMBS loan due 2023</v>
      </c>
      <c r="B670" s="2975">
        <v>2.6499999999999999E-2</v>
      </c>
      <c r="C670" s="2975">
        <v>2E-3</v>
      </c>
      <c r="D670" s="2976">
        <f>((2625/(2625+875))*4.465%+(875/(2625+875)*(C670+B670)))</f>
        <v>4.0612499999999996E-2</v>
      </c>
      <c r="E670" s="144"/>
      <c r="F670" s="189"/>
      <c r="G670" s="286"/>
      <c r="H670" s="286"/>
      <c r="I670" s="286"/>
      <c r="J670" s="145"/>
      <c r="K670" s="144"/>
      <c r="L670" s="145"/>
      <c r="M670" s="145"/>
      <c r="N670" s="145"/>
      <c r="O670" s="145"/>
      <c r="P670" s="144"/>
      <c r="Q670" s="145"/>
      <c r="R670" s="145"/>
      <c r="S670" s="145"/>
      <c r="T670" s="145"/>
      <c r="U670" s="144"/>
      <c r="V670" s="145"/>
      <c r="W670" s="145"/>
      <c r="X670" s="145"/>
      <c r="Y670" s="145"/>
      <c r="Z670" s="144"/>
      <c r="AA670" s="145"/>
      <c r="AB670" s="145"/>
      <c r="AC670" s="145"/>
      <c r="AD670" s="145">
        <f t="shared" ref="AD670:AD686" si="1176">AVERAGE(AC631:AD631)*$D670/4</f>
        <v>7.3610156249999994</v>
      </c>
      <c r="AE670" s="2594">
        <f>SUM(AA670:AD670)</f>
        <v>7.3610156249999994</v>
      </c>
      <c r="AF670" s="145"/>
      <c r="AG670" s="145"/>
      <c r="AH670" s="2741"/>
      <c r="AI670" s="145"/>
      <c r="AJ670" s="2594"/>
      <c r="AK670" s="145"/>
      <c r="AL670" s="145"/>
      <c r="AM670" s="145"/>
      <c r="AN670" s="145"/>
      <c r="AO670" s="2594"/>
      <c r="AP670" s="2594"/>
      <c r="AQ670" s="2594"/>
      <c r="AR670" s="145"/>
      <c r="AS670" s="523"/>
      <c r="AT670" s="145"/>
      <c r="AU670" s="286"/>
      <c r="AV670" s="145"/>
      <c r="AW670" s="145"/>
      <c r="AX670" s="145"/>
      <c r="AY670" s="145"/>
      <c r="AZ670" s="145"/>
      <c r="BA670" s="145"/>
      <c r="BB670" s="145"/>
      <c r="BC670" s="145"/>
      <c r="BD670" s="892"/>
      <c r="BF670" s="900"/>
      <c r="BM670" s="902"/>
      <c r="BN670" s="902"/>
      <c r="BO670" s="902"/>
      <c r="BP670" s="902"/>
      <c r="BQ670" s="902"/>
      <c r="BR670" s="902"/>
      <c r="BS670" s="902"/>
    </row>
    <row r="671" spans="1:71" ht="12.75" customHeight="1">
      <c r="A671" s="304" t="str">
        <f t="shared" si="1156"/>
        <v>CMBS loan due 2026</v>
      </c>
      <c r="B671" s="2975">
        <v>2.6499999999999999E-2</v>
      </c>
      <c r="C671" s="2975">
        <v>2E-3</v>
      </c>
      <c r="D671" s="2976">
        <f>((2625/(2625+875))*4.465%+(875/(2625+875)*(C671+B671)))</f>
        <v>4.0612499999999996E-2</v>
      </c>
      <c r="E671" s="144"/>
      <c r="F671" s="189"/>
      <c r="G671" s="286"/>
      <c r="H671" s="286"/>
      <c r="I671" s="286"/>
      <c r="J671" s="145"/>
      <c r="K671" s="144"/>
      <c r="L671" s="145"/>
      <c r="M671" s="145"/>
      <c r="N671" s="145"/>
      <c r="O671" s="145"/>
      <c r="P671" s="144"/>
      <c r="Q671" s="145"/>
      <c r="R671" s="145"/>
      <c r="S671" s="145"/>
      <c r="T671" s="145"/>
      <c r="U671" s="144"/>
      <c r="V671" s="145"/>
      <c r="W671" s="145"/>
      <c r="X671" s="145"/>
      <c r="Y671" s="145"/>
      <c r="Z671" s="144"/>
      <c r="AA671" s="145"/>
      <c r="AB671" s="145"/>
      <c r="AC671" s="145"/>
      <c r="AD671" s="145">
        <f t="shared" si="1176"/>
        <v>12.945234374999998</v>
      </c>
      <c r="AE671" s="2594">
        <f>SUM(AA671:AD671)</f>
        <v>12.945234374999998</v>
      </c>
      <c r="AF671" s="145"/>
      <c r="AG671" s="145"/>
      <c r="AH671" s="2741"/>
      <c r="AI671" s="145"/>
      <c r="AJ671" s="2594"/>
      <c r="AK671" s="145"/>
      <c r="AL671" s="145"/>
      <c r="AM671" s="145"/>
      <c r="AN671" s="145"/>
      <c r="AO671" s="2594"/>
      <c r="AP671" s="2594"/>
      <c r="AQ671" s="2594"/>
      <c r="AR671" s="145"/>
      <c r="AS671" s="523"/>
      <c r="AT671" s="145"/>
      <c r="AU671" s="286"/>
      <c r="AV671" s="145"/>
      <c r="AW671" s="145"/>
      <c r="AX671" s="145"/>
      <c r="AY671" s="145"/>
      <c r="AZ671" s="145"/>
      <c r="BA671" s="145"/>
      <c r="BB671" s="145"/>
      <c r="BC671" s="145"/>
      <c r="BD671" s="892"/>
      <c r="BF671" s="900"/>
      <c r="BM671" s="902"/>
      <c r="BN671" s="902"/>
      <c r="BO671" s="902"/>
      <c r="BP671" s="902"/>
      <c r="BQ671" s="902"/>
      <c r="BR671" s="902"/>
      <c r="BS671" s="902"/>
    </row>
    <row r="672" spans="1:71" ht="12.75" customHeight="1">
      <c r="A672" s="304" t="str">
        <f t="shared" si="1156"/>
        <v>Mortgage loan with a rate of 2.32%, due 2018</v>
      </c>
      <c r="B672" s="941"/>
      <c r="C672" s="941"/>
      <c r="D672" s="1981">
        <v>2.3199999999999998E-2</v>
      </c>
      <c r="E672" s="144" t="s">
        <v>2235</v>
      </c>
      <c r="F672" s="189" t="str">
        <f t="shared" ref="F672:F682" si="1177">IF(ISERROR(AVERAGE(E633:F633)*$D672),"NM",AVERAGE(E633:F633)*$D672)</f>
        <v>NM</v>
      </c>
      <c r="G672" s="286" t="str">
        <f t="shared" ref="G672:I682" si="1178">IF(ISERROR(AVERAGE(F633:G633)*$D672/4),"NM",AVERAGE(F633:G633)*$D672/4)</f>
        <v>NM</v>
      </c>
      <c r="H672" s="286" t="str">
        <f t="shared" si="1178"/>
        <v>NM</v>
      </c>
      <c r="I672" s="286" t="str">
        <f t="shared" si="1178"/>
        <v>NM</v>
      </c>
      <c r="J672" s="145">
        <f t="shared" ref="J672:J682" si="1179">AVERAGE(I633:J633)*$D672/4</f>
        <v>0</v>
      </c>
      <c r="K672" s="144">
        <f t="shared" si="1171"/>
        <v>0</v>
      </c>
      <c r="L672" s="145">
        <f t="shared" ref="L672:O682" si="1180">AVERAGE(K633:L633)*$D672/4</f>
        <v>0</v>
      </c>
      <c r="M672" s="145">
        <f t="shared" si="1180"/>
        <v>0</v>
      </c>
      <c r="N672" s="145">
        <f t="shared" si="1180"/>
        <v>0</v>
      </c>
      <c r="O672" s="145">
        <f t="shared" si="1180"/>
        <v>1.5225</v>
      </c>
      <c r="P672" s="144">
        <f t="shared" si="1172"/>
        <v>1.5225</v>
      </c>
      <c r="Q672" s="145">
        <f t="shared" ref="Q672:T683" si="1181">AVERAGE(P633:Q633)*$D672/4</f>
        <v>3.0449999999999999</v>
      </c>
      <c r="R672" s="145">
        <f t="shared" si="1181"/>
        <v>3.0449999999999999</v>
      </c>
      <c r="S672" s="145">
        <f t="shared" si="1181"/>
        <v>3.0449999999999999</v>
      </c>
      <c r="T672" s="145">
        <f t="shared" si="1181"/>
        <v>3.0449999999999999</v>
      </c>
      <c r="U672" s="144">
        <f t="shared" si="1173"/>
        <v>12.18</v>
      </c>
      <c r="V672" s="145">
        <f t="shared" ref="V672:Y683" si="1182">AVERAGE(U633:V633)*$D672/4</f>
        <v>1.5225</v>
      </c>
      <c r="W672" s="145">
        <f t="shared" si="1182"/>
        <v>0</v>
      </c>
      <c r="X672" s="145">
        <f t="shared" si="1182"/>
        <v>0</v>
      </c>
      <c r="Y672" s="145">
        <f t="shared" si="1182"/>
        <v>0</v>
      </c>
      <c r="Z672" s="144">
        <f t="shared" si="1174"/>
        <v>1.5225</v>
      </c>
      <c r="AA672" s="145">
        <f t="shared" ref="AA672:AC685" si="1183">AVERAGE(Z633:AA633)*$D672/4</f>
        <v>0</v>
      </c>
      <c r="AB672" s="145">
        <f t="shared" si="1183"/>
        <v>0</v>
      </c>
      <c r="AC672" s="145">
        <f t="shared" si="1183"/>
        <v>0</v>
      </c>
      <c r="AD672" s="145">
        <f t="shared" si="1176"/>
        <v>0</v>
      </c>
      <c r="AE672" s="2594">
        <f t="shared" si="1175"/>
        <v>0</v>
      </c>
      <c r="AF672" s="145"/>
      <c r="AG672" s="145"/>
      <c r="AH672" s="2741"/>
      <c r="AI672" s="145"/>
      <c r="AJ672" s="2594"/>
      <c r="AK672" s="145"/>
      <c r="AL672" s="145"/>
      <c r="AM672" s="145"/>
      <c r="AN672" s="145"/>
      <c r="AO672" s="2594"/>
      <c r="AP672" s="2594"/>
      <c r="AQ672" s="2594"/>
      <c r="AR672" s="145"/>
      <c r="AS672" s="522" t="str">
        <f t="shared" si="1162"/>
        <v>Mortgage loan with a rate of 2.32%, due 2018</v>
      </c>
      <c r="AT672" s="145" t="str">
        <f t="shared" si="1163"/>
        <v xml:space="preserve"> </v>
      </c>
      <c r="AU672" s="286" t="str">
        <f t="shared" si="1164"/>
        <v>NM</v>
      </c>
      <c r="AV672" s="145">
        <f t="shared" si="1165"/>
        <v>0</v>
      </c>
      <c r="AW672" s="145">
        <f t="shared" si="1166"/>
        <v>1.5225</v>
      </c>
      <c r="AX672" s="145">
        <f t="shared" si="1167"/>
        <v>12.18</v>
      </c>
      <c r="AY672" s="145">
        <f t="shared" si="1168"/>
        <v>1.5225</v>
      </c>
      <c r="AZ672" s="145">
        <f t="shared" si="1169"/>
        <v>0</v>
      </c>
      <c r="BA672" s="145">
        <f t="shared" ref="BA672:BA682" si="1184">+AJ672</f>
        <v>0</v>
      </c>
      <c r="BB672" s="145">
        <f t="shared" si="1170"/>
        <v>0</v>
      </c>
      <c r="BC672" s="145">
        <f t="shared" si="1170"/>
        <v>0</v>
      </c>
      <c r="BD672" s="892">
        <f t="shared" si="1170"/>
        <v>0</v>
      </c>
      <c r="BF672" s="900"/>
      <c r="BM672" s="902"/>
      <c r="BN672" s="902"/>
      <c r="BO672" s="902"/>
      <c r="BP672" s="902"/>
      <c r="BQ672" s="902"/>
      <c r="BR672" s="902"/>
      <c r="BS672" s="902"/>
    </row>
    <row r="673" spans="1:71" ht="12.75" customHeight="1">
      <c r="A673" s="304" t="str">
        <f t="shared" si="1156"/>
        <v>Senior unsecured notes (5.625%), due 2021</v>
      </c>
      <c r="B673" s="941"/>
      <c r="C673" s="917"/>
      <c r="D673" s="943">
        <v>5.6250000000000001E-2</v>
      </c>
      <c r="E673" s="144" t="s">
        <v>1236</v>
      </c>
      <c r="F673" s="189" t="str">
        <f t="shared" si="1177"/>
        <v>NM</v>
      </c>
      <c r="G673" s="286" t="str">
        <f t="shared" si="1178"/>
        <v>NM</v>
      </c>
      <c r="H673" s="286" t="str">
        <f t="shared" si="1178"/>
        <v>NM</v>
      </c>
      <c r="I673" s="286" t="str">
        <f t="shared" si="1178"/>
        <v>NM</v>
      </c>
      <c r="J673" s="145">
        <f t="shared" si="1179"/>
        <v>0</v>
      </c>
      <c r="K673" s="144">
        <f t="shared" si="1171"/>
        <v>0</v>
      </c>
      <c r="L673" s="145">
        <f t="shared" si="1180"/>
        <v>0</v>
      </c>
      <c r="M673" s="145">
        <f t="shared" si="1180"/>
        <v>0</v>
      </c>
      <c r="N673" s="145">
        <f t="shared" si="1180"/>
        <v>0</v>
      </c>
      <c r="O673" s="145">
        <f t="shared" si="1180"/>
        <v>10.546875</v>
      </c>
      <c r="P673" s="144">
        <f t="shared" si="1172"/>
        <v>10.546875</v>
      </c>
      <c r="Q673" s="145">
        <f t="shared" si="1181"/>
        <v>21.09375</v>
      </c>
      <c r="R673" s="145">
        <f t="shared" si="1181"/>
        <v>21.09375</v>
      </c>
      <c r="S673" s="145">
        <f t="shared" si="1181"/>
        <v>21.09375</v>
      </c>
      <c r="T673" s="145">
        <f t="shared" si="1181"/>
        <v>21.09375</v>
      </c>
      <c r="U673" s="144">
        <f t="shared" si="1173"/>
        <v>84.375</v>
      </c>
      <c r="V673" s="145">
        <f t="shared" si="1182"/>
        <v>21.09375</v>
      </c>
      <c r="W673" s="145">
        <f t="shared" si="1182"/>
        <v>21.09375</v>
      </c>
      <c r="X673" s="145">
        <f t="shared" si="1182"/>
        <v>21.09375</v>
      </c>
      <c r="Y673" s="145">
        <f t="shared" si="1182"/>
        <v>21.09375</v>
      </c>
      <c r="Z673" s="144">
        <f t="shared" si="1174"/>
        <v>84.375</v>
      </c>
      <c r="AA673" s="145">
        <f t="shared" si="1183"/>
        <v>21.09375</v>
      </c>
      <c r="AB673" s="145">
        <f t="shared" si="1183"/>
        <v>21.09375</v>
      </c>
      <c r="AC673" s="145">
        <f t="shared" si="1183"/>
        <v>21.09375</v>
      </c>
      <c r="AD673" s="145">
        <f t="shared" si="1176"/>
        <v>21.09375</v>
      </c>
      <c r="AE673" s="2594">
        <f t="shared" si="1175"/>
        <v>84.375</v>
      </c>
      <c r="AF673" s="145"/>
      <c r="AG673" s="145"/>
      <c r="AH673" s="2741"/>
      <c r="AI673" s="145"/>
      <c r="AJ673" s="2594"/>
      <c r="AK673" s="145"/>
      <c r="AL673" s="145"/>
      <c r="AM673" s="145"/>
      <c r="AN673" s="145"/>
      <c r="AO673" s="2594"/>
      <c r="AP673" s="2594"/>
      <c r="AQ673" s="2594"/>
      <c r="AR673" s="145"/>
      <c r="AS673" s="531" t="str">
        <f t="shared" si="1162"/>
        <v>Senior unsecured notes (5.625%), due 2021</v>
      </c>
      <c r="AT673" s="145" t="str">
        <f t="shared" si="1163"/>
        <v xml:space="preserve">  </v>
      </c>
      <c r="AU673" s="286" t="str">
        <f t="shared" si="1164"/>
        <v>NM</v>
      </c>
      <c r="AV673" s="145">
        <f t="shared" si="1165"/>
        <v>0</v>
      </c>
      <c r="AW673" s="145">
        <f t="shared" si="1166"/>
        <v>10.546875</v>
      </c>
      <c r="AX673" s="145">
        <f t="shared" si="1167"/>
        <v>84.375</v>
      </c>
      <c r="AY673" s="145">
        <f t="shared" si="1168"/>
        <v>84.375</v>
      </c>
      <c r="AZ673" s="145">
        <f t="shared" si="1169"/>
        <v>84.375</v>
      </c>
      <c r="BA673" s="145">
        <f t="shared" si="1184"/>
        <v>0</v>
      </c>
      <c r="BB673" s="145">
        <f t="shared" si="1170"/>
        <v>0</v>
      </c>
      <c r="BC673" s="145">
        <f t="shared" si="1170"/>
        <v>0</v>
      </c>
      <c r="BD673" s="892">
        <f t="shared" si="1170"/>
        <v>0</v>
      </c>
      <c r="BF673" s="900"/>
      <c r="BM673" s="902"/>
      <c r="BN673" s="902"/>
      <c r="BO673" s="902"/>
      <c r="BP673" s="902"/>
      <c r="BQ673" s="902"/>
      <c r="BR673" s="902"/>
      <c r="BS673" s="902"/>
    </row>
    <row r="674" spans="1:71" ht="12.75" customHeight="1">
      <c r="A674" s="304" t="str">
        <f t="shared" si="1156"/>
        <v>Other unsecured notes with a rate of 7.50%, due 2017</v>
      </c>
      <c r="B674" s="941"/>
      <c r="C674" s="917"/>
      <c r="D674" s="942">
        <v>7.4999999999999997E-2</v>
      </c>
      <c r="E674" s="144"/>
      <c r="F674" s="189" t="str">
        <f t="shared" si="1177"/>
        <v>NM</v>
      </c>
      <c r="G674" s="286" t="str">
        <f t="shared" si="1178"/>
        <v>NM</v>
      </c>
      <c r="H674" s="286" t="str">
        <f t="shared" si="1178"/>
        <v>NM</v>
      </c>
      <c r="I674" s="286" t="str">
        <f t="shared" si="1178"/>
        <v>NM</v>
      </c>
      <c r="J674" s="145">
        <f t="shared" si="1179"/>
        <v>0</v>
      </c>
      <c r="K674" s="144">
        <f t="shared" si="1171"/>
        <v>0</v>
      </c>
      <c r="L674" s="145">
        <f t="shared" si="1180"/>
        <v>0</v>
      </c>
      <c r="M674" s="145">
        <f t="shared" si="1180"/>
        <v>0</v>
      </c>
      <c r="N674" s="145">
        <f t="shared" si="1180"/>
        <v>1.3968749999999999</v>
      </c>
      <c r="O674" s="145">
        <f t="shared" si="1180"/>
        <v>1.8937499999999998</v>
      </c>
      <c r="P674" s="144">
        <f t="shared" si="1172"/>
        <v>3.2906249999999995</v>
      </c>
      <c r="Q674" s="145">
        <f t="shared" si="1181"/>
        <v>0.99374999999999991</v>
      </c>
      <c r="R674" s="145">
        <f t="shared" si="1181"/>
        <v>1.003125</v>
      </c>
      <c r="S674" s="145">
        <f t="shared" si="1181"/>
        <v>1.0125</v>
      </c>
      <c r="T674" s="145">
        <f t="shared" si="1181"/>
        <v>1.0125</v>
      </c>
      <c r="U674" s="144">
        <f t="shared" si="1173"/>
        <v>4.0218749999999996</v>
      </c>
      <c r="V674" s="145">
        <f t="shared" si="1182"/>
        <v>1.0125</v>
      </c>
      <c r="W674" s="145">
        <f t="shared" si="1182"/>
        <v>1.0125</v>
      </c>
      <c r="X674" s="145">
        <f t="shared" si="1182"/>
        <v>1.0125</v>
      </c>
      <c r="Y674" s="145">
        <f t="shared" si="1182"/>
        <v>1.0125</v>
      </c>
      <c r="Z674" s="144">
        <f t="shared" si="1174"/>
        <v>4.05</v>
      </c>
      <c r="AA674" s="145">
        <f t="shared" si="1183"/>
        <v>1.0125</v>
      </c>
      <c r="AB674" s="145">
        <f t="shared" si="1183"/>
        <v>1.0125</v>
      </c>
      <c r="AC674" s="145">
        <f t="shared" si="1183"/>
        <v>1.0125</v>
      </c>
      <c r="AD674" s="145">
        <f t="shared" si="1176"/>
        <v>1.0125</v>
      </c>
      <c r="AE674" s="2594">
        <f t="shared" si="1175"/>
        <v>4.05</v>
      </c>
      <c r="AF674" s="145"/>
      <c r="AG674" s="145"/>
      <c r="AH674" s="2741"/>
      <c r="AI674" s="145"/>
      <c r="AJ674" s="2594"/>
      <c r="AK674" s="145"/>
      <c r="AL674" s="145"/>
      <c r="AM674" s="145"/>
      <c r="AN674" s="145"/>
      <c r="AO674" s="2594"/>
      <c r="AP674" s="2594"/>
      <c r="AQ674" s="2594"/>
      <c r="AR674" s="145"/>
      <c r="AS674" s="522" t="str">
        <f t="shared" si="1162"/>
        <v>Other unsecured notes with a rate of 7.50%, due 2017</v>
      </c>
      <c r="AT674" s="145">
        <f t="shared" si="1163"/>
        <v>0</v>
      </c>
      <c r="AU674" s="286" t="str">
        <f t="shared" si="1164"/>
        <v>NM</v>
      </c>
      <c r="AV674" s="145">
        <f t="shared" si="1165"/>
        <v>0</v>
      </c>
      <c r="AW674" s="145">
        <f t="shared" si="1166"/>
        <v>3.2906249999999995</v>
      </c>
      <c r="AX674" s="145">
        <f t="shared" si="1167"/>
        <v>4.0218749999999996</v>
      </c>
      <c r="AY674" s="145">
        <f t="shared" si="1168"/>
        <v>4.05</v>
      </c>
      <c r="AZ674" s="145">
        <f t="shared" si="1169"/>
        <v>4.05</v>
      </c>
      <c r="BA674" s="145">
        <f t="shared" si="1184"/>
        <v>0</v>
      </c>
      <c r="BB674" s="145">
        <f t="shared" si="1170"/>
        <v>0</v>
      </c>
      <c r="BC674" s="145">
        <f t="shared" si="1170"/>
        <v>0</v>
      </c>
      <c r="BD674" s="892">
        <f t="shared" si="1170"/>
        <v>0</v>
      </c>
      <c r="BF674" s="900"/>
      <c r="BM674" s="902"/>
      <c r="BN674" s="902"/>
      <c r="BO674" s="902"/>
      <c r="BP674" s="902"/>
      <c r="BQ674" s="902"/>
      <c r="BR674" s="902"/>
      <c r="BS674" s="902"/>
    </row>
    <row r="675" spans="1:71" ht="12.75" customHeight="1">
      <c r="A675" s="304" t="str">
        <f t="shared" si="1156"/>
        <v>Other secured debt notes &amp; obligations</v>
      </c>
      <c r="B675" s="941"/>
      <c r="C675" s="917"/>
      <c r="D675" s="944">
        <v>0.03</v>
      </c>
      <c r="E675" s="144"/>
      <c r="F675" s="189" t="str">
        <f t="shared" si="1177"/>
        <v>NM</v>
      </c>
      <c r="G675" s="286" t="str">
        <f t="shared" si="1178"/>
        <v>NM</v>
      </c>
      <c r="H675" s="286" t="str">
        <f t="shared" si="1178"/>
        <v>NM</v>
      </c>
      <c r="I675" s="286" t="str">
        <f t="shared" si="1178"/>
        <v>NM</v>
      </c>
      <c r="J675" s="145">
        <f t="shared" si="1179"/>
        <v>0</v>
      </c>
      <c r="K675" s="144">
        <f t="shared" si="1171"/>
        <v>0</v>
      </c>
      <c r="L675" s="145">
        <f t="shared" si="1180"/>
        <v>0</v>
      </c>
      <c r="M675" s="145">
        <f t="shared" si="1180"/>
        <v>0</v>
      </c>
      <c r="N675" s="145">
        <f t="shared" si="1180"/>
        <v>0.80625000000000002</v>
      </c>
      <c r="O675" s="145">
        <f t="shared" si="1180"/>
        <v>0.80625000000000002</v>
      </c>
      <c r="P675" s="144">
        <f t="shared" si="1172"/>
        <v>1.6125</v>
      </c>
      <c r="Q675" s="145">
        <f t="shared" si="1181"/>
        <v>0</v>
      </c>
      <c r="R675" s="145">
        <f t="shared" si="1181"/>
        <v>0</v>
      </c>
      <c r="S675" s="145">
        <f t="shared" si="1181"/>
        <v>0</v>
      </c>
      <c r="T675" s="145">
        <f t="shared" si="1181"/>
        <v>0</v>
      </c>
      <c r="U675" s="144">
        <f t="shared" si="1173"/>
        <v>0</v>
      </c>
      <c r="V675" s="145">
        <f t="shared" si="1182"/>
        <v>0</v>
      </c>
      <c r="W675" s="145">
        <f t="shared" si="1182"/>
        <v>0</v>
      </c>
      <c r="X675" s="145">
        <f t="shared" si="1182"/>
        <v>0</v>
      </c>
      <c r="Y675" s="145">
        <f t="shared" si="1182"/>
        <v>0</v>
      </c>
      <c r="Z675" s="144">
        <f t="shared" si="1174"/>
        <v>0</v>
      </c>
      <c r="AA675" s="145">
        <f t="shared" si="1183"/>
        <v>0</v>
      </c>
      <c r="AB675" s="145">
        <f t="shared" si="1183"/>
        <v>0</v>
      </c>
      <c r="AC675" s="145">
        <f t="shared" si="1183"/>
        <v>0</v>
      </c>
      <c r="AD675" s="145">
        <f t="shared" si="1176"/>
        <v>0</v>
      </c>
      <c r="AE675" s="2594">
        <f t="shared" si="1175"/>
        <v>0</v>
      </c>
      <c r="AF675" s="145"/>
      <c r="AG675" s="145"/>
      <c r="AH675" s="2741"/>
      <c r="AI675" s="145"/>
      <c r="AJ675" s="2594"/>
      <c r="AK675" s="145"/>
      <c r="AL675" s="145"/>
      <c r="AM675" s="145"/>
      <c r="AN675" s="145"/>
      <c r="AO675" s="2594"/>
      <c r="AP675" s="2594"/>
      <c r="AQ675" s="2594"/>
      <c r="AR675" s="145"/>
      <c r="AS675" s="522" t="str">
        <f t="shared" si="1162"/>
        <v>Other secured debt notes &amp; obligations</v>
      </c>
      <c r="AT675" s="145">
        <f t="shared" si="1163"/>
        <v>0</v>
      </c>
      <c r="AU675" s="286" t="str">
        <f t="shared" si="1164"/>
        <v>NM</v>
      </c>
      <c r="AV675" s="145">
        <f t="shared" si="1165"/>
        <v>0</v>
      </c>
      <c r="AW675" s="145">
        <f t="shared" si="1166"/>
        <v>1.6125</v>
      </c>
      <c r="AX675" s="145">
        <f t="shared" si="1167"/>
        <v>0</v>
      </c>
      <c r="AY675" s="145">
        <f t="shared" si="1168"/>
        <v>0</v>
      </c>
      <c r="AZ675" s="145">
        <f t="shared" si="1169"/>
        <v>0</v>
      </c>
      <c r="BA675" s="145">
        <f t="shared" si="1184"/>
        <v>0</v>
      </c>
      <c r="BB675" s="145">
        <f t="shared" si="1170"/>
        <v>0</v>
      </c>
      <c r="BC675" s="145">
        <f t="shared" si="1170"/>
        <v>0</v>
      </c>
      <c r="BD675" s="892">
        <f t="shared" si="1170"/>
        <v>0</v>
      </c>
      <c r="BF675" s="900"/>
      <c r="BM675" s="902"/>
      <c r="BN675" s="902"/>
      <c r="BO675" s="902"/>
      <c r="BP675" s="902"/>
      <c r="BQ675" s="902"/>
      <c r="BR675" s="902"/>
      <c r="BS675" s="902"/>
    </row>
    <row r="676" spans="1:71" ht="12.75" customHeight="1">
      <c r="A676" s="304" t="str">
        <f t="shared" si="1156"/>
        <v>Senior mortgage loans with a rate of 2.49%, due 2015</v>
      </c>
      <c r="B676" s="941"/>
      <c r="C676" s="917"/>
      <c r="D676" s="943">
        <v>2.4899999999999999E-2</v>
      </c>
      <c r="E676" s="144"/>
      <c r="F676" s="189">
        <f t="shared" si="1177"/>
        <v>189.1404</v>
      </c>
      <c r="G676" s="286">
        <f t="shared" si="1178"/>
        <v>47.2851</v>
      </c>
      <c r="H676" s="286" t="str">
        <f t="shared" si="1178"/>
        <v>NM</v>
      </c>
      <c r="I676" s="286" t="str">
        <f t="shared" si="1178"/>
        <v>NM</v>
      </c>
      <c r="J676" s="145">
        <f t="shared" si="1179"/>
        <v>45.261975</v>
      </c>
      <c r="K676" s="144">
        <f t="shared" si="1171"/>
        <v>92.547075000000007</v>
      </c>
      <c r="L676" s="145">
        <f t="shared" si="1180"/>
        <v>45.261975</v>
      </c>
      <c r="M676" s="145">
        <f t="shared" si="1180"/>
        <v>44.160149999999994</v>
      </c>
      <c r="N676" s="145">
        <f t="shared" si="1180"/>
        <v>43.898699999999998</v>
      </c>
      <c r="O676" s="145">
        <f t="shared" si="1180"/>
        <v>21.818624999999997</v>
      </c>
      <c r="P676" s="144">
        <f t="shared" si="1172"/>
        <v>155.13944999999998</v>
      </c>
      <c r="Q676" s="145">
        <f t="shared" si="1181"/>
        <v>0</v>
      </c>
      <c r="R676" s="145">
        <f t="shared" si="1181"/>
        <v>0</v>
      </c>
      <c r="S676" s="145">
        <f t="shared" si="1181"/>
        <v>0</v>
      </c>
      <c r="T676" s="145">
        <f t="shared" si="1181"/>
        <v>0</v>
      </c>
      <c r="U676" s="144">
        <f t="shared" si="1173"/>
        <v>0</v>
      </c>
      <c r="V676" s="145">
        <f t="shared" si="1182"/>
        <v>0</v>
      </c>
      <c r="W676" s="145">
        <f t="shared" si="1182"/>
        <v>0</v>
      </c>
      <c r="X676" s="145">
        <f t="shared" si="1182"/>
        <v>0</v>
      </c>
      <c r="Y676" s="145">
        <f t="shared" si="1182"/>
        <v>0</v>
      </c>
      <c r="Z676" s="144">
        <f t="shared" si="1174"/>
        <v>0</v>
      </c>
      <c r="AA676" s="145">
        <f t="shared" si="1183"/>
        <v>0</v>
      </c>
      <c r="AB676" s="145">
        <f t="shared" si="1183"/>
        <v>0</v>
      </c>
      <c r="AC676" s="145">
        <f t="shared" si="1183"/>
        <v>0</v>
      </c>
      <c r="AD676" s="145">
        <f t="shared" si="1176"/>
        <v>0</v>
      </c>
      <c r="AE676" s="2594">
        <f t="shared" si="1175"/>
        <v>0</v>
      </c>
      <c r="AF676" s="145"/>
      <c r="AG676" s="145"/>
      <c r="AH676" s="2741"/>
      <c r="AI676" s="145"/>
      <c r="AJ676" s="2594"/>
      <c r="AK676" s="145"/>
      <c r="AL676" s="145"/>
      <c r="AM676" s="145"/>
      <c r="AN676" s="145"/>
      <c r="AO676" s="2594"/>
      <c r="AP676" s="2594"/>
      <c r="AQ676" s="2594"/>
      <c r="AR676" s="145"/>
      <c r="AS676" s="522" t="str">
        <f t="shared" si="1162"/>
        <v>Senior mortgage loans with a rate of 2.49%, due 2015</v>
      </c>
      <c r="AT676" s="145">
        <f t="shared" si="1163"/>
        <v>0</v>
      </c>
      <c r="AU676" s="145">
        <f t="shared" si="1164"/>
        <v>189.1404</v>
      </c>
      <c r="AV676" s="145">
        <f t="shared" si="1165"/>
        <v>92.547075000000007</v>
      </c>
      <c r="AW676" s="145">
        <f t="shared" si="1166"/>
        <v>155.13944999999998</v>
      </c>
      <c r="AX676" s="145">
        <f t="shared" si="1167"/>
        <v>0</v>
      </c>
      <c r="AY676" s="145">
        <f t="shared" si="1168"/>
        <v>0</v>
      </c>
      <c r="AZ676" s="145">
        <f t="shared" si="1169"/>
        <v>0</v>
      </c>
      <c r="BA676" s="145">
        <f t="shared" si="1184"/>
        <v>0</v>
      </c>
      <c r="BB676" s="145">
        <f t="shared" si="1170"/>
        <v>0</v>
      </c>
      <c r="BC676" s="145">
        <f t="shared" si="1170"/>
        <v>0</v>
      </c>
      <c r="BD676" s="892">
        <f t="shared" si="1170"/>
        <v>0</v>
      </c>
      <c r="BF676" s="900"/>
      <c r="BM676" s="902"/>
      <c r="BN676" s="902"/>
      <c r="BO676" s="902"/>
      <c r="BP676" s="902"/>
      <c r="BQ676" s="902"/>
      <c r="BR676" s="902"/>
      <c r="BS676" s="902"/>
    </row>
    <row r="677" spans="1:71" ht="12.75" customHeight="1">
      <c r="A677" s="304" t="str">
        <f t="shared" si="1156"/>
        <v>Secured mezzanine loans with an average rate of 4.10%, due 2015</v>
      </c>
      <c r="B677" s="941"/>
      <c r="C677" s="917"/>
      <c r="D677" s="943">
        <v>4.1000000000000002E-2</v>
      </c>
      <c r="E677" s="144"/>
      <c r="F677" s="189">
        <f t="shared" si="1177"/>
        <v>315.61799999999999</v>
      </c>
      <c r="G677" s="286">
        <f t="shared" si="1178"/>
        <v>78.904499999999999</v>
      </c>
      <c r="H677" s="286" t="str">
        <f t="shared" si="1178"/>
        <v>NM</v>
      </c>
      <c r="I677" s="286" t="str">
        <f t="shared" si="1178"/>
        <v>NM</v>
      </c>
      <c r="J677" s="145">
        <f t="shared" si="1179"/>
        <v>78.89425</v>
      </c>
      <c r="K677" s="144">
        <f t="shared" si="1171"/>
        <v>157.79874999999998</v>
      </c>
      <c r="L677" s="145">
        <f t="shared" si="1180"/>
        <v>78.89425</v>
      </c>
      <c r="M677" s="145">
        <f t="shared" si="1180"/>
        <v>71.678250000000006</v>
      </c>
      <c r="N677" s="145">
        <f t="shared" si="1180"/>
        <v>71.227249999999998</v>
      </c>
      <c r="O677" s="145">
        <f t="shared" si="1180"/>
        <v>35.388125000000002</v>
      </c>
      <c r="P677" s="144">
        <f t="shared" si="1172"/>
        <v>257.18787499999996</v>
      </c>
      <c r="Q677" s="145">
        <f t="shared" si="1181"/>
        <v>0</v>
      </c>
      <c r="R677" s="145">
        <f t="shared" si="1181"/>
        <v>0</v>
      </c>
      <c r="S677" s="145">
        <f t="shared" si="1181"/>
        <v>0</v>
      </c>
      <c r="T677" s="145">
        <f t="shared" si="1181"/>
        <v>0</v>
      </c>
      <c r="U677" s="144">
        <f t="shared" si="1173"/>
        <v>0</v>
      </c>
      <c r="V677" s="145">
        <f t="shared" si="1182"/>
        <v>0</v>
      </c>
      <c r="W677" s="145">
        <f t="shared" si="1182"/>
        <v>0</v>
      </c>
      <c r="X677" s="145">
        <f t="shared" si="1182"/>
        <v>0</v>
      </c>
      <c r="Y677" s="145">
        <f t="shared" si="1182"/>
        <v>0</v>
      </c>
      <c r="Z677" s="144">
        <f t="shared" si="1174"/>
        <v>0</v>
      </c>
      <c r="AA677" s="145">
        <f t="shared" si="1183"/>
        <v>0</v>
      </c>
      <c r="AB677" s="145">
        <f t="shared" si="1183"/>
        <v>0</v>
      </c>
      <c r="AC677" s="145">
        <f t="shared" si="1183"/>
        <v>0</v>
      </c>
      <c r="AD677" s="145">
        <f t="shared" si="1176"/>
        <v>0</v>
      </c>
      <c r="AE677" s="2594">
        <f t="shared" si="1175"/>
        <v>0</v>
      </c>
      <c r="AF677" s="145"/>
      <c r="AG677" s="145"/>
      <c r="AH677" s="2741"/>
      <c r="AI677" s="145"/>
      <c r="AJ677" s="2594"/>
      <c r="AK677" s="145"/>
      <c r="AL677" s="145"/>
      <c r="AM677" s="145"/>
      <c r="AN677" s="145"/>
      <c r="AO677" s="2594"/>
      <c r="AP677" s="2594"/>
      <c r="AQ677" s="2594"/>
      <c r="AR677" s="145"/>
      <c r="AS677" s="522" t="str">
        <f t="shared" si="1162"/>
        <v>Secured mezzanine loans with an average rate of 4.10%, due 2015</v>
      </c>
      <c r="AT677" s="145">
        <f t="shared" si="1163"/>
        <v>0</v>
      </c>
      <c r="AU677" s="145">
        <f t="shared" si="1164"/>
        <v>315.61799999999999</v>
      </c>
      <c r="AV677" s="145">
        <f t="shared" si="1165"/>
        <v>157.79874999999998</v>
      </c>
      <c r="AW677" s="145">
        <f t="shared" si="1166"/>
        <v>257.18787499999996</v>
      </c>
      <c r="AX677" s="145">
        <f t="shared" si="1167"/>
        <v>0</v>
      </c>
      <c r="AY677" s="145">
        <f t="shared" si="1168"/>
        <v>0</v>
      </c>
      <c r="AZ677" s="145">
        <f t="shared" si="1169"/>
        <v>0</v>
      </c>
      <c r="BA677" s="145">
        <f t="shared" si="1184"/>
        <v>0</v>
      </c>
      <c r="BB677" s="145">
        <f t="shared" si="1170"/>
        <v>0</v>
      </c>
      <c r="BC677" s="145">
        <f t="shared" si="1170"/>
        <v>0</v>
      </c>
      <c r="BD677" s="892">
        <f t="shared" si="1170"/>
        <v>0</v>
      </c>
      <c r="BF677" s="900"/>
      <c r="BM677" s="902"/>
      <c r="BN677" s="902"/>
      <c r="BO677" s="902"/>
      <c r="BP677" s="902"/>
      <c r="BQ677" s="902"/>
      <c r="BR677" s="902"/>
      <c r="BS677" s="902"/>
    </row>
    <row r="678" spans="1:71" ht="12.75" customHeight="1">
      <c r="A678" s="304" t="str">
        <f t="shared" si="1156"/>
        <v>Secured mezzanine loans with a rate of 4.69%, due 2015</v>
      </c>
      <c r="B678" s="941"/>
      <c r="C678" s="917"/>
      <c r="D678" s="943">
        <v>4.6899999999999997E-2</v>
      </c>
      <c r="E678" s="144"/>
      <c r="F678" s="189">
        <f t="shared" si="1177"/>
        <v>11.725</v>
      </c>
      <c r="G678" s="286">
        <f t="shared" si="1178"/>
        <v>2.9312499999999999</v>
      </c>
      <c r="H678" s="286" t="str">
        <f t="shared" si="1178"/>
        <v>NM</v>
      </c>
      <c r="I678" s="286" t="str">
        <f t="shared" si="1178"/>
        <v>NM</v>
      </c>
      <c r="J678" s="145">
        <f t="shared" si="1179"/>
        <v>2.8140000000000001</v>
      </c>
      <c r="K678" s="144">
        <f t="shared" si="1171"/>
        <v>5.7452500000000004</v>
      </c>
      <c r="L678" s="145">
        <f t="shared" si="1180"/>
        <v>2.8140000000000001</v>
      </c>
      <c r="M678" s="145">
        <f t="shared" si="1180"/>
        <v>2.5326</v>
      </c>
      <c r="N678" s="145">
        <f t="shared" si="1180"/>
        <v>1.2663</v>
      </c>
      <c r="O678" s="145">
        <f t="shared" si="1180"/>
        <v>0</v>
      </c>
      <c r="P678" s="144">
        <f t="shared" si="1172"/>
        <v>6.6129000000000007</v>
      </c>
      <c r="Q678" s="145">
        <f t="shared" si="1181"/>
        <v>0</v>
      </c>
      <c r="R678" s="145">
        <f t="shared" si="1181"/>
        <v>0</v>
      </c>
      <c r="S678" s="145">
        <f t="shared" si="1181"/>
        <v>0</v>
      </c>
      <c r="T678" s="145">
        <f t="shared" si="1181"/>
        <v>0</v>
      </c>
      <c r="U678" s="144">
        <f t="shared" si="1173"/>
        <v>0</v>
      </c>
      <c r="V678" s="145">
        <f t="shared" si="1182"/>
        <v>0</v>
      </c>
      <c r="W678" s="145">
        <f t="shared" si="1182"/>
        <v>0</v>
      </c>
      <c r="X678" s="145">
        <f t="shared" si="1182"/>
        <v>0</v>
      </c>
      <c r="Y678" s="145">
        <f t="shared" si="1182"/>
        <v>0</v>
      </c>
      <c r="Z678" s="144">
        <f t="shared" si="1174"/>
        <v>0</v>
      </c>
      <c r="AA678" s="145">
        <f t="shared" si="1183"/>
        <v>0</v>
      </c>
      <c r="AB678" s="145">
        <f t="shared" si="1183"/>
        <v>0</v>
      </c>
      <c r="AC678" s="145">
        <f t="shared" si="1183"/>
        <v>0</v>
      </c>
      <c r="AD678" s="145">
        <f t="shared" si="1176"/>
        <v>0</v>
      </c>
      <c r="AE678" s="2594">
        <f t="shared" si="1175"/>
        <v>0</v>
      </c>
      <c r="AF678" s="145"/>
      <c r="AG678" s="145"/>
      <c r="AH678" s="2741"/>
      <c r="AI678" s="145"/>
      <c r="AJ678" s="2594"/>
      <c r="AK678" s="145"/>
      <c r="AL678" s="145"/>
      <c r="AM678" s="145"/>
      <c r="AN678" s="145"/>
      <c r="AO678" s="2594"/>
      <c r="AP678" s="2594"/>
      <c r="AQ678" s="2594"/>
      <c r="AR678" s="145"/>
      <c r="AS678" s="522" t="str">
        <f t="shared" si="1162"/>
        <v>Secured mezzanine loans with a rate of 4.69%, due 2015</v>
      </c>
      <c r="AT678" s="145">
        <f t="shared" si="1163"/>
        <v>0</v>
      </c>
      <c r="AU678" s="145">
        <f t="shared" si="1164"/>
        <v>11.725</v>
      </c>
      <c r="AV678" s="145">
        <f t="shared" si="1165"/>
        <v>5.7452500000000004</v>
      </c>
      <c r="AW678" s="145">
        <f t="shared" si="1166"/>
        <v>6.6129000000000007</v>
      </c>
      <c r="AX678" s="145">
        <f t="shared" si="1167"/>
        <v>0</v>
      </c>
      <c r="AY678" s="145">
        <f t="shared" si="1168"/>
        <v>0</v>
      </c>
      <c r="AZ678" s="145">
        <f t="shared" si="1169"/>
        <v>0</v>
      </c>
      <c r="BA678" s="145">
        <f t="shared" si="1184"/>
        <v>0</v>
      </c>
      <c r="BB678" s="145">
        <f t="shared" si="1170"/>
        <v>0</v>
      </c>
      <c r="BC678" s="145">
        <f t="shared" si="1170"/>
        <v>0</v>
      </c>
      <c r="BD678" s="892">
        <f t="shared" si="1170"/>
        <v>0</v>
      </c>
      <c r="BF678" s="900"/>
      <c r="BM678" s="902"/>
      <c r="BN678" s="902"/>
      <c r="BO678" s="902"/>
      <c r="BP678" s="902"/>
      <c r="BQ678" s="902"/>
      <c r="BR678" s="902"/>
      <c r="BS678" s="902"/>
    </row>
    <row r="679" spans="1:71" ht="12.75" customHeight="1">
      <c r="A679" s="304" t="str">
        <f t="shared" si="1156"/>
        <v>Mortgage notes with an average rate of 6.13%, due 2013 to 2016</v>
      </c>
      <c r="B679" s="941"/>
      <c r="C679" s="917"/>
      <c r="D679" s="943">
        <v>6.13E-2</v>
      </c>
      <c r="E679" s="144"/>
      <c r="F679" s="189">
        <f t="shared" si="1177"/>
        <v>9.6853999999999996</v>
      </c>
      <c r="G679" s="286">
        <f t="shared" si="1178"/>
        <v>2.4213499999999999</v>
      </c>
      <c r="H679" s="286" t="str">
        <f t="shared" si="1178"/>
        <v>NM</v>
      </c>
      <c r="I679" s="286" t="str">
        <f t="shared" si="1178"/>
        <v>NM</v>
      </c>
      <c r="J679" s="145">
        <f t="shared" si="1179"/>
        <v>2.05355</v>
      </c>
      <c r="K679" s="144">
        <f t="shared" si="1171"/>
        <v>4.4748999999999999</v>
      </c>
      <c r="L679" s="145">
        <f t="shared" si="1180"/>
        <v>2.05355</v>
      </c>
      <c r="M679" s="145">
        <f t="shared" si="1180"/>
        <v>2.0688749999999998</v>
      </c>
      <c r="N679" s="145">
        <f t="shared" si="1180"/>
        <v>1.0344374999999999</v>
      </c>
      <c r="O679" s="145">
        <f t="shared" si="1180"/>
        <v>1.0191125000000001</v>
      </c>
      <c r="P679" s="144">
        <f t="shared" si="1172"/>
        <v>6.1759750000000002</v>
      </c>
      <c r="Q679" s="145">
        <f t="shared" si="1181"/>
        <v>2.0305624999999998</v>
      </c>
      <c r="R679" s="145">
        <f t="shared" si="1181"/>
        <v>2.0228999999999999</v>
      </c>
      <c r="S679" s="145">
        <f t="shared" si="1181"/>
        <v>2.5133000000000001</v>
      </c>
      <c r="T679" s="145">
        <f t="shared" si="1181"/>
        <v>3.0036999999999998</v>
      </c>
      <c r="U679" s="144">
        <f t="shared" si="1173"/>
        <v>9.5704624999999997</v>
      </c>
      <c r="V679" s="145">
        <f t="shared" si="1182"/>
        <v>1.5018499999999999</v>
      </c>
      <c r="W679" s="145">
        <f t="shared" si="1182"/>
        <v>0</v>
      </c>
      <c r="X679" s="145">
        <f t="shared" si="1182"/>
        <v>0</v>
      </c>
      <c r="Y679" s="145">
        <f t="shared" si="1182"/>
        <v>0</v>
      </c>
      <c r="Z679" s="144">
        <f t="shared" si="1174"/>
        <v>1.5018499999999999</v>
      </c>
      <c r="AA679" s="145">
        <f t="shared" si="1183"/>
        <v>0</v>
      </c>
      <c r="AB679" s="145">
        <f t="shared" si="1183"/>
        <v>0</v>
      </c>
      <c r="AC679" s="145">
        <f t="shared" si="1183"/>
        <v>0</v>
      </c>
      <c r="AD679" s="145">
        <f t="shared" si="1176"/>
        <v>0</v>
      </c>
      <c r="AE679" s="2594">
        <f t="shared" si="1175"/>
        <v>0</v>
      </c>
      <c r="AF679" s="145"/>
      <c r="AG679" s="145"/>
      <c r="AH679" s="2741"/>
      <c r="AI679" s="145"/>
      <c r="AJ679" s="2594"/>
      <c r="AK679" s="145"/>
      <c r="AL679" s="145"/>
      <c r="AM679" s="145"/>
      <c r="AN679" s="145"/>
      <c r="AO679" s="2594"/>
      <c r="AP679" s="2594"/>
      <c r="AQ679" s="2594"/>
      <c r="AR679" s="145"/>
      <c r="AS679" s="522" t="str">
        <f t="shared" si="1162"/>
        <v>Mortgage notes with an average rate of 6.13%, due 2013 to 2016</v>
      </c>
      <c r="AT679" s="145">
        <f t="shared" si="1163"/>
        <v>0</v>
      </c>
      <c r="AU679" s="145">
        <f t="shared" si="1164"/>
        <v>9.6853999999999996</v>
      </c>
      <c r="AV679" s="145">
        <f t="shared" si="1165"/>
        <v>4.4748999999999999</v>
      </c>
      <c r="AW679" s="145">
        <f t="shared" si="1166"/>
        <v>6.1759750000000002</v>
      </c>
      <c r="AX679" s="145">
        <f t="shared" si="1167"/>
        <v>9.5704624999999997</v>
      </c>
      <c r="AY679" s="145">
        <f t="shared" si="1168"/>
        <v>1.5018499999999999</v>
      </c>
      <c r="AZ679" s="145">
        <f t="shared" si="1169"/>
        <v>0</v>
      </c>
      <c r="BA679" s="145">
        <f t="shared" si="1184"/>
        <v>0</v>
      </c>
      <c r="BB679" s="145">
        <f t="shared" si="1170"/>
        <v>0</v>
      </c>
      <c r="BC679" s="145">
        <f t="shared" si="1170"/>
        <v>0</v>
      </c>
      <c r="BD679" s="892">
        <f t="shared" si="1170"/>
        <v>0</v>
      </c>
      <c r="BF679" s="900"/>
      <c r="BM679" s="902"/>
      <c r="BN679" s="902"/>
      <c r="BO679" s="902"/>
      <c r="BP679" s="902"/>
      <c r="BQ679" s="902"/>
      <c r="BR679" s="902"/>
      <c r="BS679" s="902"/>
    </row>
    <row r="680" spans="1:71" ht="12.75" customHeight="1">
      <c r="A680" s="304" t="str">
        <f t="shared" si="1156"/>
        <v>Other unsecured notes with an average rate of 7.82%, due 2017 to 2031</v>
      </c>
      <c r="B680" s="941"/>
      <c r="C680" s="917"/>
      <c r="D680" s="943">
        <v>7.8200000000000006E-2</v>
      </c>
      <c r="E680" s="144"/>
      <c r="F680" s="189">
        <f t="shared" si="1177"/>
        <v>11.964600000000001</v>
      </c>
      <c r="G680" s="286">
        <f t="shared" si="1178"/>
        <v>2.9911500000000002</v>
      </c>
      <c r="H680" s="286" t="str">
        <f t="shared" si="1178"/>
        <v>NM</v>
      </c>
      <c r="I680" s="286" t="str">
        <f t="shared" si="1178"/>
        <v>NM</v>
      </c>
      <c r="J680" s="145">
        <f t="shared" si="1179"/>
        <v>2.9129500000000004</v>
      </c>
      <c r="K680" s="144">
        <f t="shared" si="1171"/>
        <v>5.9041000000000006</v>
      </c>
      <c r="L680" s="145">
        <f t="shared" si="1180"/>
        <v>2.9129500000000004</v>
      </c>
      <c r="M680" s="145">
        <f t="shared" si="1180"/>
        <v>2.9129500000000004</v>
      </c>
      <c r="N680" s="145">
        <f t="shared" si="1180"/>
        <v>1.4564750000000002</v>
      </c>
      <c r="O680" s="145">
        <f t="shared" si="1180"/>
        <v>0</v>
      </c>
      <c r="P680" s="144">
        <f t="shared" si="1172"/>
        <v>7.2823750000000009</v>
      </c>
      <c r="Q680" s="145">
        <f t="shared" si="1181"/>
        <v>0</v>
      </c>
      <c r="R680" s="145">
        <f t="shared" si="1181"/>
        <v>0</v>
      </c>
      <c r="S680" s="145">
        <f t="shared" si="1181"/>
        <v>0</v>
      </c>
      <c r="T680" s="145">
        <f t="shared" si="1181"/>
        <v>0</v>
      </c>
      <c r="U680" s="144">
        <f t="shared" si="1173"/>
        <v>0</v>
      </c>
      <c r="V680" s="145">
        <f t="shared" si="1182"/>
        <v>0</v>
      </c>
      <c r="W680" s="145">
        <f t="shared" si="1182"/>
        <v>0</v>
      </c>
      <c r="X680" s="145">
        <f t="shared" si="1182"/>
        <v>0</v>
      </c>
      <c r="Y680" s="145">
        <f t="shared" si="1182"/>
        <v>0</v>
      </c>
      <c r="Z680" s="144">
        <f t="shared" si="1174"/>
        <v>0</v>
      </c>
      <c r="AA680" s="145">
        <f t="shared" si="1183"/>
        <v>0</v>
      </c>
      <c r="AB680" s="145">
        <f t="shared" si="1183"/>
        <v>0</v>
      </c>
      <c r="AC680" s="145">
        <f t="shared" si="1183"/>
        <v>0</v>
      </c>
      <c r="AD680" s="145">
        <f t="shared" si="1176"/>
        <v>0</v>
      </c>
      <c r="AE680" s="2594">
        <f t="shared" si="1175"/>
        <v>0</v>
      </c>
      <c r="AF680" s="145"/>
      <c r="AG680" s="145"/>
      <c r="AH680" s="2741"/>
      <c r="AI680" s="145"/>
      <c r="AJ680" s="2594"/>
      <c r="AK680" s="145"/>
      <c r="AL680" s="145"/>
      <c r="AM680" s="145"/>
      <c r="AN680" s="145"/>
      <c r="AO680" s="2594"/>
      <c r="AP680" s="2594"/>
      <c r="AQ680" s="2594"/>
      <c r="AR680" s="145"/>
      <c r="AS680" s="522" t="str">
        <f t="shared" si="1162"/>
        <v>Other unsecured notes with an average rate of 7.82%, due 2017 to 2031</v>
      </c>
      <c r="AT680" s="145">
        <f t="shared" si="1163"/>
        <v>0</v>
      </c>
      <c r="AU680" s="145">
        <f t="shared" si="1164"/>
        <v>11.964600000000001</v>
      </c>
      <c r="AV680" s="145">
        <f t="shared" si="1165"/>
        <v>5.9041000000000006</v>
      </c>
      <c r="AW680" s="145">
        <f t="shared" si="1166"/>
        <v>7.2823750000000009</v>
      </c>
      <c r="AX680" s="145">
        <f t="shared" si="1167"/>
        <v>0</v>
      </c>
      <c r="AY680" s="145">
        <f t="shared" si="1168"/>
        <v>0</v>
      </c>
      <c r="AZ680" s="145">
        <f t="shared" si="1169"/>
        <v>0</v>
      </c>
      <c r="BA680" s="145">
        <f t="shared" si="1184"/>
        <v>0</v>
      </c>
      <c r="BB680" s="145">
        <f t="shared" si="1170"/>
        <v>0</v>
      </c>
      <c r="BC680" s="145">
        <f t="shared" si="1170"/>
        <v>0</v>
      </c>
      <c r="BD680" s="892">
        <f t="shared" si="1170"/>
        <v>0</v>
      </c>
      <c r="BF680" s="900"/>
      <c r="BM680" s="902"/>
      <c r="BN680" s="902"/>
      <c r="BO680" s="902"/>
      <c r="BP680" s="902"/>
      <c r="BQ680" s="902"/>
      <c r="BR680" s="902"/>
      <c r="BS680" s="902"/>
    </row>
    <row r="681" spans="1:71" ht="12.75" customHeight="1">
      <c r="A681" s="304" t="str">
        <f t="shared" si="1156"/>
        <v>Capital lease obligations with an average rate of 6.08%, due 2015 to 2097</v>
      </c>
      <c r="B681" s="941"/>
      <c r="C681" s="917"/>
      <c r="D681" s="943">
        <v>6.08E-2</v>
      </c>
      <c r="E681" s="147"/>
      <c r="F681" s="189">
        <f t="shared" si="1177"/>
        <v>4.0128000000000004</v>
      </c>
      <c r="G681" s="286">
        <f t="shared" si="1178"/>
        <v>1.0032000000000001</v>
      </c>
      <c r="H681" s="286" t="str">
        <f t="shared" si="1178"/>
        <v>NM</v>
      </c>
      <c r="I681" s="286" t="str">
        <f t="shared" si="1178"/>
        <v>NM</v>
      </c>
      <c r="J681" s="145">
        <f t="shared" si="1179"/>
        <v>1.2616000000000001</v>
      </c>
      <c r="K681" s="147">
        <f t="shared" si="1171"/>
        <v>2.2648000000000001</v>
      </c>
      <c r="L681" s="145">
        <f t="shared" si="1180"/>
        <v>1.2616000000000001</v>
      </c>
      <c r="M681" s="145">
        <f t="shared" si="1180"/>
        <v>1.216</v>
      </c>
      <c r="N681" s="145">
        <f t="shared" si="1180"/>
        <v>0.60799999999999998</v>
      </c>
      <c r="O681" s="148">
        <f t="shared" si="1180"/>
        <v>0.55479999999999996</v>
      </c>
      <c r="P681" s="147">
        <f t="shared" si="1172"/>
        <v>3.6403999999999996</v>
      </c>
      <c r="Q681" s="145">
        <f t="shared" si="1181"/>
        <v>1.1020000000000001</v>
      </c>
      <c r="R681" s="145">
        <f t="shared" si="1181"/>
        <v>1.1704000000000001</v>
      </c>
      <c r="S681" s="145">
        <f t="shared" si="1181"/>
        <v>1.2008000000000001</v>
      </c>
      <c r="T681" s="148">
        <f t="shared" si="1181"/>
        <v>1.1248</v>
      </c>
      <c r="U681" s="147">
        <f t="shared" si="1173"/>
        <v>4.5980000000000008</v>
      </c>
      <c r="V681" s="145">
        <f t="shared" si="1182"/>
        <v>1.0411999999999999</v>
      </c>
      <c r="W681" s="145">
        <f t="shared" si="1182"/>
        <v>0.99560000000000004</v>
      </c>
      <c r="X681" s="145">
        <f t="shared" si="1182"/>
        <v>1.0032000000000001</v>
      </c>
      <c r="Y681" s="148">
        <f t="shared" si="1182"/>
        <v>0.93479999999999996</v>
      </c>
      <c r="Z681" s="147">
        <f t="shared" si="1174"/>
        <v>3.9748000000000001</v>
      </c>
      <c r="AA681" s="145">
        <f t="shared" si="1183"/>
        <v>2.3940000000000001</v>
      </c>
      <c r="AB681" s="145">
        <f t="shared" si="1183"/>
        <v>4.0431999999999997</v>
      </c>
      <c r="AC681" s="145">
        <f t="shared" si="1183"/>
        <v>4.1875999999999998</v>
      </c>
      <c r="AD681" s="145">
        <f t="shared" si="1176"/>
        <v>3.9443999999999999</v>
      </c>
      <c r="AE681" s="2590">
        <f t="shared" si="1175"/>
        <v>14.5692</v>
      </c>
      <c r="AF681" s="145"/>
      <c r="AG681" s="145"/>
      <c r="AH681" s="2741"/>
      <c r="AI681" s="145"/>
      <c r="AJ681" s="2590"/>
      <c r="AK681" s="145"/>
      <c r="AL681" s="145"/>
      <c r="AM681" s="145"/>
      <c r="AN681" s="145"/>
      <c r="AO681" s="2594"/>
      <c r="AP681" s="2594"/>
      <c r="AQ681" s="2594"/>
      <c r="AR681" s="148"/>
      <c r="AS681" s="522" t="str">
        <f t="shared" si="1162"/>
        <v>Capital lease obligations with an average rate of 6.08%, due 2015 to 2097</v>
      </c>
      <c r="AT681" s="148">
        <f t="shared" si="1163"/>
        <v>0</v>
      </c>
      <c r="AU681" s="148">
        <f t="shared" si="1164"/>
        <v>4.0128000000000004</v>
      </c>
      <c r="AV681" s="148">
        <f t="shared" si="1165"/>
        <v>2.2648000000000001</v>
      </c>
      <c r="AW681" s="148">
        <f t="shared" si="1166"/>
        <v>3.6403999999999996</v>
      </c>
      <c r="AX681" s="148">
        <f t="shared" si="1167"/>
        <v>4.5980000000000008</v>
      </c>
      <c r="AY681" s="148">
        <f t="shared" si="1168"/>
        <v>3.9748000000000001</v>
      </c>
      <c r="AZ681" s="148">
        <f t="shared" si="1169"/>
        <v>14.5692</v>
      </c>
      <c r="BA681" s="148">
        <f t="shared" si="1184"/>
        <v>0</v>
      </c>
      <c r="BB681" s="148">
        <f t="shared" si="1170"/>
        <v>0</v>
      </c>
      <c r="BC681" s="148">
        <f t="shared" si="1170"/>
        <v>0</v>
      </c>
      <c r="BD681" s="720">
        <f t="shared" si="1170"/>
        <v>0</v>
      </c>
      <c r="BF681" s="900"/>
      <c r="BM681" s="902"/>
      <c r="BN681" s="902"/>
      <c r="BO681" s="902"/>
      <c r="BP681" s="902"/>
      <c r="BQ681" s="902"/>
      <c r="BR681" s="902"/>
      <c r="BS681" s="902"/>
    </row>
    <row r="682" spans="1:71" ht="12.75" customHeight="1">
      <c r="A682" s="304" t="str">
        <f t="shared" si="1156"/>
        <v>Contingently convertible notes with a rate of 3.38%, due 2023</v>
      </c>
      <c r="B682" s="941"/>
      <c r="C682" s="917"/>
      <c r="D682" s="943">
        <v>3.3799999999999997E-2</v>
      </c>
      <c r="E682" s="144"/>
      <c r="F682" s="189">
        <f t="shared" si="1177"/>
        <v>3.3799999999999997E-2</v>
      </c>
      <c r="G682" s="286">
        <f t="shared" si="1178"/>
        <v>8.4499999999999992E-3</v>
      </c>
      <c r="H682" s="286" t="str">
        <f t="shared" si="1178"/>
        <v>NM</v>
      </c>
      <c r="I682" s="286" t="str">
        <f t="shared" si="1178"/>
        <v>NM</v>
      </c>
      <c r="J682" s="145">
        <f t="shared" si="1179"/>
        <v>8.4499999999999992E-3</v>
      </c>
      <c r="K682" s="144">
        <f t="shared" si="1171"/>
        <v>1.6899999999999998E-2</v>
      </c>
      <c r="L682" s="145">
        <f t="shared" si="1180"/>
        <v>8.4499999999999992E-3</v>
      </c>
      <c r="M682" s="145">
        <f t="shared" si="1180"/>
        <v>8.4499999999999992E-3</v>
      </c>
      <c r="N682" s="145">
        <f t="shared" si="1180"/>
        <v>4.2249999999999996E-3</v>
      </c>
      <c r="O682" s="145">
        <f t="shared" si="1180"/>
        <v>0</v>
      </c>
      <c r="P682" s="144">
        <f t="shared" si="1172"/>
        <v>2.1124999999999998E-2</v>
      </c>
      <c r="Q682" s="145">
        <f t="shared" si="1181"/>
        <v>0</v>
      </c>
      <c r="R682" s="145">
        <f t="shared" si="1181"/>
        <v>0</v>
      </c>
      <c r="S682" s="145">
        <f t="shared" si="1181"/>
        <v>0</v>
      </c>
      <c r="T682" s="145">
        <f t="shared" si="1181"/>
        <v>0</v>
      </c>
      <c r="U682" s="144">
        <f t="shared" si="1173"/>
        <v>0</v>
      </c>
      <c r="V682" s="145">
        <f t="shared" si="1182"/>
        <v>0</v>
      </c>
      <c r="W682" s="145">
        <f t="shared" si="1182"/>
        <v>0</v>
      </c>
      <c r="X682" s="145">
        <f t="shared" si="1182"/>
        <v>0</v>
      </c>
      <c r="Y682" s="145">
        <f t="shared" si="1182"/>
        <v>0</v>
      </c>
      <c r="Z682" s="144">
        <f t="shared" si="1174"/>
        <v>0</v>
      </c>
      <c r="AA682" s="145">
        <f t="shared" si="1183"/>
        <v>0</v>
      </c>
      <c r="AB682" s="145">
        <f t="shared" si="1183"/>
        <v>0</v>
      </c>
      <c r="AC682" s="145">
        <f t="shared" si="1183"/>
        <v>0</v>
      </c>
      <c r="AD682" s="145">
        <f t="shared" si="1176"/>
        <v>0</v>
      </c>
      <c r="AE682" s="2594">
        <f t="shared" si="1175"/>
        <v>0</v>
      </c>
      <c r="AF682" s="145"/>
      <c r="AG682" s="145"/>
      <c r="AH682" s="2741"/>
      <c r="AI682" s="145"/>
      <c r="AJ682" s="2594"/>
      <c r="AK682" s="145"/>
      <c r="AL682" s="145"/>
      <c r="AM682" s="145"/>
      <c r="AN682" s="145"/>
      <c r="AO682" s="2594"/>
      <c r="AP682" s="2594"/>
      <c r="AQ682" s="2594"/>
      <c r="AR682" s="145"/>
      <c r="AS682" s="523" t="str">
        <f t="shared" si="1162"/>
        <v>Contingently convertible notes with a rate of 3.38%, due 2023</v>
      </c>
      <c r="AT682" s="145">
        <f t="shared" si="1163"/>
        <v>0</v>
      </c>
      <c r="AU682" s="145">
        <f t="shared" si="1164"/>
        <v>3.3799999999999997E-2</v>
      </c>
      <c r="AV682" s="145">
        <f t="shared" si="1165"/>
        <v>1.6899999999999998E-2</v>
      </c>
      <c r="AW682" s="145">
        <f t="shared" si="1166"/>
        <v>2.1124999999999998E-2</v>
      </c>
      <c r="AX682" s="145">
        <f t="shared" si="1167"/>
        <v>0</v>
      </c>
      <c r="AY682" s="145">
        <f t="shared" si="1168"/>
        <v>0</v>
      </c>
      <c r="AZ682" s="145">
        <f t="shared" si="1169"/>
        <v>0</v>
      </c>
      <c r="BA682" s="145">
        <f t="shared" si="1184"/>
        <v>0</v>
      </c>
      <c r="BB682" s="145">
        <f t="shared" si="1170"/>
        <v>0</v>
      </c>
      <c r="BC682" s="145">
        <f t="shared" si="1170"/>
        <v>0</v>
      </c>
      <c r="BD682" s="892">
        <f t="shared" si="1170"/>
        <v>0</v>
      </c>
      <c r="BF682" s="900"/>
      <c r="BM682" s="902"/>
      <c r="BN682" s="902"/>
      <c r="BO682" s="902"/>
      <c r="BP682" s="902"/>
      <c r="BQ682" s="902"/>
      <c r="BR682" s="902"/>
      <c r="BS682" s="902"/>
    </row>
    <row r="683" spans="1:71" ht="12.75" customHeight="1">
      <c r="A683" s="304" t="str">
        <f t="shared" si="1156"/>
        <v>Mortgage loans with a rate of 4.13%, due 2016 to 2019</v>
      </c>
      <c r="B683" s="941"/>
      <c r="C683" s="917"/>
      <c r="D683" s="943">
        <v>4.1300000000000003E-2</v>
      </c>
      <c r="E683" s="144"/>
      <c r="F683" s="189"/>
      <c r="G683" s="286"/>
      <c r="H683" s="286"/>
      <c r="I683" s="286"/>
      <c r="J683" s="145"/>
      <c r="K683" s="144"/>
      <c r="L683" s="145"/>
      <c r="M683" s="145">
        <f>AVERAGE(L644:M644)*$D683/4</f>
        <v>0</v>
      </c>
      <c r="N683" s="145">
        <f>AVERAGE(M644:N644)*$D683/4</f>
        <v>0</v>
      </c>
      <c r="O683" s="145">
        <f>AVERAGE(N644:O644)*$D683/4</f>
        <v>0</v>
      </c>
      <c r="P683" s="144">
        <f>SUM(L683:O683)</f>
        <v>0</v>
      </c>
      <c r="Q683" s="145">
        <f t="shared" si="1181"/>
        <v>0</v>
      </c>
      <c r="R683" s="145">
        <f t="shared" si="1181"/>
        <v>0</v>
      </c>
      <c r="S683" s="145">
        <f t="shared" si="1181"/>
        <v>0</v>
      </c>
      <c r="T683" s="145">
        <f t="shared" si="1181"/>
        <v>0</v>
      </c>
      <c r="U683" s="144">
        <f>SUM(Q683:T683)</f>
        <v>0</v>
      </c>
      <c r="V683" s="145">
        <f t="shared" si="1182"/>
        <v>3.3349750000000005</v>
      </c>
      <c r="W683" s="145">
        <f t="shared" si="1182"/>
        <v>6.6751125000000009</v>
      </c>
      <c r="X683" s="145">
        <f t="shared" si="1182"/>
        <v>6.6854375000000008</v>
      </c>
      <c r="Y683" s="145">
        <f t="shared" si="1182"/>
        <v>6.3602000000000007</v>
      </c>
      <c r="Z683" s="144">
        <f>SUM(V683:Y683)</f>
        <v>23.055725000000002</v>
      </c>
      <c r="AA683" s="145">
        <f t="shared" si="1183"/>
        <v>6.2208125000000001</v>
      </c>
      <c r="AB683" s="145">
        <f t="shared" si="1183"/>
        <v>6.4169875000000003</v>
      </c>
      <c r="AC683" s="145">
        <f t="shared" si="1183"/>
        <v>6.4118250000000003</v>
      </c>
      <c r="AD683" s="145">
        <f t="shared" si="1176"/>
        <v>3.5259875000000003</v>
      </c>
      <c r="AE683" s="2594">
        <f t="shared" si="1175"/>
        <v>22.575612499999998</v>
      </c>
      <c r="AF683" s="145"/>
      <c r="AG683" s="145"/>
      <c r="AH683" s="2741"/>
      <c r="AI683" s="145"/>
      <c r="AJ683" s="2594"/>
      <c r="AK683" s="145"/>
      <c r="AL683" s="145"/>
      <c r="AM683" s="145"/>
      <c r="AN683" s="145"/>
      <c r="AO683" s="2594"/>
      <c r="AP683" s="2594"/>
      <c r="AQ683" s="2594"/>
      <c r="AR683" s="145"/>
      <c r="AS683" s="523"/>
      <c r="AT683" s="145"/>
      <c r="AU683" s="145"/>
      <c r="AV683" s="145"/>
      <c r="AW683" s="145"/>
      <c r="AX683" s="145"/>
      <c r="AY683" s="145"/>
      <c r="AZ683" s="145"/>
      <c r="BA683" s="145"/>
      <c r="BB683" s="145"/>
      <c r="BC683" s="145"/>
      <c r="BD683" s="892"/>
      <c r="BF683" s="900"/>
      <c r="BM683" s="902"/>
      <c r="BN683" s="902"/>
      <c r="BO683" s="902"/>
      <c r="BP683" s="902"/>
      <c r="BQ683" s="902"/>
      <c r="BR683" s="902"/>
      <c r="BS683" s="902"/>
    </row>
    <row r="684" spans="1:71" ht="12.75" customHeight="1">
      <c r="A684" s="2465" t="s">
        <v>3028</v>
      </c>
      <c r="B684" s="941"/>
      <c r="C684" s="917"/>
      <c r="D684" s="943">
        <v>4.8750000000000002E-2</v>
      </c>
      <c r="E684" s="144"/>
      <c r="F684" s="189"/>
      <c r="G684" s="286"/>
      <c r="H684" s="286"/>
      <c r="I684" s="286"/>
      <c r="J684" s="145"/>
      <c r="K684" s="144"/>
      <c r="L684" s="145"/>
      <c r="M684" s="145"/>
      <c r="N684" s="145"/>
      <c r="O684" s="145"/>
      <c r="P684" s="144"/>
      <c r="Q684" s="145"/>
      <c r="R684" s="145"/>
      <c r="S684" s="145"/>
      <c r="T684" s="145"/>
      <c r="U684" s="144"/>
      <c r="V684" s="145"/>
      <c r="W684" s="145"/>
      <c r="X684" s="145"/>
      <c r="Y684" s="145"/>
      <c r="Z684" s="144"/>
      <c r="AA684" s="145">
        <f t="shared" si="1183"/>
        <v>0</v>
      </c>
      <c r="AB684" s="145">
        <f t="shared" si="1183"/>
        <v>0</v>
      </c>
      <c r="AC684" s="145">
        <f t="shared" si="1183"/>
        <v>0</v>
      </c>
      <c r="AD684" s="145">
        <f t="shared" si="1176"/>
        <v>0</v>
      </c>
      <c r="AE684" s="2594">
        <f t="shared" si="1175"/>
        <v>0</v>
      </c>
      <c r="AF684" s="145">
        <f>AVERAGE(AF645)*$D684/4</f>
        <v>7.3125</v>
      </c>
      <c r="AG684" s="145">
        <f t="shared" ref="AG684:AI689" si="1185">AVERAGE(AF645:AG645)*$D684/4</f>
        <v>7.3125</v>
      </c>
      <c r="AH684" s="2741">
        <f t="shared" si="1185"/>
        <v>7.3125</v>
      </c>
      <c r="AI684" s="145">
        <f t="shared" si="1185"/>
        <v>7.3125</v>
      </c>
      <c r="AJ684" s="2594">
        <f t="shared" ref="AJ684:AJ685" si="1186">SUM(AF684:AI684)</f>
        <v>29.25</v>
      </c>
      <c r="AK684" s="145">
        <f t="shared" ref="AK684:AK689" si="1187">AVERAGE(AJ645:AK645)*$D684/4</f>
        <v>7.3125</v>
      </c>
      <c r="AL684" s="145">
        <f t="shared" ref="AL684:AL688" si="1188">AVERAGE(AK645:AL645)*$D684/4</f>
        <v>7.3125</v>
      </c>
      <c r="AM684" s="145">
        <f t="shared" ref="AM684:AM689" si="1189">AVERAGE(AL645:AM645)*$D684/4</f>
        <v>7.3125</v>
      </c>
      <c r="AN684" s="145">
        <f t="shared" ref="AN684:AN689" si="1190">AVERAGE(AM645:AN645)*$D684/4</f>
        <v>7.3125</v>
      </c>
      <c r="AO684" s="2594">
        <f t="shared" ref="AO684:AO685" si="1191">SUM(AK684:AN684)</f>
        <v>29.25</v>
      </c>
      <c r="AP684" s="2594">
        <f t="shared" ref="AP684:AQ688" si="1192">AVERAGE(AO645:AP645)*$D684</f>
        <v>29.25</v>
      </c>
      <c r="AQ684" s="2594">
        <f t="shared" si="1192"/>
        <v>29.25</v>
      </c>
      <c r="AR684" s="145"/>
      <c r="AS684" s="523"/>
      <c r="AT684" s="145"/>
      <c r="AU684" s="145"/>
      <c r="AV684" s="145"/>
      <c r="AW684" s="145"/>
      <c r="AX684" s="145"/>
      <c r="AY684" s="145"/>
      <c r="AZ684" s="145"/>
      <c r="BA684" s="145"/>
      <c r="BB684" s="145"/>
      <c r="BC684" s="145"/>
      <c r="BD684" s="892"/>
      <c r="BF684" s="900"/>
      <c r="BM684" s="902"/>
      <c r="BN684" s="902"/>
      <c r="BO684" s="902"/>
      <c r="BP684" s="931"/>
      <c r="BQ684" s="902"/>
      <c r="BR684" s="902"/>
      <c r="BS684" s="902"/>
    </row>
    <row r="685" spans="1:71" ht="12.75" customHeight="1">
      <c r="A685" s="2465" t="s">
        <v>3029</v>
      </c>
      <c r="B685" s="941"/>
      <c r="C685" s="917"/>
      <c r="D685" s="943">
        <v>4.6249999999999999E-2</v>
      </c>
      <c r="E685" s="144"/>
      <c r="F685" s="189"/>
      <c r="G685" s="286"/>
      <c r="H685" s="286"/>
      <c r="I685" s="286"/>
      <c r="J685" s="145"/>
      <c r="K685" s="144"/>
      <c r="L685" s="145"/>
      <c r="M685" s="145"/>
      <c r="N685" s="145"/>
      <c r="O685" s="145"/>
      <c r="P685" s="144"/>
      <c r="Q685" s="145"/>
      <c r="R685" s="145"/>
      <c r="S685" s="145"/>
      <c r="T685" s="145"/>
      <c r="U685" s="144"/>
      <c r="V685" s="145"/>
      <c r="W685" s="145"/>
      <c r="X685" s="145"/>
      <c r="Y685" s="145"/>
      <c r="Z685" s="144"/>
      <c r="AA685" s="145">
        <f t="shared" si="1183"/>
        <v>0</v>
      </c>
      <c r="AB685" s="145">
        <f t="shared" si="1183"/>
        <v>0</v>
      </c>
      <c r="AC685" s="145">
        <f t="shared" si="1183"/>
        <v>0</v>
      </c>
      <c r="AD685" s="145">
        <f t="shared" si="1176"/>
        <v>0</v>
      </c>
      <c r="AE685" s="2594">
        <f t="shared" si="1175"/>
        <v>0</v>
      </c>
      <c r="AF685" s="145">
        <f>AVERAGE(AF646)*$D685/4</f>
        <v>10.40625</v>
      </c>
      <c r="AG685" s="145">
        <f t="shared" si="1185"/>
        <v>10.40625</v>
      </c>
      <c r="AH685" s="2741">
        <f t="shared" si="1185"/>
        <v>10.40625</v>
      </c>
      <c r="AI685" s="145">
        <f t="shared" si="1185"/>
        <v>10.40625</v>
      </c>
      <c r="AJ685" s="2594">
        <f t="shared" si="1186"/>
        <v>41.625</v>
      </c>
      <c r="AK685" s="145">
        <f t="shared" si="1187"/>
        <v>10.40625</v>
      </c>
      <c r="AL685" s="145">
        <f t="shared" si="1188"/>
        <v>10.40625</v>
      </c>
      <c r="AM685" s="145">
        <f t="shared" si="1189"/>
        <v>10.40625</v>
      </c>
      <c r="AN685" s="145">
        <f t="shared" si="1190"/>
        <v>10.40625</v>
      </c>
      <c r="AO685" s="2594">
        <f t="shared" si="1191"/>
        <v>41.625</v>
      </c>
      <c r="AP685" s="2594">
        <f t="shared" si="1192"/>
        <v>41.625</v>
      </c>
      <c r="AQ685" s="2594">
        <f t="shared" si="1192"/>
        <v>41.625</v>
      </c>
      <c r="AR685" s="145"/>
      <c r="AS685" s="523"/>
      <c r="AT685" s="145"/>
      <c r="AU685" s="145"/>
      <c r="AV685" s="145"/>
      <c r="AW685" s="145"/>
      <c r="AX685" s="145"/>
      <c r="AY685" s="145"/>
      <c r="AZ685" s="145"/>
      <c r="BA685" s="145"/>
      <c r="BB685" s="145"/>
      <c r="BC685" s="145"/>
      <c r="BD685" s="892"/>
      <c r="BF685" s="900"/>
      <c r="BM685" s="902"/>
      <c r="BN685" s="902"/>
      <c r="BO685" s="902"/>
      <c r="BP685" s="931"/>
      <c r="BQ685" s="902"/>
      <c r="BR685" s="902"/>
      <c r="BS685" s="902"/>
    </row>
    <row r="686" spans="1:71" ht="12.75" customHeight="1">
      <c r="A686" s="304" t="str">
        <f>A647</f>
        <v>$1.0B 4.25% senior notes due 2024</v>
      </c>
      <c r="B686" s="941"/>
      <c r="C686" s="917"/>
      <c r="D686" s="943">
        <v>4.2500000000000003E-2</v>
      </c>
      <c r="E686" s="144"/>
      <c r="F686" s="189"/>
      <c r="G686" s="286"/>
      <c r="H686" s="286"/>
      <c r="I686" s="286"/>
      <c r="J686" s="145"/>
      <c r="K686" s="144"/>
      <c r="L686" s="145"/>
      <c r="M686" s="145"/>
      <c r="N686" s="145"/>
      <c r="O686" s="145"/>
      <c r="P686" s="144"/>
      <c r="Q686" s="145"/>
      <c r="R686" s="145"/>
      <c r="S686" s="145"/>
      <c r="T686" s="145"/>
      <c r="U686" s="144"/>
      <c r="V686" s="145"/>
      <c r="W686" s="145"/>
      <c r="X686" s="145"/>
      <c r="Y686" s="145"/>
      <c r="Z686" s="144"/>
      <c r="AA686" s="145"/>
      <c r="AB686" s="145"/>
      <c r="AC686" s="145">
        <f>AVERAGE(AB647:AC647)*$D686/4</f>
        <v>10.625</v>
      </c>
      <c r="AD686" s="145">
        <f t="shared" si="1176"/>
        <v>10.625</v>
      </c>
      <c r="AE686" s="2594">
        <f>SUM(AA686:AD686)</f>
        <v>21.25</v>
      </c>
      <c r="AF686" s="145">
        <f>AVERAGE(AE647:AF647)*$D686/4</f>
        <v>10.625</v>
      </c>
      <c r="AG686" s="145">
        <f t="shared" si="1185"/>
        <v>10.625</v>
      </c>
      <c r="AH686" s="2741">
        <f t="shared" si="1185"/>
        <v>10.625</v>
      </c>
      <c r="AI686" s="145">
        <f t="shared" si="1185"/>
        <v>10.625</v>
      </c>
      <c r="AJ686" s="2594">
        <f t="shared" ref="AJ686" si="1193">SUM(AF686:AI686)</f>
        <v>42.5</v>
      </c>
      <c r="AK686" s="145">
        <f t="shared" si="1187"/>
        <v>10.625</v>
      </c>
      <c r="AL686" s="145">
        <f t="shared" si="1188"/>
        <v>10.625</v>
      </c>
      <c r="AM686" s="145">
        <f t="shared" si="1189"/>
        <v>10.625</v>
      </c>
      <c r="AN686" s="145">
        <f t="shared" si="1190"/>
        <v>10.625</v>
      </c>
      <c r="AO686" s="2594">
        <f t="shared" ref="AO686" si="1194">SUM(AK686:AN686)</f>
        <v>42.5</v>
      </c>
      <c r="AP686" s="2594">
        <f t="shared" si="1192"/>
        <v>42.5</v>
      </c>
      <c r="AQ686" s="2594">
        <f t="shared" si="1192"/>
        <v>42.5</v>
      </c>
      <c r="AR686" s="145"/>
      <c r="AS686" s="523"/>
      <c r="AT686" s="145"/>
      <c r="AU686" s="145"/>
      <c r="AV686" s="145"/>
      <c r="AW686" s="145"/>
      <c r="AX686" s="145"/>
      <c r="AY686" s="145"/>
      <c r="AZ686" s="145"/>
      <c r="BA686" s="145"/>
      <c r="BB686" s="145"/>
      <c r="BC686" s="145"/>
      <c r="BD686" s="892"/>
      <c r="BF686" s="900"/>
      <c r="BM686" s="902"/>
      <c r="BN686" s="902"/>
      <c r="BO686" s="902"/>
      <c r="BP686" s="931"/>
      <c r="BQ686" s="902"/>
      <c r="BR686" s="902"/>
      <c r="BS686" s="902"/>
    </row>
    <row r="687" spans="1:71" ht="12.75" customHeight="1">
      <c r="A687" s="2465" t="s">
        <v>3035</v>
      </c>
      <c r="B687" s="941"/>
      <c r="C687" s="917"/>
      <c r="D687" s="943">
        <v>2.98E-2</v>
      </c>
      <c r="E687" s="144"/>
      <c r="F687" s="189"/>
      <c r="G687" s="286"/>
      <c r="H687" s="286"/>
      <c r="I687" s="286"/>
      <c r="J687" s="145"/>
      <c r="K687" s="144"/>
      <c r="L687" s="145"/>
      <c r="M687" s="145"/>
      <c r="N687" s="145"/>
      <c r="O687" s="145"/>
      <c r="P687" s="144"/>
      <c r="Q687" s="145"/>
      <c r="R687" s="145"/>
      <c r="S687" s="145"/>
      <c r="T687" s="145"/>
      <c r="U687" s="144"/>
      <c r="V687" s="145"/>
      <c r="W687" s="145"/>
      <c r="X687" s="145"/>
      <c r="Y687" s="145"/>
      <c r="Z687" s="144"/>
      <c r="AA687" s="145"/>
      <c r="AB687" s="145"/>
      <c r="AC687" s="145"/>
      <c r="AD687" s="145"/>
      <c r="AE687" s="2594"/>
      <c r="AF687" s="145">
        <f>AVERAGE(AF648)*$D687/4</f>
        <v>29.49455</v>
      </c>
      <c r="AG687" s="145">
        <f t="shared" si="1185"/>
        <v>29.4573</v>
      </c>
      <c r="AH687" s="2741">
        <f t="shared" si="1185"/>
        <v>29.3828</v>
      </c>
      <c r="AI687" s="145">
        <f t="shared" si="1185"/>
        <v>29.718050000000002</v>
      </c>
      <c r="AJ687" s="2594">
        <f>SUM(AF687:AI687)</f>
        <v>118.0527</v>
      </c>
      <c r="AK687" s="145">
        <f t="shared" si="1187"/>
        <v>30.323362500000002</v>
      </c>
      <c r="AL687" s="145">
        <f t="shared" si="1188"/>
        <v>30.788987500000001</v>
      </c>
      <c r="AM687" s="145">
        <f t="shared" si="1189"/>
        <v>31.2546125</v>
      </c>
      <c r="AN687" s="145">
        <f>AVERAGE(AM648:AN648)*$D687/4</f>
        <v>31.7202375</v>
      </c>
      <c r="AO687" s="2594">
        <f>SUM(AK687:AN687)</f>
        <v>124.0872</v>
      </c>
      <c r="AP687" s="2594">
        <f t="shared" si="1192"/>
        <v>131.53720000000001</v>
      </c>
      <c r="AQ687" s="2594">
        <f t="shared" si="1192"/>
        <v>138.9872</v>
      </c>
      <c r="AR687" s="145"/>
      <c r="AS687" s="523"/>
      <c r="AT687" s="145"/>
      <c r="AU687" s="145"/>
      <c r="AV687" s="145"/>
      <c r="AW687" s="145"/>
      <c r="AX687" s="145"/>
      <c r="AY687" s="145"/>
      <c r="AZ687" s="145"/>
      <c r="BA687" s="145"/>
      <c r="BB687" s="145"/>
      <c r="BC687" s="145"/>
      <c r="BD687" s="892"/>
      <c r="BF687" s="900"/>
      <c r="BM687" s="902"/>
      <c r="BN687" s="902"/>
      <c r="BO687" s="902"/>
      <c r="BP687" s="931"/>
      <c r="BQ687" s="902"/>
      <c r="BR687" s="902"/>
      <c r="BS687" s="902"/>
    </row>
    <row r="688" spans="1:71" ht="12.75" customHeight="1">
      <c r="A688" s="2465" t="s">
        <v>3036</v>
      </c>
      <c r="B688" s="941"/>
      <c r="C688" s="917"/>
      <c r="D688" s="943">
        <v>6.3399999999999998E-2</v>
      </c>
      <c r="E688" s="144"/>
      <c r="F688" s="189"/>
      <c r="G688" s="286"/>
      <c r="H688" s="286"/>
      <c r="I688" s="286"/>
      <c r="J688" s="145"/>
      <c r="K688" s="144"/>
      <c r="L688" s="145"/>
      <c r="M688" s="145"/>
      <c r="N688" s="145"/>
      <c r="O688" s="145"/>
      <c r="P688" s="144"/>
      <c r="Q688" s="145"/>
      <c r="R688" s="145"/>
      <c r="S688" s="145"/>
      <c r="T688" s="145"/>
      <c r="U688" s="144"/>
      <c r="V688" s="145"/>
      <c r="W688" s="145"/>
      <c r="X688" s="145"/>
      <c r="Y688" s="145"/>
      <c r="Z688" s="144"/>
      <c r="AA688" s="145"/>
      <c r="AB688" s="145"/>
      <c r="AC688" s="145"/>
      <c r="AD688" s="145"/>
      <c r="AE688" s="2594"/>
      <c r="AF688" s="145">
        <f>AVERAGE(AF649)*$D688/4</f>
        <v>3.7564500000000001</v>
      </c>
      <c r="AG688" s="145">
        <f t="shared" si="1185"/>
        <v>3.7485249999999999</v>
      </c>
      <c r="AH688" s="2741">
        <f t="shared" si="1185"/>
        <v>3.7485249999999999</v>
      </c>
      <c r="AI688" s="145">
        <f t="shared" si="1185"/>
        <v>3.7564500000000001</v>
      </c>
      <c r="AJ688" s="2594">
        <f>SUM(AF688:AI688)</f>
        <v>15.00995</v>
      </c>
      <c r="AK688" s="145">
        <f t="shared" si="1187"/>
        <v>3.7564500000000001</v>
      </c>
      <c r="AL688" s="145">
        <f t="shared" si="1188"/>
        <v>3.7564500000000001</v>
      </c>
      <c r="AM688" s="145">
        <f t="shared" si="1189"/>
        <v>3.7564500000000001</v>
      </c>
      <c r="AN688" s="145">
        <f t="shared" si="1190"/>
        <v>3.7564500000000001</v>
      </c>
      <c r="AO688" s="2594">
        <f>SUM(AK688:AN688)</f>
        <v>15.0258</v>
      </c>
      <c r="AP688" s="2594">
        <f t="shared" si="1192"/>
        <v>15.0258</v>
      </c>
      <c r="AQ688" s="2594">
        <f t="shared" si="1192"/>
        <v>15.0258</v>
      </c>
      <c r="AR688" s="145"/>
      <c r="AS688" s="523"/>
      <c r="AT688" s="145"/>
      <c r="AU688" s="145"/>
      <c r="AV688" s="145"/>
      <c r="AW688" s="145"/>
      <c r="AX688" s="145"/>
      <c r="AY688" s="145"/>
      <c r="AZ688" s="145"/>
      <c r="BA688" s="145"/>
      <c r="BB688" s="145"/>
      <c r="BC688" s="145"/>
      <c r="BD688" s="892"/>
      <c r="BF688" s="900"/>
      <c r="BM688" s="902"/>
      <c r="BN688" s="902"/>
      <c r="BO688" s="902"/>
      <c r="BP688" s="931"/>
      <c r="BQ688" s="902"/>
      <c r="BR688" s="902"/>
      <c r="BS688" s="902"/>
    </row>
    <row r="689" spans="1:71" ht="12.75" customHeight="1">
      <c r="A689" s="304" t="str">
        <f>A650</f>
        <v>Other Debt</v>
      </c>
      <c r="B689" s="941"/>
      <c r="C689" s="917"/>
      <c r="D689" s="943">
        <v>2.6499999999999999E-2</v>
      </c>
      <c r="E689" s="144"/>
      <c r="F689" s="189">
        <f>IF(ISERROR(AVERAGE(E650:F650)*$D689),"NM",AVERAGE(E650:F650)*$D689)</f>
        <v>10.3085</v>
      </c>
      <c r="G689" s="286">
        <f>IF(ISERROR(AVERAGE(F650:G650)*$D689/4),"NM",AVERAGE(F650:G650)*$D689/4)</f>
        <v>2.5771250000000001</v>
      </c>
      <c r="H689" s="286" t="str">
        <f>IF(ISERROR(AVERAGE(G650:H650)*$D689/4),"NM",AVERAGE(G650:H650)*$D689/4)</f>
        <v>NM</v>
      </c>
      <c r="I689" s="286" t="str">
        <f>IF(ISERROR(AVERAGE(H650:I650)*$D689/4),"NM",AVERAGE(H650:I650)*$D689/4)</f>
        <v>NM</v>
      </c>
      <c r="J689" s="145">
        <f>AVERAGE(I650:J650)*$D689/4</f>
        <v>0</v>
      </c>
      <c r="K689" s="144">
        <f>SUM(G689:J689)</f>
        <v>2.5771250000000001</v>
      </c>
      <c r="L689" s="145">
        <f>AVERAGE(K650:L650)*$D689/4</f>
        <v>0</v>
      </c>
      <c r="M689" s="145">
        <f>AVERAGE(L650:M650)*$D689/4</f>
        <v>0</v>
      </c>
      <c r="N689" s="145">
        <f>AVERAGE(M650:N650)*$D689/4</f>
        <v>0</v>
      </c>
      <c r="O689" s="145">
        <f>AVERAGE(N650:O650)*$D689/4</f>
        <v>0</v>
      </c>
      <c r="P689" s="144">
        <f>SUM(L689:O689)</f>
        <v>0</v>
      </c>
      <c r="Q689" s="145">
        <f>AVERAGE(P650:Q650)*$D689/4</f>
        <v>0</v>
      </c>
      <c r="R689" s="145">
        <f>AVERAGE(Q650:R650)*$D689/4</f>
        <v>0</v>
      </c>
      <c r="S689" s="145">
        <f>AVERAGE(R650:S650)*$D689/4</f>
        <v>0</v>
      </c>
      <c r="T689" s="145">
        <f>AVERAGE(S650:T650)*$D689/4</f>
        <v>0</v>
      </c>
      <c r="U689" s="144">
        <f>SUM(Q689:T689)</f>
        <v>0</v>
      </c>
      <c r="V689" s="145">
        <f>AVERAGE(U650:V650)*$D689/4</f>
        <v>0</v>
      </c>
      <c r="W689" s="145">
        <f>AVERAGE(V650:W650)*$D689/4</f>
        <v>0</v>
      </c>
      <c r="X689" s="145">
        <f>AVERAGE(W650:X650)*$D689/4</f>
        <v>0</v>
      </c>
      <c r="Y689" s="145">
        <f>AVERAGE(X650:Y650)*$D689/4</f>
        <v>0</v>
      </c>
      <c r="Z689" s="144">
        <f>SUM(V689:Y689)</f>
        <v>0</v>
      </c>
      <c r="AA689" s="145">
        <f>AVERAGE(Z650:AA650)*$D689/4</f>
        <v>0</v>
      </c>
      <c r="AB689" s="145">
        <f>AVERAGE(AA650:AB650)*$D689/4</f>
        <v>0</v>
      </c>
      <c r="AC689" s="145">
        <f>AVERAGE(AB650:AC650)*$D689/4</f>
        <v>0</v>
      </c>
      <c r="AD689" s="145">
        <f>AVERAGE(AC650:AD650)*$D689/4</f>
        <v>4.6871875000000003</v>
      </c>
      <c r="AE689" s="2594">
        <f t="shared" si="1175"/>
        <v>4.6871875000000003</v>
      </c>
      <c r="AF689" s="145">
        <f>AVERAGE(AF650)*$D689/4</f>
        <v>0.14574999999999999</v>
      </c>
      <c r="AG689" s="145">
        <f t="shared" si="1185"/>
        <v>0.14243749999999999</v>
      </c>
      <c r="AH689" s="2741">
        <f t="shared" si="1185"/>
        <v>0.139125</v>
      </c>
      <c r="AI689" s="145">
        <f t="shared" si="1185"/>
        <v>0.139125</v>
      </c>
      <c r="AJ689" s="2594">
        <f>SUM(AF689:AI689)</f>
        <v>0.56643749999999993</v>
      </c>
      <c r="AK689" s="145">
        <f t="shared" si="1187"/>
        <v>0.139125</v>
      </c>
      <c r="AL689" s="145">
        <f>AVERAGE(AK650:AL650)*$D689/4</f>
        <v>0.139125</v>
      </c>
      <c r="AM689" s="145">
        <f t="shared" si="1189"/>
        <v>0.139125</v>
      </c>
      <c r="AN689" s="145">
        <f t="shared" si="1190"/>
        <v>0.139125</v>
      </c>
      <c r="AO689" s="2594">
        <f>SUM(AK689:AN689)</f>
        <v>0.55649999999999999</v>
      </c>
      <c r="AP689" s="2594">
        <f t="shared" ref="AP689" si="1195">AVERAGE(AO650:AP650)*$D689</f>
        <v>0.55649999999999999</v>
      </c>
      <c r="AQ689" s="2594">
        <f t="shared" ref="AQ689" si="1196">AVERAGE(AP650:AQ650)*$D689</f>
        <v>0.55649999999999999</v>
      </c>
      <c r="AR689" s="145"/>
      <c r="AS689" s="523" t="str">
        <f>+A689</f>
        <v>Other Debt</v>
      </c>
      <c r="AT689" s="145">
        <f t="shared" ref="AT689:AU691" si="1197">+E689</f>
        <v>0</v>
      </c>
      <c r="AU689" s="145">
        <f t="shared" si="1197"/>
        <v>10.3085</v>
      </c>
      <c r="AV689" s="145">
        <f>+K689</f>
        <v>2.5771250000000001</v>
      </c>
      <c r="AW689" s="145">
        <f>+P689</f>
        <v>0</v>
      </c>
      <c r="AX689" s="145">
        <f>+U689</f>
        <v>0</v>
      </c>
      <c r="AY689" s="145">
        <f>+Z689</f>
        <v>0</v>
      </c>
      <c r="AZ689" s="145">
        <f>+AE689</f>
        <v>4.6871875000000003</v>
      </c>
      <c r="BA689" s="145">
        <f>+AJ689</f>
        <v>0.56643749999999993</v>
      </c>
      <c r="BB689" s="145">
        <f t="shared" si="1170"/>
        <v>0.55649999999999999</v>
      </c>
      <c r="BC689" s="145">
        <f t="shared" si="1170"/>
        <v>0.55649999999999999</v>
      </c>
      <c r="BD689" s="892">
        <f t="shared" si="1170"/>
        <v>0.55649999999999999</v>
      </c>
      <c r="BF689" s="900"/>
      <c r="BM689" s="902"/>
      <c r="BN689" s="902"/>
      <c r="BO689" s="902"/>
      <c r="BP689" s="931"/>
      <c r="BQ689" s="902"/>
      <c r="BR689" s="902"/>
      <c r="BS689" s="902"/>
    </row>
    <row r="690" spans="1:71" ht="12.75" customHeight="1">
      <c r="A690" s="500" t="s">
        <v>395</v>
      </c>
      <c r="B690" s="941"/>
      <c r="C690" s="1063"/>
      <c r="D690" s="186"/>
      <c r="E690" s="1431">
        <f t="shared" ref="E690:R690" si="1198">E691-SUM(E666:E689)</f>
        <v>946</v>
      </c>
      <c r="F690" s="1432">
        <f t="shared" si="1198"/>
        <v>90.511500000000069</v>
      </c>
      <c r="G690" s="1433">
        <f t="shared" si="1198"/>
        <v>4.8778750000000173</v>
      </c>
      <c r="H690" s="1433">
        <f t="shared" si="1198"/>
        <v>138</v>
      </c>
      <c r="I690" s="1433">
        <f t="shared" si="1198"/>
        <v>142</v>
      </c>
      <c r="J690" s="1434">
        <f t="shared" si="1198"/>
        <v>12.793225000000007</v>
      </c>
      <c r="K690" s="1435">
        <f t="shared" si="1198"/>
        <v>297.67109999999997</v>
      </c>
      <c r="L690" s="1434">
        <f t="shared" si="1198"/>
        <v>9.7932250000000067</v>
      </c>
      <c r="M690" s="1434">
        <f t="shared" si="1198"/>
        <v>6.4227249999999998</v>
      </c>
      <c r="N690" s="1434">
        <f>N691-SUM(N666:N689)</f>
        <v>5.3014875000000075</v>
      </c>
      <c r="O690" s="1434">
        <f t="shared" si="1198"/>
        <v>101.55886875</v>
      </c>
      <c r="P690" s="144">
        <f>SUM(L690:O690)</f>
        <v>123.07630625000002</v>
      </c>
      <c r="Q690" s="1434">
        <f t="shared" si="1198"/>
        <v>37.823374999999984</v>
      </c>
      <c r="R690" s="1434">
        <f t="shared" si="1198"/>
        <v>44.708887500000003</v>
      </c>
      <c r="S690" s="1434">
        <f>S691-SUM(S666:S689)</f>
        <v>44.348712499999991</v>
      </c>
      <c r="T690" s="1434">
        <f>T691-SUM(T666:T689)</f>
        <v>41.384682812500003</v>
      </c>
      <c r="U690" s="144">
        <f>SUM(Q690:T690)</f>
        <v>168.26565781249997</v>
      </c>
      <c r="V690" s="1434">
        <f>V691-SUM(V666:V689)</f>
        <v>36.174903124999986</v>
      </c>
      <c r="W690" s="1434">
        <f>W691-SUM(W666:W689)</f>
        <v>42.317840625000002</v>
      </c>
      <c r="X690" s="1434">
        <f>X691-SUM(X666:X689)</f>
        <v>33.592415624999987</v>
      </c>
      <c r="Y690" s="1434">
        <f>Y691-SUM(Y666:Y689)</f>
        <v>42.296335937500004</v>
      </c>
      <c r="Z690" s="144">
        <f>SUM(V690:Y690)</f>
        <v>154.38149531249996</v>
      </c>
      <c r="AA690" s="1434">
        <f>AA691-SUM(AA666:AA689)</f>
        <v>36.681181249999995</v>
      </c>
      <c r="AB690" s="1434">
        <f>AB691-SUM(AB666:AB689)</f>
        <v>42.761431249999987</v>
      </c>
      <c r="AC690" s="1434">
        <f>AC691-SUM(AC666:AC689)</f>
        <v>27.205692187499977</v>
      </c>
      <c r="AD690" s="1434">
        <f>AD691-SUM(AD666:AD689)</f>
        <v>42.927107812499997</v>
      </c>
      <c r="AE690" s="2594">
        <f t="shared" si="1175"/>
        <v>149.57541249999997</v>
      </c>
      <c r="AF690" s="1434">
        <f>AF691-SUM(AF666:AF689)</f>
        <v>42.259499999999996</v>
      </c>
      <c r="AG690" s="1434">
        <f>AG691-SUM(AG666:AG689)</f>
        <v>38.307987499999996</v>
      </c>
      <c r="AH690" s="1434">
        <f>AH691-SUM(AH666:AH689)</f>
        <v>38.385799999999996</v>
      </c>
      <c r="AI690" s="1434">
        <f>AI691-SUM(AI666:AI689)</f>
        <v>42.042624999999994</v>
      </c>
      <c r="AJ690" s="2594">
        <f>SUM(AF690:AI690)</f>
        <v>160.99591249999997</v>
      </c>
      <c r="AK690" s="4020">
        <v>22</v>
      </c>
      <c r="AL690" s="4020">
        <v>23</v>
      </c>
      <c r="AM690" s="4020">
        <v>24</v>
      </c>
      <c r="AN690" s="4020">
        <v>24</v>
      </c>
      <c r="AO690" s="2594">
        <f>SUM(AK690:AN690)</f>
        <v>93</v>
      </c>
      <c r="AP690" s="1645">
        <f>AO690</f>
        <v>93</v>
      </c>
      <c r="AQ690" s="1645">
        <f>AP690</f>
        <v>93</v>
      </c>
      <c r="AR690" s="145"/>
      <c r="AS690" s="523" t="str">
        <f>+A690</f>
        <v>Other</v>
      </c>
      <c r="AT690" s="145">
        <f t="shared" si="1197"/>
        <v>946</v>
      </c>
      <c r="AU690" s="145">
        <f t="shared" si="1197"/>
        <v>90.511500000000069</v>
      </c>
      <c r="AV690" s="145">
        <f>+K690</f>
        <v>297.67109999999997</v>
      </c>
      <c r="AW690" s="145">
        <f>+P690</f>
        <v>123.07630625000002</v>
      </c>
      <c r="AX690" s="145">
        <f>+U690</f>
        <v>168.26565781249997</v>
      </c>
      <c r="AY690" s="145">
        <f>+Z690</f>
        <v>154.38149531249996</v>
      </c>
      <c r="AZ690" s="145">
        <f>+AE690</f>
        <v>149.57541249999997</v>
      </c>
      <c r="BA690" s="145">
        <f>+AJ690</f>
        <v>160.99591249999997</v>
      </c>
      <c r="BB690" s="145">
        <f t="shared" si="1170"/>
        <v>93</v>
      </c>
      <c r="BC690" s="145">
        <f t="shared" si="1170"/>
        <v>93</v>
      </c>
      <c r="BD690" s="892">
        <f t="shared" si="1170"/>
        <v>93</v>
      </c>
      <c r="BF690" s="900"/>
      <c r="BM690" s="902"/>
      <c r="BN690" s="902"/>
      <c r="BO690" s="902"/>
      <c r="BP690" s="931"/>
      <c r="BQ690" s="902"/>
      <c r="BR690" s="902"/>
      <c r="BS690" s="902"/>
    </row>
    <row r="691" spans="1:71" ht="12.75" customHeight="1">
      <c r="A691" s="1492" t="s">
        <v>1809</v>
      </c>
      <c r="B691" s="1493"/>
      <c r="C691" s="1493"/>
      <c r="D691" s="1493"/>
      <c r="E691" s="1493">
        <f t="shared" ref="E691:J691" si="1199">-E51</f>
        <v>946</v>
      </c>
      <c r="F691" s="1494">
        <f t="shared" si="1199"/>
        <v>643</v>
      </c>
      <c r="G691" s="1495">
        <f t="shared" si="1199"/>
        <v>143</v>
      </c>
      <c r="H691" s="1495">
        <f t="shared" si="1199"/>
        <v>138</v>
      </c>
      <c r="I691" s="1495">
        <f t="shared" si="1199"/>
        <v>142</v>
      </c>
      <c r="J691" s="1496">
        <f t="shared" si="1199"/>
        <v>146</v>
      </c>
      <c r="K691" s="1493">
        <f>SUM(G691:J691)</f>
        <v>569</v>
      </c>
      <c r="L691" s="1495">
        <f>-L51</f>
        <v>143</v>
      </c>
      <c r="M691" s="1495">
        <f>-M51</f>
        <v>131</v>
      </c>
      <c r="N691" s="1495">
        <f>-N51</f>
        <v>127</v>
      </c>
      <c r="O691" s="1496">
        <f>-O51</f>
        <v>219</v>
      </c>
      <c r="P691" s="1493">
        <f>SUM(P666:P690)</f>
        <v>620</v>
      </c>
      <c r="Q691" s="1495">
        <f>-Q51</f>
        <v>153</v>
      </c>
      <c r="R691" s="1495">
        <f>-R51</f>
        <v>158</v>
      </c>
      <c r="S691" s="1495">
        <f>-S51</f>
        <v>156</v>
      </c>
      <c r="T691" s="1495">
        <f>-T51</f>
        <v>151</v>
      </c>
      <c r="U691" s="1493">
        <f>SUM(U666:U690)</f>
        <v>618</v>
      </c>
      <c r="V691" s="1495">
        <f>-V51</f>
        <v>144</v>
      </c>
      <c r="W691" s="1495">
        <f>-W51</f>
        <v>149</v>
      </c>
      <c r="X691" s="1495">
        <f>-X51</f>
        <v>138</v>
      </c>
      <c r="Y691" s="1495">
        <f>-Y51</f>
        <v>144</v>
      </c>
      <c r="Z691" s="1493">
        <f>SUM(Z666:Z690)</f>
        <v>575</v>
      </c>
      <c r="AA691" s="2817">
        <f>-AA51</f>
        <v>139</v>
      </c>
      <c r="AB691" s="2817">
        <f>-AB51</f>
        <v>147</v>
      </c>
      <c r="AC691" s="2817">
        <f>-AC51</f>
        <v>148</v>
      </c>
      <c r="AD691" s="2817">
        <f>-AD51</f>
        <v>153</v>
      </c>
      <c r="AE691" s="1493">
        <f t="shared" ref="AE691:AQ691" si="1200">SUM(AE666:AE690)</f>
        <v>587</v>
      </c>
      <c r="AF691" s="2817">
        <f>+AF8-AF51</f>
        <v>104</v>
      </c>
      <c r="AG691" s="2817">
        <f>+AG8-AG51</f>
        <v>100</v>
      </c>
      <c r="AH691" s="4050">
        <f>+AH8-AH51</f>
        <v>100</v>
      </c>
      <c r="AI691" s="4050">
        <f>+AI8-AI51</f>
        <v>104</v>
      </c>
      <c r="AJ691" s="1493">
        <f>SUM(AJ666:AJ690)</f>
        <v>408</v>
      </c>
      <c r="AK691" s="1497">
        <f t="shared" ref="AK691:AM691" si="1201">SUM(AK666:AK690)</f>
        <v>84.56268750000001</v>
      </c>
      <c r="AL691" s="1497">
        <f t="shared" si="1201"/>
        <v>86.028312499999998</v>
      </c>
      <c r="AM691" s="1497">
        <f t="shared" si="1201"/>
        <v>87.493937500000001</v>
      </c>
      <c r="AN691" s="1497">
        <f>SUM(AN666:AN690)</f>
        <v>87.959562500000004</v>
      </c>
      <c r="AO691" s="1493">
        <f>SUM(AO666:AO690)</f>
        <v>346.04449999999997</v>
      </c>
      <c r="AP691" s="1493">
        <f t="shared" si="1200"/>
        <v>353.49450000000002</v>
      </c>
      <c r="AQ691" s="1493">
        <f t="shared" si="1200"/>
        <v>360.94450000000001</v>
      </c>
      <c r="AR691" s="219"/>
      <c r="AS691" s="293" t="str">
        <f>+A691</f>
        <v>Total Interest Expense</v>
      </c>
      <c r="AT691" s="342">
        <f t="shared" si="1197"/>
        <v>946</v>
      </c>
      <c r="AU691" s="342">
        <f t="shared" si="1197"/>
        <v>643</v>
      </c>
      <c r="AV691" s="342">
        <f>+K691</f>
        <v>569</v>
      </c>
      <c r="AW691" s="342">
        <f>+P691</f>
        <v>620</v>
      </c>
      <c r="AX691" s="342">
        <f>+U691</f>
        <v>618</v>
      </c>
      <c r="AY691" s="342">
        <f>+Z691</f>
        <v>575</v>
      </c>
      <c r="AZ691" s="342">
        <f>+AE691</f>
        <v>587</v>
      </c>
      <c r="BA691" s="342">
        <f>+AJ691</f>
        <v>408</v>
      </c>
      <c r="BB691" s="342">
        <f>+AO691</f>
        <v>346.04449999999997</v>
      </c>
      <c r="BC691" s="342">
        <f>+AP691</f>
        <v>353.49450000000002</v>
      </c>
      <c r="BD691" s="898">
        <f>+AQ691</f>
        <v>360.94450000000001</v>
      </c>
      <c r="BF691" s="900"/>
      <c r="BM691" s="902"/>
      <c r="BN691" s="902"/>
      <c r="BO691" s="902"/>
      <c r="BP691" s="931"/>
      <c r="BQ691" s="902"/>
      <c r="BR691" s="902"/>
      <c r="BS691" s="902"/>
    </row>
    <row r="692" spans="1:71" ht="12.75" customHeight="1">
      <c r="A692" s="1974" t="s">
        <v>564</v>
      </c>
      <c r="B692" s="145"/>
      <c r="C692" s="145"/>
      <c r="D692" s="145"/>
      <c r="E692" s="145"/>
      <c r="F692" s="145"/>
      <c r="G692" s="145"/>
      <c r="H692" s="145"/>
      <c r="I692" s="145"/>
      <c r="J692" s="145"/>
      <c r="K692" s="390">
        <f>+K691/K610</f>
        <v>3.653290529695024E-2</v>
      </c>
      <c r="L692" s="145"/>
      <c r="M692" s="145"/>
      <c r="N692" s="145"/>
      <c r="O692" s="145"/>
      <c r="P692" s="390">
        <f>+P691/P610</f>
        <v>5.0178051149239233E-2</v>
      </c>
      <c r="Q692" s="145"/>
      <c r="R692" s="145"/>
      <c r="S692" s="145"/>
      <c r="T692" s="145"/>
      <c r="U692" s="390">
        <f>+U691/U610</f>
        <v>5.518842650473299E-2</v>
      </c>
      <c r="V692" s="145"/>
      <c r="W692" s="145"/>
      <c r="X692" s="145"/>
      <c r="Y692" s="145"/>
      <c r="Z692" s="390">
        <f>+Z691/Z610</f>
        <v>5.6300793106824634E-2</v>
      </c>
      <c r="AA692" s="145"/>
      <c r="AB692" s="145"/>
      <c r="AC692" s="145"/>
      <c r="AD692" s="145"/>
      <c r="AE692" s="390">
        <f>+AE691/AE610</f>
        <v>5.5267865549383295E-2</v>
      </c>
      <c r="AF692" s="145"/>
      <c r="AG692" s="145"/>
      <c r="AH692" s="145"/>
      <c r="AI692" s="145"/>
      <c r="AJ692" s="3650"/>
      <c r="AK692" s="145"/>
      <c r="AL692" s="145"/>
      <c r="AM692" s="145"/>
      <c r="AN692" s="145"/>
      <c r="AO692" s="145"/>
      <c r="AP692" s="145"/>
      <c r="AQ692" s="145"/>
      <c r="AR692" s="145"/>
      <c r="AS692" s="278" t="str">
        <f>+A692</f>
        <v>Avg Interest Expense</v>
      </c>
      <c r="AT692" s="145"/>
      <c r="AU692" s="145"/>
      <c r="AV692" s="145"/>
      <c r="AW692" s="145">
        <f>+P692</f>
        <v>5.0178051149239233E-2</v>
      </c>
      <c r="AX692" s="145"/>
      <c r="AY692" s="145"/>
      <c r="AZ692" s="145"/>
      <c r="BA692" s="145"/>
      <c r="BB692" s="145"/>
      <c r="BC692" s="145"/>
      <c r="BD692" s="145"/>
      <c r="BF692" s="900"/>
      <c r="BM692" s="902"/>
      <c r="BN692" s="902"/>
      <c r="BO692" s="902"/>
      <c r="BP692" s="902"/>
      <c r="BQ692" s="902"/>
      <c r="BR692" s="902"/>
      <c r="BS692" s="902"/>
    </row>
    <row r="693" spans="1:71" ht="12.75" customHeight="1">
      <c r="A693" s="260"/>
      <c r="B693" s="145"/>
      <c r="C693" s="145"/>
      <c r="D693" s="145"/>
      <c r="E693" s="145"/>
      <c r="F693" s="145"/>
      <c r="G693" s="145"/>
      <c r="H693" s="145"/>
      <c r="I693" s="145"/>
      <c r="J693" s="145"/>
      <c r="K693" s="145"/>
      <c r="L693" s="145"/>
      <c r="M693" s="145"/>
      <c r="N693" s="145"/>
      <c r="O693" s="145"/>
      <c r="P693" s="145"/>
      <c r="Q693" s="145"/>
      <c r="R693" s="145"/>
      <c r="S693" s="145"/>
      <c r="T693" s="145"/>
      <c r="U693" s="145"/>
      <c r="V693" s="145"/>
      <c r="W693" s="145"/>
      <c r="X693" s="145"/>
      <c r="Y693" s="145"/>
      <c r="Z693" s="145"/>
      <c r="AA693" s="145"/>
      <c r="AB693" s="145"/>
      <c r="AC693" s="145"/>
      <c r="AD693" s="145"/>
      <c r="AE693" s="145"/>
      <c r="AF693" s="145"/>
      <c r="AG693" s="145"/>
      <c r="AH693" s="145"/>
      <c r="AI693" s="145"/>
      <c r="AJ693" s="145"/>
      <c r="AK693" s="145"/>
      <c r="AL693" s="145"/>
      <c r="AM693" s="145"/>
      <c r="AN693" s="145"/>
      <c r="AO693" s="145"/>
      <c r="AP693" s="145"/>
      <c r="AQ693" s="145"/>
      <c r="AR693" s="145"/>
      <c r="AS693" s="260"/>
      <c r="AT693" s="145"/>
      <c r="AU693" s="145"/>
      <c r="AV693" s="145"/>
      <c r="AW693" s="145"/>
      <c r="AX693" s="145"/>
      <c r="AY693" s="145"/>
      <c r="AZ693" s="145"/>
      <c r="BA693" s="145"/>
      <c r="BB693" s="145"/>
      <c r="BC693" s="145"/>
      <c r="BD693" s="145"/>
      <c r="BF693" s="900"/>
      <c r="BM693" s="902"/>
      <c r="BN693" s="902"/>
      <c r="BO693" s="902"/>
      <c r="BP693" s="902"/>
      <c r="BQ693" s="902"/>
      <c r="BR693" s="902"/>
      <c r="BS693" s="902"/>
    </row>
    <row r="694" spans="1:71" ht="12.75" customHeight="1">
      <c r="A694" s="1492" t="s">
        <v>1216</v>
      </c>
      <c r="B694" s="1493"/>
      <c r="C694" s="1493"/>
      <c r="D694" s="1493"/>
      <c r="E694" s="1493">
        <f t="shared" ref="E694:J694" si="1202">E50</f>
        <v>9</v>
      </c>
      <c r="F694" s="1493">
        <f t="shared" si="1202"/>
        <v>11</v>
      </c>
      <c r="G694" s="1497">
        <f t="shared" si="1202"/>
        <v>6</v>
      </c>
      <c r="H694" s="1497">
        <f t="shared" si="1202"/>
        <v>3</v>
      </c>
      <c r="I694" s="1497">
        <f t="shared" si="1202"/>
        <v>2</v>
      </c>
      <c r="J694" s="1497">
        <f t="shared" si="1202"/>
        <v>4</v>
      </c>
      <c r="K694" s="1493">
        <f>SUM(G694:J694)</f>
        <v>15</v>
      </c>
      <c r="L694" s="1497">
        <f>L50</f>
        <v>2</v>
      </c>
      <c r="M694" s="1497">
        <f>M50</f>
        <v>1</v>
      </c>
      <c r="N694" s="1497">
        <f>N50</f>
        <v>2</v>
      </c>
      <c r="O694" s="1497">
        <f>O50</f>
        <v>4</v>
      </c>
      <c r="P694" s="1493">
        <f>SUM(L694:O694)</f>
        <v>9</v>
      </c>
      <c r="Q694" s="1497">
        <f>Q50</f>
        <v>1</v>
      </c>
      <c r="R694" s="1497">
        <f>Q551*R661/4</f>
        <v>0.54375000000000007</v>
      </c>
      <c r="S694" s="1497">
        <f>R551*S661/4</f>
        <v>0.68125000000000002</v>
      </c>
      <c r="T694" s="1497">
        <f>S551*T661/4</f>
        <v>0.67874999999999996</v>
      </c>
      <c r="U694" s="1493">
        <f>SUM(Q694:T694)</f>
        <v>2.9037500000000001</v>
      </c>
      <c r="V694" s="1497">
        <f>V50</f>
        <v>6</v>
      </c>
      <c r="W694" s="1497">
        <f>W50</f>
        <v>2</v>
      </c>
      <c r="X694" s="1497">
        <f>X50</f>
        <v>3</v>
      </c>
      <c r="Y694" s="1497">
        <f>Y50</f>
        <v>8</v>
      </c>
      <c r="Z694" s="1493">
        <f>SUM(V694:Y694)</f>
        <v>19</v>
      </c>
      <c r="AA694" s="1497">
        <f>AA50</f>
        <v>3</v>
      </c>
      <c r="AB694" s="1497">
        <f>AB50</f>
        <v>4</v>
      </c>
      <c r="AC694" s="1497">
        <f>AC50</f>
        <v>3</v>
      </c>
      <c r="AD694" s="1497">
        <f>AD50</f>
        <v>2</v>
      </c>
      <c r="AE694" s="1493">
        <f>Z551*AE661</f>
        <v>4.1868750000000006</v>
      </c>
      <c r="AF694" s="1497">
        <f>AF50</f>
        <v>0</v>
      </c>
      <c r="AG694" s="2844">
        <f>AF694</f>
        <v>0</v>
      </c>
      <c r="AH694" s="2844">
        <f>AG694</f>
        <v>0</v>
      </c>
      <c r="AI694" s="2844">
        <f>AH694</f>
        <v>0</v>
      </c>
      <c r="AJ694" s="1493">
        <f>SUM(AF694:AI694)</f>
        <v>0</v>
      </c>
      <c r="AK694" s="3957">
        <f ca="1">AK551*AK661/4</f>
        <v>2.4966412851618718</v>
      </c>
      <c r="AL694" s="4122">
        <f ca="1">AL551*AL661/4</f>
        <v>3.3987139731947487</v>
      </c>
      <c r="AM694" s="4122">
        <f ca="1">AM551*AM661/4</f>
        <v>3.9675536532405182</v>
      </c>
      <c r="AN694" s="4122">
        <f ca="1">AN551*AN661/4</f>
        <v>4.2902255608001871</v>
      </c>
      <c r="AO694" s="1493">
        <f ca="1">SUM(AK694:AN694)</f>
        <v>14.153134472397326</v>
      </c>
      <c r="AP694" s="1493">
        <f ca="1">AO551*AP661</f>
        <v>18.795273885410342</v>
      </c>
      <c r="AQ694" s="1493">
        <f ca="1">AP551*AQ661</f>
        <v>26.182972427987803</v>
      </c>
      <c r="AR694" s="219"/>
      <c r="AS694" s="293" t="str">
        <f>+A694</f>
        <v>Total Interest Income</v>
      </c>
      <c r="AT694" s="342">
        <f>+E694</f>
        <v>9</v>
      </c>
      <c r="AU694" s="342">
        <f>+F694</f>
        <v>11</v>
      </c>
      <c r="AV694" s="342">
        <f>+K694</f>
        <v>15</v>
      </c>
      <c r="AW694" s="342">
        <f>+P694</f>
        <v>9</v>
      </c>
      <c r="AX694" s="342">
        <f>+U694</f>
        <v>2.9037500000000001</v>
      </c>
      <c r="AY694" s="342">
        <f>+Z694</f>
        <v>19</v>
      </c>
      <c r="AZ694" s="342">
        <f>+AE694</f>
        <v>4.1868750000000006</v>
      </c>
      <c r="BA694" s="342">
        <f>+AJ694</f>
        <v>0</v>
      </c>
      <c r="BB694" s="342">
        <f ca="1">+AO694</f>
        <v>14.153134472397326</v>
      </c>
      <c r="BC694" s="342">
        <f ca="1">+AP694</f>
        <v>18.795273885410342</v>
      </c>
      <c r="BD694" s="898">
        <f ca="1">+AQ694</f>
        <v>26.182972427987803</v>
      </c>
      <c r="BF694" s="900"/>
      <c r="BM694" s="902"/>
      <c r="BN694" s="902"/>
      <c r="BO694" s="902"/>
      <c r="BP694" s="902"/>
      <c r="BQ694" s="902"/>
      <c r="BR694" s="902"/>
      <c r="BS694" s="902"/>
    </row>
    <row r="695" spans="1:71" ht="12.75" customHeight="1">
      <c r="A695" s="278"/>
      <c r="B695" s="145"/>
      <c r="C695" s="145"/>
      <c r="D695" s="145"/>
      <c r="E695" s="145"/>
      <c r="F695" s="145"/>
      <c r="G695" s="145"/>
      <c r="H695" s="145"/>
      <c r="I695" s="145"/>
      <c r="J695" s="145"/>
      <c r="K695" s="145"/>
      <c r="L695" s="145"/>
      <c r="M695" s="145"/>
      <c r="N695" s="145"/>
      <c r="O695" s="145"/>
      <c r="P695" s="145"/>
      <c r="Q695" s="145"/>
      <c r="R695" s="145"/>
      <c r="S695" s="145"/>
      <c r="T695" s="145"/>
      <c r="U695" s="145"/>
      <c r="V695" s="145"/>
      <c r="W695" s="145"/>
      <c r="X695" s="145"/>
      <c r="Y695" s="145"/>
      <c r="Z695" s="145"/>
      <c r="AA695" s="145"/>
      <c r="AB695" s="145"/>
      <c r="AC695" s="145"/>
      <c r="AD695" s="145"/>
      <c r="AE695" s="145"/>
      <c r="AF695" s="145"/>
      <c r="AG695" s="145"/>
      <c r="AH695" s="145"/>
      <c r="AI695" s="145"/>
      <c r="AJ695" s="145"/>
      <c r="AK695" s="145"/>
      <c r="AL695" s="145"/>
      <c r="AM695" s="145"/>
      <c r="AN695" s="145"/>
      <c r="AO695" s="145"/>
      <c r="AP695" s="145"/>
      <c r="AQ695" s="145"/>
      <c r="AR695" s="145"/>
      <c r="AS695" s="278"/>
      <c r="AT695" s="145"/>
      <c r="AU695" s="145"/>
      <c r="AV695" s="145"/>
      <c r="AW695" s="145"/>
      <c r="AX695" s="145"/>
      <c r="AY695" s="145"/>
      <c r="AZ695" s="145"/>
      <c r="BA695" s="145"/>
      <c r="BB695" s="145"/>
      <c r="BC695" s="145"/>
      <c r="BD695" s="145"/>
      <c r="BF695" s="900"/>
      <c r="BM695" s="902"/>
      <c r="BN695" s="902"/>
      <c r="BO695" s="902"/>
      <c r="BP695" s="902"/>
      <c r="BQ695" s="902"/>
      <c r="BR695" s="902"/>
      <c r="BS695" s="902"/>
    </row>
    <row r="696" spans="1:71" ht="12.75" customHeight="1">
      <c r="A696" s="289"/>
      <c r="B696" s="155"/>
      <c r="C696" s="155"/>
      <c r="D696" s="155"/>
      <c r="E696" s="155"/>
      <c r="F696" s="155"/>
      <c r="G696" s="155"/>
      <c r="H696" s="155"/>
      <c r="I696" s="155"/>
      <c r="J696" s="155"/>
      <c r="K696" s="155"/>
      <c r="L696" s="155"/>
      <c r="M696" s="155"/>
      <c r="N696" s="155"/>
      <c r="O696" s="155"/>
      <c r="P696" s="155"/>
      <c r="Q696" s="155"/>
      <c r="R696" s="155"/>
      <c r="S696" s="155"/>
      <c r="T696" s="155"/>
      <c r="U696" s="155"/>
      <c r="V696" s="155"/>
      <c r="W696" s="155"/>
      <c r="X696" s="155"/>
      <c r="Y696" s="155"/>
      <c r="Z696" s="155"/>
      <c r="AA696" s="155"/>
      <c r="AB696" s="155"/>
      <c r="AC696" s="155"/>
      <c r="AD696" s="155"/>
      <c r="AE696" s="155"/>
      <c r="AF696" s="155"/>
      <c r="AG696" s="155"/>
      <c r="AH696" s="155"/>
      <c r="AI696" s="155"/>
      <c r="AJ696" s="155"/>
      <c r="AK696" s="155"/>
      <c r="AL696" s="155"/>
      <c r="AM696" s="155"/>
      <c r="AN696" s="155"/>
      <c r="AO696" s="155"/>
      <c r="AP696" s="155"/>
      <c r="AQ696" s="155"/>
      <c r="AR696" s="155"/>
      <c r="AS696" s="289"/>
      <c r="AT696" s="155"/>
      <c r="AU696" s="155"/>
      <c r="AV696" s="155"/>
      <c r="AW696" s="155"/>
      <c r="AX696" s="155"/>
      <c r="AY696" s="155"/>
      <c r="AZ696" s="155"/>
      <c r="BA696" s="155"/>
      <c r="BB696" s="155"/>
      <c r="BC696" s="155"/>
      <c r="BD696" s="155"/>
      <c r="BF696" s="900"/>
      <c r="BM696" s="902"/>
      <c r="BN696" s="902"/>
      <c r="BO696" s="902"/>
      <c r="BP696" s="902"/>
      <c r="BQ696" s="902"/>
      <c r="BR696" s="902"/>
      <c r="BS696" s="902"/>
    </row>
    <row r="697" spans="1:71" ht="12.75" customHeight="1">
      <c r="A697" s="257" t="s">
        <v>1293</v>
      </c>
      <c r="B697" s="155"/>
      <c r="C697" s="155"/>
      <c r="D697" s="155"/>
      <c r="E697" s="155"/>
      <c r="F697" s="155"/>
      <c r="G697" s="155"/>
      <c r="H697" s="155"/>
      <c r="I697" s="155"/>
      <c r="J697" s="155"/>
      <c r="K697" s="155"/>
      <c r="L697" s="155"/>
      <c r="M697" s="155"/>
      <c r="N697" s="155"/>
      <c r="O697" s="155"/>
      <c r="P697" s="155"/>
      <c r="Q697" s="155"/>
      <c r="R697" s="155"/>
      <c r="S697" s="155"/>
      <c r="T697" s="155"/>
      <c r="U697" s="155"/>
      <c r="V697" s="155"/>
      <c r="W697" s="155"/>
      <c r="X697" s="155"/>
      <c r="Y697" s="155"/>
      <c r="Z697" s="155"/>
      <c r="AA697" s="155"/>
      <c r="AB697" s="155"/>
      <c r="AC697" s="155"/>
      <c r="AD697" s="155"/>
      <c r="AE697" s="155"/>
      <c r="AF697" s="155"/>
      <c r="AG697" s="155"/>
      <c r="AH697" s="155"/>
      <c r="AI697" s="155"/>
      <c r="AJ697" s="155"/>
      <c r="AK697" s="155"/>
      <c r="AL697" s="155"/>
      <c r="AM697" s="155"/>
      <c r="AN697" s="155"/>
      <c r="AO697" s="155"/>
      <c r="AP697" s="155"/>
      <c r="AQ697" s="155"/>
      <c r="AR697" s="155"/>
      <c r="AS697" s="257" t="str">
        <f>+A697</f>
        <v>Asset Utilization (DO NOT DELETE)</v>
      </c>
      <c r="AT697" s="155"/>
      <c r="AU697" s="155"/>
      <c r="AV697" s="155"/>
      <c r="AW697" s="155"/>
      <c r="AX697" s="155"/>
      <c r="AY697" s="155"/>
      <c r="AZ697" s="155"/>
      <c r="BA697" s="155"/>
      <c r="BB697" s="155"/>
      <c r="BC697" s="155"/>
      <c r="BD697" s="155"/>
      <c r="BF697" s="900"/>
      <c r="BM697" s="902"/>
      <c r="BN697" s="902"/>
      <c r="BO697" s="902"/>
      <c r="BP697" s="902"/>
      <c r="BQ697" s="902"/>
      <c r="BR697" s="902"/>
      <c r="BS697" s="902"/>
    </row>
    <row r="698" spans="1:71" ht="12.75" customHeight="1">
      <c r="A698" s="278" t="s">
        <v>1695</v>
      </c>
      <c r="B698" s="145"/>
      <c r="C698" s="145"/>
      <c r="D698" s="145"/>
      <c r="E698" s="976" t="s">
        <v>1263</v>
      </c>
      <c r="F698" s="145">
        <f t="shared" ref="F698:N698" si="1203">F563</f>
        <v>9117</v>
      </c>
      <c r="G698" s="145">
        <f t="shared" si="1203"/>
        <v>9183</v>
      </c>
      <c r="H698" s="145">
        <f t="shared" si="1203"/>
        <v>9195</v>
      </c>
      <c r="I698" s="145">
        <f t="shared" si="1203"/>
        <v>9216</v>
      </c>
      <c r="J698" s="145">
        <f t="shared" si="1203"/>
        <v>9197</v>
      </c>
      <c r="K698" s="145">
        <f t="shared" si="1203"/>
        <v>9197</v>
      </c>
      <c r="L698" s="145">
        <f t="shared" si="1203"/>
        <v>9101</v>
      </c>
      <c r="M698" s="145">
        <f t="shared" si="1203"/>
        <v>9084</v>
      </c>
      <c r="N698" s="145">
        <f t="shared" si="1203"/>
        <v>9071</v>
      </c>
      <c r="O698" s="975">
        <f>P698</f>
        <v>9058</v>
      </c>
      <c r="P698" s="145">
        <f t="shared" ref="P698:AQ698" si="1204">P563</f>
        <v>9058</v>
      </c>
      <c r="Q698" s="145">
        <f t="shared" si="1204"/>
        <v>9031</v>
      </c>
      <c r="R698" s="145">
        <f t="shared" si="1204"/>
        <v>9036</v>
      </c>
      <c r="S698" s="145">
        <f t="shared" si="1204"/>
        <v>9124</v>
      </c>
      <c r="T698" s="145">
        <f t="shared" si="1204"/>
        <v>7483</v>
      </c>
      <c r="U698" s="145">
        <f t="shared" si="1204"/>
        <v>7483</v>
      </c>
      <c r="V698" s="145">
        <f t="shared" si="1204"/>
        <v>9193</v>
      </c>
      <c r="W698" s="145">
        <f t="shared" si="1204"/>
        <v>9302</v>
      </c>
      <c r="X698" s="145">
        <f t="shared" si="1204"/>
        <v>9132</v>
      </c>
      <c r="Y698" s="145">
        <f t="shared" si="1204"/>
        <v>9119</v>
      </c>
      <c r="Z698" s="145">
        <f t="shared" si="1204"/>
        <v>9119</v>
      </c>
      <c r="AA698" s="145">
        <f t="shared" si="1204"/>
        <v>9098</v>
      </c>
      <c r="AB698" s="145">
        <f t="shared" si="1204"/>
        <v>9107</v>
      </c>
      <c r="AC698" s="145">
        <f t="shared" si="1204"/>
        <v>9020</v>
      </c>
      <c r="AD698" s="145">
        <f t="shared" si="1204"/>
        <v>8930</v>
      </c>
      <c r="AE698" s="145">
        <f t="shared" si="1204"/>
        <v>8930</v>
      </c>
      <c r="AF698" s="145">
        <f t="shared" si="1204"/>
        <v>341</v>
      </c>
      <c r="AG698" s="145">
        <f t="shared" si="1204"/>
        <v>338</v>
      </c>
      <c r="AH698" s="145">
        <f t="shared" si="1204"/>
        <v>346</v>
      </c>
      <c r="AI698" s="145">
        <f t="shared" si="1204"/>
        <v>350.4</v>
      </c>
      <c r="AJ698" s="145">
        <f t="shared" si="1204"/>
        <v>350.40000000000009</v>
      </c>
      <c r="AK698" s="145">
        <f t="shared" ref="AK698:AO698" si="1205">AK563</f>
        <v>341.87145013939653</v>
      </c>
      <c r="AL698" s="145">
        <f t="shared" si="1205"/>
        <v>335.73488924036928</v>
      </c>
      <c r="AM698" s="145">
        <f t="shared" si="1205"/>
        <v>330.16201592622366</v>
      </c>
      <c r="AN698" s="145">
        <f t="shared" si="1205"/>
        <v>323.12299005235059</v>
      </c>
      <c r="AO698" s="145">
        <f t="shared" si="1205"/>
        <v>323.12299005235036</v>
      </c>
      <c r="AP698" s="145">
        <f t="shared" si="1204"/>
        <v>296.9044748436358</v>
      </c>
      <c r="AQ698" s="145">
        <f t="shared" si="1204"/>
        <v>268.90105952075578</v>
      </c>
      <c r="AR698" s="145"/>
      <c r="AS698" s="278" t="str">
        <f>+A698</f>
        <v>Net PP&amp;E</v>
      </c>
      <c r="AT698" s="145" t="str">
        <f t="shared" ref="AT698:AU700" si="1206">+E698</f>
        <v>ND</v>
      </c>
      <c r="AU698" s="145">
        <f t="shared" si="1206"/>
        <v>9117</v>
      </c>
      <c r="AV698" s="145">
        <f>+K698</f>
        <v>9197</v>
      </c>
      <c r="AW698" s="145">
        <f>+P698</f>
        <v>9058</v>
      </c>
      <c r="AX698" s="145">
        <f>+U698</f>
        <v>7483</v>
      </c>
      <c r="AY698" s="145">
        <f>+Z698</f>
        <v>9119</v>
      </c>
      <c r="AZ698" s="145">
        <f>+AE698</f>
        <v>8930</v>
      </c>
      <c r="BA698" s="145">
        <f>+AJ698</f>
        <v>350.40000000000009</v>
      </c>
      <c r="BB698" s="145">
        <f t="shared" ref="BB698:BD700" si="1207">+AO698</f>
        <v>323.12299005235036</v>
      </c>
      <c r="BC698" s="145">
        <f t="shared" si="1207"/>
        <v>296.9044748436358</v>
      </c>
      <c r="BD698" s="145">
        <f t="shared" si="1207"/>
        <v>268.90105952075578</v>
      </c>
      <c r="BF698" s="900"/>
      <c r="BM698" s="902"/>
      <c r="BN698" s="902"/>
      <c r="BO698" s="902"/>
      <c r="BP698" s="931"/>
      <c r="BQ698" s="902"/>
      <c r="BR698" s="902"/>
      <c r="BS698" s="902"/>
    </row>
    <row r="699" spans="1:71" ht="12.75" customHeight="1">
      <c r="A699" s="258" t="s">
        <v>1696</v>
      </c>
      <c r="B699" s="158"/>
      <c r="C699" s="158"/>
      <c r="D699" s="158"/>
      <c r="E699" s="516" t="s">
        <v>1263</v>
      </c>
      <c r="F699" s="158">
        <f>-F562</f>
        <v>1265</v>
      </c>
      <c r="G699" s="158"/>
      <c r="H699" s="158"/>
      <c r="I699" s="158"/>
      <c r="J699" s="158">
        <f>-J562</f>
        <v>1542</v>
      </c>
      <c r="K699" s="158">
        <f>-K562</f>
        <v>1542</v>
      </c>
      <c r="L699" s="158"/>
      <c r="M699" s="158">
        <f>-M562</f>
        <v>1639</v>
      </c>
      <c r="N699" s="158"/>
      <c r="O699" s="952">
        <f>P699</f>
        <v>1790</v>
      </c>
      <c r="P699" s="158">
        <f t="shared" ref="P699:AQ699" si="1208">-P562</f>
        <v>1790</v>
      </c>
      <c r="Q699" s="158">
        <f t="shared" si="1208"/>
        <v>1865</v>
      </c>
      <c r="R699" s="158">
        <f t="shared" si="1208"/>
        <v>1944</v>
      </c>
      <c r="S699" s="158">
        <f t="shared" si="1208"/>
        <v>1997</v>
      </c>
      <c r="T699" s="158">
        <f t="shared" si="1208"/>
        <v>1869</v>
      </c>
      <c r="U699" s="158">
        <f t="shared" si="1208"/>
        <v>1869</v>
      </c>
      <c r="V699" s="158">
        <f t="shared" si="1208"/>
        <v>1927</v>
      </c>
      <c r="W699" s="158">
        <f t="shared" si="1208"/>
        <v>1818</v>
      </c>
      <c r="X699" s="158">
        <f t="shared" si="1208"/>
        <v>1989</v>
      </c>
      <c r="Y699" s="158">
        <f t="shared" si="1208"/>
        <v>2120</v>
      </c>
      <c r="Z699" s="158">
        <f t="shared" si="1208"/>
        <v>2120</v>
      </c>
      <c r="AA699" s="158">
        <f t="shared" si="1208"/>
        <v>2289</v>
      </c>
      <c r="AB699" s="158">
        <f t="shared" si="1208"/>
        <v>2300</v>
      </c>
      <c r="AC699" s="158">
        <f t="shared" si="1208"/>
        <v>2390</v>
      </c>
      <c r="AD699" s="158">
        <f t="shared" si="1208"/>
        <v>2289</v>
      </c>
      <c r="AE699" s="158">
        <f t="shared" si="1208"/>
        <v>2289</v>
      </c>
      <c r="AF699" s="158">
        <f t="shared" si="1208"/>
        <v>2378</v>
      </c>
      <c r="AG699" s="158">
        <f t="shared" si="1208"/>
        <v>2465</v>
      </c>
      <c r="AH699" s="158">
        <f t="shared" si="1208"/>
        <v>2548</v>
      </c>
      <c r="AI699" s="158">
        <f t="shared" si="1208"/>
        <v>2636</v>
      </c>
      <c r="AJ699" s="158">
        <f t="shared" si="1208"/>
        <v>2636</v>
      </c>
      <c r="AK699" s="158">
        <f t="shared" ref="AK699:AO699" si="1209">-AK562</f>
        <v>2718</v>
      </c>
      <c r="AL699" s="158">
        <f t="shared" si="1209"/>
        <v>2803.5</v>
      </c>
      <c r="AM699" s="158">
        <f t="shared" si="1209"/>
        <v>2885</v>
      </c>
      <c r="AN699" s="158">
        <f t="shared" si="1209"/>
        <v>2971.5</v>
      </c>
      <c r="AO699" s="158">
        <f t="shared" si="1209"/>
        <v>2971.5</v>
      </c>
      <c r="AP699" s="158">
        <f t="shared" si="1208"/>
        <v>3307</v>
      </c>
      <c r="AQ699" s="158">
        <f t="shared" si="1208"/>
        <v>3642.5</v>
      </c>
      <c r="AR699" s="158"/>
      <c r="AS699" s="258" t="str">
        <f>+A699</f>
        <v>Accumulated Depreciation</v>
      </c>
      <c r="AT699" s="158" t="str">
        <f t="shared" si="1206"/>
        <v>ND</v>
      </c>
      <c r="AU699" s="158">
        <f t="shared" si="1206"/>
        <v>1265</v>
      </c>
      <c r="AV699" s="158">
        <f>+K699</f>
        <v>1542</v>
      </c>
      <c r="AW699" s="158">
        <f>+P699</f>
        <v>1790</v>
      </c>
      <c r="AX699" s="158">
        <f>+U699</f>
        <v>1869</v>
      </c>
      <c r="AY699" s="158">
        <f>+Z699</f>
        <v>2120</v>
      </c>
      <c r="AZ699" s="158">
        <f>+AE699</f>
        <v>2289</v>
      </c>
      <c r="BA699" s="158">
        <f>+AJ699</f>
        <v>2636</v>
      </c>
      <c r="BB699" s="158">
        <f t="shared" si="1207"/>
        <v>2971.5</v>
      </c>
      <c r="BC699" s="158">
        <f t="shared" si="1207"/>
        <v>3307</v>
      </c>
      <c r="BD699" s="158">
        <f t="shared" si="1207"/>
        <v>3642.5</v>
      </c>
      <c r="BF699" s="900"/>
      <c r="BM699" s="902"/>
      <c r="BN699" s="902"/>
      <c r="BO699" s="902"/>
      <c r="BP699" s="931"/>
      <c r="BQ699" s="902"/>
      <c r="BR699" s="902"/>
      <c r="BS699" s="902"/>
    </row>
    <row r="700" spans="1:71" ht="12.75" customHeight="1">
      <c r="A700" s="251" t="s">
        <v>394</v>
      </c>
      <c r="B700" s="155"/>
      <c r="C700" s="155"/>
      <c r="D700" s="155"/>
      <c r="E700" s="977" t="s">
        <v>1263</v>
      </c>
      <c r="F700" s="155">
        <f>SUM(F698:F699)</f>
        <v>10382</v>
      </c>
      <c r="G700" s="155"/>
      <c r="H700" s="155"/>
      <c r="I700" s="155"/>
      <c r="J700" s="155">
        <f>SUM(J698:J699)</f>
        <v>10739</v>
      </c>
      <c r="K700" s="155">
        <f>SUM(K698:K699)</f>
        <v>10739</v>
      </c>
      <c r="L700" s="155"/>
      <c r="M700" s="155">
        <f>SUM(M698:M699)</f>
        <v>10723</v>
      </c>
      <c r="N700" s="155"/>
      <c r="O700" s="155">
        <f t="shared" ref="O700:U700" si="1210">SUM(O698:O699)</f>
        <v>10848</v>
      </c>
      <c r="P700" s="155">
        <f t="shared" si="1210"/>
        <v>10848</v>
      </c>
      <c r="Q700" s="155">
        <f t="shared" si="1210"/>
        <v>10896</v>
      </c>
      <c r="R700" s="155">
        <f t="shared" si="1210"/>
        <v>10980</v>
      </c>
      <c r="S700" s="155">
        <f t="shared" si="1210"/>
        <v>11121</v>
      </c>
      <c r="T700" s="155">
        <f t="shared" si="1210"/>
        <v>9352</v>
      </c>
      <c r="U700" s="155">
        <f t="shared" si="1210"/>
        <v>9352</v>
      </c>
      <c r="V700" s="155">
        <f t="shared" ref="V700:AE700" si="1211">SUM(V698:V699)</f>
        <v>11120</v>
      </c>
      <c r="W700" s="155">
        <f t="shared" si="1211"/>
        <v>11120</v>
      </c>
      <c r="X700" s="155">
        <f t="shared" si="1211"/>
        <v>11121</v>
      </c>
      <c r="Y700" s="155">
        <f t="shared" si="1211"/>
        <v>11239</v>
      </c>
      <c r="Z700" s="155">
        <f t="shared" si="1211"/>
        <v>11239</v>
      </c>
      <c r="AA700" s="155">
        <f t="shared" si="1211"/>
        <v>11387</v>
      </c>
      <c r="AB700" s="155">
        <f t="shared" si="1211"/>
        <v>11407</v>
      </c>
      <c r="AC700" s="155">
        <f t="shared" si="1211"/>
        <v>11410</v>
      </c>
      <c r="AD700" s="155">
        <f t="shared" si="1211"/>
        <v>11219</v>
      </c>
      <c r="AE700" s="155">
        <f t="shared" si="1211"/>
        <v>11219</v>
      </c>
      <c r="AF700" s="155">
        <f t="shared" ref="AF700:AQ700" si="1212">SUM(AF698:AF699)</f>
        <v>2719</v>
      </c>
      <c r="AG700" s="155">
        <f t="shared" si="1212"/>
        <v>2803</v>
      </c>
      <c r="AH700" s="155">
        <f t="shared" si="1212"/>
        <v>2894</v>
      </c>
      <c r="AI700" s="155">
        <f t="shared" si="1212"/>
        <v>2986.4</v>
      </c>
      <c r="AJ700" s="155">
        <f t="shared" si="1212"/>
        <v>2986.4</v>
      </c>
      <c r="AK700" s="155">
        <f t="shared" ref="AK700:AO700" si="1213">SUM(AK698:AK699)</f>
        <v>3059.8714501393965</v>
      </c>
      <c r="AL700" s="155">
        <f t="shared" si="1213"/>
        <v>3139.2348892403693</v>
      </c>
      <c r="AM700" s="155">
        <f t="shared" si="1213"/>
        <v>3215.1620159262238</v>
      </c>
      <c r="AN700" s="155">
        <f t="shared" si="1213"/>
        <v>3294.6229900523504</v>
      </c>
      <c r="AO700" s="155">
        <f t="shared" si="1213"/>
        <v>3294.6229900523504</v>
      </c>
      <c r="AP700" s="155">
        <f t="shared" si="1212"/>
        <v>3603.9044748436359</v>
      </c>
      <c r="AQ700" s="155">
        <f t="shared" si="1212"/>
        <v>3911.4010595207556</v>
      </c>
      <c r="AR700" s="155"/>
      <c r="AS700" s="251" t="str">
        <f>+A700</f>
        <v>Gross PP&amp;E</v>
      </c>
      <c r="AT700" s="155" t="str">
        <f t="shared" si="1206"/>
        <v>ND</v>
      </c>
      <c r="AU700" s="155">
        <f t="shared" si="1206"/>
        <v>10382</v>
      </c>
      <c r="AV700" s="155">
        <f>+K700</f>
        <v>10739</v>
      </c>
      <c r="AW700" s="155">
        <f>+P700</f>
        <v>10848</v>
      </c>
      <c r="AX700" s="155">
        <f>+U700</f>
        <v>9352</v>
      </c>
      <c r="AY700" s="155">
        <f>+Z700</f>
        <v>11239</v>
      </c>
      <c r="AZ700" s="155">
        <f>+AE700</f>
        <v>11219</v>
      </c>
      <c r="BA700" s="155">
        <f>+AJ700</f>
        <v>2986.4</v>
      </c>
      <c r="BB700" s="155">
        <f t="shared" si="1207"/>
        <v>3294.6229900523504</v>
      </c>
      <c r="BC700" s="155">
        <f t="shared" si="1207"/>
        <v>3603.9044748436359</v>
      </c>
      <c r="BD700" s="155">
        <f t="shared" si="1207"/>
        <v>3911.4010595207556</v>
      </c>
      <c r="BF700" s="900"/>
      <c r="BM700" s="902"/>
      <c r="BN700" s="902"/>
      <c r="BO700" s="902"/>
      <c r="BP700" s="931"/>
      <c r="BQ700" s="902"/>
      <c r="BR700" s="902"/>
      <c r="BS700" s="902"/>
    </row>
    <row r="701" spans="1:71" ht="12.75" customHeight="1">
      <c r="A701" s="251"/>
      <c r="B701" s="179"/>
      <c r="C701" s="179"/>
      <c r="D701" s="179"/>
      <c r="E701" s="179"/>
      <c r="F701" s="179"/>
      <c r="G701" s="179"/>
      <c r="H701" s="179"/>
      <c r="I701" s="179"/>
      <c r="J701" s="179"/>
      <c r="K701" s="179"/>
      <c r="L701" s="179"/>
      <c r="M701" s="179"/>
      <c r="N701" s="179"/>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251"/>
      <c r="AT701" s="179"/>
      <c r="AU701" s="179"/>
      <c r="AV701" s="179"/>
      <c r="AW701" s="179"/>
      <c r="AX701" s="179"/>
      <c r="AY701" s="179"/>
      <c r="AZ701" s="179"/>
      <c r="BA701" s="179"/>
      <c r="BB701" s="179"/>
      <c r="BC701" s="179"/>
      <c r="BD701" s="179"/>
      <c r="BF701" s="900"/>
      <c r="BM701" s="902"/>
      <c r="BN701" s="902"/>
      <c r="BO701" s="902"/>
      <c r="BP701" s="902"/>
      <c r="BQ701" s="902"/>
      <c r="BR701" s="902"/>
      <c r="BS701" s="902"/>
    </row>
    <row r="702" spans="1:71" ht="12.75" customHeight="1">
      <c r="A702" s="251"/>
      <c r="B702" s="179"/>
      <c r="C702" s="179"/>
      <c r="D702" s="179"/>
      <c r="E702" s="179"/>
      <c r="F702" s="179"/>
      <c r="G702" s="179"/>
      <c r="H702" s="179"/>
      <c r="I702" s="179"/>
      <c r="J702" s="179"/>
      <c r="K702" s="179"/>
      <c r="L702" s="179"/>
      <c r="M702" s="179"/>
      <c r="N702" s="179"/>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251"/>
      <c r="AT702" s="179"/>
      <c r="AU702" s="179"/>
      <c r="AV702" s="179"/>
      <c r="AW702" s="179"/>
      <c r="AX702" s="179"/>
      <c r="AY702" s="179"/>
      <c r="AZ702" s="179"/>
      <c r="BA702" s="179"/>
      <c r="BB702" s="179"/>
      <c r="BC702" s="179"/>
      <c r="BD702" s="179"/>
      <c r="BF702" s="900"/>
      <c r="BM702" s="902"/>
      <c r="BN702" s="902"/>
      <c r="BO702" s="902"/>
      <c r="BP702" s="902"/>
      <c r="BQ702" s="902"/>
      <c r="BR702" s="902"/>
      <c r="BS702" s="902"/>
    </row>
    <row r="703" spans="1:71" ht="12.75" customHeight="1">
      <c r="A703" s="427" t="s">
        <v>1294</v>
      </c>
      <c r="B703" s="179"/>
      <c r="C703" s="179"/>
      <c r="D703" s="179"/>
      <c r="E703" s="179"/>
      <c r="F703" s="179"/>
      <c r="G703" s="179"/>
      <c r="H703" s="179"/>
      <c r="I703" s="179"/>
      <c r="J703" s="179"/>
      <c r="K703" s="179"/>
      <c r="L703" s="179"/>
      <c r="M703" s="179"/>
      <c r="N703" s="179"/>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427" t="str">
        <f t="shared" ref="AS703:AS709" si="1214">+A703</f>
        <v>Model Ware Lines (DO NOT DELETE)</v>
      </c>
      <c r="AT703" s="179"/>
      <c r="AU703" s="179"/>
      <c r="AV703" s="179"/>
      <c r="AW703" s="179"/>
      <c r="AX703" s="179"/>
      <c r="AY703" s="179"/>
      <c r="AZ703" s="179"/>
      <c r="BA703" s="179"/>
      <c r="BB703" s="179"/>
      <c r="BC703" s="179"/>
      <c r="BD703" s="179"/>
      <c r="BF703" s="900"/>
      <c r="BM703" s="902"/>
      <c r="BN703" s="902"/>
      <c r="BO703" s="902"/>
      <c r="BP703" s="902"/>
      <c r="BQ703" s="902"/>
      <c r="BR703" s="902"/>
      <c r="BS703" s="902"/>
    </row>
    <row r="704" spans="1:71" ht="12.75" customHeight="1">
      <c r="A704" s="287" t="s">
        <v>2113</v>
      </c>
      <c r="B704" s="179"/>
      <c r="C704" s="179"/>
      <c r="D704" s="179"/>
      <c r="E704" s="970" t="s">
        <v>1263</v>
      </c>
      <c r="F704" s="970" t="s">
        <v>1263</v>
      </c>
      <c r="G704" s="179">
        <f>G590-F590+G592-F592</f>
        <v>0</v>
      </c>
      <c r="H704" s="179">
        <f>H590-G590+H592-G592</f>
        <v>0</v>
      </c>
      <c r="I704" s="179">
        <f>I590-H590+I592-H592</f>
        <v>0</v>
      </c>
      <c r="J704" s="179">
        <f>J590-I590+J592-I592</f>
        <v>-2</v>
      </c>
      <c r="K704" s="179">
        <f>K590-F590+K592-F592</f>
        <v>-2</v>
      </c>
      <c r="L704" s="179">
        <f>L590-K590+L592-K592</f>
        <v>0</v>
      </c>
      <c r="M704" s="179">
        <f>M590-L590+M592-L592</f>
        <v>0</v>
      </c>
      <c r="N704" s="179">
        <f>N590-M590+N592-M592</f>
        <v>0</v>
      </c>
      <c r="O704" s="179">
        <f>O590-N590+O592-N592</f>
        <v>1505</v>
      </c>
      <c r="P704" s="179">
        <f>P590-K590+P592-K592</f>
        <v>1505</v>
      </c>
      <c r="Q704" s="179">
        <f>Q590-P590+Q592-P592</f>
        <v>22</v>
      </c>
      <c r="R704" s="179">
        <f>R590-Q590+R592-Q592</f>
        <v>39</v>
      </c>
      <c r="S704" s="179">
        <f>S590-R590+S592-R592</f>
        <v>-9</v>
      </c>
      <c r="T704" s="179">
        <f>T590-S590+T592-S592</f>
        <v>28</v>
      </c>
      <c r="U704" s="179">
        <f>U590-P590+U592-P592</f>
        <v>80</v>
      </c>
      <c r="V704" s="179">
        <f>V590-U590+V592-U592</f>
        <v>0</v>
      </c>
      <c r="W704" s="179">
        <f>W590-V590+W592-V592</f>
        <v>87</v>
      </c>
      <c r="X704" s="179">
        <f>X590-W590+X592-W592</f>
        <v>19</v>
      </c>
      <c r="Y704" s="179">
        <f>Y590-X590+Y592-X592</f>
        <v>17</v>
      </c>
      <c r="Z704" s="179">
        <f>Z590-U590+Z592-U592</f>
        <v>123</v>
      </c>
      <c r="AA704" s="179">
        <f>AA590-Z590+AA592-Z592</f>
        <v>2</v>
      </c>
      <c r="AB704" s="179">
        <f>AB590-AA590+AB592-AA592</f>
        <v>22</v>
      </c>
      <c r="AC704" s="179">
        <f>AC590-AB590+AC592-AB592</f>
        <v>23</v>
      </c>
      <c r="AD704" s="179">
        <f>AD590-AC590+AD592-AC592</f>
        <v>15</v>
      </c>
      <c r="AE704" s="179">
        <f>AE590-Z590+AE592-Z592</f>
        <v>62</v>
      </c>
      <c r="AF704" s="179">
        <f>AF590-AE590+AF592-AE592</f>
        <v>-6</v>
      </c>
      <c r="AG704" s="179">
        <f>AG590-AF590+AG592-AF592</f>
        <v>31</v>
      </c>
      <c r="AH704" s="179">
        <f>AH590-AG590+AH592-AG592</f>
        <v>28</v>
      </c>
      <c r="AI704" s="179">
        <f>AI590-AH590+AI592-AH592</f>
        <v>30</v>
      </c>
      <c r="AJ704" s="179">
        <f>AJ590-AE590+AJ592-AE592</f>
        <v>83</v>
      </c>
      <c r="AK704" s="179">
        <f t="shared" ref="AK704:AN704" si="1215">AK590-AJ590+AK592-AJ592</f>
        <v>26</v>
      </c>
      <c r="AL704" s="179">
        <f t="shared" si="1215"/>
        <v>33</v>
      </c>
      <c r="AM704" s="179">
        <f t="shared" si="1215"/>
        <v>31</v>
      </c>
      <c r="AN704" s="179">
        <f t="shared" si="1215"/>
        <v>30</v>
      </c>
      <c r="AO704" s="179">
        <f>AO590-AJ590+AO592-AJ592</f>
        <v>120</v>
      </c>
      <c r="AP704" s="179">
        <f>AP590-AO590+AP592-AO592</f>
        <v>120</v>
      </c>
      <c r="AQ704" s="179">
        <f>AQ590-AP590+AQ592-AP592</f>
        <v>120</v>
      </c>
      <c r="AR704" s="179"/>
      <c r="AS704" s="287" t="str">
        <f t="shared" si="1214"/>
        <v>Net Issuances</v>
      </c>
      <c r="AT704" s="1002" t="str">
        <f t="shared" ref="AT704:AU709" si="1216">+E704</f>
        <v>ND</v>
      </c>
      <c r="AU704" s="1002" t="str">
        <f t="shared" si="1216"/>
        <v>ND</v>
      </c>
      <c r="AV704" s="1002">
        <f t="shared" ref="AV704:AV709" si="1217">+K704</f>
        <v>-2</v>
      </c>
      <c r="AW704" s="1002">
        <f t="shared" ref="AW704:AW709" si="1218">+P704</f>
        <v>1505</v>
      </c>
      <c r="AX704" s="179">
        <f t="shared" ref="AX704:AX709" si="1219">+U704</f>
        <v>80</v>
      </c>
      <c r="AY704" s="179">
        <f t="shared" ref="AY704:AY709" si="1220">+Z704</f>
        <v>123</v>
      </c>
      <c r="AZ704" s="179">
        <f t="shared" ref="AZ704:AZ709" si="1221">+AE704</f>
        <v>62</v>
      </c>
      <c r="BA704" s="179">
        <f t="shared" ref="BA704:BA709" si="1222">+AJ704</f>
        <v>83</v>
      </c>
      <c r="BB704" s="179">
        <f t="shared" ref="BB704:BD709" si="1223">+AO704</f>
        <v>120</v>
      </c>
      <c r="BC704" s="179">
        <f t="shared" si="1223"/>
        <v>120</v>
      </c>
      <c r="BD704" s="179">
        <f t="shared" si="1223"/>
        <v>120</v>
      </c>
      <c r="BF704" s="900"/>
      <c r="BM704" s="902"/>
      <c r="BN704" s="902"/>
      <c r="BO704" s="902"/>
      <c r="BP704" s="931"/>
      <c r="BQ704" s="902"/>
      <c r="BR704" s="902"/>
      <c r="BS704" s="902"/>
    </row>
    <row r="705" spans="1:71" ht="12.75" customHeight="1">
      <c r="A705" s="287" t="s">
        <v>1504</v>
      </c>
      <c r="B705" s="179"/>
      <c r="C705" s="179"/>
      <c r="D705" s="179"/>
      <c r="E705" s="177">
        <v>0</v>
      </c>
      <c r="F705" s="177">
        <v>0</v>
      </c>
      <c r="G705" s="177">
        <v>0</v>
      </c>
      <c r="H705" s="177">
        <v>0</v>
      </c>
      <c r="I705" s="177">
        <v>0</v>
      </c>
      <c r="J705" s="177">
        <v>0</v>
      </c>
      <c r="K705" s="179">
        <f>SUM(G705:J705)</f>
        <v>0</v>
      </c>
      <c r="L705" s="177">
        <v>0</v>
      </c>
      <c r="M705" s="177">
        <v>0</v>
      </c>
      <c r="N705" s="177">
        <v>0</v>
      </c>
      <c r="O705" s="177">
        <v>0</v>
      </c>
      <c r="P705" s="179">
        <f>SUM(L705:O705)</f>
        <v>0</v>
      </c>
      <c r="Q705" s="177">
        <v>0</v>
      </c>
      <c r="R705" s="177">
        <v>0</v>
      </c>
      <c r="S705" s="177">
        <v>0</v>
      </c>
      <c r="T705" s="177">
        <v>0</v>
      </c>
      <c r="U705" s="179">
        <f>SUM(Q705:T705)</f>
        <v>0</v>
      </c>
      <c r="V705" s="177">
        <v>0</v>
      </c>
      <c r="W705" s="177">
        <v>0</v>
      </c>
      <c r="X705" s="177">
        <v>0</v>
      </c>
      <c r="Y705" s="177">
        <v>0</v>
      </c>
      <c r="Z705" s="179">
        <f>SUM(V705:Y705)</f>
        <v>0</v>
      </c>
      <c r="AA705" s="177">
        <v>0</v>
      </c>
      <c r="AB705" s="177">
        <v>0</v>
      </c>
      <c r="AC705" s="177">
        <v>0</v>
      </c>
      <c r="AD705" s="177">
        <v>0</v>
      </c>
      <c r="AE705" s="179">
        <f>SUM(AA705:AD705)</f>
        <v>0</v>
      </c>
      <c r="AF705" s="177">
        <v>0</v>
      </c>
      <c r="AG705" s="177">
        <v>0</v>
      </c>
      <c r="AH705" s="177">
        <v>0</v>
      </c>
      <c r="AI705" s="177">
        <v>0</v>
      </c>
      <c r="AJ705" s="179">
        <f>SUM(AF705:AI705)</f>
        <v>0</v>
      </c>
      <c r="AK705" s="177">
        <v>0</v>
      </c>
      <c r="AL705" s="177">
        <v>0</v>
      </c>
      <c r="AM705" s="177">
        <v>0</v>
      </c>
      <c r="AN705" s="177">
        <v>0</v>
      </c>
      <c r="AO705" s="179">
        <f>SUM(AK705:AN705)</f>
        <v>0</v>
      </c>
      <c r="AP705" s="179">
        <v>0</v>
      </c>
      <c r="AQ705" s="177">
        <v>0</v>
      </c>
      <c r="AR705" s="179"/>
      <c r="AS705" s="287" t="str">
        <f t="shared" si="1214"/>
        <v>Common Dividends</v>
      </c>
      <c r="AT705" s="1002">
        <f t="shared" si="1216"/>
        <v>0</v>
      </c>
      <c r="AU705" s="1002">
        <f t="shared" si="1216"/>
        <v>0</v>
      </c>
      <c r="AV705" s="1002">
        <f t="shared" si="1217"/>
        <v>0</v>
      </c>
      <c r="AW705" s="1002">
        <f t="shared" si="1218"/>
        <v>0</v>
      </c>
      <c r="AX705" s="179">
        <f t="shared" si="1219"/>
        <v>0</v>
      </c>
      <c r="AY705" s="179">
        <f t="shared" si="1220"/>
        <v>0</v>
      </c>
      <c r="AZ705" s="179">
        <f t="shared" si="1221"/>
        <v>0</v>
      </c>
      <c r="BA705" s="179">
        <f t="shared" si="1222"/>
        <v>0</v>
      </c>
      <c r="BB705" s="179">
        <f t="shared" si="1223"/>
        <v>0</v>
      </c>
      <c r="BC705" s="179">
        <f t="shared" si="1223"/>
        <v>0</v>
      </c>
      <c r="BD705" s="179">
        <f t="shared" si="1223"/>
        <v>0</v>
      </c>
      <c r="BF705" s="900"/>
      <c r="BM705" s="902"/>
      <c r="BN705" s="902"/>
      <c r="BO705" s="902"/>
      <c r="BP705" s="931"/>
      <c r="BQ705" s="902"/>
      <c r="BR705" s="902"/>
      <c r="BS705" s="902"/>
    </row>
    <row r="706" spans="1:71" ht="12.75" customHeight="1">
      <c r="A706" s="287" t="s">
        <v>2127</v>
      </c>
      <c r="B706" s="178"/>
      <c r="C706" s="178"/>
      <c r="D706" s="178"/>
      <c r="E706" s="178">
        <v>0</v>
      </c>
      <c r="F706" s="178">
        <v>0</v>
      </c>
      <c r="G706" s="178">
        <v>0</v>
      </c>
      <c r="H706" s="178">
        <v>0</v>
      </c>
      <c r="I706" s="178">
        <v>0</v>
      </c>
      <c r="J706" s="178">
        <v>0</v>
      </c>
      <c r="K706" s="179">
        <f>SUM(G706:J706)</f>
        <v>0</v>
      </c>
      <c r="L706" s="178">
        <v>0</v>
      </c>
      <c r="M706" s="178">
        <v>0</v>
      </c>
      <c r="N706" s="178">
        <v>0</v>
      </c>
      <c r="O706" s="178">
        <v>0</v>
      </c>
      <c r="P706" s="179">
        <f>SUM(L706:O706)</f>
        <v>0</v>
      </c>
      <c r="Q706" s="178">
        <v>0</v>
      </c>
      <c r="R706" s="178">
        <v>0</v>
      </c>
      <c r="S706" s="178">
        <v>0</v>
      </c>
      <c r="T706" s="178">
        <v>0</v>
      </c>
      <c r="U706" s="179">
        <f>SUM(Q706:T706)</f>
        <v>0</v>
      </c>
      <c r="V706" s="178">
        <v>0</v>
      </c>
      <c r="W706" s="178">
        <v>0</v>
      </c>
      <c r="X706" s="178">
        <v>0</v>
      </c>
      <c r="Y706" s="178">
        <v>0</v>
      </c>
      <c r="Z706" s="179">
        <f>SUM(V706:Y706)</f>
        <v>0</v>
      </c>
      <c r="AA706" s="178">
        <v>0</v>
      </c>
      <c r="AB706" s="178">
        <v>0</v>
      </c>
      <c r="AC706" s="178">
        <v>0</v>
      </c>
      <c r="AD706" s="178">
        <v>0</v>
      </c>
      <c r="AE706" s="179">
        <f>SUM(AA706:AD706)</f>
        <v>0</v>
      </c>
      <c r="AF706" s="178">
        <v>0</v>
      </c>
      <c r="AG706" s="178">
        <v>0</v>
      </c>
      <c r="AH706" s="178">
        <v>0</v>
      </c>
      <c r="AI706" s="178">
        <v>0</v>
      </c>
      <c r="AJ706" s="179">
        <f>SUM(AF706:AI706)</f>
        <v>0</v>
      </c>
      <c r="AK706" s="178">
        <v>0</v>
      </c>
      <c r="AL706" s="178">
        <v>0</v>
      </c>
      <c r="AM706" s="178">
        <v>0</v>
      </c>
      <c r="AN706" s="178">
        <v>0</v>
      </c>
      <c r="AO706" s="179">
        <f>SUM(AK706:AN706)</f>
        <v>0</v>
      </c>
      <c r="AP706" s="179">
        <v>0</v>
      </c>
      <c r="AQ706" s="178">
        <v>0</v>
      </c>
      <c r="AR706" s="178"/>
      <c r="AS706" s="287" t="str">
        <f t="shared" si="1214"/>
        <v>Unrecorded goodwill from pooling, etc.</v>
      </c>
      <c r="AT706" s="1002">
        <f t="shared" si="1216"/>
        <v>0</v>
      </c>
      <c r="AU706" s="1002">
        <f t="shared" si="1216"/>
        <v>0</v>
      </c>
      <c r="AV706" s="1002">
        <f t="shared" si="1217"/>
        <v>0</v>
      </c>
      <c r="AW706" s="1002">
        <f t="shared" si="1218"/>
        <v>0</v>
      </c>
      <c r="AX706" s="179">
        <f t="shared" si="1219"/>
        <v>0</v>
      </c>
      <c r="AY706" s="179">
        <f t="shared" si="1220"/>
        <v>0</v>
      </c>
      <c r="AZ706" s="179">
        <f t="shared" si="1221"/>
        <v>0</v>
      </c>
      <c r="BA706" s="179">
        <f t="shared" si="1222"/>
        <v>0</v>
      </c>
      <c r="BB706" s="179">
        <f t="shared" si="1223"/>
        <v>0</v>
      </c>
      <c r="BC706" s="179">
        <f t="shared" si="1223"/>
        <v>0</v>
      </c>
      <c r="BD706" s="179">
        <f t="shared" si="1223"/>
        <v>0</v>
      </c>
      <c r="BF706" s="900"/>
      <c r="BM706" s="902"/>
      <c r="BN706" s="902"/>
      <c r="BO706" s="902"/>
      <c r="BP706" s="931"/>
      <c r="BQ706" s="902"/>
      <c r="BR706" s="902"/>
      <c r="BS706" s="902"/>
    </row>
    <row r="707" spans="1:71" ht="12.75" customHeight="1">
      <c r="A707" s="278" t="s">
        <v>445</v>
      </c>
      <c r="B707" s="155"/>
      <c r="C707" s="155"/>
      <c r="D707" s="155"/>
      <c r="E707" s="970" t="s">
        <v>1263</v>
      </c>
      <c r="F707" s="970" t="s">
        <v>1263</v>
      </c>
      <c r="G707" s="179">
        <f>((G593-F593)+(G594-F594-G60-G705))</f>
        <v>16</v>
      </c>
      <c r="H707" s="179">
        <f>((H593-G593)+(H594-G594-H60-H705))</f>
        <v>-41</v>
      </c>
      <c r="I707" s="179">
        <f>((I593-H593)+(I594-H594-I60-I705))</f>
        <v>10</v>
      </c>
      <c r="J707" s="179">
        <f>((J593-I593)+(J594-I594-J60-J705))</f>
        <v>98</v>
      </c>
      <c r="K707" s="179">
        <f>K594-F594</f>
        <v>83</v>
      </c>
      <c r="L707" s="179">
        <f>((L593-K593)+(L594-K594-L60-L705))</f>
        <v>-169</v>
      </c>
      <c r="M707" s="179">
        <f>((M593-L593)+(M594-L594-M60-M705))</f>
        <v>-16</v>
      </c>
      <c r="N707" s="179">
        <f>((N593-M593)+(N594-M594-N60-N705))</f>
        <v>174</v>
      </c>
      <c r="O707" s="179">
        <f>((O593-N593)+(O594-N594-O60-O705))</f>
        <v>153</v>
      </c>
      <c r="P707" s="179">
        <f>((P593-K593)+(P594-K594-P60-P705))</f>
        <v>142</v>
      </c>
      <c r="Q707" s="179">
        <f>((Q593-P593)+(Q594-P594-Q60-Q705))</f>
        <v>28</v>
      </c>
      <c r="R707" s="179">
        <f>((R593-Q593)+(R594-Q594-R60-R705))</f>
        <v>50</v>
      </c>
      <c r="S707" s="179">
        <f>((S593-R593)+(S594-R594-S60-S705))</f>
        <v>-218</v>
      </c>
      <c r="T707" s="179">
        <f>((T593-S593)+(T594-S594-T60-T705))</f>
        <v>-224</v>
      </c>
      <c r="U707" s="179">
        <f>((U593-P593)+(U594-P594-U60-U705))</f>
        <v>-364</v>
      </c>
      <c r="V707" s="179">
        <f>((V593-U593)+(V594-U594-V60-V705))</f>
        <v>-240</v>
      </c>
      <c r="W707" s="179">
        <f>((W593-V593)+(W594-V594-W60-W705))</f>
        <v>195</v>
      </c>
      <c r="X707" s="179">
        <f>((X593-W593)+(X594-W594-X60-X705))</f>
        <v>-189</v>
      </c>
      <c r="Y707" s="179">
        <f>((Y593-X593)+(Y594-X594-Y60-Y705))</f>
        <v>-60</v>
      </c>
      <c r="Z707" s="179">
        <f>((Z593-U593)+(Z594-U594-Z60-Z705))</f>
        <v>-294</v>
      </c>
      <c r="AA707" s="179">
        <f>((AA593-Z593)+(AA594-Z594-AA60-AA705))</f>
        <v>-59</v>
      </c>
      <c r="AB707" s="179">
        <f>((AB593-AA593)+(AB594-AA594-AB60-AB705))</f>
        <v>-123</v>
      </c>
      <c r="AC707" s="179">
        <f>((AC593-AB593)+(AC594-AB594-AC60-AC705))</f>
        <v>-69</v>
      </c>
      <c r="AD707" s="179">
        <f>((AD593-AC593)+(AD594-AC594-AD60-AD705))</f>
        <v>-245</v>
      </c>
      <c r="AE707" s="179">
        <f>((AE593-Z593)+(AE594-Z594-AE60-AE705))</f>
        <v>-496</v>
      </c>
      <c r="AF707" s="179">
        <f>((AF593-AE593)+(AF594-AE594-AF60-AF705))</f>
        <v>-4299</v>
      </c>
      <c r="AG707" s="179">
        <f>((AG593-AF593)+(AG594-AF594-AG60-AG705))</f>
        <v>2</v>
      </c>
      <c r="AH707" s="179">
        <f>((AH593-AG593)+(AH594-AG594-AH60-AH705))</f>
        <v>-2</v>
      </c>
      <c r="AI707" s="179">
        <f ca="1">((AI593-AH593)+(AI594-AH594-AI60-AI705))</f>
        <v>-47.62080612598038</v>
      </c>
      <c r="AJ707" s="179">
        <f ca="1">((AJ593-AE593)+(AJ594-AE594-AJ60-AJ705))</f>
        <v>-4346.6208061259804</v>
      </c>
      <c r="AK707" s="179">
        <f ca="1">((AK593-AJ593)+(AK594-AJ594-AK60-AK705))</f>
        <v>-52.787159263219138</v>
      </c>
      <c r="AL707" s="179">
        <f ca="1">((AL593-AK593)+(AL594-AK594-AL60-AL705))</f>
        <v>-52.206578800045207</v>
      </c>
      <c r="AM707" s="179">
        <f ca="1">((AM593-AL593)+(AM594-AL594-AM60-AM705))</f>
        <v>-51.640158835972102</v>
      </c>
      <c r="AN707" s="179">
        <f ca="1">((AN593-AM593)+(AN594-AM594-AN60-AN705))</f>
        <v>-51.087553992975188</v>
      </c>
      <c r="AO707" s="179">
        <f ca="1">((AO593-AJ593)+(AO594-AJ594-AO60-AO705))</f>
        <v>-207.72145089221033</v>
      </c>
      <c r="AP707" s="179">
        <f ca="1">((AP593-AO593)+(AP594-AO594-AP60-AP705))</f>
        <v>-209.66774038013421</v>
      </c>
      <c r="AQ707" s="179">
        <f ca="1">((AQ593-AP593)+(AQ594-AP594-AQ60-AQ705))</f>
        <v>-205.83147535436706</v>
      </c>
      <c r="AR707" s="155"/>
      <c r="AS707" s="278" t="str">
        <f t="shared" si="1214"/>
        <v>Change in OCI</v>
      </c>
      <c r="AT707" s="151" t="str">
        <f t="shared" si="1216"/>
        <v>ND</v>
      </c>
      <c r="AU707" s="151" t="str">
        <f t="shared" si="1216"/>
        <v>ND</v>
      </c>
      <c r="AV707" s="151">
        <f t="shared" si="1217"/>
        <v>83</v>
      </c>
      <c r="AW707" s="151">
        <f t="shared" si="1218"/>
        <v>142</v>
      </c>
      <c r="AX707" s="155">
        <f t="shared" si="1219"/>
        <v>-364</v>
      </c>
      <c r="AY707" s="155">
        <f t="shared" si="1220"/>
        <v>-294</v>
      </c>
      <c r="AZ707" s="155">
        <f t="shared" si="1221"/>
        <v>-496</v>
      </c>
      <c r="BA707" s="155">
        <f t="shared" ca="1" si="1222"/>
        <v>-4346.6208061259804</v>
      </c>
      <c r="BB707" s="155">
        <f t="shared" ca="1" si="1223"/>
        <v>-207.72145089221033</v>
      </c>
      <c r="BC707" s="155">
        <f t="shared" ca="1" si="1223"/>
        <v>-209.66774038013421</v>
      </c>
      <c r="BD707" s="155">
        <f t="shared" ca="1" si="1223"/>
        <v>-205.83147535436706</v>
      </c>
      <c r="BF707" s="900"/>
      <c r="BM707" s="902"/>
      <c r="BN707" s="902"/>
      <c r="BO707" s="902"/>
      <c r="BP707" s="931"/>
      <c r="BQ707" s="902"/>
      <c r="BR707" s="902"/>
      <c r="BS707" s="902"/>
    </row>
    <row r="708" spans="1:71" s="15" customFormat="1" ht="12.75" customHeight="1">
      <c r="A708" s="278" t="s">
        <v>396</v>
      </c>
      <c r="B708" s="1383"/>
      <c r="C708" s="1384"/>
      <c r="D708" s="943"/>
      <c r="E708" s="145">
        <f t="shared" ref="E708:AQ708" si="1224">E60-E58</f>
        <v>111</v>
      </c>
      <c r="F708" s="286">
        <f t="shared" si="1224"/>
        <v>255</v>
      </c>
      <c r="G708" s="286">
        <f t="shared" si="1224"/>
        <v>47</v>
      </c>
      <c r="H708" s="286">
        <f t="shared" si="1224"/>
        <v>69</v>
      </c>
      <c r="I708" s="286">
        <f t="shared" si="1224"/>
        <v>179</v>
      </c>
      <c r="J708" s="145">
        <f t="shared" si="1224"/>
        <v>64</v>
      </c>
      <c r="K708" s="145">
        <f t="shared" si="1224"/>
        <v>359</v>
      </c>
      <c r="L708" s="145">
        <f t="shared" si="1224"/>
        <v>38</v>
      </c>
      <c r="M708" s="145">
        <f t="shared" si="1224"/>
        <v>157</v>
      </c>
      <c r="N708" s="145">
        <f t="shared" si="1224"/>
        <v>203</v>
      </c>
      <c r="O708" s="145">
        <f t="shared" si="1224"/>
        <v>62</v>
      </c>
      <c r="P708" s="145">
        <f t="shared" si="1224"/>
        <v>460</v>
      </c>
      <c r="Q708" s="145">
        <f t="shared" si="1224"/>
        <v>124</v>
      </c>
      <c r="R708" s="145">
        <f t="shared" si="1224"/>
        <v>212</v>
      </c>
      <c r="S708" s="145">
        <f t="shared" si="1224"/>
        <v>187</v>
      </c>
      <c r="T708" s="145">
        <f t="shared" si="1224"/>
        <v>159</v>
      </c>
      <c r="U708" s="145">
        <f t="shared" si="1224"/>
        <v>682</v>
      </c>
      <c r="V708" s="145">
        <f t="shared" si="1224"/>
        <v>150</v>
      </c>
      <c r="W708" s="145">
        <f t="shared" si="1224"/>
        <v>167</v>
      </c>
      <c r="X708" s="145">
        <f t="shared" si="1224"/>
        <v>283</v>
      </c>
      <c r="Y708" s="145">
        <f t="shared" si="1224"/>
        <v>816</v>
      </c>
      <c r="Z708" s="145">
        <f t="shared" si="1224"/>
        <v>1416</v>
      </c>
      <c r="AA708" s="145">
        <f t="shared" si="1224"/>
        <v>310</v>
      </c>
      <c r="AB708" s="145">
        <f t="shared" si="1224"/>
        <v>244</v>
      </c>
      <c r="AC708" s="145">
        <f t="shared" si="1224"/>
        <v>192</v>
      </c>
      <c r="AD708" s="145">
        <f t="shared" si="1224"/>
        <v>-382</v>
      </c>
      <c r="AE708" s="145">
        <f t="shared" si="1224"/>
        <v>364</v>
      </c>
      <c r="AF708" s="145">
        <f t="shared" si="1224"/>
        <v>75</v>
      </c>
      <c r="AG708" s="145">
        <f t="shared" si="1224"/>
        <v>167</v>
      </c>
      <c r="AH708" s="145">
        <f t="shared" si="1224"/>
        <v>181</v>
      </c>
      <c r="AI708" s="145">
        <f t="shared" ca="1" si="1224"/>
        <v>841</v>
      </c>
      <c r="AJ708" s="145">
        <f t="shared" ca="1" si="1224"/>
        <v>1264</v>
      </c>
      <c r="AK708" s="145">
        <f t="shared" ca="1" si="1224"/>
        <v>148.27959376912989</v>
      </c>
      <c r="AL708" s="145">
        <f t="shared" ca="1" si="1224"/>
        <v>236.35132859233701</v>
      </c>
      <c r="AM708" s="145">
        <f t="shared" ca="1" si="1224"/>
        <v>241.43265143574433</v>
      </c>
      <c r="AN708" s="145">
        <f t="shared" ca="1" si="1224"/>
        <v>203.29851663154517</v>
      </c>
      <c r="AO708" s="145">
        <f t="shared" ca="1" si="1224"/>
        <v>829.3620904287551</v>
      </c>
      <c r="AP708" s="145">
        <f t="shared" ca="1" si="1224"/>
        <v>935.28070305077483</v>
      </c>
      <c r="AQ708" s="145">
        <f t="shared" ca="1" si="1224"/>
        <v>958.30317099416948</v>
      </c>
      <c r="AR708" s="145"/>
      <c r="AS708" s="278" t="str">
        <f t="shared" si="1214"/>
        <v>Net Income</v>
      </c>
      <c r="AT708" s="151">
        <f t="shared" si="1216"/>
        <v>111</v>
      </c>
      <c r="AU708" s="151">
        <f t="shared" si="1216"/>
        <v>255</v>
      </c>
      <c r="AV708" s="151">
        <f t="shared" si="1217"/>
        <v>359</v>
      </c>
      <c r="AW708" s="151">
        <f t="shared" si="1218"/>
        <v>460</v>
      </c>
      <c r="AX708" s="155">
        <f t="shared" si="1219"/>
        <v>682</v>
      </c>
      <c r="AY708" s="155">
        <f t="shared" si="1220"/>
        <v>1416</v>
      </c>
      <c r="AZ708" s="155">
        <f t="shared" si="1221"/>
        <v>364</v>
      </c>
      <c r="BA708" s="155">
        <f t="shared" ca="1" si="1222"/>
        <v>1264</v>
      </c>
      <c r="BB708" s="155">
        <f ca="1">+AO708</f>
        <v>829.3620904287551</v>
      </c>
      <c r="BC708" s="155">
        <f ca="1">+AP708</f>
        <v>935.28070305077483</v>
      </c>
      <c r="BD708" s="155">
        <f ca="1">+AQ708</f>
        <v>958.30317099416948</v>
      </c>
      <c r="BE708" s="14"/>
      <c r="BF708" s="948"/>
      <c r="BG708"/>
      <c r="BH708"/>
      <c r="BI708"/>
      <c r="BJ708"/>
      <c r="BK708"/>
      <c r="BL708"/>
      <c r="BM708" s="949"/>
      <c r="BN708" s="949"/>
      <c r="BO708" s="949"/>
      <c r="BP708" s="931"/>
      <c r="BQ708" s="949"/>
      <c r="BR708" s="949"/>
      <c r="BS708" s="949"/>
    </row>
    <row r="709" spans="1:71" s="435" customFormat="1" ht="12.75" customHeight="1">
      <c r="A709" s="309" t="s">
        <v>686</v>
      </c>
      <c r="B709" s="463"/>
      <c r="C709" s="463"/>
      <c r="D709" s="463"/>
      <c r="E709" s="463">
        <f>(147+26+-8)/E56</f>
        <v>0.3937947494033413</v>
      </c>
      <c r="F709" s="463">
        <f>(69+6+50)/F56</f>
        <v>0.63775510204081631</v>
      </c>
      <c r="G709" s="798">
        <f>K709</f>
        <v>0.39965095986038396</v>
      </c>
      <c r="H709" s="798">
        <f>K709</f>
        <v>0.39965095986038396</v>
      </c>
      <c r="I709" s="798">
        <f>K709</f>
        <v>0.39965095986038396</v>
      </c>
      <c r="J709" s="798">
        <f>K709</f>
        <v>0.39965095986038396</v>
      </c>
      <c r="K709" s="463">
        <f>(201+10+18)/K56</f>
        <v>0.39965095986038396</v>
      </c>
      <c r="L709" s="798">
        <f>P709</f>
        <v>0.5</v>
      </c>
      <c r="M709" s="798">
        <f>P709</f>
        <v>0.5</v>
      </c>
      <c r="N709" s="798">
        <f>P709</f>
        <v>0.5</v>
      </c>
      <c r="O709" s="798">
        <f>P709</f>
        <v>0.5</v>
      </c>
      <c r="P709" s="463">
        <f>(244+31+74)/P56</f>
        <v>0.5</v>
      </c>
      <c r="Q709" s="798">
        <f>U709</f>
        <v>0.35</v>
      </c>
      <c r="R709" s="798">
        <f>U709</f>
        <v>0.35</v>
      </c>
      <c r="S709" s="798">
        <f>U709</f>
        <v>0.35</v>
      </c>
      <c r="T709" s="798">
        <f>U709</f>
        <v>0.35</v>
      </c>
      <c r="U709" s="463">
        <v>0.35</v>
      </c>
      <c r="V709" s="798">
        <f>Z709</f>
        <v>0.35</v>
      </c>
      <c r="W709" s="798">
        <f>Z709</f>
        <v>0.35</v>
      </c>
      <c r="X709" s="798">
        <f>Z709</f>
        <v>0.35</v>
      </c>
      <c r="Y709" s="798">
        <f>Z709</f>
        <v>0.35</v>
      </c>
      <c r="Z709" s="463">
        <v>0.35</v>
      </c>
      <c r="AA709" s="798">
        <f>AC709</f>
        <v>0.35</v>
      </c>
      <c r="AB709" s="798">
        <f>AD709</f>
        <v>0.35</v>
      </c>
      <c r="AC709" s="798">
        <f>AE709</f>
        <v>0.35</v>
      </c>
      <c r="AD709" s="798">
        <f>AJ709</f>
        <v>0.35</v>
      </c>
      <c r="AE709" s="463">
        <v>0.35</v>
      </c>
      <c r="AF709" s="798">
        <f>AG709</f>
        <v>0.35</v>
      </c>
      <c r="AG709" s="798">
        <f>AH709</f>
        <v>0.35</v>
      </c>
      <c r="AH709" s="798">
        <f>AI709</f>
        <v>0.35</v>
      </c>
      <c r="AI709" s="798">
        <f>AJ709</f>
        <v>0.35</v>
      </c>
      <c r="AJ709" s="463">
        <v>0.35</v>
      </c>
      <c r="AK709" s="798">
        <f t="shared" ref="AK709:AN709" si="1225">AL709</f>
        <v>0.35</v>
      </c>
      <c r="AL709" s="798">
        <f t="shared" si="1225"/>
        <v>0.35</v>
      </c>
      <c r="AM709" s="798">
        <f t="shared" si="1225"/>
        <v>0.35</v>
      </c>
      <c r="AN709" s="798">
        <f t="shared" si="1225"/>
        <v>0.35</v>
      </c>
      <c r="AO709" s="463">
        <v>0.35</v>
      </c>
      <c r="AP709" s="463">
        <v>0.35</v>
      </c>
      <c r="AQ709" s="463">
        <v>0.35</v>
      </c>
      <c r="AS709" s="309" t="str">
        <f t="shared" si="1214"/>
        <v>Statutory Tax Rate</v>
      </c>
      <c r="AT709" s="205">
        <f t="shared" si="1216"/>
        <v>0.3937947494033413</v>
      </c>
      <c r="AU709" s="205">
        <f t="shared" si="1216"/>
        <v>0.63775510204081631</v>
      </c>
      <c r="AV709" s="205">
        <f t="shared" si="1217"/>
        <v>0.39965095986038396</v>
      </c>
      <c r="AW709" s="205">
        <f t="shared" si="1218"/>
        <v>0.5</v>
      </c>
      <c r="AX709" s="205">
        <f t="shared" si="1219"/>
        <v>0.35</v>
      </c>
      <c r="AY709" s="205">
        <f t="shared" si="1220"/>
        <v>0.35</v>
      </c>
      <c r="AZ709" s="798">
        <f t="shared" si="1221"/>
        <v>0.35</v>
      </c>
      <c r="BA709" s="205">
        <f t="shared" si="1222"/>
        <v>0.35</v>
      </c>
      <c r="BB709" s="205">
        <f t="shared" si="1223"/>
        <v>0.35</v>
      </c>
      <c r="BC709" s="205">
        <f t="shared" si="1223"/>
        <v>0.35</v>
      </c>
      <c r="BD709" s="205">
        <f t="shared" si="1223"/>
        <v>0.35</v>
      </c>
      <c r="BE709" s="14"/>
      <c r="BF709" s="900"/>
      <c r="BG709"/>
      <c r="BH709"/>
      <c r="BI709"/>
      <c r="BJ709"/>
      <c r="BK709"/>
      <c r="BL709"/>
      <c r="BM709" s="902"/>
      <c r="BN709" s="902"/>
      <c r="BO709" s="902"/>
      <c r="BP709" s="931"/>
      <c r="BQ709" s="902"/>
      <c r="BR709" s="902"/>
      <c r="BS709" s="902"/>
    </row>
    <row r="710" spans="1:71" ht="12.75" customHeight="1">
      <c r="AA710" s="3"/>
      <c r="AB710" s="3"/>
      <c r="AC710" s="3"/>
      <c r="AD710" s="3"/>
      <c r="AF710" s="3"/>
      <c r="AG710" s="3"/>
      <c r="AH710" s="3"/>
      <c r="AI710" s="3"/>
      <c r="AK710" s="3"/>
      <c r="AL710" s="3"/>
      <c r="AM710" s="3"/>
      <c r="AN710" s="3"/>
    </row>
    <row r="711" spans="1:71" ht="12.75" customHeight="1">
      <c r="AA711" s="3"/>
      <c r="AB711" s="3"/>
      <c r="AC711" s="3"/>
      <c r="AD711" s="3"/>
      <c r="AF711" s="3"/>
      <c r="AG711" s="3"/>
      <c r="AH711" s="3"/>
      <c r="AI711" s="3"/>
      <c r="AK711" s="3"/>
      <c r="AL711" s="3"/>
      <c r="AM711" s="3"/>
      <c r="AN711" s="3"/>
    </row>
    <row r="712" spans="1:71" s="15" customFormat="1" ht="12.75" customHeight="1">
      <c r="A712" s="1" t="s">
        <v>1826</v>
      </c>
      <c r="B712" s="191"/>
      <c r="C712" s="191"/>
      <c r="D712" s="191"/>
      <c r="E712" s="191"/>
      <c r="F712" s="191"/>
      <c r="G712" s="188"/>
      <c r="H712" s="188"/>
      <c r="I712" s="188"/>
      <c r="J712" s="188"/>
      <c r="K712" s="191"/>
      <c r="L712" s="188"/>
      <c r="M712" s="188"/>
      <c r="N712" s="188"/>
      <c r="O712" s="188"/>
      <c r="P712" s="191"/>
      <c r="Q712" s="188"/>
      <c r="R712" s="188"/>
      <c r="S712" s="188"/>
      <c r="T712" s="188"/>
      <c r="U712" s="191"/>
      <c r="V712" s="188"/>
      <c r="W712" s="188"/>
      <c r="X712" s="188"/>
      <c r="Y712" s="188"/>
      <c r="Z712" s="191"/>
      <c r="AA712" s="188"/>
      <c r="AB712" s="188"/>
      <c r="AC712" s="188"/>
      <c r="AD712" s="188"/>
      <c r="AE712" s="191"/>
      <c r="AF712" s="188"/>
      <c r="AG712" s="188"/>
      <c r="AH712" s="188"/>
      <c r="AI712" s="188"/>
      <c r="AJ712" s="191"/>
      <c r="AK712" s="188"/>
      <c r="AL712" s="188"/>
      <c r="AM712" s="188"/>
      <c r="AN712" s="188"/>
      <c r="AO712" s="191"/>
      <c r="AP712" s="191"/>
      <c r="AQ712" s="191"/>
      <c r="AR712" s="191"/>
      <c r="AS712" s="278" t="str">
        <f>+A712</f>
        <v>Net Operating Losses</v>
      </c>
      <c r="AT712" s="151"/>
      <c r="AU712" s="151"/>
      <c r="AV712" s="151"/>
      <c r="AW712" s="151"/>
      <c r="AX712" s="155"/>
      <c r="AY712" s="155"/>
      <c r="AZ712" s="155"/>
      <c r="BA712" s="155"/>
      <c r="BB712" s="155"/>
      <c r="BC712" s="155"/>
      <c r="BD712" s="155"/>
      <c r="BE712" s="14"/>
      <c r="BF712" s="948"/>
      <c r="BG712"/>
      <c r="BH712"/>
      <c r="BI712"/>
      <c r="BJ712"/>
      <c r="BK712"/>
      <c r="BL712"/>
      <c r="BM712" s="949"/>
      <c r="BN712" s="949"/>
      <c r="BO712" s="949"/>
      <c r="BP712" s="949"/>
      <c r="BQ712" s="949"/>
      <c r="BR712" s="949"/>
      <c r="BS712" s="949"/>
    </row>
    <row r="713" spans="1:71" s="15" customFormat="1" ht="12.75" customHeight="1">
      <c r="A713" s="258" t="s">
        <v>1827</v>
      </c>
      <c r="B713" s="191"/>
      <c r="C713" s="191"/>
      <c r="D713" s="191"/>
      <c r="E713" s="191"/>
      <c r="F713" s="188"/>
      <c r="G713" s="188"/>
      <c r="H713" s="188"/>
      <c r="I713" s="188"/>
      <c r="J713" s="188"/>
      <c r="K713" s="191"/>
      <c r="L713" s="188">
        <f>K716</f>
        <v>3000</v>
      </c>
      <c r="M713" s="188">
        <f>L716</f>
        <v>2924</v>
      </c>
      <c r="N713" s="188">
        <f>M716</f>
        <v>2683</v>
      </c>
      <c r="O713" s="188">
        <f>N716</f>
        <v>2410</v>
      </c>
      <c r="P713" s="191">
        <f>L713</f>
        <v>3000</v>
      </c>
      <c r="Q713" s="188">
        <f>P716</f>
        <v>2302</v>
      </c>
      <c r="R713" s="188">
        <f>Q716</f>
        <v>2095</v>
      </c>
      <c r="S713" s="188">
        <f>R716</f>
        <v>1762</v>
      </c>
      <c r="T713" s="188">
        <f>S716</f>
        <v>1448</v>
      </c>
      <c r="U713" s="191">
        <f>Q713</f>
        <v>2302</v>
      </c>
      <c r="V713" s="188">
        <f>U716</f>
        <v>1155</v>
      </c>
      <c r="W713" s="188">
        <f>V716</f>
        <v>842</v>
      </c>
      <c r="X713" s="188">
        <f>W716</f>
        <v>530</v>
      </c>
      <c r="Y713" s="188">
        <f>X716</f>
        <v>0</v>
      </c>
      <c r="Z713" s="191">
        <f>V713</f>
        <v>1155</v>
      </c>
      <c r="AA713" s="188">
        <f>Z716</f>
        <v>0</v>
      </c>
      <c r="AB713" s="188">
        <f>AA716</f>
        <v>0</v>
      </c>
      <c r="AC713" s="188">
        <f>AB716</f>
        <v>0</v>
      </c>
      <c r="AD713" s="188">
        <f>AC716</f>
        <v>0</v>
      </c>
      <c r="AE713" s="191">
        <f>AA713</f>
        <v>0</v>
      </c>
      <c r="AF713" s="188">
        <f>AE716</f>
        <v>0</v>
      </c>
      <c r="AG713" s="188">
        <f>AF716</f>
        <v>0</v>
      </c>
      <c r="AH713" s="188">
        <f>AG716</f>
        <v>0</v>
      </c>
      <c r="AI713" s="188">
        <f>AH716</f>
        <v>0</v>
      </c>
      <c r="AJ713" s="191">
        <f>AF713</f>
        <v>0</v>
      </c>
      <c r="AK713" s="188">
        <f t="shared" ref="AK713:AN713" ca="1" si="1226">AJ716</f>
        <v>0</v>
      </c>
      <c r="AL713" s="188">
        <f t="shared" ca="1" si="1226"/>
        <v>0</v>
      </c>
      <c r="AM713" s="188">
        <f t="shared" ca="1" si="1226"/>
        <v>0</v>
      </c>
      <c r="AN713" s="188">
        <f t="shared" ca="1" si="1226"/>
        <v>0</v>
      </c>
      <c r="AO713" s="188">
        <f ca="1">AJ716</f>
        <v>0</v>
      </c>
      <c r="AP713" s="188">
        <f ca="1">AO716</f>
        <v>0</v>
      </c>
      <c r="AQ713" s="188">
        <f ca="1">AP716</f>
        <v>0</v>
      </c>
      <c r="AR713" s="191"/>
      <c r="AS713" s="278" t="str">
        <f>+A713</f>
        <v>Beginning Balance</v>
      </c>
      <c r="AT713" s="151">
        <f t="shared" ref="AT713:AU716" si="1227">+E713</f>
        <v>0</v>
      </c>
      <c r="AU713" s="151">
        <f t="shared" si="1227"/>
        <v>0</v>
      </c>
      <c r="AV713" s="151">
        <f>+K713</f>
        <v>0</v>
      </c>
      <c r="AW713" s="151">
        <f>+P713</f>
        <v>3000</v>
      </c>
      <c r="AX713" s="155">
        <f>+U713</f>
        <v>2302</v>
      </c>
      <c r="AY713" s="155">
        <f>+Z713</f>
        <v>1155</v>
      </c>
      <c r="AZ713" s="155">
        <f>+AE713</f>
        <v>0</v>
      </c>
      <c r="BA713" s="155">
        <f>+AJ713</f>
        <v>0</v>
      </c>
      <c r="BB713" s="155">
        <f t="shared" ref="BB713:BD716" ca="1" si="1228">+AO713</f>
        <v>0</v>
      </c>
      <c r="BC713" s="155">
        <f t="shared" ca="1" si="1228"/>
        <v>0</v>
      </c>
      <c r="BD713" s="155">
        <f t="shared" ca="1" si="1228"/>
        <v>0</v>
      </c>
      <c r="BE713" s="14"/>
      <c r="BF713" s="948"/>
      <c r="BG713"/>
      <c r="BH713"/>
      <c r="BI713"/>
      <c r="BJ713"/>
      <c r="BK713"/>
      <c r="BL713"/>
      <c r="BM713" s="949"/>
      <c r="BN713" s="949"/>
      <c r="BO713" s="949"/>
      <c r="BP713" s="949"/>
      <c r="BQ713" s="949"/>
      <c r="BR713" s="949"/>
      <c r="BS713" s="949"/>
    </row>
    <row r="714" spans="1:71" s="15" customFormat="1" ht="12.75" customHeight="1">
      <c r="A714" s="258" t="s">
        <v>1828</v>
      </c>
      <c r="B714" s="191"/>
      <c r="C714" s="191"/>
      <c r="D714" s="191"/>
      <c r="E714" s="191"/>
      <c r="F714" s="188"/>
      <c r="G714" s="188"/>
      <c r="H714" s="188"/>
      <c r="I714" s="188"/>
      <c r="J714" s="188"/>
      <c r="K714" s="191"/>
      <c r="L714" s="188">
        <f>-IF(L36&lt;0,L36,0)</f>
        <v>0</v>
      </c>
      <c r="M714" s="188">
        <f>-IF(M36&lt;0,M36,0)</f>
        <v>0</v>
      </c>
      <c r="N714" s="188">
        <f>-IF(N36&lt;0,N36,0)</f>
        <v>0</v>
      </c>
      <c r="O714" s="188">
        <f>-IF(O36&lt;0,O36,0)</f>
        <v>0</v>
      </c>
      <c r="P714" s="191">
        <f>SUM(L714:O714)</f>
        <v>0</v>
      </c>
      <c r="Q714" s="188">
        <f>-IF(Q36&lt;0,Q36,0)</f>
        <v>0</v>
      </c>
      <c r="R714" s="188">
        <f>-IF(R36&lt;0,R36,0)</f>
        <v>0</v>
      </c>
      <c r="S714" s="188">
        <f>-IF(S36&lt;0,S36,0)</f>
        <v>0</v>
      </c>
      <c r="T714" s="188">
        <f>-IF(T36&lt;0,T36,0)</f>
        <v>0</v>
      </c>
      <c r="U714" s="191">
        <f>SUM(Q714:T714)</f>
        <v>0</v>
      </c>
      <c r="V714" s="188">
        <f>-IF(V36&lt;0,V36,0)</f>
        <v>0</v>
      </c>
      <c r="W714" s="188">
        <f>-IF(W36&lt;0,W36,0)</f>
        <v>0</v>
      </c>
      <c r="X714" s="188">
        <f>-IF(X36&lt;0,X36,0)</f>
        <v>0</v>
      </c>
      <c r="Y714" s="188">
        <f>-IF(Y36&lt;0,Y36,0)</f>
        <v>0</v>
      </c>
      <c r="Z714" s="191">
        <f>SUM(V714:Y714)</f>
        <v>0</v>
      </c>
      <c r="AA714" s="188">
        <f>-IF(AA36&lt;0,AA36,0)</f>
        <v>0</v>
      </c>
      <c r="AB714" s="188">
        <f>-IF(AB36&lt;0,AB36,0)</f>
        <v>0</v>
      </c>
      <c r="AC714" s="188">
        <f>-IF(AC36&lt;0,AC36,0)</f>
        <v>0</v>
      </c>
      <c r="AD714" s="188">
        <f>-IF(AD36&lt;0,AD36,0)</f>
        <v>0</v>
      </c>
      <c r="AE714" s="191">
        <f>SUM(AA714:AD714)</f>
        <v>0</v>
      </c>
      <c r="AF714" s="188">
        <f>-IF(AF36&lt;0,AF36,0)</f>
        <v>0</v>
      </c>
      <c r="AG714" s="188">
        <f>-IF(AG36&lt;0,AG36,0)</f>
        <v>0</v>
      </c>
      <c r="AH714" s="188">
        <f>-IF(AH36&lt;0,AH36,0)</f>
        <v>0</v>
      </c>
      <c r="AI714" s="188">
        <f>-IF(AI36&lt;0,AI36,0)</f>
        <v>0</v>
      </c>
      <c r="AJ714" s="191">
        <f>SUM(AF714:AI714)</f>
        <v>0</v>
      </c>
      <c r="AK714" s="188">
        <f t="shared" ref="AK714:AQ714" si="1229">-IF(AK36&lt;0,AK36,0)</f>
        <v>0</v>
      </c>
      <c r="AL714" s="188">
        <f t="shared" si="1229"/>
        <v>0</v>
      </c>
      <c r="AM714" s="188">
        <f t="shared" si="1229"/>
        <v>0</v>
      </c>
      <c r="AN714" s="188">
        <f t="shared" si="1229"/>
        <v>0</v>
      </c>
      <c r="AO714" s="188">
        <f t="shared" si="1229"/>
        <v>0</v>
      </c>
      <c r="AP714" s="188">
        <f t="shared" si="1229"/>
        <v>0</v>
      </c>
      <c r="AQ714" s="188">
        <f t="shared" si="1229"/>
        <v>0</v>
      </c>
      <c r="AR714" s="191"/>
      <c r="AS714" s="278" t="str">
        <f>+A714</f>
        <v xml:space="preserve">  Additions</v>
      </c>
      <c r="AT714" s="151">
        <f t="shared" si="1227"/>
        <v>0</v>
      </c>
      <c r="AU714" s="151">
        <f t="shared" si="1227"/>
        <v>0</v>
      </c>
      <c r="AV714" s="151">
        <f>+K714</f>
        <v>0</v>
      </c>
      <c r="AW714" s="151">
        <f>+P714</f>
        <v>0</v>
      </c>
      <c r="AX714" s="155">
        <f>+U714</f>
        <v>0</v>
      </c>
      <c r="AY714" s="155">
        <f>+Z714</f>
        <v>0</v>
      </c>
      <c r="AZ714" s="155">
        <f>+AE714</f>
        <v>0</v>
      </c>
      <c r="BA714" s="155">
        <f>+AJ714</f>
        <v>0</v>
      </c>
      <c r="BB714" s="155">
        <f t="shared" si="1228"/>
        <v>0</v>
      </c>
      <c r="BC714" s="155">
        <f t="shared" si="1228"/>
        <v>0</v>
      </c>
      <c r="BD714" s="155">
        <f t="shared" si="1228"/>
        <v>0</v>
      </c>
      <c r="BE714" s="14"/>
      <c r="BF714" s="948"/>
      <c r="BG714"/>
      <c r="BH714"/>
      <c r="BI714"/>
      <c r="BJ714"/>
      <c r="BK714"/>
      <c r="BL714"/>
      <c r="BM714" s="949"/>
      <c r="BN714" s="949"/>
      <c r="BO714" s="949"/>
      <c r="BP714" s="949"/>
      <c r="BQ714" s="949"/>
      <c r="BR714" s="949"/>
      <c r="BS714" s="949"/>
    </row>
    <row r="715" spans="1:71" s="15" customFormat="1" ht="12.75" customHeight="1">
      <c r="A715" s="307" t="s">
        <v>1829</v>
      </c>
      <c r="B715" s="1069"/>
      <c r="C715" s="1069"/>
      <c r="D715" s="1069"/>
      <c r="E715" s="1069"/>
      <c r="F715" s="284"/>
      <c r="G715" s="284"/>
      <c r="H715" s="284"/>
      <c r="I715" s="284"/>
      <c r="J715" s="284"/>
      <c r="K715" s="1069"/>
      <c r="L715" s="284">
        <f>-IF(L56&gt;0,MINA(L56,L713),0)</f>
        <v>-76</v>
      </c>
      <c r="M715" s="284">
        <f>-IF(M56&gt;0,MINA(M56,M713),0)</f>
        <v>-241</v>
      </c>
      <c r="N715" s="284">
        <f>-IF(N56&gt;0,MINA(N56,N713),0)</f>
        <v>-273</v>
      </c>
      <c r="O715" s="284">
        <f>-IF(O56&gt;0,MINA(O56,O713),0)</f>
        <v>-108</v>
      </c>
      <c r="P715" s="1069">
        <f>SUM(L715:O715)</f>
        <v>-698</v>
      </c>
      <c r="Q715" s="284">
        <f>-IF(Q56&gt;0,MINA(Q56,Q713),0)</f>
        <v>-207</v>
      </c>
      <c r="R715" s="284">
        <f>-IF(R56&gt;0,MINA(R56,R713),0)</f>
        <v>-333</v>
      </c>
      <c r="S715" s="284">
        <f>-IF(S56&gt;0,MINA(S56,S713),0)</f>
        <v>-314</v>
      </c>
      <c r="T715" s="284">
        <f>-IF(T56&gt;0,MINA(T56,T713),0)</f>
        <v>-293</v>
      </c>
      <c r="U715" s="1069">
        <f>SUM(Q715:T715)</f>
        <v>-1147</v>
      </c>
      <c r="V715" s="284">
        <f>-IF(V56&gt;0,MINA(V56,V713),0)</f>
        <v>-313</v>
      </c>
      <c r="W715" s="284">
        <f>-IF(W56&gt;0,MINA(W56,W713),0)</f>
        <v>-312</v>
      </c>
      <c r="X715" s="284">
        <f>-IF(X56&gt;0,MINA(X56,X713),0)</f>
        <v>-530</v>
      </c>
      <c r="Y715" s="284">
        <f>-IF(Y56&gt;0,MINA(Y56,Y713),0)</f>
        <v>0</v>
      </c>
      <c r="Z715" s="1069">
        <f>SUM(V715:Y715)</f>
        <v>-1155</v>
      </c>
      <c r="AA715" s="284">
        <f>-IF(AA56&gt;0,MINA(AA56,AA713),0)</f>
        <v>0</v>
      </c>
      <c r="AB715" s="284">
        <f>-IF(AB56&gt;0,MINA(AB56,AB713),0)</f>
        <v>0</v>
      </c>
      <c r="AC715" s="284">
        <f>-IF(AC56&gt;0,MINA(AC56,AC713),0)</f>
        <v>0</v>
      </c>
      <c r="AD715" s="284">
        <f>-IF(AD56&gt;0,MINA(AD56,AD713),0)</f>
        <v>0</v>
      </c>
      <c r="AE715" s="1069">
        <f>SUM(AA715:AD715)</f>
        <v>0</v>
      </c>
      <c r="AF715" s="284">
        <f>-IF(AF56&gt;0,MINA(AF56,AF713),0)</f>
        <v>0</v>
      </c>
      <c r="AG715" s="284">
        <f>-IF(AG56&gt;0,MINA(AG56,AG713),0)</f>
        <v>0</v>
      </c>
      <c r="AH715" s="284">
        <f>-IF(AH56&gt;0,MINA(AH56,AH713),0)</f>
        <v>0</v>
      </c>
      <c r="AI715" s="284">
        <f ca="1">-IF(AI56&gt;0,MINA(AI56,AI713),0)</f>
        <v>0</v>
      </c>
      <c r="AJ715" s="1069">
        <f ca="1">SUM(AF715:AI715)</f>
        <v>0</v>
      </c>
      <c r="AK715" s="284">
        <f t="shared" ref="AK715:AQ715" ca="1" si="1230">-IF(AK56&gt;0,MINA(AK56,AK713),0)</f>
        <v>0</v>
      </c>
      <c r="AL715" s="284">
        <f t="shared" ca="1" si="1230"/>
        <v>0</v>
      </c>
      <c r="AM715" s="284">
        <f t="shared" ca="1" si="1230"/>
        <v>0</v>
      </c>
      <c r="AN715" s="284">
        <f t="shared" ca="1" si="1230"/>
        <v>0</v>
      </c>
      <c r="AO715" s="284">
        <f t="shared" ca="1" si="1230"/>
        <v>0</v>
      </c>
      <c r="AP715" s="284">
        <f t="shared" ca="1" si="1230"/>
        <v>0</v>
      </c>
      <c r="AQ715" s="284">
        <f t="shared" ca="1" si="1230"/>
        <v>0</v>
      </c>
      <c r="AR715" s="1069"/>
      <c r="AS715" s="278" t="str">
        <f>+A715</f>
        <v xml:space="preserve">  Uses</v>
      </c>
      <c r="AT715" s="151">
        <f t="shared" si="1227"/>
        <v>0</v>
      </c>
      <c r="AU715" s="151">
        <f t="shared" si="1227"/>
        <v>0</v>
      </c>
      <c r="AV715" s="151">
        <f>+K715</f>
        <v>0</v>
      </c>
      <c r="AW715" s="151">
        <f>+P715</f>
        <v>-698</v>
      </c>
      <c r="AX715" s="155">
        <f>+U715</f>
        <v>-1147</v>
      </c>
      <c r="AY715" s="155">
        <f>+Z715</f>
        <v>-1155</v>
      </c>
      <c r="AZ715" s="155">
        <f>+AE715</f>
        <v>0</v>
      </c>
      <c r="BA715" s="155">
        <f ca="1">+AJ715</f>
        <v>0</v>
      </c>
      <c r="BB715" s="155">
        <f t="shared" ca="1" si="1228"/>
        <v>0</v>
      </c>
      <c r="BC715" s="155">
        <f t="shared" ca="1" si="1228"/>
        <v>0</v>
      </c>
      <c r="BD715" s="155">
        <f t="shared" ca="1" si="1228"/>
        <v>0</v>
      </c>
      <c r="BE715" s="14"/>
      <c r="BF715" s="1381"/>
      <c r="BG715"/>
      <c r="BH715"/>
      <c r="BI715"/>
      <c r="BJ715"/>
      <c r="BK715"/>
      <c r="BL715"/>
      <c r="BM715" s="949"/>
      <c r="BN715" s="949"/>
      <c r="BO715" s="949"/>
      <c r="BP715" s="949"/>
      <c r="BQ715" s="949"/>
      <c r="BR715" s="949"/>
      <c r="BS715" s="949"/>
    </row>
    <row r="716" spans="1:71" s="228" customFormat="1" ht="12.75" customHeight="1">
      <c r="A716" s="1" t="s">
        <v>1830</v>
      </c>
      <c r="B716" s="261"/>
      <c r="C716" s="261"/>
      <c r="D716" s="261"/>
      <c r="E716" s="261"/>
      <c r="F716" s="285"/>
      <c r="G716" s="285"/>
      <c r="H716" s="285"/>
      <c r="I716" s="285"/>
      <c r="J716" s="285"/>
      <c r="K716" s="1386">
        <f>1100+1900</f>
        <v>3000</v>
      </c>
      <c r="L716" s="285">
        <f t="shared" ref="L716:U716" si="1231">SUM(L713:L715)</f>
        <v>2924</v>
      </c>
      <c r="M716" s="285">
        <f t="shared" si="1231"/>
        <v>2683</v>
      </c>
      <c r="N716" s="285">
        <f t="shared" si="1231"/>
        <v>2410</v>
      </c>
      <c r="O716" s="285">
        <f t="shared" si="1231"/>
        <v>2302</v>
      </c>
      <c r="P716" s="261">
        <f t="shared" si="1231"/>
        <v>2302</v>
      </c>
      <c r="Q716" s="285">
        <f t="shared" si="1231"/>
        <v>2095</v>
      </c>
      <c r="R716" s="285">
        <f t="shared" si="1231"/>
        <v>1762</v>
      </c>
      <c r="S716" s="285">
        <f t="shared" si="1231"/>
        <v>1448</v>
      </c>
      <c r="T716" s="285">
        <f t="shared" si="1231"/>
        <v>1155</v>
      </c>
      <c r="U716" s="261">
        <f t="shared" si="1231"/>
        <v>1155</v>
      </c>
      <c r="V716" s="285">
        <f t="shared" ref="V716:AE716" si="1232">SUM(V713:V715)</f>
        <v>842</v>
      </c>
      <c r="W716" s="285">
        <f t="shared" si="1232"/>
        <v>530</v>
      </c>
      <c r="X716" s="285">
        <f t="shared" si="1232"/>
        <v>0</v>
      </c>
      <c r="Y716" s="285">
        <f t="shared" si="1232"/>
        <v>0</v>
      </c>
      <c r="Z716" s="261">
        <f t="shared" si="1232"/>
        <v>0</v>
      </c>
      <c r="AA716" s="285">
        <f>SUM(AA713:AA715)</f>
        <v>0</v>
      </c>
      <c r="AB716" s="285">
        <f t="shared" si="1232"/>
        <v>0</v>
      </c>
      <c r="AC716" s="285">
        <f t="shared" si="1232"/>
        <v>0</v>
      </c>
      <c r="AD716" s="285">
        <f t="shared" si="1232"/>
        <v>0</v>
      </c>
      <c r="AE716" s="261">
        <f t="shared" si="1232"/>
        <v>0</v>
      </c>
      <c r="AF716" s="285">
        <f t="shared" ref="AF716:AQ716" si="1233">SUM(AF713:AF715)</f>
        <v>0</v>
      </c>
      <c r="AG716" s="285">
        <f t="shared" si="1233"/>
        <v>0</v>
      </c>
      <c r="AH716" s="285">
        <f t="shared" si="1233"/>
        <v>0</v>
      </c>
      <c r="AI716" s="285">
        <f t="shared" ca="1" si="1233"/>
        <v>0</v>
      </c>
      <c r="AJ716" s="261">
        <f t="shared" ca="1" si="1233"/>
        <v>0</v>
      </c>
      <c r="AK716" s="285">
        <f t="shared" ref="AK716:AN716" ca="1" si="1234">SUM(AK713:AK715)</f>
        <v>0</v>
      </c>
      <c r="AL716" s="285">
        <f t="shared" ca="1" si="1234"/>
        <v>0</v>
      </c>
      <c r="AM716" s="285">
        <f t="shared" ca="1" si="1234"/>
        <v>0</v>
      </c>
      <c r="AN716" s="285">
        <f t="shared" ca="1" si="1234"/>
        <v>0</v>
      </c>
      <c r="AO716" s="285">
        <f t="shared" ca="1" si="1233"/>
        <v>0</v>
      </c>
      <c r="AP716" s="285">
        <f t="shared" ca="1" si="1233"/>
        <v>0</v>
      </c>
      <c r="AQ716" s="285">
        <f t="shared" ca="1" si="1233"/>
        <v>0</v>
      </c>
      <c r="AR716" s="261"/>
      <c r="AS716" s="278" t="str">
        <f>+A716</f>
        <v>Ending Balance</v>
      </c>
      <c r="AT716" s="151">
        <f t="shared" si="1227"/>
        <v>0</v>
      </c>
      <c r="AU716" s="151">
        <f t="shared" si="1227"/>
        <v>0</v>
      </c>
      <c r="AV716" s="151">
        <f>+K716</f>
        <v>3000</v>
      </c>
      <c r="AW716" s="151">
        <f>+P716</f>
        <v>2302</v>
      </c>
      <c r="AX716" s="155">
        <f>+U716</f>
        <v>1155</v>
      </c>
      <c r="AY716" s="155">
        <f>+Z716</f>
        <v>0</v>
      </c>
      <c r="AZ716" s="155">
        <f>+AE716</f>
        <v>0</v>
      </c>
      <c r="BA716" s="155">
        <f ca="1">+AJ716</f>
        <v>0</v>
      </c>
      <c r="BB716" s="155">
        <f t="shared" ca="1" si="1228"/>
        <v>0</v>
      </c>
      <c r="BC716" s="155">
        <f t="shared" ca="1" si="1228"/>
        <v>0</v>
      </c>
      <c r="BD716" s="155">
        <f t="shared" ca="1" si="1228"/>
        <v>0</v>
      </c>
      <c r="BE716" s="14"/>
      <c r="BF716" s="1385"/>
      <c r="BG716"/>
      <c r="BH716"/>
      <c r="BI716"/>
      <c r="BJ716"/>
      <c r="BK716"/>
      <c r="BL716"/>
      <c r="BM716" s="1380"/>
      <c r="BN716" s="1380"/>
      <c r="BO716" s="1380"/>
      <c r="BP716" s="1380"/>
      <c r="BQ716" s="1380"/>
      <c r="BR716" s="1380"/>
      <c r="BS716" s="1380"/>
    </row>
    <row r="721" customFormat="1" ht="12.75" customHeight="1"/>
  </sheetData>
  <phoneticPr fontId="12" type="noConversion"/>
  <printOptions horizontalCentered="1"/>
  <pageMargins left="0" right="0" top="0" bottom="0" header="0" footer="0"/>
  <pageSetup paperSize="5" scale="10" firstPageNumber="6" orientation="landscape" blackAndWhite="1" r:id="rId1"/>
  <headerFooter alignWithMargins="0"/>
  <rowBreaks count="4" manualBreakCount="4">
    <brk id="180" max="73" man="1"/>
    <brk id="377" max="81" man="1"/>
    <brk id="419" max="73" man="1"/>
    <brk id="600" max="73" man="1"/>
  </rowBreaks>
  <ignoredErrors>
    <ignoredError sqref="E62:F62 E277:F277 K280 E47:F47 G275:G277 H277:K277 E60:F60 E38:J38 AP584 P689:P691 Q544:U544 Q588:S589 Q595:Q596 S573:S574 Q572:R574 Q579:R580 R596:U596 S580 R595 U592:U595 U563:U585 P672:P682 P669 P666:P667 U587:U590" formula="1"/>
    <ignoredError sqref="K542 K525:K527 K540 F477:F478 P476:P478 Q543:U543 K475:K478 G494:J494 L520:N520 R476 K485 E475:F476 K514:K515 L494:N494 R525:T525 Q542:T542 Q540:T540 U538 Q526:T527 U524 AP539:AQ540 R531 M528:N528 P485 U476:U478 U536 R537 R534:R535 R485:U485 Q539:U539 U531 T537:U537 T535:U535 U532:U534 U529 R529 AO526:AQ527 AP531:AQ537 AP538:AQ538 AP542:AQ543 AP541:AQ541 AJ542:AJ543 AJ539:AJ540 AP524:AQ525 AP528:AQ528" unlockedFormula="1"/>
    <ignoredError sqref="F5" numberStoredAsText="1"/>
    <ignoredError sqref="U127 U268 K264 K50 K58:K59 K55:K56 K35:K45 K52:K53 K30 K32 K120 U114:U116 K107:K111 K114:K116 K118 P168:P169 K431 M689:N690 O689 U125 E156:N156 M672:O682 M669:O669 K23:K26 M666:O667 K18:K20 K9:K16 U121" formulaRange="1"/>
    <ignoredError sqref="K51 K47 K57 K54 K46 K31 P170" formula="1" formulaRange="1"/>
    <ignoredError sqref="K493:K511 K517:K524 K528 K541 K516 K529 K531:K537 U541 U525 U540 U542" formulaRange="1" unlockedFormula="1"/>
    <ignoredError sqref="Q514:S515 R511 U528 R517 AP496:AQ497 U516 U514 U496:U498 T515:U515 S498 U586 R509 U500 Q513:U513 T517:U517 U502:U510 U512 U518:U523 AP499:AQ499 AE514:AE515 AO514:AQ515 AP502:AQ509 AP513:AQ513 AP516:AQ523" formula="1" unlockedFormula="1"/>
    <ignoredError sqref="U499" formula="1" formulaRange="1" unlocked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M106"/>
  <sheetViews>
    <sheetView showGridLines="0" zoomScaleNormal="100" workbookViewId="0">
      <selection activeCell="F7" sqref="F7"/>
    </sheetView>
  </sheetViews>
  <sheetFormatPr defaultRowHeight="12.75" outlineLevelCol="1"/>
  <cols>
    <col min="1" max="1" width="0.875" style="3" customWidth="1"/>
    <col min="2" max="2" width="28" style="3" customWidth="1"/>
    <col min="3" max="3" width="9.625" style="3" hidden="1" customWidth="1" outlineLevel="1"/>
    <col min="4" max="4" width="9.625" style="3" customWidth="1" collapsed="1"/>
    <col min="5" max="5" width="2.625" style="3" customWidth="1"/>
    <col min="6" max="6" width="9.625" style="3" customWidth="1"/>
    <col min="7" max="7" width="2.625" style="3" customWidth="1"/>
    <col min="8" max="8" width="9.625" style="3" hidden="1" customWidth="1" outlineLevel="1"/>
    <col min="9" max="9" width="9.625" style="15" customWidth="1" collapsed="1"/>
    <col min="10" max="10" width="9.625" style="130" customWidth="1"/>
    <col min="11" max="11" width="21.5" style="3" bestFit="1" customWidth="1"/>
    <col min="12" max="12" width="15.875" style="3" bestFit="1" customWidth="1"/>
    <col min="13" max="16384" width="9" style="3"/>
  </cols>
  <sheetData>
    <row r="1" spans="1:10">
      <c r="B1" s="382" t="s">
        <v>699</v>
      </c>
      <c r="E1" s="369"/>
      <c r="F1" s="369"/>
      <c r="G1" s="369"/>
      <c r="H1" s="1900">
        <f ca="1">TODAY()</f>
        <v>43145</v>
      </c>
      <c r="I1" s="4030"/>
      <c r="J1" s="2876" t="s">
        <v>1750</v>
      </c>
    </row>
    <row r="2" spans="1:10" ht="3" customHeight="1">
      <c r="A2" s="3081"/>
      <c r="B2" s="3082"/>
      <c r="C2" s="3083"/>
      <c r="D2" s="3083"/>
      <c r="E2" s="3084"/>
      <c r="F2" s="3084"/>
      <c r="G2" s="3084"/>
      <c r="H2" s="3084"/>
      <c r="I2" s="3080"/>
      <c r="J2" s="380"/>
    </row>
    <row r="3" spans="1:10">
      <c r="A3" s="3081"/>
      <c r="B3" s="2188" t="s">
        <v>1178</v>
      </c>
      <c r="C3" s="2189"/>
      <c r="D3" s="3997"/>
      <c r="E3" s="2190"/>
      <c r="F3" s="2190"/>
      <c r="G3" s="2190"/>
      <c r="H3" s="4025" t="s">
        <v>3188</v>
      </c>
      <c r="I3" s="4011" t="s">
        <v>3189</v>
      </c>
      <c r="J3" s="380"/>
    </row>
    <row r="4" spans="1:10">
      <c r="A4" s="3081"/>
      <c r="B4" s="2191"/>
      <c r="C4" s="2192" t="s">
        <v>44</v>
      </c>
      <c r="D4" s="2192" t="s">
        <v>1343</v>
      </c>
      <c r="E4" s="2193"/>
      <c r="F4" s="2192" t="s">
        <v>1162</v>
      </c>
      <c r="G4" s="2194"/>
      <c r="H4" s="2192" t="s">
        <v>165</v>
      </c>
      <c r="I4" s="4012" t="s">
        <v>165</v>
      </c>
      <c r="J4" s="796"/>
    </row>
    <row r="5" spans="1:10">
      <c r="A5" s="3081"/>
      <c r="B5" s="2195" t="s">
        <v>164</v>
      </c>
      <c r="C5" s="2196" t="s">
        <v>1228</v>
      </c>
      <c r="D5" s="2196" t="s">
        <v>1228</v>
      </c>
      <c r="E5" s="2197"/>
      <c r="F5" s="2196" t="s">
        <v>1163</v>
      </c>
      <c r="G5" s="2198"/>
      <c r="H5" s="2196" t="s">
        <v>1825</v>
      </c>
      <c r="I5" s="4013" t="s">
        <v>1825</v>
      </c>
      <c r="J5" s="797"/>
    </row>
    <row r="6" spans="1:10">
      <c r="A6" s="3081"/>
      <c r="B6" s="3064" t="s">
        <v>3005</v>
      </c>
      <c r="C6" s="3065">
        <f>+Hilton!AO135</f>
        <v>158.47145956150922</v>
      </c>
      <c r="D6" s="3065">
        <f>+Hilton!AP264</f>
        <v>162.68362961696425</v>
      </c>
      <c r="E6" s="3066" t="s">
        <v>166</v>
      </c>
      <c r="F6" s="3067">
        <v>11.2</v>
      </c>
      <c r="G6" s="3068"/>
      <c r="H6" s="4026">
        <f>+F6*C6</f>
        <v>1774.8803470889031</v>
      </c>
      <c r="I6" s="4014">
        <f>+F6*D6</f>
        <v>1822.0566517099994</v>
      </c>
      <c r="J6" s="2857"/>
    </row>
    <row r="7" spans="1:10">
      <c r="A7" s="3081"/>
      <c r="B7" s="3064" t="s">
        <v>3006</v>
      </c>
      <c r="C7" s="3069">
        <f>+Hilton!AO136</f>
        <v>2044.1155262882855</v>
      </c>
      <c r="D7" s="3069">
        <f>+Hilton!AP281</f>
        <v>2196.0531613578714</v>
      </c>
      <c r="E7" s="3066" t="s">
        <v>166</v>
      </c>
      <c r="F7" s="466">
        <v>15.75</v>
      </c>
      <c r="G7" s="3068" t="s">
        <v>2144</v>
      </c>
      <c r="H7" s="3080">
        <f>C7*F7+(42*F7)</f>
        <v>32856.319539040502</v>
      </c>
      <c r="I7" s="4015">
        <f>+F7*D7</f>
        <v>34587.837291386473</v>
      </c>
      <c r="J7" s="2857"/>
    </row>
    <row r="8" spans="1:10">
      <c r="A8" s="3081"/>
      <c r="B8" s="3070" t="s">
        <v>3007</v>
      </c>
      <c r="C8" s="3071">
        <f ca="1">+C9-C7-C6</f>
        <v>-253.92686552760262</v>
      </c>
      <c r="D8" s="3071">
        <f ca="1">+D9-D7-D6</f>
        <v>-253.44552611458926</v>
      </c>
      <c r="E8" s="3072" t="s">
        <v>166</v>
      </c>
      <c r="F8" s="3571">
        <f>+SUM(H6:H7)/SUM(C6:C7)</f>
        <v>15.722965816384368</v>
      </c>
      <c r="G8" s="3073" t="s">
        <v>2144</v>
      </c>
      <c r="H8" s="3079">
        <f ca="1">C8*F8</f>
        <v>-3992.4834265521263</v>
      </c>
      <c r="I8" s="4016">
        <f ca="1">+F8*D8</f>
        <v>-3984.9153434152386</v>
      </c>
      <c r="J8" s="2857"/>
    </row>
    <row r="9" spans="1:10">
      <c r="A9" s="3081"/>
      <c r="B9" s="3074" t="s">
        <v>168</v>
      </c>
      <c r="C9" s="3075">
        <f ca="1">+Hilton!AO121-Hilton!AO116</f>
        <v>1948.6601203221921</v>
      </c>
      <c r="D9" s="3075">
        <f ca="1">+Hilton!AP121-Hilton!AP116</f>
        <v>2105.2912648602464</v>
      </c>
      <c r="E9" s="3076"/>
      <c r="F9" s="3077">
        <f ca="1">H9/C9</f>
        <v>15.722965816384368</v>
      </c>
      <c r="G9" s="3068"/>
      <c r="H9" s="4027">
        <f ca="1">SUM(H6:H8)</f>
        <v>30638.716459577277</v>
      </c>
      <c r="I9" s="4017">
        <f ca="1">SUM(I6:I8)</f>
        <v>32424.978599681235</v>
      </c>
      <c r="J9" s="673"/>
    </row>
    <row r="10" spans="1:10">
      <c r="A10" s="3081"/>
      <c r="B10" s="3078"/>
      <c r="C10" s="3069"/>
      <c r="D10" s="3069"/>
      <c r="E10" s="3066"/>
      <c r="F10" s="3067"/>
      <c r="G10" s="3068"/>
      <c r="H10" s="3080"/>
      <c r="I10" s="4015"/>
      <c r="J10" s="795"/>
    </row>
    <row r="11" spans="1:10">
      <c r="A11" s="3081"/>
      <c r="B11" s="3070" t="s">
        <v>2620</v>
      </c>
      <c r="C11" s="3071"/>
      <c r="D11" s="3071"/>
      <c r="E11" s="3079"/>
      <c r="F11" s="3079"/>
      <c r="G11" s="3079"/>
      <c r="H11" s="4028">
        <f ca="1">+-Hilton!AJ616</f>
        <v>-6114</v>
      </c>
      <c r="I11" s="4018">
        <f ca="1">+-Hilton!AO616</f>
        <v>-6306.2513431161624</v>
      </c>
      <c r="J11" s="795"/>
    </row>
    <row r="12" spans="1:10">
      <c r="A12" s="3081"/>
      <c r="B12" s="3074" t="s">
        <v>169</v>
      </c>
      <c r="C12" s="3069"/>
      <c r="D12" s="3069"/>
      <c r="E12" s="3080"/>
      <c r="F12" s="3080"/>
      <c r="G12" s="3080"/>
      <c r="H12" s="4027">
        <f ca="1">+H9+H11</f>
        <v>24524.716459577277</v>
      </c>
      <c r="I12" s="4017">
        <f ca="1">+I9+I11</f>
        <v>26118.727256565071</v>
      </c>
      <c r="J12" s="381"/>
    </row>
    <row r="13" spans="1:10">
      <c r="A13" s="3081"/>
      <c r="B13" s="3078"/>
      <c r="C13" s="3069"/>
      <c r="D13" s="3069"/>
      <c r="E13" s="3080"/>
      <c r="F13" s="3080"/>
      <c r="G13" s="3080"/>
      <c r="H13" s="3080"/>
      <c r="I13" s="4015"/>
      <c r="J13" s="1980"/>
    </row>
    <row r="14" spans="1:10">
      <c r="A14" s="3081"/>
      <c r="B14" s="3078" t="s">
        <v>170</v>
      </c>
      <c r="C14" s="3069"/>
      <c r="D14" s="3069"/>
      <c r="E14" s="3080"/>
      <c r="F14" s="3080"/>
      <c r="G14" s="3080"/>
      <c r="H14" s="3080">
        <f>+Hilton!AI70</f>
        <v>322</v>
      </c>
      <c r="I14" s="4015">
        <f>+Hilton!AN70</f>
        <v>312.71772578789353</v>
      </c>
      <c r="J14" s="380"/>
    </row>
    <row r="15" spans="1:10">
      <c r="A15" s="3081"/>
      <c r="B15" s="2185" t="s">
        <v>214</v>
      </c>
      <c r="C15" s="2186"/>
      <c r="D15" s="3998"/>
      <c r="E15" s="2187"/>
      <c r="F15" s="2187"/>
      <c r="G15" s="2187"/>
      <c r="H15" s="4029">
        <f ca="1">+H12/H14</f>
        <v>76.163715712972916</v>
      </c>
      <c r="I15" s="4019">
        <f ca="1">+I12/I14</f>
        <v>83.521735746698837</v>
      </c>
      <c r="J15" s="3060"/>
    </row>
    <row r="16" spans="1:10">
      <c r="B16" s="3" t="s">
        <v>422</v>
      </c>
      <c r="C16" s="380"/>
      <c r="D16" s="380"/>
      <c r="E16" s="380"/>
      <c r="F16" s="380"/>
      <c r="H16" s="4031" t="str">
        <f ca="1">I16</f>
        <v xml:space="preserve">$83.40 </v>
      </c>
      <c r="I16" s="3994" t="str">
        <f ca="1">_xll.ThomsonONEAddinShim.SpreadsheetFormulas.TF($J$1,"TF.PR.PriceClose(sdate=#1)",,TEXT($H$1,"YYYYMMDD"))</f>
        <v xml:space="preserve">$83.40 </v>
      </c>
      <c r="J16" s="902"/>
    </row>
    <row r="17" spans="2:13">
      <c r="B17" s="122" t="s">
        <v>423</v>
      </c>
      <c r="C17" s="380"/>
      <c r="D17" s="380"/>
      <c r="E17" s="380"/>
      <c r="F17" s="380"/>
      <c r="H17" s="7">
        <f ca="1">H15/H16-1</f>
        <v>-8.6765998645408793E-2</v>
      </c>
      <c r="I17" s="128">
        <f ca="1">I15/I16-1</f>
        <v>1.4596612314008439E-3</v>
      </c>
      <c r="J17" s="698"/>
    </row>
    <row r="18" spans="2:13">
      <c r="K18" s="201" t="s">
        <v>2991</v>
      </c>
      <c r="L18" s="4032">
        <f ca="1">TODAY()</f>
        <v>43145</v>
      </c>
    </row>
    <row r="19" spans="2:13">
      <c r="K19" s="2" t="s">
        <v>1750</v>
      </c>
    </row>
    <row r="20" spans="2:13">
      <c r="K20" s="1734" t="s">
        <v>2992</v>
      </c>
      <c r="L20" s="4051" t="str">
        <f ca="1">+I16</f>
        <v xml:space="preserve">$83.40 </v>
      </c>
    </row>
    <row r="21" spans="2:13">
      <c r="K21" s="1734" t="s">
        <v>1824</v>
      </c>
      <c r="L21" s="3">
        <f>+Hilton!AH70</f>
        <v>325</v>
      </c>
    </row>
    <row r="22" spans="2:13">
      <c r="K22" s="1734" t="s">
        <v>721</v>
      </c>
      <c r="L22" s="11">
        <f ca="1">+L20*L21</f>
        <v>27105.000000000004</v>
      </c>
    </row>
    <row r="23" spans="2:13">
      <c r="K23" s="1734" t="s">
        <v>1652</v>
      </c>
      <c r="L23" s="3">
        <f ca="1">Hilton!AJ616</f>
        <v>6114</v>
      </c>
    </row>
    <row r="24" spans="2:13" ht="3.95" customHeight="1">
      <c r="L24" s="1773" t="s">
        <v>601</v>
      </c>
    </row>
    <row r="25" spans="2:13">
      <c r="K25" s="1734" t="s">
        <v>1587</v>
      </c>
      <c r="L25" s="11">
        <f ca="1">+L22+L23</f>
        <v>33219</v>
      </c>
    </row>
    <row r="26" spans="2:13">
      <c r="K26" s="1734" t="s">
        <v>2993</v>
      </c>
      <c r="L26" s="3">
        <f ca="1">+C9</f>
        <v>1948.6601203221921</v>
      </c>
      <c r="M26" s="1773" t="s">
        <v>3199</v>
      </c>
    </row>
    <row r="27" spans="2:13">
      <c r="K27" s="1734" t="s">
        <v>2994</v>
      </c>
      <c r="L27" s="3564">
        <f ca="1">+L25/L26</f>
        <v>17.04709797956329</v>
      </c>
      <c r="M27" s="4052">
        <f ca="1">(L25+L36+L46)/(L26+L37+L47)</f>
        <v>14.844837306817032</v>
      </c>
    </row>
    <row r="28" spans="2:13" ht="3.95" customHeight="1"/>
    <row r="30" spans="2:13" ht="12.75" customHeight="1">
      <c r="K30" s="2" t="s">
        <v>2995</v>
      </c>
    </row>
    <row r="31" spans="2:13" ht="12.75" customHeight="1">
      <c r="K31" s="1734" t="s">
        <v>2992</v>
      </c>
      <c r="L31" s="3563">
        <v>29.05</v>
      </c>
      <c r="M31" s="2690"/>
    </row>
    <row r="32" spans="2:13" ht="12.75" customHeight="1">
      <c r="K32" s="1734" t="s">
        <v>1824</v>
      </c>
      <c r="L32" s="4033">
        <f ca="1">_xll.ThomsonONEAddinShim.SpreadsheetFormulas.TF($K30,"TF.FN.FullyDilutedAvgShares(Period=FI0,Sdate=#1,Scale=6)",,$L$18)</f>
        <v>215</v>
      </c>
      <c r="M32" s="7"/>
    </row>
    <row r="33" spans="11:12" ht="12.75" customHeight="1">
      <c r="K33" s="1734" t="s">
        <v>721</v>
      </c>
      <c r="L33" s="11">
        <f ca="1">+L31*L32</f>
        <v>6245.75</v>
      </c>
    </row>
    <row r="34" spans="11:12" ht="12.75" customHeight="1">
      <c r="K34" s="1734" t="s">
        <v>1652</v>
      </c>
      <c r="L34" s="3">
        <f>+'Owned Assets Spun Out'!J92+'Owned Assets Spun Out'!J97</f>
        <v>2985.8718949443382</v>
      </c>
    </row>
    <row r="35" spans="11:12" ht="3.95" customHeight="1">
      <c r="L35" s="1773" t="s">
        <v>601</v>
      </c>
    </row>
    <row r="36" spans="11:12" ht="12.75" customHeight="1">
      <c r="K36" s="1734" t="s">
        <v>1587</v>
      </c>
      <c r="L36" s="11">
        <f ca="1">+L33+L34</f>
        <v>9231.6218949443391</v>
      </c>
    </row>
    <row r="37" spans="11:12" ht="12.75" customHeight="1">
      <c r="K37" s="1734" t="s">
        <v>2993</v>
      </c>
      <c r="L37" s="4053" t="str">
        <f ca="1">_xll.ThomsonONEAddinShim.SpreadsheetFormulas.TF($K30,"TF.ES.EBITDA.ACTVALUE(period=#1,SDATE=#2,SCALE=6)@TF.ES.EBITDA.Mean(period=#1,SDATE=#2,SCALE=6)",,LEFT(K$37,4),TEXT($L$18,"YYYYMMDD"))</f>
        <v xml:space="preserve">$770 </v>
      </c>
    </row>
    <row r="38" spans="11:12" ht="12.75" customHeight="1">
      <c r="K38" s="1734" t="s">
        <v>2994</v>
      </c>
      <c r="L38" s="3564">
        <f ca="1">+L36/L37</f>
        <v>11.989119344083557</v>
      </c>
    </row>
    <row r="40" spans="11:12" ht="12.75" customHeight="1">
      <c r="K40" s="2" t="s">
        <v>2871</v>
      </c>
    </row>
    <row r="41" spans="11:12" ht="12.75" customHeight="1">
      <c r="K41" s="1734" t="s">
        <v>2992</v>
      </c>
      <c r="L41" s="3563">
        <v>40.89</v>
      </c>
    </row>
    <row r="42" spans="11:12" ht="12.75" customHeight="1">
      <c r="K42" s="1734" t="s">
        <v>1824</v>
      </c>
      <c r="L42" s="4033">
        <f ca="1">_xll.ThomsonONEAddinShim.SpreadsheetFormulas.TF($K40,"TF.FN.FullyDilutedAvgShares(Period=FI0,Sdate=#1,Scale=6)",,$L$18)</f>
        <v>100</v>
      </c>
    </row>
    <row r="43" spans="11:12" ht="12.75" customHeight="1">
      <c r="K43" s="1734" t="s">
        <v>721</v>
      </c>
      <c r="L43" s="11">
        <f ca="1">+L41*L42</f>
        <v>4089</v>
      </c>
    </row>
    <row r="44" spans="11:12" ht="12.75" customHeight="1">
      <c r="K44" s="1734" t="s">
        <v>1652</v>
      </c>
      <c r="L44" s="3">
        <f>+'Timeshare Assets Spun Out'!J75</f>
        <v>142.3459764742766</v>
      </c>
    </row>
    <row r="45" spans="11:12" ht="3.95" customHeight="1">
      <c r="L45" s="1773" t="s">
        <v>601</v>
      </c>
    </row>
    <row r="46" spans="11:12" ht="12.75" customHeight="1">
      <c r="K46" s="1734" t="s">
        <v>1587</v>
      </c>
      <c r="L46" s="11">
        <f ca="1">+L43+L44</f>
        <v>4231.3459764742765</v>
      </c>
    </row>
    <row r="47" spans="11:12" ht="12.75" customHeight="1">
      <c r="K47" s="1734" t="s">
        <v>2993</v>
      </c>
      <c r="L47" s="4053" t="str">
        <f ca="1">_xll.ThomsonONEAddinShim.SpreadsheetFormulas.TF($K40,"TF.ES.EBITDA.ACTVALUE(period=#1,SDATE=#2,SCALE=6)@TF.ES.EBITDA.Mean(period=#1,SDATE=#2,SCALE=6)",,LEFT(K$47,4),TEXT($L$18,"YYYYMMDD"))</f>
        <v xml:space="preserve">$426 </v>
      </c>
    </row>
    <row r="48" spans="11:12" ht="12.75" customHeight="1">
      <c r="K48" s="1734" t="s">
        <v>2994</v>
      </c>
      <c r="L48" s="3564">
        <f ca="1">+L46/L47</f>
        <v>9.9327370339771743</v>
      </c>
    </row>
    <row r="49" spans="11:12">
      <c r="K49" s="1734" t="s">
        <v>3004</v>
      </c>
      <c r="L49" s="3564">
        <f ca="1">(L46+'Timeshare Assets Spun Out'!J177)/'EBITDA Val'!L47</f>
        <v>11.768417785150884</v>
      </c>
    </row>
    <row r="51" spans="11:12">
      <c r="K51" s="2" t="s">
        <v>2996</v>
      </c>
      <c r="L51" s="1546">
        <f ca="1">+L43+L33+L22</f>
        <v>37439.75</v>
      </c>
    </row>
    <row r="52" spans="11:12">
      <c r="K52" s="2" t="s">
        <v>2997</v>
      </c>
      <c r="L52" s="2">
        <f>+Hilton!AD70</f>
        <v>993</v>
      </c>
    </row>
    <row r="53" spans="11:12" ht="12.75" customHeight="1">
      <c r="K53" s="2" t="s">
        <v>277</v>
      </c>
      <c r="L53" s="3565">
        <f ca="1">+L51/L52</f>
        <v>37.703675730110774</v>
      </c>
    </row>
    <row r="54" spans="11:12" ht="12.75" customHeight="1">
      <c r="K54" s="1734" t="s">
        <v>3008</v>
      </c>
      <c r="L54" s="3572">
        <v>27.39</v>
      </c>
    </row>
    <row r="55" spans="11:12">
      <c r="K55" s="1734" t="s">
        <v>3009</v>
      </c>
      <c r="L55" s="7">
        <f ca="1">+L53/L54-1</f>
        <v>0.37654894962069263</v>
      </c>
    </row>
    <row r="56" spans="11:12">
      <c r="K56" s="1734" t="s">
        <v>3194</v>
      </c>
      <c r="L56" s="3572">
        <v>19.88</v>
      </c>
    </row>
    <row r="57" spans="11:12" ht="3.95" customHeight="1"/>
    <row r="58" spans="11:12">
      <c r="K58" s="1734" t="s">
        <v>3195</v>
      </c>
      <c r="L58" s="7">
        <f ca="1">+L53/L56-1</f>
        <v>0.89656316549852999</v>
      </c>
    </row>
    <row r="59" spans="11:12" ht="3.95" customHeight="1"/>
    <row r="63" spans="11:12" ht="3.95" customHeight="1"/>
    <row r="68" ht="3.95" customHeight="1"/>
    <row r="83" ht="3.95" customHeight="1"/>
    <row r="86" ht="3.95" customHeight="1"/>
    <row r="91" ht="3.95" customHeight="1"/>
    <row r="99" ht="3.95" customHeight="1"/>
    <row r="106" ht="3.95" customHeight="1"/>
  </sheetData>
  <phoneticPr fontId="86" type="noConversion"/>
  <pageMargins left="0" right="0" top="0" bottom="0" header="0" footer="0"/>
  <pageSetup paperSize="5" scale="88" orientation="landscape"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O949"/>
  <sheetViews>
    <sheetView showGridLines="0" zoomScale="85" zoomScaleNormal="85" workbookViewId="0">
      <pane xSplit="1" ySplit="4" topLeftCell="Z5" activePane="bottomRight" state="frozenSplit"/>
      <selection activeCell="AP356" sqref="AP356"/>
      <selection pane="topRight" activeCell="AP356" sqref="AP356"/>
      <selection pane="bottomLeft" activeCell="AP356" sqref="AP356"/>
      <selection pane="bottomRight" activeCell="AK33" sqref="AK33"/>
    </sheetView>
  </sheetViews>
  <sheetFormatPr defaultRowHeight="12.75" outlineLevelCol="1"/>
  <cols>
    <col min="1" max="1" width="31.125" style="3" customWidth="1"/>
    <col min="2" max="3" width="8.625" style="3" customWidth="1"/>
    <col min="4" max="7" width="8.625" style="3" hidden="1" customWidth="1" outlineLevel="1"/>
    <col min="8" max="8" width="8.625" style="3" customWidth="1" collapsed="1"/>
    <col min="9" max="12" width="8.625" style="3" hidden="1" customWidth="1" outlineLevel="1"/>
    <col min="13" max="13" width="8.625" style="3" customWidth="1" collapsed="1"/>
    <col min="14" max="17" width="8.625" style="3" hidden="1" customWidth="1" outlineLevel="1"/>
    <col min="18" max="18" width="8.625" style="3" customWidth="1" collapsed="1"/>
    <col min="19" max="22" width="8.625" style="15" customWidth="1" outlineLevel="1"/>
    <col min="23" max="23" width="8.625" style="3" customWidth="1"/>
    <col min="24" max="27" width="8.625" style="15" customWidth="1" outlineLevel="1"/>
    <col min="28" max="28" width="8.625" style="3" customWidth="1"/>
    <col min="29" max="32" width="8.625" style="15" customWidth="1" outlineLevel="1"/>
    <col min="33" max="33" width="8.625" style="3" customWidth="1"/>
    <col min="34" max="37" width="8.625" style="15" customWidth="1" outlineLevel="1"/>
    <col min="38" max="40" width="8.625" style="3" customWidth="1"/>
    <col min="41" max="41" width="2.5" style="3" customWidth="1"/>
    <col min="42" max="16384" width="9" style="3"/>
  </cols>
  <sheetData>
    <row r="1" spans="1:40">
      <c r="A1" s="2" t="s">
        <v>1391</v>
      </c>
    </row>
    <row r="3" spans="1:40">
      <c r="A3" s="535"/>
      <c r="B3" s="537">
        <f>+Hilton!E$3</f>
        <v>40543</v>
      </c>
      <c r="C3" s="537">
        <f>+Hilton!F$3</f>
        <v>40908</v>
      </c>
      <c r="D3" s="536">
        <f>+Hilton!G$3</f>
        <v>40999</v>
      </c>
      <c r="E3" s="536">
        <f>+Hilton!H$3</f>
        <v>41090</v>
      </c>
      <c r="F3" s="536">
        <f>+Hilton!I$3</f>
        <v>41182</v>
      </c>
      <c r="G3" s="536">
        <f>+Hilton!J$3</f>
        <v>41274</v>
      </c>
      <c r="H3" s="537">
        <f>+Hilton!K$3</f>
        <v>41274</v>
      </c>
      <c r="I3" s="536">
        <f>+Hilton!L$3</f>
        <v>41364</v>
      </c>
      <c r="J3" s="536">
        <f>+Hilton!M$3</f>
        <v>41455</v>
      </c>
      <c r="K3" s="536">
        <f>+Hilton!N$3</f>
        <v>41547</v>
      </c>
      <c r="L3" s="536">
        <f>+Hilton!O$3</f>
        <v>41639</v>
      </c>
      <c r="M3" s="537">
        <f>+Hilton!P$3</f>
        <v>41639</v>
      </c>
      <c r="N3" s="536">
        <f>+Hilton!Q$3</f>
        <v>41729</v>
      </c>
      <c r="O3" s="536">
        <f>+Hilton!R$3</f>
        <v>41820</v>
      </c>
      <c r="P3" s="536">
        <f>+Hilton!S$3</f>
        <v>41912</v>
      </c>
      <c r="Q3" s="536">
        <f>+Hilton!T$3</f>
        <v>42004</v>
      </c>
      <c r="R3" s="537">
        <f>+Hilton!U$3</f>
        <v>42004</v>
      </c>
      <c r="S3" s="536">
        <f>+Hilton!V$3</f>
        <v>42094</v>
      </c>
      <c r="T3" s="536">
        <f>+Hilton!W$3</f>
        <v>42185</v>
      </c>
      <c r="U3" s="536">
        <f>+Hilton!X$3</f>
        <v>42277</v>
      </c>
      <c r="V3" s="536">
        <f>+Hilton!Y$3</f>
        <v>42369</v>
      </c>
      <c r="W3" s="537">
        <f>+Hilton!Z$3</f>
        <v>42369</v>
      </c>
      <c r="X3" s="536">
        <f>+Hilton!AA$3</f>
        <v>42460</v>
      </c>
      <c r="Y3" s="536">
        <f>+Hilton!AB$3</f>
        <v>42551</v>
      </c>
      <c r="Z3" s="536">
        <f>+Hilton!AC$3</f>
        <v>42643</v>
      </c>
      <c r="AA3" s="536">
        <f>+Hilton!AD$3</f>
        <v>42735</v>
      </c>
      <c r="AB3" s="537">
        <f>+Hilton!AE$3</f>
        <v>42735</v>
      </c>
      <c r="AC3" s="536">
        <f>+Hilton!AF$3</f>
        <v>42825</v>
      </c>
      <c r="AD3" s="536">
        <f>+Hilton!AG$3</f>
        <v>42916</v>
      </c>
      <c r="AE3" s="536">
        <f>+Hilton!AH$3</f>
        <v>43008</v>
      </c>
      <c r="AF3" s="536">
        <f>+Hilton!AI$3</f>
        <v>43100</v>
      </c>
      <c r="AG3" s="537">
        <f>+Hilton!AJ$3</f>
        <v>43100</v>
      </c>
      <c r="AH3" s="536">
        <f>Hilton!AK3</f>
        <v>43190</v>
      </c>
      <c r="AI3" s="536">
        <f>Hilton!AL3</f>
        <v>43281</v>
      </c>
      <c r="AJ3" s="536">
        <f>Hilton!AM3</f>
        <v>43373</v>
      </c>
      <c r="AK3" s="536">
        <f>Hilton!AN3</f>
        <v>43465</v>
      </c>
      <c r="AL3" s="537">
        <f>+Hilton!AO$3</f>
        <v>43465</v>
      </c>
      <c r="AM3" s="537">
        <f>+Hilton!AP$3</f>
        <v>43830</v>
      </c>
      <c r="AN3" s="537">
        <f>+Hilton!AQ$3</f>
        <v>44196</v>
      </c>
    </row>
    <row r="4" spans="1:40" s="214" customFormat="1">
      <c r="A4" s="1502"/>
      <c r="B4" s="1503" t="str">
        <f>+Hilton!E$5</f>
        <v>2010</v>
      </c>
      <c r="C4" s="1503" t="str">
        <f>+Hilton!F$5</f>
        <v>2011</v>
      </c>
      <c r="D4" s="1504" t="str">
        <f>+Hilton!G$5</f>
        <v>1Q12</v>
      </c>
      <c r="E4" s="1504" t="str">
        <f>+Hilton!H$5</f>
        <v>2Q12</v>
      </c>
      <c r="F4" s="1504" t="str">
        <f>+Hilton!I$5</f>
        <v>3Q12</v>
      </c>
      <c r="G4" s="1504" t="str">
        <f>+Hilton!J$5</f>
        <v>4Q12</v>
      </c>
      <c r="H4" s="1503">
        <f>+Hilton!K$5</f>
        <v>2012</v>
      </c>
      <c r="I4" s="1504" t="str">
        <f>+Hilton!L$5</f>
        <v>1Q13</v>
      </c>
      <c r="J4" s="1504" t="str">
        <f>+Hilton!M$5</f>
        <v>2Q13</v>
      </c>
      <c r="K4" s="1504" t="str">
        <f>+Hilton!N$5</f>
        <v>3Q13</v>
      </c>
      <c r="L4" s="1504" t="str">
        <f>+Hilton!O$5</f>
        <v>4Q13</v>
      </c>
      <c r="M4" s="1503">
        <f>+Hilton!P$5</f>
        <v>2013</v>
      </c>
      <c r="N4" s="1504" t="str">
        <f>+Hilton!Q$5</f>
        <v>1Q14</v>
      </c>
      <c r="O4" s="1504" t="str">
        <f>+Hilton!R$5</f>
        <v>2Q14</v>
      </c>
      <c r="P4" s="1504" t="str">
        <f>+Hilton!S$5</f>
        <v>3Q14</v>
      </c>
      <c r="Q4" s="1504" t="str">
        <f>+Hilton!T$5</f>
        <v>4Q14</v>
      </c>
      <c r="R4" s="1503">
        <f>+Hilton!U$5</f>
        <v>2014</v>
      </c>
      <c r="S4" s="1504" t="str">
        <f>+Hilton!V$5</f>
        <v>1Q15</v>
      </c>
      <c r="T4" s="1504" t="str">
        <f>+Hilton!W$5</f>
        <v>2Q15</v>
      </c>
      <c r="U4" s="1504" t="str">
        <f>+Hilton!X$5</f>
        <v>3Q15</v>
      </c>
      <c r="V4" s="1504" t="str">
        <f>+Hilton!Y$5</f>
        <v>4Q15</v>
      </c>
      <c r="W4" s="1503">
        <f>+Hilton!Z$5</f>
        <v>2015</v>
      </c>
      <c r="X4" s="1504" t="str">
        <f>+Hilton!AA$5</f>
        <v>1Q16</v>
      </c>
      <c r="Y4" s="1504" t="str">
        <f>+Hilton!AB$5</f>
        <v>2Q16</v>
      </c>
      <c r="Z4" s="1504" t="str">
        <f>+Hilton!AC$5</f>
        <v>3Q16</v>
      </c>
      <c r="AA4" s="1504" t="str">
        <f>+Hilton!AD$5</f>
        <v>4Q16</v>
      </c>
      <c r="AB4" s="1503">
        <f>+Hilton!AE$5</f>
        <v>2016</v>
      </c>
      <c r="AC4" s="1504" t="str">
        <f>+Hilton!AF$5</f>
        <v>1Q17</v>
      </c>
      <c r="AD4" s="1504" t="str">
        <f>+Hilton!AG$5</f>
        <v>2Q17</v>
      </c>
      <c r="AE4" s="1504" t="str">
        <f>+Hilton!AH$5</f>
        <v>3Q17</v>
      </c>
      <c r="AF4" s="1504" t="str">
        <f>+Hilton!AI$5</f>
        <v>4Q17A</v>
      </c>
      <c r="AG4" s="1503" t="str">
        <f>+Hilton!AJ$5</f>
        <v>2017A</v>
      </c>
      <c r="AH4" s="1504" t="str">
        <f>Hilton!AK5</f>
        <v>1Q18E</v>
      </c>
      <c r="AI4" s="1504" t="str">
        <f>Hilton!AL5</f>
        <v>2Q18E</v>
      </c>
      <c r="AJ4" s="1504" t="str">
        <f>Hilton!AM5</f>
        <v>3Q18E</v>
      </c>
      <c r="AK4" s="1504" t="str">
        <f>Hilton!AN5</f>
        <v>4Q18E</v>
      </c>
      <c r="AL4" s="1503" t="str">
        <f>+Hilton!AO$5</f>
        <v>2018E</v>
      </c>
      <c r="AM4" s="1503" t="str">
        <f>+Hilton!AP$5</f>
        <v>2019E</v>
      </c>
      <c r="AN4" s="1503" t="str">
        <f>+Hilton!AQ$5</f>
        <v>2020E</v>
      </c>
    </row>
    <row r="5" spans="1:40">
      <c r="A5" s="511"/>
      <c r="B5" s="511"/>
      <c r="C5" s="511"/>
      <c r="D5" s="511"/>
      <c r="E5" s="511"/>
      <c r="F5" s="511"/>
      <c r="G5" s="511"/>
      <c r="H5" s="511"/>
      <c r="I5" s="511"/>
      <c r="J5" s="511"/>
      <c r="K5" s="511"/>
      <c r="L5" s="511"/>
      <c r="M5" s="511"/>
      <c r="N5" s="511"/>
      <c r="O5" s="511"/>
      <c r="P5" s="511"/>
      <c r="Q5" s="511"/>
      <c r="R5" s="511"/>
      <c r="S5" s="511"/>
      <c r="T5" s="511"/>
      <c r="U5" s="511"/>
      <c r="V5" s="511"/>
      <c r="W5" s="511"/>
      <c r="X5" s="511"/>
      <c r="Y5" s="511"/>
      <c r="Z5" s="511"/>
      <c r="AA5" s="511"/>
      <c r="AB5" s="511"/>
      <c r="AC5" s="511"/>
      <c r="AD5" s="511"/>
      <c r="AE5" s="511"/>
      <c r="AF5" s="511"/>
      <c r="AG5" s="511"/>
      <c r="AH5" s="511"/>
      <c r="AI5" s="511"/>
      <c r="AJ5" s="511"/>
      <c r="AK5" s="511"/>
      <c r="AL5" s="511"/>
      <c r="AM5" s="511"/>
      <c r="AN5" s="511"/>
    </row>
    <row r="6" spans="1:40" s="775" customFormat="1">
      <c r="A6" s="461" t="s">
        <v>1395</v>
      </c>
      <c r="B6" s="774" t="str">
        <f>+Hilton!E$5</f>
        <v>2010</v>
      </c>
      <c r="C6" s="774" t="str">
        <f>+Hilton!F$5</f>
        <v>2011</v>
      </c>
      <c r="D6" s="773" t="str">
        <f>+Hilton!G$5</f>
        <v>1Q12</v>
      </c>
      <c r="E6" s="773" t="str">
        <f>+Hilton!H$5</f>
        <v>2Q12</v>
      </c>
      <c r="F6" s="773" t="str">
        <f>+Hilton!I$5</f>
        <v>3Q12</v>
      </c>
      <c r="G6" s="773" t="str">
        <f>+Hilton!J$5</f>
        <v>4Q12</v>
      </c>
      <c r="H6" s="774">
        <f>+Hilton!K$5</f>
        <v>2012</v>
      </c>
      <c r="I6" s="773" t="str">
        <f>+Hilton!L$5</f>
        <v>1Q13</v>
      </c>
      <c r="J6" s="773" t="str">
        <f>+Hilton!M$5</f>
        <v>2Q13</v>
      </c>
      <c r="K6" s="773" t="str">
        <f>+Hilton!N$5</f>
        <v>3Q13</v>
      </c>
      <c r="L6" s="773" t="str">
        <f>+Hilton!O$5</f>
        <v>4Q13</v>
      </c>
      <c r="M6" s="774">
        <f>+Hilton!P$5</f>
        <v>2013</v>
      </c>
      <c r="N6" s="773" t="str">
        <f>+Hilton!Q$5</f>
        <v>1Q14</v>
      </c>
      <c r="O6" s="773" t="str">
        <f>+Hilton!R$5</f>
        <v>2Q14</v>
      </c>
      <c r="P6" s="773" t="str">
        <f>+Hilton!S$5</f>
        <v>3Q14</v>
      </c>
      <c r="Q6" s="773" t="str">
        <f>+Hilton!T$5</f>
        <v>4Q14</v>
      </c>
      <c r="R6" s="774">
        <f>+Hilton!U$5</f>
        <v>2014</v>
      </c>
      <c r="S6" s="773" t="str">
        <f>+Hilton!V$5</f>
        <v>1Q15</v>
      </c>
      <c r="T6" s="773" t="str">
        <f>+Hilton!W$5</f>
        <v>2Q15</v>
      </c>
      <c r="U6" s="773" t="str">
        <f>+Hilton!X$5</f>
        <v>3Q15</v>
      </c>
      <c r="V6" s="773" t="str">
        <f>+Hilton!Y$5</f>
        <v>4Q15</v>
      </c>
      <c r="W6" s="774">
        <f>+Hilton!Z$5</f>
        <v>2015</v>
      </c>
      <c r="X6" s="773" t="str">
        <f>+Hilton!AA$5</f>
        <v>1Q16</v>
      </c>
      <c r="Y6" s="773" t="str">
        <f>+Hilton!AB$5</f>
        <v>2Q16</v>
      </c>
      <c r="Z6" s="773" t="str">
        <f>+Hilton!AC$5</f>
        <v>3Q16</v>
      </c>
      <c r="AA6" s="773" t="str">
        <f>+Hilton!AD$5</f>
        <v>4Q16</v>
      </c>
      <c r="AB6" s="774">
        <f>+Hilton!AE$5</f>
        <v>2016</v>
      </c>
      <c r="AC6" s="773" t="str">
        <f>+Hilton!AF$5</f>
        <v>1Q17</v>
      </c>
      <c r="AD6" s="773" t="str">
        <f>+Hilton!AG$5</f>
        <v>2Q17</v>
      </c>
      <c r="AE6" s="773" t="str">
        <f>+Hilton!AH$5</f>
        <v>3Q17</v>
      </c>
      <c r="AF6" s="773" t="str">
        <f>+Hilton!AI$5</f>
        <v>4Q17A</v>
      </c>
      <c r="AG6" s="774" t="str">
        <f>+Hilton!AJ$5</f>
        <v>2017A</v>
      </c>
      <c r="AH6" s="773" t="str">
        <f>Hilton!AK5</f>
        <v>1Q18E</v>
      </c>
      <c r="AI6" s="773" t="str">
        <f>Hilton!AL5</f>
        <v>2Q18E</v>
      </c>
      <c r="AJ6" s="773" t="str">
        <f>Hilton!AM5</f>
        <v>3Q18E</v>
      </c>
      <c r="AK6" s="773" t="str">
        <f>Hilton!AN5</f>
        <v>4Q18E</v>
      </c>
      <c r="AL6" s="774" t="str">
        <f>+Hilton!AO$5</f>
        <v>2018E</v>
      </c>
      <c r="AM6" s="774" t="str">
        <f>+Hilton!AP$5</f>
        <v>2019E</v>
      </c>
      <c r="AN6" s="774" t="str">
        <f>+Hilton!AQ$5</f>
        <v>2020E</v>
      </c>
    </row>
    <row r="7" spans="1:40" s="130" customFormat="1">
      <c r="A7" s="140"/>
      <c r="B7" s="397"/>
      <c r="C7" s="397"/>
      <c r="D7" s="203"/>
      <c r="E7" s="203"/>
      <c r="F7" s="203"/>
      <c r="G7" s="203"/>
      <c r="H7" s="397"/>
      <c r="I7" s="203"/>
      <c r="J7" s="203"/>
      <c r="K7" s="203"/>
      <c r="L7" s="203"/>
      <c r="M7" s="397"/>
      <c r="N7" s="203"/>
      <c r="O7" s="203"/>
      <c r="P7" s="203"/>
      <c r="Q7" s="203"/>
      <c r="R7" s="397"/>
      <c r="S7" s="1038"/>
      <c r="T7" s="203"/>
      <c r="U7" s="203"/>
      <c r="V7" s="572"/>
      <c r="W7" s="397"/>
      <c r="X7" s="1038"/>
      <c r="Y7" s="203"/>
      <c r="Z7" s="203"/>
      <c r="AA7" s="203"/>
      <c r="AB7" s="397"/>
      <c r="AC7" s="203"/>
      <c r="AD7" s="203"/>
      <c r="AE7" s="203"/>
      <c r="AF7" s="572"/>
      <c r="AG7" s="397"/>
      <c r="AH7" s="203"/>
      <c r="AI7" s="203"/>
      <c r="AJ7" s="203"/>
      <c r="AK7" s="572"/>
      <c r="AL7" s="397"/>
      <c r="AM7" s="397"/>
      <c r="AN7" s="397"/>
    </row>
    <row r="8" spans="1:40">
      <c r="A8" s="141" t="s">
        <v>1589</v>
      </c>
      <c r="B8" s="138"/>
      <c r="C8" s="138"/>
      <c r="D8" s="130"/>
      <c r="E8" s="130"/>
      <c r="F8" s="130"/>
      <c r="G8" s="130"/>
      <c r="H8" s="138"/>
      <c r="I8" s="130"/>
      <c r="J8" s="130"/>
      <c r="K8" s="130"/>
      <c r="L8" s="130"/>
      <c r="M8" s="138"/>
      <c r="N8" s="130"/>
      <c r="O8" s="130"/>
      <c r="P8" s="130"/>
      <c r="Q8" s="130"/>
      <c r="R8" s="138"/>
      <c r="S8" s="394"/>
      <c r="T8" s="135"/>
      <c r="U8" s="135"/>
      <c r="V8" s="452"/>
      <c r="W8" s="138"/>
      <c r="X8" s="394"/>
      <c r="Y8" s="135"/>
      <c r="Z8" s="135"/>
      <c r="AA8" s="135"/>
      <c r="AB8" s="138"/>
      <c r="AC8" s="135"/>
      <c r="AD8" s="135"/>
      <c r="AE8" s="135"/>
      <c r="AF8" s="452"/>
      <c r="AG8" s="138"/>
      <c r="AH8" s="135"/>
      <c r="AI8" s="135"/>
      <c r="AJ8" s="135"/>
      <c r="AK8" s="452"/>
      <c r="AL8" s="138"/>
      <c r="AM8" s="138"/>
      <c r="AN8" s="138"/>
    </row>
    <row r="9" spans="1:40">
      <c r="A9" s="1828" t="s">
        <v>2272</v>
      </c>
      <c r="B9" s="1030">
        <v>1</v>
      </c>
      <c r="C9" s="508">
        <v>1</v>
      </c>
      <c r="D9" s="1030">
        <v>2</v>
      </c>
      <c r="E9" s="912">
        <v>2</v>
      </c>
      <c r="F9" s="912">
        <v>2</v>
      </c>
      <c r="G9" s="1041">
        <v>2</v>
      </c>
      <c r="H9" s="820">
        <f>G9</f>
        <v>2</v>
      </c>
      <c r="I9" s="1030">
        <v>2</v>
      </c>
      <c r="J9" s="912">
        <v>2</v>
      </c>
      <c r="K9" s="912">
        <v>2</v>
      </c>
      <c r="L9" s="1041">
        <v>2</v>
      </c>
      <c r="M9" s="820">
        <f>L9</f>
        <v>2</v>
      </c>
      <c r="N9" s="1030">
        <v>2</v>
      </c>
      <c r="O9" s="912">
        <v>2</v>
      </c>
      <c r="P9" s="912">
        <v>2</v>
      </c>
      <c r="Q9" s="1041">
        <v>2</v>
      </c>
      <c r="R9" s="820">
        <f t="shared" ref="R9:R16" si="0">Q9</f>
        <v>2</v>
      </c>
      <c r="S9" s="1030">
        <v>4</v>
      </c>
      <c r="T9" s="912">
        <v>4</v>
      </c>
      <c r="U9" s="912">
        <v>4</v>
      </c>
      <c r="V9" s="912">
        <v>4</v>
      </c>
      <c r="W9" s="398">
        <f>+V9</f>
        <v>4</v>
      </c>
      <c r="X9" s="2787">
        <v>4</v>
      </c>
      <c r="Y9" s="2791">
        <v>4</v>
      </c>
      <c r="Z9" s="2791">
        <v>4</v>
      </c>
      <c r="AA9" s="2791">
        <v>4</v>
      </c>
      <c r="AB9" s="398">
        <f t="shared" ref="AB9:AB21" si="1">+AA9</f>
        <v>4</v>
      </c>
      <c r="AC9" s="2944">
        <f>+AB9-'Owned Hotels Spinoff'!G32</f>
        <v>1</v>
      </c>
      <c r="AD9" s="406">
        <f t="shared" ref="AD9:AD21" si="2">+AC9</f>
        <v>1</v>
      </c>
      <c r="AE9" s="3665">
        <v>1</v>
      </c>
      <c r="AF9" s="3665">
        <v>1</v>
      </c>
      <c r="AG9" s="398">
        <f t="shared" ref="AF9:AG21" si="3">+AF9</f>
        <v>1</v>
      </c>
      <c r="AH9" s="2944">
        <f>AG9</f>
        <v>1</v>
      </c>
      <c r="AI9" s="2944">
        <f t="shared" ref="AI9:AK10" si="4">AH9</f>
        <v>1</v>
      </c>
      <c r="AJ9" s="2944">
        <f t="shared" si="4"/>
        <v>1</v>
      </c>
      <c r="AK9" s="820">
        <f t="shared" si="4"/>
        <v>1</v>
      </c>
      <c r="AL9" s="398">
        <f t="shared" ref="AL9:AL21" si="5">+AK9</f>
        <v>1</v>
      </c>
      <c r="AM9" s="398">
        <f t="shared" ref="AM9:AN21" si="6">AL9</f>
        <v>1</v>
      </c>
      <c r="AN9" s="398">
        <f t="shared" si="6"/>
        <v>1</v>
      </c>
    </row>
    <row r="10" spans="1:40">
      <c r="A10" s="1828" t="s">
        <v>2273</v>
      </c>
      <c r="B10" s="1030">
        <v>0</v>
      </c>
      <c r="C10" s="508">
        <v>0</v>
      </c>
      <c r="D10" s="1030">
        <v>0</v>
      </c>
      <c r="E10" s="912">
        <v>0</v>
      </c>
      <c r="F10" s="912">
        <v>0</v>
      </c>
      <c r="G10" s="1041">
        <v>0</v>
      </c>
      <c r="H10" s="820">
        <f t="shared" ref="H10:H21" si="7">G10</f>
        <v>0</v>
      </c>
      <c r="I10" s="1030">
        <v>0</v>
      </c>
      <c r="J10" s="912">
        <v>0</v>
      </c>
      <c r="K10" s="912">
        <v>0</v>
      </c>
      <c r="L10" s="1041">
        <v>0</v>
      </c>
      <c r="M10" s="820">
        <f t="shared" ref="M10:M21" si="8">L10</f>
        <v>0</v>
      </c>
      <c r="N10" s="1030">
        <v>0</v>
      </c>
      <c r="O10" s="912">
        <v>0</v>
      </c>
      <c r="P10" s="912">
        <v>0</v>
      </c>
      <c r="Q10" s="1041">
        <v>0</v>
      </c>
      <c r="R10" s="820">
        <f t="shared" si="0"/>
        <v>0</v>
      </c>
      <c r="S10" s="1030">
        <v>0</v>
      </c>
      <c r="T10" s="912">
        <v>0</v>
      </c>
      <c r="U10" s="912">
        <v>0</v>
      </c>
      <c r="V10" s="912">
        <v>0</v>
      </c>
      <c r="W10" s="398">
        <f>+V10</f>
        <v>0</v>
      </c>
      <c r="X10" s="2787">
        <v>0</v>
      </c>
      <c r="Y10" s="2791">
        <v>0</v>
      </c>
      <c r="Z10" s="2791">
        <v>0</v>
      </c>
      <c r="AA10" s="2791">
        <v>0</v>
      </c>
      <c r="AB10" s="398">
        <f t="shared" si="1"/>
        <v>0</v>
      </c>
      <c r="AC10" s="2944">
        <f>+AB10</f>
        <v>0</v>
      </c>
      <c r="AD10" s="406">
        <f t="shared" si="2"/>
        <v>0</v>
      </c>
      <c r="AE10" s="3665">
        <v>0</v>
      </c>
      <c r="AF10" s="820">
        <f t="shared" si="3"/>
        <v>0</v>
      </c>
      <c r="AG10" s="398">
        <f t="shared" si="3"/>
        <v>0</v>
      </c>
      <c r="AH10" s="2944">
        <f>AG10</f>
        <v>0</v>
      </c>
      <c r="AI10" s="2944">
        <f t="shared" si="4"/>
        <v>0</v>
      </c>
      <c r="AJ10" s="2944">
        <f t="shared" si="4"/>
        <v>0</v>
      </c>
      <c r="AK10" s="820">
        <f t="shared" si="4"/>
        <v>0</v>
      </c>
      <c r="AL10" s="398">
        <f t="shared" si="5"/>
        <v>0</v>
      </c>
      <c r="AM10" s="398">
        <f t="shared" si="6"/>
        <v>0</v>
      </c>
      <c r="AN10" s="398">
        <f t="shared" si="6"/>
        <v>0</v>
      </c>
    </row>
    <row r="11" spans="1:40">
      <c r="A11" s="1828" t="s">
        <v>3022</v>
      </c>
      <c r="B11" s="1030"/>
      <c r="C11" s="508"/>
      <c r="D11" s="1030"/>
      <c r="E11" s="912"/>
      <c r="F11" s="912"/>
      <c r="G11" s="1041"/>
      <c r="H11" s="820"/>
      <c r="I11" s="1030"/>
      <c r="J11" s="912"/>
      <c r="K11" s="912"/>
      <c r="L11" s="1041"/>
      <c r="M11" s="820"/>
      <c r="N11" s="1030"/>
      <c r="O11" s="912"/>
      <c r="P11" s="912"/>
      <c r="Q11" s="1041"/>
      <c r="R11" s="820"/>
      <c r="S11" s="1030"/>
      <c r="T11" s="912"/>
      <c r="U11" s="912"/>
      <c r="V11" s="912"/>
      <c r="W11" s="398"/>
      <c r="X11" s="2787"/>
      <c r="Y11" s="2791"/>
      <c r="Z11" s="2791"/>
      <c r="AA11" s="2791">
        <v>0</v>
      </c>
      <c r="AB11" s="398">
        <f t="shared" si="1"/>
        <v>0</v>
      </c>
      <c r="AC11" s="2944">
        <f>+AB11</f>
        <v>0</v>
      </c>
      <c r="AD11" s="406">
        <f>+AC11</f>
        <v>0</v>
      </c>
      <c r="AE11" s="3665">
        <v>0</v>
      </c>
      <c r="AF11" s="820">
        <f>+AE11</f>
        <v>0</v>
      </c>
      <c r="AG11" s="398">
        <f>+AF11</f>
        <v>0</v>
      </c>
      <c r="AH11" s="2944">
        <f t="shared" ref="AH11:AK11" si="9">AG11</f>
        <v>0</v>
      </c>
      <c r="AI11" s="2944">
        <f t="shared" si="9"/>
        <v>0</v>
      </c>
      <c r="AJ11" s="2944">
        <f t="shared" si="9"/>
        <v>0</v>
      </c>
      <c r="AK11" s="820">
        <f t="shared" si="9"/>
        <v>0</v>
      </c>
      <c r="AL11" s="398">
        <f>+AK11</f>
        <v>0</v>
      </c>
      <c r="AM11" s="398">
        <f>AL11</f>
        <v>0</v>
      </c>
      <c r="AN11" s="398">
        <f>AM11</f>
        <v>0</v>
      </c>
    </row>
    <row r="12" spans="1:40">
      <c r="A12" s="1828" t="s">
        <v>2280</v>
      </c>
      <c r="B12" s="1030">
        <v>23</v>
      </c>
      <c r="C12" s="508">
        <v>23</v>
      </c>
      <c r="D12" s="1030">
        <v>23</v>
      </c>
      <c r="E12" s="912">
        <v>23</v>
      </c>
      <c r="F12" s="912">
        <v>23</v>
      </c>
      <c r="G12" s="1041">
        <v>23</v>
      </c>
      <c r="H12" s="820">
        <f t="shared" si="7"/>
        <v>23</v>
      </c>
      <c r="I12" s="1030">
        <v>23</v>
      </c>
      <c r="J12" s="912">
        <v>23</v>
      </c>
      <c r="K12" s="912">
        <v>23</v>
      </c>
      <c r="L12" s="1041">
        <v>23</v>
      </c>
      <c r="M12" s="820">
        <f t="shared" si="8"/>
        <v>23</v>
      </c>
      <c r="N12" s="1030">
        <v>23</v>
      </c>
      <c r="O12" s="912">
        <v>23</v>
      </c>
      <c r="P12" s="912">
        <v>23</v>
      </c>
      <c r="Q12" s="1041">
        <v>23</v>
      </c>
      <c r="R12" s="820">
        <f t="shared" si="0"/>
        <v>23</v>
      </c>
      <c r="S12" s="1030">
        <v>25</v>
      </c>
      <c r="T12" s="912">
        <v>25</v>
      </c>
      <c r="U12" s="912">
        <v>25</v>
      </c>
      <c r="V12" s="912">
        <v>25</v>
      </c>
      <c r="W12" s="1716">
        <f t="shared" ref="W12:W21" si="10">+V12</f>
        <v>25</v>
      </c>
      <c r="X12" s="2787">
        <v>25</v>
      </c>
      <c r="Y12" s="2791">
        <v>25</v>
      </c>
      <c r="Z12" s="2791">
        <v>25</v>
      </c>
      <c r="AA12" s="2791">
        <v>25</v>
      </c>
      <c r="AB12" s="1716">
        <f t="shared" si="1"/>
        <v>25</v>
      </c>
      <c r="AC12" s="2944">
        <f>+AB12-'Owned Hotels Spinoff'!C32</f>
        <v>0</v>
      </c>
      <c r="AD12" s="406">
        <f t="shared" si="2"/>
        <v>0</v>
      </c>
      <c r="AE12" s="3665">
        <v>0</v>
      </c>
      <c r="AF12" s="820">
        <f t="shared" si="3"/>
        <v>0</v>
      </c>
      <c r="AG12" s="1716">
        <f t="shared" si="3"/>
        <v>0</v>
      </c>
      <c r="AH12" s="2944">
        <f t="shared" ref="AH12:AK12" si="11">AG12</f>
        <v>0</v>
      </c>
      <c r="AI12" s="2944">
        <f t="shared" si="11"/>
        <v>0</v>
      </c>
      <c r="AJ12" s="2944">
        <f t="shared" si="11"/>
        <v>0</v>
      </c>
      <c r="AK12" s="820">
        <f t="shared" si="11"/>
        <v>0</v>
      </c>
      <c r="AL12" s="1716">
        <f t="shared" si="5"/>
        <v>0</v>
      </c>
      <c r="AM12" s="398">
        <f t="shared" si="6"/>
        <v>0</v>
      </c>
      <c r="AN12" s="398">
        <f t="shared" si="6"/>
        <v>0</v>
      </c>
    </row>
    <row r="13" spans="1:40">
      <c r="A13" s="1828" t="s">
        <v>2323</v>
      </c>
      <c r="B13" s="1030"/>
      <c r="C13" s="508"/>
      <c r="D13" s="1030"/>
      <c r="E13" s="912"/>
      <c r="F13" s="912"/>
      <c r="G13" s="1041"/>
      <c r="H13" s="820"/>
      <c r="I13" s="1030"/>
      <c r="J13" s="912"/>
      <c r="K13" s="912"/>
      <c r="L13" s="1041"/>
      <c r="M13" s="820"/>
      <c r="N13" s="1030"/>
      <c r="O13" s="912"/>
      <c r="P13" s="912"/>
      <c r="Q13" s="1041"/>
      <c r="R13" s="820"/>
      <c r="S13" s="1030"/>
      <c r="T13" s="912">
        <v>1</v>
      </c>
      <c r="U13" s="912">
        <v>1</v>
      </c>
      <c r="V13" s="912">
        <v>1</v>
      </c>
      <c r="W13" s="1716">
        <f>+V13</f>
        <v>1</v>
      </c>
      <c r="X13" s="2787">
        <v>1</v>
      </c>
      <c r="Y13" s="2791">
        <v>1</v>
      </c>
      <c r="Z13" s="2791">
        <v>1</v>
      </c>
      <c r="AA13" s="2791">
        <v>1</v>
      </c>
      <c r="AB13" s="1716">
        <f>+AA13</f>
        <v>1</v>
      </c>
      <c r="AC13" s="2944">
        <f>+AB13-'Owned Hotels Spinoff'!G23</f>
        <v>0</v>
      </c>
      <c r="AD13" s="406">
        <f t="shared" si="2"/>
        <v>0</v>
      </c>
      <c r="AE13" s="3665">
        <v>0</v>
      </c>
      <c r="AF13" s="820">
        <f t="shared" si="3"/>
        <v>0</v>
      </c>
      <c r="AG13" s="1716">
        <f>+AF13</f>
        <v>0</v>
      </c>
      <c r="AH13" s="2944">
        <f t="shared" ref="AH13:AK13" si="12">AG13</f>
        <v>0</v>
      </c>
      <c r="AI13" s="2944">
        <f t="shared" si="12"/>
        <v>0</v>
      </c>
      <c r="AJ13" s="2944">
        <f t="shared" si="12"/>
        <v>0</v>
      </c>
      <c r="AK13" s="820">
        <f t="shared" si="12"/>
        <v>0</v>
      </c>
      <c r="AL13" s="1716">
        <f>+AK13</f>
        <v>0</v>
      </c>
      <c r="AM13" s="398">
        <f>AL13</f>
        <v>0</v>
      </c>
      <c r="AN13" s="398">
        <f>AM13</f>
        <v>0</v>
      </c>
    </row>
    <row r="14" spans="1:40">
      <c r="A14" s="1828" t="s">
        <v>2274</v>
      </c>
      <c r="B14" s="1030">
        <v>14</v>
      </c>
      <c r="C14" s="508">
        <v>13</v>
      </c>
      <c r="D14" s="1030">
        <v>13</v>
      </c>
      <c r="E14" s="912">
        <v>13</v>
      </c>
      <c r="F14" s="912">
        <v>13</v>
      </c>
      <c r="G14" s="1041">
        <v>13</v>
      </c>
      <c r="H14" s="820">
        <f t="shared" si="7"/>
        <v>13</v>
      </c>
      <c r="I14" s="1030">
        <v>13</v>
      </c>
      <c r="J14" s="912">
        <v>13</v>
      </c>
      <c r="K14" s="912">
        <v>12</v>
      </c>
      <c r="L14" s="1041">
        <v>12</v>
      </c>
      <c r="M14" s="820">
        <f t="shared" si="8"/>
        <v>12</v>
      </c>
      <c r="N14" s="1030">
        <v>12</v>
      </c>
      <c r="O14" s="912">
        <v>12</v>
      </c>
      <c r="P14" s="912">
        <v>11</v>
      </c>
      <c r="Q14" s="1041">
        <v>11</v>
      </c>
      <c r="R14" s="820">
        <f t="shared" si="0"/>
        <v>11</v>
      </c>
      <c r="S14" s="1030">
        <v>11</v>
      </c>
      <c r="T14" s="912">
        <v>11</v>
      </c>
      <c r="U14" s="912">
        <v>11</v>
      </c>
      <c r="V14" s="912">
        <v>11</v>
      </c>
      <c r="W14" s="1716">
        <f t="shared" si="10"/>
        <v>11</v>
      </c>
      <c r="X14" s="2787">
        <v>11</v>
      </c>
      <c r="Y14" s="2791">
        <v>11</v>
      </c>
      <c r="Z14" s="2791">
        <v>11</v>
      </c>
      <c r="AA14" s="2791">
        <v>10</v>
      </c>
      <c r="AB14" s="1716">
        <f t="shared" si="1"/>
        <v>10</v>
      </c>
      <c r="AC14" s="2944">
        <f>+AB14-'Owned Hotels Spinoff'!G17</f>
        <v>0</v>
      </c>
      <c r="AD14" s="406">
        <f t="shared" si="2"/>
        <v>0</v>
      </c>
      <c r="AE14" s="3665">
        <v>0</v>
      </c>
      <c r="AF14" s="820">
        <f t="shared" si="3"/>
        <v>0</v>
      </c>
      <c r="AG14" s="1716">
        <f t="shared" si="3"/>
        <v>0</v>
      </c>
      <c r="AH14" s="2944">
        <f t="shared" ref="AH14:AK14" si="13">AG14</f>
        <v>0</v>
      </c>
      <c r="AI14" s="2944">
        <f t="shared" si="13"/>
        <v>0</v>
      </c>
      <c r="AJ14" s="2944">
        <f t="shared" si="13"/>
        <v>0</v>
      </c>
      <c r="AK14" s="820">
        <f t="shared" si="13"/>
        <v>0</v>
      </c>
      <c r="AL14" s="1716">
        <f t="shared" si="5"/>
        <v>0</v>
      </c>
      <c r="AM14" s="398">
        <f t="shared" si="6"/>
        <v>0</v>
      </c>
      <c r="AN14" s="398">
        <f t="shared" si="6"/>
        <v>0</v>
      </c>
    </row>
    <row r="15" spans="1:40">
      <c r="A15" s="1828" t="s">
        <v>2279</v>
      </c>
      <c r="B15" s="1030">
        <v>18</v>
      </c>
      <c r="C15" s="508">
        <v>18</v>
      </c>
      <c r="D15" s="1030">
        <v>18</v>
      </c>
      <c r="E15" s="912">
        <v>18</v>
      </c>
      <c r="F15" s="912">
        <v>18</v>
      </c>
      <c r="G15" s="1041">
        <v>18</v>
      </c>
      <c r="H15" s="820">
        <f t="shared" si="7"/>
        <v>18</v>
      </c>
      <c r="I15" s="1030">
        <v>18</v>
      </c>
      <c r="J15" s="912">
        <v>18</v>
      </c>
      <c r="K15" s="912">
        <v>18</v>
      </c>
      <c r="L15" s="1041">
        <v>18</v>
      </c>
      <c r="M15" s="820">
        <f t="shared" si="8"/>
        <v>18</v>
      </c>
      <c r="N15" s="1030">
        <v>17</v>
      </c>
      <c r="O15" s="912">
        <v>15</v>
      </c>
      <c r="P15" s="912">
        <v>10</v>
      </c>
      <c r="Q15" s="1041">
        <v>10</v>
      </c>
      <c r="R15" s="820">
        <f t="shared" si="0"/>
        <v>10</v>
      </c>
      <c r="S15" s="1030">
        <v>10</v>
      </c>
      <c r="T15" s="912">
        <v>10</v>
      </c>
      <c r="U15" s="912">
        <v>10</v>
      </c>
      <c r="V15" s="912">
        <v>10</v>
      </c>
      <c r="W15" s="1716">
        <f t="shared" si="10"/>
        <v>10</v>
      </c>
      <c r="X15" s="2787">
        <v>10</v>
      </c>
      <c r="Y15" s="2791">
        <v>10</v>
      </c>
      <c r="Z15" s="2791">
        <v>10</v>
      </c>
      <c r="AA15" s="2791">
        <v>10</v>
      </c>
      <c r="AB15" s="1716">
        <f t="shared" si="1"/>
        <v>10</v>
      </c>
      <c r="AC15" s="2944">
        <f>+AB15-'Owned Hotels Spinoff'!K17</f>
        <v>0</v>
      </c>
      <c r="AD15" s="406">
        <f t="shared" si="2"/>
        <v>0</v>
      </c>
      <c r="AE15" s="3665">
        <v>0</v>
      </c>
      <c r="AF15" s="820">
        <f t="shared" si="3"/>
        <v>0</v>
      </c>
      <c r="AG15" s="1716">
        <f t="shared" si="3"/>
        <v>0</v>
      </c>
      <c r="AH15" s="2944">
        <f t="shared" ref="AH15:AK15" si="14">AG15</f>
        <v>0</v>
      </c>
      <c r="AI15" s="2944">
        <f t="shared" si="14"/>
        <v>0</v>
      </c>
      <c r="AJ15" s="2944">
        <f t="shared" si="14"/>
        <v>0</v>
      </c>
      <c r="AK15" s="820">
        <f t="shared" si="14"/>
        <v>0</v>
      </c>
      <c r="AL15" s="1716">
        <f t="shared" si="5"/>
        <v>0</v>
      </c>
      <c r="AM15" s="398">
        <f t="shared" si="6"/>
        <v>0</v>
      </c>
      <c r="AN15" s="398">
        <f t="shared" si="6"/>
        <v>0</v>
      </c>
    </row>
    <row r="16" spans="1:40">
      <c r="A16" s="1828" t="s">
        <v>2275</v>
      </c>
      <c r="B16" s="1030">
        <v>2</v>
      </c>
      <c r="C16" s="508">
        <v>2</v>
      </c>
      <c r="D16" s="1030">
        <v>2</v>
      </c>
      <c r="E16" s="912">
        <v>2</v>
      </c>
      <c r="F16" s="912">
        <v>2</v>
      </c>
      <c r="G16" s="1041">
        <v>2</v>
      </c>
      <c r="H16" s="820">
        <f t="shared" si="7"/>
        <v>2</v>
      </c>
      <c r="I16" s="1030">
        <v>2</v>
      </c>
      <c r="J16" s="912">
        <v>2</v>
      </c>
      <c r="K16" s="912">
        <v>2</v>
      </c>
      <c r="L16" s="1041">
        <v>2</v>
      </c>
      <c r="M16" s="820">
        <f t="shared" si="8"/>
        <v>2</v>
      </c>
      <c r="N16" s="1030">
        <v>2</v>
      </c>
      <c r="O16" s="912">
        <v>2</v>
      </c>
      <c r="P16" s="912">
        <v>2</v>
      </c>
      <c r="Q16" s="1041">
        <v>2</v>
      </c>
      <c r="R16" s="820">
        <f t="shared" si="0"/>
        <v>2</v>
      </c>
      <c r="S16" s="1030">
        <v>2</v>
      </c>
      <c r="T16" s="912">
        <v>2</v>
      </c>
      <c r="U16" s="912">
        <v>2</v>
      </c>
      <c r="V16" s="912">
        <v>2</v>
      </c>
      <c r="W16" s="398">
        <f t="shared" si="10"/>
        <v>2</v>
      </c>
      <c r="X16" s="2787">
        <v>2</v>
      </c>
      <c r="Y16" s="2791">
        <v>2</v>
      </c>
      <c r="Z16" s="2791">
        <v>2</v>
      </c>
      <c r="AA16" s="2791">
        <v>2</v>
      </c>
      <c r="AB16" s="398">
        <f t="shared" si="1"/>
        <v>2</v>
      </c>
      <c r="AC16" s="2944">
        <f>+AB16-'Owned Hotels Spinoff'!K33</f>
        <v>0</v>
      </c>
      <c r="AD16" s="406">
        <f t="shared" si="2"/>
        <v>0</v>
      </c>
      <c r="AE16" s="3665">
        <v>0</v>
      </c>
      <c r="AF16" s="820">
        <f t="shared" si="3"/>
        <v>0</v>
      </c>
      <c r="AG16" s="398">
        <f t="shared" si="3"/>
        <v>0</v>
      </c>
      <c r="AH16" s="2944">
        <f t="shared" ref="AH16:AK16" si="15">AG16</f>
        <v>0</v>
      </c>
      <c r="AI16" s="2944">
        <f t="shared" si="15"/>
        <v>0</v>
      </c>
      <c r="AJ16" s="2944">
        <f t="shared" si="15"/>
        <v>0</v>
      </c>
      <c r="AK16" s="820">
        <f t="shared" si="15"/>
        <v>0</v>
      </c>
      <c r="AL16" s="398">
        <f t="shared" si="5"/>
        <v>0</v>
      </c>
      <c r="AM16" s="398">
        <f t="shared" si="6"/>
        <v>0</v>
      </c>
      <c r="AN16" s="398">
        <f t="shared" si="6"/>
        <v>0</v>
      </c>
    </row>
    <row r="17" spans="1:41">
      <c r="A17" s="1828" t="s">
        <v>2277</v>
      </c>
      <c r="B17" s="1030">
        <v>1</v>
      </c>
      <c r="C17" s="508">
        <v>1</v>
      </c>
      <c r="D17" s="1030">
        <v>1</v>
      </c>
      <c r="E17" s="912">
        <v>1</v>
      </c>
      <c r="F17" s="912">
        <v>1</v>
      </c>
      <c r="G17" s="1041">
        <v>1</v>
      </c>
      <c r="H17" s="820">
        <f t="shared" si="7"/>
        <v>1</v>
      </c>
      <c r="I17" s="1030">
        <v>1</v>
      </c>
      <c r="J17" s="912">
        <v>1</v>
      </c>
      <c r="K17" s="912">
        <v>1</v>
      </c>
      <c r="L17" s="1041">
        <v>1</v>
      </c>
      <c r="M17" s="820">
        <f t="shared" si="8"/>
        <v>1</v>
      </c>
      <c r="N17" s="1030">
        <v>1</v>
      </c>
      <c r="O17" s="912">
        <v>1</v>
      </c>
      <c r="P17" s="912">
        <v>1</v>
      </c>
      <c r="Q17" s="1041">
        <v>1</v>
      </c>
      <c r="R17" s="820">
        <f>Q17</f>
        <v>1</v>
      </c>
      <c r="S17" s="1030">
        <v>1</v>
      </c>
      <c r="T17" s="912">
        <v>1</v>
      </c>
      <c r="U17" s="912">
        <v>1</v>
      </c>
      <c r="V17" s="912">
        <v>1</v>
      </c>
      <c r="W17" s="398">
        <f t="shared" si="10"/>
        <v>1</v>
      </c>
      <c r="X17" s="2787">
        <v>1</v>
      </c>
      <c r="Y17" s="2791">
        <v>1</v>
      </c>
      <c r="Z17" s="2791">
        <v>1</v>
      </c>
      <c r="AA17" s="2791">
        <v>1</v>
      </c>
      <c r="AB17" s="398">
        <f t="shared" si="1"/>
        <v>1</v>
      </c>
      <c r="AC17" s="2944">
        <f>+AB17-'Owned Hotels Spinoff'!K25</f>
        <v>0</v>
      </c>
      <c r="AD17" s="406">
        <f t="shared" si="2"/>
        <v>0</v>
      </c>
      <c r="AE17" s="3665">
        <v>0</v>
      </c>
      <c r="AF17" s="820">
        <f t="shared" si="3"/>
        <v>0</v>
      </c>
      <c r="AG17" s="398">
        <f t="shared" si="3"/>
        <v>0</v>
      </c>
      <c r="AH17" s="2944">
        <f t="shared" ref="AH17:AK17" si="16">AG17</f>
        <v>0</v>
      </c>
      <c r="AI17" s="2944">
        <f t="shared" si="16"/>
        <v>0</v>
      </c>
      <c r="AJ17" s="2944">
        <f t="shared" si="16"/>
        <v>0</v>
      </c>
      <c r="AK17" s="820">
        <f t="shared" si="16"/>
        <v>0</v>
      </c>
      <c r="AL17" s="398">
        <f t="shared" si="5"/>
        <v>0</v>
      </c>
      <c r="AM17" s="398">
        <f t="shared" si="6"/>
        <v>0</v>
      </c>
      <c r="AN17" s="398">
        <f t="shared" si="6"/>
        <v>0</v>
      </c>
    </row>
    <row r="18" spans="1:41">
      <c r="A18" s="1828" t="s">
        <v>2278</v>
      </c>
      <c r="B18" s="1030">
        <v>0</v>
      </c>
      <c r="C18" s="508">
        <v>0</v>
      </c>
      <c r="D18" s="1030">
        <v>0</v>
      </c>
      <c r="E18" s="912">
        <v>0</v>
      </c>
      <c r="F18" s="912">
        <v>0</v>
      </c>
      <c r="G18" s="1041">
        <v>0</v>
      </c>
      <c r="H18" s="820">
        <f t="shared" si="7"/>
        <v>0</v>
      </c>
      <c r="I18" s="1030">
        <v>0</v>
      </c>
      <c r="J18" s="912">
        <v>0</v>
      </c>
      <c r="K18" s="912">
        <v>0</v>
      </c>
      <c r="L18" s="1041">
        <v>0</v>
      </c>
      <c r="M18" s="820">
        <f t="shared" si="8"/>
        <v>0</v>
      </c>
      <c r="N18" s="1030">
        <v>0</v>
      </c>
      <c r="O18" s="912">
        <v>0</v>
      </c>
      <c r="P18" s="912">
        <v>0</v>
      </c>
      <c r="Q18" s="1041">
        <v>0</v>
      </c>
      <c r="R18" s="820">
        <f>Q18</f>
        <v>0</v>
      </c>
      <c r="S18" s="1030">
        <v>0</v>
      </c>
      <c r="T18" s="912">
        <v>0</v>
      </c>
      <c r="U18" s="912">
        <v>0</v>
      </c>
      <c r="V18" s="912">
        <v>0</v>
      </c>
      <c r="W18" s="398">
        <f t="shared" si="10"/>
        <v>0</v>
      </c>
      <c r="X18" s="2787">
        <v>0</v>
      </c>
      <c r="Y18" s="2791">
        <v>0</v>
      </c>
      <c r="Z18" s="2791">
        <v>0</v>
      </c>
      <c r="AA18" s="2791">
        <v>0</v>
      </c>
      <c r="AB18" s="398">
        <f t="shared" si="1"/>
        <v>0</v>
      </c>
      <c r="AC18" s="2944">
        <f>+AB18</f>
        <v>0</v>
      </c>
      <c r="AD18" s="406">
        <f t="shared" si="2"/>
        <v>0</v>
      </c>
      <c r="AE18" s="3665">
        <v>0</v>
      </c>
      <c r="AF18" s="820">
        <f t="shared" si="3"/>
        <v>0</v>
      </c>
      <c r="AG18" s="820">
        <f t="shared" si="3"/>
        <v>0</v>
      </c>
      <c r="AH18" s="2944">
        <f t="shared" ref="AH18:AK18" si="17">AG18</f>
        <v>0</v>
      </c>
      <c r="AI18" s="2944">
        <f t="shared" si="17"/>
        <v>0</v>
      </c>
      <c r="AJ18" s="2944">
        <f t="shared" si="17"/>
        <v>0</v>
      </c>
      <c r="AK18" s="820">
        <f t="shared" si="17"/>
        <v>0</v>
      </c>
      <c r="AL18" s="820">
        <f t="shared" si="5"/>
        <v>0</v>
      </c>
      <c r="AM18" s="820">
        <f t="shared" si="6"/>
        <v>0</v>
      </c>
      <c r="AN18" s="820">
        <f t="shared" si="6"/>
        <v>0</v>
      </c>
    </row>
    <row r="19" spans="1:41" s="5" customFormat="1">
      <c r="A19" s="1828" t="s">
        <v>3164</v>
      </c>
      <c r="B19" s="1033"/>
      <c r="C19" s="398"/>
      <c r="D19" s="1033"/>
      <c r="E19" s="406"/>
      <c r="F19" s="406"/>
      <c r="G19" s="820"/>
      <c r="H19" s="820"/>
      <c r="I19" s="1033"/>
      <c r="J19" s="406"/>
      <c r="K19" s="406"/>
      <c r="L19" s="820"/>
      <c r="M19" s="820"/>
      <c r="N19" s="1033"/>
      <c r="O19" s="401"/>
      <c r="P19" s="401"/>
      <c r="Q19" s="820"/>
      <c r="R19" s="398"/>
      <c r="S19" s="401"/>
      <c r="T19" s="401"/>
      <c r="U19" s="401"/>
      <c r="V19" s="820"/>
      <c r="W19" s="398"/>
      <c r="X19" s="1033"/>
      <c r="Y19" s="406"/>
      <c r="Z19" s="406"/>
      <c r="AA19" s="406"/>
      <c r="AB19" s="398"/>
      <c r="AC19" s="2944">
        <f t="shared" ref="AC19:AC20" si="18">+AB19</f>
        <v>0</v>
      </c>
      <c r="AD19" s="406">
        <f t="shared" ref="AD19:AD20" si="19">+AC19</f>
        <v>0</v>
      </c>
      <c r="AE19" s="3665">
        <v>0</v>
      </c>
      <c r="AF19" s="820">
        <f t="shared" ref="AF19:AF20" si="20">+AE19</f>
        <v>0</v>
      </c>
      <c r="AG19" s="820">
        <f t="shared" ref="AG19:AG20" si="21">+AF19</f>
        <v>0</v>
      </c>
      <c r="AH19" s="2944">
        <f t="shared" ref="AH19:AK19" si="22">AG19</f>
        <v>0</v>
      </c>
      <c r="AI19" s="2944">
        <f t="shared" si="22"/>
        <v>0</v>
      </c>
      <c r="AJ19" s="2944">
        <f t="shared" si="22"/>
        <v>0</v>
      </c>
      <c r="AK19" s="820">
        <f t="shared" si="22"/>
        <v>0</v>
      </c>
      <c r="AL19" s="820">
        <f t="shared" si="5"/>
        <v>0</v>
      </c>
      <c r="AM19" s="820">
        <f t="shared" ref="AM19:AM20" si="23">AL19</f>
        <v>0</v>
      </c>
      <c r="AN19" s="820">
        <f t="shared" ref="AN19:AN20" si="24">AM19</f>
        <v>0</v>
      </c>
    </row>
    <row r="20" spans="1:41" s="5" customFormat="1">
      <c r="A20" s="1828" t="s">
        <v>3165</v>
      </c>
      <c r="B20" s="1033"/>
      <c r="C20" s="398"/>
      <c r="D20" s="1033"/>
      <c r="E20" s="406"/>
      <c r="F20" s="406"/>
      <c r="G20" s="820"/>
      <c r="H20" s="820"/>
      <c r="I20" s="1033"/>
      <c r="J20" s="406"/>
      <c r="K20" s="406"/>
      <c r="L20" s="820"/>
      <c r="M20" s="820"/>
      <c r="N20" s="1033"/>
      <c r="O20" s="401"/>
      <c r="P20" s="401"/>
      <c r="Q20" s="820"/>
      <c r="R20" s="398"/>
      <c r="S20" s="401"/>
      <c r="T20" s="401"/>
      <c r="U20" s="401"/>
      <c r="V20" s="820"/>
      <c r="W20" s="398"/>
      <c r="X20" s="1033"/>
      <c r="Y20" s="406"/>
      <c r="Z20" s="406"/>
      <c r="AA20" s="406"/>
      <c r="AB20" s="398"/>
      <c r="AC20" s="2944">
        <f t="shared" si="18"/>
        <v>0</v>
      </c>
      <c r="AD20" s="406">
        <f t="shared" si="19"/>
        <v>0</v>
      </c>
      <c r="AE20" s="3665">
        <v>0</v>
      </c>
      <c r="AF20" s="820">
        <f t="shared" si="20"/>
        <v>0</v>
      </c>
      <c r="AG20" s="820">
        <f t="shared" si="21"/>
        <v>0</v>
      </c>
      <c r="AH20" s="2944">
        <f t="shared" ref="AH20:AK20" si="25">AG20</f>
        <v>0</v>
      </c>
      <c r="AI20" s="2944">
        <f t="shared" si="25"/>
        <v>0</v>
      </c>
      <c r="AJ20" s="2944">
        <f t="shared" si="25"/>
        <v>0</v>
      </c>
      <c r="AK20" s="820">
        <f t="shared" si="25"/>
        <v>0</v>
      </c>
      <c r="AL20" s="820">
        <f t="shared" si="5"/>
        <v>0</v>
      </c>
      <c r="AM20" s="820">
        <f t="shared" si="23"/>
        <v>0</v>
      </c>
      <c r="AN20" s="820">
        <f t="shared" si="24"/>
        <v>0</v>
      </c>
    </row>
    <row r="21" spans="1:41" s="5" customFormat="1">
      <c r="A21" s="402" t="s">
        <v>2276</v>
      </c>
      <c r="B21" s="1031">
        <v>0</v>
      </c>
      <c r="C21" s="1029">
        <v>0</v>
      </c>
      <c r="D21" s="1031">
        <v>0</v>
      </c>
      <c r="E21" s="1039">
        <v>0</v>
      </c>
      <c r="F21" s="1039">
        <v>0</v>
      </c>
      <c r="G21" s="1042">
        <v>0</v>
      </c>
      <c r="H21" s="700">
        <f t="shared" si="7"/>
        <v>0</v>
      </c>
      <c r="I21" s="1031">
        <v>0</v>
      </c>
      <c r="J21" s="1039">
        <v>0</v>
      </c>
      <c r="K21" s="1039">
        <v>0</v>
      </c>
      <c r="L21" s="1042">
        <v>0</v>
      </c>
      <c r="M21" s="700">
        <f t="shared" si="8"/>
        <v>0</v>
      </c>
      <c r="N21" s="1031">
        <v>0</v>
      </c>
      <c r="O21" s="1039">
        <v>0</v>
      </c>
      <c r="P21" s="1039">
        <v>0</v>
      </c>
      <c r="Q21" s="1042">
        <v>0</v>
      </c>
      <c r="R21" s="700">
        <f>Q21</f>
        <v>0</v>
      </c>
      <c r="S21" s="1031">
        <v>0</v>
      </c>
      <c r="T21" s="1039">
        <v>0</v>
      </c>
      <c r="U21" s="1039">
        <v>0</v>
      </c>
      <c r="V21" s="1039">
        <v>0</v>
      </c>
      <c r="W21" s="403">
        <f t="shared" si="10"/>
        <v>0</v>
      </c>
      <c r="X21" s="2788">
        <v>0</v>
      </c>
      <c r="Y21" s="2839">
        <v>0</v>
      </c>
      <c r="Z21" s="2839">
        <v>0</v>
      </c>
      <c r="AA21" s="2839">
        <v>0</v>
      </c>
      <c r="AB21" s="403">
        <f t="shared" si="1"/>
        <v>0</v>
      </c>
      <c r="AC21" s="2945">
        <f>+AB21</f>
        <v>0</v>
      </c>
      <c r="AD21" s="2392">
        <f t="shared" si="2"/>
        <v>0</v>
      </c>
      <c r="AE21" s="4002">
        <v>0</v>
      </c>
      <c r="AF21" s="700">
        <f t="shared" si="3"/>
        <v>0</v>
      </c>
      <c r="AG21" s="700">
        <f t="shared" si="3"/>
        <v>0</v>
      </c>
      <c r="AH21" s="2392">
        <f t="shared" ref="AH21" si="26">+AG21</f>
        <v>0</v>
      </c>
      <c r="AI21" s="2392">
        <f t="shared" ref="AI21" si="27">+AH21</f>
        <v>0</v>
      </c>
      <c r="AJ21" s="2392">
        <f t="shared" ref="AJ21" si="28">+AI21</f>
        <v>0</v>
      </c>
      <c r="AK21" s="700">
        <f t="shared" ref="AK21" si="29">+AJ21</f>
        <v>0</v>
      </c>
      <c r="AL21" s="700">
        <f t="shared" si="5"/>
        <v>0</v>
      </c>
      <c r="AM21" s="700">
        <f t="shared" si="6"/>
        <v>0</v>
      </c>
      <c r="AN21" s="700">
        <f t="shared" si="6"/>
        <v>0</v>
      </c>
    </row>
    <row r="22" spans="1:41">
      <c r="A22" s="482" t="s">
        <v>1687</v>
      </c>
      <c r="B22" s="1032">
        <f t="shared" ref="B22:AN22" si="30">SUM(B9:B21)</f>
        <v>59</v>
      </c>
      <c r="C22" s="400">
        <f t="shared" si="30"/>
        <v>58</v>
      </c>
      <c r="D22" s="1032">
        <f t="shared" si="30"/>
        <v>59</v>
      </c>
      <c r="E22" s="405">
        <f t="shared" si="30"/>
        <v>59</v>
      </c>
      <c r="F22" s="405">
        <f t="shared" si="30"/>
        <v>59</v>
      </c>
      <c r="G22" s="821">
        <f t="shared" si="30"/>
        <v>59</v>
      </c>
      <c r="H22" s="821">
        <f t="shared" si="30"/>
        <v>59</v>
      </c>
      <c r="I22" s="1032">
        <f t="shared" si="30"/>
        <v>59</v>
      </c>
      <c r="J22" s="405">
        <f t="shared" si="30"/>
        <v>59</v>
      </c>
      <c r="K22" s="405">
        <f t="shared" si="30"/>
        <v>58</v>
      </c>
      <c r="L22" s="821">
        <f t="shared" si="30"/>
        <v>58</v>
      </c>
      <c r="M22" s="821">
        <f t="shared" si="30"/>
        <v>58</v>
      </c>
      <c r="N22" s="1032">
        <f t="shared" si="30"/>
        <v>57</v>
      </c>
      <c r="O22" s="399">
        <f t="shared" si="30"/>
        <v>55</v>
      </c>
      <c r="P22" s="399">
        <f t="shared" si="30"/>
        <v>49</v>
      </c>
      <c r="Q22" s="821">
        <f t="shared" si="30"/>
        <v>49</v>
      </c>
      <c r="R22" s="821">
        <f t="shared" si="30"/>
        <v>49</v>
      </c>
      <c r="S22" s="1032">
        <f t="shared" si="30"/>
        <v>53</v>
      </c>
      <c r="T22" s="405">
        <f t="shared" si="30"/>
        <v>54</v>
      </c>
      <c r="U22" s="405">
        <f t="shared" si="30"/>
        <v>54</v>
      </c>
      <c r="V22" s="405">
        <f t="shared" si="30"/>
        <v>54</v>
      </c>
      <c r="W22" s="400">
        <f t="shared" si="30"/>
        <v>54</v>
      </c>
      <c r="X22" s="1032">
        <f t="shared" si="30"/>
        <v>54</v>
      </c>
      <c r="Y22" s="405">
        <f t="shared" si="30"/>
        <v>54</v>
      </c>
      <c r="Z22" s="405">
        <f t="shared" si="30"/>
        <v>54</v>
      </c>
      <c r="AA22" s="405">
        <f t="shared" si="30"/>
        <v>53</v>
      </c>
      <c r="AB22" s="400">
        <f t="shared" si="30"/>
        <v>53</v>
      </c>
      <c r="AC22" s="405">
        <f t="shared" si="30"/>
        <v>1</v>
      </c>
      <c r="AD22" s="405">
        <f t="shared" si="30"/>
        <v>1</v>
      </c>
      <c r="AE22" s="405">
        <f t="shared" si="30"/>
        <v>1</v>
      </c>
      <c r="AF22" s="821">
        <f t="shared" si="30"/>
        <v>1</v>
      </c>
      <c r="AG22" s="821">
        <f t="shared" si="30"/>
        <v>1</v>
      </c>
      <c r="AH22" s="405">
        <f t="shared" ref="AH22:AK22" si="31">SUM(AH9:AH21)</f>
        <v>1</v>
      </c>
      <c r="AI22" s="405">
        <f t="shared" si="31"/>
        <v>1</v>
      </c>
      <c r="AJ22" s="405">
        <f t="shared" si="31"/>
        <v>1</v>
      </c>
      <c r="AK22" s="821">
        <f t="shared" si="31"/>
        <v>1</v>
      </c>
      <c r="AL22" s="821">
        <f t="shared" ref="AL22" si="32">SUM(AL9:AL21)</f>
        <v>1</v>
      </c>
      <c r="AM22" s="821">
        <f t="shared" si="30"/>
        <v>1</v>
      </c>
      <c r="AN22" s="821">
        <f t="shared" si="30"/>
        <v>1</v>
      </c>
    </row>
    <row r="23" spans="1:41" ht="12.75" customHeight="1">
      <c r="A23" s="130"/>
      <c r="B23" s="1033"/>
      <c r="C23" s="398"/>
      <c r="D23" s="1033"/>
      <c r="E23" s="406"/>
      <c r="F23" s="406"/>
      <c r="G23" s="820"/>
      <c r="H23" s="820"/>
      <c r="I23" s="1033"/>
      <c r="J23" s="406"/>
      <c r="K23" s="406"/>
      <c r="L23" s="820"/>
      <c r="M23" s="820"/>
      <c r="N23" s="401"/>
      <c r="O23" s="401"/>
      <c r="P23"/>
      <c r="Q23" s="820"/>
      <c r="R23" s="398"/>
      <c r="S23" s="401"/>
      <c r="T23" s="406"/>
      <c r="U23" s="406"/>
      <c r="V23" s="406"/>
      <c r="W23" s="398"/>
      <c r="X23" s="1033"/>
      <c r="Y23" s="406"/>
      <c r="Z23" s="406"/>
      <c r="AA23" s="406"/>
      <c r="AB23" s="398"/>
      <c r="AC23" s="406"/>
      <c r="AD23" s="406"/>
      <c r="AE23" s="406"/>
      <c r="AF23" s="820"/>
      <c r="AG23" s="820"/>
      <c r="AH23" s="406"/>
      <c r="AI23" s="406"/>
      <c r="AJ23" s="406"/>
      <c r="AK23" s="820"/>
      <c r="AL23" s="820"/>
      <c r="AM23" s="820"/>
      <c r="AN23" s="820"/>
    </row>
    <row r="24" spans="1:41" ht="12.75" customHeight="1">
      <c r="A24" s="295" t="s">
        <v>1283</v>
      </c>
      <c r="B24" s="1033"/>
      <c r="C24" s="398"/>
      <c r="D24" s="1033"/>
      <c r="E24" s="406"/>
      <c r="F24" s="406"/>
      <c r="G24" s="820"/>
      <c r="H24" s="820"/>
      <c r="I24" s="1033"/>
      <c r="J24" s="406"/>
      <c r="K24" s="406"/>
      <c r="L24" s="820"/>
      <c r="M24" s="820"/>
      <c r="N24" s="401"/>
      <c r="O24" s="401"/>
      <c r="P24" s="401"/>
      <c r="Q24" s="820"/>
      <c r="R24" s="398"/>
      <c r="S24" s="401"/>
      <c r="T24" s="406"/>
      <c r="U24" s="406"/>
      <c r="V24" s="406"/>
      <c r="W24" s="398"/>
      <c r="X24" s="1033"/>
      <c r="Y24" s="406"/>
      <c r="Z24" s="406"/>
      <c r="AA24" s="406"/>
      <c r="AB24" s="398"/>
      <c r="AC24" s="406"/>
      <c r="AD24" s="406"/>
      <c r="AE24" s="406"/>
      <c r="AF24" s="820"/>
      <c r="AG24" s="820"/>
      <c r="AH24" s="406"/>
      <c r="AI24" s="406"/>
      <c r="AJ24" s="406"/>
      <c r="AK24" s="820"/>
      <c r="AL24" s="820"/>
      <c r="AM24" s="820"/>
      <c r="AN24" s="820"/>
    </row>
    <row r="25" spans="1:41">
      <c r="A25" s="130" t="str">
        <f>A$9</f>
        <v>Waldorf Astoria Hotels &amp; Resorts (Luxury)</v>
      </c>
      <c r="B25" s="1030">
        <v>9</v>
      </c>
      <c r="C25" s="508">
        <v>9</v>
      </c>
      <c r="D25" s="1030">
        <v>9</v>
      </c>
      <c r="E25" s="912">
        <v>9</v>
      </c>
      <c r="F25" s="912">
        <v>11</v>
      </c>
      <c r="G25" s="1041">
        <v>11</v>
      </c>
      <c r="H25" s="820">
        <f t="shared" ref="H25:H37" si="33">G25</f>
        <v>11</v>
      </c>
      <c r="I25" s="1030">
        <v>11</v>
      </c>
      <c r="J25" s="912">
        <v>11</v>
      </c>
      <c r="K25" s="912">
        <v>13</v>
      </c>
      <c r="L25" s="1041">
        <v>12</v>
      </c>
      <c r="M25" s="820">
        <f t="shared" ref="M25:M37" si="34">L25</f>
        <v>12</v>
      </c>
      <c r="N25" s="1030">
        <v>12</v>
      </c>
      <c r="O25" s="912">
        <v>12</v>
      </c>
      <c r="P25" s="912">
        <v>11</v>
      </c>
      <c r="Q25" s="1041">
        <v>11</v>
      </c>
      <c r="R25" s="820">
        <f t="shared" ref="R25:R37" si="35">Q25</f>
        <v>11</v>
      </c>
      <c r="S25" s="1030">
        <v>9</v>
      </c>
      <c r="T25" s="912">
        <v>8</v>
      </c>
      <c r="U25" s="912">
        <v>8</v>
      </c>
      <c r="V25" s="912">
        <v>8</v>
      </c>
      <c r="W25" s="398">
        <f>+V25</f>
        <v>8</v>
      </c>
      <c r="X25" s="2787">
        <v>8</v>
      </c>
      <c r="Y25" s="2791">
        <v>9</v>
      </c>
      <c r="Z25" s="2791">
        <v>9</v>
      </c>
      <c r="AA25" s="2791">
        <v>9</v>
      </c>
      <c r="AB25" s="398">
        <f>+AA25</f>
        <v>9</v>
      </c>
      <c r="AC25" s="406">
        <f>AA25*(1+AC$871)+'Owned Hotels Spinoff'!G32-1</f>
        <v>11.062999999999999</v>
      </c>
      <c r="AD25" s="406">
        <f t="shared" ref="AD25:AD27" si="36">AC25*(1+AD$871)</f>
        <v>11.140440999999997</v>
      </c>
      <c r="AE25" s="3665">
        <v>12</v>
      </c>
      <c r="AF25" s="3665">
        <v>12</v>
      </c>
      <c r="AG25" s="398">
        <f>+AF25</f>
        <v>12</v>
      </c>
      <c r="AH25" s="406">
        <f t="shared" ref="AH25:AH26" si="37">AG25*(1+AH$871)</f>
        <v>12.120000000000001</v>
      </c>
      <c r="AI25" s="406">
        <f t="shared" ref="AI25:AI26" si="38">AH25*(1+AI$871)</f>
        <v>12.241200000000001</v>
      </c>
      <c r="AJ25" s="406">
        <f t="shared" ref="AJ25:AJ26" si="39">AI25*(1+AJ$871)</f>
        <v>12.357491400000002</v>
      </c>
      <c r="AK25" s="820">
        <f t="shared" ref="AK25:AK26" si="40">AJ25*(1+AK$871)</f>
        <v>12.481066314000003</v>
      </c>
      <c r="AL25" s="820">
        <f>+AK25</f>
        <v>12.481066314000003</v>
      </c>
      <c r="AM25" s="820">
        <f t="shared" ref="AM25:AN26" si="41">AL25*(1+AM$870)</f>
        <v>12.980308966560004</v>
      </c>
      <c r="AN25" s="820">
        <f t="shared" si="41"/>
        <v>13.239915145891205</v>
      </c>
      <c r="AO25" s="2395"/>
    </row>
    <row r="26" spans="1:41">
      <c r="A26" s="130" t="str">
        <f>A$10</f>
        <v>Conrad Hotels &amp; Resorts (Luxury)</v>
      </c>
      <c r="B26" s="1030">
        <v>3</v>
      </c>
      <c r="C26" s="508">
        <v>3</v>
      </c>
      <c r="D26" s="1030">
        <v>4</v>
      </c>
      <c r="E26" s="912">
        <v>4</v>
      </c>
      <c r="F26" s="912">
        <v>4</v>
      </c>
      <c r="G26" s="1041">
        <v>4</v>
      </c>
      <c r="H26" s="820">
        <f t="shared" si="33"/>
        <v>4</v>
      </c>
      <c r="I26" s="1030">
        <v>4</v>
      </c>
      <c r="J26" s="912">
        <v>4</v>
      </c>
      <c r="K26" s="912">
        <v>4</v>
      </c>
      <c r="L26" s="1041">
        <v>4</v>
      </c>
      <c r="M26" s="820">
        <f t="shared" si="34"/>
        <v>4</v>
      </c>
      <c r="N26" s="1030">
        <v>4</v>
      </c>
      <c r="O26" s="912">
        <v>4</v>
      </c>
      <c r="P26" s="912">
        <v>4</v>
      </c>
      <c r="Q26" s="1041">
        <v>4</v>
      </c>
      <c r="R26" s="820">
        <f t="shared" si="35"/>
        <v>4</v>
      </c>
      <c r="S26" s="1030">
        <v>4</v>
      </c>
      <c r="T26" s="912">
        <v>4</v>
      </c>
      <c r="U26" s="912">
        <v>3</v>
      </c>
      <c r="V26" s="912">
        <v>3</v>
      </c>
      <c r="W26" s="398">
        <f t="shared" ref="W26:W37" si="42">V26</f>
        <v>3</v>
      </c>
      <c r="X26" s="2787">
        <v>3</v>
      </c>
      <c r="Y26" s="2791">
        <v>3</v>
      </c>
      <c r="Z26" s="2791">
        <v>3</v>
      </c>
      <c r="AA26" s="2791">
        <v>4</v>
      </c>
      <c r="AB26" s="398">
        <f t="shared" ref="AB26:AB37" si="43">AA26</f>
        <v>4</v>
      </c>
      <c r="AC26" s="406">
        <f>AA26*(1+AC$871)</f>
        <v>4.0279999999999996</v>
      </c>
      <c r="AD26" s="406">
        <f t="shared" si="36"/>
        <v>4.056195999999999</v>
      </c>
      <c r="AE26" s="3665">
        <v>4</v>
      </c>
      <c r="AF26" s="3665">
        <v>4</v>
      </c>
      <c r="AG26" s="398">
        <f t="shared" ref="AG26:AG37" si="44">AF26</f>
        <v>4</v>
      </c>
      <c r="AH26" s="406">
        <f t="shared" si="37"/>
        <v>4.04</v>
      </c>
      <c r="AI26" s="406">
        <f t="shared" si="38"/>
        <v>4.0804</v>
      </c>
      <c r="AJ26" s="406">
        <f t="shared" si="39"/>
        <v>4.1191637999999999</v>
      </c>
      <c r="AK26" s="820">
        <f t="shared" si="40"/>
        <v>4.1603554379999999</v>
      </c>
      <c r="AL26" s="820">
        <f t="shared" ref="AL26:AL37" si="45">AK26</f>
        <v>4.1603554379999999</v>
      </c>
      <c r="AM26" s="820">
        <f t="shared" si="41"/>
        <v>4.3267696555199997</v>
      </c>
      <c r="AN26" s="820">
        <f t="shared" si="41"/>
        <v>4.4133050486303995</v>
      </c>
      <c r="AO26" s="2395"/>
    </row>
    <row r="27" spans="1:41">
      <c r="A27" s="1828" t="s">
        <v>3022</v>
      </c>
      <c r="B27" s="1030"/>
      <c r="C27" s="508"/>
      <c r="D27" s="1030"/>
      <c r="E27" s="912"/>
      <c r="F27" s="912"/>
      <c r="G27" s="1041"/>
      <c r="H27" s="820"/>
      <c r="I27" s="1030"/>
      <c r="J27" s="912"/>
      <c r="K27" s="912"/>
      <c r="L27" s="1041"/>
      <c r="M27" s="820"/>
      <c r="N27" s="1030"/>
      <c r="O27" s="912"/>
      <c r="P27" s="912"/>
      <c r="Q27" s="1041"/>
      <c r="R27" s="820"/>
      <c r="S27" s="1030"/>
      <c r="T27" s="912"/>
      <c r="U27" s="912"/>
      <c r="V27" s="912"/>
      <c r="W27" s="398"/>
      <c r="X27" s="2787"/>
      <c r="Y27" s="2791"/>
      <c r="Z27" s="2791"/>
      <c r="AA27" s="2791">
        <v>0</v>
      </c>
      <c r="AB27" s="398">
        <f t="shared" ref="AB27:AG27" si="46">+AA27</f>
        <v>0</v>
      </c>
      <c r="AC27" s="2944">
        <f t="shared" si="46"/>
        <v>0</v>
      </c>
      <c r="AD27" s="406">
        <f t="shared" si="36"/>
        <v>0</v>
      </c>
      <c r="AE27" s="3665">
        <f t="shared" si="46"/>
        <v>0</v>
      </c>
      <c r="AF27" s="406">
        <f t="shared" si="46"/>
        <v>0</v>
      </c>
      <c r="AG27" s="398">
        <f t="shared" si="46"/>
        <v>0</v>
      </c>
      <c r="AH27" s="406">
        <f t="shared" ref="AH27" si="47">+AG27</f>
        <v>0</v>
      </c>
      <c r="AI27" s="406">
        <f t="shared" ref="AI27" si="48">+AH27</f>
        <v>0</v>
      </c>
      <c r="AJ27" s="406">
        <f t="shared" ref="AJ27" si="49">+AI27</f>
        <v>0</v>
      </c>
      <c r="AK27" s="820">
        <f t="shared" ref="AK27" si="50">+AJ27</f>
        <v>0</v>
      </c>
      <c r="AL27" s="398">
        <f t="shared" ref="AL27" si="51">+AK27</f>
        <v>0</v>
      </c>
      <c r="AM27" s="398">
        <f>AL27</f>
        <v>0</v>
      </c>
      <c r="AN27" s="398">
        <f>AM27</f>
        <v>0</v>
      </c>
    </row>
    <row r="28" spans="1:41">
      <c r="A28" s="130" t="str">
        <f>A$12</f>
        <v>Hilton Hotels &amp; Resorts (Upper Up)</v>
      </c>
      <c r="B28" s="1030">
        <v>41</v>
      </c>
      <c r="C28" s="508">
        <v>39</v>
      </c>
      <c r="D28" s="1030">
        <v>42</v>
      </c>
      <c r="E28" s="912">
        <v>42</v>
      </c>
      <c r="F28" s="912">
        <v>42</v>
      </c>
      <c r="G28" s="1041">
        <v>43</v>
      </c>
      <c r="H28" s="820">
        <f t="shared" si="33"/>
        <v>43</v>
      </c>
      <c r="I28" s="1030">
        <v>43</v>
      </c>
      <c r="J28" s="912">
        <v>43</v>
      </c>
      <c r="K28" s="912">
        <v>43</v>
      </c>
      <c r="L28" s="1041">
        <v>42</v>
      </c>
      <c r="M28" s="820">
        <f t="shared" si="34"/>
        <v>42</v>
      </c>
      <c r="N28" s="1030">
        <v>42</v>
      </c>
      <c r="O28" s="912">
        <v>41</v>
      </c>
      <c r="P28" s="912">
        <v>42</v>
      </c>
      <c r="Q28" s="1041">
        <v>42</v>
      </c>
      <c r="R28" s="820">
        <f t="shared" si="35"/>
        <v>42</v>
      </c>
      <c r="S28" s="1030">
        <v>40</v>
      </c>
      <c r="T28" s="912">
        <v>40</v>
      </c>
      <c r="U28" s="912">
        <v>40</v>
      </c>
      <c r="V28" s="912">
        <v>40</v>
      </c>
      <c r="W28" s="398">
        <f t="shared" si="42"/>
        <v>40</v>
      </c>
      <c r="X28" s="2787">
        <v>38</v>
      </c>
      <c r="Y28" s="2791">
        <v>38</v>
      </c>
      <c r="Z28" s="2791">
        <v>38</v>
      </c>
      <c r="AA28" s="2791">
        <v>37</v>
      </c>
      <c r="AB28" s="398">
        <f t="shared" si="43"/>
        <v>37</v>
      </c>
      <c r="AC28" s="2944">
        <f>AA28*(1+AC$874)+'Owned Hotels Spinoff'!$C$32</f>
        <v>62.258999999999993</v>
      </c>
      <c r="AD28" s="3879">
        <v>62</v>
      </c>
      <c r="AE28" s="3665">
        <v>64</v>
      </c>
      <c r="AF28" s="3665">
        <v>65</v>
      </c>
      <c r="AG28" s="398">
        <f t="shared" si="44"/>
        <v>65</v>
      </c>
      <c r="AH28" s="406">
        <f>AG28*(1+AH$874)</f>
        <v>65.974999999999994</v>
      </c>
      <c r="AI28" s="406">
        <f t="shared" ref="AI28:AK28" si="52">AH28*(1+AI$874)</f>
        <v>66.905247499999987</v>
      </c>
      <c r="AJ28" s="406">
        <f t="shared" si="52"/>
        <v>67.574299974999988</v>
      </c>
      <c r="AK28" s="820">
        <f t="shared" si="52"/>
        <v>68.250042974749988</v>
      </c>
      <c r="AL28" s="820">
        <f t="shared" si="45"/>
        <v>68.250042974749988</v>
      </c>
      <c r="AM28" s="820">
        <f>AL28*(1+AM$873)</f>
        <v>71.66254512348749</v>
      </c>
      <c r="AN28" s="820">
        <f>AM28*(1+AN$873)</f>
        <v>73.812421477192117</v>
      </c>
      <c r="AO28" s="2395"/>
    </row>
    <row r="29" spans="1:41">
      <c r="A29" s="130" t="str">
        <f>A$13</f>
        <v xml:space="preserve">Curio - A Collection by Hilton </v>
      </c>
      <c r="B29" s="1030">
        <v>0</v>
      </c>
      <c r="C29" s="508">
        <v>0</v>
      </c>
      <c r="D29" s="1030"/>
      <c r="E29" s="912"/>
      <c r="F29" s="912"/>
      <c r="G29" s="1041"/>
      <c r="H29" s="820">
        <v>0</v>
      </c>
      <c r="I29" s="1030"/>
      <c r="J29" s="912"/>
      <c r="K29" s="912"/>
      <c r="L29" s="1041"/>
      <c r="M29" s="820">
        <v>0</v>
      </c>
      <c r="N29" s="912">
        <v>0</v>
      </c>
      <c r="O29" s="912">
        <v>0</v>
      </c>
      <c r="P29" s="912">
        <v>0</v>
      </c>
      <c r="Q29" s="1041">
        <v>1</v>
      </c>
      <c r="R29" s="820">
        <f>Q29</f>
        <v>1</v>
      </c>
      <c r="S29" s="912">
        <v>1</v>
      </c>
      <c r="T29" s="912">
        <v>1</v>
      </c>
      <c r="U29" s="912">
        <v>1</v>
      </c>
      <c r="V29" s="912">
        <v>1</v>
      </c>
      <c r="W29" s="398">
        <f>V29</f>
        <v>1</v>
      </c>
      <c r="X29" s="2787">
        <v>1</v>
      </c>
      <c r="Y29" s="2791">
        <v>1</v>
      </c>
      <c r="Z29" s="2791">
        <v>1</v>
      </c>
      <c r="AA29" s="2791">
        <v>1</v>
      </c>
      <c r="AB29" s="398">
        <f>AA29</f>
        <v>1</v>
      </c>
      <c r="AC29" s="2944">
        <f>AA29*(1+AC$903)+'Owned Hotels Spinoff'!$G$23</f>
        <v>2.012</v>
      </c>
      <c r="AD29" s="406">
        <f t="shared" ref="AD29" si="53">AC29*(1+AD$871)</f>
        <v>2.026084</v>
      </c>
      <c r="AE29" s="3665">
        <v>4</v>
      </c>
      <c r="AF29" s="3665">
        <v>4</v>
      </c>
      <c r="AG29" s="398">
        <f>AF29</f>
        <v>4</v>
      </c>
      <c r="AH29" s="406">
        <f t="shared" ref="AH29:AK29" si="54">AG29*(1+AH$903)</f>
        <v>4.04</v>
      </c>
      <c r="AI29" s="406">
        <f t="shared" si="54"/>
        <v>4.0945400000000003</v>
      </c>
      <c r="AJ29" s="406">
        <f t="shared" si="54"/>
        <v>4.1559581000000003</v>
      </c>
      <c r="AK29" s="820">
        <f t="shared" si="54"/>
        <v>4.2182974714999997</v>
      </c>
      <c r="AL29" s="820">
        <f>AK29</f>
        <v>4.2182974714999997</v>
      </c>
      <c r="AM29" s="398">
        <f>AL29*(1+AM$902)</f>
        <v>4.4503038324324997</v>
      </c>
      <c r="AN29" s="398">
        <f>AM29*(1+AN$902)</f>
        <v>4.6283159857297997</v>
      </c>
      <c r="AO29" s="2395"/>
    </row>
    <row r="30" spans="1:41">
      <c r="A30" s="130" t="str">
        <f>A$14</f>
        <v>DoubleTree by Hilton (Upscale)</v>
      </c>
      <c r="B30" s="1030">
        <v>28</v>
      </c>
      <c r="C30" s="508">
        <v>27</v>
      </c>
      <c r="D30" s="1030">
        <v>27</v>
      </c>
      <c r="E30" s="912">
        <v>24</v>
      </c>
      <c r="F30" s="912">
        <v>24</v>
      </c>
      <c r="G30" s="1041">
        <v>24</v>
      </c>
      <c r="H30" s="820">
        <f t="shared" si="33"/>
        <v>24</v>
      </c>
      <c r="I30" s="1030">
        <v>26</v>
      </c>
      <c r="J30" s="912">
        <v>27</v>
      </c>
      <c r="K30" s="912">
        <v>28</v>
      </c>
      <c r="L30" s="1041">
        <v>28</v>
      </c>
      <c r="M30" s="820">
        <f t="shared" si="34"/>
        <v>28</v>
      </c>
      <c r="N30" s="1030">
        <v>28</v>
      </c>
      <c r="O30" s="912">
        <v>27</v>
      </c>
      <c r="P30" s="912">
        <v>28</v>
      </c>
      <c r="Q30" s="1041">
        <v>29</v>
      </c>
      <c r="R30" s="820">
        <f t="shared" si="35"/>
        <v>29</v>
      </c>
      <c r="S30" s="1030">
        <v>29</v>
      </c>
      <c r="T30" s="912">
        <v>29</v>
      </c>
      <c r="U30" s="912">
        <v>28</v>
      </c>
      <c r="V30" s="912">
        <v>28</v>
      </c>
      <c r="W30" s="398">
        <f t="shared" si="42"/>
        <v>28</v>
      </c>
      <c r="X30" s="2787">
        <v>27</v>
      </c>
      <c r="Y30" s="2791">
        <v>26</v>
      </c>
      <c r="Z30" s="2791">
        <v>27</v>
      </c>
      <c r="AA30" s="2791">
        <v>27</v>
      </c>
      <c r="AB30" s="398">
        <f t="shared" si="43"/>
        <v>27</v>
      </c>
      <c r="AC30" s="2944">
        <f>AA30*(1+AC$877)+'Owned Hotels Spinoff'!$G$17</f>
        <v>37.54</v>
      </c>
      <c r="AD30" s="406">
        <f t="shared" ref="AD30" si="55">AC30*(1+AD$871)</f>
        <v>37.802779999999998</v>
      </c>
      <c r="AE30" s="3665">
        <v>37</v>
      </c>
      <c r="AF30" s="3665">
        <v>37</v>
      </c>
      <c r="AG30" s="398">
        <f t="shared" si="44"/>
        <v>37</v>
      </c>
      <c r="AH30" s="406">
        <f t="shared" ref="AH30:AK30" si="56">AG30*(1+AH$877)</f>
        <v>37.74</v>
      </c>
      <c r="AI30" s="406">
        <f t="shared" si="56"/>
        <v>38.494800000000005</v>
      </c>
      <c r="AJ30" s="406">
        <f t="shared" si="56"/>
        <v>39.168459000000006</v>
      </c>
      <c r="AK30" s="820">
        <f t="shared" si="56"/>
        <v>39.853907032500011</v>
      </c>
      <c r="AL30" s="820">
        <f t="shared" si="45"/>
        <v>39.853907032500011</v>
      </c>
      <c r="AM30" s="398">
        <f>AL30*(1+AM$876)</f>
        <v>42.643680524775014</v>
      </c>
      <c r="AN30" s="398">
        <f>AM30*(1+AN$876)</f>
        <v>44.775864551013768</v>
      </c>
      <c r="AO30" s="2395"/>
    </row>
    <row r="31" spans="1:41">
      <c r="A31" s="130" t="str">
        <f>A$15</f>
        <v>Embassy Suites Hotels (Upper Up)</v>
      </c>
      <c r="B31" s="1030">
        <v>53</v>
      </c>
      <c r="C31" s="508">
        <v>47</v>
      </c>
      <c r="D31" s="1030">
        <v>47</v>
      </c>
      <c r="E31" s="912">
        <v>45</v>
      </c>
      <c r="F31" s="912">
        <v>44</v>
      </c>
      <c r="G31" s="1041">
        <v>41</v>
      </c>
      <c r="H31" s="820">
        <f t="shared" si="33"/>
        <v>41</v>
      </c>
      <c r="I31" s="1030">
        <v>40</v>
      </c>
      <c r="J31" s="912">
        <v>40</v>
      </c>
      <c r="K31" s="912">
        <v>39</v>
      </c>
      <c r="L31" s="1041">
        <v>39</v>
      </c>
      <c r="M31" s="820">
        <f t="shared" si="34"/>
        <v>39</v>
      </c>
      <c r="N31" s="1030">
        <v>38</v>
      </c>
      <c r="O31" s="912">
        <v>38</v>
      </c>
      <c r="P31" s="912">
        <v>42</v>
      </c>
      <c r="Q31" s="1041">
        <v>42</v>
      </c>
      <c r="R31" s="820">
        <f t="shared" si="35"/>
        <v>42</v>
      </c>
      <c r="S31" s="1030">
        <v>40</v>
      </c>
      <c r="T31" s="912">
        <v>35</v>
      </c>
      <c r="U31" s="912">
        <v>34</v>
      </c>
      <c r="V31" s="912">
        <v>34</v>
      </c>
      <c r="W31" s="398">
        <f t="shared" si="42"/>
        <v>34</v>
      </c>
      <c r="X31" s="2787">
        <v>34</v>
      </c>
      <c r="Y31" s="2791">
        <v>33</v>
      </c>
      <c r="Z31" s="2791">
        <v>33</v>
      </c>
      <c r="AA31" s="2791">
        <v>33</v>
      </c>
      <c r="AB31" s="398">
        <f t="shared" si="43"/>
        <v>33</v>
      </c>
      <c r="AC31" s="2944">
        <f>AA31*(1+AC$874)+'Owned Hotels Spinoff'!$K$17</f>
        <v>43.230999999999995</v>
      </c>
      <c r="AD31" s="406">
        <f t="shared" ref="AD31" si="57">AC31*(1+AD$871)</f>
        <v>43.533616999999992</v>
      </c>
      <c r="AE31" s="3665">
        <v>44</v>
      </c>
      <c r="AF31" s="3665">
        <v>44</v>
      </c>
      <c r="AG31" s="398">
        <f t="shared" si="44"/>
        <v>44</v>
      </c>
      <c r="AH31" s="406">
        <f t="shared" ref="AH31:AK31" si="58">AG31*(1+AH$874)</f>
        <v>44.66</v>
      </c>
      <c r="AI31" s="406">
        <f t="shared" si="58"/>
        <v>45.289705999999995</v>
      </c>
      <c r="AJ31" s="406">
        <f t="shared" si="58"/>
        <v>45.742603059999993</v>
      </c>
      <c r="AK31" s="820">
        <f t="shared" si="58"/>
        <v>46.20002909059999</v>
      </c>
      <c r="AL31" s="820">
        <f t="shared" si="45"/>
        <v>46.20002909059999</v>
      </c>
      <c r="AM31" s="820">
        <f>AL31*(1+AM$873)</f>
        <v>48.510030545129993</v>
      </c>
      <c r="AN31" s="820">
        <f>AM31*(1+AN$873)</f>
        <v>49.965331461483892</v>
      </c>
      <c r="AO31" s="2395"/>
    </row>
    <row r="32" spans="1:41">
      <c r="A32" s="130" t="str">
        <f>A$16</f>
        <v>Hilton Garden Inn (Upscale)</v>
      </c>
      <c r="B32" s="1030">
        <v>10</v>
      </c>
      <c r="C32" s="508">
        <v>10</v>
      </c>
      <c r="D32" s="1030">
        <v>10</v>
      </c>
      <c r="E32" s="912">
        <v>10</v>
      </c>
      <c r="F32" s="912">
        <v>9</v>
      </c>
      <c r="G32" s="1041">
        <v>9</v>
      </c>
      <c r="H32" s="820">
        <f t="shared" si="33"/>
        <v>9</v>
      </c>
      <c r="I32" s="1030">
        <v>8</v>
      </c>
      <c r="J32" s="912">
        <v>5</v>
      </c>
      <c r="K32" s="912">
        <v>5</v>
      </c>
      <c r="L32" s="1041">
        <v>5</v>
      </c>
      <c r="M32" s="820">
        <f t="shared" si="34"/>
        <v>5</v>
      </c>
      <c r="N32" s="1030">
        <v>5</v>
      </c>
      <c r="O32" s="912">
        <v>5</v>
      </c>
      <c r="P32" s="912">
        <v>5</v>
      </c>
      <c r="Q32" s="1041">
        <v>2</v>
      </c>
      <c r="R32" s="820">
        <f t="shared" si="35"/>
        <v>2</v>
      </c>
      <c r="S32" s="1030">
        <v>5</v>
      </c>
      <c r="T32" s="912">
        <v>4</v>
      </c>
      <c r="U32" s="912">
        <v>4</v>
      </c>
      <c r="V32" s="912">
        <v>4</v>
      </c>
      <c r="W32" s="398">
        <f t="shared" si="42"/>
        <v>4</v>
      </c>
      <c r="X32" s="2787">
        <v>4</v>
      </c>
      <c r="Y32" s="2791">
        <v>4</v>
      </c>
      <c r="Z32" s="2791">
        <v>4</v>
      </c>
      <c r="AA32" s="2791">
        <v>4</v>
      </c>
      <c r="AB32" s="398">
        <f t="shared" si="43"/>
        <v>4</v>
      </c>
      <c r="AC32" s="2944">
        <f>AA32*(1+AC$877)+'Owned Hotels Spinoff'!$K$33</f>
        <v>6.08</v>
      </c>
      <c r="AD32" s="406">
        <f t="shared" ref="AD32" si="59">AC32*(1+AD$871)</f>
        <v>6.1225599999999991</v>
      </c>
      <c r="AE32" s="3665">
        <v>4</v>
      </c>
      <c r="AF32" s="3665">
        <v>4</v>
      </c>
      <c r="AG32" s="398">
        <f t="shared" si="44"/>
        <v>4</v>
      </c>
      <c r="AH32" s="406">
        <f t="shared" ref="AH32:AH37" si="60">AG32*(1+AH$877)</f>
        <v>4.08</v>
      </c>
      <c r="AI32" s="406">
        <f t="shared" ref="AI32:AI37" si="61">AH32*(1+AI$877)</f>
        <v>4.1616</v>
      </c>
      <c r="AJ32" s="406">
        <f t="shared" ref="AJ32:AJ37" si="62">AI32*(1+AJ$877)</f>
        <v>4.2344280000000003</v>
      </c>
      <c r="AK32" s="820">
        <f t="shared" ref="AK32:AK37" si="63">AJ32*(1+AK$877)</f>
        <v>4.3085304900000008</v>
      </c>
      <c r="AL32" s="820">
        <f t="shared" si="45"/>
        <v>4.3085304900000008</v>
      </c>
      <c r="AM32" s="398">
        <f t="shared" ref="AM32:AN34" si="64">AL32*(1+AM$876)</f>
        <v>4.6101276243000013</v>
      </c>
      <c r="AN32" s="398">
        <f t="shared" si="64"/>
        <v>4.8406340055150014</v>
      </c>
      <c r="AO32" s="2395"/>
    </row>
    <row r="33" spans="1:41">
      <c r="A33" s="130" t="str">
        <f>A$17</f>
        <v>Hampton Inn (Upper Mid)</v>
      </c>
      <c r="B33" s="1030">
        <v>33</v>
      </c>
      <c r="C33" s="508">
        <v>32</v>
      </c>
      <c r="D33" s="1030">
        <v>32</v>
      </c>
      <c r="E33" s="912">
        <v>32</v>
      </c>
      <c r="F33" s="912">
        <v>32</v>
      </c>
      <c r="G33" s="1041">
        <v>32</v>
      </c>
      <c r="H33" s="820">
        <f t="shared" si="33"/>
        <v>32</v>
      </c>
      <c r="I33" s="1030">
        <v>53</v>
      </c>
      <c r="J33" s="912">
        <v>51</v>
      </c>
      <c r="K33" s="912">
        <v>52</v>
      </c>
      <c r="L33" s="1041">
        <v>50</v>
      </c>
      <c r="M33" s="820">
        <f t="shared" si="34"/>
        <v>50</v>
      </c>
      <c r="N33" s="1030">
        <v>50</v>
      </c>
      <c r="O33" s="912">
        <v>50</v>
      </c>
      <c r="P33" s="912">
        <v>50</v>
      </c>
      <c r="Q33" s="1041">
        <v>50</v>
      </c>
      <c r="R33" s="820">
        <f t="shared" si="35"/>
        <v>50</v>
      </c>
      <c r="S33" s="1030">
        <v>50</v>
      </c>
      <c r="T33" s="912">
        <v>50</v>
      </c>
      <c r="U33" s="912">
        <v>50</v>
      </c>
      <c r="V33" s="912">
        <v>50</v>
      </c>
      <c r="W33" s="398">
        <f t="shared" si="42"/>
        <v>50</v>
      </c>
      <c r="X33" s="2787">
        <v>50</v>
      </c>
      <c r="Y33" s="2791">
        <v>49</v>
      </c>
      <c r="Z33" s="2791">
        <v>49</v>
      </c>
      <c r="AA33" s="2791">
        <v>49</v>
      </c>
      <c r="AB33" s="398">
        <f t="shared" si="43"/>
        <v>49</v>
      </c>
      <c r="AC33" s="2944">
        <f>AA33*(1+AC$877)+'Owned Hotels Spinoff'!$K$25</f>
        <v>50.980000000000004</v>
      </c>
      <c r="AD33" s="406">
        <f t="shared" ref="AD33" si="65">AC33*(1+AD$871)</f>
        <v>51.336860000000001</v>
      </c>
      <c r="AE33" s="3665">
        <v>49</v>
      </c>
      <c r="AF33" s="3665">
        <v>47</v>
      </c>
      <c r="AG33" s="398">
        <f t="shared" si="44"/>
        <v>47</v>
      </c>
      <c r="AH33" s="406">
        <f t="shared" si="60"/>
        <v>47.94</v>
      </c>
      <c r="AI33" s="406">
        <f t="shared" si="61"/>
        <v>48.898800000000001</v>
      </c>
      <c r="AJ33" s="406">
        <f t="shared" si="62"/>
        <v>49.754529000000005</v>
      </c>
      <c r="AK33" s="820">
        <f t="shared" si="63"/>
        <v>50.625233257500007</v>
      </c>
      <c r="AL33" s="820">
        <f t="shared" si="45"/>
        <v>50.625233257500007</v>
      </c>
      <c r="AM33" s="398">
        <f t="shared" si="64"/>
        <v>54.168999585525007</v>
      </c>
      <c r="AN33" s="398">
        <f t="shared" si="64"/>
        <v>56.87744956480126</v>
      </c>
      <c r="AO33" s="2395"/>
    </row>
    <row r="34" spans="1:41">
      <c r="A34" s="130" t="str">
        <f>A$18</f>
        <v>Home2 Suites by Hilton (Upper Mid)</v>
      </c>
      <c r="B34" s="1030">
        <v>0</v>
      </c>
      <c r="C34" s="508">
        <v>0</v>
      </c>
      <c r="D34" s="1030">
        <v>0</v>
      </c>
      <c r="E34" s="912">
        <v>0</v>
      </c>
      <c r="F34" s="912">
        <v>0</v>
      </c>
      <c r="G34" s="1041">
        <v>0</v>
      </c>
      <c r="H34" s="820">
        <f t="shared" si="33"/>
        <v>0</v>
      </c>
      <c r="I34" s="1030">
        <v>0</v>
      </c>
      <c r="J34" s="912">
        <v>0</v>
      </c>
      <c r="K34" s="912">
        <v>0</v>
      </c>
      <c r="L34" s="1041">
        <v>0</v>
      </c>
      <c r="M34" s="820">
        <f t="shared" si="34"/>
        <v>0</v>
      </c>
      <c r="N34" s="1030">
        <v>0</v>
      </c>
      <c r="O34" s="912">
        <v>0</v>
      </c>
      <c r="P34" s="912">
        <v>0</v>
      </c>
      <c r="Q34" s="1041">
        <v>0</v>
      </c>
      <c r="R34" s="820">
        <f t="shared" si="35"/>
        <v>0</v>
      </c>
      <c r="S34" s="1030">
        <v>0</v>
      </c>
      <c r="T34" s="912">
        <v>0</v>
      </c>
      <c r="U34" s="912">
        <v>0</v>
      </c>
      <c r="V34" s="912">
        <v>0</v>
      </c>
      <c r="W34" s="398">
        <f t="shared" si="42"/>
        <v>0</v>
      </c>
      <c r="X34" s="2787">
        <v>0</v>
      </c>
      <c r="Y34" s="2791">
        <v>0</v>
      </c>
      <c r="Z34" s="2791">
        <v>0</v>
      </c>
      <c r="AA34" s="2791">
        <v>0</v>
      </c>
      <c r="AB34" s="398">
        <f t="shared" si="43"/>
        <v>0</v>
      </c>
      <c r="AC34" s="406">
        <f>AA34*(1+AC$877)</f>
        <v>0</v>
      </c>
      <c r="AD34" s="406">
        <f t="shared" ref="AD34" si="66">AC34*(1+AD$871)</f>
        <v>0</v>
      </c>
      <c r="AE34" s="3665">
        <f t="shared" ref="AE34:AF34" si="67">AD34*(1+AE$877)</f>
        <v>0</v>
      </c>
      <c r="AF34" s="406">
        <f t="shared" si="67"/>
        <v>0</v>
      </c>
      <c r="AG34" s="398">
        <f t="shared" si="44"/>
        <v>0</v>
      </c>
      <c r="AH34" s="406">
        <f t="shared" si="60"/>
        <v>0</v>
      </c>
      <c r="AI34" s="406">
        <f t="shared" si="61"/>
        <v>0</v>
      </c>
      <c r="AJ34" s="406">
        <f t="shared" si="62"/>
        <v>0</v>
      </c>
      <c r="AK34" s="820">
        <f t="shared" si="63"/>
        <v>0</v>
      </c>
      <c r="AL34" s="820">
        <f t="shared" si="45"/>
        <v>0</v>
      </c>
      <c r="AM34" s="398">
        <f t="shared" si="64"/>
        <v>0</v>
      </c>
      <c r="AN34" s="398">
        <f t="shared" si="64"/>
        <v>0</v>
      </c>
      <c r="AO34" s="2395"/>
    </row>
    <row r="35" spans="1:41" s="5" customFormat="1">
      <c r="A35" s="1828" t="s">
        <v>3164</v>
      </c>
      <c r="B35" s="1033"/>
      <c r="C35" s="398"/>
      <c r="D35" s="1033"/>
      <c r="E35" s="406"/>
      <c r="F35" s="406"/>
      <c r="G35" s="820"/>
      <c r="H35" s="820"/>
      <c r="I35" s="1033"/>
      <c r="J35" s="406"/>
      <c r="K35" s="406"/>
      <c r="L35" s="820"/>
      <c r="M35" s="820"/>
      <c r="N35" s="1033"/>
      <c r="O35" s="401"/>
      <c r="P35" s="401"/>
      <c r="Q35" s="820"/>
      <c r="R35" s="398"/>
      <c r="S35" s="401"/>
      <c r="T35" s="401"/>
      <c r="U35" s="401"/>
      <c r="V35" s="820"/>
      <c r="W35" s="398"/>
      <c r="X35" s="1033"/>
      <c r="Y35" s="406"/>
      <c r="Z35" s="406"/>
      <c r="AA35" s="406"/>
      <c r="AB35" s="398"/>
      <c r="AC35" s="406">
        <f t="shared" ref="AC35:AC36" si="68">AA35*(1+AC$877)</f>
        <v>0</v>
      </c>
      <c r="AD35" s="406">
        <f t="shared" ref="AD35" si="69">AC35*(1+AD$871)</f>
        <v>0</v>
      </c>
      <c r="AE35" s="3665">
        <f t="shared" ref="AE35:AF35" si="70">AD35*(1+AE$877)</f>
        <v>0</v>
      </c>
      <c r="AF35" s="406">
        <f t="shared" si="70"/>
        <v>0</v>
      </c>
      <c r="AG35" s="398">
        <f t="shared" ref="AG35:AG36" si="71">AF35</f>
        <v>0</v>
      </c>
      <c r="AH35" s="406">
        <f t="shared" si="60"/>
        <v>0</v>
      </c>
      <c r="AI35" s="406">
        <f t="shared" si="61"/>
        <v>0</v>
      </c>
      <c r="AJ35" s="406">
        <f t="shared" si="62"/>
        <v>0</v>
      </c>
      <c r="AK35" s="820">
        <f t="shared" si="63"/>
        <v>0</v>
      </c>
      <c r="AL35" s="820">
        <f t="shared" si="45"/>
        <v>0</v>
      </c>
      <c r="AM35" s="398">
        <f t="shared" ref="AM35:AN35" si="72">AL35*(1+AM$876)</f>
        <v>0</v>
      </c>
      <c r="AN35" s="398">
        <f t="shared" si="72"/>
        <v>0</v>
      </c>
    </row>
    <row r="36" spans="1:41" s="5" customFormat="1">
      <c r="A36" s="1828" t="s">
        <v>3165</v>
      </c>
      <c r="B36" s="1033"/>
      <c r="C36" s="398"/>
      <c r="D36" s="1033"/>
      <c r="E36" s="406"/>
      <c r="F36" s="406"/>
      <c r="G36" s="820"/>
      <c r="H36" s="820"/>
      <c r="I36" s="1033"/>
      <c r="J36" s="406"/>
      <c r="K36" s="406"/>
      <c r="L36" s="820"/>
      <c r="M36" s="820"/>
      <c r="N36" s="1033"/>
      <c r="O36" s="401"/>
      <c r="P36" s="401"/>
      <c r="Q36" s="820"/>
      <c r="R36" s="398"/>
      <c r="S36" s="401"/>
      <c r="T36" s="401"/>
      <c r="U36" s="401"/>
      <c r="V36" s="820"/>
      <c r="W36" s="398"/>
      <c r="X36" s="1033"/>
      <c r="Y36" s="406"/>
      <c r="Z36" s="406"/>
      <c r="AA36" s="406"/>
      <c r="AB36" s="398"/>
      <c r="AC36" s="406">
        <f t="shared" si="68"/>
        <v>0</v>
      </c>
      <c r="AD36" s="406">
        <f t="shared" ref="AD36" si="73">AC36*(1+AD$871)</f>
        <v>0</v>
      </c>
      <c r="AE36" s="3665">
        <f t="shared" ref="AE36:AF36" si="74">AD36*(1+AE$877)</f>
        <v>0</v>
      </c>
      <c r="AF36" s="406">
        <f t="shared" si="74"/>
        <v>0</v>
      </c>
      <c r="AG36" s="398">
        <f t="shared" si="71"/>
        <v>0</v>
      </c>
      <c r="AH36" s="406">
        <f t="shared" si="60"/>
        <v>0</v>
      </c>
      <c r="AI36" s="406">
        <f t="shared" si="61"/>
        <v>0</v>
      </c>
      <c r="AJ36" s="406">
        <f t="shared" si="62"/>
        <v>0</v>
      </c>
      <c r="AK36" s="820">
        <f t="shared" si="63"/>
        <v>0</v>
      </c>
      <c r="AL36" s="820">
        <f t="shared" si="45"/>
        <v>0</v>
      </c>
      <c r="AM36" s="398">
        <f t="shared" ref="AM36:AN36" si="75">AL36*(1+AM$876)</f>
        <v>0</v>
      </c>
      <c r="AN36" s="398">
        <f t="shared" si="75"/>
        <v>0</v>
      </c>
    </row>
    <row r="37" spans="1:41" s="5" customFormat="1" ht="15">
      <c r="A37" s="402" t="str">
        <f>A$21</f>
        <v>Homewood Suites by Hilton (Upscale)</v>
      </c>
      <c r="B37" s="1031">
        <v>44</v>
      </c>
      <c r="C37" s="1029">
        <v>43</v>
      </c>
      <c r="D37" s="1031">
        <v>43</v>
      </c>
      <c r="E37" s="1039">
        <v>39</v>
      </c>
      <c r="F37" s="1039">
        <v>35</v>
      </c>
      <c r="G37" s="1042">
        <v>35</v>
      </c>
      <c r="H37" s="700">
        <f t="shared" si="33"/>
        <v>35</v>
      </c>
      <c r="I37" s="1031">
        <v>39</v>
      </c>
      <c r="J37" s="1039">
        <v>37</v>
      </c>
      <c r="K37" s="1039">
        <v>38</v>
      </c>
      <c r="L37" s="1042">
        <v>38</v>
      </c>
      <c r="M37" s="700">
        <f t="shared" si="34"/>
        <v>38</v>
      </c>
      <c r="N37" s="1031">
        <v>37</v>
      </c>
      <c r="O37" s="1039">
        <v>37</v>
      </c>
      <c r="P37" s="1039">
        <v>32</v>
      </c>
      <c r="Q37" s="1042">
        <v>28</v>
      </c>
      <c r="R37" s="1711">
        <f t="shared" si="35"/>
        <v>28</v>
      </c>
      <c r="S37" s="1031">
        <v>27</v>
      </c>
      <c r="T37" s="1039">
        <v>27</v>
      </c>
      <c r="U37" s="1039">
        <v>25</v>
      </c>
      <c r="V37" s="1039">
        <v>25</v>
      </c>
      <c r="W37" s="1713">
        <f t="shared" si="42"/>
        <v>25</v>
      </c>
      <c r="X37" s="2789">
        <v>25</v>
      </c>
      <c r="Y37" s="2793">
        <v>25</v>
      </c>
      <c r="Z37" s="2793">
        <v>25</v>
      </c>
      <c r="AA37" s="2793">
        <v>25</v>
      </c>
      <c r="AB37" s="1713">
        <f t="shared" si="43"/>
        <v>25</v>
      </c>
      <c r="AC37" s="1712">
        <f>AA37*(1+AC$877)</f>
        <v>25.5</v>
      </c>
      <c r="AD37" s="1712">
        <f t="shared" ref="AD37" si="76">AC37*(1+AD$871)</f>
        <v>25.678499999999996</v>
      </c>
      <c r="AE37" s="4001">
        <v>21</v>
      </c>
      <c r="AF37" s="4001">
        <v>21</v>
      </c>
      <c r="AG37" s="1713">
        <f t="shared" si="44"/>
        <v>21</v>
      </c>
      <c r="AH37" s="1712">
        <f t="shared" si="60"/>
        <v>21.42</v>
      </c>
      <c r="AI37" s="1712">
        <f t="shared" si="61"/>
        <v>21.848400000000002</v>
      </c>
      <c r="AJ37" s="1712">
        <f t="shared" si="62"/>
        <v>22.230747000000004</v>
      </c>
      <c r="AK37" s="1711">
        <f t="shared" si="63"/>
        <v>22.619785072500004</v>
      </c>
      <c r="AL37" s="1711">
        <f t="shared" si="45"/>
        <v>22.619785072500004</v>
      </c>
      <c r="AM37" s="1713">
        <f>AL37*(1+AM$876)</f>
        <v>24.203170027575005</v>
      </c>
      <c r="AN37" s="1713">
        <f>AM37*(1+AN$876)</f>
        <v>25.413328528953755</v>
      </c>
      <c r="AO37" s="2396"/>
    </row>
    <row r="38" spans="1:41">
      <c r="A38" s="482" t="s">
        <v>1687</v>
      </c>
      <c r="B38" s="1032">
        <f t="shared" ref="B38:R38" si="77">SUM(B25:B37)</f>
        <v>221</v>
      </c>
      <c r="C38" s="400">
        <f t="shared" si="77"/>
        <v>210</v>
      </c>
      <c r="D38" s="1032">
        <f t="shared" si="77"/>
        <v>214</v>
      </c>
      <c r="E38" s="405">
        <f t="shared" si="77"/>
        <v>205</v>
      </c>
      <c r="F38" s="405">
        <f t="shared" si="77"/>
        <v>201</v>
      </c>
      <c r="G38" s="821">
        <f t="shared" si="77"/>
        <v>199</v>
      </c>
      <c r="H38" s="821">
        <f t="shared" si="77"/>
        <v>199</v>
      </c>
      <c r="I38" s="1032">
        <f t="shared" si="77"/>
        <v>224</v>
      </c>
      <c r="J38" s="405">
        <f t="shared" si="77"/>
        <v>218</v>
      </c>
      <c r="K38" s="405">
        <f t="shared" si="77"/>
        <v>222</v>
      </c>
      <c r="L38" s="821">
        <f t="shared" si="77"/>
        <v>218</v>
      </c>
      <c r="M38" s="821">
        <f t="shared" si="77"/>
        <v>218</v>
      </c>
      <c r="N38" s="1032">
        <f t="shared" si="77"/>
        <v>216</v>
      </c>
      <c r="O38" s="405">
        <f t="shared" si="77"/>
        <v>214</v>
      </c>
      <c r="P38" s="405">
        <f t="shared" si="77"/>
        <v>214</v>
      </c>
      <c r="Q38" s="821">
        <f t="shared" si="77"/>
        <v>209</v>
      </c>
      <c r="R38" s="821">
        <f t="shared" si="77"/>
        <v>209</v>
      </c>
      <c r="S38" s="1032">
        <f t="shared" ref="S38:AN38" si="78">SUM(S25:S37)</f>
        <v>205</v>
      </c>
      <c r="T38" s="405">
        <f t="shared" si="78"/>
        <v>198</v>
      </c>
      <c r="U38" s="405">
        <f t="shared" si="78"/>
        <v>193</v>
      </c>
      <c r="V38" s="405">
        <f t="shared" si="78"/>
        <v>193</v>
      </c>
      <c r="W38" s="400">
        <f t="shared" si="78"/>
        <v>193</v>
      </c>
      <c r="X38" s="1032">
        <f t="shared" si="78"/>
        <v>190</v>
      </c>
      <c r="Y38" s="405">
        <f t="shared" si="78"/>
        <v>188</v>
      </c>
      <c r="Z38" s="405">
        <f t="shared" si="78"/>
        <v>189</v>
      </c>
      <c r="AA38" s="405">
        <f t="shared" si="78"/>
        <v>189</v>
      </c>
      <c r="AB38" s="400">
        <f t="shared" si="78"/>
        <v>189</v>
      </c>
      <c r="AC38" s="405">
        <f t="shared" si="78"/>
        <v>242.69299999999998</v>
      </c>
      <c r="AD38" s="405">
        <f t="shared" ref="AD38" si="79">SUM(AD25:AD37)</f>
        <v>243.69703799999996</v>
      </c>
      <c r="AE38" s="405">
        <f t="shared" si="78"/>
        <v>239</v>
      </c>
      <c r="AF38" s="821">
        <f t="shared" si="78"/>
        <v>238</v>
      </c>
      <c r="AG38" s="400">
        <f t="shared" si="78"/>
        <v>238</v>
      </c>
      <c r="AH38" s="405">
        <f t="shared" ref="AH38:AK38" si="80">SUM(AH25:AH37)</f>
        <v>242.01499999999999</v>
      </c>
      <c r="AI38" s="405">
        <f t="shared" si="80"/>
        <v>246.01469349999996</v>
      </c>
      <c r="AJ38" s="405">
        <f t="shared" si="80"/>
        <v>249.33767933500002</v>
      </c>
      <c r="AK38" s="821">
        <f t="shared" si="80"/>
        <v>252.71724714135001</v>
      </c>
      <c r="AL38" s="400">
        <f t="shared" ref="AL38" si="81">SUM(AL25:AL37)</f>
        <v>252.71724714135001</v>
      </c>
      <c r="AM38" s="821">
        <f t="shared" si="78"/>
        <v>267.55593588530502</v>
      </c>
      <c r="AN38" s="821">
        <f t="shared" si="78"/>
        <v>277.96656576921117</v>
      </c>
    </row>
    <row r="39" spans="1:41">
      <c r="A39" s="130"/>
      <c r="B39" s="1033"/>
      <c r="C39" s="398"/>
      <c r="D39" s="1033"/>
      <c r="E39" s="406"/>
      <c r="F39" s="406"/>
      <c r="G39" s="820"/>
      <c r="H39" s="820"/>
      <c r="I39" s="1033"/>
      <c r="J39" s="406"/>
      <c r="K39" s="406"/>
      <c r="L39" s="820"/>
      <c r="M39" s="820"/>
      <c r="N39" s="401"/>
      <c r="O39" s="406"/>
      <c r="P39" s="401"/>
      <c r="Q39" s="820"/>
      <c r="R39" s="820"/>
      <c r="S39" s="401"/>
      <c r="T39" s="406"/>
      <c r="U39" s="406"/>
      <c r="V39" s="406"/>
      <c r="W39" s="398"/>
      <c r="X39" s="1033"/>
      <c r="Y39" s="406"/>
      <c r="Z39" s="406"/>
      <c r="AA39" s="406"/>
      <c r="AB39" s="398"/>
      <c r="AC39" s="406"/>
      <c r="AD39" s="406"/>
      <c r="AE39" s="406"/>
      <c r="AF39" s="820"/>
      <c r="AG39" s="820"/>
      <c r="AH39" s="406"/>
      <c r="AI39" s="406"/>
      <c r="AJ39" s="406"/>
      <c r="AK39" s="820"/>
      <c r="AL39" s="820"/>
      <c r="AM39" s="820"/>
      <c r="AN39" s="820"/>
    </row>
    <row r="40" spans="1:41">
      <c r="A40" s="295" t="s">
        <v>1284</v>
      </c>
      <c r="B40" s="1033"/>
      <c r="C40" s="398"/>
      <c r="D40" s="1033"/>
      <c r="E40" s="406"/>
      <c r="F40" s="406"/>
      <c r="G40" s="820"/>
      <c r="H40" s="820"/>
      <c r="I40" s="1033"/>
      <c r="J40" s="406"/>
      <c r="K40" s="406"/>
      <c r="L40" s="820"/>
      <c r="M40" s="820"/>
      <c r="N40" s="401"/>
      <c r="O40" s="406"/>
      <c r="P40" s="401"/>
      <c r="Q40" s="820"/>
      <c r="R40" s="820"/>
      <c r="S40" s="401"/>
      <c r="T40" s="406"/>
      <c r="U40" s="406"/>
      <c r="V40" s="406"/>
      <c r="W40" s="398"/>
      <c r="X40" s="1033"/>
      <c r="Y40" s="406"/>
      <c r="Z40" s="406"/>
      <c r="AA40" s="406"/>
      <c r="AB40" s="398"/>
      <c r="AC40" s="406"/>
      <c r="AD40" s="406"/>
      <c r="AE40" s="406"/>
      <c r="AF40" s="820"/>
      <c r="AG40" s="820"/>
      <c r="AH40" s="406"/>
      <c r="AI40" s="406"/>
      <c r="AJ40" s="406"/>
      <c r="AK40" s="820"/>
      <c r="AL40" s="820"/>
      <c r="AM40" s="820"/>
      <c r="AN40" s="820"/>
    </row>
    <row r="41" spans="1:41">
      <c r="A41" s="130" t="str">
        <f>A$9</f>
        <v>Waldorf Astoria Hotels &amp; Resorts (Luxury)</v>
      </c>
      <c r="B41" s="1030">
        <v>4</v>
      </c>
      <c r="C41" s="508">
        <v>4</v>
      </c>
      <c r="D41" s="1030">
        <v>4</v>
      </c>
      <c r="E41" s="912">
        <v>4</v>
      </c>
      <c r="F41" s="912">
        <v>2</v>
      </c>
      <c r="G41" s="1041">
        <v>2</v>
      </c>
      <c r="H41" s="820">
        <f t="shared" ref="H41:H53" si="82">G41</f>
        <v>2</v>
      </c>
      <c r="I41" s="1030">
        <v>2</v>
      </c>
      <c r="J41" s="912">
        <v>2</v>
      </c>
      <c r="K41" s="912">
        <v>0</v>
      </c>
      <c r="L41" s="1041">
        <v>0</v>
      </c>
      <c r="M41" s="820">
        <f t="shared" ref="M41:M53" si="83">L41</f>
        <v>0</v>
      </c>
      <c r="N41" s="1030">
        <v>0</v>
      </c>
      <c r="O41" s="912">
        <v>0</v>
      </c>
      <c r="P41" s="912">
        <v>0</v>
      </c>
      <c r="Q41" s="1041">
        <v>0</v>
      </c>
      <c r="R41" s="820">
        <f t="shared" ref="R41:R53" si="84">Q41</f>
        <v>0</v>
      </c>
      <c r="S41" s="1030">
        <f>Q41*(1+S$900)</f>
        <v>0</v>
      </c>
      <c r="T41" s="912">
        <v>0</v>
      </c>
      <c r="U41" s="912">
        <v>0</v>
      </c>
      <c r="V41" s="912">
        <v>0</v>
      </c>
      <c r="W41" s="2686">
        <f t="shared" ref="W41:W53" si="85">V41</f>
        <v>0</v>
      </c>
      <c r="X41" s="2790">
        <v>0</v>
      </c>
      <c r="Y41" s="2840">
        <v>0</v>
      </c>
      <c r="Z41" s="2840">
        <v>0</v>
      </c>
      <c r="AA41" s="2840">
        <v>0</v>
      </c>
      <c r="AB41" s="2686">
        <f t="shared" ref="AB41:AB53" si="86">AA41</f>
        <v>0</v>
      </c>
      <c r="AC41" s="2397">
        <f>AA41*(1+AC$900)</f>
        <v>0</v>
      </c>
      <c r="AD41" s="2397">
        <f t="shared" ref="AD41:AF42" si="87">AC41*(1+AD$900)</f>
        <v>0</v>
      </c>
      <c r="AE41" s="4003">
        <v>0</v>
      </c>
      <c r="AF41" s="2397">
        <f t="shared" si="87"/>
        <v>0</v>
      </c>
      <c r="AG41" s="2686">
        <f t="shared" ref="AG41:AG53" si="88">AF41</f>
        <v>0</v>
      </c>
      <c r="AH41" s="2397">
        <f t="shared" ref="AH41:AH42" si="89">AG41*(1+AH$900)</f>
        <v>0</v>
      </c>
      <c r="AI41" s="2397">
        <f t="shared" ref="AI41:AI42" si="90">AH41*(1+AI$900)</f>
        <v>0</v>
      </c>
      <c r="AJ41" s="2397">
        <f t="shared" ref="AJ41:AJ42" si="91">AI41*(1+AJ$900)</f>
        <v>0</v>
      </c>
      <c r="AK41" s="2394">
        <f t="shared" ref="AK41:AK42" si="92">AJ41*(1+AK$900)</f>
        <v>0</v>
      </c>
      <c r="AL41" s="2394">
        <f t="shared" ref="AL41:AL53" si="93">AK41</f>
        <v>0</v>
      </c>
      <c r="AM41" s="2394">
        <f t="shared" ref="AM41:AN42" si="94">AL41*(1+AM$899)</f>
        <v>0</v>
      </c>
      <c r="AN41" s="2394">
        <f t="shared" si="94"/>
        <v>0</v>
      </c>
      <c r="AO41" s="2398"/>
    </row>
    <row r="42" spans="1:41">
      <c r="A42" s="130" t="str">
        <f>A$10</f>
        <v>Conrad Hotels &amp; Resorts (Luxury)</v>
      </c>
      <c r="B42" s="1030">
        <v>0</v>
      </c>
      <c r="C42" s="508">
        <v>0</v>
      </c>
      <c r="D42" s="1030">
        <v>0</v>
      </c>
      <c r="E42" s="912">
        <v>0</v>
      </c>
      <c r="F42" s="912">
        <v>0</v>
      </c>
      <c r="G42" s="1041">
        <v>0</v>
      </c>
      <c r="H42" s="820">
        <f t="shared" si="82"/>
        <v>0</v>
      </c>
      <c r="I42" s="1030">
        <v>0</v>
      </c>
      <c r="J42" s="912">
        <v>0</v>
      </c>
      <c r="K42" s="912">
        <v>0</v>
      </c>
      <c r="L42" s="1041">
        <v>0</v>
      </c>
      <c r="M42" s="820">
        <f t="shared" si="83"/>
        <v>0</v>
      </c>
      <c r="N42" s="1030">
        <v>0</v>
      </c>
      <c r="O42" s="912">
        <v>0</v>
      </c>
      <c r="P42" s="912">
        <v>0</v>
      </c>
      <c r="Q42" s="1041">
        <v>0</v>
      </c>
      <c r="R42" s="820">
        <f t="shared" si="84"/>
        <v>0</v>
      </c>
      <c r="S42" s="1030">
        <f>Q42*(1+S$900)</f>
        <v>0</v>
      </c>
      <c r="T42" s="912">
        <v>0</v>
      </c>
      <c r="U42" s="912">
        <v>0</v>
      </c>
      <c r="V42" s="912">
        <v>0</v>
      </c>
      <c r="W42" s="2686">
        <f t="shared" si="85"/>
        <v>0</v>
      </c>
      <c r="X42" s="2790">
        <v>0</v>
      </c>
      <c r="Y42" s="2840">
        <v>0</v>
      </c>
      <c r="Z42" s="2840">
        <v>0</v>
      </c>
      <c r="AA42" s="2840">
        <v>0</v>
      </c>
      <c r="AB42" s="2686">
        <f t="shared" si="86"/>
        <v>0</v>
      </c>
      <c r="AC42" s="2397">
        <f>AA42*(1+AC$900)</f>
        <v>0</v>
      </c>
      <c r="AD42" s="2397">
        <f t="shared" si="87"/>
        <v>0</v>
      </c>
      <c r="AE42" s="4004">
        <v>1</v>
      </c>
      <c r="AF42" s="4004">
        <v>1</v>
      </c>
      <c r="AG42" s="398">
        <f t="shared" si="88"/>
        <v>1</v>
      </c>
      <c r="AH42" s="406">
        <f t="shared" si="89"/>
        <v>1</v>
      </c>
      <c r="AI42" s="406">
        <f t="shared" si="90"/>
        <v>1</v>
      </c>
      <c r="AJ42" s="406">
        <f t="shared" si="91"/>
        <v>1</v>
      </c>
      <c r="AK42" s="820">
        <f t="shared" si="92"/>
        <v>1</v>
      </c>
      <c r="AL42" s="820">
        <f t="shared" si="93"/>
        <v>1</v>
      </c>
      <c r="AM42" s="398">
        <f t="shared" si="94"/>
        <v>1</v>
      </c>
      <c r="AN42" s="398">
        <f t="shared" si="94"/>
        <v>1</v>
      </c>
      <c r="AO42" s="2398"/>
    </row>
    <row r="43" spans="1:41">
      <c r="A43" s="1828" t="s">
        <v>3022</v>
      </c>
      <c r="B43" s="1030"/>
      <c r="C43" s="508"/>
      <c r="D43" s="1030"/>
      <c r="E43" s="912"/>
      <c r="F43" s="912"/>
      <c r="G43" s="1041"/>
      <c r="H43" s="820"/>
      <c r="I43" s="1030"/>
      <c r="J43" s="912"/>
      <c r="K43" s="912"/>
      <c r="L43" s="1041"/>
      <c r="M43" s="820"/>
      <c r="N43" s="1030"/>
      <c r="O43" s="912"/>
      <c r="P43" s="912"/>
      <c r="Q43" s="1041"/>
      <c r="R43" s="820"/>
      <c r="S43" s="1030"/>
      <c r="T43" s="912"/>
      <c r="U43" s="912"/>
      <c r="V43" s="912"/>
      <c r="W43" s="398"/>
      <c r="X43" s="2787"/>
      <c r="Y43" s="2791"/>
      <c r="Z43" s="2791"/>
      <c r="AA43" s="2791">
        <v>0</v>
      </c>
      <c r="AB43" s="398">
        <f t="shared" ref="AB43:AG43" si="95">+AA43</f>
        <v>0</v>
      </c>
      <c r="AC43" s="2944">
        <f t="shared" si="95"/>
        <v>0</v>
      </c>
      <c r="AD43" s="406">
        <f t="shared" si="95"/>
        <v>0</v>
      </c>
      <c r="AE43" s="3665">
        <f t="shared" si="95"/>
        <v>0</v>
      </c>
      <c r="AF43" s="406">
        <f t="shared" si="95"/>
        <v>0</v>
      </c>
      <c r="AG43" s="398">
        <f t="shared" si="95"/>
        <v>0</v>
      </c>
      <c r="AH43" s="406">
        <f t="shared" ref="AH43" si="96">+AG43</f>
        <v>0</v>
      </c>
      <c r="AI43" s="406">
        <f t="shared" ref="AI43" si="97">+AH43</f>
        <v>0</v>
      </c>
      <c r="AJ43" s="406">
        <f t="shared" ref="AJ43" si="98">+AI43</f>
        <v>0</v>
      </c>
      <c r="AK43" s="820">
        <f t="shared" ref="AK43" si="99">+AJ43</f>
        <v>0</v>
      </c>
      <c r="AL43" s="398">
        <f t="shared" ref="AL43" si="100">+AK43</f>
        <v>0</v>
      </c>
      <c r="AM43" s="398">
        <f>AL43</f>
        <v>0</v>
      </c>
      <c r="AN43" s="398">
        <f>AM43</f>
        <v>0</v>
      </c>
    </row>
    <row r="44" spans="1:41">
      <c r="A44" s="130" t="str">
        <f>A$12</f>
        <v>Hilton Hotels &amp; Resorts (Upper Up)</v>
      </c>
      <c r="B44" s="1030">
        <v>192</v>
      </c>
      <c r="C44" s="508">
        <v>192</v>
      </c>
      <c r="D44" s="1030">
        <v>188</v>
      </c>
      <c r="E44" s="912">
        <v>187</v>
      </c>
      <c r="F44" s="912">
        <v>186</v>
      </c>
      <c r="G44" s="1041">
        <v>181</v>
      </c>
      <c r="H44" s="820">
        <f t="shared" si="82"/>
        <v>181</v>
      </c>
      <c r="I44" s="1030">
        <v>180</v>
      </c>
      <c r="J44" s="912">
        <v>181</v>
      </c>
      <c r="K44" s="912">
        <v>181</v>
      </c>
      <c r="L44" s="1041">
        <v>181</v>
      </c>
      <c r="M44" s="820">
        <f t="shared" si="83"/>
        <v>181</v>
      </c>
      <c r="N44" s="1030">
        <v>179</v>
      </c>
      <c r="O44" s="912">
        <v>176</v>
      </c>
      <c r="P44" s="912">
        <v>175</v>
      </c>
      <c r="Q44" s="1041">
        <v>174</v>
      </c>
      <c r="R44" s="820">
        <f t="shared" si="84"/>
        <v>174</v>
      </c>
      <c r="S44" s="1030">
        <v>174</v>
      </c>
      <c r="T44" s="912">
        <v>173</v>
      </c>
      <c r="U44" s="912">
        <v>173</v>
      </c>
      <c r="V44" s="912">
        <v>173</v>
      </c>
      <c r="W44" s="398">
        <f t="shared" si="85"/>
        <v>173</v>
      </c>
      <c r="X44" s="2787">
        <v>176</v>
      </c>
      <c r="Y44" s="2791">
        <v>177</v>
      </c>
      <c r="Z44" s="2791">
        <v>177</v>
      </c>
      <c r="AA44" s="2791">
        <v>179</v>
      </c>
      <c r="AB44" s="398">
        <f t="shared" si="86"/>
        <v>179</v>
      </c>
      <c r="AC44" s="406">
        <f>AA44*(1+AC$903)</f>
        <v>181.148</v>
      </c>
      <c r="AD44" s="406">
        <f t="shared" ref="AD44:AD45" si="101">AC44*(1+AD$903)</f>
        <v>183.321776</v>
      </c>
      <c r="AE44" s="3665">
        <v>180</v>
      </c>
      <c r="AF44" s="3665">
        <v>179</v>
      </c>
      <c r="AG44" s="398">
        <f t="shared" si="88"/>
        <v>179</v>
      </c>
      <c r="AH44" s="406">
        <f t="shared" ref="AH44:AH45" si="102">AG44*(1+AH$903)</f>
        <v>180.79</v>
      </c>
      <c r="AI44" s="406">
        <f t="shared" ref="AI44:AI45" si="103">AH44*(1+AI$903)</f>
        <v>183.23066500000002</v>
      </c>
      <c r="AJ44" s="406">
        <f t="shared" ref="AJ44:AJ45" si="104">AI44*(1+AJ$903)</f>
        <v>185.97912497499999</v>
      </c>
      <c r="AK44" s="820">
        <f t="shared" ref="AK44:AK45" si="105">AJ44*(1+AK$903)</f>
        <v>188.76881184962497</v>
      </c>
      <c r="AL44" s="820">
        <f t="shared" si="93"/>
        <v>188.76881184962497</v>
      </c>
      <c r="AM44" s="398">
        <f t="shared" ref="AM44:AN45" si="106">AL44*(1+AM$902)</f>
        <v>199.15109650135432</v>
      </c>
      <c r="AN44" s="398">
        <f t="shared" si="106"/>
        <v>207.1171403614085</v>
      </c>
      <c r="AO44" s="2398"/>
    </row>
    <row r="45" spans="1:41">
      <c r="A45" s="1828" t="s">
        <v>2323</v>
      </c>
      <c r="B45" s="1030"/>
      <c r="C45" s="508"/>
      <c r="D45" s="1030"/>
      <c r="E45" s="912"/>
      <c r="F45" s="912"/>
      <c r="G45" s="1041"/>
      <c r="H45" s="820"/>
      <c r="I45" s="1030"/>
      <c r="J45" s="912"/>
      <c r="K45" s="912"/>
      <c r="L45" s="1041"/>
      <c r="M45" s="820">
        <f>L45</f>
        <v>0</v>
      </c>
      <c r="N45" s="1030">
        <v>0</v>
      </c>
      <c r="O45" s="912">
        <v>0</v>
      </c>
      <c r="P45" s="912">
        <v>2</v>
      </c>
      <c r="Q45" s="1041">
        <v>4</v>
      </c>
      <c r="R45" s="820">
        <f>Q45</f>
        <v>4</v>
      </c>
      <c r="S45" s="1030">
        <v>4</v>
      </c>
      <c r="T45" s="912">
        <v>7</v>
      </c>
      <c r="U45" s="912">
        <v>9</v>
      </c>
      <c r="V45" s="912">
        <v>12</v>
      </c>
      <c r="W45" s="398">
        <f>V45</f>
        <v>12</v>
      </c>
      <c r="X45" s="2787">
        <v>15</v>
      </c>
      <c r="Y45" s="2791">
        <v>17</v>
      </c>
      <c r="Z45" s="2791">
        <v>19</v>
      </c>
      <c r="AA45" s="2791">
        <v>22</v>
      </c>
      <c r="AB45" s="398">
        <f>AA45</f>
        <v>22</v>
      </c>
      <c r="AC45" s="406">
        <f>AA45*(1+AC$903)</f>
        <v>22.263999999999999</v>
      </c>
      <c r="AD45" s="406">
        <f t="shared" si="101"/>
        <v>22.531168000000001</v>
      </c>
      <c r="AE45" s="3665">
        <v>25</v>
      </c>
      <c r="AF45" s="3665">
        <v>26</v>
      </c>
      <c r="AG45" s="398">
        <f>AF45</f>
        <v>26</v>
      </c>
      <c r="AH45" s="406">
        <f t="shared" si="102"/>
        <v>26.26</v>
      </c>
      <c r="AI45" s="406">
        <f t="shared" si="103"/>
        <v>26.614510000000003</v>
      </c>
      <c r="AJ45" s="406">
        <f t="shared" si="104"/>
        <v>27.01372765</v>
      </c>
      <c r="AK45" s="820">
        <f t="shared" si="105"/>
        <v>27.418933564749999</v>
      </c>
      <c r="AL45" s="820">
        <f>AK45</f>
        <v>27.418933564749999</v>
      </c>
      <c r="AM45" s="398">
        <f t="shared" si="106"/>
        <v>28.926974910811246</v>
      </c>
      <c r="AN45" s="398">
        <f t="shared" si="106"/>
        <v>30.084053907243696</v>
      </c>
      <c r="AO45" s="2398"/>
    </row>
    <row r="46" spans="1:41">
      <c r="A46" s="130" t="str">
        <f>A$14</f>
        <v>DoubleTree by Hilton (Upscale)</v>
      </c>
      <c r="B46" s="1030">
        <v>171</v>
      </c>
      <c r="C46" s="508">
        <v>188</v>
      </c>
      <c r="D46" s="1030">
        <v>197</v>
      </c>
      <c r="E46" s="912">
        <v>204</v>
      </c>
      <c r="F46" s="912">
        <v>209</v>
      </c>
      <c r="G46" s="1041">
        <v>218</v>
      </c>
      <c r="H46" s="820">
        <f t="shared" si="82"/>
        <v>218</v>
      </c>
      <c r="I46" s="1030">
        <v>222</v>
      </c>
      <c r="J46" s="912">
        <v>229</v>
      </c>
      <c r="K46" s="912">
        <v>235</v>
      </c>
      <c r="L46" s="1041">
        <v>237</v>
      </c>
      <c r="M46" s="820">
        <f t="shared" si="83"/>
        <v>237</v>
      </c>
      <c r="N46" s="1030">
        <v>242</v>
      </c>
      <c r="O46" s="912">
        <v>244</v>
      </c>
      <c r="P46" s="912">
        <v>248</v>
      </c>
      <c r="Q46" s="1041">
        <v>252</v>
      </c>
      <c r="R46" s="820">
        <f t="shared" si="84"/>
        <v>252</v>
      </c>
      <c r="S46" s="1030">
        <v>256</v>
      </c>
      <c r="T46" s="912">
        <v>263</v>
      </c>
      <c r="U46" s="912">
        <v>269</v>
      </c>
      <c r="V46" s="912">
        <v>274</v>
      </c>
      <c r="W46" s="398">
        <f t="shared" si="85"/>
        <v>274</v>
      </c>
      <c r="X46" s="2787">
        <v>277</v>
      </c>
      <c r="Y46" s="2791">
        <v>280</v>
      </c>
      <c r="Z46" s="2791">
        <v>283</v>
      </c>
      <c r="AA46" s="2791">
        <v>289</v>
      </c>
      <c r="AB46" s="398">
        <f t="shared" si="86"/>
        <v>289</v>
      </c>
      <c r="AC46" s="406">
        <f>AA46*(1+AC$906)</f>
        <v>292.47840533058314</v>
      </c>
      <c r="AD46" s="406">
        <f>AC46*(1+AD$906)</f>
        <v>299.8773547869888</v>
      </c>
      <c r="AE46" s="3665">
        <v>300</v>
      </c>
      <c r="AF46" s="3665">
        <v>301</v>
      </c>
      <c r="AG46" s="398">
        <f t="shared" si="88"/>
        <v>301</v>
      </c>
      <c r="AH46" s="406">
        <f t="shared" ref="AH46:AK46" si="107">AG46*(1+AH$906)</f>
        <v>304.61200000000002</v>
      </c>
      <c r="AI46" s="406">
        <f t="shared" si="107"/>
        <v>310.70424000000003</v>
      </c>
      <c r="AJ46" s="406">
        <f t="shared" si="107"/>
        <v>316.91832480000005</v>
      </c>
      <c r="AK46" s="820">
        <f t="shared" si="107"/>
        <v>324.84128292000003</v>
      </c>
      <c r="AL46" s="820">
        <f t="shared" si="93"/>
        <v>324.84128292000003</v>
      </c>
      <c r="AM46" s="398">
        <f>AL46*(1+AM$905)</f>
        <v>347.58017272440003</v>
      </c>
      <c r="AN46" s="398">
        <f>AM46*(1+AN$905)</f>
        <v>368.43498308786405</v>
      </c>
      <c r="AO46" s="2398"/>
    </row>
    <row r="47" spans="1:41">
      <c r="A47" s="130" t="str">
        <f>A$15</f>
        <v>Embassy Suites Hotels (Upper Up)</v>
      </c>
      <c r="B47" s="1030">
        <v>130</v>
      </c>
      <c r="C47" s="508">
        <v>138</v>
      </c>
      <c r="D47" s="1030">
        <v>139</v>
      </c>
      <c r="E47" s="912">
        <v>141</v>
      </c>
      <c r="F47" s="912">
        <v>143</v>
      </c>
      <c r="G47" s="1041">
        <v>144</v>
      </c>
      <c r="H47" s="820">
        <f t="shared" si="82"/>
        <v>144</v>
      </c>
      <c r="I47" s="1030">
        <v>145</v>
      </c>
      <c r="J47" s="912">
        <v>148</v>
      </c>
      <c r="K47" s="912">
        <v>150</v>
      </c>
      <c r="L47" s="1041">
        <v>151</v>
      </c>
      <c r="M47" s="820">
        <f t="shared" si="83"/>
        <v>151</v>
      </c>
      <c r="N47" s="1030">
        <v>155</v>
      </c>
      <c r="O47" s="912">
        <v>157</v>
      </c>
      <c r="P47" s="912">
        <v>158</v>
      </c>
      <c r="Q47" s="1041">
        <v>159</v>
      </c>
      <c r="R47" s="820">
        <f t="shared" si="84"/>
        <v>159</v>
      </c>
      <c r="S47" s="1030">
        <v>164</v>
      </c>
      <c r="T47" s="912">
        <v>170</v>
      </c>
      <c r="U47" s="912">
        <v>171</v>
      </c>
      <c r="V47" s="912">
        <v>173</v>
      </c>
      <c r="W47" s="398">
        <f t="shared" si="85"/>
        <v>173</v>
      </c>
      <c r="X47" s="2787">
        <v>176</v>
      </c>
      <c r="Y47" s="2791">
        <v>177</v>
      </c>
      <c r="Z47" s="2791">
        <v>181</v>
      </c>
      <c r="AA47" s="2791">
        <v>181</v>
      </c>
      <c r="AB47" s="398">
        <f t="shared" si="86"/>
        <v>181</v>
      </c>
      <c r="AC47" s="406">
        <f>AA47*(1+AC$903)</f>
        <v>183.172</v>
      </c>
      <c r="AD47" s="406">
        <f>AC47*(1+AD$903)</f>
        <v>185.37006399999999</v>
      </c>
      <c r="AE47" s="3665">
        <v>186</v>
      </c>
      <c r="AF47" s="3665">
        <v>193</v>
      </c>
      <c r="AG47" s="398">
        <f t="shared" si="88"/>
        <v>193</v>
      </c>
      <c r="AH47" s="406">
        <f t="shared" ref="AH47:AK47" si="108">AG47*(1+AH$903)</f>
        <v>194.93</v>
      </c>
      <c r="AI47" s="406">
        <f t="shared" si="108"/>
        <v>197.56155500000003</v>
      </c>
      <c r="AJ47" s="406">
        <f t="shared" si="108"/>
        <v>200.52497832500001</v>
      </c>
      <c r="AK47" s="820">
        <f t="shared" si="108"/>
        <v>203.53285299987499</v>
      </c>
      <c r="AL47" s="820">
        <f t="shared" si="93"/>
        <v>203.53285299987499</v>
      </c>
      <c r="AM47" s="398">
        <f>AL47*(1+AM$902)</f>
        <v>214.72715991486811</v>
      </c>
      <c r="AN47" s="398">
        <f>AM47*(1+AN$902)</f>
        <v>223.31624631146283</v>
      </c>
      <c r="AO47" s="2398"/>
    </row>
    <row r="48" spans="1:41">
      <c r="A48" s="130" t="str">
        <f>A$16</f>
        <v>Hilton Garden Inn (Upscale)</v>
      </c>
      <c r="B48" s="1030">
        <v>464</v>
      </c>
      <c r="C48" s="508">
        <v>481</v>
      </c>
      <c r="D48" s="1030">
        <v>481</v>
      </c>
      <c r="E48" s="912">
        <v>483</v>
      </c>
      <c r="F48" s="912">
        <v>487</v>
      </c>
      <c r="G48" s="1041">
        <v>495</v>
      </c>
      <c r="H48" s="820">
        <f t="shared" si="82"/>
        <v>495</v>
      </c>
      <c r="I48" s="1030">
        <v>500</v>
      </c>
      <c r="J48" s="912">
        <v>506</v>
      </c>
      <c r="K48" s="912">
        <v>509</v>
      </c>
      <c r="L48" s="1041">
        <v>514</v>
      </c>
      <c r="M48" s="820">
        <f t="shared" si="83"/>
        <v>514</v>
      </c>
      <c r="N48" s="1030">
        <v>518</v>
      </c>
      <c r="O48" s="912">
        <v>525</v>
      </c>
      <c r="P48" s="912">
        <v>530</v>
      </c>
      <c r="Q48" s="1041">
        <v>542</v>
      </c>
      <c r="R48" s="820">
        <f t="shared" si="84"/>
        <v>542</v>
      </c>
      <c r="S48" s="1030">
        <v>546</v>
      </c>
      <c r="T48" s="912">
        <f>S48*(1+T$906)</f>
        <v>555.58648475228802</v>
      </c>
      <c r="U48" s="912">
        <v>563</v>
      </c>
      <c r="V48" s="912">
        <v>569</v>
      </c>
      <c r="W48" s="398">
        <f t="shared" si="85"/>
        <v>569</v>
      </c>
      <c r="X48" s="2787">
        <v>577</v>
      </c>
      <c r="Y48" s="2791">
        <v>586</v>
      </c>
      <c r="Z48" s="2791">
        <v>593</v>
      </c>
      <c r="AA48" s="2791">
        <v>598</v>
      </c>
      <c r="AB48" s="398">
        <f t="shared" si="86"/>
        <v>598</v>
      </c>
      <c r="AC48" s="406">
        <f>AA48*(1+AC$906)</f>
        <v>605.1975307532482</v>
      </c>
      <c r="AD48" s="406">
        <f t="shared" ref="AD48:AD50" si="109">AC48*(1+AD$906)</f>
        <v>620.50746769072418</v>
      </c>
      <c r="AE48" s="3665">
        <v>622</v>
      </c>
      <c r="AF48" s="3665">
        <v>634</v>
      </c>
      <c r="AG48" s="398">
        <f t="shared" si="88"/>
        <v>634</v>
      </c>
      <c r="AH48" s="406">
        <f t="shared" ref="AH48:AH53" si="110">AG48*(1+AH$906)</f>
        <v>641.60800000000006</v>
      </c>
      <c r="AI48" s="406">
        <f t="shared" ref="AI48:AI53" si="111">AH48*(1+AI$906)</f>
        <v>654.44016000000011</v>
      </c>
      <c r="AJ48" s="406">
        <f t="shared" ref="AJ48:AJ53" si="112">AI48*(1+AJ$906)</f>
        <v>667.52896320000013</v>
      </c>
      <c r="AK48" s="820">
        <f t="shared" ref="AK48:AK53" si="113">AJ48*(1+AK$906)</f>
        <v>684.21718728000008</v>
      </c>
      <c r="AL48" s="820">
        <f t="shared" si="93"/>
        <v>684.21718728000008</v>
      </c>
      <c r="AM48" s="398">
        <f t="shared" ref="AM48:AN50" si="114">AL48*(1+AM$905)</f>
        <v>732.11239038960014</v>
      </c>
      <c r="AN48" s="398">
        <f t="shared" si="114"/>
        <v>776.03913381297616</v>
      </c>
      <c r="AO48" s="2398"/>
    </row>
    <row r="49" spans="1:41">
      <c r="A49" s="130" t="str">
        <f>A$17</f>
        <v>Hampton Inn (Upper Mid)</v>
      </c>
      <c r="B49" s="1030">
        <v>1722</v>
      </c>
      <c r="C49" s="508">
        <v>1753</v>
      </c>
      <c r="D49" s="1030">
        <v>1759</v>
      </c>
      <c r="E49" s="912">
        <v>1766</v>
      </c>
      <c r="F49" s="912">
        <v>1775</v>
      </c>
      <c r="G49" s="1041">
        <v>1784</v>
      </c>
      <c r="H49" s="820">
        <f t="shared" si="82"/>
        <v>1784</v>
      </c>
      <c r="I49" s="1030">
        <v>1769</v>
      </c>
      <c r="J49" s="912">
        <v>1786</v>
      </c>
      <c r="K49" s="912">
        <v>1796</v>
      </c>
      <c r="L49" s="1041">
        <v>1803</v>
      </c>
      <c r="M49" s="820">
        <f t="shared" si="83"/>
        <v>1803</v>
      </c>
      <c r="N49" s="1030">
        <v>1806</v>
      </c>
      <c r="O49" s="912">
        <v>1822</v>
      </c>
      <c r="P49" s="912">
        <v>1846</v>
      </c>
      <c r="Q49" s="1041">
        <v>1855</v>
      </c>
      <c r="R49" s="820">
        <f t="shared" si="84"/>
        <v>1855</v>
      </c>
      <c r="S49" s="1030">
        <v>1869</v>
      </c>
      <c r="T49" s="912">
        <v>1889</v>
      </c>
      <c r="U49" s="912">
        <v>1909</v>
      </c>
      <c r="V49" s="912">
        <v>1927</v>
      </c>
      <c r="W49" s="398">
        <f t="shared" si="85"/>
        <v>1927</v>
      </c>
      <c r="X49" s="2787">
        <v>1938</v>
      </c>
      <c r="Y49" s="2791">
        <v>1958</v>
      </c>
      <c r="Z49" s="2791">
        <v>1980</v>
      </c>
      <c r="AA49" s="2791">
        <v>2017</v>
      </c>
      <c r="AB49" s="398">
        <f t="shared" si="86"/>
        <v>2017</v>
      </c>
      <c r="AC49" s="406">
        <f>AA49*(1+AC$906)</f>
        <v>2041.2766212864574</v>
      </c>
      <c r="AD49" s="406">
        <f t="shared" si="109"/>
        <v>2092.9156560738975</v>
      </c>
      <c r="AE49" s="3665">
        <v>2077</v>
      </c>
      <c r="AF49" s="3665">
        <v>2097</v>
      </c>
      <c r="AG49" s="398">
        <f t="shared" si="88"/>
        <v>2097</v>
      </c>
      <c r="AH49" s="406">
        <f t="shared" si="110"/>
        <v>2122.1640000000002</v>
      </c>
      <c r="AI49" s="406">
        <f t="shared" si="111"/>
        <v>2164.6072800000002</v>
      </c>
      <c r="AJ49" s="406">
        <f t="shared" si="112"/>
        <v>2207.8994256000001</v>
      </c>
      <c r="AK49" s="820">
        <f t="shared" si="113"/>
        <v>2263.0969112399998</v>
      </c>
      <c r="AL49" s="820">
        <f t="shared" si="93"/>
        <v>2263.0969112399998</v>
      </c>
      <c r="AM49" s="398">
        <f t="shared" si="114"/>
        <v>2421.5136950268002</v>
      </c>
      <c r="AN49" s="398">
        <f t="shared" si="114"/>
        <v>2566.8045167284085</v>
      </c>
      <c r="AO49" s="2398"/>
    </row>
    <row r="50" spans="1:41">
      <c r="A50" s="130" t="s">
        <v>1408</v>
      </c>
      <c r="B50" s="1030">
        <v>0</v>
      </c>
      <c r="C50" s="508">
        <v>7</v>
      </c>
      <c r="D50" s="1030">
        <v>7</v>
      </c>
      <c r="E50" s="912">
        <v>10</v>
      </c>
      <c r="F50" s="912">
        <v>12</v>
      </c>
      <c r="G50" s="1041">
        <v>13</v>
      </c>
      <c r="H50" s="820">
        <f t="shared" si="82"/>
        <v>13</v>
      </c>
      <c r="I50" s="1030">
        <v>17</v>
      </c>
      <c r="J50" s="912">
        <v>18</v>
      </c>
      <c r="K50" s="912">
        <v>22</v>
      </c>
      <c r="L50" s="1041">
        <v>26</v>
      </c>
      <c r="M50" s="820">
        <f t="shared" si="83"/>
        <v>26</v>
      </c>
      <c r="N50" s="1030">
        <v>29</v>
      </c>
      <c r="O50" s="912">
        <v>33</v>
      </c>
      <c r="P50" s="912">
        <v>39</v>
      </c>
      <c r="Q50" s="1041">
        <v>43</v>
      </c>
      <c r="R50" s="820">
        <f t="shared" si="84"/>
        <v>43</v>
      </c>
      <c r="S50" s="1030">
        <v>46</v>
      </c>
      <c r="T50" s="912">
        <v>55</v>
      </c>
      <c r="U50" s="912">
        <v>66</v>
      </c>
      <c r="V50" s="912">
        <v>71</v>
      </c>
      <c r="W50" s="398">
        <f t="shared" si="85"/>
        <v>71</v>
      </c>
      <c r="X50" s="2787">
        <v>80</v>
      </c>
      <c r="Y50" s="2791">
        <v>90</v>
      </c>
      <c r="Z50" s="2791">
        <v>112</v>
      </c>
      <c r="AA50" s="2791">
        <v>126</v>
      </c>
      <c r="AB50" s="398">
        <f t="shared" si="86"/>
        <v>126</v>
      </c>
      <c r="AC50" s="406">
        <f>AA50*(1+AC$906)</f>
        <v>127.51653658011584</v>
      </c>
      <c r="AD50" s="406">
        <f t="shared" si="109"/>
        <v>130.74237613550378</v>
      </c>
      <c r="AE50" s="3665">
        <v>176</v>
      </c>
      <c r="AF50" s="3665">
        <v>201</v>
      </c>
      <c r="AG50" s="398">
        <f t="shared" si="88"/>
        <v>201</v>
      </c>
      <c r="AH50" s="406">
        <f t="shared" si="110"/>
        <v>203.41200000000001</v>
      </c>
      <c r="AI50" s="406">
        <f t="shared" si="111"/>
        <v>207.48024000000001</v>
      </c>
      <c r="AJ50" s="406">
        <f t="shared" si="112"/>
        <v>211.6298448</v>
      </c>
      <c r="AK50" s="820">
        <f t="shared" si="113"/>
        <v>216.92059092</v>
      </c>
      <c r="AL50" s="820">
        <f t="shared" si="93"/>
        <v>216.92059092</v>
      </c>
      <c r="AM50" s="398">
        <f t="shared" si="114"/>
        <v>232.10503228440001</v>
      </c>
      <c r="AN50" s="398">
        <f t="shared" si="114"/>
        <v>246.03133422146402</v>
      </c>
      <c r="AO50" s="2398"/>
    </row>
    <row r="51" spans="1:41" s="5" customFormat="1">
      <c r="A51" s="1828" t="s">
        <v>3164</v>
      </c>
      <c r="B51" s="1033"/>
      <c r="C51" s="398"/>
      <c r="D51" s="1033"/>
      <c r="E51" s="406"/>
      <c r="F51" s="406"/>
      <c r="G51" s="820"/>
      <c r="H51" s="820"/>
      <c r="I51" s="1033"/>
      <c r="J51" s="406"/>
      <c r="K51" s="406"/>
      <c r="L51" s="820"/>
      <c r="M51" s="820"/>
      <c r="N51" s="1033"/>
      <c r="O51" s="401"/>
      <c r="P51" s="401"/>
      <c r="Q51" s="820"/>
      <c r="R51" s="398"/>
      <c r="S51" s="401"/>
      <c r="T51" s="401"/>
      <c r="U51" s="401"/>
      <c r="V51" s="820"/>
      <c r="W51" s="398"/>
      <c r="X51" s="1033"/>
      <c r="Y51" s="406"/>
      <c r="Z51" s="406"/>
      <c r="AA51" s="406"/>
      <c r="AB51" s="398"/>
      <c r="AC51" s="406">
        <f t="shared" ref="AC51:AC52" si="115">AA51*(1+AC$906)</f>
        <v>0</v>
      </c>
      <c r="AD51" s="3665">
        <v>3</v>
      </c>
      <c r="AE51" s="3665">
        <v>5</v>
      </c>
      <c r="AF51" s="3665">
        <v>9</v>
      </c>
      <c r="AG51" s="398">
        <f t="shared" ref="AG51:AG52" si="116">AF51</f>
        <v>9</v>
      </c>
      <c r="AH51" s="406">
        <f t="shared" si="110"/>
        <v>9.1080000000000005</v>
      </c>
      <c r="AI51" s="406">
        <f t="shared" si="111"/>
        <v>9.2901600000000002</v>
      </c>
      <c r="AJ51" s="406">
        <f t="shared" si="112"/>
        <v>9.4759632000000007</v>
      </c>
      <c r="AK51" s="820">
        <f t="shared" si="113"/>
        <v>9.7128622799999995</v>
      </c>
      <c r="AL51" s="820">
        <f t="shared" si="93"/>
        <v>9.7128622799999995</v>
      </c>
      <c r="AM51" s="398">
        <f t="shared" ref="AM51:AN51" si="117">AL51*(1+AM$905)</f>
        <v>10.392762639600001</v>
      </c>
      <c r="AN51" s="398">
        <f t="shared" si="117"/>
        <v>11.016328397976002</v>
      </c>
    </row>
    <row r="52" spans="1:41" s="5" customFormat="1">
      <c r="A52" s="1828" t="s">
        <v>3165</v>
      </c>
      <c r="B52" s="1033"/>
      <c r="C52" s="398"/>
      <c r="D52" s="1033"/>
      <c r="E52" s="406"/>
      <c r="F52" s="406"/>
      <c r="G52" s="820"/>
      <c r="H52" s="820"/>
      <c r="I52" s="1033"/>
      <c r="J52" s="406"/>
      <c r="K52" s="406"/>
      <c r="L52" s="820"/>
      <c r="M52" s="820"/>
      <c r="N52" s="1033"/>
      <c r="O52" s="401"/>
      <c r="P52" s="401"/>
      <c r="Q52" s="820"/>
      <c r="R52" s="398"/>
      <c r="S52" s="401"/>
      <c r="T52" s="401"/>
      <c r="U52" s="401"/>
      <c r="V52" s="820"/>
      <c r="W52" s="398"/>
      <c r="X52" s="1033"/>
      <c r="Y52" s="406"/>
      <c r="Z52" s="406"/>
      <c r="AA52" s="406"/>
      <c r="AB52" s="398"/>
      <c r="AC52" s="406">
        <f t="shared" si="115"/>
        <v>0</v>
      </c>
      <c r="AD52" s="3665">
        <v>1</v>
      </c>
      <c r="AE52" s="3665">
        <v>1</v>
      </c>
      <c r="AF52" s="3665">
        <v>1</v>
      </c>
      <c r="AG52" s="398">
        <f t="shared" si="116"/>
        <v>1</v>
      </c>
      <c r="AH52" s="406">
        <f t="shared" si="110"/>
        <v>1.012</v>
      </c>
      <c r="AI52" s="406">
        <f t="shared" si="111"/>
        <v>1.03224</v>
      </c>
      <c r="AJ52" s="406">
        <f t="shared" si="112"/>
        <v>1.0528848000000002</v>
      </c>
      <c r="AK52" s="820">
        <f t="shared" si="113"/>
        <v>1.0792069200000001</v>
      </c>
      <c r="AL52" s="820">
        <f t="shared" si="93"/>
        <v>1.0792069200000001</v>
      </c>
      <c r="AM52" s="398">
        <f t="shared" ref="AM52:AN52" si="118">AL52*(1+AM$905)</f>
        <v>1.1547514044000002</v>
      </c>
      <c r="AN52" s="398">
        <f t="shared" si="118"/>
        <v>1.2240364886640003</v>
      </c>
    </row>
    <row r="53" spans="1:41" s="5" customFormat="1" ht="15" collapsed="1">
      <c r="A53" s="402" t="str">
        <f>A$21</f>
        <v>Homewood Suites by Hilton (Upscale)</v>
      </c>
      <c r="B53" s="1031">
        <v>250</v>
      </c>
      <c r="C53" s="1029">
        <v>256</v>
      </c>
      <c r="D53" s="1031">
        <v>257</v>
      </c>
      <c r="E53" s="1039">
        <v>264</v>
      </c>
      <c r="F53" s="1039">
        <v>270</v>
      </c>
      <c r="G53" s="1042">
        <v>272</v>
      </c>
      <c r="H53" s="700">
        <f t="shared" si="82"/>
        <v>272</v>
      </c>
      <c r="I53" s="1031">
        <v>272</v>
      </c>
      <c r="J53" s="1039">
        <v>277</v>
      </c>
      <c r="K53" s="1039">
        <v>280</v>
      </c>
      <c r="L53" s="1042">
        <v>284</v>
      </c>
      <c r="M53" s="700">
        <f t="shared" si="83"/>
        <v>284</v>
      </c>
      <c r="N53" s="1031">
        <v>288</v>
      </c>
      <c r="O53" s="1039">
        <v>293</v>
      </c>
      <c r="P53" s="1039">
        <v>305</v>
      </c>
      <c r="Q53" s="1042">
        <v>314</v>
      </c>
      <c r="R53" s="1711">
        <f t="shared" si="84"/>
        <v>314</v>
      </c>
      <c r="S53" s="1031">
        <v>320</v>
      </c>
      <c r="T53" s="1039">
        <v>326</v>
      </c>
      <c r="U53" s="1039">
        <v>335</v>
      </c>
      <c r="V53" s="1039">
        <v>345</v>
      </c>
      <c r="W53" s="1713">
        <f t="shared" si="85"/>
        <v>345</v>
      </c>
      <c r="X53" s="2789">
        <v>352</v>
      </c>
      <c r="Y53" s="2793">
        <v>357</v>
      </c>
      <c r="Z53" s="2793">
        <v>367</v>
      </c>
      <c r="AA53" s="2793">
        <v>375</v>
      </c>
      <c r="AB53" s="1713">
        <f t="shared" si="86"/>
        <v>375</v>
      </c>
      <c r="AC53" s="1712">
        <f>AA53*(1+AC$906)</f>
        <v>379.5135017265352</v>
      </c>
      <c r="AD53" s="1712">
        <f>AC53*(1+AD$906)</f>
        <v>389.11421468899925</v>
      </c>
      <c r="AE53" s="4001">
        <v>400</v>
      </c>
      <c r="AF53" s="4001">
        <v>410</v>
      </c>
      <c r="AG53" s="1713">
        <f t="shared" si="88"/>
        <v>410</v>
      </c>
      <c r="AH53" s="1712">
        <f t="shared" si="110"/>
        <v>414.92</v>
      </c>
      <c r="AI53" s="1712">
        <f t="shared" si="111"/>
        <v>423.21840000000003</v>
      </c>
      <c r="AJ53" s="1712">
        <f t="shared" si="112"/>
        <v>431.68276800000007</v>
      </c>
      <c r="AK53" s="1711">
        <f t="shared" si="113"/>
        <v>442.47483720000002</v>
      </c>
      <c r="AL53" s="1711">
        <f t="shared" si="93"/>
        <v>442.47483720000002</v>
      </c>
      <c r="AM53" s="1711">
        <f>AL53*(1+AM$905)</f>
        <v>473.44807580400004</v>
      </c>
      <c r="AN53" s="1711">
        <f>AM53*(1+AN$905)</f>
        <v>501.85496035224008</v>
      </c>
      <c r="AO53" s="2399"/>
    </row>
    <row r="54" spans="1:41">
      <c r="A54" s="482" t="s">
        <v>1687</v>
      </c>
      <c r="B54" s="1032">
        <f t="shared" ref="B54:AN54" si="119">SUM(B41:B53)</f>
        <v>2933</v>
      </c>
      <c r="C54" s="400">
        <f t="shared" si="119"/>
        <v>3019</v>
      </c>
      <c r="D54" s="1032">
        <f t="shared" si="119"/>
        <v>3032</v>
      </c>
      <c r="E54" s="405">
        <f t="shared" si="119"/>
        <v>3059</v>
      </c>
      <c r="F54" s="405">
        <f t="shared" si="119"/>
        <v>3084</v>
      </c>
      <c r="G54" s="821">
        <f t="shared" si="119"/>
        <v>3109</v>
      </c>
      <c r="H54" s="821">
        <f t="shared" si="119"/>
        <v>3109</v>
      </c>
      <c r="I54" s="1032">
        <f t="shared" si="119"/>
        <v>3107</v>
      </c>
      <c r="J54" s="405">
        <f t="shared" si="119"/>
        <v>3147</v>
      </c>
      <c r="K54" s="405">
        <f t="shared" si="119"/>
        <v>3173</v>
      </c>
      <c r="L54" s="821">
        <f t="shared" si="119"/>
        <v>3196</v>
      </c>
      <c r="M54" s="821">
        <f t="shared" si="119"/>
        <v>3196</v>
      </c>
      <c r="N54" s="1032">
        <f t="shared" si="119"/>
        <v>3217</v>
      </c>
      <c r="O54" s="405">
        <f t="shared" si="119"/>
        <v>3250</v>
      </c>
      <c r="P54" s="405">
        <f t="shared" si="119"/>
        <v>3303</v>
      </c>
      <c r="Q54" s="821">
        <f t="shared" si="119"/>
        <v>3343</v>
      </c>
      <c r="R54" s="821">
        <f t="shared" si="119"/>
        <v>3343</v>
      </c>
      <c r="S54" s="1032">
        <f t="shared" si="119"/>
        <v>3379</v>
      </c>
      <c r="T54" s="405">
        <f t="shared" si="119"/>
        <v>3438.586484752288</v>
      </c>
      <c r="U54" s="405">
        <f t="shared" si="119"/>
        <v>3495</v>
      </c>
      <c r="V54" s="405">
        <f t="shared" si="119"/>
        <v>3544</v>
      </c>
      <c r="W54" s="400">
        <f t="shared" si="119"/>
        <v>3544</v>
      </c>
      <c r="X54" s="1032">
        <f t="shared" si="119"/>
        <v>3591</v>
      </c>
      <c r="Y54" s="405">
        <f t="shared" si="119"/>
        <v>3642</v>
      </c>
      <c r="Z54" s="405">
        <f t="shared" si="119"/>
        <v>3712</v>
      </c>
      <c r="AA54" s="405">
        <f t="shared" si="119"/>
        <v>3787</v>
      </c>
      <c r="AB54" s="400">
        <f t="shared" si="119"/>
        <v>3787</v>
      </c>
      <c r="AC54" s="405">
        <f t="shared" si="119"/>
        <v>3832.5665956769394</v>
      </c>
      <c r="AD54" s="405">
        <f t="shared" si="119"/>
        <v>3928.3800773761136</v>
      </c>
      <c r="AE54" s="405">
        <f t="shared" si="119"/>
        <v>3973</v>
      </c>
      <c r="AF54" s="405">
        <f t="shared" si="119"/>
        <v>4052</v>
      </c>
      <c r="AG54" s="400">
        <f t="shared" si="119"/>
        <v>4052</v>
      </c>
      <c r="AH54" s="405">
        <f t="shared" ref="AH54:AK54" si="120">SUM(AH41:AH53)</f>
        <v>4099.8160000000007</v>
      </c>
      <c r="AI54" s="405">
        <f t="shared" si="120"/>
        <v>4179.1794500000005</v>
      </c>
      <c r="AJ54" s="405">
        <f t="shared" si="120"/>
        <v>4260.7060053499999</v>
      </c>
      <c r="AK54" s="821">
        <f t="shared" si="120"/>
        <v>4363.0634771742498</v>
      </c>
      <c r="AL54" s="400">
        <f t="shared" ref="AL54" si="121">SUM(AL41:AL53)</f>
        <v>4363.0634771742498</v>
      </c>
      <c r="AM54" s="821">
        <f t="shared" si="119"/>
        <v>4662.1121116002332</v>
      </c>
      <c r="AN54" s="821">
        <f t="shared" si="119"/>
        <v>4932.9227336697077</v>
      </c>
    </row>
    <row r="55" spans="1:41">
      <c r="A55" s="130"/>
      <c r="B55" s="1033"/>
      <c r="C55" s="398"/>
      <c r="D55" s="1033"/>
      <c r="E55" s="406"/>
      <c r="F55" s="406"/>
      <c r="G55" s="820"/>
      <c r="H55" s="820"/>
      <c r="I55" s="1033"/>
      <c r="J55" s="406"/>
      <c r="K55" s="406"/>
      <c r="L55" s="820"/>
      <c r="M55" s="820"/>
      <c r="N55" s="401"/>
      <c r="O55" s="401"/>
      <c r="P55" s="401"/>
      <c r="Q55" s="820"/>
      <c r="R55" s="398"/>
      <c r="S55" s="406"/>
      <c r="T55" s="406"/>
      <c r="U55" s="406"/>
      <c r="V55" s="820"/>
      <c r="W55" s="820"/>
      <c r="X55" s="1033"/>
      <c r="Y55" s="406"/>
      <c r="Z55" s="406"/>
      <c r="AA55" s="406"/>
      <c r="AB55" s="398"/>
      <c r="AC55" s="406"/>
      <c r="AD55" s="406"/>
      <c r="AE55" s="406"/>
      <c r="AF55" s="820"/>
      <c r="AG55" s="820"/>
      <c r="AH55" s="406"/>
      <c r="AI55" s="406"/>
      <c r="AJ55" s="406"/>
      <c r="AK55" s="820"/>
      <c r="AL55" s="820"/>
      <c r="AM55" s="820"/>
      <c r="AN55" s="820"/>
    </row>
    <row r="56" spans="1:41">
      <c r="A56" s="295" t="s">
        <v>1396</v>
      </c>
      <c r="B56" s="1033"/>
      <c r="C56" s="398"/>
      <c r="D56" s="1033"/>
      <c r="E56" s="406"/>
      <c r="F56" s="406"/>
      <c r="G56" s="820"/>
      <c r="H56" s="820"/>
      <c r="I56" s="1033"/>
      <c r="J56" s="406"/>
      <c r="K56" s="406"/>
      <c r="L56" s="820"/>
      <c r="M56" s="820"/>
      <c r="N56" s="401"/>
      <c r="O56" s="401"/>
      <c r="P56" s="401"/>
      <c r="Q56" s="820"/>
      <c r="R56" s="398"/>
      <c r="S56" s="406"/>
      <c r="T56" s="406"/>
      <c r="U56" s="406"/>
      <c r="V56" s="820"/>
      <c r="W56" s="820"/>
      <c r="X56" s="1033"/>
      <c r="Y56" s="406"/>
      <c r="Z56" s="406"/>
      <c r="AA56" s="406"/>
      <c r="AB56" s="398"/>
      <c r="AC56" s="406"/>
      <c r="AD56" s="406"/>
      <c r="AE56" s="406"/>
      <c r="AF56" s="820"/>
      <c r="AG56" s="820"/>
      <c r="AH56" s="406"/>
      <c r="AI56" s="406"/>
      <c r="AJ56" s="406"/>
      <c r="AK56" s="820"/>
      <c r="AL56" s="820"/>
      <c r="AM56" s="820"/>
      <c r="AN56" s="820"/>
    </row>
    <row r="57" spans="1:41">
      <c r="A57" s="130" t="str">
        <f>A$9</f>
        <v>Waldorf Astoria Hotels &amp; Resorts (Luxury)</v>
      </c>
      <c r="B57" s="1033">
        <f t="shared" ref="B57:AB57" si="122">B41+B25+B9</f>
        <v>14</v>
      </c>
      <c r="C57" s="398">
        <f t="shared" si="122"/>
        <v>14</v>
      </c>
      <c r="D57" s="1033">
        <f t="shared" si="122"/>
        <v>15</v>
      </c>
      <c r="E57" s="406">
        <f t="shared" si="122"/>
        <v>15</v>
      </c>
      <c r="F57" s="406">
        <f t="shared" si="122"/>
        <v>15</v>
      </c>
      <c r="G57" s="820">
        <f t="shared" si="122"/>
        <v>15</v>
      </c>
      <c r="H57" s="820">
        <f t="shared" si="122"/>
        <v>15</v>
      </c>
      <c r="I57" s="1033">
        <f t="shared" si="122"/>
        <v>15</v>
      </c>
      <c r="J57" s="406">
        <f t="shared" si="122"/>
        <v>15</v>
      </c>
      <c r="K57" s="406">
        <f t="shared" si="122"/>
        <v>15</v>
      </c>
      <c r="L57" s="820">
        <f t="shared" si="122"/>
        <v>14</v>
      </c>
      <c r="M57" s="820">
        <f t="shared" si="122"/>
        <v>14</v>
      </c>
      <c r="N57" s="1033">
        <f t="shared" si="122"/>
        <v>14</v>
      </c>
      <c r="O57" s="401">
        <f t="shared" si="122"/>
        <v>14</v>
      </c>
      <c r="P57" s="401">
        <f t="shared" si="122"/>
        <v>13</v>
      </c>
      <c r="Q57" s="820">
        <f t="shared" si="122"/>
        <v>13</v>
      </c>
      <c r="R57" s="398">
        <f t="shared" si="122"/>
        <v>13</v>
      </c>
      <c r="S57" s="401">
        <f t="shared" si="122"/>
        <v>13</v>
      </c>
      <c r="T57" s="401">
        <f t="shared" si="122"/>
        <v>12</v>
      </c>
      <c r="U57" s="401">
        <f t="shared" si="122"/>
        <v>12</v>
      </c>
      <c r="V57" s="820">
        <f t="shared" si="122"/>
        <v>12</v>
      </c>
      <c r="W57" s="398">
        <f t="shared" si="122"/>
        <v>12</v>
      </c>
      <c r="X57" s="1033">
        <f t="shared" si="122"/>
        <v>12</v>
      </c>
      <c r="Y57" s="406">
        <f t="shared" si="122"/>
        <v>13</v>
      </c>
      <c r="Z57" s="406">
        <f t="shared" si="122"/>
        <v>13</v>
      </c>
      <c r="AA57" s="406">
        <f t="shared" si="122"/>
        <v>13</v>
      </c>
      <c r="AB57" s="398">
        <f t="shared" si="122"/>
        <v>13</v>
      </c>
      <c r="AC57" s="3665">
        <v>12</v>
      </c>
      <c r="AD57" s="3665">
        <v>13</v>
      </c>
      <c r="AE57" s="406">
        <f t="shared" ref="AE57" si="123">AE41+AE25+AE9</f>
        <v>13</v>
      </c>
      <c r="AF57" s="820">
        <f t="shared" ref="AF57:AN58" si="124">AF41+AF25+AF9</f>
        <v>13</v>
      </c>
      <c r="AG57" s="398">
        <f t="shared" si="124"/>
        <v>13</v>
      </c>
      <c r="AH57" s="406">
        <f t="shared" ref="AH57:AL57" si="125">AH41+AH25+AH9</f>
        <v>13.120000000000001</v>
      </c>
      <c r="AI57" s="406">
        <f t="shared" si="125"/>
        <v>13.241200000000001</v>
      </c>
      <c r="AJ57" s="406">
        <f t="shared" si="125"/>
        <v>13.357491400000002</v>
      </c>
      <c r="AK57" s="820">
        <f t="shared" si="125"/>
        <v>13.481066314000003</v>
      </c>
      <c r="AL57" s="398">
        <f t="shared" si="125"/>
        <v>13.481066314000003</v>
      </c>
      <c r="AM57" s="398">
        <f t="shared" si="124"/>
        <v>13.980308966560004</v>
      </c>
      <c r="AN57" s="398">
        <f t="shared" si="124"/>
        <v>14.239915145891205</v>
      </c>
    </row>
    <row r="58" spans="1:41">
      <c r="A58" s="130" t="str">
        <f>A$10</f>
        <v>Conrad Hotels &amp; Resorts (Luxury)</v>
      </c>
      <c r="B58" s="1033">
        <f t="shared" ref="B58:AB58" si="126">B42+B26+B10</f>
        <v>3</v>
      </c>
      <c r="C58" s="398">
        <f t="shared" si="126"/>
        <v>3</v>
      </c>
      <c r="D58" s="1033">
        <f t="shared" si="126"/>
        <v>4</v>
      </c>
      <c r="E58" s="406">
        <f t="shared" si="126"/>
        <v>4</v>
      </c>
      <c r="F58" s="406">
        <f t="shared" si="126"/>
        <v>4</v>
      </c>
      <c r="G58" s="820">
        <f t="shared" si="126"/>
        <v>4</v>
      </c>
      <c r="H58" s="820">
        <f t="shared" si="126"/>
        <v>4</v>
      </c>
      <c r="I58" s="1033">
        <f t="shared" si="126"/>
        <v>4</v>
      </c>
      <c r="J58" s="406">
        <f t="shared" si="126"/>
        <v>4</v>
      </c>
      <c r="K58" s="406">
        <f t="shared" si="126"/>
        <v>4</v>
      </c>
      <c r="L58" s="820">
        <f t="shared" si="126"/>
        <v>4</v>
      </c>
      <c r="M58" s="820">
        <f t="shared" si="126"/>
        <v>4</v>
      </c>
      <c r="N58" s="1033">
        <f t="shared" si="126"/>
        <v>4</v>
      </c>
      <c r="O58" s="401">
        <f t="shared" si="126"/>
        <v>4</v>
      </c>
      <c r="P58" s="401">
        <f t="shared" si="126"/>
        <v>4</v>
      </c>
      <c r="Q58" s="820">
        <f t="shared" si="126"/>
        <v>4</v>
      </c>
      <c r="R58" s="398">
        <f t="shared" si="126"/>
        <v>4</v>
      </c>
      <c r="S58" s="401">
        <f t="shared" si="126"/>
        <v>4</v>
      </c>
      <c r="T58" s="401">
        <f t="shared" si="126"/>
        <v>4</v>
      </c>
      <c r="U58" s="401">
        <f t="shared" si="126"/>
        <v>3</v>
      </c>
      <c r="V58" s="820">
        <f t="shared" si="126"/>
        <v>3</v>
      </c>
      <c r="W58" s="398">
        <f t="shared" si="126"/>
        <v>3</v>
      </c>
      <c r="X58" s="1033">
        <f t="shared" si="126"/>
        <v>3</v>
      </c>
      <c r="Y58" s="406">
        <f t="shared" si="126"/>
        <v>3</v>
      </c>
      <c r="Z58" s="406">
        <f t="shared" si="126"/>
        <v>3</v>
      </c>
      <c r="AA58" s="406">
        <f t="shared" si="126"/>
        <v>4</v>
      </c>
      <c r="AB58" s="398">
        <f t="shared" si="126"/>
        <v>4</v>
      </c>
      <c r="AC58" s="3665">
        <v>4</v>
      </c>
      <c r="AD58" s="3665">
        <v>4</v>
      </c>
      <c r="AE58" s="406">
        <f t="shared" ref="AE58:AE59" si="127">AE42+AE26+AE10</f>
        <v>5</v>
      </c>
      <c r="AF58" s="820">
        <f t="shared" si="124"/>
        <v>5</v>
      </c>
      <c r="AG58" s="398">
        <f t="shared" si="124"/>
        <v>5</v>
      </c>
      <c r="AH58" s="406">
        <f t="shared" ref="AH58:AL58" si="128">AH42+AH26+AH10</f>
        <v>5.04</v>
      </c>
      <c r="AI58" s="406">
        <f t="shared" si="128"/>
        <v>5.0804</v>
      </c>
      <c r="AJ58" s="406">
        <f t="shared" si="128"/>
        <v>5.1191637999999999</v>
      </c>
      <c r="AK58" s="820">
        <f t="shared" si="128"/>
        <v>5.1603554379999999</v>
      </c>
      <c r="AL58" s="398">
        <f t="shared" si="128"/>
        <v>5.1603554379999999</v>
      </c>
      <c r="AM58" s="398">
        <f t="shared" si="124"/>
        <v>5.3267696555199997</v>
      </c>
      <c r="AN58" s="398">
        <f t="shared" si="124"/>
        <v>5.4133050486303995</v>
      </c>
    </row>
    <row r="59" spans="1:41">
      <c r="A59" s="1828" t="s">
        <v>3022</v>
      </c>
      <c r="B59" s="1030"/>
      <c r="C59" s="508"/>
      <c r="D59" s="1030"/>
      <c r="E59" s="912"/>
      <c r="F59" s="912"/>
      <c r="G59" s="1041"/>
      <c r="H59" s="820"/>
      <c r="I59" s="1030"/>
      <c r="J59" s="912"/>
      <c r="K59" s="912"/>
      <c r="L59" s="1041"/>
      <c r="M59" s="820"/>
      <c r="N59" s="1030"/>
      <c r="O59" s="912"/>
      <c r="P59" s="912"/>
      <c r="Q59" s="1041"/>
      <c r="R59" s="820"/>
      <c r="S59" s="1030"/>
      <c r="T59" s="912"/>
      <c r="U59" s="912"/>
      <c r="V59" s="912"/>
      <c r="W59" s="398"/>
      <c r="X59" s="2787"/>
      <c r="Y59" s="2791"/>
      <c r="Z59" s="2791"/>
      <c r="AA59" s="2791">
        <v>0</v>
      </c>
      <c r="AB59" s="398">
        <f t="shared" ref="AB59:AG59" si="129">+AA59</f>
        <v>0</v>
      </c>
      <c r="AC59" s="3665">
        <v>0</v>
      </c>
      <c r="AD59" s="3665">
        <v>0</v>
      </c>
      <c r="AE59" s="406">
        <f t="shared" si="127"/>
        <v>0</v>
      </c>
      <c r="AF59" s="820">
        <f t="shared" si="129"/>
        <v>0</v>
      </c>
      <c r="AG59" s="398">
        <f t="shared" si="129"/>
        <v>0</v>
      </c>
      <c r="AH59" s="406">
        <f t="shared" ref="AH59" si="130">+AG59</f>
        <v>0</v>
      </c>
      <c r="AI59" s="406">
        <f t="shared" ref="AI59" si="131">+AH59</f>
        <v>0</v>
      </c>
      <c r="AJ59" s="406">
        <f t="shared" ref="AJ59" si="132">+AI59</f>
        <v>0</v>
      </c>
      <c r="AK59" s="820">
        <f t="shared" ref="AK59:AL59" si="133">+AJ59</f>
        <v>0</v>
      </c>
      <c r="AL59" s="398">
        <f t="shared" si="133"/>
        <v>0</v>
      </c>
      <c r="AM59" s="398">
        <f>AL59</f>
        <v>0</v>
      </c>
      <c r="AN59" s="398">
        <f>AM59</f>
        <v>0</v>
      </c>
    </row>
    <row r="60" spans="1:41">
      <c r="A60" s="130" t="str">
        <f>A$12</f>
        <v>Hilton Hotels &amp; Resorts (Upper Up)</v>
      </c>
      <c r="B60" s="1033">
        <f t="shared" ref="B60:AB60" si="134">B44+B28+B12</f>
        <v>256</v>
      </c>
      <c r="C60" s="398">
        <f t="shared" si="134"/>
        <v>254</v>
      </c>
      <c r="D60" s="1033">
        <f t="shared" si="134"/>
        <v>253</v>
      </c>
      <c r="E60" s="406">
        <f t="shared" si="134"/>
        <v>252</v>
      </c>
      <c r="F60" s="406">
        <f t="shared" si="134"/>
        <v>251</v>
      </c>
      <c r="G60" s="820">
        <f t="shared" si="134"/>
        <v>247</v>
      </c>
      <c r="H60" s="820">
        <f t="shared" si="134"/>
        <v>247</v>
      </c>
      <c r="I60" s="1033">
        <f t="shared" si="134"/>
        <v>246</v>
      </c>
      <c r="J60" s="406">
        <f t="shared" si="134"/>
        <v>247</v>
      </c>
      <c r="K60" s="406">
        <f t="shared" si="134"/>
        <v>247</v>
      </c>
      <c r="L60" s="820">
        <f t="shared" si="134"/>
        <v>246</v>
      </c>
      <c r="M60" s="820">
        <f t="shared" si="134"/>
        <v>246</v>
      </c>
      <c r="N60" s="1033">
        <f t="shared" si="134"/>
        <v>244</v>
      </c>
      <c r="O60" s="401">
        <f t="shared" si="134"/>
        <v>240</v>
      </c>
      <c r="P60" s="401">
        <f t="shared" si="134"/>
        <v>240</v>
      </c>
      <c r="Q60" s="820">
        <f t="shared" si="134"/>
        <v>239</v>
      </c>
      <c r="R60" s="398">
        <f t="shared" si="134"/>
        <v>239</v>
      </c>
      <c r="S60" s="401">
        <f t="shared" si="134"/>
        <v>239</v>
      </c>
      <c r="T60" s="401">
        <f t="shared" si="134"/>
        <v>238</v>
      </c>
      <c r="U60" s="401">
        <f t="shared" si="134"/>
        <v>238</v>
      </c>
      <c r="V60" s="820">
        <f t="shared" si="134"/>
        <v>238</v>
      </c>
      <c r="W60" s="398">
        <f t="shared" si="134"/>
        <v>238</v>
      </c>
      <c r="X60" s="1033">
        <f t="shared" si="134"/>
        <v>239</v>
      </c>
      <c r="Y60" s="406">
        <f t="shared" si="134"/>
        <v>240</v>
      </c>
      <c r="Z60" s="406">
        <f t="shared" si="134"/>
        <v>240</v>
      </c>
      <c r="AA60" s="406">
        <f t="shared" si="134"/>
        <v>241</v>
      </c>
      <c r="AB60" s="398">
        <f t="shared" si="134"/>
        <v>241</v>
      </c>
      <c r="AC60" s="3665">
        <v>242</v>
      </c>
      <c r="AD60" s="3665">
        <v>243</v>
      </c>
      <c r="AE60" s="406">
        <f t="shared" ref="AE60" si="135">AE44+AE28+AE12</f>
        <v>244</v>
      </c>
      <c r="AF60" s="820">
        <f t="shared" ref="AF60:AN66" si="136">AF44+AF28+AF12</f>
        <v>244</v>
      </c>
      <c r="AG60" s="398">
        <f t="shared" si="136"/>
        <v>244</v>
      </c>
      <c r="AH60" s="406">
        <f t="shared" ref="AH60:AL60" si="137">AH44+AH28+AH12</f>
        <v>246.76499999999999</v>
      </c>
      <c r="AI60" s="406">
        <f t="shared" si="137"/>
        <v>250.13591250000002</v>
      </c>
      <c r="AJ60" s="406">
        <f t="shared" si="137"/>
        <v>253.55342494999996</v>
      </c>
      <c r="AK60" s="820">
        <f t="shared" si="137"/>
        <v>257.01885482437496</v>
      </c>
      <c r="AL60" s="398">
        <f t="shared" si="137"/>
        <v>257.01885482437496</v>
      </c>
      <c r="AM60" s="398">
        <f t="shared" si="136"/>
        <v>270.81364162484181</v>
      </c>
      <c r="AN60" s="398">
        <f t="shared" si="136"/>
        <v>280.92956183860065</v>
      </c>
    </row>
    <row r="61" spans="1:41">
      <c r="A61" s="130" t="str">
        <f>A$13</f>
        <v xml:space="preserve">Curio - A Collection by Hilton </v>
      </c>
      <c r="B61" s="1033"/>
      <c r="C61" s="398"/>
      <c r="D61" s="1033"/>
      <c r="E61" s="406"/>
      <c r="F61" s="406"/>
      <c r="G61" s="820"/>
      <c r="H61" s="820"/>
      <c r="I61" s="1033"/>
      <c r="J61" s="406"/>
      <c r="K61" s="406"/>
      <c r="L61" s="820"/>
      <c r="M61" s="820"/>
      <c r="N61" s="1033">
        <f t="shared" ref="N61:AB61" si="138">N45+N29+N13</f>
        <v>0</v>
      </c>
      <c r="O61" s="401">
        <f t="shared" si="138"/>
        <v>0</v>
      </c>
      <c r="P61" s="401">
        <f t="shared" si="138"/>
        <v>2</v>
      </c>
      <c r="Q61" s="820">
        <f t="shared" si="138"/>
        <v>5</v>
      </c>
      <c r="R61" s="398">
        <f t="shared" si="138"/>
        <v>5</v>
      </c>
      <c r="S61" s="401">
        <f t="shared" si="138"/>
        <v>5</v>
      </c>
      <c r="T61" s="401">
        <f t="shared" si="138"/>
        <v>9</v>
      </c>
      <c r="U61" s="401">
        <f t="shared" si="138"/>
        <v>11</v>
      </c>
      <c r="V61" s="820">
        <f t="shared" si="138"/>
        <v>14</v>
      </c>
      <c r="W61" s="398">
        <f t="shared" si="138"/>
        <v>14</v>
      </c>
      <c r="X61" s="1033">
        <f t="shared" si="138"/>
        <v>17</v>
      </c>
      <c r="Y61" s="406">
        <f t="shared" si="138"/>
        <v>19</v>
      </c>
      <c r="Z61" s="406">
        <f t="shared" si="138"/>
        <v>21</v>
      </c>
      <c r="AA61" s="406">
        <f t="shared" si="138"/>
        <v>24</v>
      </c>
      <c r="AB61" s="398">
        <f t="shared" si="138"/>
        <v>24</v>
      </c>
      <c r="AC61" s="3665">
        <v>26</v>
      </c>
      <c r="AD61" s="3665">
        <v>28</v>
      </c>
      <c r="AE61" s="406">
        <f t="shared" ref="AE61" si="139">AE45+AE29+AE13</f>
        <v>29</v>
      </c>
      <c r="AF61" s="820">
        <f t="shared" si="136"/>
        <v>30</v>
      </c>
      <c r="AG61" s="398">
        <f t="shared" si="136"/>
        <v>30</v>
      </c>
      <c r="AH61" s="406">
        <f t="shared" ref="AH61:AL61" si="140">AH45+AH29+AH13</f>
        <v>30.3</v>
      </c>
      <c r="AI61" s="406">
        <f t="shared" si="140"/>
        <v>30.709050000000005</v>
      </c>
      <c r="AJ61" s="406">
        <f t="shared" si="140"/>
        <v>31.169685749999999</v>
      </c>
      <c r="AK61" s="820">
        <f t="shared" si="140"/>
        <v>31.63723103625</v>
      </c>
      <c r="AL61" s="398">
        <f t="shared" si="140"/>
        <v>31.63723103625</v>
      </c>
      <c r="AM61" s="398">
        <f t="shared" si="136"/>
        <v>33.37727874324375</v>
      </c>
      <c r="AN61" s="398">
        <f t="shared" si="136"/>
        <v>34.712369892973499</v>
      </c>
    </row>
    <row r="62" spans="1:41">
      <c r="A62" s="130" t="str">
        <f>A$14</f>
        <v>DoubleTree by Hilton (Upscale)</v>
      </c>
      <c r="B62" s="1033">
        <f t="shared" ref="B62:M62" si="141">B46+B30+B14</f>
        <v>213</v>
      </c>
      <c r="C62" s="398">
        <f t="shared" si="141"/>
        <v>228</v>
      </c>
      <c r="D62" s="1033">
        <f t="shared" si="141"/>
        <v>237</v>
      </c>
      <c r="E62" s="406">
        <f t="shared" si="141"/>
        <v>241</v>
      </c>
      <c r="F62" s="406">
        <f t="shared" si="141"/>
        <v>246</v>
      </c>
      <c r="G62" s="820">
        <f t="shared" si="141"/>
        <v>255</v>
      </c>
      <c r="H62" s="820">
        <f t="shared" si="141"/>
        <v>255</v>
      </c>
      <c r="I62" s="1033">
        <f t="shared" si="141"/>
        <v>261</v>
      </c>
      <c r="J62" s="406">
        <f t="shared" si="141"/>
        <v>269</v>
      </c>
      <c r="K62" s="406">
        <f t="shared" si="141"/>
        <v>275</v>
      </c>
      <c r="L62" s="820">
        <f t="shared" si="141"/>
        <v>277</v>
      </c>
      <c r="M62" s="820">
        <f t="shared" si="141"/>
        <v>277</v>
      </c>
      <c r="N62" s="1033">
        <f t="shared" ref="N62:AB62" si="142">N46+N30+N14</f>
        <v>282</v>
      </c>
      <c r="O62" s="401">
        <f t="shared" si="142"/>
        <v>283</v>
      </c>
      <c r="P62" s="401">
        <f t="shared" si="142"/>
        <v>287</v>
      </c>
      <c r="Q62" s="820">
        <f t="shared" si="142"/>
        <v>292</v>
      </c>
      <c r="R62" s="398">
        <f t="shared" si="142"/>
        <v>292</v>
      </c>
      <c r="S62" s="401">
        <f t="shared" si="142"/>
        <v>296</v>
      </c>
      <c r="T62" s="401">
        <f t="shared" si="142"/>
        <v>303</v>
      </c>
      <c r="U62" s="401">
        <f t="shared" si="142"/>
        <v>308</v>
      </c>
      <c r="V62" s="820">
        <f t="shared" si="142"/>
        <v>313</v>
      </c>
      <c r="W62" s="398">
        <f t="shared" si="142"/>
        <v>313</v>
      </c>
      <c r="X62" s="1033">
        <f t="shared" si="142"/>
        <v>315</v>
      </c>
      <c r="Y62" s="406">
        <f t="shared" si="142"/>
        <v>317</v>
      </c>
      <c r="Z62" s="406">
        <f t="shared" si="142"/>
        <v>321</v>
      </c>
      <c r="AA62" s="406">
        <f t="shared" si="142"/>
        <v>326</v>
      </c>
      <c r="AB62" s="398">
        <f t="shared" si="142"/>
        <v>326</v>
      </c>
      <c r="AC62" s="3665">
        <v>331</v>
      </c>
      <c r="AD62" s="3665">
        <v>331</v>
      </c>
      <c r="AE62" s="406">
        <f t="shared" ref="AE62" si="143">AE46+AE30+AE14</f>
        <v>337</v>
      </c>
      <c r="AF62" s="820">
        <f t="shared" si="136"/>
        <v>338</v>
      </c>
      <c r="AG62" s="398">
        <f t="shared" si="136"/>
        <v>338</v>
      </c>
      <c r="AH62" s="406">
        <f t="shared" ref="AH62:AL62" si="144">AH46+AH30+AH14</f>
        <v>342.35200000000003</v>
      </c>
      <c r="AI62" s="406">
        <f t="shared" si="144"/>
        <v>349.19904000000002</v>
      </c>
      <c r="AJ62" s="406">
        <f t="shared" si="144"/>
        <v>356.08678380000003</v>
      </c>
      <c r="AK62" s="820">
        <f t="shared" si="144"/>
        <v>364.69518995250002</v>
      </c>
      <c r="AL62" s="398">
        <f t="shared" si="144"/>
        <v>364.69518995250002</v>
      </c>
      <c r="AM62" s="398">
        <f t="shared" si="136"/>
        <v>390.22385324917502</v>
      </c>
      <c r="AN62" s="398">
        <f t="shared" si="136"/>
        <v>413.21084763887779</v>
      </c>
    </row>
    <row r="63" spans="1:41">
      <c r="A63" s="130" t="str">
        <f>A$15</f>
        <v>Embassy Suites Hotels (Upper Up)</v>
      </c>
      <c r="B63" s="1033">
        <f t="shared" ref="B63:M63" si="145">B47+B31+B15</f>
        <v>201</v>
      </c>
      <c r="C63" s="398">
        <f t="shared" si="145"/>
        <v>203</v>
      </c>
      <c r="D63" s="1033">
        <f t="shared" si="145"/>
        <v>204</v>
      </c>
      <c r="E63" s="406">
        <f t="shared" si="145"/>
        <v>204</v>
      </c>
      <c r="F63" s="406">
        <f t="shared" si="145"/>
        <v>205</v>
      </c>
      <c r="G63" s="820">
        <f t="shared" si="145"/>
        <v>203</v>
      </c>
      <c r="H63" s="820">
        <f t="shared" si="145"/>
        <v>203</v>
      </c>
      <c r="I63" s="1033">
        <f t="shared" si="145"/>
        <v>203</v>
      </c>
      <c r="J63" s="406">
        <f t="shared" si="145"/>
        <v>206</v>
      </c>
      <c r="K63" s="406">
        <f t="shared" si="145"/>
        <v>207</v>
      </c>
      <c r="L63" s="820">
        <f t="shared" si="145"/>
        <v>208</v>
      </c>
      <c r="M63" s="820">
        <f t="shared" si="145"/>
        <v>208</v>
      </c>
      <c r="N63" s="1033">
        <f t="shared" ref="N63:AB63" si="146">N47+N31+N15</f>
        <v>210</v>
      </c>
      <c r="O63" s="401">
        <f t="shared" si="146"/>
        <v>210</v>
      </c>
      <c r="P63" s="401">
        <f t="shared" si="146"/>
        <v>210</v>
      </c>
      <c r="Q63" s="820">
        <f t="shared" si="146"/>
        <v>211</v>
      </c>
      <c r="R63" s="398">
        <f t="shared" si="146"/>
        <v>211</v>
      </c>
      <c r="S63" s="401">
        <f t="shared" si="146"/>
        <v>214</v>
      </c>
      <c r="T63" s="401">
        <f t="shared" si="146"/>
        <v>215</v>
      </c>
      <c r="U63" s="401">
        <f t="shared" si="146"/>
        <v>215</v>
      </c>
      <c r="V63" s="820">
        <f t="shared" si="146"/>
        <v>217</v>
      </c>
      <c r="W63" s="398">
        <f t="shared" si="146"/>
        <v>217</v>
      </c>
      <c r="X63" s="1033">
        <f t="shared" si="146"/>
        <v>220</v>
      </c>
      <c r="Y63" s="406">
        <f t="shared" si="146"/>
        <v>220</v>
      </c>
      <c r="Z63" s="406">
        <f t="shared" si="146"/>
        <v>224</v>
      </c>
      <c r="AA63" s="406">
        <f t="shared" si="146"/>
        <v>224</v>
      </c>
      <c r="AB63" s="398">
        <f t="shared" si="146"/>
        <v>224</v>
      </c>
      <c r="AC63" s="3665">
        <v>226</v>
      </c>
      <c r="AD63" s="3665">
        <v>227</v>
      </c>
      <c r="AE63" s="406">
        <f t="shared" ref="AE63" si="147">AE47+AE31+AE15</f>
        <v>230</v>
      </c>
      <c r="AF63" s="820">
        <f t="shared" si="136"/>
        <v>237</v>
      </c>
      <c r="AG63" s="398">
        <f t="shared" si="136"/>
        <v>237</v>
      </c>
      <c r="AH63" s="406">
        <f t="shared" ref="AH63:AL63" si="148">AH47+AH31+AH15</f>
        <v>239.59</v>
      </c>
      <c r="AI63" s="406">
        <f t="shared" si="148"/>
        <v>242.85126100000002</v>
      </c>
      <c r="AJ63" s="406">
        <f t="shared" si="148"/>
        <v>246.267581385</v>
      </c>
      <c r="AK63" s="820">
        <f t="shared" si="148"/>
        <v>249.73288209047499</v>
      </c>
      <c r="AL63" s="398">
        <f t="shared" si="148"/>
        <v>249.73288209047499</v>
      </c>
      <c r="AM63" s="398">
        <f t="shared" si="136"/>
        <v>263.23719045999809</v>
      </c>
      <c r="AN63" s="398">
        <f t="shared" si="136"/>
        <v>273.28157777294672</v>
      </c>
    </row>
    <row r="64" spans="1:41">
      <c r="A64" s="130" t="str">
        <f>A$16</f>
        <v>Hilton Garden Inn (Upscale)</v>
      </c>
      <c r="B64" s="1033">
        <f t="shared" ref="B64:M64" si="149">B48+B32+B16</f>
        <v>476</v>
      </c>
      <c r="C64" s="398">
        <f t="shared" si="149"/>
        <v>493</v>
      </c>
      <c r="D64" s="1033">
        <f t="shared" si="149"/>
        <v>493</v>
      </c>
      <c r="E64" s="406">
        <f t="shared" si="149"/>
        <v>495</v>
      </c>
      <c r="F64" s="406">
        <f t="shared" si="149"/>
        <v>498</v>
      </c>
      <c r="G64" s="820">
        <f t="shared" si="149"/>
        <v>506</v>
      </c>
      <c r="H64" s="820">
        <f t="shared" si="149"/>
        <v>506</v>
      </c>
      <c r="I64" s="1033">
        <f t="shared" si="149"/>
        <v>510</v>
      </c>
      <c r="J64" s="406">
        <f t="shared" si="149"/>
        <v>513</v>
      </c>
      <c r="K64" s="406">
        <f t="shared" si="149"/>
        <v>516</v>
      </c>
      <c r="L64" s="820">
        <f t="shared" si="149"/>
        <v>521</v>
      </c>
      <c r="M64" s="820">
        <f t="shared" si="149"/>
        <v>521</v>
      </c>
      <c r="N64" s="1033">
        <f t="shared" ref="N64:AB64" si="150">N48+N32+N16</f>
        <v>525</v>
      </c>
      <c r="O64" s="401">
        <f t="shared" si="150"/>
        <v>532</v>
      </c>
      <c r="P64" s="401">
        <f t="shared" si="150"/>
        <v>537</v>
      </c>
      <c r="Q64" s="820">
        <f t="shared" si="150"/>
        <v>546</v>
      </c>
      <c r="R64" s="398">
        <f t="shared" si="150"/>
        <v>546</v>
      </c>
      <c r="S64" s="401">
        <f t="shared" si="150"/>
        <v>553</v>
      </c>
      <c r="T64" s="401">
        <f t="shared" si="150"/>
        <v>561.58648475228802</v>
      </c>
      <c r="U64" s="401">
        <f t="shared" si="150"/>
        <v>569</v>
      </c>
      <c r="V64" s="820">
        <f t="shared" si="150"/>
        <v>575</v>
      </c>
      <c r="W64" s="398">
        <f t="shared" si="150"/>
        <v>575</v>
      </c>
      <c r="X64" s="1033">
        <f t="shared" si="150"/>
        <v>583</v>
      </c>
      <c r="Y64" s="406">
        <f t="shared" si="150"/>
        <v>592</v>
      </c>
      <c r="Z64" s="406">
        <f t="shared" si="150"/>
        <v>599</v>
      </c>
      <c r="AA64" s="406">
        <f t="shared" si="150"/>
        <v>604</v>
      </c>
      <c r="AB64" s="398">
        <f t="shared" si="150"/>
        <v>604</v>
      </c>
      <c r="AC64" s="3665">
        <v>610</v>
      </c>
      <c r="AD64" s="3665">
        <v>618</v>
      </c>
      <c r="AE64" s="406">
        <f t="shared" ref="AE64" si="151">AE48+AE32+AE16</f>
        <v>626</v>
      </c>
      <c r="AF64" s="820">
        <f t="shared" si="136"/>
        <v>638</v>
      </c>
      <c r="AG64" s="398">
        <f t="shared" si="136"/>
        <v>638</v>
      </c>
      <c r="AH64" s="406">
        <f t="shared" ref="AH64:AL64" si="152">AH48+AH32+AH16</f>
        <v>645.6880000000001</v>
      </c>
      <c r="AI64" s="406">
        <f t="shared" si="152"/>
        <v>658.60176000000013</v>
      </c>
      <c r="AJ64" s="406">
        <f t="shared" si="152"/>
        <v>671.76339120000011</v>
      </c>
      <c r="AK64" s="820">
        <f t="shared" si="152"/>
        <v>688.52571777000003</v>
      </c>
      <c r="AL64" s="398">
        <f t="shared" si="152"/>
        <v>688.52571777000003</v>
      </c>
      <c r="AM64" s="398">
        <f t="shared" si="136"/>
        <v>736.72251801390018</v>
      </c>
      <c r="AN64" s="398">
        <f t="shared" si="136"/>
        <v>780.87976781849113</v>
      </c>
    </row>
    <row r="65" spans="1:40">
      <c r="A65" s="130" t="str">
        <f>A$17</f>
        <v>Hampton Inn (Upper Mid)</v>
      </c>
      <c r="B65" s="1033">
        <f t="shared" ref="B65:M65" si="153">B49+B33+B17</f>
        <v>1756</v>
      </c>
      <c r="C65" s="398">
        <f t="shared" si="153"/>
        <v>1786</v>
      </c>
      <c r="D65" s="1033">
        <f t="shared" si="153"/>
        <v>1792</v>
      </c>
      <c r="E65" s="406">
        <f t="shared" si="153"/>
        <v>1799</v>
      </c>
      <c r="F65" s="406">
        <f t="shared" si="153"/>
        <v>1808</v>
      </c>
      <c r="G65" s="820">
        <f t="shared" si="153"/>
        <v>1817</v>
      </c>
      <c r="H65" s="820">
        <f t="shared" si="153"/>
        <v>1817</v>
      </c>
      <c r="I65" s="1033">
        <f t="shared" si="153"/>
        <v>1823</v>
      </c>
      <c r="J65" s="406">
        <f t="shared" si="153"/>
        <v>1838</v>
      </c>
      <c r="K65" s="406">
        <f t="shared" si="153"/>
        <v>1849</v>
      </c>
      <c r="L65" s="820">
        <f t="shared" si="153"/>
        <v>1854</v>
      </c>
      <c r="M65" s="820">
        <f t="shared" si="153"/>
        <v>1854</v>
      </c>
      <c r="N65" s="1033">
        <f t="shared" ref="N65:AB65" si="154">N49+N33+N17</f>
        <v>1857</v>
      </c>
      <c r="O65" s="401">
        <f t="shared" si="154"/>
        <v>1873</v>
      </c>
      <c r="P65" s="401">
        <f t="shared" si="154"/>
        <v>1897</v>
      </c>
      <c r="Q65" s="820">
        <f t="shared" si="154"/>
        <v>1906</v>
      </c>
      <c r="R65" s="398">
        <f t="shared" si="154"/>
        <v>1906</v>
      </c>
      <c r="S65" s="401">
        <f t="shared" si="154"/>
        <v>1920</v>
      </c>
      <c r="T65" s="401">
        <f t="shared" si="154"/>
        <v>1940</v>
      </c>
      <c r="U65" s="401">
        <f t="shared" si="154"/>
        <v>1960</v>
      </c>
      <c r="V65" s="820">
        <f t="shared" si="154"/>
        <v>1978</v>
      </c>
      <c r="W65" s="398">
        <f t="shared" si="154"/>
        <v>1978</v>
      </c>
      <c r="X65" s="1033">
        <f t="shared" si="154"/>
        <v>1989</v>
      </c>
      <c r="Y65" s="406">
        <f t="shared" si="154"/>
        <v>2008</v>
      </c>
      <c r="Z65" s="406">
        <f t="shared" si="154"/>
        <v>2030</v>
      </c>
      <c r="AA65" s="406">
        <f t="shared" si="154"/>
        <v>2067</v>
      </c>
      <c r="AB65" s="398">
        <f t="shared" si="154"/>
        <v>2067</v>
      </c>
      <c r="AC65" s="3665">
        <v>2079</v>
      </c>
      <c r="AD65" s="3665">
        <v>2108</v>
      </c>
      <c r="AE65" s="406">
        <f t="shared" ref="AE65" si="155">AE49+AE33+AE17</f>
        <v>2126</v>
      </c>
      <c r="AF65" s="820">
        <f t="shared" si="136"/>
        <v>2144</v>
      </c>
      <c r="AG65" s="398">
        <f t="shared" si="136"/>
        <v>2144</v>
      </c>
      <c r="AH65" s="406">
        <f t="shared" ref="AH65:AL65" si="156">AH49+AH33+AH17</f>
        <v>2170.1040000000003</v>
      </c>
      <c r="AI65" s="406">
        <f t="shared" si="156"/>
        <v>2213.5060800000001</v>
      </c>
      <c r="AJ65" s="406">
        <f t="shared" si="156"/>
        <v>2257.6539545999999</v>
      </c>
      <c r="AK65" s="820">
        <f t="shared" si="156"/>
        <v>2313.7221444974998</v>
      </c>
      <c r="AL65" s="398">
        <f t="shared" si="156"/>
        <v>2313.7221444974998</v>
      </c>
      <c r="AM65" s="398">
        <f t="shared" si="136"/>
        <v>2475.6826946123251</v>
      </c>
      <c r="AN65" s="398">
        <f t="shared" si="136"/>
        <v>2623.6819662932098</v>
      </c>
    </row>
    <row r="66" spans="1:40">
      <c r="A66" s="130" t="str">
        <f>A$18</f>
        <v>Home2 Suites by Hilton (Upper Mid)</v>
      </c>
      <c r="B66" s="1033">
        <f t="shared" ref="B66:M66" si="157">B50+B34+B18</f>
        <v>0</v>
      </c>
      <c r="C66" s="398">
        <f t="shared" si="157"/>
        <v>7</v>
      </c>
      <c r="D66" s="1033">
        <f t="shared" si="157"/>
        <v>7</v>
      </c>
      <c r="E66" s="406">
        <f t="shared" si="157"/>
        <v>10</v>
      </c>
      <c r="F66" s="406">
        <f t="shared" si="157"/>
        <v>12</v>
      </c>
      <c r="G66" s="820">
        <f t="shared" si="157"/>
        <v>13</v>
      </c>
      <c r="H66" s="820">
        <f t="shared" si="157"/>
        <v>13</v>
      </c>
      <c r="I66" s="1033">
        <f t="shared" si="157"/>
        <v>17</v>
      </c>
      <c r="J66" s="406">
        <f t="shared" si="157"/>
        <v>18</v>
      </c>
      <c r="K66" s="406">
        <f t="shared" si="157"/>
        <v>22</v>
      </c>
      <c r="L66" s="820">
        <f t="shared" si="157"/>
        <v>26</v>
      </c>
      <c r="M66" s="820">
        <f t="shared" si="157"/>
        <v>26</v>
      </c>
      <c r="N66" s="1033">
        <f t="shared" ref="N66:AB66" si="158">N50+N34+N18</f>
        <v>29</v>
      </c>
      <c r="O66" s="401">
        <f t="shared" si="158"/>
        <v>33</v>
      </c>
      <c r="P66" s="401">
        <f t="shared" si="158"/>
        <v>39</v>
      </c>
      <c r="Q66" s="820">
        <f t="shared" si="158"/>
        <v>43</v>
      </c>
      <c r="R66" s="398">
        <f t="shared" si="158"/>
        <v>43</v>
      </c>
      <c r="S66" s="401">
        <f t="shared" si="158"/>
        <v>46</v>
      </c>
      <c r="T66" s="401">
        <f t="shared" si="158"/>
        <v>55</v>
      </c>
      <c r="U66" s="401">
        <f t="shared" si="158"/>
        <v>66</v>
      </c>
      <c r="V66" s="820">
        <f t="shared" si="158"/>
        <v>71</v>
      </c>
      <c r="W66" s="398">
        <f t="shared" si="158"/>
        <v>71</v>
      </c>
      <c r="X66" s="1033">
        <f t="shared" si="158"/>
        <v>80</v>
      </c>
      <c r="Y66" s="406">
        <f t="shared" si="158"/>
        <v>90</v>
      </c>
      <c r="Z66" s="406">
        <f t="shared" si="158"/>
        <v>112</v>
      </c>
      <c r="AA66" s="406">
        <f t="shared" si="158"/>
        <v>126</v>
      </c>
      <c r="AB66" s="398">
        <f t="shared" si="158"/>
        <v>126</v>
      </c>
      <c r="AC66" s="3665">
        <v>139</v>
      </c>
      <c r="AD66" s="3665">
        <v>155</v>
      </c>
      <c r="AE66" s="406">
        <f t="shared" ref="AE66:AE68" si="159">AE50+AE34+AE18</f>
        <v>176</v>
      </c>
      <c r="AF66" s="820">
        <f t="shared" si="136"/>
        <v>201</v>
      </c>
      <c r="AG66" s="398">
        <f t="shared" si="136"/>
        <v>201</v>
      </c>
      <c r="AH66" s="406">
        <f t="shared" ref="AH66:AL66" si="160">AH50+AH34+AH18</f>
        <v>203.41200000000001</v>
      </c>
      <c r="AI66" s="406">
        <f t="shared" si="160"/>
        <v>207.48024000000001</v>
      </c>
      <c r="AJ66" s="406">
        <f t="shared" si="160"/>
        <v>211.6298448</v>
      </c>
      <c r="AK66" s="820">
        <f t="shared" si="160"/>
        <v>216.92059092</v>
      </c>
      <c r="AL66" s="398">
        <f t="shared" si="160"/>
        <v>216.92059092</v>
      </c>
      <c r="AM66" s="398">
        <f t="shared" si="136"/>
        <v>232.10503228440001</v>
      </c>
      <c r="AN66" s="398">
        <f t="shared" si="136"/>
        <v>246.03133422146402</v>
      </c>
    </row>
    <row r="67" spans="1:40" s="5" customFormat="1">
      <c r="A67" s="1828" t="s">
        <v>3164</v>
      </c>
      <c r="B67" s="1033"/>
      <c r="C67" s="398"/>
      <c r="D67" s="1033"/>
      <c r="E67" s="406"/>
      <c r="F67" s="406"/>
      <c r="G67" s="820"/>
      <c r="H67" s="820"/>
      <c r="I67" s="1033"/>
      <c r="J67" s="406"/>
      <c r="K67" s="406"/>
      <c r="L67" s="820"/>
      <c r="M67" s="820"/>
      <c r="N67" s="1033"/>
      <c r="O67" s="401"/>
      <c r="P67" s="401"/>
      <c r="Q67" s="820"/>
      <c r="R67" s="398"/>
      <c r="S67" s="401"/>
      <c r="T67" s="401"/>
      <c r="U67" s="401"/>
      <c r="V67" s="820"/>
      <c r="W67" s="398"/>
      <c r="X67" s="1033"/>
      <c r="Y67" s="406"/>
      <c r="Z67" s="406"/>
      <c r="AA67" s="406"/>
      <c r="AB67" s="398"/>
      <c r="AC67" s="3665"/>
      <c r="AD67" s="3665">
        <v>3</v>
      </c>
      <c r="AE67" s="406">
        <f t="shared" si="159"/>
        <v>5</v>
      </c>
      <c r="AF67" s="406"/>
      <c r="AG67" s="398"/>
      <c r="AH67" s="406"/>
      <c r="AI67" s="406"/>
      <c r="AJ67" s="406"/>
      <c r="AK67" s="406"/>
      <c r="AL67" s="398"/>
      <c r="AM67" s="398"/>
      <c r="AN67" s="398"/>
    </row>
    <row r="68" spans="1:40" s="5" customFormat="1">
      <c r="A68" s="1828" t="s">
        <v>3165</v>
      </c>
      <c r="B68" s="1033"/>
      <c r="C68" s="398"/>
      <c r="D68" s="1033"/>
      <c r="E68" s="406"/>
      <c r="F68" s="406"/>
      <c r="G68" s="820"/>
      <c r="H68" s="820"/>
      <c r="I68" s="1033"/>
      <c r="J68" s="406"/>
      <c r="K68" s="406"/>
      <c r="L68" s="820"/>
      <c r="M68" s="820"/>
      <c r="N68" s="1033"/>
      <c r="O68" s="401"/>
      <c r="P68" s="401"/>
      <c r="Q68" s="820"/>
      <c r="R68" s="398"/>
      <c r="S68" s="401"/>
      <c r="T68" s="401"/>
      <c r="U68" s="401"/>
      <c r="V68" s="820"/>
      <c r="W68" s="398"/>
      <c r="X68" s="1033"/>
      <c r="Y68" s="406"/>
      <c r="Z68" s="406"/>
      <c r="AA68" s="406"/>
      <c r="AB68" s="398"/>
      <c r="AC68" s="3665"/>
      <c r="AD68" s="3665">
        <v>1</v>
      </c>
      <c r="AE68" s="406">
        <f t="shared" si="159"/>
        <v>1</v>
      </c>
      <c r="AF68" s="406"/>
      <c r="AG68" s="398"/>
      <c r="AH68" s="406"/>
      <c r="AI68" s="406"/>
      <c r="AJ68" s="406"/>
      <c r="AK68" s="406"/>
      <c r="AL68" s="398"/>
      <c r="AM68" s="398"/>
      <c r="AN68" s="398"/>
    </row>
    <row r="69" spans="1:40" s="5" customFormat="1">
      <c r="A69" s="1828" t="str">
        <f>A$21</f>
        <v>Homewood Suites by Hilton (Upscale)</v>
      </c>
      <c r="B69" s="1033">
        <f t="shared" ref="B69:M69" si="161">B53+B37+B21</f>
        <v>294</v>
      </c>
      <c r="C69" s="398">
        <f t="shared" si="161"/>
        <v>299</v>
      </c>
      <c r="D69" s="1033">
        <f t="shared" si="161"/>
        <v>300</v>
      </c>
      <c r="E69" s="406">
        <f t="shared" si="161"/>
        <v>303</v>
      </c>
      <c r="F69" s="406">
        <f t="shared" si="161"/>
        <v>305</v>
      </c>
      <c r="G69" s="820">
        <f t="shared" si="161"/>
        <v>307</v>
      </c>
      <c r="H69" s="820">
        <f t="shared" si="161"/>
        <v>307</v>
      </c>
      <c r="I69" s="1033">
        <f t="shared" si="161"/>
        <v>311</v>
      </c>
      <c r="J69" s="406">
        <f t="shared" si="161"/>
        <v>314</v>
      </c>
      <c r="K69" s="406">
        <f t="shared" si="161"/>
        <v>318</v>
      </c>
      <c r="L69" s="820">
        <f t="shared" si="161"/>
        <v>322</v>
      </c>
      <c r="M69" s="820">
        <f t="shared" si="161"/>
        <v>322</v>
      </c>
      <c r="N69" s="1033">
        <f t="shared" ref="N69:AB69" si="162">N53+N37+N21</f>
        <v>325</v>
      </c>
      <c r="O69" s="401">
        <f t="shared" si="162"/>
        <v>330</v>
      </c>
      <c r="P69" s="401">
        <f t="shared" si="162"/>
        <v>337</v>
      </c>
      <c r="Q69" s="820">
        <f t="shared" si="162"/>
        <v>342</v>
      </c>
      <c r="R69" s="398">
        <f t="shared" si="162"/>
        <v>342</v>
      </c>
      <c r="S69" s="401">
        <f t="shared" si="162"/>
        <v>347</v>
      </c>
      <c r="T69" s="401">
        <f t="shared" si="162"/>
        <v>353</v>
      </c>
      <c r="U69" s="401">
        <f t="shared" si="162"/>
        <v>360</v>
      </c>
      <c r="V69" s="820">
        <f t="shared" si="162"/>
        <v>370</v>
      </c>
      <c r="W69" s="398">
        <f t="shared" si="162"/>
        <v>370</v>
      </c>
      <c r="X69" s="1033">
        <f t="shared" si="162"/>
        <v>377</v>
      </c>
      <c r="Y69" s="406">
        <f t="shared" si="162"/>
        <v>382</v>
      </c>
      <c r="Z69" s="406">
        <f t="shared" si="162"/>
        <v>392</v>
      </c>
      <c r="AA69" s="406">
        <f t="shared" si="162"/>
        <v>400</v>
      </c>
      <c r="AB69" s="398">
        <f t="shared" si="162"/>
        <v>400</v>
      </c>
      <c r="AC69" s="3665">
        <v>407</v>
      </c>
      <c r="AD69" s="3665">
        <v>416</v>
      </c>
      <c r="AE69" s="406">
        <f t="shared" ref="AE69" si="163">AE53+AE37+AE21</f>
        <v>421</v>
      </c>
      <c r="AF69" s="820">
        <f t="shared" ref="AF69:AN69" si="164">AF53+AF37+AF21</f>
        <v>431</v>
      </c>
      <c r="AG69" s="398">
        <f t="shared" si="164"/>
        <v>431</v>
      </c>
      <c r="AH69" s="406">
        <f t="shared" ref="AH69:AL69" si="165">AH53+AH37+AH21</f>
        <v>436.34000000000003</v>
      </c>
      <c r="AI69" s="406">
        <f t="shared" si="165"/>
        <v>445.06680000000006</v>
      </c>
      <c r="AJ69" s="406">
        <f>AJ53+AJ37+AJ21</f>
        <v>453.91351500000007</v>
      </c>
      <c r="AK69" s="820">
        <f t="shared" si="165"/>
        <v>465.09462227250003</v>
      </c>
      <c r="AL69" s="398">
        <f t="shared" si="165"/>
        <v>465.09462227250003</v>
      </c>
      <c r="AM69" s="398">
        <f t="shared" si="164"/>
        <v>497.65124583157507</v>
      </c>
      <c r="AN69" s="398">
        <f t="shared" si="164"/>
        <v>527.26828888119383</v>
      </c>
    </row>
    <row r="70" spans="1:40" s="5" customFormat="1">
      <c r="A70" s="1828" t="s">
        <v>395</v>
      </c>
      <c r="B70" s="1033"/>
      <c r="C70" s="398"/>
      <c r="D70" s="1033"/>
      <c r="E70" s="406"/>
      <c r="F70" s="406"/>
      <c r="G70" s="820"/>
      <c r="H70" s="820"/>
      <c r="I70" s="1033"/>
      <c r="J70" s="406"/>
      <c r="K70" s="406"/>
      <c r="L70" s="820"/>
      <c r="M70" s="820"/>
      <c r="N70" s="1033"/>
      <c r="O70" s="401"/>
      <c r="P70" s="401"/>
      <c r="Q70" s="820"/>
      <c r="R70" s="398"/>
      <c r="S70" s="401"/>
      <c r="T70" s="401"/>
      <c r="U70" s="401"/>
      <c r="V70" s="820"/>
      <c r="W70" s="398"/>
      <c r="X70" s="1033"/>
      <c r="Y70" s="406"/>
      <c r="Z70" s="406"/>
      <c r="AA70" s="406"/>
      <c r="AB70" s="398"/>
      <c r="AC70" s="3665">
        <v>2</v>
      </c>
      <c r="AD70" s="3665">
        <v>3</v>
      </c>
      <c r="AE70" s="3665">
        <f>0+2+3</f>
        <v>5</v>
      </c>
      <c r="AF70" s="3665">
        <f>0+2+3</f>
        <v>5</v>
      </c>
      <c r="AG70" s="398">
        <f t="shared" ref="AG70:AN71" si="166">AF70</f>
        <v>5</v>
      </c>
      <c r="AH70" s="406">
        <f t="shared" ref="AH70:AH71" si="167">+AG70</f>
        <v>5</v>
      </c>
      <c r="AI70" s="406">
        <f t="shared" ref="AI70:AI71" si="168">+AH70</f>
        <v>5</v>
      </c>
      <c r="AJ70" s="406">
        <f t="shared" ref="AJ70:AJ71" si="169">+AI70</f>
        <v>5</v>
      </c>
      <c r="AK70" s="406">
        <f t="shared" ref="AK70:AK71" si="170">+AJ70</f>
        <v>5</v>
      </c>
      <c r="AL70" s="398">
        <f t="shared" si="166"/>
        <v>5</v>
      </c>
      <c r="AM70" s="398">
        <f t="shared" si="166"/>
        <v>5</v>
      </c>
      <c r="AN70" s="398">
        <f t="shared" si="166"/>
        <v>5</v>
      </c>
    </row>
    <row r="71" spans="1:40" s="5" customFormat="1">
      <c r="A71" s="1828" t="s">
        <v>1394</v>
      </c>
      <c r="B71" s="1033"/>
      <c r="C71" s="398"/>
      <c r="D71" s="1033"/>
      <c r="E71" s="406"/>
      <c r="F71" s="406"/>
      <c r="G71" s="820"/>
      <c r="H71" s="820"/>
      <c r="I71" s="1033"/>
      <c r="J71" s="406"/>
      <c r="K71" s="406"/>
      <c r="L71" s="820"/>
      <c r="M71" s="820"/>
      <c r="N71" s="1033"/>
      <c r="O71" s="401"/>
      <c r="P71" s="401"/>
      <c r="Q71" s="820"/>
      <c r="R71" s="398"/>
      <c r="S71" s="401"/>
      <c r="T71" s="401"/>
      <c r="U71" s="401"/>
      <c r="V71" s="820"/>
      <c r="W71" s="398"/>
      <c r="X71" s="1033"/>
      <c r="Y71" s="406"/>
      <c r="Z71" s="406"/>
      <c r="AA71" s="406"/>
      <c r="AB71" s="398"/>
      <c r="AC71" s="3665">
        <v>43</v>
      </c>
      <c r="AD71" s="3665">
        <v>43</v>
      </c>
      <c r="AE71" s="3665">
        <v>48</v>
      </c>
      <c r="AF71" s="3665">
        <v>48</v>
      </c>
      <c r="AG71" s="398">
        <f t="shared" si="166"/>
        <v>48</v>
      </c>
      <c r="AH71" s="406">
        <f t="shared" si="167"/>
        <v>48</v>
      </c>
      <c r="AI71" s="406">
        <f t="shared" si="168"/>
        <v>48</v>
      </c>
      <c r="AJ71" s="406">
        <f t="shared" si="169"/>
        <v>48</v>
      </c>
      <c r="AK71" s="406">
        <f t="shared" si="170"/>
        <v>48</v>
      </c>
      <c r="AL71" s="398">
        <f t="shared" si="166"/>
        <v>48</v>
      </c>
      <c r="AM71" s="398">
        <f t="shared" si="166"/>
        <v>48</v>
      </c>
      <c r="AN71" s="398">
        <f t="shared" si="166"/>
        <v>48</v>
      </c>
    </row>
    <row r="72" spans="1:40">
      <c r="A72" s="202" t="s">
        <v>1397</v>
      </c>
      <c r="B72" s="1034">
        <f t="shared" ref="B72:AB72" si="171">SUM(B57:B69)</f>
        <v>3213</v>
      </c>
      <c r="C72" s="476">
        <f t="shared" si="171"/>
        <v>3287</v>
      </c>
      <c r="D72" s="1034">
        <f t="shared" si="171"/>
        <v>3305</v>
      </c>
      <c r="E72" s="475">
        <f t="shared" si="171"/>
        <v>3323</v>
      </c>
      <c r="F72" s="475">
        <f t="shared" si="171"/>
        <v>3344</v>
      </c>
      <c r="G72" s="822">
        <f t="shared" si="171"/>
        <v>3367</v>
      </c>
      <c r="H72" s="822">
        <f t="shared" si="171"/>
        <v>3367</v>
      </c>
      <c r="I72" s="1034">
        <f t="shared" si="171"/>
        <v>3390</v>
      </c>
      <c r="J72" s="475">
        <f t="shared" si="171"/>
        <v>3424</v>
      </c>
      <c r="K72" s="475">
        <f t="shared" si="171"/>
        <v>3453</v>
      </c>
      <c r="L72" s="822">
        <f t="shared" si="171"/>
        <v>3472</v>
      </c>
      <c r="M72" s="822">
        <f t="shared" si="171"/>
        <v>3472</v>
      </c>
      <c r="N72" s="1034">
        <f t="shared" si="171"/>
        <v>3490</v>
      </c>
      <c r="O72" s="475">
        <f t="shared" si="171"/>
        <v>3519</v>
      </c>
      <c r="P72" s="475">
        <f t="shared" si="171"/>
        <v>3566</v>
      </c>
      <c r="Q72" s="822">
        <f t="shared" si="171"/>
        <v>3601</v>
      </c>
      <c r="R72" s="476">
        <f t="shared" si="171"/>
        <v>3601</v>
      </c>
      <c r="S72" s="475">
        <f t="shared" si="171"/>
        <v>3637</v>
      </c>
      <c r="T72" s="475">
        <f t="shared" si="171"/>
        <v>3690.586484752288</v>
      </c>
      <c r="U72" s="475">
        <f t="shared" si="171"/>
        <v>3742</v>
      </c>
      <c r="V72" s="822">
        <f t="shared" si="171"/>
        <v>3791</v>
      </c>
      <c r="W72" s="476">
        <f t="shared" si="171"/>
        <v>3791</v>
      </c>
      <c r="X72" s="1034">
        <f t="shared" si="171"/>
        <v>3835</v>
      </c>
      <c r="Y72" s="475">
        <f t="shared" si="171"/>
        <v>3884</v>
      </c>
      <c r="Z72" s="475">
        <f t="shared" si="171"/>
        <v>3955</v>
      </c>
      <c r="AA72" s="475">
        <f t="shared" si="171"/>
        <v>4029</v>
      </c>
      <c r="AB72" s="476">
        <f t="shared" si="171"/>
        <v>4029</v>
      </c>
      <c r="AC72" s="475">
        <f t="shared" ref="AC72:AN72" si="172">SUM(AC57:AC71)</f>
        <v>4121</v>
      </c>
      <c r="AD72" s="475">
        <f t="shared" si="172"/>
        <v>4193</v>
      </c>
      <c r="AE72" s="475">
        <f t="shared" si="172"/>
        <v>4266</v>
      </c>
      <c r="AF72" s="822">
        <f t="shared" si="172"/>
        <v>4334</v>
      </c>
      <c r="AG72" s="476">
        <f t="shared" si="172"/>
        <v>4334</v>
      </c>
      <c r="AH72" s="475">
        <f t="shared" ref="AH72:AL72" si="173">SUM(AH57:AH71)</f>
        <v>4385.7110000000002</v>
      </c>
      <c r="AI72" s="475">
        <f t="shared" si="173"/>
        <v>4468.8717434999999</v>
      </c>
      <c r="AJ72" s="475">
        <f t="shared" si="173"/>
        <v>4553.5148366849999</v>
      </c>
      <c r="AK72" s="822">
        <f t="shared" si="173"/>
        <v>4658.9886551155996</v>
      </c>
      <c r="AL72" s="476">
        <f t="shared" si="173"/>
        <v>4658.9886551155996</v>
      </c>
      <c r="AM72" s="476">
        <f t="shared" si="172"/>
        <v>4972.120533441539</v>
      </c>
      <c r="AN72" s="476">
        <f t="shared" si="172"/>
        <v>5252.6489345522796</v>
      </c>
    </row>
    <row r="73" spans="1:40">
      <c r="A73" s="478" t="s">
        <v>1866</v>
      </c>
      <c r="B73" s="1035"/>
      <c r="C73" s="480">
        <f>C72-B72</f>
        <v>74</v>
      </c>
      <c r="D73" s="1035"/>
      <c r="E73" s="479"/>
      <c r="F73" s="479"/>
      <c r="G73" s="1040"/>
      <c r="H73" s="1040">
        <f>H72-C72</f>
        <v>80</v>
      </c>
      <c r="I73" s="1035">
        <f>I72-D72</f>
        <v>85</v>
      </c>
      <c r="J73" s="479">
        <f>J72-E72</f>
        <v>101</v>
      </c>
      <c r="K73" s="479">
        <f>K72-F72</f>
        <v>109</v>
      </c>
      <c r="L73" s="1040">
        <f t="shared" ref="L73:R73" si="174">L72-G72</f>
        <v>105</v>
      </c>
      <c r="M73" s="1040">
        <f t="shared" si="174"/>
        <v>105</v>
      </c>
      <c r="N73" s="1035">
        <f>N72-I72</f>
        <v>100</v>
      </c>
      <c r="O73" s="479">
        <f t="shared" si="174"/>
        <v>95</v>
      </c>
      <c r="P73" s="479">
        <f t="shared" si="174"/>
        <v>113</v>
      </c>
      <c r="Q73" s="479">
        <f t="shared" si="174"/>
        <v>129</v>
      </c>
      <c r="R73" s="480">
        <f t="shared" si="174"/>
        <v>129</v>
      </c>
      <c r="S73" s="479">
        <f t="shared" ref="S73:AB73" si="175">S72-N72</f>
        <v>147</v>
      </c>
      <c r="T73" s="479">
        <f t="shared" si="175"/>
        <v>171.58648475228802</v>
      </c>
      <c r="U73" s="479">
        <f t="shared" si="175"/>
        <v>176</v>
      </c>
      <c r="V73" s="479">
        <f t="shared" si="175"/>
        <v>190</v>
      </c>
      <c r="W73" s="480">
        <f t="shared" si="175"/>
        <v>190</v>
      </c>
      <c r="X73" s="1035">
        <f t="shared" si="175"/>
        <v>198</v>
      </c>
      <c r="Y73" s="479">
        <f t="shared" si="175"/>
        <v>193.41351524771198</v>
      </c>
      <c r="Z73" s="479">
        <f t="shared" si="175"/>
        <v>213</v>
      </c>
      <c r="AA73" s="479">
        <f t="shared" si="175"/>
        <v>238</v>
      </c>
      <c r="AB73" s="480">
        <f t="shared" si="175"/>
        <v>238</v>
      </c>
      <c r="AC73" s="479">
        <f>AC72-X72</f>
        <v>286</v>
      </c>
      <c r="AD73" s="479">
        <f>AD72-Y72</f>
        <v>309</v>
      </c>
      <c r="AE73" s="479">
        <f>AE72-Z72</f>
        <v>311</v>
      </c>
      <c r="AF73" s="479">
        <f>AF72-AA72</f>
        <v>305</v>
      </c>
      <c r="AG73" s="480">
        <f>AG72-AB72</f>
        <v>305</v>
      </c>
      <c r="AH73" s="479">
        <f t="shared" ref="AH73:AK73" si="176">AH72-AC72</f>
        <v>264.71100000000024</v>
      </c>
      <c r="AI73" s="479">
        <f t="shared" si="176"/>
        <v>275.87174349999987</v>
      </c>
      <c r="AJ73" s="479">
        <f t="shared" si="176"/>
        <v>287.51483668499986</v>
      </c>
      <c r="AK73" s="479">
        <f t="shared" si="176"/>
        <v>324.98865511559961</v>
      </c>
      <c r="AL73" s="480">
        <f>AL72-AG72</f>
        <v>324.98865511559961</v>
      </c>
      <c r="AM73" s="480">
        <f>AM72-AL72</f>
        <v>313.1318783259394</v>
      </c>
      <c r="AN73" s="480">
        <f>AN72-AM72</f>
        <v>280.52840111074056</v>
      </c>
    </row>
    <row r="74" spans="1:40">
      <c r="A74" s="477" t="s">
        <v>1423</v>
      </c>
      <c r="B74" s="1036"/>
      <c r="C74" s="445">
        <f>C73/B72</f>
        <v>2.3031434796140678E-2</v>
      </c>
      <c r="D74" s="1036"/>
      <c r="E74" s="437"/>
      <c r="F74" s="437"/>
      <c r="G74" s="589"/>
      <c r="H74" s="589">
        <f>H73/C72</f>
        <v>2.4338302403407362E-2</v>
      </c>
      <c r="I74" s="1036">
        <f>I73/D72</f>
        <v>2.5718608169440244E-2</v>
      </c>
      <c r="J74" s="437">
        <f>J73/E72</f>
        <v>3.0394222088474272E-2</v>
      </c>
      <c r="K74" s="437">
        <f>K73/F72</f>
        <v>3.2595693779904303E-2</v>
      </c>
      <c r="L74" s="589">
        <f t="shared" ref="L74:R74" si="177">L73/G72</f>
        <v>3.1185031185031187E-2</v>
      </c>
      <c r="M74" s="589">
        <f t="shared" si="177"/>
        <v>3.1185031185031187E-2</v>
      </c>
      <c r="N74" s="1036">
        <f>N73/I72</f>
        <v>2.9498525073746312E-2</v>
      </c>
      <c r="O74" s="481">
        <f t="shared" si="177"/>
        <v>2.7745327102803738E-2</v>
      </c>
      <c r="P74" s="481">
        <f t="shared" si="177"/>
        <v>3.2725166521865044E-2</v>
      </c>
      <c r="Q74" s="481">
        <f t="shared" si="177"/>
        <v>3.7154377880184331E-2</v>
      </c>
      <c r="R74" s="445">
        <f t="shared" si="177"/>
        <v>3.7154377880184331E-2</v>
      </c>
      <c r="S74" s="481">
        <f t="shared" ref="S74:AB74" si="178">S73/N72</f>
        <v>4.2120343839541545E-2</v>
      </c>
      <c r="T74" s="481">
        <f t="shared" si="178"/>
        <v>4.8760012717331061E-2</v>
      </c>
      <c r="U74" s="481">
        <f t="shared" si="178"/>
        <v>4.9355019629837356E-2</v>
      </c>
      <c r="V74" s="481">
        <f t="shared" si="178"/>
        <v>5.2763121355179118E-2</v>
      </c>
      <c r="W74" s="445">
        <f t="shared" si="178"/>
        <v>5.2763121355179118E-2</v>
      </c>
      <c r="X74" s="2548">
        <f t="shared" si="178"/>
        <v>5.4440472917239482E-2</v>
      </c>
      <c r="Y74" s="481">
        <f t="shared" si="178"/>
        <v>5.2407257233180349E-2</v>
      </c>
      <c r="Z74" s="481">
        <f t="shared" si="178"/>
        <v>5.6921432389096742E-2</v>
      </c>
      <c r="AA74" s="481">
        <f t="shared" si="178"/>
        <v>6.2780269058295965E-2</v>
      </c>
      <c r="AB74" s="445">
        <f t="shared" si="178"/>
        <v>6.2780269058295965E-2</v>
      </c>
      <c r="AC74" s="481">
        <f>AC73/X72</f>
        <v>7.4576271186440682E-2</v>
      </c>
      <c r="AD74" s="481">
        <f>AD73/Y72</f>
        <v>7.9557157569515966E-2</v>
      </c>
      <c r="AE74" s="481">
        <f>AE73/Z72</f>
        <v>7.86346396965866E-2</v>
      </c>
      <c r="AF74" s="481">
        <f>AF73/AA72</f>
        <v>7.5701166542566395E-2</v>
      </c>
      <c r="AG74" s="445">
        <f>AG73/AB72</f>
        <v>7.5701166542566395E-2</v>
      </c>
      <c r="AH74" s="481">
        <f t="shared" ref="AH74:AK74" si="179">AH73/AC72</f>
        <v>6.4234651783547744E-2</v>
      </c>
      <c r="AI74" s="481">
        <f t="shared" si="179"/>
        <v>6.5793404125924132E-2</v>
      </c>
      <c r="AJ74" s="481">
        <f t="shared" si="179"/>
        <v>6.7396820601265797E-2</v>
      </c>
      <c r="AK74" s="481">
        <f t="shared" si="179"/>
        <v>7.498584566580517E-2</v>
      </c>
      <c r="AL74" s="445">
        <f>AL73/AG72</f>
        <v>7.498584566580517E-2</v>
      </c>
      <c r="AM74" s="445">
        <f>AM73/AL72</f>
        <v>6.7210268473635065E-2</v>
      </c>
      <c r="AN74" s="445">
        <f>AN73/AM72</f>
        <v>5.6420273648629345E-2</v>
      </c>
    </row>
    <row r="75" spans="1:40">
      <c r="A75" s="130"/>
      <c r="B75" s="406"/>
      <c r="C75" s="398"/>
      <c r="D75" s="1033"/>
      <c r="E75" s="406"/>
      <c r="F75" s="406"/>
      <c r="G75" s="820"/>
      <c r="H75" s="406"/>
      <c r="I75" s="1033"/>
      <c r="J75" s="406"/>
      <c r="K75" s="406"/>
      <c r="L75" s="820"/>
      <c r="M75" s="406"/>
      <c r="N75" s="401"/>
      <c r="O75" s="401"/>
      <c r="P75" s="401"/>
      <c r="Q75" s="820"/>
      <c r="R75" s="406"/>
      <c r="S75" s="406"/>
      <c r="T75" s="406"/>
      <c r="U75" s="406"/>
      <c r="V75" s="406"/>
      <c r="W75" s="406"/>
      <c r="X75" s="406"/>
      <c r="Y75" s="406"/>
      <c r="Z75" s="406"/>
      <c r="AA75" s="406"/>
      <c r="AB75" s="406"/>
      <c r="AC75" s="406"/>
      <c r="AD75" s="406"/>
      <c r="AE75" s="406"/>
      <c r="AF75" s="406"/>
      <c r="AG75" s="406"/>
      <c r="AH75" s="406"/>
      <c r="AI75" s="406"/>
      <c r="AJ75" s="406"/>
      <c r="AK75" s="406"/>
      <c r="AL75" s="406"/>
      <c r="AM75" s="406"/>
      <c r="AN75" s="406"/>
    </row>
    <row r="76" spans="1:40">
      <c r="A76" s="130"/>
      <c r="B76" s="406"/>
      <c r="C76" s="398"/>
      <c r="D76" s="1033"/>
      <c r="E76" s="406"/>
      <c r="F76" s="406"/>
      <c r="G76" s="820"/>
      <c r="H76" s="406"/>
      <c r="I76" s="1033"/>
      <c r="J76" s="406"/>
      <c r="K76" s="406"/>
      <c r="L76" s="820"/>
      <c r="M76" s="406"/>
      <c r="N76" s="401"/>
      <c r="O76" s="401"/>
      <c r="P76" s="401"/>
      <c r="Q76" s="820"/>
      <c r="R76" s="406"/>
      <c r="S76" s="406"/>
      <c r="T76" s="406"/>
      <c r="U76" s="406"/>
      <c r="V76" s="406"/>
      <c r="W76" s="406"/>
      <c r="X76" s="406"/>
      <c r="Y76" s="406"/>
      <c r="Z76" s="406"/>
      <c r="AA76" s="406"/>
      <c r="AB76" s="406"/>
      <c r="AC76" s="406"/>
      <c r="AD76" s="406"/>
      <c r="AE76" s="406"/>
      <c r="AF76" s="406"/>
      <c r="AG76" s="406"/>
      <c r="AH76" s="406"/>
      <c r="AI76" s="406"/>
      <c r="AJ76" s="406"/>
      <c r="AK76" s="406"/>
      <c r="AL76" s="406"/>
      <c r="AM76" s="406"/>
      <c r="AN76" s="406"/>
    </row>
    <row r="77" spans="1:40" s="775" customFormat="1">
      <c r="A77" s="461" t="s">
        <v>1398</v>
      </c>
      <c r="B77" s="1037" t="str">
        <f>+Hilton!E$5</f>
        <v>2010</v>
      </c>
      <c r="C77" s="774" t="str">
        <f>+Hilton!F$5</f>
        <v>2011</v>
      </c>
      <c r="D77" s="1037" t="str">
        <f>+Hilton!G$5</f>
        <v>1Q12</v>
      </c>
      <c r="E77" s="773" t="str">
        <f>+Hilton!H$5</f>
        <v>2Q12</v>
      </c>
      <c r="F77" s="773" t="str">
        <f>+Hilton!I$5</f>
        <v>3Q12</v>
      </c>
      <c r="G77" s="776" t="str">
        <f>+Hilton!J$5</f>
        <v>4Q12</v>
      </c>
      <c r="H77" s="776">
        <f>+Hilton!K$5</f>
        <v>2012</v>
      </c>
      <c r="I77" s="1037" t="str">
        <f>+Hilton!L$5</f>
        <v>1Q13</v>
      </c>
      <c r="J77" s="773" t="str">
        <f>+Hilton!M$5</f>
        <v>2Q13</v>
      </c>
      <c r="K77" s="773" t="str">
        <f>+Hilton!N$5</f>
        <v>3Q13</v>
      </c>
      <c r="L77" s="776" t="str">
        <f>+Hilton!O$5</f>
        <v>4Q13</v>
      </c>
      <c r="M77" s="776">
        <f>+Hilton!P$5</f>
        <v>2013</v>
      </c>
      <c r="N77" s="773" t="str">
        <f>+Hilton!Q$5</f>
        <v>1Q14</v>
      </c>
      <c r="O77" s="773" t="str">
        <f>+Hilton!R$5</f>
        <v>2Q14</v>
      </c>
      <c r="P77" s="773" t="str">
        <f>+Hilton!S$5</f>
        <v>3Q14</v>
      </c>
      <c r="Q77" s="776" t="str">
        <f>+Hilton!T$5</f>
        <v>4Q14</v>
      </c>
      <c r="R77" s="774">
        <f>+Hilton!U$5</f>
        <v>2014</v>
      </c>
      <c r="S77" s="773" t="str">
        <f>+Hilton!V$5</f>
        <v>1Q15</v>
      </c>
      <c r="T77" s="773" t="str">
        <f>+Hilton!W$5</f>
        <v>2Q15</v>
      </c>
      <c r="U77" s="773" t="str">
        <f>+Hilton!X$5</f>
        <v>3Q15</v>
      </c>
      <c r="V77" s="776" t="str">
        <f>+Hilton!Y$5</f>
        <v>4Q15</v>
      </c>
      <c r="W77" s="774">
        <f>+Hilton!Z$5</f>
        <v>2015</v>
      </c>
      <c r="X77" s="773" t="str">
        <f>+Hilton!AA$5</f>
        <v>1Q16</v>
      </c>
      <c r="Y77" s="773" t="str">
        <f>+Hilton!AB$5</f>
        <v>2Q16</v>
      </c>
      <c r="Z77" s="773" t="str">
        <f>+Hilton!AC$5</f>
        <v>3Q16</v>
      </c>
      <c r="AA77" s="773" t="str">
        <f>+Hilton!AD$5</f>
        <v>4Q16</v>
      </c>
      <c r="AB77" s="774">
        <f>+Hilton!AE$5</f>
        <v>2016</v>
      </c>
      <c r="AC77" s="773" t="str">
        <f>+Hilton!AF$5</f>
        <v>1Q17</v>
      </c>
      <c r="AD77" s="773" t="str">
        <f>+Hilton!AG$5</f>
        <v>2Q17</v>
      </c>
      <c r="AE77" s="773" t="str">
        <f>+Hilton!AH$5</f>
        <v>3Q17</v>
      </c>
      <c r="AF77" s="776" t="str">
        <f>+Hilton!AI$5</f>
        <v>4Q17A</v>
      </c>
      <c r="AG77" s="774" t="str">
        <f>+Hilton!AJ$5</f>
        <v>2017A</v>
      </c>
      <c r="AH77" s="773" t="str">
        <f>+Hilton!AK$5</f>
        <v>1Q18E</v>
      </c>
      <c r="AI77" s="773" t="str">
        <f>+Hilton!AL$5</f>
        <v>2Q18E</v>
      </c>
      <c r="AJ77" s="773" t="str">
        <f>+Hilton!AM$5</f>
        <v>3Q18E</v>
      </c>
      <c r="AK77" s="776" t="str">
        <f>+Hilton!AN$5</f>
        <v>4Q18E</v>
      </c>
      <c r="AL77" s="774" t="str">
        <f>+Hilton!AO$5</f>
        <v>2018E</v>
      </c>
      <c r="AM77" s="774" t="str">
        <f>+Hilton!AP$5</f>
        <v>2019E</v>
      </c>
      <c r="AN77" s="774" t="str">
        <f>+Hilton!AQ$5</f>
        <v>2020E</v>
      </c>
    </row>
    <row r="78" spans="1:40" s="130" customFormat="1">
      <c r="A78" s="140"/>
      <c r="B78" s="1038"/>
      <c r="C78" s="397"/>
      <c r="D78" s="1038"/>
      <c r="E78" s="203"/>
      <c r="F78" s="203"/>
      <c r="G78" s="572"/>
      <c r="H78" s="572"/>
      <c r="I78" s="1038"/>
      <c r="J78" s="203"/>
      <c r="K78" s="203"/>
      <c r="L78" s="572"/>
      <c r="M78" s="572"/>
      <c r="N78" s="203"/>
      <c r="O78" s="203"/>
      <c r="P78" s="203"/>
      <c r="Q78" s="572"/>
      <c r="R78" s="397"/>
      <c r="S78" s="1038"/>
      <c r="T78" s="203"/>
      <c r="U78" s="203"/>
      <c r="V78" s="203"/>
      <c r="W78" s="2687"/>
      <c r="X78" s="1038"/>
      <c r="Y78" s="203"/>
      <c r="Z78" s="203"/>
      <c r="AA78" s="203"/>
      <c r="AB78" s="397"/>
      <c r="AC78" s="203"/>
      <c r="AD78" s="203"/>
      <c r="AE78" s="203"/>
      <c r="AF78" s="572"/>
      <c r="AG78" s="397"/>
      <c r="AH78" s="203"/>
      <c r="AI78" s="203"/>
      <c r="AJ78" s="203"/>
      <c r="AK78" s="572"/>
      <c r="AL78" s="397"/>
      <c r="AM78" s="397"/>
      <c r="AN78" s="397"/>
    </row>
    <row r="79" spans="1:40">
      <c r="A79" s="141" t="s">
        <v>1589</v>
      </c>
      <c r="B79" s="394"/>
      <c r="C79" s="138"/>
      <c r="D79" s="394"/>
      <c r="E79" s="135"/>
      <c r="F79" s="135"/>
      <c r="G79" s="452"/>
      <c r="H79" s="452"/>
      <c r="I79" s="394"/>
      <c r="J79" s="135"/>
      <c r="K79" s="135"/>
      <c r="L79" s="452"/>
      <c r="M79" s="452"/>
      <c r="N79" s="130"/>
      <c r="O79" s="130"/>
      <c r="P79" s="130"/>
      <c r="Q79" s="452"/>
      <c r="R79" s="138"/>
      <c r="S79" s="394"/>
      <c r="T79" s="135"/>
      <c r="U79" s="135"/>
      <c r="V79" s="135"/>
      <c r="W79" s="138"/>
      <c r="X79" s="394"/>
      <c r="Y79" s="135"/>
      <c r="Z79" s="135"/>
      <c r="AA79" s="135"/>
      <c r="AB79" s="138"/>
      <c r="AC79" s="135"/>
      <c r="AD79" s="135"/>
      <c r="AE79" s="135"/>
      <c r="AF79" s="452"/>
      <c r="AG79" s="138"/>
      <c r="AH79" s="135"/>
      <c r="AI79" s="135"/>
      <c r="AJ79" s="135"/>
      <c r="AK79" s="452"/>
      <c r="AL79" s="138"/>
      <c r="AM79" s="138"/>
      <c r="AN79" s="138"/>
    </row>
    <row r="80" spans="1:40">
      <c r="A80" s="130" t="str">
        <f>A$9</f>
        <v>Waldorf Astoria Hotels &amp; Resorts (Luxury)</v>
      </c>
      <c r="B80" s="1030">
        <v>0</v>
      </c>
      <c r="C80" s="508">
        <v>0</v>
      </c>
      <c r="D80" s="1030">
        <v>0</v>
      </c>
      <c r="E80" s="912">
        <v>0</v>
      </c>
      <c r="F80" s="912">
        <v>0</v>
      </c>
      <c r="G80" s="1041">
        <v>0</v>
      </c>
      <c r="H80" s="820">
        <f t="shared" ref="H80:H92" si="180">G80</f>
        <v>0</v>
      </c>
      <c r="I80" s="1030">
        <v>0</v>
      </c>
      <c r="J80" s="912">
        <v>0</v>
      </c>
      <c r="K80" s="912">
        <v>0</v>
      </c>
      <c r="L80" s="1041">
        <v>0</v>
      </c>
      <c r="M80" s="820">
        <f t="shared" ref="M80:M92" si="181">L80</f>
        <v>0</v>
      </c>
      <c r="N80" s="1030">
        <v>0</v>
      </c>
      <c r="O80" s="912">
        <v>0</v>
      </c>
      <c r="P80" s="912">
        <v>0</v>
      </c>
      <c r="Q80" s="1041">
        <v>0</v>
      </c>
      <c r="R80" s="820">
        <f t="shared" ref="R80:R88" si="182">Q80</f>
        <v>0</v>
      </c>
      <c r="S80" s="1030">
        <v>0</v>
      </c>
      <c r="T80" s="912">
        <v>0</v>
      </c>
      <c r="U80" s="912">
        <v>0</v>
      </c>
      <c r="V80" s="912">
        <v>0</v>
      </c>
      <c r="W80" s="398">
        <f>V80</f>
        <v>0</v>
      </c>
      <c r="X80" s="1030">
        <v>0</v>
      </c>
      <c r="Y80" s="912">
        <v>0</v>
      </c>
      <c r="Z80" s="912">
        <v>0</v>
      </c>
      <c r="AA80" s="912">
        <v>0</v>
      </c>
      <c r="AB80" s="398">
        <f>AA80</f>
        <v>0</v>
      </c>
      <c r="AC80" s="401">
        <f>AA80</f>
        <v>0</v>
      </c>
      <c r="AD80" s="401">
        <f>AB80</f>
        <v>0</v>
      </c>
      <c r="AE80" s="3666">
        <v>0</v>
      </c>
      <c r="AF80" s="820">
        <f t="shared" ref="AF80:AG92" si="183">AE80</f>
        <v>0</v>
      </c>
      <c r="AG80" s="820">
        <f t="shared" si="183"/>
        <v>0</v>
      </c>
      <c r="AH80" s="401">
        <f>AG80</f>
        <v>0</v>
      </c>
      <c r="AI80" s="401">
        <f t="shared" ref="AI80:AL92" si="184">AH80</f>
        <v>0</v>
      </c>
      <c r="AJ80" s="401">
        <f t="shared" si="184"/>
        <v>0</v>
      </c>
      <c r="AK80" s="820">
        <f t="shared" si="184"/>
        <v>0</v>
      </c>
      <c r="AL80" s="820">
        <f t="shared" si="184"/>
        <v>0</v>
      </c>
      <c r="AM80" s="398">
        <f t="shared" ref="AM80:AN92" si="185">AL80</f>
        <v>0</v>
      </c>
      <c r="AN80" s="398">
        <f t="shared" si="185"/>
        <v>0</v>
      </c>
    </row>
    <row r="81" spans="1:40">
      <c r="A81" s="130" t="str">
        <f>A$10</f>
        <v>Conrad Hotels &amp; Resorts (Luxury)</v>
      </c>
      <c r="B81" s="1030">
        <v>0</v>
      </c>
      <c r="C81" s="508">
        <v>0</v>
      </c>
      <c r="D81" s="1030">
        <v>0</v>
      </c>
      <c r="E81" s="912">
        <v>0</v>
      </c>
      <c r="F81" s="912">
        <v>0</v>
      </c>
      <c r="G81" s="1041">
        <v>0</v>
      </c>
      <c r="H81" s="820">
        <f t="shared" si="180"/>
        <v>0</v>
      </c>
      <c r="I81" s="1030">
        <v>0</v>
      </c>
      <c r="J81" s="912">
        <v>0</v>
      </c>
      <c r="K81" s="912">
        <v>0</v>
      </c>
      <c r="L81" s="1041">
        <v>0</v>
      </c>
      <c r="M81" s="820">
        <f t="shared" si="181"/>
        <v>0</v>
      </c>
      <c r="N81" s="1030">
        <v>0</v>
      </c>
      <c r="O81" s="912">
        <v>0</v>
      </c>
      <c r="P81" s="912">
        <v>0</v>
      </c>
      <c r="Q81" s="1041">
        <v>0</v>
      </c>
      <c r="R81" s="820">
        <f t="shared" si="182"/>
        <v>0</v>
      </c>
      <c r="S81" s="1030">
        <v>0</v>
      </c>
      <c r="T81" s="912">
        <v>0</v>
      </c>
      <c r="U81" s="912">
        <v>0</v>
      </c>
      <c r="V81" s="912">
        <v>0</v>
      </c>
      <c r="W81" s="398">
        <f>V81</f>
        <v>0</v>
      </c>
      <c r="X81" s="1030">
        <v>0</v>
      </c>
      <c r="Y81" s="912">
        <v>0</v>
      </c>
      <c r="Z81" s="912">
        <v>0</v>
      </c>
      <c r="AA81" s="912">
        <v>0</v>
      </c>
      <c r="AB81" s="398">
        <f>AA81</f>
        <v>0</v>
      </c>
      <c r="AC81" s="401">
        <f t="shared" ref="AC81:AD92" si="186">AA81</f>
        <v>0</v>
      </c>
      <c r="AD81" s="401">
        <f t="shared" si="186"/>
        <v>0</v>
      </c>
      <c r="AE81" s="3666">
        <v>0</v>
      </c>
      <c r="AF81" s="820">
        <f t="shared" si="183"/>
        <v>0</v>
      </c>
      <c r="AG81" s="820">
        <f t="shared" si="183"/>
        <v>0</v>
      </c>
      <c r="AH81" s="401">
        <f t="shared" ref="AH81:AK81" si="187">AG81</f>
        <v>0</v>
      </c>
      <c r="AI81" s="401">
        <f t="shared" si="187"/>
        <v>0</v>
      </c>
      <c r="AJ81" s="401">
        <f t="shared" si="187"/>
        <v>0</v>
      </c>
      <c r="AK81" s="820">
        <f t="shared" si="187"/>
        <v>0</v>
      </c>
      <c r="AL81" s="820">
        <f t="shared" si="184"/>
        <v>0</v>
      </c>
      <c r="AM81" s="398">
        <f t="shared" si="185"/>
        <v>0</v>
      </c>
      <c r="AN81" s="398">
        <f t="shared" si="185"/>
        <v>0</v>
      </c>
    </row>
    <row r="82" spans="1:40">
      <c r="A82" s="1828" t="s">
        <v>3022</v>
      </c>
      <c r="B82" s="1030"/>
      <c r="C82" s="508"/>
      <c r="D82" s="1030"/>
      <c r="E82" s="912"/>
      <c r="F82" s="912"/>
      <c r="G82" s="1041"/>
      <c r="H82" s="820"/>
      <c r="I82" s="1030"/>
      <c r="J82" s="912"/>
      <c r="K82" s="912"/>
      <c r="L82" s="1041"/>
      <c r="M82" s="820"/>
      <c r="N82" s="1030"/>
      <c r="O82" s="912"/>
      <c r="P82" s="912"/>
      <c r="Q82" s="1041"/>
      <c r="R82" s="820"/>
      <c r="S82" s="1030"/>
      <c r="T82" s="912"/>
      <c r="U82" s="912"/>
      <c r="V82" s="912"/>
      <c r="W82" s="398"/>
      <c r="X82" s="2787"/>
      <c r="Y82" s="2791"/>
      <c r="Z82" s="2791"/>
      <c r="AA82" s="2791">
        <v>0</v>
      </c>
      <c r="AB82" s="398">
        <f t="shared" ref="AB82:AG82" si="188">+AA82</f>
        <v>0</v>
      </c>
      <c r="AC82" s="2944">
        <f t="shared" si="188"/>
        <v>0</v>
      </c>
      <c r="AD82" s="2944">
        <f t="shared" si="188"/>
        <v>0</v>
      </c>
      <c r="AE82" s="3665">
        <v>0</v>
      </c>
      <c r="AF82" s="820">
        <f t="shared" si="188"/>
        <v>0</v>
      </c>
      <c r="AG82" s="398">
        <f t="shared" si="188"/>
        <v>0</v>
      </c>
      <c r="AH82" s="401">
        <f t="shared" ref="AH82:AK82" si="189">AG82</f>
        <v>0</v>
      </c>
      <c r="AI82" s="401">
        <f t="shared" si="189"/>
        <v>0</v>
      </c>
      <c r="AJ82" s="401">
        <f t="shared" si="189"/>
        <v>0</v>
      </c>
      <c r="AK82" s="820">
        <f t="shared" si="189"/>
        <v>0</v>
      </c>
      <c r="AL82" s="398">
        <f t="shared" ref="AL82" si="190">+AK82</f>
        <v>0</v>
      </c>
      <c r="AM82" s="398">
        <f t="shared" si="185"/>
        <v>0</v>
      </c>
      <c r="AN82" s="398">
        <f t="shared" si="185"/>
        <v>0</v>
      </c>
    </row>
    <row r="83" spans="1:40">
      <c r="A83" s="130" t="str">
        <f>A$12</f>
        <v>Hilton Hotels &amp; Resorts (Upper Up)</v>
      </c>
      <c r="B83" s="1030">
        <v>3</v>
      </c>
      <c r="C83" s="508">
        <v>3</v>
      </c>
      <c r="D83" s="1030">
        <v>3</v>
      </c>
      <c r="E83" s="912">
        <v>3</v>
      </c>
      <c r="F83" s="912">
        <v>3</v>
      </c>
      <c r="G83" s="1041">
        <v>3</v>
      </c>
      <c r="H83" s="820">
        <f t="shared" si="180"/>
        <v>3</v>
      </c>
      <c r="I83" s="1030">
        <v>3</v>
      </c>
      <c r="J83" s="912">
        <v>3</v>
      </c>
      <c r="K83" s="912">
        <v>3</v>
      </c>
      <c r="L83" s="1041">
        <v>3</v>
      </c>
      <c r="M83" s="820">
        <f t="shared" si="181"/>
        <v>3</v>
      </c>
      <c r="N83" s="1030">
        <v>3</v>
      </c>
      <c r="O83" s="912">
        <v>3</v>
      </c>
      <c r="P83" s="912">
        <v>3</v>
      </c>
      <c r="Q83" s="1041">
        <v>3</v>
      </c>
      <c r="R83" s="820">
        <f t="shared" si="182"/>
        <v>3</v>
      </c>
      <c r="S83" s="1030">
        <v>3</v>
      </c>
      <c r="T83" s="912">
        <v>3</v>
      </c>
      <c r="U83" s="912">
        <v>3</v>
      </c>
      <c r="V83" s="912">
        <v>3</v>
      </c>
      <c r="W83" s="398">
        <f>V83</f>
        <v>3</v>
      </c>
      <c r="X83" s="1030">
        <v>3</v>
      </c>
      <c r="Y83" s="912">
        <v>3</v>
      </c>
      <c r="Z83" s="912">
        <v>3</v>
      </c>
      <c r="AA83" s="912">
        <v>3</v>
      </c>
      <c r="AB83" s="398">
        <f t="shared" ref="AB83:AB92" si="191">AA83</f>
        <v>3</v>
      </c>
      <c r="AC83" s="2939">
        <f>AA83-'Owned Hotels Spinoff'!$C$45</f>
        <v>1</v>
      </c>
      <c r="AD83" s="2939">
        <f>AB83-'Owned Hotels Spinoff'!$C$45</f>
        <v>1</v>
      </c>
      <c r="AE83" s="3666">
        <v>1</v>
      </c>
      <c r="AF83" s="3666">
        <v>1</v>
      </c>
      <c r="AG83" s="398">
        <f t="shared" si="183"/>
        <v>1</v>
      </c>
      <c r="AH83" s="401">
        <f t="shared" ref="AH83:AK83" si="192">AG83</f>
        <v>1</v>
      </c>
      <c r="AI83" s="401">
        <f t="shared" si="192"/>
        <v>1</v>
      </c>
      <c r="AJ83" s="401">
        <f t="shared" si="192"/>
        <v>1</v>
      </c>
      <c r="AK83" s="820">
        <f t="shared" si="192"/>
        <v>1</v>
      </c>
      <c r="AL83" s="820">
        <f t="shared" si="184"/>
        <v>1</v>
      </c>
      <c r="AM83" s="398">
        <f t="shared" si="185"/>
        <v>1</v>
      </c>
      <c r="AN83" s="398">
        <f t="shared" si="185"/>
        <v>1</v>
      </c>
    </row>
    <row r="84" spans="1:40">
      <c r="A84" s="1828" t="s">
        <v>2323</v>
      </c>
      <c r="B84" s="1030"/>
      <c r="C84" s="508"/>
      <c r="D84" s="1030"/>
      <c r="E84" s="912"/>
      <c r="F84" s="912"/>
      <c r="G84" s="1041"/>
      <c r="H84" s="820"/>
      <c r="I84" s="1030"/>
      <c r="J84" s="912"/>
      <c r="K84" s="912"/>
      <c r="L84" s="1041"/>
      <c r="M84" s="820"/>
      <c r="N84" s="1030"/>
      <c r="O84" s="912"/>
      <c r="P84" s="912"/>
      <c r="Q84" s="1041"/>
      <c r="R84" s="820"/>
      <c r="S84" s="1030">
        <v>0</v>
      </c>
      <c r="T84" s="912">
        <v>0</v>
      </c>
      <c r="U84" s="912">
        <v>0</v>
      </c>
      <c r="V84" s="912">
        <v>0</v>
      </c>
      <c r="W84" s="398">
        <f>V84</f>
        <v>0</v>
      </c>
      <c r="X84" s="1030">
        <v>0</v>
      </c>
      <c r="Y84" s="912">
        <v>0</v>
      </c>
      <c r="Z84" s="912">
        <v>0</v>
      </c>
      <c r="AA84" s="912">
        <v>0</v>
      </c>
      <c r="AB84" s="398">
        <f t="shared" si="191"/>
        <v>0</v>
      </c>
      <c r="AC84" s="401">
        <f t="shared" si="186"/>
        <v>0</v>
      </c>
      <c r="AD84" s="401">
        <f t="shared" si="186"/>
        <v>0</v>
      </c>
      <c r="AE84" s="3666">
        <v>0</v>
      </c>
      <c r="AF84" s="820">
        <f t="shared" si="183"/>
        <v>0</v>
      </c>
      <c r="AG84" s="820">
        <f>AF84</f>
        <v>0</v>
      </c>
      <c r="AH84" s="401">
        <f t="shared" ref="AH84:AK84" si="193">AG84</f>
        <v>0</v>
      </c>
      <c r="AI84" s="401">
        <f t="shared" si="193"/>
        <v>0</v>
      </c>
      <c r="AJ84" s="401">
        <f t="shared" si="193"/>
        <v>0</v>
      </c>
      <c r="AK84" s="820">
        <f t="shared" si="193"/>
        <v>0</v>
      </c>
      <c r="AL84" s="820">
        <f>AK84</f>
        <v>0</v>
      </c>
      <c r="AM84" s="398">
        <f>AL84</f>
        <v>0</v>
      </c>
      <c r="AN84" s="398">
        <f>AM84</f>
        <v>0</v>
      </c>
    </row>
    <row r="85" spans="1:40">
      <c r="A85" s="130" t="str">
        <f>A$14</f>
        <v>DoubleTree by Hilton (Upscale)</v>
      </c>
      <c r="B85" s="1030">
        <v>0</v>
      </c>
      <c r="C85" s="508">
        <v>0</v>
      </c>
      <c r="D85" s="1030">
        <v>0</v>
      </c>
      <c r="E85" s="912">
        <v>0</v>
      </c>
      <c r="F85" s="912">
        <v>0</v>
      </c>
      <c r="G85" s="1041">
        <v>0</v>
      </c>
      <c r="H85" s="820">
        <f t="shared" si="180"/>
        <v>0</v>
      </c>
      <c r="I85" s="1030">
        <v>0</v>
      </c>
      <c r="J85" s="912">
        <v>0</v>
      </c>
      <c r="K85" s="912">
        <v>0</v>
      </c>
      <c r="L85" s="1041">
        <v>0</v>
      </c>
      <c r="M85" s="820">
        <f t="shared" si="181"/>
        <v>0</v>
      </c>
      <c r="N85" s="1030">
        <v>0</v>
      </c>
      <c r="O85" s="912">
        <v>0</v>
      </c>
      <c r="P85" s="912">
        <v>0</v>
      </c>
      <c r="Q85" s="1041">
        <v>0</v>
      </c>
      <c r="R85" s="820">
        <f t="shared" si="182"/>
        <v>0</v>
      </c>
      <c r="S85" s="1030">
        <v>0</v>
      </c>
      <c r="T85" s="912">
        <v>0</v>
      </c>
      <c r="U85" s="912">
        <v>0</v>
      </c>
      <c r="V85" s="912">
        <v>0</v>
      </c>
      <c r="W85" s="398">
        <f t="shared" ref="W85:W92" si="194">V85</f>
        <v>0</v>
      </c>
      <c r="X85" s="1030">
        <v>0</v>
      </c>
      <c r="Y85" s="912">
        <v>0</v>
      </c>
      <c r="Z85" s="912">
        <v>0</v>
      </c>
      <c r="AA85" s="912">
        <v>0</v>
      </c>
      <c r="AB85" s="398">
        <f t="shared" si="191"/>
        <v>0</v>
      </c>
      <c r="AC85" s="401">
        <f t="shared" si="186"/>
        <v>0</v>
      </c>
      <c r="AD85" s="401">
        <f t="shared" si="186"/>
        <v>0</v>
      </c>
      <c r="AE85" s="3666">
        <v>0</v>
      </c>
      <c r="AF85" s="820">
        <f t="shared" si="183"/>
        <v>0</v>
      </c>
      <c r="AG85" s="820">
        <f t="shared" si="183"/>
        <v>0</v>
      </c>
      <c r="AH85" s="401">
        <f t="shared" ref="AH85:AK85" si="195">AG85</f>
        <v>0</v>
      </c>
      <c r="AI85" s="401">
        <f t="shared" si="195"/>
        <v>0</v>
      </c>
      <c r="AJ85" s="401">
        <f t="shared" si="195"/>
        <v>0</v>
      </c>
      <c r="AK85" s="820">
        <f t="shared" si="195"/>
        <v>0</v>
      </c>
      <c r="AL85" s="820">
        <f t="shared" si="184"/>
        <v>0</v>
      </c>
      <c r="AM85" s="398">
        <f t="shared" si="185"/>
        <v>0</v>
      </c>
      <c r="AN85" s="398">
        <f t="shared" si="185"/>
        <v>0</v>
      </c>
    </row>
    <row r="86" spans="1:40">
      <c r="A86" s="130" t="str">
        <f>A$15</f>
        <v>Embassy Suites Hotels (Upper Up)</v>
      </c>
      <c r="B86" s="1030">
        <v>0</v>
      </c>
      <c r="C86" s="508">
        <v>0</v>
      </c>
      <c r="D86" s="1030">
        <v>0</v>
      </c>
      <c r="E86" s="912">
        <v>0</v>
      </c>
      <c r="F86" s="912">
        <v>0</v>
      </c>
      <c r="G86" s="1041">
        <v>0</v>
      </c>
      <c r="H86" s="820">
        <f t="shared" si="180"/>
        <v>0</v>
      </c>
      <c r="I86" s="1030">
        <v>0</v>
      </c>
      <c r="J86" s="912">
        <v>0</v>
      </c>
      <c r="K86" s="912">
        <v>0</v>
      </c>
      <c r="L86" s="1041">
        <v>0</v>
      </c>
      <c r="M86" s="820">
        <f t="shared" si="181"/>
        <v>0</v>
      </c>
      <c r="N86" s="1030">
        <v>0</v>
      </c>
      <c r="O86" s="912">
        <v>0</v>
      </c>
      <c r="P86" s="912">
        <v>0</v>
      </c>
      <c r="Q86" s="1041">
        <v>0</v>
      </c>
      <c r="R86" s="820">
        <f t="shared" si="182"/>
        <v>0</v>
      </c>
      <c r="S86" s="1030">
        <v>0</v>
      </c>
      <c r="T86" s="912">
        <v>0</v>
      </c>
      <c r="U86" s="912">
        <v>0</v>
      </c>
      <c r="V86" s="912">
        <v>0</v>
      </c>
      <c r="W86" s="398">
        <f t="shared" si="194"/>
        <v>0</v>
      </c>
      <c r="X86" s="1030">
        <v>0</v>
      </c>
      <c r="Y86" s="912">
        <v>0</v>
      </c>
      <c r="Z86" s="912">
        <v>0</v>
      </c>
      <c r="AA86" s="912">
        <v>0</v>
      </c>
      <c r="AB86" s="398">
        <f t="shared" si="191"/>
        <v>0</v>
      </c>
      <c r="AC86" s="401">
        <f t="shared" si="186"/>
        <v>0</v>
      </c>
      <c r="AD86" s="401">
        <f t="shared" si="186"/>
        <v>0</v>
      </c>
      <c r="AE86" s="3666">
        <v>0</v>
      </c>
      <c r="AF86" s="820">
        <f t="shared" si="183"/>
        <v>0</v>
      </c>
      <c r="AG86" s="820">
        <f t="shared" si="183"/>
        <v>0</v>
      </c>
      <c r="AH86" s="401">
        <f t="shared" ref="AH86:AK86" si="196">AG86</f>
        <v>0</v>
      </c>
      <c r="AI86" s="401">
        <f t="shared" si="196"/>
        <v>0</v>
      </c>
      <c r="AJ86" s="401">
        <f t="shared" si="196"/>
        <v>0</v>
      </c>
      <c r="AK86" s="820">
        <f t="shared" si="196"/>
        <v>0</v>
      </c>
      <c r="AL86" s="820">
        <f t="shared" si="184"/>
        <v>0</v>
      </c>
      <c r="AM86" s="820">
        <f t="shared" si="185"/>
        <v>0</v>
      </c>
      <c r="AN86" s="398">
        <f t="shared" si="185"/>
        <v>0</v>
      </c>
    </row>
    <row r="87" spans="1:40">
      <c r="A87" s="130" t="str">
        <f>A$16</f>
        <v>Hilton Garden Inn (Upscale)</v>
      </c>
      <c r="B87" s="1030">
        <v>0</v>
      </c>
      <c r="C87" s="508">
        <v>0</v>
      </c>
      <c r="D87" s="1030">
        <v>0</v>
      </c>
      <c r="E87" s="912">
        <v>0</v>
      </c>
      <c r="F87" s="912">
        <v>0</v>
      </c>
      <c r="G87" s="1041">
        <v>0</v>
      </c>
      <c r="H87" s="820">
        <f t="shared" si="180"/>
        <v>0</v>
      </c>
      <c r="I87" s="1030">
        <v>0</v>
      </c>
      <c r="J87" s="912">
        <v>0</v>
      </c>
      <c r="K87" s="912">
        <v>0</v>
      </c>
      <c r="L87" s="1041">
        <v>0</v>
      </c>
      <c r="M87" s="820">
        <f t="shared" si="181"/>
        <v>0</v>
      </c>
      <c r="N87" s="1030">
        <v>0</v>
      </c>
      <c r="O87" s="912">
        <v>0</v>
      </c>
      <c r="P87" s="912">
        <v>0</v>
      </c>
      <c r="Q87" s="1041">
        <v>0</v>
      </c>
      <c r="R87" s="820">
        <f t="shared" si="182"/>
        <v>0</v>
      </c>
      <c r="S87" s="1030">
        <v>0</v>
      </c>
      <c r="T87" s="912">
        <v>0</v>
      </c>
      <c r="U87" s="912">
        <v>0</v>
      </c>
      <c r="V87" s="912">
        <v>0</v>
      </c>
      <c r="W87" s="398">
        <f t="shared" si="194"/>
        <v>0</v>
      </c>
      <c r="X87" s="1030">
        <v>0</v>
      </c>
      <c r="Y87" s="912">
        <v>0</v>
      </c>
      <c r="Z87" s="912">
        <v>0</v>
      </c>
      <c r="AA87" s="912">
        <v>0</v>
      </c>
      <c r="AB87" s="398">
        <f t="shared" si="191"/>
        <v>0</v>
      </c>
      <c r="AC87" s="401">
        <f t="shared" si="186"/>
        <v>0</v>
      </c>
      <c r="AD87" s="401">
        <f t="shared" si="186"/>
        <v>0</v>
      </c>
      <c r="AE87" s="3666">
        <v>0</v>
      </c>
      <c r="AF87" s="820">
        <f t="shared" si="183"/>
        <v>0</v>
      </c>
      <c r="AG87" s="820">
        <f t="shared" si="183"/>
        <v>0</v>
      </c>
      <c r="AH87" s="401">
        <f t="shared" ref="AH87:AK87" si="197">AG87</f>
        <v>0</v>
      </c>
      <c r="AI87" s="401">
        <f t="shared" si="197"/>
        <v>0</v>
      </c>
      <c r="AJ87" s="401">
        <f t="shared" si="197"/>
        <v>0</v>
      </c>
      <c r="AK87" s="820">
        <f t="shared" si="197"/>
        <v>0</v>
      </c>
      <c r="AL87" s="820">
        <f t="shared" si="184"/>
        <v>0</v>
      </c>
      <c r="AM87" s="820">
        <f t="shared" si="185"/>
        <v>0</v>
      </c>
      <c r="AN87" s="398">
        <f t="shared" si="185"/>
        <v>0</v>
      </c>
    </row>
    <row r="88" spans="1:40">
      <c r="A88" s="130" t="str">
        <f>A$17</f>
        <v>Hampton Inn (Upper Mid)</v>
      </c>
      <c r="B88" s="1030">
        <v>0</v>
      </c>
      <c r="C88" s="508">
        <v>0</v>
      </c>
      <c r="D88" s="1030">
        <v>0</v>
      </c>
      <c r="E88" s="912">
        <v>0</v>
      </c>
      <c r="F88" s="912">
        <v>0</v>
      </c>
      <c r="G88" s="1041">
        <v>0</v>
      </c>
      <c r="H88" s="820">
        <f t="shared" si="180"/>
        <v>0</v>
      </c>
      <c r="I88" s="1030">
        <v>0</v>
      </c>
      <c r="J88" s="912">
        <v>0</v>
      </c>
      <c r="K88" s="912">
        <v>0</v>
      </c>
      <c r="L88" s="1041">
        <v>0</v>
      </c>
      <c r="M88" s="820">
        <f t="shared" si="181"/>
        <v>0</v>
      </c>
      <c r="N88" s="1030">
        <v>0</v>
      </c>
      <c r="O88" s="912">
        <v>0</v>
      </c>
      <c r="P88" s="912">
        <v>0</v>
      </c>
      <c r="Q88" s="1041">
        <v>0</v>
      </c>
      <c r="R88" s="820">
        <f t="shared" si="182"/>
        <v>0</v>
      </c>
      <c r="S88" s="1030">
        <v>0</v>
      </c>
      <c r="T88" s="912">
        <v>0</v>
      </c>
      <c r="U88" s="912">
        <v>0</v>
      </c>
      <c r="V88" s="912">
        <v>0</v>
      </c>
      <c r="W88" s="398">
        <f t="shared" si="194"/>
        <v>0</v>
      </c>
      <c r="X88" s="1030">
        <v>0</v>
      </c>
      <c r="Y88" s="912">
        <v>0</v>
      </c>
      <c r="Z88" s="912">
        <v>0</v>
      </c>
      <c r="AA88" s="912">
        <v>0</v>
      </c>
      <c r="AB88" s="398">
        <f t="shared" si="191"/>
        <v>0</v>
      </c>
      <c r="AC88" s="401">
        <f t="shared" si="186"/>
        <v>0</v>
      </c>
      <c r="AD88" s="401">
        <f t="shared" si="186"/>
        <v>0</v>
      </c>
      <c r="AE88" s="3666">
        <v>0</v>
      </c>
      <c r="AF88" s="820">
        <f t="shared" si="183"/>
        <v>0</v>
      </c>
      <c r="AG88" s="820">
        <f t="shared" si="183"/>
        <v>0</v>
      </c>
      <c r="AH88" s="401">
        <f t="shared" ref="AH88:AK88" si="198">AG88</f>
        <v>0</v>
      </c>
      <c r="AI88" s="401">
        <f t="shared" si="198"/>
        <v>0</v>
      </c>
      <c r="AJ88" s="401">
        <f t="shared" si="198"/>
        <v>0</v>
      </c>
      <c r="AK88" s="820">
        <f t="shared" si="198"/>
        <v>0</v>
      </c>
      <c r="AL88" s="820">
        <f t="shared" si="184"/>
        <v>0</v>
      </c>
      <c r="AM88" s="820">
        <f t="shared" si="185"/>
        <v>0</v>
      </c>
      <c r="AN88" s="398">
        <f t="shared" si="185"/>
        <v>0</v>
      </c>
    </row>
    <row r="89" spans="1:40">
      <c r="A89" s="130" t="s">
        <v>1408</v>
      </c>
      <c r="B89" s="1030">
        <v>0</v>
      </c>
      <c r="C89" s="508">
        <v>0</v>
      </c>
      <c r="D89" s="1030">
        <v>0</v>
      </c>
      <c r="E89" s="912">
        <v>0</v>
      </c>
      <c r="F89" s="912">
        <v>0</v>
      </c>
      <c r="G89" s="1041">
        <v>0</v>
      </c>
      <c r="H89" s="820">
        <f t="shared" si="180"/>
        <v>0</v>
      </c>
      <c r="I89" s="1030">
        <v>0</v>
      </c>
      <c r="J89" s="912">
        <v>0</v>
      </c>
      <c r="K89" s="912">
        <v>0</v>
      </c>
      <c r="L89" s="1041">
        <v>0</v>
      </c>
      <c r="M89" s="820">
        <f t="shared" si="181"/>
        <v>0</v>
      </c>
      <c r="N89" s="1030">
        <v>0</v>
      </c>
      <c r="O89" s="912">
        <v>0</v>
      </c>
      <c r="P89" s="912">
        <v>0</v>
      </c>
      <c r="Q89" s="1041">
        <v>0</v>
      </c>
      <c r="R89" s="820">
        <f>Q89</f>
        <v>0</v>
      </c>
      <c r="S89" s="1030">
        <v>0</v>
      </c>
      <c r="T89" s="912">
        <v>0</v>
      </c>
      <c r="U89" s="912">
        <v>0</v>
      </c>
      <c r="V89" s="912">
        <v>0</v>
      </c>
      <c r="W89" s="398">
        <f t="shared" si="194"/>
        <v>0</v>
      </c>
      <c r="X89" s="1030">
        <v>0</v>
      </c>
      <c r="Y89" s="912">
        <v>0</v>
      </c>
      <c r="Z89" s="912">
        <v>0</v>
      </c>
      <c r="AA89" s="912">
        <v>0</v>
      </c>
      <c r="AB89" s="398">
        <f t="shared" si="191"/>
        <v>0</v>
      </c>
      <c r="AC89" s="401">
        <f t="shared" si="186"/>
        <v>0</v>
      </c>
      <c r="AD89" s="401">
        <f t="shared" si="186"/>
        <v>0</v>
      </c>
      <c r="AE89" s="3666">
        <v>0</v>
      </c>
      <c r="AF89" s="820">
        <f t="shared" si="183"/>
        <v>0</v>
      </c>
      <c r="AG89" s="820">
        <f t="shared" si="183"/>
        <v>0</v>
      </c>
      <c r="AH89" s="401">
        <f t="shared" ref="AH89:AK89" si="199">AG89</f>
        <v>0</v>
      </c>
      <c r="AI89" s="401">
        <f t="shared" si="199"/>
        <v>0</v>
      </c>
      <c r="AJ89" s="401">
        <f t="shared" si="199"/>
        <v>0</v>
      </c>
      <c r="AK89" s="820">
        <f t="shared" si="199"/>
        <v>0</v>
      </c>
      <c r="AL89" s="820">
        <f t="shared" si="184"/>
        <v>0</v>
      </c>
      <c r="AM89" s="820">
        <f t="shared" si="185"/>
        <v>0</v>
      </c>
      <c r="AN89" s="820">
        <f t="shared" si="185"/>
        <v>0</v>
      </c>
    </row>
    <row r="90" spans="1:40">
      <c r="A90" s="130" t="str">
        <f>$A67</f>
        <v>Tru by Hilton</v>
      </c>
      <c r="B90" s="1030">
        <v>0</v>
      </c>
      <c r="C90" s="508">
        <v>0</v>
      </c>
      <c r="D90" s="1030">
        <v>0</v>
      </c>
      <c r="E90" s="912">
        <v>0</v>
      </c>
      <c r="F90" s="912">
        <v>0</v>
      </c>
      <c r="G90" s="1041">
        <v>0</v>
      </c>
      <c r="H90" s="820">
        <f t="shared" ref="H90:H91" si="200">G90</f>
        <v>0</v>
      </c>
      <c r="I90" s="1030">
        <v>0</v>
      </c>
      <c r="J90" s="912">
        <v>0</v>
      </c>
      <c r="K90" s="912">
        <v>0</v>
      </c>
      <c r="L90" s="1041">
        <v>0</v>
      </c>
      <c r="M90" s="820">
        <f t="shared" ref="M90:M91" si="201">L90</f>
        <v>0</v>
      </c>
      <c r="N90" s="1030">
        <v>0</v>
      </c>
      <c r="O90" s="912">
        <v>0</v>
      </c>
      <c r="P90" s="912">
        <v>0</v>
      </c>
      <c r="Q90" s="1041">
        <v>0</v>
      </c>
      <c r="R90" s="820">
        <f t="shared" ref="R90:R91" si="202">Q90</f>
        <v>0</v>
      </c>
      <c r="S90" s="1030">
        <v>0</v>
      </c>
      <c r="T90" s="912">
        <v>0</v>
      </c>
      <c r="U90" s="912">
        <v>0</v>
      </c>
      <c r="V90" s="912">
        <v>0</v>
      </c>
      <c r="W90" s="398">
        <f t="shared" ref="W90:W91" si="203">V90</f>
        <v>0</v>
      </c>
      <c r="X90" s="1030">
        <v>0</v>
      </c>
      <c r="Y90" s="912">
        <v>0</v>
      </c>
      <c r="Z90" s="912">
        <v>0</v>
      </c>
      <c r="AA90" s="912">
        <v>0</v>
      </c>
      <c r="AB90" s="398">
        <f t="shared" ref="AB90:AB91" si="204">AA90</f>
        <v>0</v>
      </c>
      <c r="AC90" s="401">
        <f t="shared" ref="AC90:AC91" si="205">AA90</f>
        <v>0</v>
      </c>
      <c r="AD90" s="401">
        <f t="shared" ref="AD90:AD91" si="206">AB90</f>
        <v>0</v>
      </c>
      <c r="AE90" s="3666">
        <v>0</v>
      </c>
      <c r="AF90" s="820">
        <f t="shared" ref="AF90:AF91" si="207">AE90</f>
        <v>0</v>
      </c>
      <c r="AG90" s="820">
        <f t="shared" ref="AG90:AG91" si="208">AF90</f>
        <v>0</v>
      </c>
      <c r="AH90" s="401">
        <f t="shared" ref="AH90:AK90" si="209">AG90</f>
        <v>0</v>
      </c>
      <c r="AI90" s="401">
        <f t="shared" si="209"/>
        <v>0</v>
      </c>
      <c r="AJ90" s="401">
        <f t="shared" si="209"/>
        <v>0</v>
      </c>
      <c r="AK90" s="820">
        <f t="shared" si="209"/>
        <v>0</v>
      </c>
      <c r="AL90" s="820">
        <f t="shared" si="184"/>
        <v>0</v>
      </c>
      <c r="AM90" s="820">
        <f t="shared" ref="AM90:AM91" si="210">AL90</f>
        <v>0</v>
      </c>
      <c r="AN90" s="820">
        <f t="shared" ref="AN90:AN91" si="211">AM90</f>
        <v>0</v>
      </c>
    </row>
    <row r="91" spans="1:40">
      <c r="A91" s="130" t="str">
        <f>$A68</f>
        <v>Tapestry Collection by Hilton</v>
      </c>
      <c r="B91" s="1030">
        <v>0</v>
      </c>
      <c r="C91" s="508">
        <v>0</v>
      </c>
      <c r="D91" s="1030">
        <v>0</v>
      </c>
      <c r="E91" s="912">
        <v>0</v>
      </c>
      <c r="F91" s="912">
        <v>0</v>
      </c>
      <c r="G91" s="1041">
        <v>0</v>
      </c>
      <c r="H91" s="820">
        <f t="shared" si="200"/>
        <v>0</v>
      </c>
      <c r="I91" s="1030">
        <v>0</v>
      </c>
      <c r="J91" s="912">
        <v>0</v>
      </c>
      <c r="K91" s="912">
        <v>0</v>
      </c>
      <c r="L91" s="1041">
        <v>0</v>
      </c>
      <c r="M91" s="820">
        <f t="shared" si="201"/>
        <v>0</v>
      </c>
      <c r="N91" s="1030">
        <v>0</v>
      </c>
      <c r="O91" s="912">
        <v>0</v>
      </c>
      <c r="P91" s="912">
        <v>0</v>
      </c>
      <c r="Q91" s="1041">
        <v>0</v>
      </c>
      <c r="R91" s="820">
        <f t="shared" si="202"/>
        <v>0</v>
      </c>
      <c r="S91" s="1030">
        <v>0</v>
      </c>
      <c r="T91" s="912">
        <v>0</v>
      </c>
      <c r="U91" s="912">
        <v>0</v>
      </c>
      <c r="V91" s="912">
        <v>0</v>
      </c>
      <c r="W91" s="398">
        <f t="shared" si="203"/>
        <v>0</v>
      </c>
      <c r="X91" s="1030">
        <v>0</v>
      </c>
      <c r="Y91" s="912">
        <v>0</v>
      </c>
      <c r="Z91" s="912">
        <v>0</v>
      </c>
      <c r="AA91" s="912">
        <v>0</v>
      </c>
      <c r="AB91" s="398">
        <f t="shared" si="204"/>
        <v>0</v>
      </c>
      <c r="AC91" s="401">
        <f t="shared" si="205"/>
        <v>0</v>
      </c>
      <c r="AD91" s="401">
        <f t="shared" si="206"/>
        <v>0</v>
      </c>
      <c r="AE91" s="3666">
        <v>0</v>
      </c>
      <c r="AF91" s="820">
        <f t="shared" si="207"/>
        <v>0</v>
      </c>
      <c r="AG91" s="820">
        <f t="shared" si="208"/>
        <v>0</v>
      </c>
      <c r="AH91" s="401">
        <f t="shared" ref="AH91:AK92" si="212">AG91</f>
        <v>0</v>
      </c>
      <c r="AI91" s="401">
        <f t="shared" si="212"/>
        <v>0</v>
      </c>
      <c r="AJ91" s="401">
        <f t="shared" si="212"/>
        <v>0</v>
      </c>
      <c r="AK91" s="820">
        <f t="shared" si="212"/>
        <v>0</v>
      </c>
      <c r="AL91" s="820">
        <f t="shared" si="184"/>
        <v>0</v>
      </c>
      <c r="AM91" s="820">
        <f t="shared" si="210"/>
        <v>0</v>
      </c>
      <c r="AN91" s="820">
        <f t="shared" si="211"/>
        <v>0</v>
      </c>
    </row>
    <row r="92" spans="1:40" s="5" customFormat="1" ht="15">
      <c r="A92" s="402" t="str">
        <f>A$21</f>
        <v>Homewood Suites by Hilton (Upscale)</v>
      </c>
      <c r="B92" s="1031">
        <v>0</v>
      </c>
      <c r="C92" s="1029">
        <v>0</v>
      </c>
      <c r="D92" s="1031">
        <v>0</v>
      </c>
      <c r="E92" s="1039">
        <v>0</v>
      </c>
      <c r="F92" s="1039">
        <v>0</v>
      </c>
      <c r="G92" s="1042">
        <v>0</v>
      </c>
      <c r="H92" s="700">
        <f t="shared" si="180"/>
        <v>0</v>
      </c>
      <c r="I92" s="1031">
        <v>0</v>
      </c>
      <c r="J92" s="1039">
        <v>0</v>
      </c>
      <c r="K92" s="1039">
        <v>0</v>
      </c>
      <c r="L92" s="1042">
        <v>0</v>
      </c>
      <c r="M92" s="700">
        <f t="shared" si="181"/>
        <v>0</v>
      </c>
      <c r="N92" s="1031">
        <v>0</v>
      </c>
      <c r="O92" s="1039">
        <v>0</v>
      </c>
      <c r="P92" s="1039">
        <v>0</v>
      </c>
      <c r="Q92" s="1042">
        <v>0</v>
      </c>
      <c r="R92" s="700">
        <f>Q92</f>
        <v>0</v>
      </c>
      <c r="S92" s="1031">
        <v>0</v>
      </c>
      <c r="T92" s="1039">
        <v>0</v>
      </c>
      <c r="U92" s="1039">
        <v>0</v>
      </c>
      <c r="V92" s="1039">
        <v>0</v>
      </c>
      <c r="W92" s="403">
        <f t="shared" si="194"/>
        <v>0</v>
      </c>
      <c r="X92" s="1031">
        <v>0</v>
      </c>
      <c r="Y92" s="1039">
        <v>0</v>
      </c>
      <c r="Z92" s="1039">
        <v>0</v>
      </c>
      <c r="AA92" s="1039">
        <v>0</v>
      </c>
      <c r="AB92" s="403">
        <f t="shared" si="191"/>
        <v>0</v>
      </c>
      <c r="AC92" s="3878">
        <f t="shared" si="186"/>
        <v>0</v>
      </c>
      <c r="AD92" s="3878">
        <f t="shared" si="186"/>
        <v>0</v>
      </c>
      <c r="AE92" s="4005">
        <v>0</v>
      </c>
      <c r="AF92" s="700">
        <f t="shared" si="183"/>
        <v>0</v>
      </c>
      <c r="AG92" s="700">
        <f t="shared" si="183"/>
        <v>0</v>
      </c>
      <c r="AH92" s="3878">
        <f>AG92</f>
        <v>0</v>
      </c>
      <c r="AI92" s="3878">
        <f t="shared" si="212"/>
        <v>0</v>
      </c>
      <c r="AJ92" s="615">
        <f t="shared" si="212"/>
        <v>0</v>
      </c>
      <c r="AK92" s="700">
        <f t="shared" si="212"/>
        <v>0</v>
      </c>
      <c r="AL92" s="700">
        <f t="shared" si="184"/>
        <v>0</v>
      </c>
      <c r="AM92" s="700">
        <f t="shared" si="185"/>
        <v>0</v>
      </c>
      <c r="AN92" s="700">
        <f t="shared" si="185"/>
        <v>0</v>
      </c>
    </row>
    <row r="93" spans="1:40">
      <c r="A93" s="482" t="s">
        <v>1687</v>
      </c>
      <c r="B93" s="1032">
        <f t="shared" ref="B93:AN93" si="213">SUM(B80:B92)</f>
        <v>3</v>
      </c>
      <c r="C93" s="400">
        <f t="shared" si="213"/>
        <v>3</v>
      </c>
      <c r="D93" s="1032">
        <f t="shared" si="213"/>
        <v>3</v>
      </c>
      <c r="E93" s="405">
        <f t="shared" si="213"/>
        <v>3</v>
      </c>
      <c r="F93" s="405">
        <f t="shared" si="213"/>
        <v>3</v>
      </c>
      <c r="G93" s="821">
        <f t="shared" si="213"/>
        <v>3</v>
      </c>
      <c r="H93" s="821">
        <f t="shared" si="213"/>
        <v>3</v>
      </c>
      <c r="I93" s="1032">
        <f t="shared" si="213"/>
        <v>3</v>
      </c>
      <c r="J93" s="405">
        <f t="shared" si="213"/>
        <v>3</v>
      </c>
      <c r="K93" s="405">
        <f t="shared" si="213"/>
        <v>3</v>
      </c>
      <c r="L93" s="821">
        <f t="shared" si="213"/>
        <v>3</v>
      </c>
      <c r="M93" s="821">
        <f t="shared" si="213"/>
        <v>3</v>
      </c>
      <c r="N93" s="1032">
        <f t="shared" si="213"/>
        <v>3</v>
      </c>
      <c r="O93" s="399">
        <f t="shared" si="213"/>
        <v>3</v>
      </c>
      <c r="P93" s="399">
        <f t="shared" si="213"/>
        <v>3</v>
      </c>
      <c r="Q93" s="821">
        <f t="shared" si="213"/>
        <v>3</v>
      </c>
      <c r="R93" s="821">
        <f t="shared" si="213"/>
        <v>3</v>
      </c>
      <c r="S93" s="1032">
        <f t="shared" si="213"/>
        <v>3</v>
      </c>
      <c r="T93" s="405">
        <f t="shared" si="213"/>
        <v>3</v>
      </c>
      <c r="U93" s="405">
        <f t="shared" si="213"/>
        <v>3</v>
      </c>
      <c r="V93" s="405">
        <f t="shared" si="213"/>
        <v>3</v>
      </c>
      <c r="W93" s="400">
        <f t="shared" si="213"/>
        <v>3</v>
      </c>
      <c r="X93" s="1032">
        <f t="shared" si="213"/>
        <v>3</v>
      </c>
      <c r="Y93" s="405">
        <f t="shared" si="213"/>
        <v>3</v>
      </c>
      <c r="Z93" s="405">
        <f t="shared" si="213"/>
        <v>3</v>
      </c>
      <c r="AA93" s="405">
        <f t="shared" si="213"/>
        <v>3</v>
      </c>
      <c r="AB93" s="400">
        <f t="shared" si="213"/>
        <v>3</v>
      </c>
      <c r="AC93" s="399">
        <f t="shared" si="213"/>
        <v>1</v>
      </c>
      <c r="AD93" s="399">
        <f t="shared" si="213"/>
        <v>1</v>
      </c>
      <c r="AE93" s="399">
        <f t="shared" si="213"/>
        <v>1</v>
      </c>
      <c r="AF93" s="821">
        <f t="shared" si="213"/>
        <v>1</v>
      </c>
      <c r="AG93" s="400">
        <f t="shared" si="213"/>
        <v>1</v>
      </c>
      <c r="AH93" s="399">
        <f t="shared" si="213"/>
        <v>1</v>
      </c>
      <c r="AI93" s="399">
        <f t="shared" si="213"/>
        <v>1</v>
      </c>
      <c r="AJ93" s="399">
        <f t="shared" si="213"/>
        <v>1</v>
      </c>
      <c r="AK93" s="821">
        <f t="shared" si="213"/>
        <v>1</v>
      </c>
      <c r="AL93" s="400">
        <f t="shared" ref="AL93" si="214">SUM(AL80:AL92)</f>
        <v>1</v>
      </c>
      <c r="AM93" s="821">
        <f t="shared" si="213"/>
        <v>1</v>
      </c>
      <c r="AN93" s="821">
        <f t="shared" si="213"/>
        <v>1</v>
      </c>
    </row>
    <row r="94" spans="1:40">
      <c r="A94" s="130"/>
      <c r="B94" s="1033"/>
      <c r="C94" s="398"/>
      <c r="D94" s="1033"/>
      <c r="E94" s="406"/>
      <c r="F94" s="406"/>
      <c r="G94" s="820"/>
      <c r="H94" s="820"/>
      <c r="I94" s="1033"/>
      <c r="J94" s="406"/>
      <c r="K94" s="406"/>
      <c r="L94" s="820"/>
      <c r="M94" s="820"/>
      <c r="N94" s="401"/>
      <c r="O94" s="401"/>
      <c r="P94" s="401"/>
      <c r="Q94" s="820"/>
      <c r="R94" s="820"/>
      <c r="S94" s="1033"/>
      <c r="T94" s="406"/>
      <c r="U94" s="406"/>
      <c r="V94" s="406"/>
      <c r="W94" s="398"/>
      <c r="X94" s="401"/>
      <c r="Y94" s="401"/>
      <c r="Z94" s="401"/>
      <c r="AA94" s="401"/>
      <c r="AB94" s="398"/>
      <c r="AC94" s="401"/>
      <c r="AD94" s="401"/>
      <c r="AE94" s="401"/>
      <c r="AF94" s="820"/>
      <c r="AG94" s="398"/>
      <c r="AH94" s="401"/>
      <c r="AI94" s="401"/>
      <c r="AJ94" s="401"/>
      <c r="AK94" s="820"/>
      <c r="AL94" s="398"/>
      <c r="AM94" s="820"/>
      <c r="AN94" s="820"/>
    </row>
    <row r="95" spans="1:40">
      <c r="A95" s="295" t="s">
        <v>1283</v>
      </c>
      <c r="B95" s="1033"/>
      <c r="C95" s="398"/>
      <c r="D95" s="1033"/>
      <c r="E95" s="406"/>
      <c r="F95" s="406"/>
      <c r="G95" s="820"/>
      <c r="H95" s="820"/>
      <c r="I95" s="1033"/>
      <c r="J95" s="406"/>
      <c r="K95" s="406"/>
      <c r="L95" s="820"/>
      <c r="M95" s="820"/>
      <c r="N95" s="401"/>
      <c r="O95" s="401"/>
      <c r="P95" s="401"/>
      <c r="Q95" s="820"/>
      <c r="R95" s="820"/>
      <c r="S95" s="1033"/>
      <c r="T95" s="406"/>
      <c r="U95" s="406"/>
      <c r="V95" s="406"/>
      <c r="W95" s="398"/>
      <c r="X95" s="401"/>
      <c r="Y95" s="401"/>
      <c r="Z95" s="401"/>
      <c r="AA95" s="401"/>
      <c r="AB95" s="398"/>
      <c r="AC95" s="401"/>
      <c r="AD95" s="401"/>
      <c r="AE95" s="401"/>
      <c r="AF95" s="406"/>
      <c r="AG95" s="398"/>
      <c r="AH95" s="401"/>
      <c r="AI95" s="401"/>
      <c r="AJ95" s="401"/>
      <c r="AK95" s="820"/>
      <c r="AL95" s="398"/>
      <c r="AM95" s="820"/>
      <c r="AN95" s="820"/>
    </row>
    <row r="96" spans="1:40">
      <c r="A96" s="130" t="str">
        <f>A$9</f>
        <v>Waldorf Astoria Hotels &amp; Resorts (Luxury)</v>
      </c>
      <c r="B96" s="1030">
        <v>1</v>
      </c>
      <c r="C96" s="508">
        <v>0</v>
      </c>
      <c r="D96" s="1030">
        <v>0</v>
      </c>
      <c r="E96" s="912">
        <v>0</v>
      </c>
      <c r="F96" s="912">
        <v>0</v>
      </c>
      <c r="G96" s="1041">
        <v>0</v>
      </c>
      <c r="H96" s="820">
        <f t="shared" ref="H96:H108" si="215">G96</f>
        <v>0</v>
      </c>
      <c r="I96" s="1030">
        <v>1</v>
      </c>
      <c r="J96" s="912">
        <v>1</v>
      </c>
      <c r="K96" s="912">
        <v>1</v>
      </c>
      <c r="L96" s="1041">
        <v>1</v>
      </c>
      <c r="M96" s="820">
        <f t="shared" ref="M96:M108" si="216">L96</f>
        <v>1</v>
      </c>
      <c r="N96" s="1030">
        <v>1</v>
      </c>
      <c r="O96" s="912">
        <v>1</v>
      </c>
      <c r="P96" s="912">
        <v>1</v>
      </c>
      <c r="Q96" s="1041">
        <v>1</v>
      </c>
      <c r="R96" s="820">
        <f>Q96</f>
        <v>1</v>
      </c>
      <c r="S96" s="1030">
        <v>1</v>
      </c>
      <c r="T96" s="912">
        <v>1</v>
      </c>
      <c r="U96" s="912">
        <v>1</v>
      </c>
      <c r="V96" s="912">
        <v>1</v>
      </c>
      <c r="W96" s="398">
        <f>V96</f>
        <v>1</v>
      </c>
      <c r="X96" s="2791">
        <v>1</v>
      </c>
      <c r="Y96" s="2791">
        <v>1</v>
      </c>
      <c r="Z96" s="2791">
        <v>1</v>
      </c>
      <c r="AA96" s="2791">
        <v>1</v>
      </c>
      <c r="AB96" s="398">
        <f>AA96</f>
        <v>1</v>
      </c>
      <c r="AC96" s="406">
        <f>AA96*(1+AC$884)</f>
        <v>1.01</v>
      </c>
      <c r="AD96" s="406">
        <f>AC96*(1+AD$884)</f>
        <v>1.0199275098979885</v>
      </c>
      <c r="AE96" s="3665">
        <v>1</v>
      </c>
      <c r="AF96" s="3665">
        <v>1</v>
      </c>
      <c r="AG96" s="398">
        <f>AF96</f>
        <v>1</v>
      </c>
      <c r="AH96" s="406">
        <f t="shared" ref="AH96:AK96" si="217">AG96*(1+AH$884)</f>
        <v>1.0149999999999999</v>
      </c>
      <c r="AI96" s="406">
        <f t="shared" si="217"/>
        <v>1.0302249999999997</v>
      </c>
      <c r="AJ96" s="406">
        <f t="shared" si="217"/>
        <v>1.0456783749999996</v>
      </c>
      <c r="AK96" s="820">
        <f t="shared" si="217"/>
        <v>1.0613635506249994</v>
      </c>
      <c r="AL96" s="820">
        <f>AK96</f>
        <v>1.0613635506249994</v>
      </c>
      <c r="AM96" s="398">
        <f t="shared" ref="AM96:AN97" si="218">AL96*(1+AM$883)</f>
        <v>1.1091249104031242</v>
      </c>
      <c r="AN96" s="398">
        <f t="shared" si="218"/>
        <v>1.1423986577152179</v>
      </c>
    </row>
    <row r="97" spans="1:40">
      <c r="A97" s="130" t="str">
        <f>A$10</f>
        <v>Conrad Hotels &amp; Resorts (Luxury)</v>
      </c>
      <c r="B97" s="1030">
        <v>1</v>
      </c>
      <c r="C97" s="508">
        <v>1</v>
      </c>
      <c r="D97" s="1030">
        <v>1</v>
      </c>
      <c r="E97" s="912">
        <v>1</v>
      </c>
      <c r="F97" s="912">
        <v>1</v>
      </c>
      <c r="G97" s="1041">
        <v>1</v>
      </c>
      <c r="H97" s="820">
        <f t="shared" si="215"/>
        <v>1</v>
      </c>
      <c r="I97" s="1030">
        <v>1</v>
      </c>
      <c r="J97" s="912">
        <v>1</v>
      </c>
      <c r="K97" s="912">
        <v>0</v>
      </c>
      <c r="L97" s="1041">
        <v>0</v>
      </c>
      <c r="M97" s="820">
        <f t="shared" si="216"/>
        <v>0</v>
      </c>
      <c r="N97" s="1030">
        <v>0</v>
      </c>
      <c r="O97" s="912">
        <v>0</v>
      </c>
      <c r="P97" s="912">
        <v>0</v>
      </c>
      <c r="Q97" s="1041">
        <v>0</v>
      </c>
      <c r="R97" s="820">
        <f t="shared" ref="R97:R108" si="219">Q97</f>
        <v>0</v>
      </c>
      <c r="S97" s="1030">
        <v>0</v>
      </c>
      <c r="T97" s="912">
        <v>0</v>
      </c>
      <c r="U97" s="912">
        <v>0</v>
      </c>
      <c r="V97" s="912">
        <v>0</v>
      </c>
      <c r="W97" s="398">
        <f t="shared" ref="W97:W108" si="220">V97</f>
        <v>0</v>
      </c>
      <c r="X97" s="2791">
        <v>0</v>
      </c>
      <c r="Y97" s="2791">
        <v>0</v>
      </c>
      <c r="Z97" s="2791">
        <v>0</v>
      </c>
      <c r="AA97" s="2791">
        <v>0</v>
      </c>
      <c r="AB97" s="398">
        <f t="shared" ref="AB97:AB108" si="221">AA97</f>
        <v>0</v>
      </c>
      <c r="AC97" s="406">
        <f>AA97*(1+AC$884)</f>
        <v>0</v>
      </c>
      <c r="AD97" s="406">
        <f>AB97*(1+AD$884)</f>
        <v>0</v>
      </c>
      <c r="AE97" s="406">
        <f>AD97*(1+AE$884)</f>
        <v>0</v>
      </c>
      <c r="AF97" s="3665">
        <v>2</v>
      </c>
      <c r="AG97" s="398">
        <f t="shared" ref="AG97:AG108" si="222">AF97</f>
        <v>2</v>
      </c>
      <c r="AH97" s="406">
        <f t="shared" ref="AH97:AK97" si="223">AG97*(1+AH$884)</f>
        <v>2.0299999999999998</v>
      </c>
      <c r="AI97" s="406">
        <f t="shared" si="223"/>
        <v>2.0604499999999994</v>
      </c>
      <c r="AJ97" s="406">
        <f t="shared" si="223"/>
        <v>2.0913567499999992</v>
      </c>
      <c r="AK97" s="820">
        <f t="shared" si="223"/>
        <v>2.1227271012499989</v>
      </c>
      <c r="AL97" s="820">
        <f t="shared" ref="AL97:AL108" si="224">AK97</f>
        <v>2.1227271012499989</v>
      </c>
      <c r="AM97" s="398">
        <f t="shared" si="218"/>
        <v>2.2182498208062484</v>
      </c>
      <c r="AN97" s="398">
        <f t="shared" si="218"/>
        <v>2.2847973154304357</v>
      </c>
    </row>
    <row r="98" spans="1:40">
      <c r="A98" s="1828" t="s">
        <v>3022</v>
      </c>
      <c r="B98" s="1030"/>
      <c r="C98" s="508"/>
      <c r="D98" s="1030"/>
      <c r="E98" s="912"/>
      <c r="F98" s="912"/>
      <c r="G98" s="1041"/>
      <c r="H98" s="820"/>
      <c r="I98" s="1030"/>
      <c r="J98" s="912"/>
      <c r="K98" s="912"/>
      <c r="L98" s="1041"/>
      <c r="M98" s="820"/>
      <c r="N98" s="1030"/>
      <c r="O98" s="912"/>
      <c r="P98" s="912"/>
      <c r="Q98" s="1041"/>
      <c r="R98" s="820"/>
      <c r="S98" s="1030"/>
      <c r="T98" s="912"/>
      <c r="U98" s="912"/>
      <c r="V98" s="912"/>
      <c r="W98" s="398"/>
      <c r="X98" s="2787"/>
      <c r="Y98" s="2791"/>
      <c r="Z98" s="2791"/>
      <c r="AA98" s="2791">
        <v>0</v>
      </c>
      <c r="AB98" s="398">
        <f t="shared" ref="AB98:AG98" si="225">+AA98</f>
        <v>0</v>
      </c>
      <c r="AC98" s="2944">
        <f t="shared" si="225"/>
        <v>0</v>
      </c>
      <c r="AD98" s="2944">
        <f t="shared" si="225"/>
        <v>0</v>
      </c>
      <c r="AE98" s="406">
        <f t="shared" si="225"/>
        <v>0</v>
      </c>
      <c r="AF98" s="406">
        <f t="shared" si="225"/>
        <v>0</v>
      </c>
      <c r="AG98" s="398">
        <f t="shared" si="225"/>
        <v>0</v>
      </c>
      <c r="AH98" s="406">
        <f t="shared" ref="AH98" si="226">+AG98</f>
        <v>0</v>
      </c>
      <c r="AI98" s="406">
        <f t="shared" ref="AI98" si="227">+AH98</f>
        <v>0</v>
      </c>
      <c r="AJ98" s="406">
        <f t="shared" ref="AJ98" si="228">+AI98</f>
        <v>0</v>
      </c>
      <c r="AK98" s="820">
        <f t="shared" ref="AK98:AL98" si="229">+AJ98</f>
        <v>0</v>
      </c>
      <c r="AL98" s="398">
        <f t="shared" si="229"/>
        <v>0</v>
      </c>
      <c r="AM98" s="398">
        <f>AL98</f>
        <v>0</v>
      </c>
      <c r="AN98" s="398">
        <f>AM98</f>
        <v>0</v>
      </c>
    </row>
    <row r="99" spans="1:40">
      <c r="A99" s="130" t="str">
        <f>A$12</f>
        <v>Hilton Hotels &amp; Resorts (Upper Up)</v>
      </c>
      <c r="B99" s="1030">
        <v>17</v>
      </c>
      <c r="C99" s="508">
        <v>18</v>
      </c>
      <c r="D99" s="1030">
        <v>18</v>
      </c>
      <c r="E99" s="912">
        <v>18</v>
      </c>
      <c r="F99" s="912">
        <v>19</v>
      </c>
      <c r="G99" s="1041">
        <v>20</v>
      </c>
      <c r="H99" s="820">
        <f t="shared" si="215"/>
        <v>20</v>
      </c>
      <c r="I99" s="1030">
        <v>20</v>
      </c>
      <c r="J99" s="912">
        <v>20</v>
      </c>
      <c r="K99" s="912">
        <v>21</v>
      </c>
      <c r="L99" s="1041">
        <v>21</v>
      </c>
      <c r="M99" s="820">
        <f t="shared" si="216"/>
        <v>21</v>
      </c>
      <c r="N99" s="1030">
        <v>22</v>
      </c>
      <c r="O99" s="912">
        <v>22</v>
      </c>
      <c r="P99" s="912">
        <v>23</v>
      </c>
      <c r="Q99" s="1041">
        <v>22</v>
      </c>
      <c r="R99" s="820">
        <f t="shared" si="219"/>
        <v>22</v>
      </c>
      <c r="S99" s="1030">
        <v>21</v>
      </c>
      <c r="T99" s="912">
        <v>23</v>
      </c>
      <c r="U99" s="912">
        <v>23</v>
      </c>
      <c r="V99" s="912">
        <v>23</v>
      </c>
      <c r="W99" s="398">
        <f t="shared" si="220"/>
        <v>23</v>
      </c>
      <c r="X99" s="2791">
        <v>22</v>
      </c>
      <c r="Y99" s="2791">
        <v>22</v>
      </c>
      <c r="Z99" s="2791">
        <v>22</v>
      </c>
      <c r="AA99" s="2791">
        <v>22</v>
      </c>
      <c r="AB99" s="398">
        <f t="shared" si="221"/>
        <v>22</v>
      </c>
      <c r="AC99" s="2944">
        <f>AA99*(1+AC$884)+'Owned Hotels Spinoff'!$C$45</f>
        <v>24.22</v>
      </c>
      <c r="AD99" s="3879">
        <v>24</v>
      </c>
      <c r="AE99" s="3665">
        <v>25</v>
      </c>
      <c r="AF99" s="3665">
        <v>25</v>
      </c>
      <c r="AG99" s="398">
        <f t="shared" si="222"/>
        <v>25</v>
      </c>
      <c r="AH99" s="406">
        <f t="shared" ref="AH99:AK99" si="230">AG99*(1+AH$884)</f>
        <v>25.374999999999996</v>
      </c>
      <c r="AI99" s="406">
        <f t="shared" si="230"/>
        <v>25.755624999999995</v>
      </c>
      <c r="AJ99" s="406">
        <f t="shared" si="230"/>
        <v>26.141959374999992</v>
      </c>
      <c r="AK99" s="820">
        <f t="shared" si="230"/>
        <v>26.53408876562499</v>
      </c>
      <c r="AL99" s="820">
        <f t="shared" si="224"/>
        <v>26.53408876562499</v>
      </c>
      <c r="AM99" s="398">
        <f>AL99*(1+AM$883)</f>
        <v>27.728122760078111</v>
      </c>
      <c r="AN99" s="398">
        <f>AM99*(1+AN$883)</f>
        <v>28.559966442880455</v>
      </c>
    </row>
    <row r="100" spans="1:40">
      <c r="A100" s="130" t="str">
        <f>A$13</f>
        <v xml:space="preserve">Curio - A Collection by Hilton </v>
      </c>
      <c r="B100" s="1030"/>
      <c r="C100" s="508"/>
      <c r="D100" s="1030"/>
      <c r="E100" s="912"/>
      <c r="F100" s="912"/>
      <c r="G100" s="1041"/>
      <c r="H100" s="820"/>
      <c r="I100" s="1030"/>
      <c r="J100" s="912"/>
      <c r="K100" s="912"/>
      <c r="L100" s="1041"/>
      <c r="M100" s="820"/>
      <c r="N100" s="1030"/>
      <c r="O100" s="912"/>
      <c r="P100" s="912"/>
      <c r="Q100" s="1041"/>
      <c r="R100" s="820"/>
      <c r="S100" s="1030">
        <v>0</v>
      </c>
      <c r="T100" s="912">
        <v>0</v>
      </c>
      <c r="U100" s="912">
        <v>0</v>
      </c>
      <c r="V100" s="912">
        <v>0</v>
      </c>
      <c r="W100" s="398">
        <f t="shared" si="220"/>
        <v>0</v>
      </c>
      <c r="X100" s="2792">
        <v>0</v>
      </c>
      <c r="Y100" s="2791">
        <v>0</v>
      </c>
      <c r="Z100" s="2791">
        <v>0</v>
      </c>
      <c r="AA100" s="2791">
        <v>0</v>
      </c>
      <c r="AB100" s="398">
        <f t="shared" si="221"/>
        <v>0</v>
      </c>
      <c r="AC100" s="401">
        <f>AA100</f>
        <v>0</v>
      </c>
      <c r="AD100" s="401">
        <f>AB100</f>
        <v>0</v>
      </c>
      <c r="AE100" s="401">
        <f>AD100</f>
        <v>0</v>
      </c>
      <c r="AF100" s="406">
        <f>AE100</f>
        <v>0</v>
      </c>
      <c r="AG100" s="398">
        <f t="shared" si="222"/>
        <v>0</v>
      </c>
      <c r="AH100" s="401">
        <f t="shared" ref="AH100:AK100" si="231">AG100</f>
        <v>0</v>
      </c>
      <c r="AI100" s="401">
        <f t="shared" si="231"/>
        <v>0</v>
      </c>
      <c r="AJ100" s="401">
        <f t="shared" si="231"/>
        <v>0</v>
      </c>
      <c r="AK100" s="820">
        <f t="shared" si="231"/>
        <v>0</v>
      </c>
      <c r="AL100" s="820">
        <f t="shared" si="224"/>
        <v>0</v>
      </c>
      <c r="AM100" s="398">
        <f>AL100</f>
        <v>0</v>
      </c>
      <c r="AN100" s="398">
        <f>AM100</f>
        <v>0</v>
      </c>
    </row>
    <row r="101" spans="1:40">
      <c r="A101" s="130" t="str">
        <f>A$14</f>
        <v>DoubleTree by Hilton (Upscale)</v>
      </c>
      <c r="B101" s="1030">
        <v>2</v>
      </c>
      <c r="C101" s="508">
        <v>2</v>
      </c>
      <c r="D101" s="1030">
        <v>3</v>
      </c>
      <c r="E101" s="912">
        <v>3</v>
      </c>
      <c r="F101" s="912">
        <v>3</v>
      </c>
      <c r="G101" s="1041">
        <v>4</v>
      </c>
      <c r="H101" s="820">
        <f t="shared" si="215"/>
        <v>4</v>
      </c>
      <c r="I101" s="1030">
        <v>4</v>
      </c>
      <c r="J101" s="912">
        <v>4</v>
      </c>
      <c r="K101" s="912">
        <v>3</v>
      </c>
      <c r="L101" s="1041">
        <v>3</v>
      </c>
      <c r="M101" s="820">
        <f t="shared" si="216"/>
        <v>3</v>
      </c>
      <c r="N101" s="1030">
        <v>3</v>
      </c>
      <c r="O101" s="912">
        <v>3</v>
      </c>
      <c r="P101" s="912">
        <v>3</v>
      </c>
      <c r="Q101" s="1041">
        <v>3</v>
      </c>
      <c r="R101" s="820">
        <f t="shared" si="219"/>
        <v>3</v>
      </c>
      <c r="S101" s="1030">
        <v>3</v>
      </c>
      <c r="T101" s="912">
        <v>3</v>
      </c>
      <c r="U101" s="912">
        <v>3</v>
      </c>
      <c r="V101" s="912">
        <v>4</v>
      </c>
      <c r="W101" s="398">
        <f t="shared" si="220"/>
        <v>4</v>
      </c>
      <c r="X101" s="2791">
        <v>4</v>
      </c>
      <c r="Y101" s="2791">
        <v>5</v>
      </c>
      <c r="Z101" s="2791">
        <v>4</v>
      </c>
      <c r="AA101" s="2791">
        <v>5</v>
      </c>
      <c r="AB101" s="398">
        <f t="shared" si="221"/>
        <v>5</v>
      </c>
      <c r="AC101" s="406">
        <f t="shared" ref="AC101:AC105" si="232">AA101*(1+AC$884)</f>
        <v>5.05</v>
      </c>
      <c r="AD101" s="406">
        <f t="shared" ref="AD101:AD108" si="233">AC101*(1+AD$884)</f>
        <v>5.099637549489942</v>
      </c>
      <c r="AE101" s="3665">
        <v>5</v>
      </c>
      <c r="AF101" s="3665">
        <v>4</v>
      </c>
      <c r="AG101" s="398">
        <f t="shared" si="222"/>
        <v>4</v>
      </c>
      <c r="AH101" s="406">
        <f t="shared" ref="AH101:AH108" si="234">AG101*(1+AH$884)</f>
        <v>4.0599999999999996</v>
      </c>
      <c r="AI101" s="406">
        <f t="shared" ref="AI101:AI108" si="235">AH101*(1+AI$884)</f>
        <v>4.1208999999999989</v>
      </c>
      <c r="AJ101" s="406">
        <f t="shared" ref="AJ101:AJ108" si="236">AI101*(1+AJ$884)</f>
        <v>4.1827134999999984</v>
      </c>
      <c r="AK101" s="820">
        <f t="shared" ref="AK101:AK108" si="237">AJ101*(1+AK$884)</f>
        <v>4.2454542024999977</v>
      </c>
      <c r="AL101" s="820">
        <f t="shared" si="224"/>
        <v>4.2454542024999977</v>
      </c>
      <c r="AM101" s="398">
        <f t="shared" ref="AM101:AN105" si="238">AL101*(1+AM$883)</f>
        <v>4.4364996416124969</v>
      </c>
      <c r="AN101" s="398">
        <f t="shared" si="238"/>
        <v>4.5695946308608715</v>
      </c>
    </row>
    <row r="102" spans="1:40">
      <c r="A102" s="130" t="str">
        <f>A$15</f>
        <v>Embassy Suites Hotels (Upper Up)</v>
      </c>
      <c r="B102" s="1030">
        <v>2</v>
      </c>
      <c r="C102" s="508">
        <v>2</v>
      </c>
      <c r="D102" s="1030">
        <v>2</v>
      </c>
      <c r="E102" s="912">
        <v>2</v>
      </c>
      <c r="F102" s="912">
        <v>2</v>
      </c>
      <c r="G102" s="1041">
        <v>2</v>
      </c>
      <c r="H102" s="820">
        <f t="shared" si="215"/>
        <v>2</v>
      </c>
      <c r="I102" s="1030">
        <v>2</v>
      </c>
      <c r="J102" s="912">
        <v>2</v>
      </c>
      <c r="K102" s="912">
        <v>2</v>
      </c>
      <c r="L102" s="1041">
        <v>2</v>
      </c>
      <c r="M102" s="820">
        <f t="shared" si="216"/>
        <v>2</v>
      </c>
      <c r="N102" s="1030">
        <v>2</v>
      </c>
      <c r="O102" s="912">
        <v>3</v>
      </c>
      <c r="P102" s="912">
        <v>3</v>
      </c>
      <c r="Q102" s="1041">
        <v>3</v>
      </c>
      <c r="R102" s="820">
        <f t="shared" si="219"/>
        <v>3</v>
      </c>
      <c r="S102" s="1030">
        <v>3</v>
      </c>
      <c r="T102" s="912">
        <v>3</v>
      </c>
      <c r="U102" s="912">
        <v>3</v>
      </c>
      <c r="V102" s="912">
        <v>3</v>
      </c>
      <c r="W102" s="398">
        <f t="shared" si="220"/>
        <v>3</v>
      </c>
      <c r="X102" s="2791">
        <v>3</v>
      </c>
      <c r="Y102" s="2791">
        <v>3</v>
      </c>
      <c r="Z102" s="2791">
        <v>3</v>
      </c>
      <c r="AA102" s="2791">
        <v>3</v>
      </c>
      <c r="AB102" s="398">
        <f t="shared" si="221"/>
        <v>3</v>
      </c>
      <c r="AC102" s="406">
        <f t="shared" si="232"/>
        <v>3.0300000000000002</v>
      </c>
      <c r="AD102" s="406">
        <f t="shared" si="233"/>
        <v>3.0597825296939654</v>
      </c>
      <c r="AE102" s="3665">
        <v>3</v>
      </c>
      <c r="AF102" s="3665">
        <v>3</v>
      </c>
      <c r="AG102" s="398">
        <f t="shared" si="222"/>
        <v>3</v>
      </c>
      <c r="AH102" s="406">
        <f t="shared" si="234"/>
        <v>3.0449999999999999</v>
      </c>
      <c r="AI102" s="406">
        <f t="shared" si="235"/>
        <v>3.0906749999999996</v>
      </c>
      <c r="AJ102" s="406">
        <f t="shared" si="236"/>
        <v>3.1370351249999993</v>
      </c>
      <c r="AK102" s="820">
        <f t="shared" si="237"/>
        <v>3.1840906518749987</v>
      </c>
      <c r="AL102" s="820">
        <f t="shared" si="224"/>
        <v>3.1840906518749987</v>
      </c>
      <c r="AM102" s="398">
        <f t="shared" si="238"/>
        <v>3.3273747312093733</v>
      </c>
      <c r="AN102" s="398">
        <f t="shared" si="238"/>
        <v>3.4271959731456545</v>
      </c>
    </row>
    <row r="103" spans="1:40">
      <c r="A103" s="130" t="str">
        <f>A$16</f>
        <v>Hilton Garden Inn (Upscale)</v>
      </c>
      <c r="B103" s="1030">
        <v>1</v>
      </c>
      <c r="C103" s="508">
        <v>3</v>
      </c>
      <c r="D103" s="1030">
        <v>3</v>
      </c>
      <c r="E103" s="912">
        <v>3</v>
      </c>
      <c r="F103" s="912">
        <v>3</v>
      </c>
      <c r="G103" s="1041">
        <v>5</v>
      </c>
      <c r="H103" s="820">
        <f t="shared" si="215"/>
        <v>5</v>
      </c>
      <c r="I103" s="1030">
        <v>5</v>
      </c>
      <c r="J103" s="912">
        <v>5</v>
      </c>
      <c r="K103" s="912">
        <v>5</v>
      </c>
      <c r="L103" s="1041">
        <v>5</v>
      </c>
      <c r="M103" s="820">
        <f t="shared" si="216"/>
        <v>5</v>
      </c>
      <c r="N103" s="1030">
        <v>5</v>
      </c>
      <c r="O103" s="912">
        <v>5</v>
      </c>
      <c r="P103" s="912">
        <v>6</v>
      </c>
      <c r="Q103" s="1041">
        <v>6</v>
      </c>
      <c r="R103" s="820">
        <f t="shared" si="219"/>
        <v>6</v>
      </c>
      <c r="S103" s="1030">
        <v>5</v>
      </c>
      <c r="T103" s="912">
        <v>5</v>
      </c>
      <c r="U103" s="912">
        <v>5</v>
      </c>
      <c r="V103" s="912">
        <v>7</v>
      </c>
      <c r="W103" s="398">
        <f t="shared" si="220"/>
        <v>7</v>
      </c>
      <c r="X103" s="2791">
        <v>8</v>
      </c>
      <c r="Y103" s="2791">
        <v>8</v>
      </c>
      <c r="Z103" s="2791">
        <v>8</v>
      </c>
      <c r="AA103" s="2791">
        <v>8</v>
      </c>
      <c r="AB103" s="398">
        <f t="shared" si="221"/>
        <v>8</v>
      </c>
      <c r="AC103" s="406">
        <f t="shared" si="232"/>
        <v>8.08</v>
      </c>
      <c r="AD103" s="406">
        <f t="shared" si="233"/>
        <v>8.1594200791839082</v>
      </c>
      <c r="AE103" s="3665">
        <v>7</v>
      </c>
      <c r="AF103" s="3665">
        <v>8</v>
      </c>
      <c r="AG103" s="398">
        <f t="shared" si="222"/>
        <v>8</v>
      </c>
      <c r="AH103" s="406">
        <f t="shared" si="234"/>
        <v>8.1199999999999992</v>
      </c>
      <c r="AI103" s="406">
        <f t="shared" si="235"/>
        <v>8.2417999999999978</v>
      </c>
      <c r="AJ103" s="406">
        <f t="shared" si="236"/>
        <v>8.3654269999999968</v>
      </c>
      <c r="AK103" s="820">
        <f t="shared" si="237"/>
        <v>8.4909084049999954</v>
      </c>
      <c r="AL103" s="820">
        <f t="shared" si="224"/>
        <v>8.4909084049999954</v>
      </c>
      <c r="AM103" s="398">
        <f t="shared" si="238"/>
        <v>8.8729992832249938</v>
      </c>
      <c r="AN103" s="398">
        <f t="shared" si="238"/>
        <v>9.139189261721743</v>
      </c>
    </row>
    <row r="104" spans="1:40">
      <c r="A104" s="130" t="str">
        <f>A$17</f>
        <v>Hampton Inn (Upper Mid)</v>
      </c>
      <c r="B104" s="1030">
        <v>1</v>
      </c>
      <c r="C104" s="508">
        <v>2</v>
      </c>
      <c r="D104" s="1030">
        <v>3</v>
      </c>
      <c r="E104" s="912">
        <v>3</v>
      </c>
      <c r="F104" s="912">
        <v>3</v>
      </c>
      <c r="G104" s="1041">
        <v>4</v>
      </c>
      <c r="H104" s="820">
        <f t="shared" si="215"/>
        <v>4</v>
      </c>
      <c r="I104" s="1030">
        <v>4</v>
      </c>
      <c r="J104" s="912">
        <v>4</v>
      </c>
      <c r="K104" s="912">
        <v>5</v>
      </c>
      <c r="L104" s="1041">
        <v>6</v>
      </c>
      <c r="M104" s="820">
        <f t="shared" si="216"/>
        <v>6</v>
      </c>
      <c r="N104" s="1030">
        <v>6</v>
      </c>
      <c r="O104" s="912">
        <v>6</v>
      </c>
      <c r="P104" s="912">
        <v>7</v>
      </c>
      <c r="Q104" s="1041">
        <v>7</v>
      </c>
      <c r="R104" s="820">
        <f t="shared" si="219"/>
        <v>7</v>
      </c>
      <c r="S104" s="1030">
        <v>7</v>
      </c>
      <c r="T104" s="912">
        <v>7</v>
      </c>
      <c r="U104" s="912">
        <v>10</v>
      </c>
      <c r="V104" s="912">
        <v>11</v>
      </c>
      <c r="W104" s="398">
        <f t="shared" si="220"/>
        <v>11</v>
      </c>
      <c r="X104" s="2791">
        <v>11</v>
      </c>
      <c r="Y104" s="2791">
        <v>11</v>
      </c>
      <c r="Z104" s="2791">
        <v>11</v>
      </c>
      <c r="AA104" s="2791">
        <v>11</v>
      </c>
      <c r="AB104" s="398">
        <f t="shared" si="221"/>
        <v>11</v>
      </c>
      <c r="AC104" s="406">
        <f t="shared" si="232"/>
        <v>11.11</v>
      </c>
      <c r="AD104" s="406">
        <f t="shared" si="233"/>
        <v>11.219202608877872</v>
      </c>
      <c r="AE104" s="3665">
        <v>13</v>
      </c>
      <c r="AF104" s="3665">
        <v>13</v>
      </c>
      <c r="AG104" s="398">
        <f t="shared" si="222"/>
        <v>13</v>
      </c>
      <c r="AH104" s="406">
        <f t="shared" si="234"/>
        <v>13.194999999999999</v>
      </c>
      <c r="AI104" s="406">
        <f t="shared" si="235"/>
        <v>13.392924999999996</v>
      </c>
      <c r="AJ104" s="406">
        <f t="shared" si="236"/>
        <v>13.593818874999995</v>
      </c>
      <c r="AK104" s="820">
        <f t="shared" si="237"/>
        <v>13.797726158124993</v>
      </c>
      <c r="AL104" s="820">
        <f t="shared" si="224"/>
        <v>13.797726158124993</v>
      </c>
      <c r="AM104" s="398">
        <f t="shared" si="238"/>
        <v>14.418623835240616</v>
      </c>
      <c r="AN104" s="398">
        <f t="shared" si="238"/>
        <v>14.851182550297835</v>
      </c>
    </row>
    <row r="105" spans="1:40">
      <c r="A105" s="130" t="s">
        <v>1408</v>
      </c>
      <c r="B105" s="1030">
        <v>0</v>
      </c>
      <c r="C105" s="508">
        <v>0</v>
      </c>
      <c r="D105" s="1030">
        <v>0</v>
      </c>
      <c r="E105" s="912">
        <v>0</v>
      </c>
      <c r="F105" s="912">
        <v>0</v>
      </c>
      <c r="G105" s="1041">
        <v>0</v>
      </c>
      <c r="H105" s="820">
        <f t="shared" si="215"/>
        <v>0</v>
      </c>
      <c r="I105" s="1030">
        <v>0</v>
      </c>
      <c r="J105" s="912">
        <v>0</v>
      </c>
      <c r="K105" s="912">
        <v>0</v>
      </c>
      <c r="L105" s="1041">
        <v>1</v>
      </c>
      <c r="M105" s="820">
        <f t="shared" si="216"/>
        <v>1</v>
      </c>
      <c r="N105" s="1030">
        <v>1</v>
      </c>
      <c r="O105" s="912">
        <v>1</v>
      </c>
      <c r="P105" s="912">
        <v>1</v>
      </c>
      <c r="Q105" s="1041">
        <v>1</v>
      </c>
      <c r="R105" s="820">
        <f t="shared" si="219"/>
        <v>1</v>
      </c>
      <c r="S105" s="1030">
        <v>1</v>
      </c>
      <c r="T105" s="912">
        <v>1</v>
      </c>
      <c r="U105" s="912">
        <v>1</v>
      </c>
      <c r="V105" s="912">
        <v>1</v>
      </c>
      <c r="W105" s="398">
        <f t="shared" si="220"/>
        <v>1</v>
      </c>
      <c r="X105" s="2791">
        <v>1</v>
      </c>
      <c r="Y105" s="2791">
        <v>1</v>
      </c>
      <c r="Z105" s="2791">
        <v>0</v>
      </c>
      <c r="AA105" s="2791">
        <v>0</v>
      </c>
      <c r="AB105" s="398">
        <f t="shared" si="221"/>
        <v>0</v>
      </c>
      <c r="AC105" s="406">
        <f t="shared" si="232"/>
        <v>0</v>
      </c>
      <c r="AD105" s="406">
        <f t="shared" si="233"/>
        <v>0</v>
      </c>
      <c r="AE105" s="406">
        <f t="shared" ref="AE105:AF105" si="239">AD105*(1+AE$884)</f>
        <v>0</v>
      </c>
      <c r="AF105" s="406">
        <f t="shared" si="239"/>
        <v>0</v>
      </c>
      <c r="AG105" s="398">
        <f t="shared" si="222"/>
        <v>0</v>
      </c>
      <c r="AH105" s="406">
        <f t="shared" si="234"/>
        <v>0</v>
      </c>
      <c r="AI105" s="406">
        <f t="shared" si="235"/>
        <v>0</v>
      </c>
      <c r="AJ105" s="406">
        <f t="shared" si="236"/>
        <v>0</v>
      </c>
      <c r="AK105" s="820">
        <f t="shared" si="237"/>
        <v>0</v>
      </c>
      <c r="AL105" s="820">
        <f t="shared" si="224"/>
        <v>0</v>
      </c>
      <c r="AM105" s="398">
        <f t="shared" si="238"/>
        <v>0</v>
      </c>
      <c r="AN105" s="398">
        <f t="shared" si="238"/>
        <v>0</v>
      </c>
    </row>
    <row r="106" spans="1:40">
      <c r="A106" s="130" t="str">
        <f>$A$90</f>
        <v>Tru by Hilton</v>
      </c>
      <c r="B106" s="1030"/>
      <c r="C106" s="508"/>
      <c r="D106" s="1030"/>
      <c r="E106" s="912"/>
      <c r="F106" s="912"/>
      <c r="G106" s="1041"/>
      <c r="H106" s="820"/>
      <c r="I106" s="1030"/>
      <c r="J106" s="912"/>
      <c r="K106" s="912"/>
      <c r="L106" s="1041"/>
      <c r="M106" s="820"/>
      <c r="N106" s="1030"/>
      <c r="O106" s="912"/>
      <c r="P106" s="912"/>
      <c r="Q106" s="1041"/>
      <c r="R106" s="820"/>
      <c r="S106" s="1030"/>
      <c r="T106" s="912"/>
      <c r="U106" s="912"/>
      <c r="V106" s="912"/>
      <c r="W106" s="398"/>
      <c r="X106" s="2791"/>
      <c r="Y106" s="2791"/>
      <c r="Z106" s="2791"/>
      <c r="AA106" s="2791"/>
      <c r="AB106" s="398"/>
      <c r="AC106" s="406">
        <f t="shared" ref="AC106:AC107" si="240">AA106*(1+AC$884)</f>
        <v>0</v>
      </c>
      <c r="AD106" s="406">
        <f t="shared" si="233"/>
        <v>0</v>
      </c>
      <c r="AE106" s="406">
        <f t="shared" ref="AE106:AF106" si="241">AD106*(1+AE$884)</f>
        <v>0</v>
      </c>
      <c r="AF106" s="406">
        <f t="shared" si="241"/>
        <v>0</v>
      </c>
      <c r="AG106" s="398">
        <f t="shared" ref="AG106:AG107" si="242">AF106</f>
        <v>0</v>
      </c>
      <c r="AH106" s="406">
        <f t="shared" si="234"/>
        <v>0</v>
      </c>
      <c r="AI106" s="406">
        <f t="shared" si="235"/>
        <v>0</v>
      </c>
      <c r="AJ106" s="406">
        <f t="shared" si="236"/>
        <v>0</v>
      </c>
      <c r="AK106" s="820">
        <f t="shared" si="237"/>
        <v>0</v>
      </c>
      <c r="AL106" s="820">
        <f t="shared" si="224"/>
        <v>0</v>
      </c>
      <c r="AM106" s="398">
        <f t="shared" ref="AM106:AN106" si="243">AL106*(1+AM$883)</f>
        <v>0</v>
      </c>
      <c r="AN106" s="398">
        <f t="shared" si="243"/>
        <v>0</v>
      </c>
    </row>
    <row r="107" spans="1:40">
      <c r="A107" s="130" t="str">
        <f>$A$91</f>
        <v>Tapestry Collection by Hilton</v>
      </c>
      <c r="B107" s="1030"/>
      <c r="C107" s="508"/>
      <c r="D107" s="1030"/>
      <c r="E107" s="912"/>
      <c r="F107" s="912"/>
      <c r="G107" s="1041"/>
      <c r="H107" s="820"/>
      <c r="I107" s="1030"/>
      <c r="J107" s="912"/>
      <c r="K107" s="912"/>
      <c r="L107" s="1041"/>
      <c r="M107" s="820"/>
      <c r="N107" s="1030"/>
      <c r="O107" s="912"/>
      <c r="P107" s="912"/>
      <c r="Q107" s="1041"/>
      <c r="R107" s="820"/>
      <c r="S107" s="1030"/>
      <c r="T107" s="912"/>
      <c r="U107" s="912"/>
      <c r="V107" s="912"/>
      <c r="W107" s="398"/>
      <c r="X107" s="2791"/>
      <c r="Y107" s="2791"/>
      <c r="Z107" s="2791"/>
      <c r="AA107" s="2791"/>
      <c r="AB107" s="398"/>
      <c r="AC107" s="406">
        <f t="shared" si="240"/>
        <v>0</v>
      </c>
      <c r="AD107" s="406">
        <f t="shared" si="233"/>
        <v>0</v>
      </c>
      <c r="AE107" s="406">
        <f t="shared" ref="AE107:AF107" si="244">AD107*(1+AE$884)</f>
        <v>0</v>
      </c>
      <c r="AF107" s="406">
        <f t="shared" si="244"/>
        <v>0</v>
      </c>
      <c r="AG107" s="398">
        <f t="shared" si="242"/>
        <v>0</v>
      </c>
      <c r="AH107" s="406">
        <f t="shared" si="234"/>
        <v>0</v>
      </c>
      <c r="AI107" s="406">
        <f t="shared" si="235"/>
        <v>0</v>
      </c>
      <c r="AJ107" s="406">
        <f t="shared" si="236"/>
        <v>0</v>
      </c>
      <c r="AK107" s="820">
        <f t="shared" si="237"/>
        <v>0</v>
      </c>
      <c r="AL107" s="820">
        <f t="shared" si="224"/>
        <v>0</v>
      </c>
      <c r="AM107" s="398">
        <f t="shared" ref="AM107:AN107" si="245">AL107*(1+AM$883)</f>
        <v>0</v>
      </c>
      <c r="AN107" s="398">
        <f t="shared" si="245"/>
        <v>0</v>
      </c>
    </row>
    <row r="108" spans="1:40" s="5" customFormat="1" ht="15">
      <c r="A108" s="402" t="str">
        <f>A$21</f>
        <v>Homewood Suites by Hilton (Upscale)</v>
      </c>
      <c r="B108" s="1031">
        <v>1</v>
      </c>
      <c r="C108" s="1029">
        <v>1</v>
      </c>
      <c r="D108" s="1031">
        <v>1</v>
      </c>
      <c r="E108" s="1039">
        <v>1</v>
      </c>
      <c r="F108" s="1039">
        <v>1</v>
      </c>
      <c r="G108" s="1042">
        <v>1</v>
      </c>
      <c r="H108" s="700">
        <f t="shared" si="215"/>
        <v>1</v>
      </c>
      <c r="I108" s="1031">
        <v>1</v>
      </c>
      <c r="J108" s="1039">
        <v>1</v>
      </c>
      <c r="K108" s="1039">
        <v>1</v>
      </c>
      <c r="L108" s="1042">
        <v>1</v>
      </c>
      <c r="M108" s="700">
        <f t="shared" si="216"/>
        <v>1</v>
      </c>
      <c r="N108" s="1031">
        <v>1</v>
      </c>
      <c r="O108" s="1039">
        <v>2</v>
      </c>
      <c r="P108" s="1039">
        <v>2</v>
      </c>
      <c r="Q108" s="1042">
        <v>2</v>
      </c>
      <c r="R108" s="1711">
        <f t="shared" si="219"/>
        <v>2</v>
      </c>
      <c r="S108" s="1031">
        <v>2</v>
      </c>
      <c r="T108" s="1039">
        <v>2</v>
      </c>
      <c r="U108" s="1039">
        <v>2</v>
      </c>
      <c r="V108" s="1039">
        <v>2</v>
      </c>
      <c r="W108" s="1713">
        <f t="shared" si="220"/>
        <v>2</v>
      </c>
      <c r="X108" s="2793">
        <v>2</v>
      </c>
      <c r="Y108" s="2793">
        <v>2</v>
      </c>
      <c r="Z108" s="2793">
        <v>3</v>
      </c>
      <c r="AA108" s="2793">
        <v>2</v>
      </c>
      <c r="AB108" s="1713">
        <f t="shared" si="221"/>
        <v>2</v>
      </c>
      <c r="AC108" s="1712">
        <f>AA108*(1+AC$884)</f>
        <v>2.02</v>
      </c>
      <c r="AD108" s="1712">
        <f t="shared" si="233"/>
        <v>2.0398550197959771</v>
      </c>
      <c r="AE108" s="4001">
        <v>2</v>
      </c>
      <c r="AF108" s="4001">
        <v>3</v>
      </c>
      <c r="AG108" s="1713">
        <f t="shared" si="222"/>
        <v>3</v>
      </c>
      <c r="AH108" s="1712">
        <f t="shared" si="234"/>
        <v>3.0449999999999999</v>
      </c>
      <c r="AI108" s="1712">
        <f t="shared" si="235"/>
        <v>3.0906749999999996</v>
      </c>
      <c r="AJ108" s="1712">
        <f t="shared" si="236"/>
        <v>3.1370351249999993</v>
      </c>
      <c r="AK108" s="1711">
        <f t="shared" si="237"/>
        <v>3.1840906518749987</v>
      </c>
      <c r="AL108" s="1711">
        <f t="shared" si="224"/>
        <v>3.1840906518749987</v>
      </c>
      <c r="AM108" s="1713">
        <f>AL108*(1+AM$883)</f>
        <v>3.3273747312093733</v>
      </c>
      <c r="AN108" s="1713">
        <f>AM108*(1+AN$883)</f>
        <v>3.4271959731456545</v>
      </c>
    </row>
    <row r="109" spans="1:40">
      <c r="A109" s="482" t="s">
        <v>1687</v>
      </c>
      <c r="B109" s="1032">
        <f>SUM(B96:B108)</f>
        <v>26</v>
      </c>
      <c r="C109" s="400">
        <f>SUM(C96:C108)</f>
        <v>29</v>
      </c>
      <c r="D109" s="1032">
        <f t="shared" ref="D109:R109" si="246">SUM(D96:D108)</f>
        <v>31</v>
      </c>
      <c r="E109" s="405">
        <f t="shared" si="246"/>
        <v>31</v>
      </c>
      <c r="F109" s="405">
        <f t="shared" si="246"/>
        <v>32</v>
      </c>
      <c r="G109" s="821">
        <f t="shared" si="246"/>
        <v>37</v>
      </c>
      <c r="H109" s="821">
        <f t="shared" si="246"/>
        <v>37</v>
      </c>
      <c r="I109" s="1032">
        <f t="shared" si="246"/>
        <v>38</v>
      </c>
      <c r="J109" s="405">
        <f t="shared" si="246"/>
        <v>38</v>
      </c>
      <c r="K109" s="405">
        <f t="shared" si="246"/>
        <v>38</v>
      </c>
      <c r="L109" s="821">
        <f>SUM(L96:L108)</f>
        <v>40</v>
      </c>
      <c r="M109" s="821">
        <f>SUM(M96:M108)</f>
        <v>40</v>
      </c>
      <c r="N109" s="1032">
        <f t="shared" si="246"/>
        <v>41</v>
      </c>
      <c r="O109" s="405">
        <f t="shared" si="246"/>
        <v>43</v>
      </c>
      <c r="P109" s="405">
        <f>SUM(P96:P108)</f>
        <v>46</v>
      </c>
      <c r="Q109" s="821">
        <f>SUM(Q96:Q108)</f>
        <v>45</v>
      </c>
      <c r="R109" s="821">
        <f t="shared" si="246"/>
        <v>45</v>
      </c>
      <c r="S109" s="1032">
        <f t="shared" ref="S109:AN109" si="247">SUM(S96:S108)</f>
        <v>43</v>
      </c>
      <c r="T109" s="405">
        <f t="shared" si="247"/>
        <v>45</v>
      </c>
      <c r="U109" s="405">
        <f t="shared" si="247"/>
        <v>48</v>
      </c>
      <c r="V109" s="405">
        <f t="shared" si="247"/>
        <v>52</v>
      </c>
      <c r="W109" s="400">
        <f t="shared" si="247"/>
        <v>52</v>
      </c>
      <c r="X109" s="399">
        <f t="shared" si="247"/>
        <v>52</v>
      </c>
      <c r="Y109" s="405">
        <f t="shared" si="247"/>
        <v>53</v>
      </c>
      <c r="Z109" s="405">
        <f>SUM(Z96:Z108)</f>
        <v>52</v>
      </c>
      <c r="AA109" s="405">
        <f>SUM(AA96:AA108)</f>
        <v>52</v>
      </c>
      <c r="AB109" s="400">
        <f t="shared" si="247"/>
        <v>52</v>
      </c>
      <c r="AC109" s="399">
        <f t="shared" si="247"/>
        <v>54.52</v>
      </c>
      <c r="AD109" s="399">
        <f t="shared" si="247"/>
        <v>54.597825296939661</v>
      </c>
      <c r="AE109" s="399">
        <f t="shared" si="247"/>
        <v>56</v>
      </c>
      <c r="AF109" s="821">
        <f t="shared" si="247"/>
        <v>59</v>
      </c>
      <c r="AG109" s="400">
        <f t="shared" si="247"/>
        <v>59</v>
      </c>
      <c r="AH109" s="399">
        <f t="shared" ref="AH109:AL109" si="248">SUM(AH96:AH108)</f>
        <v>59.884999999999998</v>
      </c>
      <c r="AI109" s="399">
        <f t="shared" si="248"/>
        <v>60.783274999999982</v>
      </c>
      <c r="AJ109" s="399">
        <f t="shared" si="248"/>
        <v>61.695024124999975</v>
      </c>
      <c r="AK109" s="821">
        <f t="shared" si="248"/>
        <v>62.620449486874968</v>
      </c>
      <c r="AL109" s="400">
        <f t="shared" si="248"/>
        <v>62.620449486874968</v>
      </c>
      <c r="AM109" s="821">
        <f t="shared" si="247"/>
        <v>65.43836971378434</v>
      </c>
      <c r="AN109" s="821">
        <f t="shared" si="247"/>
        <v>67.401520805197876</v>
      </c>
    </row>
    <row r="110" spans="1:40">
      <c r="A110" s="130"/>
      <c r="B110" s="1033"/>
      <c r="C110" s="398"/>
      <c r="D110" s="1033"/>
      <c r="E110" s="406"/>
      <c r="F110" s="406"/>
      <c r="G110" s="820"/>
      <c r="H110" s="820"/>
      <c r="I110" s="1033"/>
      <c r="J110" s="406"/>
      <c r="K110" s="406"/>
      <c r="L110" s="820"/>
      <c r="M110" s="820"/>
      <c r="N110" s="401"/>
      <c r="O110" s="406"/>
      <c r="P110" s="401"/>
      <c r="Q110" s="820"/>
      <c r="R110" s="820"/>
      <c r="S110" s="1033"/>
      <c r="T110" s="406"/>
      <c r="U110" s="406"/>
      <c r="V110" s="406"/>
      <c r="W110" s="398"/>
      <c r="X110" s="401"/>
      <c r="Y110" s="401"/>
      <c r="Z110" s="401"/>
      <c r="AA110" s="401"/>
      <c r="AB110" s="398"/>
      <c r="AC110" s="401"/>
      <c r="AD110" s="401"/>
      <c r="AE110" s="401"/>
      <c r="AF110" s="820"/>
      <c r="AG110" s="398"/>
      <c r="AH110" s="401"/>
      <c r="AI110" s="401"/>
      <c r="AJ110" s="401"/>
      <c r="AK110" s="820"/>
      <c r="AL110" s="398"/>
      <c r="AM110" s="820"/>
      <c r="AN110" s="820"/>
    </row>
    <row r="111" spans="1:40">
      <c r="A111" s="295" t="s">
        <v>1284</v>
      </c>
      <c r="B111" s="1033"/>
      <c r="C111" s="398"/>
      <c r="D111" s="1033"/>
      <c r="E111" s="406"/>
      <c r="F111" s="406"/>
      <c r="G111" s="820"/>
      <c r="H111" s="820"/>
      <c r="I111" s="1033"/>
      <c r="J111" s="406"/>
      <c r="K111" s="406"/>
      <c r="L111" s="820"/>
      <c r="M111" s="820"/>
      <c r="N111" s="401"/>
      <c r="O111" s="406"/>
      <c r="P111" s="401"/>
      <c r="Q111" s="820"/>
      <c r="R111" s="820"/>
      <c r="S111" s="1033"/>
      <c r="T111" s="406"/>
      <c r="U111" s="406"/>
      <c r="V111" s="406"/>
      <c r="W111" s="398"/>
      <c r="X111" s="401"/>
      <c r="Y111" s="401"/>
      <c r="Z111" s="401"/>
      <c r="AA111" s="401"/>
      <c r="AB111" s="398"/>
      <c r="AC111" s="401"/>
      <c r="AD111" s="401"/>
      <c r="AE111" s="401"/>
      <c r="AF111" s="820"/>
      <c r="AG111" s="398"/>
      <c r="AH111" s="401"/>
      <c r="AI111" s="401"/>
      <c r="AJ111" s="401"/>
      <c r="AK111" s="820"/>
      <c r="AL111" s="398"/>
      <c r="AM111" s="820"/>
      <c r="AN111" s="820"/>
    </row>
    <row r="112" spans="1:40">
      <c r="A112" s="130" t="str">
        <f>A$9</f>
        <v>Waldorf Astoria Hotels &amp; Resorts (Luxury)</v>
      </c>
      <c r="B112" s="1030">
        <v>1</v>
      </c>
      <c r="C112" s="508">
        <v>1</v>
      </c>
      <c r="D112" s="1030">
        <v>1</v>
      </c>
      <c r="E112" s="912">
        <v>1</v>
      </c>
      <c r="F112" s="912">
        <v>1</v>
      </c>
      <c r="G112" s="1041">
        <v>1</v>
      </c>
      <c r="H112" s="820">
        <f t="shared" ref="H112:H124" si="249">G112</f>
        <v>1</v>
      </c>
      <c r="I112" s="1030">
        <v>1</v>
      </c>
      <c r="J112" s="912">
        <v>1</v>
      </c>
      <c r="K112" s="912">
        <v>1</v>
      </c>
      <c r="L112" s="1041">
        <v>1</v>
      </c>
      <c r="M112" s="820">
        <f t="shared" ref="M112:M124" si="250">L112</f>
        <v>1</v>
      </c>
      <c r="N112" s="1030">
        <v>1</v>
      </c>
      <c r="O112" s="912">
        <v>1</v>
      </c>
      <c r="P112" s="912">
        <v>1</v>
      </c>
      <c r="Q112" s="1041">
        <v>1</v>
      </c>
      <c r="R112" s="820">
        <f>Q112</f>
        <v>1</v>
      </c>
      <c r="S112" s="1030">
        <v>1</v>
      </c>
      <c r="T112" s="912">
        <v>1</v>
      </c>
      <c r="U112" s="912">
        <v>1</v>
      </c>
      <c r="V112" s="912">
        <v>1</v>
      </c>
      <c r="W112" s="398">
        <f>V112</f>
        <v>1</v>
      </c>
      <c r="X112" s="2791">
        <v>1</v>
      </c>
      <c r="Y112" s="2791">
        <v>1</v>
      </c>
      <c r="Z112" s="2791">
        <v>1</v>
      </c>
      <c r="AA112" s="2791">
        <v>1</v>
      </c>
      <c r="AB112" s="398">
        <f>AA112</f>
        <v>1</v>
      </c>
      <c r="AC112" s="406">
        <f>AA112*(1+AC$913)</f>
        <v>1.0149999999999999</v>
      </c>
      <c r="AD112" s="406">
        <f t="shared" ref="AD112:AD113" si="251">AC112*(1+AD$913)</f>
        <v>1.0403749999999998</v>
      </c>
      <c r="AE112" s="3665">
        <v>1</v>
      </c>
      <c r="AF112" s="3665">
        <v>1</v>
      </c>
      <c r="AG112" s="398">
        <f>AF112</f>
        <v>1</v>
      </c>
      <c r="AH112" s="406">
        <f t="shared" ref="AH112:AH113" si="252">AG112*(1+AH$913)</f>
        <v>1.01</v>
      </c>
      <c r="AI112" s="406">
        <f t="shared" ref="AI112:AI113" si="253">AH112*(1+AI$913)</f>
        <v>1.0201</v>
      </c>
      <c r="AJ112" s="406">
        <f t="shared" ref="AJ112:AJ113" si="254">AI112*(1+AJ$913)</f>
        <v>1.0354014999999999</v>
      </c>
      <c r="AK112" s="820">
        <f t="shared" ref="AK112:AK113" si="255">AJ112*(1+AK$913)</f>
        <v>1.0509325224999997</v>
      </c>
      <c r="AL112" s="820">
        <f>AK112</f>
        <v>1.0509325224999997</v>
      </c>
      <c r="AM112" s="398">
        <f t="shared" ref="AM112:AN113" si="256">AL112*(1+AM$912)</f>
        <v>1.1139884738499997</v>
      </c>
      <c r="AN112" s="398">
        <f t="shared" si="256"/>
        <v>1.1696878975424998</v>
      </c>
    </row>
    <row r="113" spans="1:40">
      <c r="A113" s="130" t="str">
        <f>A$10</f>
        <v>Conrad Hotels &amp; Resorts (Luxury)</v>
      </c>
      <c r="B113" s="1030">
        <v>1</v>
      </c>
      <c r="C113" s="508">
        <v>1</v>
      </c>
      <c r="D113" s="1030">
        <v>1</v>
      </c>
      <c r="E113" s="912">
        <v>1</v>
      </c>
      <c r="F113" s="912">
        <v>1</v>
      </c>
      <c r="G113" s="1041">
        <v>1</v>
      </c>
      <c r="H113" s="820">
        <f t="shared" si="249"/>
        <v>1</v>
      </c>
      <c r="I113" s="1030">
        <v>1</v>
      </c>
      <c r="J113" s="912">
        <v>1</v>
      </c>
      <c r="K113" s="912">
        <v>1</v>
      </c>
      <c r="L113" s="1041">
        <v>1</v>
      </c>
      <c r="M113" s="820">
        <f t="shared" si="250"/>
        <v>1</v>
      </c>
      <c r="N113" s="1030">
        <v>1</v>
      </c>
      <c r="O113" s="912">
        <v>1</v>
      </c>
      <c r="P113" s="912">
        <v>1</v>
      </c>
      <c r="Q113" s="1041">
        <v>1</v>
      </c>
      <c r="R113" s="820">
        <f t="shared" ref="R113:R124" si="257">Q113</f>
        <v>1</v>
      </c>
      <c r="S113" s="1030">
        <v>1</v>
      </c>
      <c r="T113" s="912">
        <v>1</v>
      </c>
      <c r="U113" s="912">
        <v>1</v>
      </c>
      <c r="V113" s="912">
        <v>1</v>
      </c>
      <c r="W113" s="398">
        <f t="shared" ref="W113:W124" si="258">V113</f>
        <v>1</v>
      </c>
      <c r="X113" s="2791">
        <v>1</v>
      </c>
      <c r="Y113" s="2791">
        <v>1</v>
      </c>
      <c r="Z113" s="2791">
        <v>1</v>
      </c>
      <c r="AA113" s="2791">
        <v>1</v>
      </c>
      <c r="AB113" s="398">
        <f t="shared" ref="AB113:AB124" si="259">AA113</f>
        <v>1</v>
      </c>
      <c r="AC113" s="406">
        <f>AA113*(1+AC$913)</f>
        <v>1.0149999999999999</v>
      </c>
      <c r="AD113" s="406">
        <f t="shared" si="251"/>
        <v>1.0403749999999998</v>
      </c>
      <c r="AE113" s="3665">
        <v>1</v>
      </c>
      <c r="AF113" s="3665">
        <v>1</v>
      </c>
      <c r="AG113" s="398">
        <f t="shared" ref="AG113:AG124" si="260">AF113</f>
        <v>1</v>
      </c>
      <c r="AH113" s="406">
        <f t="shared" si="252"/>
        <v>1.01</v>
      </c>
      <c r="AI113" s="406">
        <f t="shared" si="253"/>
        <v>1.0201</v>
      </c>
      <c r="AJ113" s="406">
        <f t="shared" si="254"/>
        <v>1.0354014999999999</v>
      </c>
      <c r="AK113" s="820">
        <f t="shared" si="255"/>
        <v>1.0509325224999997</v>
      </c>
      <c r="AL113" s="820">
        <f t="shared" ref="AL113:AL124" si="261">AK113</f>
        <v>1.0509325224999997</v>
      </c>
      <c r="AM113" s="398">
        <f t="shared" si="256"/>
        <v>1.1139884738499997</v>
      </c>
      <c r="AN113" s="398">
        <f t="shared" si="256"/>
        <v>1.1696878975424998</v>
      </c>
    </row>
    <row r="114" spans="1:40">
      <c r="A114" s="1828" t="s">
        <v>3022</v>
      </c>
      <c r="B114" s="1030"/>
      <c r="C114" s="508"/>
      <c r="D114" s="1030"/>
      <c r="E114" s="912"/>
      <c r="F114" s="912"/>
      <c r="G114" s="1041"/>
      <c r="H114" s="820"/>
      <c r="I114" s="1030"/>
      <c r="J114" s="912"/>
      <c r="K114" s="912"/>
      <c r="L114" s="1041"/>
      <c r="M114" s="820"/>
      <c r="N114" s="1030"/>
      <c r="O114" s="912"/>
      <c r="P114" s="912"/>
      <c r="Q114" s="1041"/>
      <c r="R114" s="820"/>
      <c r="S114" s="1030"/>
      <c r="T114" s="912"/>
      <c r="U114" s="912"/>
      <c r="V114" s="912"/>
      <c r="W114" s="398"/>
      <c r="X114" s="2787"/>
      <c r="Y114" s="2791"/>
      <c r="Z114" s="2791"/>
      <c r="AA114" s="2791">
        <v>0</v>
      </c>
      <c r="AB114" s="398">
        <f t="shared" ref="AB114:AG114" si="262">+AA114</f>
        <v>0</v>
      </c>
      <c r="AC114" s="2944">
        <f t="shared" si="262"/>
        <v>0</v>
      </c>
      <c r="AD114" s="406">
        <f t="shared" si="262"/>
        <v>0</v>
      </c>
      <c r="AE114" s="3665">
        <f t="shared" si="262"/>
        <v>0</v>
      </c>
      <c r="AF114" s="406">
        <f t="shared" si="262"/>
        <v>0</v>
      </c>
      <c r="AG114" s="398">
        <f t="shared" si="262"/>
        <v>0</v>
      </c>
      <c r="AH114" s="406">
        <f t="shared" ref="AH114" si="263">+AG114</f>
        <v>0</v>
      </c>
      <c r="AI114" s="406">
        <f t="shared" ref="AI114" si="264">+AH114</f>
        <v>0</v>
      </c>
      <c r="AJ114" s="406">
        <f t="shared" ref="AJ114" si="265">+AI114</f>
        <v>0</v>
      </c>
      <c r="AK114" s="820">
        <f t="shared" ref="AK114:AL114" si="266">+AJ114</f>
        <v>0</v>
      </c>
      <c r="AL114" s="398">
        <f t="shared" si="266"/>
        <v>0</v>
      </c>
      <c r="AM114" s="398">
        <f>AL114</f>
        <v>0</v>
      </c>
      <c r="AN114" s="398">
        <f>AM114</f>
        <v>0</v>
      </c>
    </row>
    <row r="115" spans="1:40">
      <c r="A115" s="130" t="str">
        <f>A$12</f>
        <v>Hilton Hotels &amp; Resorts (Upper Up)</v>
      </c>
      <c r="B115" s="1030">
        <v>19</v>
      </c>
      <c r="C115" s="508">
        <v>19</v>
      </c>
      <c r="D115" s="1030">
        <v>19</v>
      </c>
      <c r="E115" s="912">
        <v>19</v>
      </c>
      <c r="F115" s="912">
        <v>18</v>
      </c>
      <c r="G115" s="1041">
        <v>19</v>
      </c>
      <c r="H115" s="820">
        <f t="shared" si="249"/>
        <v>19</v>
      </c>
      <c r="I115" s="1030">
        <v>19</v>
      </c>
      <c r="J115" s="912">
        <v>19</v>
      </c>
      <c r="K115" s="912">
        <v>19</v>
      </c>
      <c r="L115" s="1041">
        <v>18</v>
      </c>
      <c r="M115" s="820">
        <f t="shared" si="250"/>
        <v>18</v>
      </c>
      <c r="N115" s="1030">
        <v>18</v>
      </c>
      <c r="O115" s="912">
        <v>18</v>
      </c>
      <c r="P115" s="912">
        <v>18</v>
      </c>
      <c r="Q115" s="1041">
        <v>18</v>
      </c>
      <c r="R115" s="820">
        <f t="shared" si="257"/>
        <v>18</v>
      </c>
      <c r="S115" s="1030">
        <v>19</v>
      </c>
      <c r="T115" s="912">
        <v>19</v>
      </c>
      <c r="U115" s="912">
        <v>20</v>
      </c>
      <c r="V115" s="912">
        <v>19</v>
      </c>
      <c r="W115" s="398">
        <f t="shared" si="258"/>
        <v>19</v>
      </c>
      <c r="X115" s="2791">
        <v>19</v>
      </c>
      <c r="Y115" s="2791">
        <v>19</v>
      </c>
      <c r="Z115" s="2791">
        <v>18</v>
      </c>
      <c r="AA115" s="2791">
        <v>18</v>
      </c>
      <c r="AB115" s="398">
        <f t="shared" si="259"/>
        <v>18</v>
      </c>
      <c r="AC115" s="406">
        <f>AA115*(1+AC$913)</f>
        <v>18.27</v>
      </c>
      <c r="AD115" s="406">
        <f>AC115*(1+AD$913)</f>
        <v>18.726749999999999</v>
      </c>
      <c r="AE115" s="3665">
        <v>17</v>
      </c>
      <c r="AF115" s="3665">
        <v>17</v>
      </c>
      <c r="AG115" s="398">
        <f t="shared" si="260"/>
        <v>17</v>
      </c>
      <c r="AH115" s="406">
        <f t="shared" ref="AH115:AK115" si="267">AG115*(1+AH$913)</f>
        <v>17.170000000000002</v>
      </c>
      <c r="AI115" s="406">
        <f t="shared" si="267"/>
        <v>17.341700000000003</v>
      </c>
      <c r="AJ115" s="406">
        <f t="shared" si="267"/>
        <v>17.6018255</v>
      </c>
      <c r="AK115" s="820">
        <f t="shared" si="267"/>
        <v>17.865852882499997</v>
      </c>
      <c r="AL115" s="820">
        <f t="shared" si="261"/>
        <v>17.865852882499997</v>
      </c>
      <c r="AM115" s="398">
        <f>AL115*(1+AM$912)</f>
        <v>18.937804055449998</v>
      </c>
      <c r="AN115" s="398">
        <f>AM115*(1+AN$912)</f>
        <v>19.884694258222499</v>
      </c>
    </row>
    <row r="116" spans="1:40">
      <c r="A116" s="130" t="str">
        <f>A$13</f>
        <v xml:space="preserve">Curio - A Collection by Hilton </v>
      </c>
      <c r="B116" s="1030"/>
      <c r="C116" s="508"/>
      <c r="D116" s="1030"/>
      <c r="E116" s="912"/>
      <c r="F116" s="912"/>
      <c r="G116" s="1041"/>
      <c r="H116" s="820"/>
      <c r="I116" s="1030"/>
      <c r="J116" s="912"/>
      <c r="K116" s="912"/>
      <c r="L116" s="1041"/>
      <c r="M116" s="820"/>
      <c r="N116" s="1030"/>
      <c r="O116" s="912"/>
      <c r="P116" s="912"/>
      <c r="Q116" s="1041"/>
      <c r="R116" s="820"/>
      <c r="S116" s="1030">
        <v>0</v>
      </c>
      <c r="T116" s="912">
        <v>0</v>
      </c>
      <c r="U116" s="912">
        <v>3</v>
      </c>
      <c r="V116" s="912">
        <v>3</v>
      </c>
      <c r="W116" s="398">
        <f t="shared" si="258"/>
        <v>3</v>
      </c>
      <c r="X116" s="2792">
        <v>3</v>
      </c>
      <c r="Y116" s="2792">
        <v>3</v>
      </c>
      <c r="Z116" s="2792">
        <v>3</v>
      </c>
      <c r="AA116" s="2792">
        <v>4</v>
      </c>
      <c r="AB116" s="398">
        <f t="shared" si="259"/>
        <v>4</v>
      </c>
      <c r="AC116" s="401">
        <f>AA116</f>
        <v>4</v>
      </c>
      <c r="AD116" s="401">
        <f>AC116</f>
        <v>4</v>
      </c>
      <c r="AE116" s="3666">
        <v>5</v>
      </c>
      <c r="AF116" s="3666">
        <v>7</v>
      </c>
      <c r="AG116" s="398">
        <f t="shared" si="260"/>
        <v>7</v>
      </c>
      <c r="AH116" s="401">
        <f t="shared" ref="AH116:AK116" si="268">AG116</f>
        <v>7</v>
      </c>
      <c r="AI116" s="401">
        <f t="shared" si="268"/>
        <v>7</v>
      </c>
      <c r="AJ116" s="401">
        <f t="shared" si="268"/>
        <v>7</v>
      </c>
      <c r="AK116" s="820">
        <f t="shared" si="268"/>
        <v>7</v>
      </c>
      <c r="AL116" s="820">
        <f t="shared" si="261"/>
        <v>7</v>
      </c>
      <c r="AM116" s="398">
        <f>AL116</f>
        <v>7</v>
      </c>
      <c r="AN116" s="398">
        <f>AM116</f>
        <v>7</v>
      </c>
    </row>
    <row r="117" spans="1:40">
      <c r="A117" s="130" t="str">
        <f>A$14</f>
        <v>DoubleTree by Hilton (Upscale)</v>
      </c>
      <c r="B117" s="1030">
        <v>5</v>
      </c>
      <c r="C117" s="508">
        <v>7</v>
      </c>
      <c r="D117" s="1030">
        <v>7</v>
      </c>
      <c r="E117" s="912">
        <v>7</v>
      </c>
      <c r="F117" s="912">
        <v>7</v>
      </c>
      <c r="G117" s="1041">
        <v>8</v>
      </c>
      <c r="H117" s="820">
        <f t="shared" si="249"/>
        <v>8</v>
      </c>
      <c r="I117" s="1030">
        <v>8</v>
      </c>
      <c r="J117" s="912">
        <v>8</v>
      </c>
      <c r="K117" s="912">
        <v>8</v>
      </c>
      <c r="L117" s="1041">
        <v>11</v>
      </c>
      <c r="M117" s="820">
        <f t="shared" si="250"/>
        <v>11</v>
      </c>
      <c r="N117" s="1030">
        <v>12</v>
      </c>
      <c r="O117" s="912">
        <v>12</v>
      </c>
      <c r="P117" s="912">
        <v>12</v>
      </c>
      <c r="Q117" s="1041">
        <v>13</v>
      </c>
      <c r="R117" s="820">
        <f t="shared" si="257"/>
        <v>13</v>
      </c>
      <c r="S117" s="1030">
        <v>13</v>
      </c>
      <c r="T117" s="912">
        <v>14</v>
      </c>
      <c r="U117" s="912">
        <v>15</v>
      </c>
      <c r="V117" s="912">
        <v>17</v>
      </c>
      <c r="W117" s="398">
        <f t="shared" si="258"/>
        <v>17</v>
      </c>
      <c r="X117" s="2791">
        <v>17</v>
      </c>
      <c r="Y117" s="2791">
        <v>17</v>
      </c>
      <c r="Z117" s="2791">
        <v>17</v>
      </c>
      <c r="AA117" s="2791">
        <v>17</v>
      </c>
      <c r="AB117" s="398">
        <f t="shared" si="259"/>
        <v>17</v>
      </c>
      <c r="AC117" s="406">
        <f>AA117*(1+AC$913)</f>
        <v>17.254999999999999</v>
      </c>
      <c r="AD117" s="406">
        <f t="shared" ref="AD117:AD121" si="269">AC117*(1+AD$913)</f>
        <v>17.686374999999998</v>
      </c>
      <c r="AE117" s="3665">
        <v>19</v>
      </c>
      <c r="AF117" s="3665">
        <v>21</v>
      </c>
      <c r="AG117" s="398">
        <f t="shared" si="260"/>
        <v>21</v>
      </c>
      <c r="AH117" s="406">
        <f t="shared" ref="AH117:AH124" si="270">AG117*(1+AH$913)</f>
        <v>21.21</v>
      </c>
      <c r="AI117" s="406">
        <f t="shared" ref="AI117:AI124" si="271">AH117*(1+AI$913)</f>
        <v>21.4221</v>
      </c>
      <c r="AJ117" s="406">
        <f t="shared" ref="AJ117:AJ124" si="272">AI117*(1+AJ$913)</f>
        <v>21.7434315</v>
      </c>
      <c r="AK117" s="820">
        <f t="shared" ref="AK117:AK124" si="273">AJ117*(1+AK$913)</f>
        <v>22.069582972499997</v>
      </c>
      <c r="AL117" s="820">
        <f t="shared" si="261"/>
        <v>22.069582972499997</v>
      </c>
      <c r="AM117" s="398">
        <f t="shared" ref="AM117:AN121" si="274">AL117*(1+AM$912)</f>
        <v>23.393757950849999</v>
      </c>
      <c r="AN117" s="398">
        <f t="shared" si="274"/>
        <v>24.563445848392501</v>
      </c>
    </row>
    <row r="118" spans="1:40">
      <c r="A118" s="130" t="str">
        <f>A$15</f>
        <v>Embassy Suites Hotels (Upper Up)</v>
      </c>
      <c r="B118" s="1030">
        <v>7</v>
      </c>
      <c r="C118" s="508">
        <v>7</v>
      </c>
      <c r="D118" s="1030">
        <v>7</v>
      </c>
      <c r="E118" s="912">
        <v>7</v>
      </c>
      <c r="F118" s="912">
        <v>6</v>
      </c>
      <c r="G118" s="1041">
        <v>5</v>
      </c>
      <c r="H118" s="820">
        <f t="shared" si="249"/>
        <v>5</v>
      </c>
      <c r="I118" s="1030">
        <v>5</v>
      </c>
      <c r="J118" s="912">
        <v>5</v>
      </c>
      <c r="K118" s="912">
        <v>5</v>
      </c>
      <c r="L118" s="1041">
        <v>5</v>
      </c>
      <c r="M118" s="820">
        <f t="shared" si="250"/>
        <v>5</v>
      </c>
      <c r="N118" s="1030">
        <v>5</v>
      </c>
      <c r="O118" s="912">
        <v>5</v>
      </c>
      <c r="P118" s="912">
        <v>5</v>
      </c>
      <c r="Q118" s="1041">
        <v>5</v>
      </c>
      <c r="R118" s="820">
        <f t="shared" si="257"/>
        <v>5</v>
      </c>
      <c r="S118" s="1030">
        <v>5</v>
      </c>
      <c r="T118" s="912">
        <v>5</v>
      </c>
      <c r="U118" s="912">
        <v>5</v>
      </c>
      <c r="V118" s="912">
        <v>5</v>
      </c>
      <c r="W118" s="398">
        <f t="shared" si="258"/>
        <v>5</v>
      </c>
      <c r="X118" s="2791">
        <v>5</v>
      </c>
      <c r="Y118" s="2791">
        <v>5</v>
      </c>
      <c r="Z118" s="2791">
        <v>5</v>
      </c>
      <c r="AA118" s="2791">
        <v>5</v>
      </c>
      <c r="AB118" s="398">
        <f t="shared" si="259"/>
        <v>5</v>
      </c>
      <c r="AC118" s="406">
        <f>AA118*(1+AC$913)</f>
        <v>5.0749999999999993</v>
      </c>
      <c r="AD118" s="406">
        <f t="shared" si="269"/>
        <v>5.2018749999999985</v>
      </c>
      <c r="AE118" s="3665">
        <v>5</v>
      </c>
      <c r="AF118" s="3665">
        <v>5</v>
      </c>
      <c r="AG118" s="398">
        <f t="shared" si="260"/>
        <v>5</v>
      </c>
      <c r="AH118" s="406">
        <f t="shared" si="270"/>
        <v>5.05</v>
      </c>
      <c r="AI118" s="406">
        <f t="shared" si="271"/>
        <v>5.1005000000000003</v>
      </c>
      <c r="AJ118" s="406">
        <f t="shared" si="272"/>
        <v>5.1770074999999993</v>
      </c>
      <c r="AK118" s="820">
        <f t="shared" si="273"/>
        <v>5.2546626124999989</v>
      </c>
      <c r="AL118" s="820">
        <f t="shared" si="261"/>
        <v>5.2546626124999989</v>
      </c>
      <c r="AM118" s="398">
        <f t="shared" si="274"/>
        <v>5.5699423692499987</v>
      </c>
      <c r="AN118" s="398">
        <f t="shared" si="274"/>
        <v>5.8484394877124988</v>
      </c>
    </row>
    <row r="119" spans="1:40">
      <c r="A119" s="130" t="str">
        <f>A$16</f>
        <v>Hilton Garden Inn (Upscale)</v>
      </c>
      <c r="B119" s="1030">
        <v>20</v>
      </c>
      <c r="C119" s="508">
        <v>22</v>
      </c>
      <c r="D119" s="1030">
        <v>22</v>
      </c>
      <c r="E119" s="912">
        <v>23</v>
      </c>
      <c r="F119" s="912">
        <v>23</v>
      </c>
      <c r="G119" s="1041">
        <v>23</v>
      </c>
      <c r="H119" s="820">
        <f t="shared" si="249"/>
        <v>23</v>
      </c>
      <c r="I119" s="1030">
        <v>23</v>
      </c>
      <c r="J119" s="912">
        <v>23</v>
      </c>
      <c r="K119" s="912">
        <v>23</v>
      </c>
      <c r="L119" s="1041">
        <v>23</v>
      </c>
      <c r="M119" s="820">
        <f t="shared" si="250"/>
        <v>23</v>
      </c>
      <c r="N119" s="1030">
        <v>24</v>
      </c>
      <c r="O119" s="912">
        <v>24</v>
      </c>
      <c r="P119" s="912">
        <v>24</v>
      </c>
      <c r="Q119" s="1041">
        <v>24</v>
      </c>
      <c r="R119" s="820">
        <f t="shared" si="257"/>
        <v>24</v>
      </c>
      <c r="S119" s="1030">
        <v>25</v>
      </c>
      <c r="T119" s="912">
        <v>26</v>
      </c>
      <c r="U119" s="912">
        <v>28</v>
      </c>
      <c r="V119" s="912">
        <v>28</v>
      </c>
      <c r="W119" s="398">
        <f t="shared" si="258"/>
        <v>28</v>
      </c>
      <c r="X119" s="2791">
        <v>28</v>
      </c>
      <c r="Y119" s="2791">
        <v>28</v>
      </c>
      <c r="Z119" s="2791">
        <v>28</v>
      </c>
      <c r="AA119" s="2791">
        <v>31</v>
      </c>
      <c r="AB119" s="398">
        <f t="shared" si="259"/>
        <v>31</v>
      </c>
      <c r="AC119" s="406">
        <f>AA119*(1+AC$913)</f>
        <v>31.464999999999996</v>
      </c>
      <c r="AD119" s="406">
        <f t="shared" si="269"/>
        <v>32.25162499999999</v>
      </c>
      <c r="AE119" s="3665">
        <v>36</v>
      </c>
      <c r="AF119" s="3665">
        <v>36</v>
      </c>
      <c r="AG119" s="398">
        <f t="shared" si="260"/>
        <v>36</v>
      </c>
      <c r="AH119" s="406">
        <f t="shared" si="270"/>
        <v>36.36</v>
      </c>
      <c r="AI119" s="406">
        <f t="shared" si="271"/>
        <v>36.723599999999998</v>
      </c>
      <c r="AJ119" s="406">
        <f t="shared" si="272"/>
        <v>37.274453999999992</v>
      </c>
      <c r="AK119" s="820">
        <f t="shared" si="273"/>
        <v>37.833570809999991</v>
      </c>
      <c r="AL119" s="820">
        <f t="shared" si="261"/>
        <v>37.833570809999991</v>
      </c>
      <c r="AM119" s="398">
        <f t="shared" si="274"/>
        <v>40.10358505859999</v>
      </c>
      <c r="AN119" s="398">
        <f t="shared" si="274"/>
        <v>42.108764311529988</v>
      </c>
    </row>
    <row r="120" spans="1:40">
      <c r="A120" s="130" t="str">
        <f>A$17</f>
        <v>Hampton Inn (Upper Mid)</v>
      </c>
      <c r="B120" s="1030">
        <v>49</v>
      </c>
      <c r="C120" s="508">
        <v>48</v>
      </c>
      <c r="D120" s="1030">
        <v>48</v>
      </c>
      <c r="E120" s="912">
        <v>49</v>
      </c>
      <c r="F120" s="912">
        <v>50</v>
      </c>
      <c r="G120" s="1041">
        <v>51</v>
      </c>
      <c r="H120" s="820">
        <f t="shared" si="249"/>
        <v>51</v>
      </c>
      <c r="I120" s="1030">
        <v>53</v>
      </c>
      <c r="J120" s="912">
        <v>53</v>
      </c>
      <c r="K120" s="912">
        <v>53</v>
      </c>
      <c r="L120" s="1041">
        <v>53</v>
      </c>
      <c r="M120" s="820">
        <f t="shared" si="250"/>
        <v>53</v>
      </c>
      <c r="N120" s="1030">
        <v>53</v>
      </c>
      <c r="O120" s="912">
        <v>55</v>
      </c>
      <c r="P120" s="912">
        <v>57</v>
      </c>
      <c r="Q120" s="1041">
        <v>60</v>
      </c>
      <c r="R120" s="820">
        <f t="shared" si="257"/>
        <v>60</v>
      </c>
      <c r="S120" s="1030">
        <v>65</v>
      </c>
      <c r="T120" s="912">
        <v>71</v>
      </c>
      <c r="U120" s="912">
        <v>72</v>
      </c>
      <c r="V120" s="912">
        <v>77</v>
      </c>
      <c r="W120" s="398">
        <f t="shared" si="258"/>
        <v>77</v>
      </c>
      <c r="X120" s="2791">
        <v>79</v>
      </c>
      <c r="Y120" s="2791">
        <v>81</v>
      </c>
      <c r="Z120" s="2791">
        <v>85</v>
      </c>
      <c r="AA120" s="2791">
        <v>86</v>
      </c>
      <c r="AB120" s="398">
        <f t="shared" si="259"/>
        <v>86</v>
      </c>
      <c r="AC120" s="406">
        <f>AA120*(1+AC$913)</f>
        <v>87.289999999999992</v>
      </c>
      <c r="AD120" s="406">
        <f t="shared" si="269"/>
        <v>89.472249999999988</v>
      </c>
      <c r="AE120" s="3665">
        <v>86</v>
      </c>
      <c r="AF120" s="3665">
        <v>89</v>
      </c>
      <c r="AG120" s="398">
        <f t="shared" si="260"/>
        <v>89</v>
      </c>
      <c r="AH120" s="406">
        <f t="shared" si="270"/>
        <v>89.89</v>
      </c>
      <c r="AI120" s="406">
        <f t="shared" si="271"/>
        <v>90.788899999999998</v>
      </c>
      <c r="AJ120" s="406">
        <f t="shared" si="272"/>
        <v>92.150733499999987</v>
      </c>
      <c r="AK120" s="820">
        <f t="shared" si="273"/>
        <v>93.532994502499974</v>
      </c>
      <c r="AL120" s="820">
        <f t="shared" si="261"/>
        <v>93.532994502499974</v>
      </c>
      <c r="AM120" s="398">
        <f t="shared" si="274"/>
        <v>99.144974172649981</v>
      </c>
      <c r="AN120" s="398">
        <f t="shared" si="274"/>
        <v>104.10222288128249</v>
      </c>
    </row>
    <row r="121" spans="1:40">
      <c r="A121" s="130" t="s">
        <v>1408</v>
      </c>
      <c r="B121" s="1030">
        <v>0</v>
      </c>
      <c r="C121" s="508">
        <v>0</v>
      </c>
      <c r="D121" s="1030">
        <v>0</v>
      </c>
      <c r="E121" s="912">
        <v>0</v>
      </c>
      <c r="F121" s="912">
        <v>0</v>
      </c>
      <c r="G121" s="1041">
        <v>0</v>
      </c>
      <c r="H121" s="820">
        <f t="shared" si="249"/>
        <v>0</v>
      </c>
      <c r="I121" s="1030">
        <v>0</v>
      </c>
      <c r="J121" s="912">
        <v>0</v>
      </c>
      <c r="K121" s="912">
        <v>0</v>
      </c>
      <c r="L121" s="1041">
        <v>0</v>
      </c>
      <c r="M121" s="820">
        <f t="shared" si="250"/>
        <v>0</v>
      </c>
      <c r="N121" s="1030">
        <v>0</v>
      </c>
      <c r="O121" s="912">
        <v>0</v>
      </c>
      <c r="P121" s="912">
        <v>1</v>
      </c>
      <c r="Q121" s="1041">
        <v>1</v>
      </c>
      <c r="R121" s="820">
        <f t="shared" si="257"/>
        <v>1</v>
      </c>
      <c r="S121" s="1030">
        <v>1</v>
      </c>
      <c r="T121" s="912">
        <v>1</v>
      </c>
      <c r="U121" s="912">
        <v>1</v>
      </c>
      <c r="V121" s="912">
        <v>1</v>
      </c>
      <c r="W121" s="398">
        <f t="shared" si="258"/>
        <v>1</v>
      </c>
      <c r="X121" s="2791">
        <v>2</v>
      </c>
      <c r="Y121" s="2791">
        <v>2</v>
      </c>
      <c r="Z121" s="2791">
        <v>3</v>
      </c>
      <c r="AA121" s="2791">
        <v>3</v>
      </c>
      <c r="AB121" s="398">
        <f t="shared" si="259"/>
        <v>3</v>
      </c>
      <c r="AC121" s="406">
        <f>AA121*(1+AC$913)</f>
        <v>3.0449999999999999</v>
      </c>
      <c r="AD121" s="406">
        <f t="shared" si="269"/>
        <v>3.1211249999999997</v>
      </c>
      <c r="AE121" s="3665">
        <v>3</v>
      </c>
      <c r="AF121" s="3665">
        <v>3</v>
      </c>
      <c r="AG121" s="398">
        <f t="shared" si="260"/>
        <v>3</v>
      </c>
      <c r="AH121" s="406">
        <f t="shared" si="270"/>
        <v>3.0300000000000002</v>
      </c>
      <c r="AI121" s="406">
        <f t="shared" si="271"/>
        <v>3.0603000000000002</v>
      </c>
      <c r="AJ121" s="406">
        <f t="shared" si="272"/>
        <v>3.1062045</v>
      </c>
      <c r="AK121" s="820">
        <f t="shared" si="273"/>
        <v>3.1527975675</v>
      </c>
      <c r="AL121" s="820">
        <f t="shared" si="261"/>
        <v>3.1527975675</v>
      </c>
      <c r="AM121" s="398">
        <f t="shared" si="274"/>
        <v>3.3419654215500003</v>
      </c>
      <c r="AN121" s="398">
        <f t="shared" si="274"/>
        <v>3.5090636926275005</v>
      </c>
    </row>
    <row r="122" spans="1:40">
      <c r="A122" s="130" t="str">
        <f>$A$90</f>
        <v>Tru by Hilton</v>
      </c>
      <c r="B122" s="1030"/>
      <c r="C122" s="508"/>
      <c r="D122" s="1030"/>
      <c r="E122" s="912"/>
      <c r="F122" s="912"/>
      <c r="G122" s="1041"/>
      <c r="H122" s="820"/>
      <c r="I122" s="1030"/>
      <c r="J122" s="912"/>
      <c r="K122" s="912"/>
      <c r="L122" s="1041"/>
      <c r="M122" s="820"/>
      <c r="N122" s="1030"/>
      <c r="O122" s="912"/>
      <c r="P122" s="912"/>
      <c r="Q122" s="1041"/>
      <c r="R122" s="820"/>
      <c r="S122" s="1030"/>
      <c r="T122" s="912"/>
      <c r="U122" s="912"/>
      <c r="V122" s="912"/>
      <c r="W122" s="398"/>
      <c r="X122" s="2791"/>
      <c r="Y122" s="2791"/>
      <c r="Z122" s="2791"/>
      <c r="AA122" s="2791"/>
      <c r="AB122" s="398"/>
      <c r="AC122" s="406">
        <f t="shared" ref="AC122:AC123" si="275">AA122*(1+AC$913)</f>
        <v>0</v>
      </c>
      <c r="AD122" s="406">
        <f t="shared" ref="AD122:AF122" si="276">AC122*(1+AD$913)</f>
        <v>0</v>
      </c>
      <c r="AE122" s="3665">
        <f t="shared" si="276"/>
        <v>0</v>
      </c>
      <c r="AF122" s="406">
        <f t="shared" si="276"/>
        <v>0</v>
      </c>
      <c r="AG122" s="398">
        <f t="shared" ref="AG122:AG123" si="277">AF122</f>
        <v>0</v>
      </c>
      <c r="AH122" s="406">
        <f t="shared" si="270"/>
        <v>0</v>
      </c>
      <c r="AI122" s="406">
        <f t="shared" si="271"/>
        <v>0</v>
      </c>
      <c r="AJ122" s="406">
        <f t="shared" si="272"/>
        <v>0</v>
      </c>
      <c r="AK122" s="820">
        <f t="shared" si="273"/>
        <v>0</v>
      </c>
      <c r="AL122" s="820">
        <f t="shared" si="261"/>
        <v>0</v>
      </c>
      <c r="AM122" s="398">
        <f t="shared" ref="AM122:AN122" si="278">AL122*(1+AM$912)</f>
        <v>0</v>
      </c>
      <c r="AN122" s="398">
        <f t="shared" si="278"/>
        <v>0</v>
      </c>
    </row>
    <row r="123" spans="1:40">
      <c r="A123" s="130" t="str">
        <f>$A$91</f>
        <v>Tapestry Collection by Hilton</v>
      </c>
      <c r="B123" s="1030"/>
      <c r="C123" s="508"/>
      <c r="D123" s="1030"/>
      <c r="E123" s="912"/>
      <c r="F123" s="912"/>
      <c r="G123" s="1041"/>
      <c r="H123" s="820"/>
      <c r="I123" s="1030"/>
      <c r="J123" s="912"/>
      <c r="K123" s="912"/>
      <c r="L123" s="1041"/>
      <c r="M123" s="820"/>
      <c r="N123" s="1030"/>
      <c r="O123" s="912"/>
      <c r="P123" s="912"/>
      <c r="Q123" s="1041"/>
      <c r="R123" s="820"/>
      <c r="S123" s="1030"/>
      <c r="T123" s="912"/>
      <c r="U123" s="912"/>
      <c r="V123" s="912"/>
      <c r="W123" s="398"/>
      <c r="X123" s="2791"/>
      <c r="Y123" s="2791"/>
      <c r="Z123" s="2791"/>
      <c r="AA123" s="2791"/>
      <c r="AB123" s="398"/>
      <c r="AC123" s="406">
        <f t="shared" si="275"/>
        <v>0</v>
      </c>
      <c r="AD123" s="406">
        <f t="shared" ref="AD123:AF123" si="279">AC123*(1+AD$913)</f>
        <v>0</v>
      </c>
      <c r="AE123" s="3665">
        <f t="shared" si="279"/>
        <v>0</v>
      </c>
      <c r="AF123" s="406">
        <f t="shared" si="279"/>
        <v>0</v>
      </c>
      <c r="AG123" s="398">
        <f t="shared" si="277"/>
        <v>0</v>
      </c>
      <c r="AH123" s="406">
        <f t="shared" si="270"/>
        <v>0</v>
      </c>
      <c r="AI123" s="406">
        <f t="shared" si="271"/>
        <v>0</v>
      </c>
      <c r="AJ123" s="406">
        <f t="shared" si="272"/>
        <v>0</v>
      </c>
      <c r="AK123" s="820">
        <f t="shared" si="273"/>
        <v>0</v>
      </c>
      <c r="AL123" s="820">
        <f t="shared" si="261"/>
        <v>0</v>
      </c>
      <c r="AM123" s="398">
        <f t="shared" ref="AM123:AN123" si="280">AL123*(1+AM$912)</f>
        <v>0</v>
      </c>
      <c r="AN123" s="398">
        <f t="shared" si="280"/>
        <v>0</v>
      </c>
    </row>
    <row r="124" spans="1:40" s="5" customFormat="1" ht="15" collapsed="1">
      <c r="A124" s="402" t="str">
        <f>A$21</f>
        <v>Homewood Suites by Hilton (Upscale)</v>
      </c>
      <c r="B124" s="1031">
        <v>9</v>
      </c>
      <c r="C124" s="1029">
        <v>10</v>
      </c>
      <c r="D124" s="1031">
        <v>10</v>
      </c>
      <c r="E124" s="1039">
        <v>10</v>
      </c>
      <c r="F124" s="1039">
        <v>10</v>
      </c>
      <c r="G124" s="1042">
        <v>10</v>
      </c>
      <c r="H124" s="700">
        <f t="shared" si="249"/>
        <v>10</v>
      </c>
      <c r="I124" s="1031">
        <v>10</v>
      </c>
      <c r="J124" s="1039">
        <v>10</v>
      </c>
      <c r="K124" s="1039">
        <v>10</v>
      </c>
      <c r="L124" s="1042">
        <v>10</v>
      </c>
      <c r="M124" s="700">
        <f t="shared" si="250"/>
        <v>10</v>
      </c>
      <c r="N124" s="1031">
        <v>12</v>
      </c>
      <c r="O124" s="1039">
        <v>14</v>
      </c>
      <c r="P124" s="1039">
        <v>15</v>
      </c>
      <c r="Q124" s="1042">
        <v>15</v>
      </c>
      <c r="R124" s="1711">
        <f t="shared" si="257"/>
        <v>15</v>
      </c>
      <c r="S124" s="1031">
        <v>15</v>
      </c>
      <c r="T124" s="1039">
        <v>15</v>
      </c>
      <c r="U124" s="1039">
        <v>15</v>
      </c>
      <c r="V124" s="1039">
        <v>15</v>
      </c>
      <c r="W124" s="1713">
        <f t="shared" si="258"/>
        <v>15</v>
      </c>
      <c r="X124" s="2793">
        <v>15</v>
      </c>
      <c r="Y124" s="2793">
        <v>15</v>
      </c>
      <c r="Z124" s="2793">
        <v>15</v>
      </c>
      <c r="AA124" s="2793">
        <v>16</v>
      </c>
      <c r="AB124" s="1713">
        <f t="shared" si="259"/>
        <v>16</v>
      </c>
      <c r="AC124" s="1712">
        <f>AA124*(1+AC$913)</f>
        <v>16.239999999999998</v>
      </c>
      <c r="AD124" s="1712">
        <f>AC124*(1+AD$913)</f>
        <v>16.645999999999997</v>
      </c>
      <c r="AE124" s="4001">
        <v>17</v>
      </c>
      <c r="AF124" s="4001">
        <v>17</v>
      </c>
      <c r="AG124" s="1713">
        <f t="shared" si="260"/>
        <v>17</v>
      </c>
      <c r="AH124" s="1712">
        <f t="shared" si="270"/>
        <v>17.170000000000002</v>
      </c>
      <c r="AI124" s="1712">
        <f t="shared" si="271"/>
        <v>17.341700000000003</v>
      </c>
      <c r="AJ124" s="1712">
        <f t="shared" si="272"/>
        <v>17.6018255</v>
      </c>
      <c r="AK124" s="1711">
        <f t="shared" si="273"/>
        <v>17.865852882499997</v>
      </c>
      <c r="AL124" s="1711">
        <f t="shared" si="261"/>
        <v>17.865852882499997</v>
      </c>
      <c r="AM124" s="1713">
        <f>AL124*(1+AM$912)</f>
        <v>18.937804055449998</v>
      </c>
      <c r="AN124" s="1713">
        <f>AM124*(1+AN$912)</f>
        <v>19.884694258222499</v>
      </c>
    </row>
    <row r="125" spans="1:40">
      <c r="A125" s="482" t="s">
        <v>1687</v>
      </c>
      <c r="B125" s="1032">
        <f>SUM(B112:B124)</f>
        <v>111</v>
      </c>
      <c r="C125" s="400">
        <f>SUM(C112:C124)</f>
        <v>115</v>
      </c>
      <c r="D125" s="1032">
        <f t="shared" ref="D125:R125" si="281">SUM(D112:D124)</f>
        <v>115</v>
      </c>
      <c r="E125" s="405">
        <f t="shared" si="281"/>
        <v>117</v>
      </c>
      <c r="F125" s="405">
        <f t="shared" si="281"/>
        <v>116</v>
      </c>
      <c r="G125" s="821">
        <f t="shared" si="281"/>
        <v>118</v>
      </c>
      <c r="H125" s="821">
        <f t="shared" si="281"/>
        <v>118</v>
      </c>
      <c r="I125" s="1032">
        <f t="shared" si="281"/>
        <v>120</v>
      </c>
      <c r="J125" s="405">
        <f t="shared" si="281"/>
        <v>120</v>
      </c>
      <c r="K125" s="405">
        <f t="shared" si="281"/>
        <v>120</v>
      </c>
      <c r="L125" s="821">
        <f>SUM(L112:L124)</f>
        <v>122</v>
      </c>
      <c r="M125" s="821">
        <f>SUM(M112:M124)</f>
        <v>122</v>
      </c>
      <c r="N125" s="1032">
        <f t="shared" si="281"/>
        <v>126</v>
      </c>
      <c r="O125" s="405">
        <f t="shared" si="281"/>
        <v>130</v>
      </c>
      <c r="P125" s="405">
        <f>SUM(P112:P124)</f>
        <v>134</v>
      </c>
      <c r="Q125" s="821">
        <f>SUM(Q112:Q124)</f>
        <v>138</v>
      </c>
      <c r="R125" s="821">
        <f t="shared" si="281"/>
        <v>138</v>
      </c>
      <c r="S125" s="1032">
        <f t="shared" ref="S125:AN125" si="282">SUM(S112:S124)</f>
        <v>145</v>
      </c>
      <c r="T125" s="405">
        <f t="shared" si="282"/>
        <v>153</v>
      </c>
      <c r="U125" s="405">
        <f t="shared" si="282"/>
        <v>161</v>
      </c>
      <c r="V125" s="405">
        <f t="shared" si="282"/>
        <v>167</v>
      </c>
      <c r="W125" s="400">
        <f t="shared" si="282"/>
        <v>167</v>
      </c>
      <c r="X125" s="399">
        <f t="shared" si="282"/>
        <v>170</v>
      </c>
      <c r="Y125" s="399">
        <f t="shared" si="282"/>
        <v>172</v>
      </c>
      <c r="Z125" s="399">
        <f>SUM(Z112:Z124)</f>
        <v>176</v>
      </c>
      <c r="AA125" s="399">
        <f>SUM(AA112:AA124)</f>
        <v>182</v>
      </c>
      <c r="AB125" s="400">
        <f t="shared" si="282"/>
        <v>182</v>
      </c>
      <c r="AC125" s="399">
        <f t="shared" si="282"/>
        <v>184.67</v>
      </c>
      <c r="AD125" s="399">
        <f t="shared" si="282"/>
        <v>189.18674999999999</v>
      </c>
      <c r="AE125" s="399">
        <f t="shared" si="282"/>
        <v>190</v>
      </c>
      <c r="AF125" s="821">
        <f t="shared" si="282"/>
        <v>197</v>
      </c>
      <c r="AG125" s="400">
        <f t="shared" si="282"/>
        <v>197</v>
      </c>
      <c r="AH125" s="399">
        <f t="shared" ref="AH125:AL125" si="283">SUM(AH112:AH124)</f>
        <v>198.89999999999998</v>
      </c>
      <c r="AI125" s="399">
        <f t="shared" si="283"/>
        <v>200.81899999999999</v>
      </c>
      <c r="AJ125" s="399">
        <f t="shared" si="283"/>
        <v>203.72628499999996</v>
      </c>
      <c r="AK125" s="821">
        <f t="shared" si="283"/>
        <v>206.67717927499996</v>
      </c>
      <c r="AL125" s="400">
        <f t="shared" si="283"/>
        <v>206.67717927499996</v>
      </c>
      <c r="AM125" s="821">
        <f t="shared" si="282"/>
        <v>218.65781003149999</v>
      </c>
      <c r="AN125" s="821">
        <f t="shared" si="282"/>
        <v>229.240700533075</v>
      </c>
    </row>
    <row r="126" spans="1:40">
      <c r="A126" s="130"/>
      <c r="B126" s="1033"/>
      <c r="C126" s="398"/>
      <c r="D126" s="1033"/>
      <c r="E126" s="406"/>
      <c r="F126" s="406"/>
      <c r="G126" s="820"/>
      <c r="H126" s="820"/>
      <c r="I126" s="1033"/>
      <c r="J126" s="406"/>
      <c r="K126" s="406"/>
      <c r="L126" s="820"/>
      <c r="M126" s="820"/>
      <c r="N126" s="401"/>
      <c r="O126" s="401"/>
      <c r="P126" s="401"/>
      <c r="Q126" s="820"/>
      <c r="R126" s="398"/>
      <c r="S126" s="406"/>
      <c r="T126" s="406"/>
      <c r="U126" s="401"/>
      <c r="V126" s="406"/>
      <c r="W126" s="398"/>
      <c r="X126" s="401"/>
      <c r="Y126" s="401"/>
      <c r="Z126" s="401"/>
      <c r="AA126" s="401"/>
      <c r="AB126" s="398"/>
      <c r="AC126" s="401"/>
      <c r="AD126" s="401"/>
      <c r="AE126" s="401"/>
      <c r="AF126" s="820"/>
      <c r="AG126" s="398"/>
      <c r="AH126" s="401"/>
      <c r="AI126" s="401"/>
      <c r="AJ126" s="401"/>
      <c r="AK126" s="820"/>
      <c r="AL126" s="398"/>
      <c r="AM126" s="820"/>
      <c r="AN126" s="820"/>
    </row>
    <row r="127" spans="1:40">
      <c r="A127" s="295" t="s">
        <v>1399</v>
      </c>
      <c r="B127" s="1033"/>
      <c r="C127" s="398"/>
      <c r="D127" s="1033"/>
      <c r="E127" s="406"/>
      <c r="F127" s="406"/>
      <c r="G127" s="820"/>
      <c r="H127" s="820"/>
      <c r="I127" s="1033"/>
      <c r="J127" s="406"/>
      <c r="K127" s="406"/>
      <c r="L127" s="820"/>
      <c r="M127" s="820"/>
      <c r="N127" s="401"/>
      <c r="O127" s="401"/>
      <c r="P127" s="401"/>
      <c r="Q127" s="820"/>
      <c r="R127" s="398"/>
      <c r="S127" s="406"/>
      <c r="T127" s="406"/>
      <c r="U127" s="401"/>
      <c r="V127" s="820"/>
      <c r="W127" s="398"/>
      <c r="X127" s="401"/>
      <c r="Y127" s="401"/>
      <c r="Z127" s="401"/>
      <c r="AA127" s="401"/>
      <c r="AB127" s="398"/>
      <c r="AC127" s="401"/>
      <c r="AD127" s="401"/>
      <c r="AE127" s="401"/>
      <c r="AF127" s="820"/>
      <c r="AG127" s="398"/>
      <c r="AH127" s="401"/>
      <c r="AI127" s="401"/>
      <c r="AJ127" s="401"/>
      <c r="AK127" s="820"/>
      <c r="AL127" s="398"/>
      <c r="AM127" s="820"/>
      <c r="AN127" s="820"/>
    </row>
    <row r="128" spans="1:40">
      <c r="A128" s="130" t="str">
        <f>A$9</f>
        <v>Waldorf Astoria Hotels &amp; Resorts (Luxury)</v>
      </c>
      <c r="B128" s="1033">
        <f t="shared" ref="B128:AB128" si="284">B112+B96+B80</f>
        <v>2</v>
      </c>
      <c r="C128" s="398">
        <f t="shared" si="284"/>
        <v>1</v>
      </c>
      <c r="D128" s="1033">
        <f t="shared" si="284"/>
        <v>1</v>
      </c>
      <c r="E128" s="406">
        <f t="shared" si="284"/>
        <v>1</v>
      </c>
      <c r="F128" s="406">
        <f t="shared" si="284"/>
        <v>1</v>
      </c>
      <c r="G128" s="820">
        <f t="shared" si="284"/>
        <v>1</v>
      </c>
      <c r="H128" s="820">
        <f t="shared" si="284"/>
        <v>1</v>
      </c>
      <c r="I128" s="1033">
        <f t="shared" si="284"/>
        <v>2</v>
      </c>
      <c r="J128" s="406">
        <f t="shared" si="284"/>
        <v>2</v>
      </c>
      <c r="K128" s="406">
        <f t="shared" si="284"/>
        <v>2</v>
      </c>
      <c r="L128" s="820">
        <f t="shared" si="284"/>
        <v>2</v>
      </c>
      <c r="M128" s="820">
        <f t="shared" si="284"/>
        <v>2</v>
      </c>
      <c r="N128" s="1033">
        <f t="shared" si="284"/>
        <v>2</v>
      </c>
      <c r="O128" s="401">
        <f t="shared" si="284"/>
        <v>2</v>
      </c>
      <c r="P128" s="401">
        <f t="shared" si="284"/>
        <v>2</v>
      </c>
      <c r="Q128" s="820">
        <f t="shared" si="284"/>
        <v>2</v>
      </c>
      <c r="R128" s="398">
        <f t="shared" si="284"/>
        <v>2</v>
      </c>
      <c r="S128" s="1033">
        <f t="shared" si="284"/>
        <v>2</v>
      </c>
      <c r="T128" s="406">
        <f t="shared" si="284"/>
        <v>2</v>
      </c>
      <c r="U128" s="401">
        <f t="shared" si="284"/>
        <v>2</v>
      </c>
      <c r="V128" s="820">
        <f t="shared" si="284"/>
        <v>2</v>
      </c>
      <c r="W128" s="398">
        <f t="shared" si="284"/>
        <v>2</v>
      </c>
      <c r="X128" s="401">
        <f t="shared" si="284"/>
        <v>2</v>
      </c>
      <c r="Y128" s="401">
        <f t="shared" si="284"/>
        <v>2</v>
      </c>
      <c r="Z128" s="401">
        <f t="shared" si="284"/>
        <v>2</v>
      </c>
      <c r="AA128" s="401">
        <f t="shared" si="284"/>
        <v>2</v>
      </c>
      <c r="AB128" s="398">
        <f t="shared" si="284"/>
        <v>2</v>
      </c>
      <c r="AC128" s="3666">
        <v>2</v>
      </c>
      <c r="AD128" s="3666">
        <v>2</v>
      </c>
      <c r="AE128" s="401">
        <f t="shared" ref="AE128" si="285">AE112+AE96+AE80</f>
        <v>2</v>
      </c>
      <c r="AF128" s="820">
        <f t="shared" ref="AF128:AN129" si="286">AF112+AF96+AF80</f>
        <v>2</v>
      </c>
      <c r="AG128" s="398">
        <f t="shared" si="286"/>
        <v>2</v>
      </c>
      <c r="AH128" s="401">
        <f t="shared" si="286"/>
        <v>2.0249999999999999</v>
      </c>
      <c r="AI128" s="401">
        <f t="shared" si="286"/>
        <v>2.050325</v>
      </c>
      <c r="AJ128" s="401">
        <f t="shared" si="286"/>
        <v>2.0810798749999995</v>
      </c>
      <c r="AK128" s="820">
        <f t="shared" si="286"/>
        <v>2.1122960731249991</v>
      </c>
      <c r="AL128" s="398">
        <f t="shared" ref="AL128" si="287">AL112+AL96+AL80</f>
        <v>2.1122960731249991</v>
      </c>
      <c r="AM128" s="398">
        <f t="shared" si="286"/>
        <v>2.2231133842531241</v>
      </c>
      <c r="AN128" s="398">
        <f t="shared" si="286"/>
        <v>2.3120865552577179</v>
      </c>
    </row>
    <row r="129" spans="1:40">
      <c r="A129" s="130" t="str">
        <f>A$10</f>
        <v>Conrad Hotels &amp; Resorts (Luxury)</v>
      </c>
      <c r="B129" s="1033">
        <f t="shared" ref="B129:AB129" si="288">B113+B97+B81</f>
        <v>2</v>
      </c>
      <c r="C129" s="398">
        <f t="shared" si="288"/>
        <v>2</v>
      </c>
      <c r="D129" s="1033">
        <f t="shared" si="288"/>
        <v>2</v>
      </c>
      <c r="E129" s="406">
        <f t="shared" si="288"/>
        <v>2</v>
      </c>
      <c r="F129" s="406">
        <f t="shared" si="288"/>
        <v>2</v>
      </c>
      <c r="G129" s="820">
        <f t="shared" si="288"/>
        <v>2</v>
      </c>
      <c r="H129" s="820">
        <f t="shared" si="288"/>
        <v>2</v>
      </c>
      <c r="I129" s="1033">
        <f t="shared" si="288"/>
        <v>2</v>
      </c>
      <c r="J129" s="406">
        <f t="shared" si="288"/>
        <v>2</v>
      </c>
      <c r="K129" s="406">
        <f t="shared" si="288"/>
        <v>1</v>
      </c>
      <c r="L129" s="820">
        <f t="shared" si="288"/>
        <v>1</v>
      </c>
      <c r="M129" s="820">
        <f t="shared" si="288"/>
        <v>1</v>
      </c>
      <c r="N129" s="1033">
        <f t="shared" si="288"/>
        <v>1</v>
      </c>
      <c r="O129" s="401">
        <f t="shared" si="288"/>
        <v>1</v>
      </c>
      <c r="P129" s="401">
        <f t="shared" si="288"/>
        <v>1</v>
      </c>
      <c r="Q129" s="820">
        <f t="shared" si="288"/>
        <v>1</v>
      </c>
      <c r="R129" s="398">
        <f t="shared" si="288"/>
        <v>1</v>
      </c>
      <c r="S129" s="1033">
        <f t="shared" si="288"/>
        <v>1</v>
      </c>
      <c r="T129" s="406">
        <f t="shared" si="288"/>
        <v>1</v>
      </c>
      <c r="U129" s="401">
        <f t="shared" si="288"/>
        <v>1</v>
      </c>
      <c r="V129" s="820">
        <f t="shared" si="288"/>
        <v>1</v>
      </c>
      <c r="W129" s="398">
        <f t="shared" si="288"/>
        <v>1</v>
      </c>
      <c r="X129" s="401">
        <f t="shared" si="288"/>
        <v>1</v>
      </c>
      <c r="Y129" s="401">
        <f t="shared" si="288"/>
        <v>1</v>
      </c>
      <c r="Z129" s="401">
        <f t="shared" si="288"/>
        <v>1</v>
      </c>
      <c r="AA129" s="401">
        <f t="shared" si="288"/>
        <v>1</v>
      </c>
      <c r="AB129" s="398">
        <f t="shared" si="288"/>
        <v>1</v>
      </c>
      <c r="AC129" s="3666">
        <v>1</v>
      </c>
      <c r="AD129" s="3666">
        <v>2</v>
      </c>
      <c r="AE129" s="401">
        <f t="shared" ref="AE129:AE130" si="289">AE113+AE97+AE81</f>
        <v>1</v>
      </c>
      <c r="AF129" s="820">
        <f t="shared" si="286"/>
        <v>3</v>
      </c>
      <c r="AG129" s="398">
        <f t="shared" si="286"/>
        <v>3</v>
      </c>
      <c r="AH129" s="401">
        <f t="shared" si="286"/>
        <v>3.04</v>
      </c>
      <c r="AI129" s="401">
        <f t="shared" si="286"/>
        <v>3.0805499999999997</v>
      </c>
      <c r="AJ129" s="401">
        <f t="shared" si="286"/>
        <v>3.1267582499999991</v>
      </c>
      <c r="AK129" s="820">
        <f t="shared" si="286"/>
        <v>3.1736596237499985</v>
      </c>
      <c r="AL129" s="398">
        <f t="shared" ref="AL129" si="290">AL113+AL97+AL81</f>
        <v>3.1736596237499985</v>
      </c>
      <c r="AM129" s="398">
        <f t="shared" si="286"/>
        <v>3.3322382946562481</v>
      </c>
      <c r="AN129" s="398">
        <f t="shared" si="286"/>
        <v>3.4544852129729353</v>
      </c>
    </row>
    <row r="130" spans="1:40">
      <c r="A130" s="1828" t="s">
        <v>3022</v>
      </c>
      <c r="B130" s="1030"/>
      <c r="C130" s="508"/>
      <c r="D130" s="1030"/>
      <c r="E130" s="912"/>
      <c r="F130" s="912"/>
      <c r="G130" s="1041"/>
      <c r="H130" s="820"/>
      <c r="I130" s="1030"/>
      <c r="J130" s="912"/>
      <c r="K130" s="912"/>
      <c r="L130" s="1041"/>
      <c r="M130" s="820"/>
      <c r="N130" s="1030"/>
      <c r="O130" s="912"/>
      <c r="P130" s="912"/>
      <c r="Q130" s="1041"/>
      <c r="R130" s="820"/>
      <c r="S130" s="1030"/>
      <c r="T130" s="912"/>
      <c r="U130" s="912"/>
      <c r="V130" s="912"/>
      <c r="W130" s="398"/>
      <c r="X130" s="2787"/>
      <c r="Y130" s="2791"/>
      <c r="Z130" s="2791"/>
      <c r="AA130" s="2791">
        <v>0</v>
      </c>
      <c r="AB130" s="398">
        <f t="shared" ref="AB130:AG130" si="291">+AA130</f>
        <v>0</v>
      </c>
      <c r="AC130" s="3665">
        <v>0</v>
      </c>
      <c r="AD130" s="3665">
        <f t="shared" si="291"/>
        <v>0</v>
      </c>
      <c r="AE130" s="401">
        <f t="shared" si="289"/>
        <v>0</v>
      </c>
      <c r="AF130" s="820">
        <f t="shared" si="291"/>
        <v>0</v>
      </c>
      <c r="AG130" s="398">
        <f t="shared" si="291"/>
        <v>0</v>
      </c>
      <c r="AH130" s="3665">
        <f>AG130</f>
        <v>0</v>
      </c>
      <c r="AI130" s="3665">
        <f t="shared" ref="AI130:AK130" si="292">AH130</f>
        <v>0</v>
      </c>
      <c r="AJ130" s="3665">
        <f t="shared" si="292"/>
        <v>0</v>
      </c>
      <c r="AK130" s="820">
        <f t="shared" si="292"/>
        <v>0</v>
      </c>
      <c r="AL130" s="398">
        <f t="shared" ref="AL130" si="293">+AK130</f>
        <v>0</v>
      </c>
      <c r="AM130" s="398">
        <f>AL130</f>
        <v>0</v>
      </c>
      <c r="AN130" s="398">
        <f>AM130</f>
        <v>0</v>
      </c>
    </row>
    <row r="131" spans="1:40">
      <c r="A131" s="130" t="str">
        <f>A$12</f>
        <v>Hilton Hotels &amp; Resorts (Upper Up)</v>
      </c>
      <c r="B131" s="1033">
        <f t="shared" ref="B131:AB131" si="294">B115+B99+B83</f>
        <v>39</v>
      </c>
      <c r="C131" s="398">
        <f t="shared" si="294"/>
        <v>40</v>
      </c>
      <c r="D131" s="1033">
        <f t="shared" si="294"/>
        <v>40</v>
      </c>
      <c r="E131" s="406">
        <f t="shared" si="294"/>
        <v>40</v>
      </c>
      <c r="F131" s="406">
        <f t="shared" si="294"/>
        <v>40</v>
      </c>
      <c r="G131" s="820">
        <f t="shared" si="294"/>
        <v>42</v>
      </c>
      <c r="H131" s="820">
        <f t="shared" si="294"/>
        <v>42</v>
      </c>
      <c r="I131" s="1033">
        <f t="shared" si="294"/>
        <v>42</v>
      </c>
      <c r="J131" s="406">
        <f t="shared" si="294"/>
        <v>42</v>
      </c>
      <c r="K131" s="406">
        <f t="shared" si="294"/>
        <v>43</v>
      </c>
      <c r="L131" s="820">
        <f t="shared" si="294"/>
        <v>42</v>
      </c>
      <c r="M131" s="820">
        <f t="shared" si="294"/>
        <v>42</v>
      </c>
      <c r="N131" s="1033">
        <f t="shared" si="294"/>
        <v>43</v>
      </c>
      <c r="O131" s="401">
        <f t="shared" si="294"/>
        <v>43</v>
      </c>
      <c r="P131" s="401">
        <f t="shared" si="294"/>
        <v>44</v>
      </c>
      <c r="Q131" s="820">
        <f t="shared" si="294"/>
        <v>43</v>
      </c>
      <c r="R131" s="398">
        <f t="shared" si="294"/>
        <v>43</v>
      </c>
      <c r="S131" s="1033">
        <f t="shared" si="294"/>
        <v>43</v>
      </c>
      <c r="T131" s="406">
        <f t="shared" si="294"/>
        <v>45</v>
      </c>
      <c r="U131" s="401">
        <f t="shared" si="294"/>
        <v>46</v>
      </c>
      <c r="V131" s="820">
        <f t="shared" si="294"/>
        <v>45</v>
      </c>
      <c r="W131" s="398">
        <f t="shared" si="294"/>
        <v>45</v>
      </c>
      <c r="X131" s="401">
        <f t="shared" si="294"/>
        <v>44</v>
      </c>
      <c r="Y131" s="401">
        <f t="shared" si="294"/>
        <v>44</v>
      </c>
      <c r="Z131" s="401">
        <f t="shared" si="294"/>
        <v>43</v>
      </c>
      <c r="AA131" s="401">
        <f t="shared" si="294"/>
        <v>43</v>
      </c>
      <c r="AB131" s="398">
        <f t="shared" si="294"/>
        <v>43</v>
      </c>
      <c r="AC131" s="3666">
        <v>42</v>
      </c>
      <c r="AD131" s="3666">
        <v>43</v>
      </c>
      <c r="AE131" s="401">
        <f t="shared" ref="AE131" si="295">AE115+AE99+AE83</f>
        <v>43</v>
      </c>
      <c r="AF131" s="820">
        <f t="shared" ref="AF131:AN137" si="296">AF115+AF99+AF83</f>
        <v>43</v>
      </c>
      <c r="AG131" s="398">
        <f t="shared" si="296"/>
        <v>43</v>
      </c>
      <c r="AH131" s="401">
        <f t="shared" ref="AH131:AL131" si="297">AH115+AH99+AH83</f>
        <v>43.545000000000002</v>
      </c>
      <c r="AI131" s="401">
        <f t="shared" si="297"/>
        <v>44.097324999999998</v>
      </c>
      <c r="AJ131" s="401">
        <f t="shared" si="297"/>
        <v>44.743784874999989</v>
      </c>
      <c r="AK131" s="820">
        <f t="shared" si="297"/>
        <v>45.399941648124987</v>
      </c>
      <c r="AL131" s="398">
        <f t="shared" si="297"/>
        <v>45.399941648124987</v>
      </c>
      <c r="AM131" s="398">
        <f t="shared" si="296"/>
        <v>47.66592681552811</v>
      </c>
      <c r="AN131" s="398">
        <f t="shared" si="296"/>
        <v>49.444660701102954</v>
      </c>
    </row>
    <row r="132" spans="1:40">
      <c r="A132" s="130" t="str">
        <f>A$13</f>
        <v xml:space="preserve">Curio - A Collection by Hilton </v>
      </c>
      <c r="B132" s="1033"/>
      <c r="C132" s="398"/>
      <c r="D132" s="1033"/>
      <c r="E132" s="406"/>
      <c r="F132" s="406"/>
      <c r="G132" s="820"/>
      <c r="H132" s="820"/>
      <c r="I132" s="1033"/>
      <c r="J132" s="406"/>
      <c r="K132" s="406"/>
      <c r="L132" s="820"/>
      <c r="M132" s="820"/>
      <c r="N132" s="1033"/>
      <c r="O132" s="401"/>
      <c r="P132" s="401"/>
      <c r="Q132" s="820"/>
      <c r="R132" s="398"/>
      <c r="S132" s="1033">
        <f t="shared" ref="S132:AB132" si="298">S116+S100+S84</f>
        <v>0</v>
      </c>
      <c r="T132" s="406">
        <f t="shared" si="298"/>
        <v>0</v>
      </c>
      <c r="U132" s="401">
        <f t="shared" si="298"/>
        <v>3</v>
      </c>
      <c r="V132" s="820">
        <f t="shared" si="298"/>
        <v>3</v>
      </c>
      <c r="W132" s="398">
        <f t="shared" si="298"/>
        <v>3</v>
      </c>
      <c r="X132" s="401">
        <f t="shared" si="298"/>
        <v>3</v>
      </c>
      <c r="Y132" s="401">
        <f t="shared" si="298"/>
        <v>3</v>
      </c>
      <c r="Z132" s="401">
        <f t="shared" si="298"/>
        <v>3</v>
      </c>
      <c r="AA132" s="401">
        <f t="shared" si="298"/>
        <v>4</v>
      </c>
      <c r="AB132" s="398">
        <f t="shared" si="298"/>
        <v>4</v>
      </c>
      <c r="AC132" s="3666">
        <v>5</v>
      </c>
      <c r="AD132" s="3666">
        <v>5</v>
      </c>
      <c r="AE132" s="401">
        <f t="shared" ref="AE132" si="299">AE116+AE100+AE84</f>
        <v>5</v>
      </c>
      <c r="AF132" s="820">
        <f t="shared" si="296"/>
        <v>7</v>
      </c>
      <c r="AG132" s="398">
        <f t="shared" si="296"/>
        <v>7</v>
      </c>
      <c r="AH132" s="401">
        <f t="shared" ref="AH132:AL132" si="300">AH116+AH100+AH84</f>
        <v>7</v>
      </c>
      <c r="AI132" s="401">
        <f t="shared" si="300"/>
        <v>7</v>
      </c>
      <c r="AJ132" s="401">
        <f t="shared" si="300"/>
        <v>7</v>
      </c>
      <c r="AK132" s="820">
        <f t="shared" si="300"/>
        <v>7</v>
      </c>
      <c r="AL132" s="398">
        <f t="shared" si="300"/>
        <v>7</v>
      </c>
      <c r="AM132" s="398">
        <f t="shared" si="296"/>
        <v>7</v>
      </c>
      <c r="AN132" s="398">
        <f t="shared" si="296"/>
        <v>7</v>
      </c>
    </row>
    <row r="133" spans="1:40">
      <c r="A133" s="130" t="str">
        <f>A$14</f>
        <v>DoubleTree by Hilton (Upscale)</v>
      </c>
      <c r="B133" s="1033">
        <f t="shared" ref="B133:R133" si="301">B117+B101+B85</f>
        <v>7</v>
      </c>
      <c r="C133" s="398">
        <f t="shared" si="301"/>
        <v>9</v>
      </c>
      <c r="D133" s="1033">
        <f t="shared" si="301"/>
        <v>10</v>
      </c>
      <c r="E133" s="406">
        <f t="shared" si="301"/>
        <v>10</v>
      </c>
      <c r="F133" s="406">
        <f t="shared" si="301"/>
        <v>10</v>
      </c>
      <c r="G133" s="820">
        <f t="shared" si="301"/>
        <v>12</v>
      </c>
      <c r="H133" s="820">
        <f t="shared" si="301"/>
        <v>12</v>
      </c>
      <c r="I133" s="1033">
        <f t="shared" si="301"/>
        <v>12</v>
      </c>
      <c r="J133" s="406">
        <f t="shared" si="301"/>
        <v>12</v>
      </c>
      <c r="K133" s="406">
        <f t="shared" si="301"/>
        <v>11</v>
      </c>
      <c r="L133" s="820">
        <f t="shared" si="301"/>
        <v>14</v>
      </c>
      <c r="M133" s="820">
        <f t="shared" si="301"/>
        <v>14</v>
      </c>
      <c r="N133" s="1033">
        <f t="shared" si="301"/>
        <v>15</v>
      </c>
      <c r="O133" s="401">
        <f t="shared" si="301"/>
        <v>15</v>
      </c>
      <c r="P133" s="401">
        <f t="shared" si="301"/>
        <v>15</v>
      </c>
      <c r="Q133" s="820">
        <f t="shared" si="301"/>
        <v>16</v>
      </c>
      <c r="R133" s="398">
        <f t="shared" si="301"/>
        <v>16</v>
      </c>
      <c r="S133" s="1033">
        <f t="shared" ref="S133:AB133" si="302">S117+S101+S85</f>
        <v>16</v>
      </c>
      <c r="T133" s="406">
        <f t="shared" si="302"/>
        <v>17</v>
      </c>
      <c r="U133" s="401">
        <f t="shared" si="302"/>
        <v>18</v>
      </c>
      <c r="V133" s="820">
        <f t="shared" si="302"/>
        <v>21</v>
      </c>
      <c r="W133" s="398">
        <f t="shared" si="302"/>
        <v>21</v>
      </c>
      <c r="X133" s="401">
        <f t="shared" si="302"/>
        <v>21</v>
      </c>
      <c r="Y133" s="401">
        <f t="shared" si="302"/>
        <v>22</v>
      </c>
      <c r="Z133" s="401">
        <f t="shared" si="302"/>
        <v>21</v>
      </c>
      <c r="AA133" s="401">
        <f t="shared" si="302"/>
        <v>22</v>
      </c>
      <c r="AB133" s="398">
        <f t="shared" si="302"/>
        <v>22</v>
      </c>
      <c r="AC133" s="3666">
        <v>22</v>
      </c>
      <c r="AD133" s="3666">
        <v>22</v>
      </c>
      <c r="AE133" s="401">
        <f t="shared" ref="AE133" si="303">AE117+AE101+AE85</f>
        <v>24</v>
      </c>
      <c r="AF133" s="820">
        <f t="shared" si="296"/>
        <v>25</v>
      </c>
      <c r="AG133" s="398">
        <f t="shared" si="296"/>
        <v>25</v>
      </c>
      <c r="AH133" s="401">
        <f t="shared" ref="AH133:AL133" si="304">AH117+AH101+AH85</f>
        <v>25.27</v>
      </c>
      <c r="AI133" s="401">
        <f t="shared" si="304"/>
        <v>25.542999999999999</v>
      </c>
      <c r="AJ133" s="401">
        <f t="shared" si="304"/>
        <v>25.926144999999998</v>
      </c>
      <c r="AK133" s="820">
        <f t="shared" si="304"/>
        <v>26.315037174999993</v>
      </c>
      <c r="AL133" s="398">
        <f t="shared" si="304"/>
        <v>26.315037174999993</v>
      </c>
      <c r="AM133" s="398">
        <f t="shared" si="296"/>
        <v>27.830257592462495</v>
      </c>
      <c r="AN133" s="398">
        <f t="shared" si="296"/>
        <v>29.133040479253374</v>
      </c>
    </row>
    <row r="134" spans="1:40">
      <c r="A134" s="130" t="str">
        <f>A$15</f>
        <v>Embassy Suites Hotels (Upper Up)</v>
      </c>
      <c r="B134" s="1033">
        <f t="shared" ref="B134:R134" si="305">B118+B102+B86</f>
        <v>9</v>
      </c>
      <c r="C134" s="398">
        <f t="shared" si="305"/>
        <v>9</v>
      </c>
      <c r="D134" s="1033">
        <f t="shared" si="305"/>
        <v>9</v>
      </c>
      <c r="E134" s="406">
        <f t="shared" si="305"/>
        <v>9</v>
      </c>
      <c r="F134" s="406">
        <f t="shared" si="305"/>
        <v>8</v>
      </c>
      <c r="G134" s="820">
        <f t="shared" si="305"/>
        <v>7</v>
      </c>
      <c r="H134" s="820">
        <f t="shared" si="305"/>
        <v>7</v>
      </c>
      <c r="I134" s="1033">
        <f t="shared" si="305"/>
        <v>7</v>
      </c>
      <c r="J134" s="406">
        <f t="shared" si="305"/>
        <v>7</v>
      </c>
      <c r="K134" s="406">
        <f t="shared" si="305"/>
        <v>7</v>
      </c>
      <c r="L134" s="820">
        <f t="shared" si="305"/>
        <v>7</v>
      </c>
      <c r="M134" s="820">
        <f t="shared" si="305"/>
        <v>7</v>
      </c>
      <c r="N134" s="1033">
        <f t="shared" si="305"/>
        <v>7</v>
      </c>
      <c r="O134" s="401">
        <f t="shared" si="305"/>
        <v>8</v>
      </c>
      <c r="P134" s="401">
        <f t="shared" si="305"/>
        <v>8</v>
      </c>
      <c r="Q134" s="820">
        <f t="shared" si="305"/>
        <v>8</v>
      </c>
      <c r="R134" s="398">
        <f t="shared" si="305"/>
        <v>8</v>
      </c>
      <c r="S134" s="1033">
        <f t="shared" ref="S134:AB134" si="306">S118+S102+S86</f>
        <v>8</v>
      </c>
      <c r="T134" s="406">
        <f t="shared" si="306"/>
        <v>8</v>
      </c>
      <c r="U134" s="401">
        <f t="shared" si="306"/>
        <v>8</v>
      </c>
      <c r="V134" s="820">
        <f t="shared" si="306"/>
        <v>8</v>
      </c>
      <c r="W134" s="398">
        <f t="shared" si="306"/>
        <v>8</v>
      </c>
      <c r="X134" s="401">
        <f t="shared" si="306"/>
        <v>8</v>
      </c>
      <c r="Y134" s="401">
        <f t="shared" si="306"/>
        <v>8</v>
      </c>
      <c r="Z134" s="401">
        <f t="shared" si="306"/>
        <v>8</v>
      </c>
      <c r="AA134" s="401">
        <f t="shared" si="306"/>
        <v>8</v>
      </c>
      <c r="AB134" s="398">
        <f t="shared" si="306"/>
        <v>8</v>
      </c>
      <c r="AC134" s="3666">
        <v>8</v>
      </c>
      <c r="AD134" s="3666">
        <v>8</v>
      </c>
      <c r="AE134" s="401">
        <f t="shared" ref="AE134" si="307">AE118+AE102+AE86</f>
        <v>8</v>
      </c>
      <c r="AF134" s="820">
        <f t="shared" si="296"/>
        <v>8</v>
      </c>
      <c r="AG134" s="398">
        <f t="shared" si="296"/>
        <v>8</v>
      </c>
      <c r="AH134" s="401">
        <f t="shared" ref="AH134:AL134" si="308">AH118+AH102+AH86</f>
        <v>8.0949999999999989</v>
      </c>
      <c r="AI134" s="401">
        <f t="shared" si="308"/>
        <v>8.1911749999999994</v>
      </c>
      <c r="AJ134" s="401">
        <f t="shared" si="308"/>
        <v>8.314042624999999</v>
      </c>
      <c r="AK134" s="820">
        <f t="shared" si="308"/>
        <v>8.4387532643749985</v>
      </c>
      <c r="AL134" s="398">
        <f t="shared" si="308"/>
        <v>8.4387532643749985</v>
      </c>
      <c r="AM134" s="398">
        <f t="shared" si="296"/>
        <v>8.8973171004593716</v>
      </c>
      <c r="AN134" s="398">
        <f t="shared" si="296"/>
        <v>9.2756354608581528</v>
      </c>
    </row>
    <row r="135" spans="1:40">
      <c r="A135" s="130" t="str">
        <f>A$16</f>
        <v>Hilton Garden Inn (Upscale)</v>
      </c>
      <c r="B135" s="1033">
        <f t="shared" ref="B135:R135" si="309">B119+B103+B87</f>
        <v>21</v>
      </c>
      <c r="C135" s="398">
        <f t="shared" si="309"/>
        <v>25</v>
      </c>
      <c r="D135" s="1033">
        <f t="shared" si="309"/>
        <v>25</v>
      </c>
      <c r="E135" s="406">
        <f t="shared" si="309"/>
        <v>26</v>
      </c>
      <c r="F135" s="406">
        <f t="shared" si="309"/>
        <v>26</v>
      </c>
      <c r="G135" s="820">
        <f t="shared" si="309"/>
        <v>28</v>
      </c>
      <c r="H135" s="820">
        <f t="shared" si="309"/>
        <v>28</v>
      </c>
      <c r="I135" s="1033">
        <f t="shared" si="309"/>
        <v>28</v>
      </c>
      <c r="J135" s="406">
        <f t="shared" si="309"/>
        <v>28</v>
      </c>
      <c r="K135" s="406">
        <f t="shared" si="309"/>
        <v>28</v>
      </c>
      <c r="L135" s="820">
        <f t="shared" si="309"/>
        <v>28</v>
      </c>
      <c r="M135" s="820">
        <f t="shared" si="309"/>
        <v>28</v>
      </c>
      <c r="N135" s="1033">
        <f t="shared" si="309"/>
        <v>29</v>
      </c>
      <c r="O135" s="401">
        <f t="shared" si="309"/>
        <v>29</v>
      </c>
      <c r="P135" s="401">
        <f t="shared" si="309"/>
        <v>30</v>
      </c>
      <c r="Q135" s="820">
        <f t="shared" si="309"/>
        <v>30</v>
      </c>
      <c r="R135" s="398">
        <f t="shared" si="309"/>
        <v>30</v>
      </c>
      <c r="S135" s="1033">
        <f t="shared" ref="S135:AB135" si="310">S119+S103+S87</f>
        <v>30</v>
      </c>
      <c r="T135" s="406">
        <f t="shared" si="310"/>
        <v>31</v>
      </c>
      <c r="U135" s="401">
        <f t="shared" si="310"/>
        <v>33</v>
      </c>
      <c r="V135" s="820">
        <f t="shared" si="310"/>
        <v>35</v>
      </c>
      <c r="W135" s="398">
        <f t="shared" si="310"/>
        <v>35</v>
      </c>
      <c r="X135" s="401">
        <f t="shared" si="310"/>
        <v>36</v>
      </c>
      <c r="Y135" s="401">
        <f t="shared" si="310"/>
        <v>36</v>
      </c>
      <c r="Z135" s="401">
        <f t="shared" si="310"/>
        <v>36</v>
      </c>
      <c r="AA135" s="401">
        <f t="shared" si="310"/>
        <v>39</v>
      </c>
      <c r="AB135" s="398">
        <f t="shared" si="310"/>
        <v>39</v>
      </c>
      <c r="AC135" s="3666">
        <v>39</v>
      </c>
      <c r="AD135" s="3666">
        <v>41</v>
      </c>
      <c r="AE135" s="401">
        <f t="shared" ref="AE135" si="311">AE119+AE103+AE87</f>
        <v>43</v>
      </c>
      <c r="AF135" s="820">
        <f t="shared" si="296"/>
        <v>44</v>
      </c>
      <c r="AG135" s="398">
        <f t="shared" si="296"/>
        <v>44</v>
      </c>
      <c r="AH135" s="401">
        <f t="shared" ref="AH135:AL135" si="312">AH119+AH103+AH87</f>
        <v>44.48</v>
      </c>
      <c r="AI135" s="401">
        <f t="shared" si="312"/>
        <v>44.965399999999995</v>
      </c>
      <c r="AJ135" s="401">
        <f t="shared" si="312"/>
        <v>45.639880999999988</v>
      </c>
      <c r="AK135" s="820">
        <f t="shared" si="312"/>
        <v>46.324479214999982</v>
      </c>
      <c r="AL135" s="398">
        <f t="shared" si="312"/>
        <v>46.324479214999982</v>
      </c>
      <c r="AM135" s="398">
        <f t="shared" si="296"/>
        <v>48.976584341824982</v>
      </c>
      <c r="AN135" s="398">
        <f t="shared" si="296"/>
        <v>51.247953573251735</v>
      </c>
    </row>
    <row r="136" spans="1:40">
      <c r="A136" s="130" t="str">
        <f>A$17</f>
        <v>Hampton Inn (Upper Mid)</v>
      </c>
      <c r="B136" s="1033">
        <f t="shared" ref="B136:R136" si="313">B120+B104+B88</f>
        <v>50</v>
      </c>
      <c r="C136" s="398">
        <f t="shared" si="313"/>
        <v>50</v>
      </c>
      <c r="D136" s="1033">
        <f t="shared" si="313"/>
        <v>51</v>
      </c>
      <c r="E136" s="406">
        <f t="shared" si="313"/>
        <v>52</v>
      </c>
      <c r="F136" s="406">
        <f t="shared" si="313"/>
        <v>53</v>
      </c>
      <c r="G136" s="820">
        <f t="shared" si="313"/>
        <v>55</v>
      </c>
      <c r="H136" s="820">
        <f t="shared" si="313"/>
        <v>55</v>
      </c>
      <c r="I136" s="1033">
        <f t="shared" si="313"/>
        <v>57</v>
      </c>
      <c r="J136" s="406">
        <f t="shared" si="313"/>
        <v>57</v>
      </c>
      <c r="K136" s="406">
        <f t="shared" si="313"/>
        <v>58</v>
      </c>
      <c r="L136" s="820">
        <f t="shared" si="313"/>
        <v>59</v>
      </c>
      <c r="M136" s="820">
        <f t="shared" si="313"/>
        <v>59</v>
      </c>
      <c r="N136" s="1033">
        <f t="shared" si="313"/>
        <v>59</v>
      </c>
      <c r="O136" s="401">
        <f t="shared" si="313"/>
        <v>61</v>
      </c>
      <c r="P136" s="401">
        <f t="shared" si="313"/>
        <v>64</v>
      </c>
      <c r="Q136" s="820">
        <f t="shared" si="313"/>
        <v>67</v>
      </c>
      <c r="R136" s="398">
        <f t="shared" si="313"/>
        <v>67</v>
      </c>
      <c r="S136" s="1033">
        <f t="shared" ref="S136:AB136" si="314">S120+S104+S88</f>
        <v>72</v>
      </c>
      <c r="T136" s="406">
        <f t="shared" si="314"/>
        <v>78</v>
      </c>
      <c r="U136" s="401">
        <f t="shared" si="314"/>
        <v>82</v>
      </c>
      <c r="V136" s="820">
        <f t="shared" si="314"/>
        <v>88</v>
      </c>
      <c r="W136" s="398">
        <f t="shared" si="314"/>
        <v>88</v>
      </c>
      <c r="X136" s="401">
        <f t="shared" si="314"/>
        <v>90</v>
      </c>
      <c r="Y136" s="401">
        <f t="shared" si="314"/>
        <v>92</v>
      </c>
      <c r="Z136" s="401">
        <f t="shared" si="314"/>
        <v>96</v>
      </c>
      <c r="AA136" s="401">
        <f t="shared" si="314"/>
        <v>97</v>
      </c>
      <c r="AB136" s="398">
        <f t="shared" si="314"/>
        <v>97</v>
      </c>
      <c r="AC136" s="3666">
        <v>97</v>
      </c>
      <c r="AD136" s="3666">
        <v>97</v>
      </c>
      <c r="AE136" s="401">
        <f t="shared" ref="AE136" si="315">AE120+AE104+AE88</f>
        <v>99</v>
      </c>
      <c r="AF136" s="820">
        <f t="shared" si="296"/>
        <v>102</v>
      </c>
      <c r="AG136" s="398">
        <f t="shared" si="296"/>
        <v>102</v>
      </c>
      <c r="AH136" s="401">
        <f t="shared" ref="AH136:AL136" si="316">AH120+AH104+AH88</f>
        <v>103.08499999999999</v>
      </c>
      <c r="AI136" s="401">
        <f t="shared" si="316"/>
        <v>104.18182499999999</v>
      </c>
      <c r="AJ136" s="401">
        <f t="shared" si="316"/>
        <v>105.74455237499998</v>
      </c>
      <c r="AK136" s="820">
        <f t="shared" si="316"/>
        <v>107.33072066062496</v>
      </c>
      <c r="AL136" s="398">
        <f t="shared" si="316"/>
        <v>107.33072066062496</v>
      </c>
      <c r="AM136" s="398">
        <f t="shared" si="296"/>
        <v>113.56359800789059</v>
      </c>
      <c r="AN136" s="398">
        <f t="shared" si="296"/>
        <v>118.95340543158032</v>
      </c>
    </row>
    <row r="137" spans="1:40">
      <c r="A137" s="130" t="str">
        <f>A$18</f>
        <v>Home2 Suites by Hilton (Upper Mid)</v>
      </c>
      <c r="B137" s="1033">
        <f t="shared" ref="B137:R137" si="317">B121+B105+B89</f>
        <v>0</v>
      </c>
      <c r="C137" s="398">
        <f t="shared" si="317"/>
        <v>0</v>
      </c>
      <c r="D137" s="1033">
        <f t="shared" si="317"/>
        <v>0</v>
      </c>
      <c r="E137" s="406">
        <f t="shared" si="317"/>
        <v>0</v>
      </c>
      <c r="F137" s="406">
        <f t="shared" si="317"/>
        <v>0</v>
      </c>
      <c r="G137" s="820">
        <f t="shared" si="317"/>
        <v>0</v>
      </c>
      <c r="H137" s="820">
        <f t="shared" si="317"/>
        <v>0</v>
      </c>
      <c r="I137" s="1033">
        <f t="shared" si="317"/>
        <v>0</v>
      </c>
      <c r="J137" s="406">
        <f t="shared" si="317"/>
        <v>0</v>
      </c>
      <c r="K137" s="406">
        <f t="shared" si="317"/>
        <v>0</v>
      </c>
      <c r="L137" s="820">
        <f t="shared" si="317"/>
        <v>1</v>
      </c>
      <c r="M137" s="820">
        <f t="shared" si="317"/>
        <v>1</v>
      </c>
      <c r="N137" s="1033">
        <f t="shared" si="317"/>
        <v>1</v>
      </c>
      <c r="O137" s="401">
        <f t="shared" si="317"/>
        <v>1</v>
      </c>
      <c r="P137" s="401">
        <f t="shared" si="317"/>
        <v>2</v>
      </c>
      <c r="Q137" s="820">
        <f t="shared" si="317"/>
        <v>2</v>
      </c>
      <c r="R137" s="398">
        <f t="shared" si="317"/>
        <v>2</v>
      </c>
      <c r="S137" s="1033">
        <f t="shared" ref="S137:AB137" si="318">S121+S105+S89</f>
        <v>2</v>
      </c>
      <c r="T137" s="406">
        <f t="shared" si="318"/>
        <v>2</v>
      </c>
      <c r="U137" s="401">
        <f t="shared" si="318"/>
        <v>2</v>
      </c>
      <c r="V137" s="820">
        <f t="shared" si="318"/>
        <v>2</v>
      </c>
      <c r="W137" s="398">
        <f t="shared" si="318"/>
        <v>2</v>
      </c>
      <c r="X137" s="401">
        <f t="shared" si="318"/>
        <v>3</v>
      </c>
      <c r="Y137" s="401">
        <f t="shared" si="318"/>
        <v>3</v>
      </c>
      <c r="Z137" s="401">
        <f t="shared" si="318"/>
        <v>3</v>
      </c>
      <c r="AA137" s="401">
        <f t="shared" si="318"/>
        <v>3</v>
      </c>
      <c r="AB137" s="398">
        <f t="shared" si="318"/>
        <v>3</v>
      </c>
      <c r="AC137" s="3666">
        <v>3</v>
      </c>
      <c r="AD137" s="3666">
        <v>3</v>
      </c>
      <c r="AE137" s="401">
        <f t="shared" ref="AE137:AE139" si="319">AE121+AE105+AE89</f>
        <v>3</v>
      </c>
      <c r="AF137" s="820">
        <f t="shared" si="296"/>
        <v>3</v>
      </c>
      <c r="AG137" s="398">
        <f t="shared" si="296"/>
        <v>3</v>
      </c>
      <c r="AH137" s="401">
        <f t="shared" ref="AH137:AL137" si="320">AH121+AH105+AH89</f>
        <v>3.0300000000000002</v>
      </c>
      <c r="AI137" s="401">
        <f t="shared" si="320"/>
        <v>3.0603000000000002</v>
      </c>
      <c r="AJ137" s="401">
        <f t="shared" si="320"/>
        <v>3.1062045</v>
      </c>
      <c r="AK137" s="820">
        <f t="shared" si="320"/>
        <v>3.1527975675</v>
      </c>
      <c r="AL137" s="398">
        <f t="shared" si="320"/>
        <v>3.1527975675</v>
      </c>
      <c r="AM137" s="398">
        <f t="shared" si="296"/>
        <v>3.3419654215500003</v>
      </c>
      <c r="AN137" s="398">
        <f t="shared" si="296"/>
        <v>3.5090636926275005</v>
      </c>
    </row>
    <row r="138" spans="1:40">
      <c r="A138" s="130" t="str">
        <f>$A$90</f>
        <v>Tru by Hilton</v>
      </c>
      <c r="B138" s="1030"/>
      <c r="C138" s="508"/>
      <c r="D138" s="1030"/>
      <c r="E138" s="912"/>
      <c r="F138" s="912"/>
      <c r="G138" s="1041"/>
      <c r="H138" s="820"/>
      <c r="I138" s="1030"/>
      <c r="J138" s="912"/>
      <c r="K138" s="912"/>
      <c r="L138" s="1041"/>
      <c r="M138" s="820"/>
      <c r="N138" s="1030"/>
      <c r="O138" s="912"/>
      <c r="P138" s="912"/>
      <c r="Q138" s="1041"/>
      <c r="R138" s="820"/>
      <c r="S138" s="1030"/>
      <c r="T138" s="912"/>
      <c r="U138" s="912"/>
      <c r="V138" s="912"/>
      <c r="W138" s="398"/>
      <c r="X138" s="2791"/>
      <c r="Y138" s="2791"/>
      <c r="Z138" s="2791"/>
      <c r="AA138" s="2791"/>
      <c r="AB138" s="398"/>
      <c r="AC138" s="406"/>
      <c r="AD138" s="401">
        <v>0</v>
      </c>
      <c r="AE138" s="401">
        <f t="shared" si="319"/>
        <v>0</v>
      </c>
      <c r="AF138" s="820">
        <f t="shared" ref="AF138:AN138" si="321">AF122+AF106+AF90</f>
        <v>0</v>
      </c>
      <c r="AG138" s="398">
        <f t="shared" si="321"/>
        <v>0</v>
      </c>
      <c r="AH138" s="401">
        <f t="shared" ref="AH138:AL138" si="322">AH122+AH106+AH90</f>
        <v>0</v>
      </c>
      <c r="AI138" s="401">
        <f t="shared" si="322"/>
        <v>0</v>
      </c>
      <c r="AJ138" s="401">
        <f t="shared" si="322"/>
        <v>0</v>
      </c>
      <c r="AK138" s="820">
        <f t="shared" si="322"/>
        <v>0</v>
      </c>
      <c r="AL138" s="398">
        <f t="shared" si="322"/>
        <v>0</v>
      </c>
      <c r="AM138" s="398">
        <f t="shared" si="321"/>
        <v>0</v>
      </c>
      <c r="AN138" s="398">
        <f t="shared" si="321"/>
        <v>0</v>
      </c>
    </row>
    <row r="139" spans="1:40">
      <c r="A139" s="130" t="str">
        <f>$A$91</f>
        <v>Tapestry Collection by Hilton</v>
      </c>
      <c r="B139" s="1030"/>
      <c r="C139" s="508"/>
      <c r="D139" s="1030"/>
      <c r="E139" s="912"/>
      <c r="F139" s="912"/>
      <c r="G139" s="1041"/>
      <c r="H139" s="820"/>
      <c r="I139" s="1030"/>
      <c r="J139" s="912"/>
      <c r="K139" s="912"/>
      <c r="L139" s="1041"/>
      <c r="M139" s="820"/>
      <c r="N139" s="1030"/>
      <c r="O139" s="912"/>
      <c r="P139" s="912"/>
      <c r="Q139" s="1041"/>
      <c r="R139" s="820"/>
      <c r="S139" s="1030"/>
      <c r="T139" s="912"/>
      <c r="U139" s="912"/>
      <c r="V139" s="912"/>
      <c r="W139" s="398"/>
      <c r="X139" s="2791"/>
      <c r="Y139" s="2791"/>
      <c r="Z139" s="2791"/>
      <c r="AA139" s="2791"/>
      <c r="AB139" s="398"/>
      <c r="AC139" s="406"/>
      <c r="AD139" s="401">
        <v>0</v>
      </c>
      <c r="AE139" s="401">
        <f t="shared" si="319"/>
        <v>0</v>
      </c>
      <c r="AF139" s="820">
        <f t="shared" ref="AF139:AN139" si="323">AF123+AF107+AF91</f>
        <v>0</v>
      </c>
      <c r="AG139" s="398">
        <f t="shared" si="323"/>
        <v>0</v>
      </c>
      <c r="AH139" s="401">
        <f t="shared" ref="AH139:AL139" si="324">AH123+AH107+AH91</f>
        <v>0</v>
      </c>
      <c r="AI139" s="401">
        <f t="shared" si="324"/>
        <v>0</v>
      </c>
      <c r="AJ139" s="401">
        <f t="shared" si="324"/>
        <v>0</v>
      </c>
      <c r="AK139" s="820">
        <f t="shared" si="324"/>
        <v>0</v>
      </c>
      <c r="AL139" s="398">
        <f t="shared" si="324"/>
        <v>0</v>
      </c>
      <c r="AM139" s="398">
        <f t="shared" si="323"/>
        <v>0</v>
      </c>
      <c r="AN139" s="398">
        <f t="shared" si="323"/>
        <v>0</v>
      </c>
    </row>
    <row r="140" spans="1:40" s="5" customFormat="1">
      <c r="A140" s="1828" t="str">
        <f>A$21</f>
        <v>Homewood Suites by Hilton (Upscale)</v>
      </c>
      <c r="B140" s="1033">
        <f t="shared" ref="B140:AB140" si="325">B124+B108+B92</f>
        <v>10</v>
      </c>
      <c r="C140" s="398">
        <f t="shared" si="325"/>
        <v>11</v>
      </c>
      <c r="D140" s="1033">
        <f t="shared" si="325"/>
        <v>11</v>
      </c>
      <c r="E140" s="406">
        <f t="shared" si="325"/>
        <v>11</v>
      </c>
      <c r="F140" s="406">
        <f t="shared" si="325"/>
        <v>11</v>
      </c>
      <c r="G140" s="820">
        <f t="shared" si="325"/>
        <v>11</v>
      </c>
      <c r="H140" s="820">
        <f t="shared" si="325"/>
        <v>11</v>
      </c>
      <c r="I140" s="1033">
        <f t="shared" si="325"/>
        <v>11</v>
      </c>
      <c r="J140" s="406">
        <f t="shared" si="325"/>
        <v>11</v>
      </c>
      <c r="K140" s="406">
        <f t="shared" si="325"/>
        <v>11</v>
      </c>
      <c r="L140" s="820">
        <f t="shared" si="325"/>
        <v>11</v>
      </c>
      <c r="M140" s="820">
        <f t="shared" si="325"/>
        <v>11</v>
      </c>
      <c r="N140" s="1033">
        <f t="shared" si="325"/>
        <v>13</v>
      </c>
      <c r="O140" s="401">
        <f t="shared" si="325"/>
        <v>16</v>
      </c>
      <c r="P140" s="401">
        <f t="shared" si="325"/>
        <v>17</v>
      </c>
      <c r="Q140" s="820">
        <f t="shared" si="325"/>
        <v>17</v>
      </c>
      <c r="R140" s="398">
        <f t="shared" si="325"/>
        <v>17</v>
      </c>
      <c r="S140" s="1033">
        <f t="shared" si="325"/>
        <v>17</v>
      </c>
      <c r="T140" s="406">
        <f t="shared" si="325"/>
        <v>17</v>
      </c>
      <c r="U140" s="401">
        <f t="shared" si="325"/>
        <v>17</v>
      </c>
      <c r="V140" s="820">
        <f t="shared" si="325"/>
        <v>17</v>
      </c>
      <c r="W140" s="398">
        <f t="shared" si="325"/>
        <v>17</v>
      </c>
      <c r="X140" s="401">
        <f t="shared" si="325"/>
        <v>17</v>
      </c>
      <c r="Y140" s="401">
        <f t="shared" si="325"/>
        <v>17</v>
      </c>
      <c r="Z140" s="401">
        <f t="shared" si="325"/>
        <v>18</v>
      </c>
      <c r="AA140" s="401">
        <f t="shared" si="325"/>
        <v>18</v>
      </c>
      <c r="AB140" s="398">
        <f t="shared" si="325"/>
        <v>18</v>
      </c>
      <c r="AC140" s="3666">
        <v>18</v>
      </c>
      <c r="AD140" s="3666">
        <v>19</v>
      </c>
      <c r="AE140" s="401">
        <f t="shared" ref="AE140" si="326">AE124+AE108+AE92</f>
        <v>19</v>
      </c>
      <c r="AF140" s="820">
        <f t="shared" ref="AF140:AN140" si="327">AF124+AF108+AF92</f>
        <v>20</v>
      </c>
      <c r="AG140" s="398">
        <f t="shared" si="327"/>
        <v>20</v>
      </c>
      <c r="AH140" s="401">
        <f t="shared" si="327"/>
        <v>20.215000000000003</v>
      </c>
      <c r="AI140" s="401">
        <f t="shared" si="327"/>
        <v>20.432375000000004</v>
      </c>
      <c r="AJ140" s="401">
        <f t="shared" si="327"/>
        <v>20.738860625000001</v>
      </c>
      <c r="AK140" s="820">
        <f t="shared" si="327"/>
        <v>21.049943534374997</v>
      </c>
      <c r="AL140" s="398">
        <f t="shared" ref="AL140" si="328">AL124+AL108+AL92</f>
        <v>21.049943534374997</v>
      </c>
      <c r="AM140" s="398">
        <f t="shared" si="327"/>
        <v>22.265178786659373</v>
      </c>
      <c r="AN140" s="398">
        <f t="shared" si="327"/>
        <v>23.311890231368153</v>
      </c>
    </row>
    <row r="141" spans="1:40" s="5" customFormat="1">
      <c r="A141" s="1828" t="s">
        <v>395</v>
      </c>
      <c r="B141" s="1033"/>
      <c r="C141" s="398"/>
      <c r="D141" s="1033"/>
      <c r="E141" s="406"/>
      <c r="F141" s="406"/>
      <c r="G141" s="820"/>
      <c r="H141" s="820"/>
      <c r="I141" s="1033"/>
      <c r="J141" s="406"/>
      <c r="K141" s="406"/>
      <c r="L141" s="820"/>
      <c r="M141" s="820"/>
      <c r="N141" s="1033"/>
      <c r="O141" s="401"/>
      <c r="P141" s="401"/>
      <c r="Q141" s="820"/>
      <c r="R141" s="398"/>
      <c r="S141" s="1033"/>
      <c r="T141" s="406"/>
      <c r="U141" s="401"/>
      <c r="V141" s="820"/>
      <c r="W141" s="398"/>
      <c r="X141" s="401"/>
      <c r="Y141" s="401"/>
      <c r="Z141" s="401"/>
      <c r="AA141" s="401"/>
      <c r="AB141" s="398"/>
      <c r="AC141" s="3666">
        <v>0</v>
      </c>
      <c r="AD141" s="3665">
        <f t="shared" ref="AD141:AF142" si="329">+AC141</f>
        <v>0</v>
      </c>
      <c r="AE141" s="406">
        <f t="shared" si="329"/>
        <v>0</v>
      </c>
      <c r="AF141" s="406">
        <f t="shared" si="329"/>
        <v>0</v>
      </c>
      <c r="AG141" s="398">
        <f t="shared" ref="AG141:AN142" si="330">AF141</f>
        <v>0</v>
      </c>
      <c r="AH141" s="3666">
        <f>AG141</f>
        <v>0</v>
      </c>
      <c r="AI141" s="3666">
        <f t="shared" ref="AI141:AK141" si="331">AH141</f>
        <v>0</v>
      </c>
      <c r="AJ141" s="3666">
        <f t="shared" si="331"/>
        <v>0</v>
      </c>
      <c r="AK141" s="406">
        <f t="shared" si="331"/>
        <v>0</v>
      </c>
      <c r="AL141" s="398">
        <f t="shared" si="330"/>
        <v>0</v>
      </c>
      <c r="AM141" s="398">
        <f t="shared" si="330"/>
        <v>0</v>
      </c>
      <c r="AN141" s="398">
        <f t="shared" si="330"/>
        <v>0</v>
      </c>
    </row>
    <row r="142" spans="1:40" s="5" customFormat="1">
      <c r="A142" s="1828" t="s">
        <v>1394</v>
      </c>
      <c r="B142" s="1033"/>
      <c r="C142" s="398"/>
      <c r="D142" s="1033"/>
      <c r="E142" s="406"/>
      <c r="F142" s="406"/>
      <c r="G142" s="820"/>
      <c r="H142" s="820"/>
      <c r="I142" s="1033"/>
      <c r="J142" s="406"/>
      <c r="K142" s="406"/>
      <c r="L142" s="820"/>
      <c r="M142" s="820"/>
      <c r="N142" s="1033"/>
      <c r="O142" s="401"/>
      <c r="P142" s="401"/>
      <c r="Q142" s="820"/>
      <c r="R142" s="398"/>
      <c r="S142" s="1033"/>
      <c r="T142" s="406"/>
      <c r="U142" s="401"/>
      <c r="V142" s="820"/>
      <c r="W142" s="398"/>
      <c r="X142" s="401"/>
      <c r="Y142" s="401"/>
      <c r="Z142" s="401"/>
      <c r="AA142" s="401"/>
      <c r="AB142" s="398"/>
      <c r="AC142" s="3666">
        <v>0</v>
      </c>
      <c r="AD142" s="3665">
        <f t="shared" si="329"/>
        <v>0</v>
      </c>
      <c r="AE142" s="406">
        <f t="shared" si="329"/>
        <v>0</v>
      </c>
      <c r="AF142" s="406">
        <f t="shared" si="329"/>
        <v>0</v>
      </c>
      <c r="AG142" s="398">
        <f t="shared" si="330"/>
        <v>0</v>
      </c>
      <c r="AH142" s="3666">
        <f>AG142</f>
        <v>0</v>
      </c>
      <c r="AI142" s="3666">
        <f t="shared" ref="AI142:AK142" si="332">AH142</f>
        <v>0</v>
      </c>
      <c r="AJ142" s="3666">
        <f t="shared" si="332"/>
        <v>0</v>
      </c>
      <c r="AK142" s="406">
        <f t="shared" si="332"/>
        <v>0</v>
      </c>
      <c r="AL142" s="398">
        <f t="shared" si="330"/>
        <v>0</v>
      </c>
      <c r="AM142" s="398">
        <f t="shared" si="330"/>
        <v>0</v>
      </c>
      <c r="AN142" s="398">
        <f t="shared" si="330"/>
        <v>0</v>
      </c>
    </row>
    <row r="143" spans="1:40">
      <c r="A143" s="202" t="s">
        <v>1400</v>
      </c>
      <c r="B143" s="1034">
        <f t="shared" ref="B143:AB143" si="333">SUM(B128:B140)</f>
        <v>140</v>
      </c>
      <c r="C143" s="476">
        <f t="shared" si="333"/>
        <v>147</v>
      </c>
      <c r="D143" s="1034">
        <f t="shared" si="333"/>
        <v>149</v>
      </c>
      <c r="E143" s="475">
        <f t="shared" si="333"/>
        <v>151</v>
      </c>
      <c r="F143" s="475">
        <f t="shared" si="333"/>
        <v>151</v>
      </c>
      <c r="G143" s="822">
        <f t="shared" si="333"/>
        <v>158</v>
      </c>
      <c r="H143" s="822">
        <f t="shared" si="333"/>
        <v>158</v>
      </c>
      <c r="I143" s="1034">
        <f t="shared" si="333"/>
        <v>161</v>
      </c>
      <c r="J143" s="475">
        <f t="shared" si="333"/>
        <v>161</v>
      </c>
      <c r="K143" s="475">
        <f t="shared" si="333"/>
        <v>161</v>
      </c>
      <c r="L143" s="822">
        <f t="shared" si="333"/>
        <v>165</v>
      </c>
      <c r="M143" s="822">
        <f t="shared" si="333"/>
        <v>165</v>
      </c>
      <c r="N143" s="1034">
        <f t="shared" si="333"/>
        <v>170</v>
      </c>
      <c r="O143" s="475">
        <f t="shared" si="333"/>
        <v>176</v>
      </c>
      <c r="P143" s="475">
        <f t="shared" si="333"/>
        <v>183</v>
      </c>
      <c r="Q143" s="822">
        <f t="shared" si="333"/>
        <v>186</v>
      </c>
      <c r="R143" s="476">
        <f t="shared" si="333"/>
        <v>186</v>
      </c>
      <c r="S143" s="1034">
        <f t="shared" si="333"/>
        <v>191</v>
      </c>
      <c r="T143" s="475">
        <f t="shared" si="333"/>
        <v>201</v>
      </c>
      <c r="U143" s="475">
        <f t="shared" si="333"/>
        <v>212</v>
      </c>
      <c r="V143" s="822">
        <f t="shared" si="333"/>
        <v>222</v>
      </c>
      <c r="W143" s="476">
        <f t="shared" si="333"/>
        <v>222</v>
      </c>
      <c r="X143" s="475">
        <f t="shared" si="333"/>
        <v>225</v>
      </c>
      <c r="Y143" s="475">
        <f t="shared" si="333"/>
        <v>228</v>
      </c>
      <c r="Z143" s="475">
        <f t="shared" si="333"/>
        <v>231</v>
      </c>
      <c r="AA143" s="475">
        <f t="shared" si="333"/>
        <v>237</v>
      </c>
      <c r="AB143" s="476">
        <f t="shared" si="333"/>
        <v>237</v>
      </c>
      <c r="AC143" s="475">
        <f t="shared" ref="AC143:AN143" si="334">SUM(AC128:AC142)</f>
        <v>237</v>
      </c>
      <c r="AD143" s="475">
        <f t="shared" si="334"/>
        <v>242</v>
      </c>
      <c r="AE143" s="475">
        <f t="shared" si="334"/>
        <v>247</v>
      </c>
      <c r="AF143" s="822">
        <f t="shared" si="334"/>
        <v>257</v>
      </c>
      <c r="AG143" s="476">
        <f t="shared" si="334"/>
        <v>257</v>
      </c>
      <c r="AH143" s="475">
        <f t="shared" ref="AH143:AL143" si="335">SUM(AH128:AH142)</f>
        <v>259.78499999999997</v>
      </c>
      <c r="AI143" s="475">
        <f t="shared" si="335"/>
        <v>262.60227500000002</v>
      </c>
      <c r="AJ143" s="475">
        <f t="shared" si="335"/>
        <v>266.42130912499994</v>
      </c>
      <c r="AK143" s="822">
        <f t="shared" si="335"/>
        <v>270.29762876187493</v>
      </c>
      <c r="AL143" s="476">
        <f t="shared" si="335"/>
        <v>270.29762876187493</v>
      </c>
      <c r="AM143" s="476">
        <f t="shared" si="334"/>
        <v>285.0961797452843</v>
      </c>
      <c r="AN143" s="476">
        <f t="shared" si="334"/>
        <v>297.64222133827286</v>
      </c>
    </row>
    <row r="144" spans="1:40">
      <c r="A144" s="478" t="s">
        <v>598</v>
      </c>
      <c r="B144" s="1035"/>
      <c r="C144" s="480">
        <f>C143-B143</f>
        <v>7</v>
      </c>
      <c r="D144" s="1035"/>
      <c r="E144" s="479"/>
      <c r="F144" s="479"/>
      <c r="G144" s="1040"/>
      <c r="H144" s="1040">
        <f t="shared" ref="H144:R144" si="336">H143-C143</f>
        <v>11</v>
      </c>
      <c r="I144" s="1035">
        <f t="shared" si="336"/>
        <v>12</v>
      </c>
      <c r="J144" s="479">
        <f t="shared" si="336"/>
        <v>10</v>
      </c>
      <c r="K144" s="479">
        <f t="shared" si="336"/>
        <v>10</v>
      </c>
      <c r="L144" s="1040">
        <f t="shared" si="336"/>
        <v>7</v>
      </c>
      <c r="M144" s="1040">
        <f>M143-H143</f>
        <v>7</v>
      </c>
      <c r="N144" s="1035">
        <f t="shared" si="336"/>
        <v>9</v>
      </c>
      <c r="O144" s="479">
        <f t="shared" si="336"/>
        <v>15</v>
      </c>
      <c r="P144" s="479">
        <f t="shared" si="336"/>
        <v>22</v>
      </c>
      <c r="Q144" s="479">
        <f t="shared" si="336"/>
        <v>21</v>
      </c>
      <c r="R144" s="480">
        <f t="shared" si="336"/>
        <v>21</v>
      </c>
      <c r="S144" s="1035">
        <f t="shared" ref="S144:AB144" si="337">S143-N143</f>
        <v>21</v>
      </c>
      <c r="T144" s="479">
        <f t="shared" si="337"/>
        <v>25</v>
      </c>
      <c r="U144" s="479">
        <f t="shared" si="337"/>
        <v>29</v>
      </c>
      <c r="V144" s="479">
        <f t="shared" si="337"/>
        <v>36</v>
      </c>
      <c r="W144" s="480">
        <f t="shared" si="337"/>
        <v>36</v>
      </c>
      <c r="X144" s="479">
        <f t="shared" si="337"/>
        <v>34</v>
      </c>
      <c r="Y144" s="479">
        <f t="shared" si="337"/>
        <v>27</v>
      </c>
      <c r="Z144" s="479">
        <f t="shared" si="337"/>
        <v>19</v>
      </c>
      <c r="AA144" s="479">
        <f t="shared" si="337"/>
        <v>15</v>
      </c>
      <c r="AB144" s="480">
        <f t="shared" si="337"/>
        <v>15</v>
      </c>
      <c r="AC144" s="479">
        <f>AC143-X143</f>
        <v>12</v>
      </c>
      <c r="AD144" s="479">
        <f>AD143-Y143</f>
        <v>14</v>
      </c>
      <c r="AE144" s="479">
        <f>AE143-Z143</f>
        <v>16</v>
      </c>
      <c r="AF144" s="479">
        <f>AF143-AA143</f>
        <v>20</v>
      </c>
      <c r="AG144" s="480">
        <f>AG143-AB143</f>
        <v>20</v>
      </c>
      <c r="AH144" s="479">
        <f t="shared" ref="AH144:AK144" si="338">AH143-AC143</f>
        <v>22.784999999999968</v>
      </c>
      <c r="AI144" s="479">
        <f t="shared" si="338"/>
        <v>20.60227500000002</v>
      </c>
      <c r="AJ144" s="479">
        <f t="shared" si="338"/>
        <v>19.421309124999937</v>
      </c>
      <c r="AK144" s="479">
        <f t="shared" si="338"/>
        <v>13.297628761874932</v>
      </c>
      <c r="AL144" s="480">
        <f>AL143-AG143</f>
        <v>13.297628761874932</v>
      </c>
      <c r="AM144" s="480">
        <f>AM143-AL143</f>
        <v>14.79855098340937</v>
      </c>
      <c r="AN144" s="480">
        <f>AN143-AM143</f>
        <v>12.546041592988558</v>
      </c>
    </row>
    <row r="145" spans="1:40">
      <c r="A145" s="477" t="s">
        <v>1423</v>
      </c>
      <c r="B145" s="1036"/>
      <c r="C145" s="445">
        <f>C144/B143</f>
        <v>0.05</v>
      </c>
      <c r="D145" s="1036"/>
      <c r="E145" s="437"/>
      <c r="F145" s="437"/>
      <c r="G145" s="589"/>
      <c r="H145" s="589">
        <f t="shared" ref="H145:R145" si="339">H144/C143</f>
        <v>7.4829931972789115E-2</v>
      </c>
      <c r="I145" s="1036">
        <f t="shared" si="339"/>
        <v>8.0536912751677847E-2</v>
      </c>
      <c r="J145" s="437">
        <f t="shared" si="339"/>
        <v>6.6225165562913912E-2</v>
      </c>
      <c r="K145" s="437">
        <f t="shared" si="339"/>
        <v>6.6225165562913912E-2</v>
      </c>
      <c r="L145" s="589">
        <f t="shared" si="339"/>
        <v>4.4303797468354431E-2</v>
      </c>
      <c r="M145" s="589">
        <f>M144/H143</f>
        <v>4.4303797468354431E-2</v>
      </c>
      <c r="N145" s="1036">
        <f t="shared" si="339"/>
        <v>5.5900621118012424E-2</v>
      </c>
      <c r="O145" s="481">
        <f t="shared" si="339"/>
        <v>9.3167701863354033E-2</v>
      </c>
      <c r="P145" s="481">
        <f t="shared" si="339"/>
        <v>0.13664596273291926</v>
      </c>
      <c r="Q145" s="481">
        <f t="shared" si="339"/>
        <v>0.12727272727272726</v>
      </c>
      <c r="R145" s="445">
        <f t="shared" si="339"/>
        <v>0.12727272727272726</v>
      </c>
      <c r="S145" s="1036">
        <f t="shared" ref="S145:AB145" si="340">S144/N143</f>
        <v>0.12352941176470589</v>
      </c>
      <c r="T145" s="437">
        <f t="shared" si="340"/>
        <v>0.14204545454545456</v>
      </c>
      <c r="U145" s="481">
        <f t="shared" si="340"/>
        <v>0.15846994535519127</v>
      </c>
      <c r="V145" s="481">
        <f t="shared" si="340"/>
        <v>0.19354838709677419</v>
      </c>
      <c r="W145" s="445">
        <f t="shared" si="340"/>
        <v>0.19354838709677419</v>
      </c>
      <c r="X145" s="481">
        <f t="shared" si="340"/>
        <v>0.17801047120418848</v>
      </c>
      <c r="Y145" s="481">
        <f t="shared" si="340"/>
        <v>0.13432835820895522</v>
      </c>
      <c r="Z145" s="481">
        <f t="shared" si="340"/>
        <v>8.9622641509433956E-2</v>
      </c>
      <c r="AA145" s="481">
        <f t="shared" si="340"/>
        <v>6.7567567567567571E-2</v>
      </c>
      <c r="AB145" s="445">
        <f t="shared" si="340"/>
        <v>6.7567567567567571E-2</v>
      </c>
      <c r="AC145" s="481">
        <f>AC144/X143</f>
        <v>5.3333333333333337E-2</v>
      </c>
      <c r="AD145" s="481">
        <f>AD144/Y143</f>
        <v>6.1403508771929821E-2</v>
      </c>
      <c r="AE145" s="481">
        <f>AE144/Z143</f>
        <v>6.9264069264069264E-2</v>
      </c>
      <c r="AF145" s="481">
        <f>AF144/AA143</f>
        <v>8.4388185654008435E-2</v>
      </c>
      <c r="AG145" s="445">
        <f>AG144/AB143</f>
        <v>8.4388185654008435E-2</v>
      </c>
      <c r="AH145" s="481">
        <f t="shared" ref="AH145:AK145" si="341">AH144/AC143</f>
        <v>9.613924050632898E-2</v>
      </c>
      <c r="AI145" s="481">
        <f t="shared" si="341"/>
        <v>8.513336776859512E-2</v>
      </c>
      <c r="AJ145" s="481">
        <f t="shared" si="341"/>
        <v>7.8628781882590842E-2</v>
      </c>
      <c r="AK145" s="481">
        <f t="shared" si="341"/>
        <v>5.174174615515538E-2</v>
      </c>
      <c r="AL145" s="445">
        <f>AL144/AG143</f>
        <v>5.174174615515538E-2</v>
      </c>
      <c r="AM145" s="445">
        <f>AM144/AL143</f>
        <v>5.4749096583627463E-2</v>
      </c>
      <c r="AN145" s="445">
        <f>AN144/AM143</f>
        <v>4.4006347626957563E-2</v>
      </c>
    </row>
    <row r="146" spans="1:40">
      <c r="A146" s="130"/>
      <c r="B146" s="406"/>
      <c r="C146" s="398"/>
      <c r="D146" s="1033"/>
      <c r="E146" s="406"/>
      <c r="F146" s="406"/>
      <c r="G146" s="820"/>
      <c r="H146" s="406"/>
      <c r="I146" s="1033"/>
      <c r="J146" s="406"/>
      <c r="K146" s="406"/>
      <c r="L146" s="820"/>
      <c r="M146" s="406"/>
      <c r="N146" s="401"/>
      <c r="O146" s="401"/>
      <c r="P146" s="401"/>
      <c r="Q146" s="820"/>
      <c r="R146" s="406"/>
      <c r="S146" s="406"/>
      <c r="T146" s="406"/>
      <c r="U146" s="406"/>
      <c r="V146" s="406"/>
      <c r="W146" s="406"/>
      <c r="X146" s="406"/>
      <c r="Y146" s="406"/>
      <c r="Z146" s="406"/>
      <c r="AA146" s="406"/>
      <c r="AB146" s="406"/>
      <c r="AC146" s="406"/>
      <c r="AD146" s="406"/>
      <c r="AE146" s="406"/>
      <c r="AF146" s="406"/>
      <c r="AG146" s="406"/>
      <c r="AH146" s="406"/>
      <c r="AI146" s="406"/>
      <c r="AJ146" s="406"/>
      <c r="AK146" s="406"/>
      <c r="AL146" s="406"/>
      <c r="AM146" s="406"/>
      <c r="AN146" s="406"/>
    </row>
    <row r="147" spans="1:40">
      <c r="A147" s="130"/>
      <c r="B147" s="406"/>
      <c r="C147" s="398"/>
      <c r="D147" s="1033"/>
      <c r="E147" s="406"/>
      <c r="F147" s="406"/>
      <c r="G147" s="820"/>
      <c r="H147" s="406"/>
      <c r="I147" s="1033"/>
      <c r="J147" s="406"/>
      <c r="K147" s="406"/>
      <c r="L147" s="820"/>
      <c r="M147" s="406"/>
      <c r="N147" s="401"/>
      <c r="O147" s="401"/>
      <c r="P147" s="401"/>
      <c r="Q147" s="820"/>
      <c r="R147" s="406"/>
      <c r="S147" s="406"/>
      <c r="T147" s="406"/>
      <c r="U147" s="406"/>
      <c r="V147" s="406"/>
      <c r="W147" s="406"/>
      <c r="X147" s="406"/>
      <c r="Y147" s="406"/>
      <c r="Z147" s="406"/>
      <c r="AA147" s="406"/>
      <c r="AB147" s="406"/>
      <c r="AC147" s="406"/>
      <c r="AD147" s="406"/>
      <c r="AE147" s="406"/>
      <c r="AF147" s="406"/>
      <c r="AG147" s="406"/>
      <c r="AH147" s="406"/>
      <c r="AI147" s="406"/>
      <c r="AJ147" s="406"/>
      <c r="AK147" s="406"/>
      <c r="AL147" s="406"/>
      <c r="AM147" s="406"/>
      <c r="AN147" s="406"/>
    </row>
    <row r="148" spans="1:40" s="775" customFormat="1">
      <c r="A148" s="461" t="s">
        <v>1785</v>
      </c>
      <c r="B148" s="1037" t="str">
        <f>+Hilton!E$5</f>
        <v>2010</v>
      </c>
      <c r="C148" s="774" t="str">
        <f>+Hilton!F$5</f>
        <v>2011</v>
      </c>
      <c r="D148" s="1037" t="str">
        <f>+Hilton!G$5</f>
        <v>1Q12</v>
      </c>
      <c r="E148" s="773" t="str">
        <f>+Hilton!H$5</f>
        <v>2Q12</v>
      </c>
      <c r="F148" s="773" t="str">
        <f>+Hilton!I$5</f>
        <v>3Q12</v>
      </c>
      <c r="G148" s="776" t="str">
        <f>+Hilton!J$5</f>
        <v>4Q12</v>
      </c>
      <c r="H148" s="776">
        <f>+Hilton!K$5</f>
        <v>2012</v>
      </c>
      <c r="I148" s="1037" t="str">
        <f>+Hilton!L$5</f>
        <v>1Q13</v>
      </c>
      <c r="J148" s="773" t="str">
        <f>+Hilton!M$5</f>
        <v>2Q13</v>
      </c>
      <c r="K148" s="773" t="str">
        <f>+Hilton!N$5</f>
        <v>3Q13</v>
      </c>
      <c r="L148" s="776" t="str">
        <f>+Hilton!O$5</f>
        <v>4Q13</v>
      </c>
      <c r="M148" s="776">
        <f>+Hilton!P$5</f>
        <v>2013</v>
      </c>
      <c r="N148" s="773" t="str">
        <f>+Hilton!Q$5</f>
        <v>1Q14</v>
      </c>
      <c r="O148" s="773" t="str">
        <f>+Hilton!R$5</f>
        <v>2Q14</v>
      </c>
      <c r="P148" s="773" t="str">
        <f>+Hilton!S$5</f>
        <v>3Q14</v>
      </c>
      <c r="Q148" s="776" t="str">
        <f>+Hilton!T$5</f>
        <v>4Q14</v>
      </c>
      <c r="R148" s="774">
        <f>+Hilton!U$5</f>
        <v>2014</v>
      </c>
      <c r="S148" s="773" t="str">
        <f>+Hilton!V$5</f>
        <v>1Q15</v>
      </c>
      <c r="T148" s="773" t="str">
        <f>+Hilton!W$5</f>
        <v>2Q15</v>
      </c>
      <c r="U148" s="773" t="str">
        <f>+Hilton!X$5</f>
        <v>3Q15</v>
      </c>
      <c r="V148" s="776" t="str">
        <f>+Hilton!Y$5</f>
        <v>4Q15</v>
      </c>
      <c r="W148" s="774">
        <f>+Hilton!Z$5</f>
        <v>2015</v>
      </c>
      <c r="X148" s="773" t="str">
        <f>+Hilton!AA$5</f>
        <v>1Q16</v>
      </c>
      <c r="Y148" s="773" t="str">
        <f>+Hilton!AB$5</f>
        <v>2Q16</v>
      </c>
      <c r="Z148" s="773" t="str">
        <f>+Hilton!AC$5</f>
        <v>3Q16</v>
      </c>
      <c r="AA148" s="773" t="str">
        <f>+Hilton!AD$5</f>
        <v>4Q16</v>
      </c>
      <c r="AB148" s="774">
        <f>+Hilton!AE$5</f>
        <v>2016</v>
      </c>
      <c r="AC148" s="773" t="str">
        <f>+Hilton!AF$5</f>
        <v>1Q17</v>
      </c>
      <c r="AD148" s="773" t="str">
        <f>+Hilton!AG$5</f>
        <v>2Q17</v>
      </c>
      <c r="AE148" s="773" t="str">
        <f>+Hilton!AH$5</f>
        <v>3Q17</v>
      </c>
      <c r="AF148" s="776" t="str">
        <f>+Hilton!AI$5</f>
        <v>4Q17A</v>
      </c>
      <c r="AG148" s="774" t="str">
        <f>+Hilton!AJ$5</f>
        <v>2017A</v>
      </c>
      <c r="AH148" s="773" t="str">
        <f>+Hilton!AK$5</f>
        <v>1Q18E</v>
      </c>
      <c r="AI148" s="773" t="str">
        <f>+Hilton!AL$5</f>
        <v>2Q18E</v>
      </c>
      <c r="AJ148" s="773" t="str">
        <f>+Hilton!AM$5</f>
        <v>3Q18E</v>
      </c>
      <c r="AK148" s="776" t="str">
        <f>+Hilton!AN$5</f>
        <v>4Q18E</v>
      </c>
      <c r="AL148" s="774" t="str">
        <f>+Hilton!AO$5</f>
        <v>2018E</v>
      </c>
      <c r="AM148" s="774" t="str">
        <f>+Hilton!AP$5</f>
        <v>2019E</v>
      </c>
      <c r="AN148" s="774" t="str">
        <f>+Hilton!AQ$5</f>
        <v>2020E</v>
      </c>
    </row>
    <row r="149" spans="1:40" s="130" customFormat="1">
      <c r="A149" s="140"/>
      <c r="B149" s="1038"/>
      <c r="C149" s="397"/>
      <c r="D149" s="1038"/>
      <c r="E149" s="203"/>
      <c r="F149" s="203"/>
      <c r="G149" s="572"/>
      <c r="H149" s="572"/>
      <c r="I149" s="1038"/>
      <c r="J149" s="203"/>
      <c r="K149" s="203"/>
      <c r="L149" s="572"/>
      <c r="M149" s="572"/>
      <c r="N149" s="203"/>
      <c r="O149" s="203"/>
      <c r="P149" s="203"/>
      <c r="Q149" s="572"/>
      <c r="R149" s="397"/>
      <c r="S149" s="1038"/>
      <c r="T149" s="203"/>
      <c r="U149" s="203"/>
      <c r="V149" s="572"/>
      <c r="W149" s="397"/>
      <c r="X149" s="1038"/>
      <c r="Y149" s="203"/>
      <c r="Z149" s="203"/>
      <c r="AA149" s="203"/>
      <c r="AB149" s="397"/>
      <c r="AC149" s="203"/>
      <c r="AD149" s="203"/>
      <c r="AE149" s="203"/>
      <c r="AF149" s="572"/>
      <c r="AG149" s="397"/>
      <c r="AH149" s="203"/>
      <c r="AI149" s="203"/>
      <c r="AJ149" s="203"/>
      <c r="AK149" s="572"/>
      <c r="AL149" s="397"/>
      <c r="AM149" s="397"/>
      <c r="AN149" s="397"/>
    </row>
    <row r="150" spans="1:40">
      <c r="A150" s="141" t="s">
        <v>1589</v>
      </c>
      <c r="B150" s="394"/>
      <c r="C150" s="138"/>
      <c r="D150" s="394"/>
      <c r="E150" s="135"/>
      <c r="F150" s="135"/>
      <c r="G150" s="452"/>
      <c r="H150" s="452"/>
      <c r="I150" s="394"/>
      <c r="J150" s="135"/>
      <c r="K150" s="135"/>
      <c r="L150" s="452"/>
      <c r="M150" s="452"/>
      <c r="N150" s="130"/>
      <c r="O150" s="130"/>
      <c r="P150" s="130"/>
      <c r="Q150" s="452"/>
      <c r="R150" s="138"/>
      <c r="S150" s="394"/>
      <c r="T150" s="135"/>
      <c r="U150" s="135"/>
      <c r="V150" s="135"/>
      <c r="W150" s="138"/>
      <c r="X150" s="394"/>
      <c r="Y150" s="135"/>
      <c r="Z150" s="135"/>
      <c r="AA150" s="135"/>
      <c r="AB150" s="138"/>
      <c r="AC150" s="135"/>
      <c r="AD150" s="135"/>
      <c r="AE150" s="135"/>
      <c r="AF150" s="452"/>
      <c r="AG150" s="138"/>
      <c r="AH150" s="135"/>
      <c r="AI150" s="135"/>
      <c r="AJ150" s="135"/>
      <c r="AK150" s="452"/>
      <c r="AL150" s="138"/>
      <c r="AM150" s="138"/>
      <c r="AN150" s="138"/>
    </row>
    <row r="151" spans="1:40">
      <c r="A151" s="130" t="s">
        <v>2272</v>
      </c>
      <c r="B151" s="1030">
        <v>1</v>
      </c>
      <c r="C151" s="508">
        <v>1</v>
      </c>
      <c r="D151" s="1030">
        <v>1</v>
      </c>
      <c r="E151" s="912">
        <v>1</v>
      </c>
      <c r="F151" s="912">
        <v>1</v>
      </c>
      <c r="G151" s="1041">
        <v>1</v>
      </c>
      <c r="H151" s="820">
        <f>G151</f>
        <v>1</v>
      </c>
      <c r="I151" s="1030">
        <v>1</v>
      </c>
      <c r="J151" s="912">
        <v>1</v>
      </c>
      <c r="K151" s="912">
        <v>1</v>
      </c>
      <c r="L151" s="1041">
        <v>1</v>
      </c>
      <c r="M151" s="820">
        <f>L151</f>
        <v>1</v>
      </c>
      <c r="N151" s="1030">
        <v>1</v>
      </c>
      <c r="O151" s="912">
        <v>2</v>
      </c>
      <c r="P151" s="912">
        <v>2</v>
      </c>
      <c r="Q151" s="1041">
        <v>2</v>
      </c>
      <c r="R151" s="820">
        <f t="shared" ref="R151:R163" si="342">Q151</f>
        <v>2</v>
      </c>
      <c r="S151" s="1030">
        <v>2</v>
      </c>
      <c r="T151" s="912">
        <v>2</v>
      </c>
      <c r="U151" s="912">
        <v>2</v>
      </c>
      <c r="V151" s="912">
        <f t="shared" ref="V151:W163" si="343">U151</f>
        <v>2</v>
      </c>
      <c r="W151" s="398">
        <f t="shared" si="343"/>
        <v>2</v>
      </c>
      <c r="X151" s="2792">
        <v>2</v>
      </c>
      <c r="Y151" s="2792">
        <v>2</v>
      </c>
      <c r="Z151" s="2792">
        <v>2</v>
      </c>
      <c r="AA151" s="2792">
        <v>2</v>
      </c>
      <c r="AB151" s="398">
        <f>AA151</f>
        <v>2</v>
      </c>
      <c r="AC151" s="401">
        <f>AA151</f>
        <v>2</v>
      </c>
      <c r="AD151" s="401">
        <f t="shared" ref="AD151:AG154" si="344">AC151</f>
        <v>2</v>
      </c>
      <c r="AE151" s="3666">
        <v>2</v>
      </c>
      <c r="AF151" s="3666">
        <v>2</v>
      </c>
      <c r="AG151" s="398">
        <f t="shared" si="344"/>
        <v>2</v>
      </c>
      <c r="AH151" s="401">
        <f>AG151</f>
        <v>2</v>
      </c>
      <c r="AI151" s="401">
        <f t="shared" ref="AI151:AL163" si="345">AH151</f>
        <v>2</v>
      </c>
      <c r="AJ151" s="401">
        <f t="shared" si="345"/>
        <v>2</v>
      </c>
      <c r="AK151" s="820">
        <f t="shared" si="345"/>
        <v>2</v>
      </c>
      <c r="AL151" s="820">
        <f t="shared" si="345"/>
        <v>2</v>
      </c>
      <c r="AM151" s="398">
        <f t="shared" ref="AM151:AN163" si="346">AL151</f>
        <v>2</v>
      </c>
      <c r="AN151" s="398">
        <f t="shared" si="346"/>
        <v>2</v>
      </c>
    </row>
    <row r="152" spans="1:40">
      <c r="A152" s="130" t="s">
        <v>2273</v>
      </c>
      <c r="B152" s="1030">
        <v>2</v>
      </c>
      <c r="C152" s="508">
        <v>2</v>
      </c>
      <c r="D152" s="1030">
        <v>2</v>
      </c>
      <c r="E152" s="912">
        <v>2</v>
      </c>
      <c r="F152" s="912">
        <v>2</v>
      </c>
      <c r="G152" s="1041">
        <v>2</v>
      </c>
      <c r="H152" s="820">
        <f t="shared" ref="H152:H163" si="347">G152</f>
        <v>2</v>
      </c>
      <c r="I152" s="1030">
        <v>2</v>
      </c>
      <c r="J152" s="912">
        <v>2</v>
      </c>
      <c r="K152" s="912">
        <v>2</v>
      </c>
      <c r="L152" s="1041">
        <v>1</v>
      </c>
      <c r="M152" s="820">
        <f t="shared" ref="M152:M163" si="348">L152</f>
        <v>1</v>
      </c>
      <c r="N152" s="1030">
        <v>1</v>
      </c>
      <c r="O152" s="912">
        <v>1</v>
      </c>
      <c r="P152" s="912">
        <v>1</v>
      </c>
      <c r="Q152" s="1041">
        <v>1</v>
      </c>
      <c r="R152" s="820">
        <f t="shared" si="342"/>
        <v>1</v>
      </c>
      <c r="S152" s="1030">
        <v>1</v>
      </c>
      <c r="T152" s="912">
        <v>1</v>
      </c>
      <c r="U152" s="912">
        <v>1</v>
      </c>
      <c r="V152" s="912">
        <f t="shared" si="343"/>
        <v>1</v>
      </c>
      <c r="W152" s="398">
        <f t="shared" si="343"/>
        <v>1</v>
      </c>
      <c r="X152" s="2792">
        <v>1</v>
      </c>
      <c r="Y152" s="2792">
        <v>1</v>
      </c>
      <c r="Z152" s="2792">
        <v>1</v>
      </c>
      <c r="AA152" s="2792">
        <v>1</v>
      </c>
      <c r="AB152" s="398">
        <f>AA152</f>
        <v>1</v>
      </c>
      <c r="AC152" s="2939">
        <f>AB152-'Owned Hotels Spinoff'!C70</f>
        <v>0</v>
      </c>
      <c r="AD152" s="401">
        <f t="shared" si="344"/>
        <v>0</v>
      </c>
      <c r="AE152" s="3666">
        <v>0</v>
      </c>
      <c r="AF152" s="406">
        <f t="shared" si="344"/>
        <v>0</v>
      </c>
      <c r="AG152" s="398">
        <f t="shared" si="344"/>
        <v>0</v>
      </c>
      <c r="AH152" s="401">
        <f t="shared" ref="AH152:AK152" si="349">AG152</f>
        <v>0</v>
      </c>
      <c r="AI152" s="401">
        <f t="shared" si="349"/>
        <v>0</v>
      </c>
      <c r="AJ152" s="401">
        <f t="shared" si="349"/>
        <v>0</v>
      </c>
      <c r="AK152" s="820">
        <f t="shared" si="349"/>
        <v>0</v>
      </c>
      <c r="AL152" s="820">
        <f t="shared" si="345"/>
        <v>0</v>
      </c>
      <c r="AM152" s="398">
        <f t="shared" si="346"/>
        <v>0</v>
      </c>
      <c r="AN152" s="398">
        <f t="shared" si="346"/>
        <v>0</v>
      </c>
    </row>
    <row r="153" spans="1:40">
      <c r="A153" s="1828" t="s">
        <v>3022</v>
      </c>
      <c r="B153" s="1030"/>
      <c r="C153" s="508"/>
      <c r="D153" s="1030"/>
      <c r="E153" s="912"/>
      <c r="F153" s="912"/>
      <c r="G153" s="1041"/>
      <c r="H153" s="820"/>
      <c r="I153" s="1030"/>
      <c r="J153" s="912"/>
      <c r="K153" s="912"/>
      <c r="L153" s="1041"/>
      <c r="M153" s="820"/>
      <c r="N153" s="1030"/>
      <c r="O153" s="912"/>
      <c r="P153" s="912"/>
      <c r="Q153" s="1041"/>
      <c r="R153" s="820"/>
      <c r="S153" s="1030"/>
      <c r="T153" s="912"/>
      <c r="U153" s="912"/>
      <c r="V153" s="912"/>
      <c r="W153" s="398"/>
      <c r="X153" s="2787"/>
      <c r="Y153" s="2791"/>
      <c r="Z153" s="2791"/>
      <c r="AA153" s="2791">
        <v>0</v>
      </c>
      <c r="AB153" s="398">
        <f t="shared" ref="AB153:AG153" si="350">+AA153</f>
        <v>0</v>
      </c>
      <c r="AC153" s="2944">
        <f t="shared" si="350"/>
        <v>0</v>
      </c>
      <c r="AD153" s="406">
        <f t="shared" si="350"/>
        <v>0</v>
      </c>
      <c r="AE153" s="3665">
        <v>0</v>
      </c>
      <c r="AF153" s="406">
        <f t="shared" si="350"/>
        <v>0</v>
      </c>
      <c r="AG153" s="398">
        <f t="shared" si="350"/>
        <v>0</v>
      </c>
      <c r="AH153" s="401">
        <f t="shared" ref="AH153:AK153" si="351">AG153</f>
        <v>0</v>
      </c>
      <c r="AI153" s="401">
        <f t="shared" si="351"/>
        <v>0</v>
      </c>
      <c r="AJ153" s="401">
        <f t="shared" si="351"/>
        <v>0</v>
      </c>
      <c r="AK153" s="820">
        <f t="shared" si="351"/>
        <v>0</v>
      </c>
      <c r="AL153" s="398">
        <f t="shared" ref="AL153" si="352">+AK153</f>
        <v>0</v>
      </c>
      <c r="AM153" s="398">
        <f t="shared" si="346"/>
        <v>0</v>
      </c>
      <c r="AN153" s="398">
        <f t="shared" si="346"/>
        <v>0</v>
      </c>
    </row>
    <row r="154" spans="1:40">
      <c r="A154" s="130" t="s">
        <v>2280</v>
      </c>
      <c r="B154" s="1030">
        <v>79</v>
      </c>
      <c r="C154" s="508">
        <v>79</v>
      </c>
      <c r="D154" s="1030">
        <v>79</v>
      </c>
      <c r="E154" s="912">
        <v>79</v>
      </c>
      <c r="F154" s="912">
        <v>79</v>
      </c>
      <c r="G154" s="1041">
        <v>79</v>
      </c>
      <c r="H154" s="820">
        <f t="shared" si="347"/>
        <v>79</v>
      </c>
      <c r="I154" s="1030">
        <v>76</v>
      </c>
      <c r="J154" s="912">
        <v>74</v>
      </c>
      <c r="K154" s="912">
        <v>74</v>
      </c>
      <c r="L154" s="1041">
        <v>74</v>
      </c>
      <c r="M154" s="820">
        <f t="shared" si="348"/>
        <v>74</v>
      </c>
      <c r="N154" s="1030">
        <v>74</v>
      </c>
      <c r="O154" s="912">
        <v>73</v>
      </c>
      <c r="P154" s="912">
        <v>72</v>
      </c>
      <c r="Q154" s="1041">
        <v>71</v>
      </c>
      <c r="R154" s="820">
        <f t="shared" si="342"/>
        <v>71</v>
      </c>
      <c r="S154" s="1030">
        <v>71</v>
      </c>
      <c r="T154" s="912">
        <v>71</v>
      </c>
      <c r="U154" s="912">
        <v>70</v>
      </c>
      <c r="V154" s="912">
        <v>69</v>
      </c>
      <c r="W154" s="398">
        <f t="shared" si="343"/>
        <v>69</v>
      </c>
      <c r="X154" s="2792">
        <v>69</v>
      </c>
      <c r="Y154" s="2792">
        <v>68</v>
      </c>
      <c r="Z154" s="2792">
        <v>68</v>
      </c>
      <c r="AA154" s="2792">
        <v>68</v>
      </c>
      <c r="AB154" s="398">
        <f t="shared" ref="AB154:AB163" si="353">AA154</f>
        <v>68</v>
      </c>
      <c r="AC154" s="2939">
        <f>AA154-'Owned Hotels Spinoff'!$C$64</f>
        <v>57</v>
      </c>
      <c r="AD154" s="3881">
        <v>56</v>
      </c>
      <c r="AE154" s="3666">
        <v>55</v>
      </c>
      <c r="AF154" s="3666">
        <v>55</v>
      </c>
      <c r="AG154" s="398">
        <f t="shared" si="344"/>
        <v>55</v>
      </c>
      <c r="AH154" s="401">
        <f t="shared" ref="AH154:AK154" si="354">AG154</f>
        <v>55</v>
      </c>
      <c r="AI154" s="401">
        <f t="shared" si="354"/>
        <v>55</v>
      </c>
      <c r="AJ154" s="401">
        <f t="shared" si="354"/>
        <v>55</v>
      </c>
      <c r="AK154" s="820">
        <f t="shared" si="354"/>
        <v>55</v>
      </c>
      <c r="AL154" s="820">
        <f t="shared" si="345"/>
        <v>55</v>
      </c>
      <c r="AM154" s="398">
        <f t="shared" si="346"/>
        <v>55</v>
      </c>
      <c r="AN154" s="398">
        <f t="shared" si="346"/>
        <v>55</v>
      </c>
    </row>
    <row r="155" spans="1:40">
      <c r="A155" s="130" t="s">
        <v>2323</v>
      </c>
      <c r="B155" s="1030"/>
      <c r="C155" s="508"/>
      <c r="D155" s="1030"/>
      <c r="E155" s="912"/>
      <c r="F155" s="912"/>
      <c r="G155" s="1041"/>
      <c r="H155" s="820"/>
      <c r="I155" s="1030"/>
      <c r="J155" s="912"/>
      <c r="K155" s="912"/>
      <c r="L155" s="1041"/>
      <c r="M155" s="820"/>
      <c r="N155" s="1030"/>
      <c r="O155" s="912"/>
      <c r="P155" s="912"/>
      <c r="Q155" s="1041"/>
      <c r="R155" s="820"/>
      <c r="S155" s="1030">
        <v>0</v>
      </c>
      <c r="T155" s="912">
        <v>0</v>
      </c>
      <c r="U155" s="912">
        <v>0</v>
      </c>
      <c r="V155" s="912">
        <f>U155*(1+V$884)</f>
        <v>0</v>
      </c>
      <c r="W155" s="398">
        <f t="shared" si="343"/>
        <v>0</v>
      </c>
      <c r="X155" s="2791">
        <v>0</v>
      </c>
      <c r="Y155" s="2791">
        <v>0</v>
      </c>
      <c r="Z155" s="2791">
        <v>0</v>
      </c>
      <c r="AA155" s="2791">
        <v>0</v>
      </c>
      <c r="AB155" s="398">
        <f t="shared" si="353"/>
        <v>0</v>
      </c>
      <c r="AC155" s="406">
        <f>AA155*(1+AC$884)</f>
        <v>0</v>
      </c>
      <c r="AD155" s="406">
        <f>AC155*(1+AD$884)</f>
        <v>0</v>
      </c>
      <c r="AE155" s="3665">
        <v>0</v>
      </c>
      <c r="AF155" s="406">
        <f>AE155*(1+AF$884)</f>
        <v>0</v>
      </c>
      <c r="AG155" s="398">
        <f t="shared" ref="AG155:AG163" si="355">AF155</f>
        <v>0</v>
      </c>
      <c r="AH155" s="406">
        <f t="shared" ref="AH155:AK155" si="356">AG155*(1+AH$884)</f>
        <v>0</v>
      </c>
      <c r="AI155" s="406">
        <f t="shared" si="356"/>
        <v>0</v>
      </c>
      <c r="AJ155" s="406">
        <f t="shared" si="356"/>
        <v>0</v>
      </c>
      <c r="AK155" s="820">
        <f t="shared" si="356"/>
        <v>0</v>
      </c>
      <c r="AL155" s="820">
        <f t="shared" si="345"/>
        <v>0</v>
      </c>
      <c r="AM155" s="398">
        <f>AL155*(1+AM$883)</f>
        <v>0</v>
      </c>
      <c r="AN155" s="398">
        <f>AM155*(1+AN$883)</f>
        <v>0</v>
      </c>
    </row>
    <row r="156" spans="1:40">
      <c r="A156" s="130" t="s">
        <v>2274</v>
      </c>
      <c r="B156" s="1030">
        <v>0</v>
      </c>
      <c r="C156" s="508">
        <v>0</v>
      </c>
      <c r="D156" s="1030">
        <v>0</v>
      </c>
      <c r="E156" s="912">
        <v>0</v>
      </c>
      <c r="F156" s="912">
        <v>0</v>
      </c>
      <c r="G156" s="1041">
        <v>0</v>
      </c>
      <c r="H156" s="820">
        <f t="shared" si="347"/>
        <v>0</v>
      </c>
      <c r="I156" s="1030">
        <v>0</v>
      </c>
      <c r="J156" s="912">
        <v>0</v>
      </c>
      <c r="K156" s="912">
        <v>0</v>
      </c>
      <c r="L156" s="1041">
        <v>0</v>
      </c>
      <c r="M156" s="820">
        <f t="shared" si="348"/>
        <v>0</v>
      </c>
      <c r="N156" s="1030">
        <v>0</v>
      </c>
      <c r="O156" s="912">
        <v>0</v>
      </c>
      <c r="P156" s="912">
        <v>0</v>
      </c>
      <c r="Q156" s="1041">
        <v>0</v>
      </c>
      <c r="R156" s="820">
        <f t="shared" si="342"/>
        <v>0</v>
      </c>
      <c r="S156" s="1030">
        <v>0</v>
      </c>
      <c r="T156" s="912">
        <v>0</v>
      </c>
      <c r="U156" s="912">
        <v>0</v>
      </c>
      <c r="V156" s="912">
        <f t="shared" si="343"/>
        <v>0</v>
      </c>
      <c r="W156" s="398">
        <f t="shared" si="343"/>
        <v>0</v>
      </c>
      <c r="X156" s="2792">
        <v>0</v>
      </c>
      <c r="Y156" s="2792">
        <v>0</v>
      </c>
      <c r="Z156" s="2792">
        <v>0</v>
      </c>
      <c r="AA156" s="2792">
        <v>0</v>
      </c>
      <c r="AB156" s="398">
        <f t="shared" si="353"/>
        <v>0</v>
      </c>
      <c r="AC156" s="401">
        <f t="shared" ref="AC156:AC163" si="357">AA156</f>
        <v>0</v>
      </c>
      <c r="AD156" s="401">
        <f t="shared" ref="AD156:AD163" si="358">AC156</f>
        <v>0</v>
      </c>
      <c r="AE156" s="3665">
        <v>0</v>
      </c>
      <c r="AF156" s="406">
        <f t="shared" ref="AF156:AF163" si="359">AE156</f>
        <v>0</v>
      </c>
      <c r="AG156" s="398">
        <f t="shared" si="355"/>
        <v>0</v>
      </c>
      <c r="AH156" s="401">
        <f t="shared" ref="AH156" si="360">AG156</f>
        <v>0</v>
      </c>
      <c r="AI156" s="401">
        <f t="shared" ref="AI156" si="361">AH156</f>
        <v>0</v>
      </c>
      <c r="AJ156" s="401">
        <f t="shared" ref="AJ156" si="362">AI156</f>
        <v>0</v>
      </c>
      <c r="AK156" s="820">
        <f t="shared" ref="AK156" si="363">AJ156</f>
        <v>0</v>
      </c>
      <c r="AL156" s="820">
        <f t="shared" si="345"/>
        <v>0</v>
      </c>
      <c r="AM156" s="398">
        <f t="shared" si="346"/>
        <v>0</v>
      </c>
      <c r="AN156" s="398">
        <f t="shared" si="346"/>
        <v>0</v>
      </c>
    </row>
    <row r="157" spans="1:40">
      <c r="A157" s="130" t="s">
        <v>2279</v>
      </c>
      <c r="B157" s="1030">
        <v>0</v>
      </c>
      <c r="C157" s="508">
        <v>0</v>
      </c>
      <c r="D157" s="1030">
        <v>0</v>
      </c>
      <c r="E157" s="912">
        <v>0</v>
      </c>
      <c r="F157" s="912">
        <v>0</v>
      </c>
      <c r="G157" s="1041">
        <v>0</v>
      </c>
      <c r="H157" s="820">
        <f t="shared" si="347"/>
        <v>0</v>
      </c>
      <c r="I157" s="1030">
        <v>0</v>
      </c>
      <c r="J157" s="912">
        <v>0</v>
      </c>
      <c r="K157" s="912">
        <v>0</v>
      </c>
      <c r="L157" s="1041">
        <v>0</v>
      </c>
      <c r="M157" s="820">
        <f t="shared" si="348"/>
        <v>0</v>
      </c>
      <c r="N157" s="1030">
        <v>0</v>
      </c>
      <c r="O157" s="912">
        <v>0</v>
      </c>
      <c r="P157" s="912">
        <v>0</v>
      </c>
      <c r="Q157" s="1041">
        <v>0</v>
      </c>
      <c r="R157" s="820">
        <f t="shared" si="342"/>
        <v>0</v>
      </c>
      <c r="S157" s="1030">
        <v>0</v>
      </c>
      <c r="T157" s="912">
        <v>0</v>
      </c>
      <c r="U157" s="912">
        <v>0</v>
      </c>
      <c r="V157" s="912">
        <f t="shared" si="343"/>
        <v>0</v>
      </c>
      <c r="W157" s="398">
        <f t="shared" si="343"/>
        <v>0</v>
      </c>
      <c r="X157" s="2792">
        <v>0</v>
      </c>
      <c r="Y157" s="2792">
        <v>0</v>
      </c>
      <c r="Z157" s="2792">
        <v>0</v>
      </c>
      <c r="AA157" s="2792">
        <v>0</v>
      </c>
      <c r="AB157" s="398">
        <f t="shared" si="353"/>
        <v>0</v>
      </c>
      <c r="AC157" s="401">
        <f t="shared" si="357"/>
        <v>0</v>
      </c>
      <c r="AD157" s="401">
        <f t="shared" si="358"/>
        <v>0</v>
      </c>
      <c r="AE157" s="3665">
        <v>0</v>
      </c>
      <c r="AF157" s="406">
        <f t="shared" si="359"/>
        <v>0</v>
      </c>
      <c r="AG157" s="398">
        <f t="shared" si="355"/>
        <v>0</v>
      </c>
      <c r="AH157" s="401">
        <f t="shared" ref="AH157:AK157" si="364">AG157</f>
        <v>0</v>
      </c>
      <c r="AI157" s="401">
        <f t="shared" si="364"/>
        <v>0</v>
      </c>
      <c r="AJ157" s="401">
        <f t="shared" si="364"/>
        <v>0</v>
      </c>
      <c r="AK157" s="820">
        <f t="shared" si="364"/>
        <v>0</v>
      </c>
      <c r="AL157" s="820">
        <f t="shared" si="345"/>
        <v>0</v>
      </c>
      <c r="AM157" s="398">
        <f t="shared" si="346"/>
        <v>0</v>
      </c>
      <c r="AN157" s="398">
        <f t="shared" si="346"/>
        <v>0</v>
      </c>
    </row>
    <row r="158" spans="1:40">
      <c r="A158" s="130" t="s">
        <v>2275</v>
      </c>
      <c r="B158" s="1030">
        <v>0</v>
      </c>
      <c r="C158" s="508">
        <v>0</v>
      </c>
      <c r="D158" s="1030">
        <v>0</v>
      </c>
      <c r="E158" s="912">
        <v>0</v>
      </c>
      <c r="F158" s="912">
        <v>0</v>
      </c>
      <c r="G158" s="1041">
        <v>0</v>
      </c>
      <c r="H158" s="820">
        <f t="shared" si="347"/>
        <v>0</v>
      </c>
      <c r="I158" s="1030">
        <v>0</v>
      </c>
      <c r="J158" s="912">
        <v>0</v>
      </c>
      <c r="K158" s="912">
        <v>0</v>
      </c>
      <c r="L158" s="1041">
        <v>0</v>
      </c>
      <c r="M158" s="820">
        <f t="shared" si="348"/>
        <v>0</v>
      </c>
      <c r="N158" s="1030">
        <v>0</v>
      </c>
      <c r="O158" s="912">
        <v>0</v>
      </c>
      <c r="P158" s="912">
        <v>0</v>
      </c>
      <c r="Q158" s="1041">
        <v>0</v>
      </c>
      <c r="R158" s="820">
        <f t="shared" si="342"/>
        <v>0</v>
      </c>
      <c r="S158" s="1030">
        <v>0</v>
      </c>
      <c r="T158" s="912">
        <v>0</v>
      </c>
      <c r="U158" s="912">
        <v>0</v>
      </c>
      <c r="V158" s="912">
        <f t="shared" si="343"/>
        <v>0</v>
      </c>
      <c r="W158" s="398">
        <f t="shared" si="343"/>
        <v>0</v>
      </c>
      <c r="X158" s="2792">
        <v>0</v>
      </c>
      <c r="Y158" s="2792">
        <v>0</v>
      </c>
      <c r="Z158" s="2792">
        <v>0</v>
      </c>
      <c r="AA158" s="2792">
        <v>0</v>
      </c>
      <c r="AB158" s="398">
        <f t="shared" si="353"/>
        <v>0</v>
      </c>
      <c r="AC158" s="401">
        <f t="shared" si="357"/>
        <v>0</v>
      </c>
      <c r="AD158" s="401">
        <f t="shared" si="358"/>
        <v>0</v>
      </c>
      <c r="AE158" s="3665">
        <v>0</v>
      </c>
      <c r="AF158" s="406">
        <f t="shared" si="359"/>
        <v>0</v>
      </c>
      <c r="AG158" s="398">
        <f t="shared" si="355"/>
        <v>0</v>
      </c>
      <c r="AH158" s="401">
        <f t="shared" ref="AH158:AK158" si="365">AG158</f>
        <v>0</v>
      </c>
      <c r="AI158" s="401">
        <f t="shared" si="365"/>
        <v>0</v>
      </c>
      <c r="AJ158" s="401">
        <f t="shared" si="365"/>
        <v>0</v>
      </c>
      <c r="AK158" s="820">
        <f t="shared" si="365"/>
        <v>0</v>
      </c>
      <c r="AL158" s="820">
        <f t="shared" si="345"/>
        <v>0</v>
      </c>
      <c r="AM158" s="398">
        <f t="shared" si="346"/>
        <v>0</v>
      </c>
      <c r="AN158" s="398">
        <f t="shared" si="346"/>
        <v>0</v>
      </c>
    </row>
    <row r="159" spans="1:40">
      <c r="A159" s="130" t="s">
        <v>2277</v>
      </c>
      <c r="B159" s="1030">
        <v>0</v>
      </c>
      <c r="C159" s="508">
        <v>0</v>
      </c>
      <c r="D159" s="1030">
        <v>0</v>
      </c>
      <c r="E159" s="912">
        <v>0</v>
      </c>
      <c r="F159" s="912">
        <v>0</v>
      </c>
      <c r="G159" s="1041">
        <v>0</v>
      </c>
      <c r="H159" s="820">
        <f t="shared" si="347"/>
        <v>0</v>
      </c>
      <c r="I159" s="1030">
        <v>0</v>
      </c>
      <c r="J159" s="912">
        <v>0</v>
      </c>
      <c r="K159" s="912">
        <v>0</v>
      </c>
      <c r="L159" s="1041">
        <v>0</v>
      </c>
      <c r="M159" s="820">
        <f t="shared" si="348"/>
        <v>0</v>
      </c>
      <c r="N159" s="1030">
        <v>0</v>
      </c>
      <c r="O159" s="912">
        <v>0</v>
      </c>
      <c r="P159" s="912">
        <v>0</v>
      </c>
      <c r="Q159" s="1041">
        <v>0</v>
      </c>
      <c r="R159" s="820">
        <f t="shared" si="342"/>
        <v>0</v>
      </c>
      <c r="S159" s="1030">
        <v>0</v>
      </c>
      <c r="T159" s="912">
        <v>0</v>
      </c>
      <c r="U159" s="912">
        <v>0</v>
      </c>
      <c r="V159" s="912">
        <f t="shared" si="343"/>
        <v>0</v>
      </c>
      <c r="W159" s="398">
        <f t="shared" si="343"/>
        <v>0</v>
      </c>
      <c r="X159" s="2792">
        <v>0</v>
      </c>
      <c r="Y159" s="2792">
        <v>0</v>
      </c>
      <c r="Z159" s="2792">
        <v>0</v>
      </c>
      <c r="AA159" s="2792">
        <v>0</v>
      </c>
      <c r="AB159" s="398">
        <f t="shared" si="353"/>
        <v>0</v>
      </c>
      <c r="AC159" s="401">
        <f t="shared" si="357"/>
        <v>0</v>
      </c>
      <c r="AD159" s="401">
        <f t="shared" si="358"/>
        <v>0</v>
      </c>
      <c r="AE159" s="3665">
        <v>0</v>
      </c>
      <c r="AF159" s="406">
        <f t="shared" si="359"/>
        <v>0</v>
      </c>
      <c r="AG159" s="398">
        <f t="shared" si="355"/>
        <v>0</v>
      </c>
      <c r="AH159" s="401">
        <f t="shared" ref="AH159:AK159" si="366">AG159</f>
        <v>0</v>
      </c>
      <c r="AI159" s="401">
        <f t="shared" si="366"/>
        <v>0</v>
      </c>
      <c r="AJ159" s="401">
        <f t="shared" si="366"/>
        <v>0</v>
      </c>
      <c r="AK159" s="820">
        <f t="shared" si="366"/>
        <v>0</v>
      </c>
      <c r="AL159" s="820">
        <f t="shared" si="345"/>
        <v>0</v>
      </c>
      <c r="AM159" s="398">
        <f t="shared" si="346"/>
        <v>0</v>
      </c>
      <c r="AN159" s="398">
        <f t="shared" si="346"/>
        <v>0</v>
      </c>
    </row>
    <row r="160" spans="1:40">
      <c r="A160" s="130" t="s">
        <v>2278</v>
      </c>
      <c r="B160" s="1030">
        <v>0</v>
      </c>
      <c r="C160" s="508">
        <v>0</v>
      </c>
      <c r="D160" s="1030">
        <v>0</v>
      </c>
      <c r="E160" s="912">
        <v>0</v>
      </c>
      <c r="F160" s="912">
        <v>0</v>
      </c>
      <c r="G160" s="1041">
        <v>0</v>
      </c>
      <c r="H160" s="820">
        <f t="shared" si="347"/>
        <v>0</v>
      </c>
      <c r="I160" s="1030">
        <v>0</v>
      </c>
      <c r="J160" s="912">
        <v>0</v>
      </c>
      <c r="K160" s="912">
        <v>0</v>
      </c>
      <c r="L160" s="1041">
        <v>0</v>
      </c>
      <c r="M160" s="820">
        <f t="shared" si="348"/>
        <v>0</v>
      </c>
      <c r="N160" s="1030">
        <v>0</v>
      </c>
      <c r="O160" s="912">
        <v>0</v>
      </c>
      <c r="P160" s="912">
        <v>0</v>
      </c>
      <c r="Q160" s="1041">
        <v>0</v>
      </c>
      <c r="R160" s="820">
        <f t="shared" si="342"/>
        <v>0</v>
      </c>
      <c r="S160" s="1030">
        <v>0</v>
      </c>
      <c r="T160" s="912">
        <v>0</v>
      </c>
      <c r="U160" s="912">
        <v>0</v>
      </c>
      <c r="V160" s="912">
        <f t="shared" si="343"/>
        <v>0</v>
      </c>
      <c r="W160" s="398">
        <f t="shared" si="343"/>
        <v>0</v>
      </c>
      <c r="X160" s="2792">
        <v>0</v>
      </c>
      <c r="Y160" s="2792">
        <v>0</v>
      </c>
      <c r="Z160" s="2792">
        <v>0</v>
      </c>
      <c r="AA160" s="2792">
        <v>0</v>
      </c>
      <c r="AB160" s="398">
        <f t="shared" si="353"/>
        <v>0</v>
      </c>
      <c r="AC160" s="401">
        <f t="shared" si="357"/>
        <v>0</v>
      </c>
      <c r="AD160" s="401">
        <f t="shared" si="358"/>
        <v>0</v>
      </c>
      <c r="AE160" s="3665">
        <v>0</v>
      </c>
      <c r="AF160" s="820">
        <f t="shared" si="359"/>
        <v>0</v>
      </c>
      <c r="AG160" s="820">
        <f t="shared" si="355"/>
        <v>0</v>
      </c>
      <c r="AH160" s="401">
        <f t="shared" ref="AH160:AK160" si="367">AG160</f>
        <v>0</v>
      </c>
      <c r="AI160" s="401">
        <f t="shared" si="367"/>
        <v>0</v>
      </c>
      <c r="AJ160" s="401">
        <f t="shared" si="367"/>
        <v>0</v>
      </c>
      <c r="AK160" s="820">
        <f t="shared" si="367"/>
        <v>0</v>
      </c>
      <c r="AL160" s="820">
        <f t="shared" si="345"/>
        <v>0</v>
      </c>
      <c r="AM160" s="820">
        <f t="shared" si="346"/>
        <v>0</v>
      </c>
      <c r="AN160" s="820">
        <f t="shared" si="346"/>
        <v>0</v>
      </c>
    </row>
    <row r="161" spans="1:40">
      <c r="A161" s="130" t="str">
        <f>$A$90</f>
        <v>Tru by Hilton</v>
      </c>
      <c r="B161" s="1030"/>
      <c r="C161" s="508"/>
      <c r="D161" s="1030"/>
      <c r="E161" s="912"/>
      <c r="F161" s="912"/>
      <c r="G161" s="1041"/>
      <c r="H161" s="820"/>
      <c r="I161" s="1030"/>
      <c r="J161" s="912"/>
      <c r="K161" s="912"/>
      <c r="L161" s="1041"/>
      <c r="M161" s="820"/>
      <c r="N161" s="1030"/>
      <c r="O161" s="912"/>
      <c r="P161" s="912"/>
      <c r="Q161" s="1041"/>
      <c r="R161" s="820"/>
      <c r="S161" s="1030"/>
      <c r="T161" s="912"/>
      <c r="U161" s="912"/>
      <c r="V161" s="912"/>
      <c r="W161" s="398"/>
      <c r="X161" s="2791"/>
      <c r="Y161" s="2791"/>
      <c r="Z161" s="2791"/>
      <c r="AA161" s="2791"/>
      <c r="AB161" s="398"/>
      <c r="AC161" s="401">
        <f t="shared" ref="AC161:AC162" si="368">AA161</f>
        <v>0</v>
      </c>
      <c r="AD161" s="401">
        <f t="shared" ref="AD161:AD162" si="369">AC161</f>
        <v>0</v>
      </c>
      <c r="AE161" s="3665">
        <v>0</v>
      </c>
      <c r="AF161" s="820">
        <f t="shared" ref="AF161:AF162" si="370">AE161</f>
        <v>0</v>
      </c>
      <c r="AG161" s="820">
        <f t="shared" ref="AG161:AG162" si="371">AF161</f>
        <v>0</v>
      </c>
      <c r="AH161" s="401">
        <f t="shared" ref="AH161:AK161" si="372">AG161</f>
        <v>0</v>
      </c>
      <c r="AI161" s="401">
        <f t="shared" si="372"/>
        <v>0</v>
      </c>
      <c r="AJ161" s="401">
        <f t="shared" si="372"/>
        <v>0</v>
      </c>
      <c r="AK161" s="820">
        <f t="shared" si="372"/>
        <v>0</v>
      </c>
      <c r="AL161" s="820">
        <f t="shared" si="345"/>
        <v>0</v>
      </c>
      <c r="AM161" s="820">
        <f t="shared" ref="AM161:AM162" si="373">AL161</f>
        <v>0</v>
      </c>
      <c r="AN161" s="820">
        <f t="shared" ref="AN161:AN162" si="374">AM161</f>
        <v>0</v>
      </c>
    </row>
    <row r="162" spans="1:40">
      <c r="A162" s="130" t="str">
        <f>$A$91</f>
        <v>Tapestry Collection by Hilton</v>
      </c>
      <c r="B162" s="1030"/>
      <c r="C162" s="508"/>
      <c r="D162" s="1030"/>
      <c r="E162" s="912"/>
      <c r="F162" s="912"/>
      <c r="G162" s="1041"/>
      <c r="H162" s="820"/>
      <c r="I162" s="1030"/>
      <c r="J162" s="912"/>
      <c r="K162" s="912"/>
      <c r="L162" s="1041"/>
      <c r="M162" s="820"/>
      <c r="N162" s="1030"/>
      <c r="O162" s="912"/>
      <c r="P162" s="912"/>
      <c r="Q162" s="1041"/>
      <c r="R162" s="820"/>
      <c r="S162" s="1030"/>
      <c r="T162" s="912"/>
      <c r="U162" s="912"/>
      <c r="V162" s="912"/>
      <c r="W162" s="398"/>
      <c r="X162" s="2791"/>
      <c r="Y162" s="2791"/>
      <c r="Z162" s="2791"/>
      <c r="AA162" s="2791"/>
      <c r="AB162" s="398"/>
      <c r="AC162" s="401">
        <f t="shared" si="368"/>
        <v>0</v>
      </c>
      <c r="AD162" s="401">
        <f t="shared" si="369"/>
        <v>0</v>
      </c>
      <c r="AE162" s="3665">
        <v>0</v>
      </c>
      <c r="AF162" s="820">
        <f t="shared" si="370"/>
        <v>0</v>
      </c>
      <c r="AG162" s="820">
        <f t="shared" si="371"/>
        <v>0</v>
      </c>
      <c r="AH162" s="401">
        <f t="shared" ref="AH162:AK162" si="375">AG162</f>
        <v>0</v>
      </c>
      <c r="AI162" s="401">
        <f t="shared" si="375"/>
        <v>0</v>
      </c>
      <c r="AJ162" s="401">
        <f t="shared" si="375"/>
        <v>0</v>
      </c>
      <c r="AK162" s="820">
        <f t="shared" si="375"/>
        <v>0</v>
      </c>
      <c r="AL162" s="820">
        <f t="shared" si="345"/>
        <v>0</v>
      </c>
      <c r="AM162" s="820">
        <f t="shared" si="373"/>
        <v>0</v>
      </c>
      <c r="AN162" s="820">
        <f t="shared" si="374"/>
        <v>0</v>
      </c>
    </row>
    <row r="163" spans="1:40" s="5" customFormat="1">
      <c r="A163" s="402" t="s">
        <v>2276</v>
      </c>
      <c r="B163" s="1031">
        <v>0</v>
      </c>
      <c r="C163" s="1029">
        <v>0</v>
      </c>
      <c r="D163" s="1031">
        <v>0</v>
      </c>
      <c r="E163" s="1039">
        <v>0</v>
      </c>
      <c r="F163" s="1039">
        <v>0</v>
      </c>
      <c r="G163" s="1042">
        <v>0</v>
      </c>
      <c r="H163" s="700">
        <f t="shared" si="347"/>
        <v>0</v>
      </c>
      <c r="I163" s="1031">
        <v>0</v>
      </c>
      <c r="J163" s="1039">
        <v>0</v>
      </c>
      <c r="K163" s="1039">
        <v>0</v>
      </c>
      <c r="L163" s="1042">
        <v>0</v>
      </c>
      <c r="M163" s="700">
        <f t="shared" si="348"/>
        <v>0</v>
      </c>
      <c r="N163" s="1031">
        <v>0</v>
      </c>
      <c r="O163" s="1039">
        <v>0</v>
      </c>
      <c r="P163" s="1039">
        <v>0</v>
      </c>
      <c r="Q163" s="1042">
        <v>0</v>
      </c>
      <c r="R163" s="700">
        <f t="shared" si="342"/>
        <v>0</v>
      </c>
      <c r="S163" s="1031">
        <v>0</v>
      </c>
      <c r="T163" s="1039">
        <v>0</v>
      </c>
      <c r="U163" s="1039">
        <v>0</v>
      </c>
      <c r="V163" s="1039">
        <f t="shared" si="343"/>
        <v>0</v>
      </c>
      <c r="W163" s="403">
        <f t="shared" si="343"/>
        <v>0</v>
      </c>
      <c r="X163" s="2794">
        <f>W163</f>
        <v>0</v>
      </c>
      <c r="Y163" s="2794">
        <v>0</v>
      </c>
      <c r="Z163" s="2794">
        <v>0</v>
      </c>
      <c r="AA163" s="2794">
        <v>0</v>
      </c>
      <c r="AB163" s="403">
        <f t="shared" si="353"/>
        <v>0</v>
      </c>
      <c r="AC163" s="615">
        <f t="shared" si="357"/>
        <v>0</v>
      </c>
      <c r="AD163" s="615">
        <f t="shared" si="358"/>
        <v>0</v>
      </c>
      <c r="AE163" s="4005">
        <v>0</v>
      </c>
      <c r="AF163" s="700">
        <f t="shared" si="359"/>
        <v>0</v>
      </c>
      <c r="AG163" s="700">
        <f t="shared" si="355"/>
        <v>0</v>
      </c>
      <c r="AH163" s="3925">
        <f>AG163</f>
        <v>0</v>
      </c>
      <c r="AI163" s="2392">
        <f t="shared" ref="AI163:AK163" si="376">AH163</f>
        <v>0</v>
      </c>
      <c r="AJ163" s="2392">
        <f t="shared" si="376"/>
        <v>0</v>
      </c>
      <c r="AK163" s="700">
        <f t="shared" si="376"/>
        <v>0</v>
      </c>
      <c r="AL163" s="700">
        <f t="shared" si="345"/>
        <v>0</v>
      </c>
      <c r="AM163" s="700">
        <f t="shared" si="346"/>
        <v>0</v>
      </c>
      <c r="AN163" s="700">
        <f t="shared" si="346"/>
        <v>0</v>
      </c>
    </row>
    <row r="164" spans="1:40">
      <c r="A164" s="482" t="s">
        <v>1687</v>
      </c>
      <c r="B164" s="1032">
        <f>SUM(B151:B163)</f>
        <v>82</v>
      </c>
      <c r="C164" s="400">
        <f>SUM(C151:C163)</f>
        <v>82</v>
      </c>
      <c r="D164" s="1032">
        <f t="shared" ref="D164:T164" si="377">SUM(D151:D163)</f>
        <v>82</v>
      </c>
      <c r="E164" s="405">
        <f t="shared" si="377"/>
        <v>82</v>
      </c>
      <c r="F164" s="405">
        <f t="shared" si="377"/>
        <v>82</v>
      </c>
      <c r="G164" s="821">
        <f t="shared" si="377"/>
        <v>82</v>
      </c>
      <c r="H164" s="821">
        <f t="shared" si="377"/>
        <v>82</v>
      </c>
      <c r="I164" s="1032">
        <f t="shared" si="377"/>
        <v>79</v>
      </c>
      <c r="J164" s="405">
        <f t="shared" si="377"/>
        <v>77</v>
      </c>
      <c r="K164" s="405">
        <f t="shared" si="377"/>
        <v>77</v>
      </c>
      <c r="L164" s="821">
        <f>SUM(L151:L163)</f>
        <v>76</v>
      </c>
      <c r="M164" s="821">
        <f>SUM(M151:M163)</f>
        <v>76</v>
      </c>
      <c r="N164" s="1032">
        <f t="shared" si="377"/>
        <v>76</v>
      </c>
      <c r="O164" s="405">
        <f t="shared" si="377"/>
        <v>76</v>
      </c>
      <c r="P164" s="405">
        <f>SUM(P151:P163)</f>
        <v>75</v>
      </c>
      <c r="Q164" s="821">
        <f>SUM(Q151:Q163)</f>
        <v>74</v>
      </c>
      <c r="R164" s="821">
        <f t="shared" si="377"/>
        <v>74</v>
      </c>
      <c r="S164" s="1032">
        <f>SUM(S151:S163)</f>
        <v>74</v>
      </c>
      <c r="T164" s="405">
        <f t="shared" si="377"/>
        <v>74</v>
      </c>
      <c r="U164" s="405">
        <f t="shared" ref="U164:AN164" si="378">SUM(U151:U163)</f>
        <v>73</v>
      </c>
      <c r="V164" s="405">
        <f t="shared" si="378"/>
        <v>72</v>
      </c>
      <c r="W164" s="400">
        <f t="shared" si="378"/>
        <v>72</v>
      </c>
      <c r="X164" s="399">
        <f t="shared" si="378"/>
        <v>72</v>
      </c>
      <c r="Y164" s="399">
        <f t="shared" si="378"/>
        <v>71</v>
      </c>
      <c r="Z164" s="399">
        <f>SUM(Z151:Z163)</f>
        <v>71</v>
      </c>
      <c r="AA164" s="399">
        <f>SUM(AA151:AA163)</f>
        <v>71</v>
      </c>
      <c r="AB164" s="400">
        <f t="shared" si="378"/>
        <v>71</v>
      </c>
      <c r="AC164" s="399">
        <f t="shared" si="378"/>
        <v>59</v>
      </c>
      <c r="AD164" s="399">
        <f t="shared" si="378"/>
        <v>58</v>
      </c>
      <c r="AE164" s="399">
        <f t="shared" si="378"/>
        <v>57</v>
      </c>
      <c r="AF164" s="821">
        <f t="shared" si="378"/>
        <v>57</v>
      </c>
      <c r="AG164" s="400">
        <f t="shared" si="378"/>
        <v>57</v>
      </c>
      <c r="AH164" s="399">
        <f t="shared" si="378"/>
        <v>57</v>
      </c>
      <c r="AI164" s="399">
        <f t="shared" si="378"/>
        <v>57</v>
      </c>
      <c r="AJ164" s="399">
        <f t="shared" si="378"/>
        <v>57</v>
      </c>
      <c r="AK164" s="821">
        <f t="shared" si="378"/>
        <v>57</v>
      </c>
      <c r="AL164" s="400">
        <f t="shared" ref="AL164" si="379">SUM(AL151:AL163)</f>
        <v>57</v>
      </c>
      <c r="AM164" s="821">
        <f t="shared" si="378"/>
        <v>57</v>
      </c>
      <c r="AN164" s="821">
        <f t="shared" si="378"/>
        <v>57</v>
      </c>
    </row>
    <row r="165" spans="1:40">
      <c r="A165" s="130"/>
      <c r="B165" s="1033"/>
      <c r="C165" s="398"/>
      <c r="D165" s="1033"/>
      <c r="E165" s="406"/>
      <c r="F165" s="406"/>
      <c r="G165" s="820"/>
      <c r="H165" s="820"/>
      <c r="I165" s="1033"/>
      <c r="J165" s="406"/>
      <c r="K165" s="406"/>
      <c r="L165" s="820"/>
      <c r="M165" s="820"/>
      <c r="N165" s="401"/>
      <c r="O165" s="406"/>
      <c r="P165" s="401"/>
      <c r="Q165" s="820"/>
      <c r="R165" s="820"/>
      <c r="S165" s="1033"/>
      <c r="T165" s="406"/>
      <c r="U165" s="406"/>
      <c r="V165" s="406"/>
      <c r="W165" s="398"/>
      <c r="X165" s="401"/>
      <c r="Y165" s="401"/>
      <c r="Z165" s="401"/>
      <c r="AA165" s="401"/>
      <c r="AB165" s="398"/>
      <c r="AC165" s="401"/>
      <c r="AD165" s="401"/>
      <c r="AE165" s="401"/>
      <c r="AF165" s="820"/>
      <c r="AG165" s="398"/>
      <c r="AH165" s="401"/>
      <c r="AI165" s="401"/>
      <c r="AJ165" s="401"/>
      <c r="AK165" s="820"/>
      <c r="AL165" s="398"/>
      <c r="AM165" s="820"/>
      <c r="AN165" s="820"/>
    </row>
    <row r="166" spans="1:40">
      <c r="A166" s="295" t="s">
        <v>1283</v>
      </c>
      <c r="B166" s="1033"/>
      <c r="C166" s="398"/>
      <c r="D166" s="1033"/>
      <c r="E166" s="406"/>
      <c r="F166" s="406"/>
      <c r="G166" s="820"/>
      <c r="H166" s="820"/>
      <c r="I166" s="1033"/>
      <c r="J166" s="406"/>
      <c r="K166" s="406"/>
      <c r="L166" s="820"/>
      <c r="M166" s="820"/>
      <c r="N166" s="401"/>
      <c r="O166" s="406"/>
      <c r="P166" s="401"/>
      <c r="Q166" s="820"/>
      <c r="R166" s="820"/>
      <c r="S166" s="1033"/>
      <c r="T166" s="406"/>
      <c r="U166" s="406"/>
      <c r="V166" s="406"/>
      <c r="W166" s="398"/>
      <c r="X166" s="401"/>
      <c r="Y166" s="401"/>
      <c r="Z166" s="401"/>
      <c r="AA166" s="401"/>
      <c r="AB166" s="398"/>
      <c r="AC166" s="401"/>
      <c r="AD166" s="401"/>
      <c r="AE166" s="401"/>
      <c r="AF166" s="820"/>
      <c r="AG166" s="398"/>
      <c r="AH166" s="401"/>
      <c r="AI166" s="401"/>
      <c r="AJ166" s="401"/>
      <c r="AK166" s="820"/>
      <c r="AL166" s="398"/>
      <c r="AM166" s="820"/>
      <c r="AN166" s="820"/>
    </row>
    <row r="167" spans="1:40">
      <c r="A167" s="130" t="str">
        <f>A$9</f>
        <v>Waldorf Astoria Hotels &amp; Resorts (Luxury)</v>
      </c>
      <c r="B167" s="1030">
        <v>2</v>
      </c>
      <c r="C167" s="508">
        <v>2</v>
      </c>
      <c r="D167" s="1030">
        <v>2</v>
      </c>
      <c r="E167" s="912">
        <v>2</v>
      </c>
      <c r="F167" s="912">
        <v>3</v>
      </c>
      <c r="G167" s="1041">
        <v>4</v>
      </c>
      <c r="H167" s="820">
        <f>G167</f>
        <v>4</v>
      </c>
      <c r="I167" s="1030">
        <v>3</v>
      </c>
      <c r="J167" s="912">
        <v>3</v>
      </c>
      <c r="K167" s="912">
        <v>3</v>
      </c>
      <c r="L167" s="1041">
        <v>3</v>
      </c>
      <c r="M167" s="820">
        <f>L167</f>
        <v>3</v>
      </c>
      <c r="N167" s="1030">
        <v>3</v>
      </c>
      <c r="O167" s="912">
        <v>4</v>
      </c>
      <c r="P167" s="912">
        <v>4</v>
      </c>
      <c r="Q167" s="1041">
        <v>4</v>
      </c>
      <c r="R167" s="1714">
        <f t="shared" ref="R167:R179" si="380">Q167</f>
        <v>4</v>
      </c>
      <c r="S167" s="1030">
        <v>4</v>
      </c>
      <c r="T167" s="912">
        <v>4</v>
      </c>
      <c r="U167" s="912">
        <v>4</v>
      </c>
      <c r="V167" s="912">
        <v>4</v>
      </c>
      <c r="W167" s="1716">
        <f t="shared" ref="W167:W179" si="381">V167</f>
        <v>4</v>
      </c>
      <c r="X167" s="2791">
        <v>4</v>
      </c>
      <c r="Y167" s="2791">
        <v>4</v>
      </c>
      <c r="Z167" s="2791">
        <v>4</v>
      </c>
      <c r="AA167" s="2791">
        <v>4</v>
      </c>
      <c r="AB167" s="1716">
        <f t="shared" ref="AB167:AB179" si="382">AA167</f>
        <v>4</v>
      </c>
      <c r="AC167" s="1715">
        <f>AA167*(1+AC$884)</f>
        <v>4.04</v>
      </c>
      <c r="AD167" s="1715">
        <f t="shared" ref="AD167:AD168" si="383">AC167*(1+AD$884)</f>
        <v>4.0797100395919541</v>
      </c>
      <c r="AE167" s="3665">
        <v>4</v>
      </c>
      <c r="AF167" s="3665">
        <v>4</v>
      </c>
      <c r="AG167" s="1716">
        <f t="shared" ref="AG167:AG179" si="384">AF167</f>
        <v>4</v>
      </c>
      <c r="AH167" s="1715">
        <f t="shared" ref="AH167:AH168" si="385">AG167*(1+AH$884)</f>
        <v>4.0599999999999996</v>
      </c>
      <c r="AI167" s="1715">
        <f t="shared" ref="AI167:AI168" si="386">AH167*(1+AI$884)</f>
        <v>4.1208999999999989</v>
      </c>
      <c r="AJ167" s="1715">
        <f t="shared" ref="AJ167:AJ168" si="387">AI167*(1+AJ$884)</f>
        <v>4.1827134999999984</v>
      </c>
      <c r="AK167" s="1714">
        <f t="shared" ref="AK167:AK168" si="388">AJ167*(1+AK$884)</f>
        <v>4.2454542024999977</v>
      </c>
      <c r="AL167" s="1714">
        <f t="shared" ref="AL167:AL179" si="389">AK167</f>
        <v>4.2454542024999977</v>
      </c>
      <c r="AM167" s="1716">
        <f t="shared" ref="AM167:AN168" si="390">AL167*(1+AM$883)</f>
        <v>4.4364996416124969</v>
      </c>
      <c r="AN167" s="1716">
        <f t="shared" si="390"/>
        <v>4.5695946308608715</v>
      </c>
    </row>
    <row r="168" spans="1:40">
      <c r="A168" s="130" t="str">
        <f>A$10</f>
        <v>Conrad Hotels &amp; Resorts (Luxury)</v>
      </c>
      <c r="B168" s="1030">
        <v>1</v>
      </c>
      <c r="C168" s="508">
        <v>1</v>
      </c>
      <c r="D168" s="1030">
        <v>1</v>
      </c>
      <c r="E168" s="912">
        <v>1</v>
      </c>
      <c r="F168" s="912">
        <v>2</v>
      </c>
      <c r="G168" s="1041">
        <v>1</v>
      </c>
      <c r="H168" s="820">
        <f t="shared" ref="H168:H179" si="391">G168</f>
        <v>1</v>
      </c>
      <c r="I168" s="1030">
        <v>1</v>
      </c>
      <c r="J168" s="912">
        <v>1</v>
      </c>
      <c r="K168" s="912">
        <v>1</v>
      </c>
      <c r="L168" s="1041">
        <v>2</v>
      </c>
      <c r="M168" s="820">
        <f t="shared" ref="M168:M179" si="392">L168</f>
        <v>2</v>
      </c>
      <c r="N168" s="1030">
        <v>2</v>
      </c>
      <c r="O168" s="912">
        <v>2</v>
      </c>
      <c r="P168" s="912">
        <v>2</v>
      </c>
      <c r="Q168" s="1041">
        <v>2</v>
      </c>
      <c r="R168" s="1714">
        <f t="shared" si="380"/>
        <v>2</v>
      </c>
      <c r="S168" s="1030">
        <v>2</v>
      </c>
      <c r="T168" s="912">
        <v>2</v>
      </c>
      <c r="U168" s="912">
        <v>2</v>
      </c>
      <c r="V168" s="912">
        <v>2</v>
      </c>
      <c r="W168" s="1716">
        <f t="shared" si="381"/>
        <v>2</v>
      </c>
      <c r="X168" s="2791">
        <v>2</v>
      </c>
      <c r="Y168" s="2791">
        <v>2</v>
      </c>
      <c r="Z168" s="2791">
        <v>2</v>
      </c>
      <c r="AA168" s="2791">
        <v>2</v>
      </c>
      <c r="AB168" s="1716">
        <f t="shared" si="382"/>
        <v>2</v>
      </c>
      <c r="AC168" s="1715">
        <f>AA168*(1+AC$884)</f>
        <v>2.02</v>
      </c>
      <c r="AD168" s="1715">
        <f t="shared" si="383"/>
        <v>2.0398550197959771</v>
      </c>
      <c r="AE168" s="3665">
        <v>3</v>
      </c>
      <c r="AF168" s="3665">
        <v>4</v>
      </c>
      <c r="AG168" s="1716">
        <f t="shared" si="384"/>
        <v>4</v>
      </c>
      <c r="AH168" s="1715">
        <f t="shared" si="385"/>
        <v>4.0599999999999996</v>
      </c>
      <c r="AI168" s="1715">
        <f t="shared" si="386"/>
        <v>4.1208999999999989</v>
      </c>
      <c r="AJ168" s="1715">
        <f t="shared" si="387"/>
        <v>4.1827134999999984</v>
      </c>
      <c r="AK168" s="1714">
        <f t="shared" si="388"/>
        <v>4.2454542024999977</v>
      </c>
      <c r="AL168" s="1714">
        <f t="shared" si="389"/>
        <v>4.2454542024999977</v>
      </c>
      <c r="AM168" s="1716">
        <f t="shared" si="390"/>
        <v>4.4364996416124969</v>
      </c>
      <c r="AN168" s="1716">
        <f t="shared" si="390"/>
        <v>4.5695946308608715</v>
      </c>
    </row>
    <row r="169" spans="1:40">
      <c r="A169" s="1828" t="s">
        <v>3022</v>
      </c>
      <c r="B169" s="1030"/>
      <c r="C169" s="508"/>
      <c r="D169" s="1030"/>
      <c r="E169" s="912"/>
      <c r="F169" s="912"/>
      <c r="G169" s="1041"/>
      <c r="H169" s="820"/>
      <c r="I169" s="1030"/>
      <c r="J169" s="912"/>
      <c r="K169" s="912"/>
      <c r="L169" s="1041"/>
      <c r="M169" s="820"/>
      <c r="N169" s="1030"/>
      <c r="O169" s="912"/>
      <c r="P169" s="912"/>
      <c r="Q169" s="1041"/>
      <c r="R169" s="820"/>
      <c r="S169" s="1030"/>
      <c r="T169" s="912"/>
      <c r="U169" s="912"/>
      <c r="V169" s="912"/>
      <c r="W169" s="398"/>
      <c r="X169" s="2787"/>
      <c r="Y169" s="2791"/>
      <c r="Z169" s="2791"/>
      <c r="AA169" s="2791">
        <v>0</v>
      </c>
      <c r="AB169" s="398">
        <f t="shared" ref="AB169:AG169" si="393">+AA169</f>
        <v>0</v>
      </c>
      <c r="AC169" s="2944">
        <f t="shared" si="393"/>
        <v>0</v>
      </c>
      <c r="AD169" s="406">
        <f t="shared" si="393"/>
        <v>0</v>
      </c>
      <c r="AE169" s="3665">
        <f t="shared" si="393"/>
        <v>0</v>
      </c>
      <c r="AF169" s="406">
        <f t="shared" si="393"/>
        <v>0</v>
      </c>
      <c r="AG169" s="398">
        <f t="shared" si="393"/>
        <v>0</v>
      </c>
      <c r="AH169" s="406">
        <f t="shared" ref="AH169" si="394">+AG169</f>
        <v>0</v>
      </c>
      <c r="AI169" s="406">
        <f t="shared" ref="AI169" si="395">+AH169</f>
        <v>0</v>
      </c>
      <c r="AJ169" s="406">
        <f t="shared" ref="AJ169" si="396">+AI169</f>
        <v>0</v>
      </c>
      <c r="AK169" s="820">
        <f t="shared" ref="AK169" si="397">+AJ169</f>
        <v>0</v>
      </c>
      <c r="AL169" s="398">
        <f t="shared" ref="AL169" si="398">+AK169</f>
        <v>0</v>
      </c>
      <c r="AM169" s="398">
        <f>AL169</f>
        <v>0</v>
      </c>
      <c r="AN169" s="398">
        <f>AM169</f>
        <v>0</v>
      </c>
    </row>
    <row r="170" spans="1:40">
      <c r="A170" s="130" t="str">
        <f>A$12</f>
        <v>Hilton Hotels &amp; Resorts (Upper Up)</v>
      </c>
      <c r="B170" s="1030">
        <v>55</v>
      </c>
      <c r="C170" s="508">
        <v>55</v>
      </c>
      <c r="D170" s="1030">
        <v>55</v>
      </c>
      <c r="E170" s="912">
        <v>55</v>
      </c>
      <c r="F170" s="912">
        <v>55</v>
      </c>
      <c r="G170" s="1041">
        <v>57</v>
      </c>
      <c r="H170" s="820">
        <f t="shared" si="391"/>
        <v>57</v>
      </c>
      <c r="I170" s="1030">
        <v>58</v>
      </c>
      <c r="J170" s="912">
        <v>56</v>
      </c>
      <c r="K170" s="912">
        <v>56</v>
      </c>
      <c r="L170" s="1041">
        <v>56</v>
      </c>
      <c r="M170" s="820">
        <f t="shared" si="392"/>
        <v>56</v>
      </c>
      <c r="N170" s="1030">
        <v>58</v>
      </c>
      <c r="O170" s="912">
        <v>58</v>
      </c>
      <c r="P170" s="912">
        <v>58</v>
      </c>
      <c r="Q170" s="1041">
        <v>54</v>
      </c>
      <c r="R170" s="1714">
        <f t="shared" si="380"/>
        <v>54</v>
      </c>
      <c r="S170" s="1030">
        <v>54</v>
      </c>
      <c r="T170" s="912">
        <v>54</v>
      </c>
      <c r="U170" s="912">
        <v>54</v>
      </c>
      <c r="V170" s="912">
        <v>57</v>
      </c>
      <c r="W170" s="1716">
        <f t="shared" si="381"/>
        <v>57</v>
      </c>
      <c r="X170" s="2791">
        <v>47</v>
      </c>
      <c r="Y170" s="2791">
        <v>44</v>
      </c>
      <c r="Z170" s="2791">
        <v>44</v>
      </c>
      <c r="AA170" s="2791">
        <v>44</v>
      </c>
      <c r="AB170" s="1716">
        <f t="shared" si="382"/>
        <v>44</v>
      </c>
      <c r="AC170" s="2944">
        <f>AA170*(1+AC$884)+'Owned Hotels Spinoff'!$C$64</f>
        <v>55.44</v>
      </c>
      <c r="AD170" s="3879">
        <v>56</v>
      </c>
      <c r="AE170" s="3665">
        <v>53</v>
      </c>
      <c r="AF170" s="3665">
        <v>54</v>
      </c>
      <c r="AG170" s="1716">
        <f t="shared" si="384"/>
        <v>54</v>
      </c>
      <c r="AH170" s="1715">
        <f t="shared" ref="AH170:AH179" si="399">AG170*(1+AH$884)</f>
        <v>54.809999999999995</v>
      </c>
      <c r="AI170" s="1715">
        <f t="shared" ref="AI170:AI179" si="400">AH170*(1+AI$884)</f>
        <v>55.632149999999989</v>
      </c>
      <c r="AJ170" s="1715">
        <f t="shared" ref="AJ170:AJ179" si="401">AI170*(1+AJ$884)</f>
        <v>56.466632249999982</v>
      </c>
      <c r="AK170" s="1714">
        <f t="shared" ref="AK170:AK179" si="402">AJ170*(1+AK$884)</f>
        <v>57.313631733749979</v>
      </c>
      <c r="AL170" s="1714">
        <f t="shared" si="389"/>
        <v>57.313631733749979</v>
      </c>
      <c r="AM170" s="1716">
        <f t="shared" ref="AM170:AN176" si="403">AL170*(1+AM$883)</f>
        <v>59.892745161768723</v>
      </c>
      <c r="AN170" s="1716">
        <f t="shared" si="403"/>
        <v>61.689527516621787</v>
      </c>
    </row>
    <row r="171" spans="1:40">
      <c r="A171" s="130" t="str">
        <f>A$13</f>
        <v xml:space="preserve">Curio - A Collection by Hilton </v>
      </c>
      <c r="B171" s="1030"/>
      <c r="C171" s="508"/>
      <c r="D171" s="1030"/>
      <c r="E171" s="912"/>
      <c r="F171" s="912"/>
      <c r="G171" s="1041"/>
      <c r="H171" s="820"/>
      <c r="I171" s="1030"/>
      <c r="J171" s="912"/>
      <c r="K171" s="912"/>
      <c r="L171" s="1041"/>
      <c r="M171" s="820"/>
      <c r="N171" s="1030"/>
      <c r="O171" s="912"/>
      <c r="P171" s="912"/>
      <c r="Q171" s="1041"/>
      <c r="R171" s="1714"/>
      <c r="S171" s="1030">
        <v>0</v>
      </c>
      <c r="T171" s="912">
        <v>0</v>
      </c>
      <c r="U171" s="912">
        <v>0</v>
      </c>
      <c r="V171" s="912">
        <v>0</v>
      </c>
      <c r="W171" s="398">
        <f t="shared" si="381"/>
        <v>0</v>
      </c>
      <c r="X171" s="2791">
        <v>0</v>
      </c>
      <c r="Y171" s="2791">
        <v>0</v>
      </c>
      <c r="Z171" s="2791">
        <v>0</v>
      </c>
      <c r="AA171" s="2791">
        <v>0</v>
      </c>
      <c r="AB171" s="398">
        <f t="shared" si="382"/>
        <v>0</v>
      </c>
      <c r="AC171" s="406">
        <f t="shared" ref="AC171:AC176" si="404">AA171*(1+AC$884)</f>
        <v>0</v>
      </c>
      <c r="AD171" s="406">
        <f t="shared" ref="AD171:AD176" si="405">AC171*(1+AD$884)</f>
        <v>0</v>
      </c>
      <c r="AE171" s="3665">
        <v>2</v>
      </c>
      <c r="AF171" s="3665">
        <v>2</v>
      </c>
      <c r="AG171" s="398">
        <f t="shared" si="384"/>
        <v>2</v>
      </c>
      <c r="AH171" s="406">
        <f t="shared" si="399"/>
        <v>2.0299999999999998</v>
      </c>
      <c r="AI171" s="406">
        <f t="shared" si="400"/>
        <v>2.0604499999999994</v>
      </c>
      <c r="AJ171" s="406">
        <f t="shared" si="401"/>
        <v>2.0913567499999992</v>
      </c>
      <c r="AK171" s="820">
        <f t="shared" si="402"/>
        <v>2.1227271012499989</v>
      </c>
      <c r="AL171" s="820">
        <f t="shared" si="389"/>
        <v>2.1227271012499989</v>
      </c>
      <c r="AM171" s="398">
        <f t="shared" si="403"/>
        <v>2.2182498208062484</v>
      </c>
      <c r="AN171" s="398">
        <f t="shared" si="403"/>
        <v>2.2847973154304357</v>
      </c>
    </row>
    <row r="172" spans="1:40">
      <c r="A172" s="130" t="str">
        <f>A$14</f>
        <v>DoubleTree by Hilton (Upscale)</v>
      </c>
      <c r="B172" s="1030">
        <v>2</v>
      </c>
      <c r="C172" s="508">
        <v>6</v>
      </c>
      <c r="D172" s="1030">
        <v>8</v>
      </c>
      <c r="E172" s="912">
        <v>8</v>
      </c>
      <c r="F172" s="912">
        <v>8</v>
      </c>
      <c r="G172" s="1041">
        <v>9</v>
      </c>
      <c r="H172" s="820">
        <f t="shared" si="391"/>
        <v>9</v>
      </c>
      <c r="I172" s="1030">
        <v>9</v>
      </c>
      <c r="J172" s="912">
        <v>9</v>
      </c>
      <c r="K172" s="912">
        <v>10</v>
      </c>
      <c r="L172" s="1041">
        <v>11</v>
      </c>
      <c r="M172" s="820">
        <f t="shared" si="392"/>
        <v>11</v>
      </c>
      <c r="N172" s="1030">
        <v>11</v>
      </c>
      <c r="O172" s="912">
        <v>12</v>
      </c>
      <c r="P172" s="912">
        <v>12</v>
      </c>
      <c r="Q172" s="1041">
        <v>13</v>
      </c>
      <c r="R172" s="1714">
        <f t="shared" si="380"/>
        <v>13</v>
      </c>
      <c r="S172" s="1030">
        <v>13</v>
      </c>
      <c r="T172" s="912">
        <v>12</v>
      </c>
      <c r="U172" s="912">
        <v>11</v>
      </c>
      <c r="V172" s="912">
        <v>11</v>
      </c>
      <c r="W172" s="1716">
        <f t="shared" si="381"/>
        <v>11</v>
      </c>
      <c r="X172" s="2791">
        <v>11</v>
      </c>
      <c r="Y172" s="2791">
        <v>11</v>
      </c>
      <c r="Z172" s="2791">
        <v>12</v>
      </c>
      <c r="AA172" s="2791">
        <v>12</v>
      </c>
      <c r="AB172" s="1716">
        <f t="shared" si="382"/>
        <v>12</v>
      </c>
      <c r="AC172" s="1715">
        <f t="shared" si="404"/>
        <v>12.120000000000001</v>
      </c>
      <c r="AD172" s="1715">
        <f t="shared" si="405"/>
        <v>12.239130118775861</v>
      </c>
      <c r="AE172" s="3665">
        <v>11</v>
      </c>
      <c r="AF172" s="3665">
        <v>11</v>
      </c>
      <c r="AG172" s="1716">
        <f t="shared" si="384"/>
        <v>11</v>
      </c>
      <c r="AH172" s="1715">
        <f t="shared" si="399"/>
        <v>11.164999999999999</v>
      </c>
      <c r="AI172" s="1715">
        <f t="shared" si="400"/>
        <v>11.332474999999999</v>
      </c>
      <c r="AJ172" s="1715">
        <f t="shared" si="401"/>
        <v>11.502462124999997</v>
      </c>
      <c r="AK172" s="1714">
        <f t="shared" si="402"/>
        <v>11.674999056874997</v>
      </c>
      <c r="AL172" s="1714">
        <f t="shared" si="389"/>
        <v>11.674999056874997</v>
      </c>
      <c r="AM172" s="1716">
        <f t="shared" si="403"/>
        <v>12.20037401443437</v>
      </c>
      <c r="AN172" s="1716">
        <f t="shared" si="403"/>
        <v>12.566385234867402</v>
      </c>
    </row>
    <row r="173" spans="1:40">
      <c r="A173" s="130" t="str">
        <f>A$15</f>
        <v>Embassy Suites Hotels (Upper Up)</v>
      </c>
      <c r="B173" s="1030">
        <v>0</v>
      </c>
      <c r="C173" s="508">
        <v>0</v>
      </c>
      <c r="D173" s="1030">
        <v>0</v>
      </c>
      <c r="E173" s="912">
        <v>0</v>
      </c>
      <c r="F173" s="912">
        <v>0</v>
      </c>
      <c r="G173" s="1041">
        <v>0</v>
      </c>
      <c r="H173" s="820">
        <f t="shared" si="391"/>
        <v>0</v>
      </c>
      <c r="I173" s="1030">
        <v>0</v>
      </c>
      <c r="J173" s="912">
        <v>0</v>
      </c>
      <c r="K173" s="912">
        <v>0</v>
      </c>
      <c r="L173" s="1041">
        <v>0</v>
      </c>
      <c r="M173" s="820">
        <f t="shared" si="392"/>
        <v>0</v>
      </c>
      <c r="N173" s="1030">
        <v>0</v>
      </c>
      <c r="O173" s="912">
        <v>0</v>
      </c>
      <c r="P173" s="912">
        <v>0</v>
      </c>
      <c r="Q173" s="1041">
        <v>0</v>
      </c>
      <c r="R173" s="1714">
        <f t="shared" si="380"/>
        <v>0</v>
      </c>
      <c r="S173" s="1030">
        <v>0</v>
      </c>
      <c r="T173" s="912">
        <v>0</v>
      </c>
      <c r="U173" s="912">
        <v>0</v>
      </c>
      <c r="V173" s="912">
        <v>0</v>
      </c>
      <c r="W173" s="1716">
        <f t="shared" si="381"/>
        <v>0</v>
      </c>
      <c r="X173" s="2791">
        <v>0</v>
      </c>
      <c r="Y173" s="2791">
        <v>0</v>
      </c>
      <c r="Z173" s="2791">
        <v>0</v>
      </c>
      <c r="AA173" s="2791">
        <v>0</v>
      </c>
      <c r="AB173" s="1716">
        <f t="shared" si="382"/>
        <v>0</v>
      </c>
      <c r="AC173" s="1715">
        <f t="shared" si="404"/>
        <v>0</v>
      </c>
      <c r="AD173" s="1715">
        <f t="shared" si="405"/>
        <v>0</v>
      </c>
      <c r="AE173" s="3665">
        <v>0</v>
      </c>
      <c r="AF173" s="1715">
        <f t="shared" ref="AE173:AF176" si="406">AE173*(1+AF$884)</f>
        <v>0</v>
      </c>
      <c r="AG173" s="1716">
        <f t="shared" si="384"/>
        <v>0</v>
      </c>
      <c r="AH173" s="1715">
        <f t="shared" si="399"/>
        <v>0</v>
      </c>
      <c r="AI173" s="1715">
        <f t="shared" si="400"/>
        <v>0</v>
      </c>
      <c r="AJ173" s="1715">
        <f t="shared" si="401"/>
        <v>0</v>
      </c>
      <c r="AK173" s="1714">
        <f t="shared" si="402"/>
        <v>0</v>
      </c>
      <c r="AL173" s="1714">
        <f t="shared" si="389"/>
        <v>0</v>
      </c>
      <c r="AM173" s="1716">
        <f t="shared" si="403"/>
        <v>0</v>
      </c>
      <c r="AN173" s="1716">
        <f t="shared" si="403"/>
        <v>0</v>
      </c>
    </row>
    <row r="174" spans="1:40">
      <c r="A174" s="130" t="str">
        <f>A$16</f>
        <v>Hilton Garden Inn (Upscale)</v>
      </c>
      <c r="B174" s="1030">
        <v>5</v>
      </c>
      <c r="C174" s="508">
        <v>10</v>
      </c>
      <c r="D174" s="1030">
        <v>11</v>
      </c>
      <c r="E174" s="912">
        <v>13</v>
      </c>
      <c r="F174" s="912">
        <v>14</v>
      </c>
      <c r="G174" s="1041">
        <v>15</v>
      </c>
      <c r="H174" s="820">
        <f t="shared" si="391"/>
        <v>15</v>
      </c>
      <c r="I174" s="1030">
        <v>16</v>
      </c>
      <c r="J174" s="912">
        <v>15</v>
      </c>
      <c r="K174" s="912">
        <v>15</v>
      </c>
      <c r="L174" s="1041">
        <v>15</v>
      </c>
      <c r="M174" s="820">
        <f t="shared" si="392"/>
        <v>15</v>
      </c>
      <c r="N174" s="1030">
        <v>18</v>
      </c>
      <c r="O174" s="912">
        <v>19</v>
      </c>
      <c r="P174" s="912">
        <v>19</v>
      </c>
      <c r="Q174" s="1041">
        <v>18</v>
      </c>
      <c r="R174" s="1714">
        <f t="shared" si="380"/>
        <v>18</v>
      </c>
      <c r="S174" s="1030">
        <v>19</v>
      </c>
      <c r="T174" s="912">
        <v>16</v>
      </c>
      <c r="U174" s="912">
        <v>17</v>
      </c>
      <c r="V174" s="912">
        <v>18</v>
      </c>
      <c r="W174" s="1716">
        <f t="shared" si="381"/>
        <v>18</v>
      </c>
      <c r="X174" s="2791">
        <v>18</v>
      </c>
      <c r="Y174" s="2791">
        <v>18</v>
      </c>
      <c r="Z174" s="2791">
        <v>18</v>
      </c>
      <c r="AA174" s="2791">
        <v>20</v>
      </c>
      <c r="AB174" s="1716">
        <f t="shared" si="382"/>
        <v>20</v>
      </c>
      <c r="AC174" s="1715">
        <f t="shared" si="404"/>
        <v>20.2</v>
      </c>
      <c r="AD174" s="3879">
        <v>20</v>
      </c>
      <c r="AE174" s="3665">
        <v>21</v>
      </c>
      <c r="AF174" s="3665">
        <v>21</v>
      </c>
      <c r="AG174" s="1716">
        <f t="shared" si="384"/>
        <v>21</v>
      </c>
      <c r="AH174" s="1715">
        <f t="shared" si="399"/>
        <v>21.314999999999998</v>
      </c>
      <c r="AI174" s="1715">
        <f t="shared" si="400"/>
        <v>21.634724999999996</v>
      </c>
      <c r="AJ174" s="1715">
        <f t="shared" si="401"/>
        <v>21.959245874999993</v>
      </c>
      <c r="AK174" s="1714">
        <f t="shared" si="402"/>
        <v>22.28863456312499</v>
      </c>
      <c r="AL174" s="1714">
        <f t="shared" si="389"/>
        <v>22.28863456312499</v>
      </c>
      <c r="AM174" s="1716">
        <f t="shared" si="403"/>
        <v>23.291623118465612</v>
      </c>
      <c r="AN174" s="1716">
        <f t="shared" si="403"/>
        <v>23.990371812019582</v>
      </c>
    </row>
    <row r="175" spans="1:40">
      <c r="A175" s="130" t="str">
        <f>A$17</f>
        <v>Hampton Inn (Upper Mid)</v>
      </c>
      <c r="B175" s="1030">
        <v>3</v>
      </c>
      <c r="C175" s="508">
        <v>3</v>
      </c>
      <c r="D175" s="1030">
        <v>3</v>
      </c>
      <c r="E175" s="912">
        <v>3</v>
      </c>
      <c r="F175" s="912">
        <v>4</v>
      </c>
      <c r="G175" s="1041">
        <v>2</v>
      </c>
      <c r="H175" s="820">
        <f t="shared" si="391"/>
        <v>2</v>
      </c>
      <c r="I175" s="1030">
        <v>2</v>
      </c>
      <c r="J175" s="912">
        <v>3</v>
      </c>
      <c r="K175" s="912">
        <v>4</v>
      </c>
      <c r="L175" s="1041">
        <v>4</v>
      </c>
      <c r="M175" s="820">
        <f t="shared" si="392"/>
        <v>4</v>
      </c>
      <c r="N175" s="1030">
        <v>4</v>
      </c>
      <c r="O175" s="912">
        <v>6</v>
      </c>
      <c r="P175" s="912">
        <v>6</v>
      </c>
      <c r="Q175" s="1041">
        <v>7</v>
      </c>
      <c r="R175" s="1714">
        <f t="shared" si="380"/>
        <v>7</v>
      </c>
      <c r="S175" s="1030">
        <v>7</v>
      </c>
      <c r="T175" s="912">
        <v>8</v>
      </c>
      <c r="U175" s="912">
        <v>8</v>
      </c>
      <c r="V175" s="912">
        <v>10</v>
      </c>
      <c r="W175" s="1716">
        <f t="shared" si="381"/>
        <v>10</v>
      </c>
      <c r="X175" s="2791">
        <v>10</v>
      </c>
      <c r="Y175" s="2791">
        <v>12</v>
      </c>
      <c r="Z175" s="2791">
        <v>13</v>
      </c>
      <c r="AA175" s="2791">
        <v>13</v>
      </c>
      <c r="AB175" s="1716">
        <f t="shared" si="382"/>
        <v>13</v>
      </c>
      <c r="AC175" s="1715">
        <f t="shared" si="404"/>
        <v>13.13</v>
      </c>
      <c r="AD175" s="1715">
        <f t="shared" si="405"/>
        <v>13.259057628673849</v>
      </c>
      <c r="AE175" s="3665">
        <v>14</v>
      </c>
      <c r="AF175" s="3665">
        <v>15</v>
      </c>
      <c r="AG175" s="1716">
        <f t="shared" si="384"/>
        <v>15</v>
      </c>
      <c r="AH175" s="1715">
        <f t="shared" si="399"/>
        <v>15.224999999999998</v>
      </c>
      <c r="AI175" s="1715">
        <f t="shared" si="400"/>
        <v>15.453374999999996</v>
      </c>
      <c r="AJ175" s="1715">
        <f t="shared" si="401"/>
        <v>15.685175624999994</v>
      </c>
      <c r="AK175" s="1714">
        <f t="shared" si="402"/>
        <v>15.920453259374993</v>
      </c>
      <c r="AL175" s="1714">
        <f t="shared" si="389"/>
        <v>15.920453259374993</v>
      </c>
      <c r="AM175" s="1716">
        <f t="shared" si="403"/>
        <v>16.636873656046866</v>
      </c>
      <c r="AN175" s="1716">
        <f t="shared" si="403"/>
        <v>17.135979865728274</v>
      </c>
    </row>
    <row r="176" spans="1:40">
      <c r="A176" s="130" t="s">
        <v>1408</v>
      </c>
      <c r="B176" s="1030">
        <v>0</v>
      </c>
      <c r="C176" s="508">
        <v>0</v>
      </c>
      <c r="D176" s="1030">
        <v>0</v>
      </c>
      <c r="E176" s="912">
        <v>0</v>
      </c>
      <c r="F176" s="912">
        <v>0</v>
      </c>
      <c r="G176" s="1041">
        <v>0</v>
      </c>
      <c r="H176" s="820">
        <f t="shared" si="391"/>
        <v>0</v>
      </c>
      <c r="I176" s="1030">
        <v>0</v>
      </c>
      <c r="J176" s="912">
        <v>0</v>
      </c>
      <c r="K176" s="912">
        <v>0</v>
      </c>
      <c r="L176" s="1041">
        <v>0</v>
      </c>
      <c r="M176" s="820">
        <f t="shared" si="392"/>
        <v>0</v>
      </c>
      <c r="N176" s="1030">
        <v>0</v>
      </c>
      <c r="O176" s="912">
        <v>0</v>
      </c>
      <c r="P176" s="912">
        <v>0</v>
      </c>
      <c r="Q176" s="1041">
        <v>0</v>
      </c>
      <c r="R176" s="1714">
        <f t="shared" si="380"/>
        <v>0</v>
      </c>
      <c r="S176" s="1030">
        <v>0</v>
      </c>
      <c r="T176" s="912">
        <v>0</v>
      </c>
      <c r="U176" s="912">
        <v>0</v>
      </c>
      <c r="V176" s="912">
        <v>0</v>
      </c>
      <c r="W176" s="1716">
        <f t="shared" si="381"/>
        <v>0</v>
      </c>
      <c r="X176" s="2791">
        <v>0</v>
      </c>
      <c r="Y176" s="2791">
        <v>0</v>
      </c>
      <c r="Z176" s="2791">
        <v>0</v>
      </c>
      <c r="AA176" s="2791">
        <v>0</v>
      </c>
      <c r="AB176" s="1716">
        <f t="shared" si="382"/>
        <v>0</v>
      </c>
      <c r="AC176" s="1715">
        <f t="shared" si="404"/>
        <v>0</v>
      </c>
      <c r="AD176" s="1715">
        <f t="shared" si="405"/>
        <v>0</v>
      </c>
      <c r="AE176" s="3665">
        <f t="shared" si="406"/>
        <v>0</v>
      </c>
      <c r="AF176" s="1714">
        <f t="shared" si="406"/>
        <v>0</v>
      </c>
      <c r="AG176" s="1714">
        <f t="shared" si="384"/>
        <v>0</v>
      </c>
      <c r="AH176" s="1715">
        <f t="shared" si="399"/>
        <v>0</v>
      </c>
      <c r="AI176" s="1715">
        <f t="shared" si="400"/>
        <v>0</v>
      </c>
      <c r="AJ176" s="1715">
        <f t="shared" si="401"/>
        <v>0</v>
      </c>
      <c r="AK176" s="1714">
        <f t="shared" si="402"/>
        <v>0</v>
      </c>
      <c r="AL176" s="1714">
        <f t="shared" si="389"/>
        <v>0</v>
      </c>
      <c r="AM176" s="1716">
        <f t="shared" si="403"/>
        <v>0</v>
      </c>
      <c r="AN176" s="1716">
        <f t="shared" si="403"/>
        <v>0</v>
      </c>
    </row>
    <row r="177" spans="1:40">
      <c r="A177" s="130" t="str">
        <f>$A$90</f>
        <v>Tru by Hilton</v>
      </c>
      <c r="B177" s="1030"/>
      <c r="C177" s="508"/>
      <c r="D177" s="1030"/>
      <c r="E177" s="912"/>
      <c r="F177" s="912"/>
      <c r="G177" s="1041"/>
      <c r="H177" s="820"/>
      <c r="I177" s="1030"/>
      <c r="J177" s="912"/>
      <c r="K177" s="912"/>
      <c r="L177" s="1041"/>
      <c r="M177" s="820"/>
      <c r="N177" s="1030"/>
      <c r="O177" s="912"/>
      <c r="P177" s="912"/>
      <c r="Q177" s="1041"/>
      <c r="R177" s="820"/>
      <c r="S177" s="1030"/>
      <c r="T177" s="912"/>
      <c r="U177" s="912"/>
      <c r="V177" s="912"/>
      <c r="W177" s="398"/>
      <c r="X177" s="2791"/>
      <c r="Y177" s="2791"/>
      <c r="Z177" s="2791"/>
      <c r="AA177" s="2791"/>
      <c r="AB177" s="398"/>
      <c r="AC177" s="1715">
        <f t="shared" ref="AC177:AC178" si="407">AA177*(1+AC$884)</f>
        <v>0</v>
      </c>
      <c r="AD177" s="1715">
        <f t="shared" ref="AD177:AF177" si="408">AC177*(1+AD$884)</f>
        <v>0</v>
      </c>
      <c r="AE177" s="3665">
        <f t="shared" si="408"/>
        <v>0</v>
      </c>
      <c r="AF177" s="1714">
        <f t="shared" si="408"/>
        <v>0</v>
      </c>
      <c r="AG177" s="1714">
        <f t="shared" ref="AG177:AG178" si="409">AF177</f>
        <v>0</v>
      </c>
      <c r="AH177" s="1715">
        <f t="shared" si="399"/>
        <v>0</v>
      </c>
      <c r="AI177" s="1715">
        <f t="shared" si="400"/>
        <v>0</v>
      </c>
      <c r="AJ177" s="1715">
        <f t="shared" si="401"/>
        <v>0</v>
      </c>
      <c r="AK177" s="1714">
        <f t="shared" si="402"/>
        <v>0</v>
      </c>
      <c r="AL177" s="1714">
        <f t="shared" si="389"/>
        <v>0</v>
      </c>
      <c r="AM177" s="1716">
        <f t="shared" ref="AM177:AN177" si="410">AL177*(1+AM$883)</f>
        <v>0</v>
      </c>
      <c r="AN177" s="1716">
        <f t="shared" si="410"/>
        <v>0</v>
      </c>
    </row>
    <row r="178" spans="1:40">
      <c r="A178" s="130" t="str">
        <f>$A$91</f>
        <v>Tapestry Collection by Hilton</v>
      </c>
      <c r="B178" s="1030"/>
      <c r="C178" s="508"/>
      <c r="D178" s="1030"/>
      <c r="E178" s="912"/>
      <c r="F178" s="912"/>
      <c r="G178" s="1041"/>
      <c r="H178" s="820"/>
      <c r="I178" s="1030"/>
      <c r="J178" s="912"/>
      <c r="K178" s="912"/>
      <c r="L178" s="1041"/>
      <c r="M178" s="820"/>
      <c r="N178" s="1030"/>
      <c r="O178" s="912"/>
      <c r="P178" s="912"/>
      <c r="Q178" s="1041"/>
      <c r="R178" s="820"/>
      <c r="S178" s="1030"/>
      <c r="T178" s="912"/>
      <c r="U178" s="912"/>
      <c r="V178" s="912"/>
      <c r="W178" s="398"/>
      <c r="X178" s="2791"/>
      <c r="Y178" s="2791"/>
      <c r="Z178" s="2791"/>
      <c r="AA178" s="2791"/>
      <c r="AB178" s="398"/>
      <c r="AC178" s="1715">
        <f t="shared" si="407"/>
        <v>0</v>
      </c>
      <c r="AD178" s="1715">
        <f t="shared" ref="AD178:AF178" si="411">AC178*(1+AD$884)</f>
        <v>0</v>
      </c>
      <c r="AE178" s="3665">
        <f t="shared" si="411"/>
        <v>0</v>
      </c>
      <c r="AF178" s="1714">
        <f t="shared" si="411"/>
        <v>0</v>
      </c>
      <c r="AG178" s="1714">
        <f t="shared" si="409"/>
        <v>0</v>
      </c>
      <c r="AH178" s="1715">
        <f t="shared" si="399"/>
        <v>0</v>
      </c>
      <c r="AI178" s="1715">
        <f t="shared" si="400"/>
        <v>0</v>
      </c>
      <c r="AJ178" s="1715">
        <f t="shared" si="401"/>
        <v>0</v>
      </c>
      <c r="AK178" s="1714">
        <f t="shared" si="402"/>
        <v>0</v>
      </c>
      <c r="AL178" s="1714">
        <f t="shared" si="389"/>
        <v>0</v>
      </c>
      <c r="AM178" s="1716">
        <f t="shared" ref="AM178:AN178" si="412">AL178*(1+AM$883)</f>
        <v>0</v>
      </c>
      <c r="AN178" s="1716">
        <f t="shared" si="412"/>
        <v>0</v>
      </c>
    </row>
    <row r="179" spans="1:40" s="5" customFormat="1" ht="15">
      <c r="A179" s="402" t="str">
        <f>A$21</f>
        <v>Homewood Suites by Hilton (Upscale)</v>
      </c>
      <c r="B179" s="1031">
        <v>0</v>
      </c>
      <c r="C179" s="1029">
        <v>0</v>
      </c>
      <c r="D179" s="1031">
        <v>0</v>
      </c>
      <c r="E179" s="1039">
        <v>0</v>
      </c>
      <c r="F179" s="1039">
        <v>0</v>
      </c>
      <c r="G179" s="1042">
        <v>0</v>
      </c>
      <c r="H179" s="700">
        <f t="shared" si="391"/>
        <v>0</v>
      </c>
      <c r="I179" s="1031">
        <v>0</v>
      </c>
      <c r="J179" s="1039">
        <v>0</v>
      </c>
      <c r="K179" s="1039">
        <v>0</v>
      </c>
      <c r="L179" s="1042">
        <v>0</v>
      </c>
      <c r="M179" s="700">
        <f t="shared" si="392"/>
        <v>0</v>
      </c>
      <c r="N179" s="1031">
        <v>0</v>
      </c>
      <c r="O179" s="1039">
        <v>0</v>
      </c>
      <c r="P179" s="1039">
        <v>0</v>
      </c>
      <c r="Q179" s="1042">
        <v>0</v>
      </c>
      <c r="R179" s="1711">
        <f t="shared" si="380"/>
        <v>0</v>
      </c>
      <c r="S179" s="1031">
        <v>0</v>
      </c>
      <c r="T179" s="1039">
        <v>0</v>
      </c>
      <c r="U179" s="1039">
        <v>0</v>
      </c>
      <c r="V179" s="1039">
        <v>0</v>
      </c>
      <c r="W179" s="1713">
        <f t="shared" si="381"/>
        <v>0</v>
      </c>
      <c r="X179" s="2793">
        <v>0</v>
      </c>
      <c r="Y179" s="2793">
        <v>0</v>
      </c>
      <c r="Z179" s="2793">
        <v>0</v>
      </c>
      <c r="AA179" s="2793">
        <v>0</v>
      </c>
      <c r="AB179" s="1713">
        <f t="shared" si="382"/>
        <v>0</v>
      </c>
      <c r="AC179" s="1712">
        <f>AA179*(1+AC$884)</f>
        <v>0</v>
      </c>
      <c r="AD179" s="1712">
        <f>AC179*(1+AD$884)</f>
        <v>0</v>
      </c>
      <c r="AE179" s="4001">
        <f>AD179*(1+AE$884)</f>
        <v>0</v>
      </c>
      <c r="AF179" s="1711">
        <f>AE179*(1+AF$884)</f>
        <v>0</v>
      </c>
      <c r="AG179" s="1711">
        <f t="shared" si="384"/>
        <v>0</v>
      </c>
      <c r="AH179" s="1712">
        <f t="shared" si="399"/>
        <v>0</v>
      </c>
      <c r="AI179" s="1712">
        <f t="shared" si="400"/>
        <v>0</v>
      </c>
      <c r="AJ179" s="1712">
        <f t="shared" si="401"/>
        <v>0</v>
      </c>
      <c r="AK179" s="1711">
        <f t="shared" si="402"/>
        <v>0</v>
      </c>
      <c r="AL179" s="1711">
        <f t="shared" si="389"/>
        <v>0</v>
      </c>
      <c r="AM179" s="1713">
        <f>AL179*(1+AM$883)</f>
        <v>0</v>
      </c>
      <c r="AN179" s="1713">
        <f>AM179*(1+AN$883)</f>
        <v>0</v>
      </c>
    </row>
    <row r="180" spans="1:40">
      <c r="A180" s="482" t="s">
        <v>1687</v>
      </c>
      <c r="B180" s="1032">
        <f>SUM(B167:B179)</f>
        <v>68</v>
      </c>
      <c r="C180" s="400">
        <f>SUM(C167:C179)</f>
        <v>77</v>
      </c>
      <c r="D180" s="1032">
        <f t="shared" ref="D180:K180" si="413">SUM(D167:D179)</f>
        <v>80</v>
      </c>
      <c r="E180" s="405">
        <f t="shared" si="413"/>
        <v>82</v>
      </c>
      <c r="F180" s="405">
        <f t="shared" si="413"/>
        <v>86</v>
      </c>
      <c r="G180" s="821">
        <f t="shared" si="413"/>
        <v>88</v>
      </c>
      <c r="H180" s="821">
        <f t="shared" si="413"/>
        <v>88</v>
      </c>
      <c r="I180" s="1032">
        <f t="shared" si="413"/>
        <v>89</v>
      </c>
      <c r="J180" s="405">
        <f t="shared" si="413"/>
        <v>87</v>
      </c>
      <c r="K180" s="405">
        <f t="shared" si="413"/>
        <v>89</v>
      </c>
      <c r="L180" s="821">
        <f>SUM(L167:L179)</f>
        <v>91</v>
      </c>
      <c r="M180" s="821">
        <f>SUM(M167:M179)</f>
        <v>91</v>
      </c>
      <c r="N180" s="1032">
        <f t="shared" ref="N180:T180" si="414">SUM(N167:N179)</f>
        <v>96</v>
      </c>
      <c r="O180" s="405">
        <f t="shared" si="414"/>
        <v>101</v>
      </c>
      <c r="P180" s="405">
        <f>SUM(P167:P179)</f>
        <v>101</v>
      </c>
      <c r="Q180" s="821">
        <f>SUM(Q167:Q179)</f>
        <v>98</v>
      </c>
      <c r="R180" s="821">
        <f t="shared" si="414"/>
        <v>98</v>
      </c>
      <c r="S180" s="1032">
        <f>SUM(S167:S179)</f>
        <v>99</v>
      </c>
      <c r="T180" s="405">
        <f t="shared" si="414"/>
        <v>96</v>
      </c>
      <c r="U180" s="405">
        <f t="shared" ref="U180:AN180" si="415">SUM(U167:U179)</f>
        <v>96</v>
      </c>
      <c r="V180" s="405">
        <f t="shared" si="415"/>
        <v>102</v>
      </c>
      <c r="W180" s="400">
        <f t="shared" si="415"/>
        <v>102</v>
      </c>
      <c r="X180" s="399">
        <f t="shared" si="415"/>
        <v>92</v>
      </c>
      <c r="Y180" s="399">
        <f t="shared" si="415"/>
        <v>91</v>
      </c>
      <c r="Z180" s="399">
        <f>SUM(Z167:Z179)</f>
        <v>93</v>
      </c>
      <c r="AA180" s="399">
        <f>SUM(AA167:AA179)</f>
        <v>95</v>
      </c>
      <c r="AB180" s="400">
        <f t="shared" si="415"/>
        <v>95</v>
      </c>
      <c r="AC180" s="399">
        <f t="shared" si="415"/>
        <v>106.95</v>
      </c>
      <c r="AD180" s="399">
        <f t="shared" si="415"/>
        <v>107.61775280683764</v>
      </c>
      <c r="AE180" s="399">
        <f t="shared" si="415"/>
        <v>108</v>
      </c>
      <c r="AF180" s="821">
        <f t="shared" si="415"/>
        <v>111</v>
      </c>
      <c r="AG180" s="400">
        <f t="shared" si="415"/>
        <v>111</v>
      </c>
      <c r="AH180" s="405">
        <f t="shared" ref="AH180:AL180" si="416">SUM(AH167:AH179)</f>
        <v>112.66499999999999</v>
      </c>
      <c r="AI180" s="405">
        <f t="shared" si="416"/>
        <v>114.35497499999997</v>
      </c>
      <c r="AJ180" s="405">
        <f t="shared" si="416"/>
        <v>116.07029962499998</v>
      </c>
      <c r="AK180" s="821">
        <f t="shared" si="416"/>
        <v>117.81135411937494</v>
      </c>
      <c r="AL180" s="400">
        <f t="shared" si="416"/>
        <v>117.81135411937494</v>
      </c>
      <c r="AM180" s="821">
        <f t="shared" si="415"/>
        <v>123.11286505474681</v>
      </c>
      <c r="AN180" s="821">
        <f t="shared" si="415"/>
        <v>126.80625100638923</v>
      </c>
    </row>
    <row r="181" spans="1:40">
      <c r="A181" s="130"/>
      <c r="B181" s="1033"/>
      <c r="C181" s="398"/>
      <c r="D181" s="1033"/>
      <c r="E181" s="406"/>
      <c r="F181" s="406"/>
      <c r="G181" s="820"/>
      <c r="H181" s="820"/>
      <c r="I181" s="1033"/>
      <c r="J181" s="406"/>
      <c r="K181" s="406"/>
      <c r="L181" s="820"/>
      <c r="M181" s="820"/>
      <c r="N181" s="401"/>
      <c r="O181" s="406"/>
      <c r="P181" s="406"/>
      <c r="Q181" s="820"/>
      <c r="R181" s="820"/>
      <c r="S181" s="1033"/>
      <c r="T181" s="406"/>
      <c r="U181" s="406"/>
      <c r="V181" s="406"/>
      <c r="W181" s="398"/>
      <c r="X181" s="401"/>
      <c r="Y181" s="401"/>
      <c r="Z181" s="401"/>
      <c r="AA181" s="401"/>
      <c r="AB181" s="398"/>
      <c r="AC181" s="401"/>
      <c r="AD181" s="401"/>
      <c r="AE181" s="401"/>
      <c r="AF181" s="820"/>
      <c r="AG181" s="398"/>
      <c r="AH181" s="401"/>
      <c r="AI181" s="401"/>
      <c r="AJ181" s="401"/>
      <c r="AK181" s="820"/>
      <c r="AL181" s="398"/>
      <c r="AM181" s="820"/>
      <c r="AN181" s="820"/>
    </row>
    <row r="182" spans="1:40">
      <c r="A182" s="295" t="s">
        <v>1284</v>
      </c>
      <c r="B182" s="1033"/>
      <c r="C182" s="398"/>
      <c r="D182" s="1033"/>
      <c r="E182" s="406"/>
      <c r="F182" s="406"/>
      <c r="G182" s="820"/>
      <c r="H182" s="820"/>
      <c r="I182" s="1033"/>
      <c r="J182" s="406"/>
      <c r="K182" s="406"/>
      <c r="L182" s="820"/>
      <c r="M182" s="820"/>
      <c r="N182" s="401"/>
      <c r="O182" s="406"/>
      <c r="P182" s="406"/>
      <c r="Q182" s="820"/>
      <c r="R182" s="820"/>
      <c r="S182" s="1033"/>
      <c r="T182" s="406"/>
      <c r="U182" s="406"/>
      <c r="V182" s="406"/>
      <c r="W182" s="398"/>
      <c r="X182" s="401"/>
      <c r="Y182" s="401"/>
      <c r="Z182" s="401"/>
      <c r="AA182" s="401"/>
      <c r="AB182" s="398"/>
      <c r="AC182" s="401"/>
      <c r="AD182" s="401"/>
      <c r="AE182" s="401"/>
      <c r="AF182" s="820"/>
      <c r="AG182" s="398"/>
      <c r="AH182" s="401"/>
      <c r="AI182" s="401"/>
      <c r="AJ182" s="401"/>
      <c r="AK182" s="820"/>
      <c r="AL182" s="398"/>
      <c r="AM182" s="820"/>
      <c r="AN182" s="820"/>
    </row>
    <row r="183" spans="1:40">
      <c r="A183" s="130" t="str">
        <f>A$9</f>
        <v>Waldorf Astoria Hotels &amp; Resorts (Luxury)</v>
      </c>
      <c r="B183" s="1030">
        <v>1</v>
      </c>
      <c r="C183" s="508">
        <v>0</v>
      </c>
      <c r="D183" s="1030">
        <v>0</v>
      </c>
      <c r="E183" s="912">
        <v>0</v>
      </c>
      <c r="F183" s="912">
        <v>0</v>
      </c>
      <c r="G183" s="1041">
        <v>0</v>
      </c>
      <c r="H183" s="820">
        <f>G183</f>
        <v>0</v>
      </c>
      <c r="I183" s="1030">
        <v>0</v>
      </c>
      <c r="J183" s="912">
        <v>0</v>
      </c>
      <c r="K183" s="912">
        <v>0</v>
      </c>
      <c r="L183" s="1041">
        <v>0</v>
      </c>
      <c r="M183" s="820">
        <f>L183</f>
        <v>0</v>
      </c>
      <c r="N183" s="1030">
        <v>0</v>
      </c>
      <c r="O183" s="912">
        <v>0</v>
      </c>
      <c r="P183" s="912">
        <v>0</v>
      </c>
      <c r="Q183" s="1041">
        <v>0</v>
      </c>
      <c r="R183" s="820">
        <f t="shared" ref="R183:R195" si="417">Q183</f>
        <v>0</v>
      </c>
      <c r="S183" s="1030">
        <v>0</v>
      </c>
      <c r="T183" s="912">
        <v>0</v>
      </c>
      <c r="U183" s="912">
        <v>0</v>
      </c>
      <c r="V183" s="912">
        <v>0</v>
      </c>
      <c r="W183" s="398">
        <f t="shared" ref="W183:W195" si="418">V183</f>
        <v>0</v>
      </c>
      <c r="X183" s="2791">
        <v>0</v>
      </c>
      <c r="Y183" s="2791">
        <v>0</v>
      </c>
      <c r="Z183" s="2791">
        <v>0</v>
      </c>
      <c r="AA183" s="2791">
        <v>0</v>
      </c>
      <c r="AB183" s="398">
        <f t="shared" ref="AB183:AB195" si="419">AA183</f>
        <v>0</v>
      </c>
      <c r="AC183" s="406">
        <f>AA183*(1+AC$913)</f>
        <v>0</v>
      </c>
      <c r="AD183" s="406">
        <f t="shared" ref="AD183:AF185" si="420">AC183*(1+AD$913)</f>
        <v>0</v>
      </c>
      <c r="AE183" s="3665">
        <v>0</v>
      </c>
      <c r="AF183" s="406">
        <f t="shared" si="420"/>
        <v>0</v>
      </c>
      <c r="AG183" s="398">
        <f t="shared" ref="AG183:AG195" si="421">AF183</f>
        <v>0</v>
      </c>
      <c r="AH183" s="406">
        <f t="shared" ref="AH183:AH184" si="422">AG183*(1+AH$913)</f>
        <v>0</v>
      </c>
      <c r="AI183" s="406">
        <f t="shared" ref="AI183:AI184" si="423">AH183*(1+AI$913)</f>
        <v>0</v>
      </c>
      <c r="AJ183" s="406">
        <f t="shared" ref="AJ183:AJ184" si="424">AI183*(1+AJ$913)</f>
        <v>0</v>
      </c>
      <c r="AK183" s="820">
        <f t="shared" ref="AK183:AK184" si="425">AJ183*(1+AK$913)</f>
        <v>0</v>
      </c>
      <c r="AL183" s="820">
        <f t="shared" ref="AL183:AL195" si="426">AK183</f>
        <v>0</v>
      </c>
      <c r="AM183" s="398">
        <f t="shared" ref="AM183:AN184" si="427">AL183*(1+AM$912)</f>
        <v>0</v>
      </c>
      <c r="AN183" s="398">
        <f t="shared" si="427"/>
        <v>0</v>
      </c>
    </row>
    <row r="184" spans="1:40">
      <c r="A184" s="130" t="str">
        <f>A$10</f>
        <v>Conrad Hotels &amp; Resorts (Luxury)</v>
      </c>
      <c r="B184" s="1030">
        <v>0</v>
      </c>
      <c r="C184" s="508">
        <v>0</v>
      </c>
      <c r="D184" s="1030">
        <v>0</v>
      </c>
      <c r="E184" s="912">
        <v>0</v>
      </c>
      <c r="F184" s="912">
        <v>0</v>
      </c>
      <c r="G184" s="1041">
        <v>0</v>
      </c>
      <c r="H184" s="820">
        <f t="shared" ref="H184:H195" si="428">G184</f>
        <v>0</v>
      </c>
      <c r="I184" s="1030">
        <v>0</v>
      </c>
      <c r="J184" s="912">
        <v>0</v>
      </c>
      <c r="K184" s="912">
        <v>0</v>
      </c>
      <c r="L184" s="1041">
        <v>0</v>
      </c>
      <c r="M184" s="820">
        <f t="shared" ref="M184:M195" si="429">L184</f>
        <v>0</v>
      </c>
      <c r="N184" s="1030">
        <v>0</v>
      </c>
      <c r="O184" s="912">
        <v>0</v>
      </c>
      <c r="P184" s="912">
        <v>1</v>
      </c>
      <c r="Q184" s="1041">
        <v>1</v>
      </c>
      <c r="R184" s="820">
        <f t="shared" si="417"/>
        <v>1</v>
      </c>
      <c r="S184" s="1030">
        <v>1</v>
      </c>
      <c r="T184" s="912">
        <v>1</v>
      </c>
      <c r="U184" s="912">
        <v>1</v>
      </c>
      <c r="V184" s="912">
        <v>1</v>
      </c>
      <c r="W184" s="398">
        <f t="shared" si="418"/>
        <v>1</v>
      </c>
      <c r="X184" s="2791">
        <v>1</v>
      </c>
      <c r="Y184" s="2791">
        <v>1</v>
      </c>
      <c r="Z184" s="2791">
        <v>1</v>
      </c>
      <c r="AA184" s="2791">
        <v>1</v>
      </c>
      <c r="AB184" s="398">
        <f t="shared" si="419"/>
        <v>1</v>
      </c>
      <c r="AC184" s="406">
        <f>AA184*(1+AC$913)</f>
        <v>1.0149999999999999</v>
      </c>
      <c r="AD184" s="406">
        <f t="shared" si="420"/>
        <v>1.0403749999999998</v>
      </c>
      <c r="AE184" s="3665">
        <v>1</v>
      </c>
      <c r="AF184" s="3665">
        <v>0</v>
      </c>
      <c r="AG184" s="398">
        <f t="shared" si="421"/>
        <v>0</v>
      </c>
      <c r="AH184" s="406">
        <f t="shared" si="422"/>
        <v>0</v>
      </c>
      <c r="AI184" s="406">
        <f t="shared" si="423"/>
        <v>0</v>
      </c>
      <c r="AJ184" s="406">
        <f t="shared" si="424"/>
        <v>0</v>
      </c>
      <c r="AK184" s="820">
        <f t="shared" si="425"/>
        <v>0</v>
      </c>
      <c r="AL184" s="820">
        <f t="shared" si="426"/>
        <v>0</v>
      </c>
      <c r="AM184" s="398">
        <f t="shared" si="427"/>
        <v>0</v>
      </c>
      <c r="AN184" s="398">
        <f t="shared" si="427"/>
        <v>0</v>
      </c>
    </row>
    <row r="185" spans="1:40">
      <c r="A185" s="1828" t="s">
        <v>3022</v>
      </c>
      <c r="B185" s="1030"/>
      <c r="C185" s="508"/>
      <c r="D185" s="1030"/>
      <c r="E185" s="912"/>
      <c r="F185" s="912"/>
      <c r="G185" s="1041"/>
      <c r="H185" s="820"/>
      <c r="I185" s="1030"/>
      <c r="J185" s="912"/>
      <c r="K185" s="912"/>
      <c r="L185" s="1041"/>
      <c r="M185" s="820"/>
      <c r="N185" s="1030"/>
      <c r="O185" s="912"/>
      <c r="P185" s="912"/>
      <c r="Q185" s="1041"/>
      <c r="R185" s="820"/>
      <c r="S185" s="1030"/>
      <c r="T185" s="912"/>
      <c r="U185" s="912"/>
      <c r="V185" s="912"/>
      <c r="W185" s="398"/>
      <c r="X185" s="2787"/>
      <c r="Y185" s="2791"/>
      <c r="Z185" s="2791"/>
      <c r="AA185" s="2791">
        <v>1</v>
      </c>
      <c r="AB185" s="398">
        <f t="shared" ref="AB185:AG185" si="430">+AA185</f>
        <v>1</v>
      </c>
      <c r="AC185" s="2944">
        <f t="shared" si="430"/>
        <v>1</v>
      </c>
      <c r="AD185" s="406">
        <f t="shared" si="420"/>
        <v>1.0249999999999999</v>
      </c>
      <c r="AE185" s="3665">
        <v>1</v>
      </c>
      <c r="AF185" s="3665">
        <v>1</v>
      </c>
      <c r="AG185" s="398">
        <f t="shared" si="430"/>
        <v>1</v>
      </c>
      <c r="AH185" s="406">
        <f t="shared" ref="AH185" si="431">+AG185</f>
        <v>1</v>
      </c>
      <c r="AI185" s="406">
        <f t="shared" ref="AI185" si="432">+AH185</f>
        <v>1</v>
      </c>
      <c r="AJ185" s="406">
        <f t="shared" ref="AJ185" si="433">+AI185</f>
        <v>1</v>
      </c>
      <c r="AK185" s="820">
        <f t="shared" ref="AK185:AL185" si="434">+AJ185</f>
        <v>1</v>
      </c>
      <c r="AL185" s="398">
        <f t="shared" si="434"/>
        <v>1</v>
      </c>
      <c r="AM185" s="398">
        <f>AL185</f>
        <v>1</v>
      </c>
      <c r="AN185" s="398">
        <f>AM185</f>
        <v>1</v>
      </c>
    </row>
    <row r="186" spans="1:40">
      <c r="A186" s="130" t="str">
        <f>A$12</f>
        <v>Hilton Hotels &amp; Resorts (Upper Up)</v>
      </c>
      <c r="B186" s="1030">
        <v>18</v>
      </c>
      <c r="C186" s="508">
        <v>21</v>
      </c>
      <c r="D186" s="1030">
        <v>20</v>
      </c>
      <c r="E186" s="912">
        <v>21</v>
      </c>
      <c r="F186" s="912">
        <v>21</v>
      </c>
      <c r="G186" s="1041">
        <v>19</v>
      </c>
      <c r="H186" s="820">
        <f t="shared" si="428"/>
        <v>19</v>
      </c>
      <c r="I186" s="1030">
        <v>19</v>
      </c>
      <c r="J186" s="912">
        <v>21</v>
      </c>
      <c r="K186" s="912">
        <v>21</v>
      </c>
      <c r="L186" s="1041">
        <v>21</v>
      </c>
      <c r="M186" s="820">
        <f t="shared" si="429"/>
        <v>21</v>
      </c>
      <c r="N186" s="1030">
        <v>21</v>
      </c>
      <c r="O186" s="912">
        <v>20</v>
      </c>
      <c r="P186" s="912">
        <v>21</v>
      </c>
      <c r="Q186" s="1041">
        <v>27</v>
      </c>
      <c r="R186" s="820">
        <f t="shared" si="417"/>
        <v>27</v>
      </c>
      <c r="S186" s="1030">
        <v>26</v>
      </c>
      <c r="T186" s="912">
        <v>27</v>
      </c>
      <c r="U186" s="912">
        <v>27</v>
      </c>
      <c r="V186" s="912">
        <v>28</v>
      </c>
      <c r="W186" s="398">
        <f t="shared" si="418"/>
        <v>28</v>
      </c>
      <c r="X186" s="2791">
        <v>37</v>
      </c>
      <c r="Y186" s="2791">
        <v>38</v>
      </c>
      <c r="Z186" s="2791">
        <v>40</v>
      </c>
      <c r="AA186" s="2791">
        <v>31</v>
      </c>
      <c r="AB186" s="398">
        <f t="shared" si="419"/>
        <v>31</v>
      </c>
      <c r="AC186" s="406">
        <f>AA186*(1+AC$913)</f>
        <v>31.464999999999996</v>
      </c>
      <c r="AD186" s="406">
        <f>AC186*(1+AD$913)</f>
        <v>32.25162499999999</v>
      </c>
      <c r="AE186" s="3665">
        <v>32</v>
      </c>
      <c r="AF186" s="3665">
        <v>33</v>
      </c>
      <c r="AG186" s="398">
        <f t="shared" si="421"/>
        <v>33</v>
      </c>
      <c r="AH186" s="406">
        <f t="shared" ref="AH186:AK186" si="435">AG186*(1+AH$913)</f>
        <v>33.33</v>
      </c>
      <c r="AI186" s="406">
        <f t="shared" si="435"/>
        <v>33.6633</v>
      </c>
      <c r="AJ186" s="406">
        <f t="shared" si="435"/>
        <v>34.168249499999995</v>
      </c>
      <c r="AK186" s="820">
        <f t="shared" si="435"/>
        <v>34.680773242499988</v>
      </c>
      <c r="AL186" s="820">
        <f t="shared" si="426"/>
        <v>34.680773242499988</v>
      </c>
      <c r="AM186" s="398">
        <f>AL186*(1+AM$912)</f>
        <v>36.761619637049989</v>
      </c>
      <c r="AN186" s="398">
        <f>AM186*(1+AN$912)</f>
        <v>38.599700618902489</v>
      </c>
    </row>
    <row r="187" spans="1:40">
      <c r="A187" s="130" t="str">
        <f>A$13</f>
        <v xml:space="preserve">Curio - A Collection by Hilton </v>
      </c>
      <c r="B187" s="1030"/>
      <c r="C187" s="508"/>
      <c r="D187" s="1030"/>
      <c r="E187" s="912"/>
      <c r="F187" s="912"/>
      <c r="G187" s="1041"/>
      <c r="H187" s="820"/>
      <c r="I187" s="1030"/>
      <c r="J187" s="912"/>
      <c r="K187" s="912"/>
      <c r="L187" s="1041"/>
      <c r="M187" s="820"/>
      <c r="N187" s="1030"/>
      <c r="O187" s="912"/>
      <c r="P187" s="912"/>
      <c r="Q187" s="1041"/>
      <c r="R187" s="820"/>
      <c r="S187" s="1030">
        <v>0</v>
      </c>
      <c r="T187" s="912">
        <v>0</v>
      </c>
      <c r="U187" s="912">
        <v>1</v>
      </c>
      <c r="V187" s="912">
        <v>1</v>
      </c>
      <c r="W187" s="398">
        <f t="shared" si="418"/>
        <v>1</v>
      </c>
      <c r="X187" s="2791">
        <v>1</v>
      </c>
      <c r="Y187" s="2791">
        <v>1</v>
      </c>
      <c r="Z187" s="2791">
        <v>2</v>
      </c>
      <c r="AA187" s="2791">
        <v>2</v>
      </c>
      <c r="AB187" s="398">
        <f t="shared" si="419"/>
        <v>2</v>
      </c>
      <c r="AC187" s="406">
        <f>AA187*(1+AC$884)</f>
        <v>2.02</v>
      </c>
      <c r="AD187" s="406">
        <f>AC187*(1+AD$884)</f>
        <v>2.0398550197959771</v>
      </c>
      <c r="AE187" s="3665">
        <v>5</v>
      </c>
      <c r="AF187" s="3665">
        <v>6</v>
      </c>
      <c r="AG187" s="398">
        <f t="shared" si="421"/>
        <v>6</v>
      </c>
      <c r="AH187" s="406">
        <f t="shared" ref="AH187:AK187" si="436">AG187*(1+AH$884)</f>
        <v>6.09</v>
      </c>
      <c r="AI187" s="406">
        <f t="shared" si="436"/>
        <v>6.1813499999999992</v>
      </c>
      <c r="AJ187" s="406">
        <f t="shared" si="436"/>
        <v>6.2740702499999985</v>
      </c>
      <c r="AK187" s="820">
        <f t="shared" si="436"/>
        <v>6.3681813037499975</v>
      </c>
      <c r="AL187" s="820">
        <f t="shared" si="426"/>
        <v>6.3681813037499975</v>
      </c>
      <c r="AM187" s="398">
        <f>AL187*(1+AM$883)</f>
        <v>6.6547494624187467</v>
      </c>
      <c r="AN187" s="398">
        <f>AM187*(1+AN$883)</f>
        <v>6.854391946291309</v>
      </c>
    </row>
    <row r="188" spans="1:40">
      <c r="A188" s="130" t="str">
        <f>A$14</f>
        <v>DoubleTree by Hilton (Upscale)</v>
      </c>
      <c r="B188" s="1030">
        <v>14</v>
      </c>
      <c r="C188" s="508">
        <v>23</v>
      </c>
      <c r="D188" s="1030">
        <v>24</v>
      </c>
      <c r="E188" s="912">
        <v>24</v>
      </c>
      <c r="F188" s="912">
        <v>25</v>
      </c>
      <c r="G188" s="1041">
        <v>28</v>
      </c>
      <c r="H188" s="820">
        <f t="shared" si="428"/>
        <v>28</v>
      </c>
      <c r="I188" s="1030">
        <v>30</v>
      </c>
      <c r="J188" s="912">
        <v>34</v>
      </c>
      <c r="K188" s="912">
        <v>36</v>
      </c>
      <c r="L188" s="1041">
        <v>34</v>
      </c>
      <c r="M188" s="820">
        <f t="shared" si="429"/>
        <v>34</v>
      </c>
      <c r="N188" s="1030">
        <v>35</v>
      </c>
      <c r="O188" s="912">
        <v>38</v>
      </c>
      <c r="P188" s="912">
        <v>40</v>
      </c>
      <c r="Q188" s="1041">
        <v>41</v>
      </c>
      <c r="R188" s="820">
        <f t="shared" si="417"/>
        <v>41</v>
      </c>
      <c r="S188" s="1030">
        <v>42</v>
      </c>
      <c r="T188" s="912">
        <v>46</v>
      </c>
      <c r="U188" s="912">
        <v>52</v>
      </c>
      <c r="V188" s="912">
        <v>56</v>
      </c>
      <c r="W188" s="398">
        <f t="shared" si="418"/>
        <v>56</v>
      </c>
      <c r="X188" s="2791">
        <v>59</v>
      </c>
      <c r="Y188" s="2791">
        <v>61</v>
      </c>
      <c r="Z188" s="2791">
        <v>63</v>
      </c>
      <c r="AA188" s="2791">
        <v>74</v>
      </c>
      <c r="AB188" s="398">
        <f t="shared" si="419"/>
        <v>74</v>
      </c>
      <c r="AC188" s="406">
        <f>AA188*(1+AC$913)</f>
        <v>75.11</v>
      </c>
      <c r="AD188" s="406">
        <f t="shared" ref="AD188:AF192" si="437">AC188*(1+AD$913)</f>
        <v>76.987749999999991</v>
      </c>
      <c r="AE188" s="3665">
        <v>80</v>
      </c>
      <c r="AF188" s="3665">
        <v>81</v>
      </c>
      <c r="AG188" s="398">
        <f t="shared" si="421"/>
        <v>81</v>
      </c>
      <c r="AH188" s="406">
        <f t="shared" ref="AH188:AH195" si="438">AG188*(1+AH$913)</f>
        <v>81.81</v>
      </c>
      <c r="AI188" s="406">
        <f t="shared" ref="AI188:AI195" si="439">AH188*(1+AI$913)</f>
        <v>82.628100000000003</v>
      </c>
      <c r="AJ188" s="406">
        <f t="shared" ref="AJ188:AJ195" si="440">AI188*(1+AJ$913)</f>
        <v>83.867521499999995</v>
      </c>
      <c r="AK188" s="820">
        <f t="shared" ref="AK188:AK195" si="441">AJ188*(1+AK$913)</f>
        <v>85.125534322499988</v>
      </c>
      <c r="AL188" s="820">
        <f t="shared" si="426"/>
        <v>85.125534322499988</v>
      </c>
      <c r="AM188" s="398">
        <f t="shared" ref="AM188:AN192" si="442">AL188*(1+AM$912)</f>
        <v>90.233066381849994</v>
      </c>
      <c r="AN188" s="398">
        <f t="shared" si="442"/>
        <v>94.744719700942497</v>
      </c>
    </row>
    <row r="189" spans="1:40">
      <c r="A189" s="130" t="str">
        <f>A$15</f>
        <v>Embassy Suites Hotels (Upper Up)</v>
      </c>
      <c r="B189" s="1030">
        <v>0</v>
      </c>
      <c r="C189" s="508">
        <v>0</v>
      </c>
      <c r="D189" s="1030">
        <v>0</v>
      </c>
      <c r="E189" s="912">
        <v>0</v>
      </c>
      <c r="F189" s="912">
        <v>0</v>
      </c>
      <c r="G189" s="1041">
        <v>0</v>
      </c>
      <c r="H189" s="820">
        <f t="shared" si="428"/>
        <v>0</v>
      </c>
      <c r="I189" s="1030">
        <v>0</v>
      </c>
      <c r="J189" s="912">
        <v>0</v>
      </c>
      <c r="K189" s="912">
        <v>0</v>
      </c>
      <c r="L189" s="1041">
        <v>0</v>
      </c>
      <c r="M189" s="820">
        <f t="shared" si="429"/>
        <v>0</v>
      </c>
      <c r="N189" s="1030">
        <v>0</v>
      </c>
      <c r="O189" s="912">
        <v>0</v>
      </c>
      <c r="P189" s="912">
        <v>0</v>
      </c>
      <c r="Q189" s="1041">
        <v>0</v>
      </c>
      <c r="R189" s="820">
        <f t="shared" si="417"/>
        <v>0</v>
      </c>
      <c r="S189" s="1030">
        <v>0</v>
      </c>
      <c r="T189" s="912">
        <v>0</v>
      </c>
      <c r="U189" s="912">
        <v>0</v>
      </c>
      <c r="V189" s="912">
        <v>0</v>
      </c>
      <c r="W189" s="398">
        <f t="shared" si="418"/>
        <v>0</v>
      </c>
      <c r="X189" s="2791">
        <v>0</v>
      </c>
      <c r="Y189" s="2791">
        <v>0</v>
      </c>
      <c r="Z189" s="2791">
        <v>0</v>
      </c>
      <c r="AA189" s="2791">
        <v>0</v>
      </c>
      <c r="AB189" s="398">
        <f t="shared" si="419"/>
        <v>0</v>
      </c>
      <c r="AC189" s="406">
        <f>AA189*(1+AC$913)</f>
        <v>0</v>
      </c>
      <c r="AD189" s="406">
        <f t="shared" si="437"/>
        <v>0</v>
      </c>
      <c r="AE189" s="3665">
        <f t="shared" si="437"/>
        <v>0</v>
      </c>
      <c r="AF189" s="406">
        <f t="shared" si="437"/>
        <v>0</v>
      </c>
      <c r="AG189" s="398">
        <f t="shared" si="421"/>
        <v>0</v>
      </c>
      <c r="AH189" s="406">
        <f t="shared" si="438"/>
        <v>0</v>
      </c>
      <c r="AI189" s="406">
        <f t="shared" si="439"/>
        <v>0</v>
      </c>
      <c r="AJ189" s="406">
        <f t="shared" si="440"/>
        <v>0</v>
      </c>
      <c r="AK189" s="820">
        <f t="shared" si="441"/>
        <v>0</v>
      </c>
      <c r="AL189" s="820">
        <f t="shared" si="426"/>
        <v>0</v>
      </c>
      <c r="AM189" s="398">
        <f t="shared" si="442"/>
        <v>0</v>
      </c>
      <c r="AN189" s="398">
        <f t="shared" si="442"/>
        <v>0</v>
      </c>
    </row>
    <row r="190" spans="1:40">
      <c r="A190" s="130" t="str">
        <f>A$16</f>
        <v>Hilton Garden Inn (Upscale)</v>
      </c>
      <c r="B190" s="1030">
        <v>9</v>
      </c>
      <c r="C190" s="508">
        <v>8</v>
      </c>
      <c r="D190" s="1030">
        <v>7</v>
      </c>
      <c r="E190" s="912">
        <v>8</v>
      </c>
      <c r="F190" s="912">
        <v>9</v>
      </c>
      <c r="G190" s="1041">
        <v>9</v>
      </c>
      <c r="H190" s="820">
        <f t="shared" si="428"/>
        <v>9</v>
      </c>
      <c r="I190" s="1030">
        <v>10</v>
      </c>
      <c r="J190" s="912">
        <v>12</v>
      </c>
      <c r="K190" s="912">
        <v>12</v>
      </c>
      <c r="L190" s="1041">
        <v>12</v>
      </c>
      <c r="M190" s="820">
        <f t="shared" si="429"/>
        <v>12</v>
      </c>
      <c r="N190" s="1030">
        <v>12</v>
      </c>
      <c r="O190" s="912">
        <v>12</v>
      </c>
      <c r="P190" s="912">
        <v>13</v>
      </c>
      <c r="Q190" s="1041">
        <v>17</v>
      </c>
      <c r="R190" s="820">
        <f t="shared" si="417"/>
        <v>17</v>
      </c>
      <c r="S190" s="1030">
        <v>17</v>
      </c>
      <c r="T190" s="912">
        <v>24</v>
      </c>
      <c r="U190" s="912">
        <v>26</v>
      </c>
      <c r="V190" s="912">
        <v>27</v>
      </c>
      <c r="W190" s="398">
        <f t="shared" si="418"/>
        <v>27</v>
      </c>
      <c r="X190" s="2791">
        <v>27</v>
      </c>
      <c r="Y190" s="2791">
        <v>30</v>
      </c>
      <c r="Z190" s="2791">
        <v>32</v>
      </c>
      <c r="AA190" s="2791">
        <v>32</v>
      </c>
      <c r="AB190" s="398">
        <f t="shared" si="419"/>
        <v>32</v>
      </c>
      <c r="AC190" s="406">
        <f>AA190*(1+AC$913)</f>
        <v>32.479999999999997</v>
      </c>
      <c r="AD190" s="406">
        <f t="shared" si="437"/>
        <v>33.291999999999994</v>
      </c>
      <c r="AE190" s="3665">
        <v>36</v>
      </c>
      <c r="AF190" s="3665">
        <v>38</v>
      </c>
      <c r="AG190" s="398">
        <f t="shared" si="421"/>
        <v>38</v>
      </c>
      <c r="AH190" s="406">
        <f t="shared" si="438"/>
        <v>38.380000000000003</v>
      </c>
      <c r="AI190" s="406">
        <f t="shared" si="439"/>
        <v>38.763800000000003</v>
      </c>
      <c r="AJ190" s="406">
        <f t="shared" si="440"/>
        <v>39.345256999999997</v>
      </c>
      <c r="AK190" s="820">
        <f t="shared" si="441"/>
        <v>39.935435854999994</v>
      </c>
      <c r="AL190" s="820">
        <f t="shared" si="426"/>
        <v>39.935435854999994</v>
      </c>
      <c r="AM190" s="398">
        <f t="shared" si="442"/>
        <v>42.331562006299997</v>
      </c>
      <c r="AN190" s="398">
        <f t="shared" si="442"/>
        <v>44.448140106615</v>
      </c>
    </row>
    <row r="191" spans="1:40">
      <c r="A191" s="130" t="str">
        <f>A$17</f>
        <v>Hampton Inn (Upper Mid)</v>
      </c>
      <c r="B191" s="1030">
        <v>6</v>
      </c>
      <c r="C191" s="508">
        <v>7</v>
      </c>
      <c r="D191" s="1030">
        <v>9</v>
      </c>
      <c r="E191" s="912">
        <v>11</v>
      </c>
      <c r="F191" s="912">
        <v>11</v>
      </c>
      <c r="G191" s="1041">
        <v>12</v>
      </c>
      <c r="H191" s="820">
        <f t="shared" si="428"/>
        <v>12</v>
      </c>
      <c r="I191" s="1030">
        <v>12</v>
      </c>
      <c r="J191" s="912">
        <v>15</v>
      </c>
      <c r="K191" s="912">
        <v>17</v>
      </c>
      <c r="L191" s="1041">
        <v>19</v>
      </c>
      <c r="M191" s="820">
        <f t="shared" si="429"/>
        <v>19</v>
      </c>
      <c r="N191" s="1030">
        <v>23</v>
      </c>
      <c r="O191" s="912">
        <v>23</v>
      </c>
      <c r="P191" s="912">
        <v>23</v>
      </c>
      <c r="Q191" s="1041">
        <v>24</v>
      </c>
      <c r="R191" s="820">
        <f t="shared" si="417"/>
        <v>24</v>
      </c>
      <c r="S191" s="1030">
        <v>25</v>
      </c>
      <c r="T191" s="912">
        <v>27</v>
      </c>
      <c r="U191" s="912">
        <v>29</v>
      </c>
      <c r="V191" s="912">
        <v>30</v>
      </c>
      <c r="W191" s="398">
        <f t="shared" si="418"/>
        <v>30</v>
      </c>
      <c r="X191" s="2791">
        <v>31</v>
      </c>
      <c r="Y191" s="2791">
        <v>33</v>
      </c>
      <c r="Z191" s="2791">
        <v>34</v>
      </c>
      <c r="AA191" s="2791">
        <v>35</v>
      </c>
      <c r="AB191" s="398">
        <f t="shared" si="419"/>
        <v>35</v>
      </c>
      <c r="AC191" s="406">
        <f>AA191*(1+AC$913)</f>
        <v>35.524999999999999</v>
      </c>
      <c r="AD191" s="406">
        <f t="shared" si="437"/>
        <v>36.413124999999994</v>
      </c>
      <c r="AE191" s="3665">
        <v>50</v>
      </c>
      <c r="AF191" s="3665">
        <v>52</v>
      </c>
      <c r="AG191" s="398">
        <f t="shared" si="421"/>
        <v>52</v>
      </c>
      <c r="AH191" s="406">
        <f t="shared" si="438"/>
        <v>52.52</v>
      </c>
      <c r="AI191" s="406">
        <f t="shared" si="439"/>
        <v>53.045200000000001</v>
      </c>
      <c r="AJ191" s="406">
        <f t="shared" si="440"/>
        <v>53.840877999999996</v>
      </c>
      <c r="AK191" s="820">
        <f t="shared" si="441"/>
        <v>54.648491169999993</v>
      </c>
      <c r="AL191" s="820">
        <f t="shared" si="426"/>
        <v>54.648491169999993</v>
      </c>
      <c r="AM191" s="398">
        <f t="shared" si="442"/>
        <v>57.927400640199998</v>
      </c>
      <c r="AN191" s="398">
        <f t="shared" si="442"/>
        <v>60.823770672210003</v>
      </c>
    </row>
    <row r="192" spans="1:40">
      <c r="A192" s="130" t="s">
        <v>1408</v>
      </c>
      <c r="B192" s="1030">
        <v>0</v>
      </c>
      <c r="C192" s="508">
        <v>0</v>
      </c>
      <c r="D192" s="1030">
        <v>0</v>
      </c>
      <c r="E192" s="912">
        <v>0</v>
      </c>
      <c r="F192" s="912">
        <v>0</v>
      </c>
      <c r="G192" s="1041">
        <v>0</v>
      </c>
      <c r="H192" s="820">
        <f t="shared" si="428"/>
        <v>0</v>
      </c>
      <c r="I192" s="1030">
        <v>0</v>
      </c>
      <c r="J192" s="912">
        <v>0</v>
      </c>
      <c r="K192" s="912">
        <v>0</v>
      </c>
      <c r="L192" s="1041">
        <v>0</v>
      </c>
      <c r="M192" s="820">
        <f t="shared" si="429"/>
        <v>0</v>
      </c>
      <c r="N192" s="1030">
        <v>0</v>
      </c>
      <c r="O192" s="912">
        <v>0</v>
      </c>
      <c r="P192" s="912">
        <v>0</v>
      </c>
      <c r="Q192" s="1041">
        <v>0</v>
      </c>
      <c r="R192" s="820">
        <f t="shared" si="417"/>
        <v>0</v>
      </c>
      <c r="S192" s="1030">
        <v>0</v>
      </c>
      <c r="T192" s="912">
        <v>0</v>
      </c>
      <c r="U192" s="912">
        <v>0</v>
      </c>
      <c r="V192" s="912">
        <v>0</v>
      </c>
      <c r="W192" s="398">
        <f t="shared" si="418"/>
        <v>0</v>
      </c>
      <c r="X192" s="2791">
        <v>0</v>
      </c>
      <c r="Y192" s="2791">
        <v>0</v>
      </c>
      <c r="Z192" s="2791">
        <v>0</v>
      </c>
      <c r="AA192" s="2791">
        <v>0</v>
      </c>
      <c r="AB192" s="398">
        <f t="shared" si="419"/>
        <v>0</v>
      </c>
      <c r="AC192" s="406">
        <f>AA192*(1+AC$913)</f>
        <v>0</v>
      </c>
      <c r="AD192" s="406">
        <f t="shared" si="437"/>
        <v>0</v>
      </c>
      <c r="AE192" s="3665">
        <f t="shared" si="437"/>
        <v>0</v>
      </c>
      <c r="AF192" s="820">
        <f t="shared" si="437"/>
        <v>0</v>
      </c>
      <c r="AG192" s="820">
        <f t="shared" si="421"/>
        <v>0</v>
      </c>
      <c r="AH192" s="406">
        <f t="shared" si="438"/>
        <v>0</v>
      </c>
      <c r="AI192" s="406">
        <f t="shared" si="439"/>
        <v>0</v>
      </c>
      <c r="AJ192" s="406">
        <f t="shared" si="440"/>
        <v>0</v>
      </c>
      <c r="AK192" s="820">
        <f t="shared" si="441"/>
        <v>0</v>
      </c>
      <c r="AL192" s="820">
        <f t="shared" si="426"/>
        <v>0</v>
      </c>
      <c r="AM192" s="398">
        <f t="shared" si="442"/>
        <v>0</v>
      </c>
      <c r="AN192" s="398">
        <f t="shared" si="442"/>
        <v>0</v>
      </c>
    </row>
    <row r="193" spans="1:40">
      <c r="A193" s="130" t="str">
        <f>$A$90</f>
        <v>Tru by Hilton</v>
      </c>
      <c r="B193" s="1030"/>
      <c r="C193" s="508"/>
      <c r="D193" s="1030"/>
      <c r="E193" s="912"/>
      <c r="F193" s="912"/>
      <c r="G193" s="1041"/>
      <c r="H193" s="820"/>
      <c r="I193" s="1030"/>
      <c r="J193" s="912"/>
      <c r="K193" s="912"/>
      <c r="L193" s="1041"/>
      <c r="M193" s="820"/>
      <c r="N193" s="1030"/>
      <c r="O193" s="912"/>
      <c r="P193" s="912"/>
      <c r="Q193" s="1041"/>
      <c r="R193" s="820"/>
      <c r="S193" s="1030"/>
      <c r="T193" s="912"/>
      <c r="U193" s="912"/>
      <c r="V193" s="912"/>
      <c r="W193" s="398"/>
      <c r="X193" s="2791"/>
      <c r="Y193" s="2791"/>
      <c r="Z193" s="2791"/>
      <c r="AA193" s="2791"/>
      <c r="AB193" s="398"/>
      <c r="AC193" s="406">
        <f t="shared" ref="AC193:AC194" si="443">AA193*(1+AC$913)</f>
        <v>0</v>
      </c>
      <c r="AD193" s="406">
        <f t="shared" ref="AD193:AF193" si="444">AC193*(1+AD$913)</f>
        <v>0</v>
      </c>
      <c r="AE193" s="3665">
        <f t="shared" si="444"/>
        <v>0</v>
      </c>
      <c r="AF193" s="820">
        <f t="shared" si="444"/>
        <v>0</v>
      </c>
      <c r="AG193" s="820">
        <f t="shared" ref="AG193:AG194" si="445">AF193</f>
        <v>0</v>
      </c>
      <c r="AH193" s="406">
        <f t="shared" si="438"/>
        <v>0</v>
      </c>
      <c r="AI193" s="406">
        <f t="shared" si="439"/>
        <v>0</v>
      </c>
      <c r="AJ193" s="406">
        <f t="shared" si="440"/>
        <v>0</v>
      </c>
      <c r="AK193" s="820">
        <f t="shared" si="441"/>
        <v>0</v>
      </c>
      <c r="AL193" s="820">
        <f t="shared" si="426"/>
        <v>0</v>
      </c>
      <c r="AM193" s="398">
        <f t="shared" ref="AM193:AN193" si="446">AL193*(1+AM$912)</f>
        <v>0</v>
      </c>
      <c r="AN193" s="398">
        <f t="shared" si="446"/>
        <v>0</v>
      </c>
    </row>
    <row r="194" spans="1:40">
      <c r="A194" s="130" t="str">
        <f>$A$91</f>
        <v>Tapestry Collection by Hilton</v>
      </c>
      <c r="B194" s="1030"/>
      <c r="C194" s="508"/>
      <c r="D194" s="1030"/>
      <c r="E194" s="912"/>
      <c r="F194" s="912"/>
      <c r="G194" s="1041"/>
      <c r="H194" s="820"/>
      <c r="I194" s="1030"/>
      <c r="J194" s="912"/>
      <c r="K194" s="912"/>
      <c r="L194" s="1041"/>
      <c r="M194" s="820"/>
      <c r="N194" s="1030"/>
      <c r="O194" s="912"/>
      <c r="P194" s="912"/>
      <c r="Q194" s="1041"/>
      <c r="R194" s="820"/>
      <c r="S194" s="1030"/>
      <c r="T194" s="912"/>
      <c r="U194" s="912"/>
      <c r="V194" s="912"/>
      <c r="W194" s="398"/>
      <c r="X194" s="2791"/>
      <c r="Y194" s="2791"/>
      <c r="Z194" s="2791"/>
      <c r="AA194" s="2791"/>
      <c r="AB194" s="398"/>
      <c r="AC194" s="406">
        <f t="shared" si="443"/>
        <v>0</v>
      </c>
      <c r="AD194" s="406">
        <f t="shared" ref="AD194:AF194" si="447">AC194*(1+AD$913)</f>
        <v>0</v>
      </c>
      <c r="AE194" s="3665">
        <f t="shared" si="447"/>
        <v>0</v>
      </c>
      <c r="AF194" s="820">
        <f t="shared" si="447"/>
        <v>0</v>
      </c>
      <c r="AG194" s="820">
        <f t="shared" si="445"/>
        <v>0</v>
      </c>
      <c r="AH194" s="406">
        <f t="shared" si="438"/>
        <v>0</v>
      </c>
      <c r="AI194" s="406">
        <f t="shared" si="439"/>
        <v>0</v>
      </c>
      <c r="AJ194" s="406">
        <f t="shared" si="440"/>
        <v>0</v>
      </c>
      <c r="AK194" s="820">
        <f t="shared" si="441"/>
        <v>0</v>
      </c>
      <c r="AL194" s="820">
        <f t="shared" si="426"/>
        <v>0</v>
      </c>
      <c r="AM194" s="398">
        <f t="shared" ref="AM194:AN194" si="448">AL194*(1+AM$912)</f>
        <v>0</v>
      </c>
      <c r="AN194" s="398">
        <f t="shared" si="448"/>
        <v>0</v>
      </c>
    </row>
    <row r="195" spans="1:40" s="5" customFormat="1" ht="15" collapsed="1">
      <c r="A195" s="402" t="str">
        <f>A$21</f>
        <v>Homewood Suites by Hilton (Upscale)</v>
      </c>
      <c r="B195" s="1031">
        <v>0</v>
      </c>
      <c r="C195" s="1029">
        <v>0</v>
      </c>
      <c r="D195" s="1031">
        <v>0</v>
      </c>
      <c r="E195" s="1039">
        <v>0</v>
      </c>
      <c r="F195" s="1039">
        <v>0</v>
      </c>
      <c r="G195" s="1042">
        <v>0</v>
      </c>
      <c r="H195" s="700">
        <f t="shared" si="428"/>
        <v>0</v>
      </c>
      <c r="I195" s="1031">
        <v>0</v>
      </c>
      <c r="J195" s="1039">
        <v>0</v>
      </c>
      <c r="K195" s="1039">
        <v>0</v>
      </c>
      <c r="L195" s="1042">
        <v>0</v>
      </c>
      <c r="M195" s="700">
        <f t="shared" si="429"/>
        <v>0</v>
      </c>
      <c r="N195" s="1031">
        <v>0</v>
      </c>
      <c r="O195" s="1039">
        <v>0</v>
      </c>
      <c r="P195" s="1039">
        <v>0</v>
      </c>
      <c r="Q195" s="1042">
        <v>0</v>
      </c>
      <c r="R195" s="1711">
        <f t="shared" si="417"/>
        <v>0</v>
      </c>
      <c r="S195" s="1031">
        <v>0</v>
      </c>
      <c r="T195" s="1039">
        <v>0</v>
      </c>
      <c r="U195" s="1039">
        <v>0</v>
      </c>
      <c r="V195" s="1039">
        <v>0</v>
      </c>
      <c r="W195" s="1713">
        <f t="shared" si="418"/>
        <v>0</v>
      </c>
      <c r="X195" s="2793">
        <v>0</v>
      </c>
      <c r="Y195" s="2793">
        <v>0</v>
      </c>
      <c r="Z195" s="2793">
        <v>0</v>
      </c>
      <c r="AA195" s="2793">
        <v>0</v>
      </c>
      <c r="AB195" s="1713">
        <f t="shared" si="419"/>
        <v>0</v>
      </c>
      <c r="AC195" s="1712">
        <f>AA195*(1+AC$913)</f>
        <v>0</v>
      </c>
      <c r="AD195" s="1712">
        <f>AC195*(1+AD$913)</f>
        <v>0</v>
      </c>
      <c r="AE195" s="4001">
        <f>AD195*(1+AE$913)</f>
        <v>0</v>
      </c>
      <c r="AF195" s="1711">
        <f>AE195*(1+AF$913)</f>
        <v>0</v>
      </c>
      <c r="AG195" s="1711">
        <f t="shared" si="421"/>
        <v>0</v>
      </c>
      <c r="AH195" s="1712">
        <f t="shared" si="438"/>
        <v>0</v>
      </c>
      <c r="AI195" s="1712">
        <f t="shared" si="439"/>
        <v>0</v>
      </c>
      <c r="AJ195" s="1712">
        <f t="shared" si="440"/>
        <v>0</v>
      </c>
      <c r="AK195" s="1711">
        <f t="shared" si="441"/>
        <v>0</v>
      </c>
      <c r="AL195" s="1711">
        <f t="shared" si="426"/>
        <v>0</v>
      </c>
      <c r="AM195" s="1713">
        <f>AL195*(1+AM$912)</f>
        <v>0</v>
      </c>
      <c r="AN195" s="1713">
        <f>AM195*(1+AN$912)</f>
        <v>0</v>
      </c>
    </row>
    <row r="196" spans="1:40">
      <c r="A196" s="482" t="s">
        <v>1687</v>
      </c>
      <c r="B196" s="1032">
        <f>SUM(B183:B195)</f>
        <v>48</v>
      </c>
      <c r="C196" s="400">
        <f>SUM(C183:C195)</f>
        <v>59</v>
      </c>
      <c r="D196" s="1032">
        <f t="shared" ref="D196:K196" si="449">SUM(D183:D195)</f>
        <v>60</v>
      </c>
      <c r="E196" s="405">
        <f t="shared" si="449"/>
        <v>64</v>
      </c>
      <c r="F196" s="405">
        <f t="shared" si="449"/>
        <v>66</v>
      </c>
      <c r="G196" s="821">
        <f t="shared" si="449"/>
        <v>68</v>
      </c>
      <c r="H196" s="821">
        <f t="shared" si="449"/>
        <v>68</v>
      </c>
      <c r="I196" s="1032">
        <f t="shared" si="449"/>
        <v>71</v>
      </c>
      <c r="J196" s="405">
        <f t="shared" si="449"/>
        <v>82</v>
      </c>
      <c r="K196" s="405">
        <f t="shared" si="449"/>
        <v>86</v>
      </c>
      <c r="L196" s="821">
        <f>SUM(L183:L195)</f>
        <v>86</v>
      </c>
      <c r="M196" s="821">
        <f>SUM(M183:M195)</f>
        <v>86</v>
      </c>
      <c r="N196" s="1032">
        <f t="shared" ref="N196:T196" si="450">SUM(N183:N195)</f>
        <v>91</v>
      </c>
      <c r="O196" s="405">
        <f t="shared" si="450"/>
        <v>93</v>
      </c>
      <c r="P196" s="405">
        <f>SUM(P183:P195)</f>
        <v>98</v>
      </c>
      <c r="Q196" s="821">
        <f>SUM(Q183:Q195)</f>
        <v>110</v>
      </c>
      <c r="R196" s="821">
        <f t="shared" si="450"/>
        <v>110</v>
      </c>
      <c r="S196" s="1032">
        <f>SUM(S183:S195)</f>
        <v>111</v>
      </c>
      <c r="T196" s="405">
        <f t="shared" si="450"/>
        <v>125</v>
      </c>
      <c r="U196" s="405">
        <f t="shared" ref="U196:AN196" si="451">SUM(U183:U195)</f>
        <v>136</v>
      </c>
      <c r="V196" s="405">
        <f t="shared" si="451"/>
        <v>143</v>
      </c>
      <c r="W196" s="400">
        <f t="shared" si="451"/>
        <v>143</v>
      </c>
      <c r="X196" s="399">
        <f t="shared" si="451"/>
        <v>156</v>
      </c>
      <c r="Y196" s="399">
        <f t="shared" si="451"/>
        <v>164</v>
      </c>
      <c r="Z196" s="399">
        <f>SUM(Z183:Z195)</f>
        <v>172</v>
      </c>
      <c r="AA196" s="399">
        <f>SUM(AA183:AA195)</f>
        <v>176</v>
      </c>
      <c r="AB196" s="400">
        <f t="shared" si="451"/>
        <v>176</v>
      </c>
      <c r="AC196" s="399">
        <f t="shared" si="451"/>
        <v>178.61500000000001</v>
      </c>
      <c r="AD196" s="399">
        <f t="shared" si="451"/>
        <v>183.04973001979596</v>
      </c>
      <c r="AE196" s="399">
        <f t="shared" si="451"/>
        <v>205</v>
      </c>
      <c r="AF196" s="821">
        <f t="shared" si="451"/>
        <v>211</v>
      </c>
      <c r="AG196" s="400">
        <f t="shared" si="451"/>
        <v>211</v>
      </c>
      <c r="AH196" s="399">
        <f t="shared" ref="AH196:AL196" si="452">SUM(AH183:AH195)</f>
        <v>213.13000000000002</v>
      </c>
      <c r="AI196" s="399">
        <f t="shared" si="452"/>
        <v>215.28175000000002</v>
      </c>
      <c r="AJ196" s="399">
        <f t="shared" si="452"/>
        <v>218.49597624999998</v>
      </c>
      <c r="AK196" s="821">
        <f t="shared" si="452"/>
        <v>221.75841589374997</v>
      </c>
      <c r="AL196" s="400">
        <f t="shared" si="452"/>
        <v>221.75841589374997</v>
      </c>
      <c r="AM196" s="821">
        <f t="shared" si="451"/>
        <v>234.90839812781874</v>
      </c>
      <c r="AN196" s="821">
        <f t="shared" si="451"/>
        <v>246.47072304496129</v>
      </c>
    </row>
    <row r="197" spans="1:40">
      <c r="A197" s="130"/>
      <c r="B197" s="1033"/>
      <c r="C197" s="398"/>
      <c r="D197" s="1033"/>
      <c r="E197" s="406"/>
      <c r="F197" s="406"/>
      <c r="G197" s="820"/>
      <c r="H197" s="820"/>
      <c r="I197" s="1033"/>
      <c r="J197" s="406"/>
      <c r="K197" s="406"/>
      <c r="L197" s="820"/>
      <c r="M197" s="820"/>
      <c r="N197" s="401"/>
      <c r="O197" s="401"/>
      <c r="P197" s="401"/>
      <c r="Q197" s="820"/>
      <c r="R197" s="398"/>
      <c r="S197" s="401"/>
      <c r="T197" s="401"/>
      <c r="U197" s="401"/>
      <c r="V197" s="406"/>
      <c r="W197" s="398"/>
      <c r="X197" s="401"/>
      <c r="Y197" s="401"/>
      <c r="Z197" s="401"/>
      <c r="AA197" s="401"/>
      <c r="AB197" s="398"/>
      <c r="AC197" s="401"/>
      <c r="AD197" s="401"/>
      <c r="AE197" s="401"/>
      <c r="AF197" s="820"/>
      <c r="AG197" s="398"/>
      <c r="AH197" s="401"/>
      <c r="AI197" s="401"/>
      <c r="AJ197" s="401"/>
      <c r="AK197" s="820"/>
      <c r="AL197" s="398"/>
      <c r="AM197" s="820"/>
      <c r="AN197" s="820"/>
    </row>
    <row r="198" spans="1:40">
      <c r="A198" s="295" t="s">
        <v>1786</v>
      </c>
      <c r="B198" s="1033"/>
      <c r="C198" s="398"/>
      <c r="D198" s="1033"/>
      <c r="E198" s="406"/>
      <c r="F198" s="406"/>
      <c r="G198" s="820"/>
      <c r="H198" s="820"/>
      <c r="I198" s="1033"/>
      <c r="J198" s="406"/>
      <c r="K198" s="406"/>
      <c r="L198" s="820"/>
      <c r="M198" s="820"/>
      <c r="N198" s="401"/>
      <c r="O198" s="401"/>
      <c r="P198" s="401"/>
      <c r="Q198" s="820"/>
      <c r="R198" s="398"/>
      <c r="S198" s="401"/>
      <c r="T198" s="401"/>
      <c r="U198" s="401"/>
      <c r="V198" s="406"/>
      <c r="W198" s="398"/>
      <c r="X198" s="401"/>
      <c r="Y198" s="401"/>
      <c r="Z198" s="401"/>
      <c r="AA198" s="401"/>
      <c r="AB198" s="398"/>
      <c r="AC198" s="401"/>
      <c r="AD198" s="401"/>
      <c r="AE198" s="401"/>
      <c r="AF198" s="820"/>
      <c r="AG198" s="398"/>
      <c r="AH198" s="401"/>
      <c r="AI198" s="401"/>
      <c r="AJ198" s="401"/>
      <c r="AK198" s="820"/>
      <c r="AL198" s="398"/>
      <c r="AM198" s="820"/>
      <c r="AN198" s="820"/>
    </row>
    <row r="199" spans="1:40">
      <c r="A199" s="130" t="str">
        <f>A$9</f>
        <v>Waldorf Astoria Hotels &amp; Resorts (Luxury)</v>
      </c>
      <c r="B199" s="1033">
        <f>B183+B167+B151</f>
        <v>4</v>
      </c>
      <c r="C199" s="398">
        <f>C183+C167+C151</f>
        <v>3</v>
      </c>
      <c r="D199" s="1033">
        <f t="shared" ref="D199:R199" si="453">D183+D167+D151</f>
        <v>3</v>
      </c>
      <c r="E199" s="406">
        <f t="shared" si="453"/>
        <v>3</v>
      </c>
      <c r="F199" s="406">
        <f t="shared" si="453"/>
        <v>4</v>
      </c>
      <c r="G199" s="820">
        <f t="shared" si="453"/>
        <v>5</v>
      </c>
      <c r="H199" s="820">
        <f t="shared" si="453"/>
        <v>5</v>
      </c>
      <c r="I199" s="1033">
        <f t="shared" si="453"/>
        <v>4</v>
      </c>
      <c r="J199" s="406">
        <f t="shared" si="453"/>
        <v>4</v>
      </c>
      <c r="K199" s="406">
        <f t="shared" si="453"/>
        <v>4</v>
      </c>
      <c r="L199" s="820">
        <f t="shared" ref="L199:N200" si="454">L183+L167+L151</f>
        <v>4</v>
      </c>
      <c r="M199" s="820">
        <f t="shared" si="454"/>
        <v>4</v>
      </c>
      <c r="N199" s="1033">
        <f t="shared" si="454"/>
        <v>4</v>
      </c>
      <c r="O199" s="401">
        <f t="shared" si="453"/>
        <v>6</v>
      </c>
      <c r="P199" s="401">
        <f t="shared" si="453"/>
        <v>6</v>
      </c>
      <c r="Q199" s="820">
        <f t="shared" si="453"/>
        <v>6</v>
      </c>
      <c r="R199" s="398">
        <f t="shared" si="453"/>
        <v>6</v>
      </c>
      <c r="S199" s="401">
        <f t="shared" ref="S199:AN199" si="455">S183+S167+S151</f>
        <v>6</v>
      </c>
      <c r="T199" s="401">
        <f t="shared" si="455"/>
        <v>6</v>
      </c>
      <c r="U199" s="401">
        <f t="shared" si="455"/>
        <v>6</v>
      </c>
      <c r="V199" s="406">
        <f t="shared" si="455"/>
        <v>6</v>
      </c>
      <c r="W199" s="398">
        <f t="shared" si="455"/>
        <v>6</v>
      </c>
      <c r="X199" s="401">
        <f t="shared" ref="X199" si="456">X183+X167+X151</f>
        <v>6</v>
      </c>
      <c r="Y199" s="401">
        <f t="shared" si="455"/>
        <v>6</v>
      </c>
      <c r="Z199" s="401">
        <f t="shared" si="455"/>
        <v>6</v>
      </c>
      <c r="AA199" s="401">
        <f t="shared" si="455"/>
        <v>6</v>
      </c>
      <c r="AB199" s="398">
        <f t="shared" si="455"/>
        <v>6</v>
      </c>
      <c r="AC199" s="3666">
        <v>6</v>
      </c>
      <c r="AD199" s="3666">
        <v>6</v>
      </c>
      <c r="AE199" s="401">
        <f t="shared" si="455"/>
        <v>6</v>
      </c>
      <c r="AF199" s="820">
        <f t="shared" si="455"/>
        <v>6</v>
      </c>
      <c r="AG199" s="398">
        <f t="shared" si="455"/>
        <v>6</v>
      </c>
      <c r="AH199" s="401">
        <f t="shared" ref="AH199:AK199" si="457">AH183+AH167+AH151</f>
        <v>6.06</v>
      </c>
      <c r="AI199" s="401">
        <f t="shared" si="457"/>
        <v>6.1208999999999989</v>
      </c>
      <c r="AJ199" s="401">
        <f t="shared" si="457"/>
        <v>6.1827134999999984</v>
      </c>
      <c r="AK199" s="820">
        <f t="shared" si="457"/>
        <v>6.2454542024999977</v>
      </c>
      <c r="AL199" s="398">
        <f t="shared" ref="AL199" si="458">AL183+AL167+AL151</f>
        <v>6.2454542024999977</v>
      </c>
      <c r="AM199" s="398">
        <f t="shared" si="455"/>
        <v>6.4364996416124969</v>
      </c>
      <c r="AN199" s="398">
        <f t="shared" si="455"/>
        <v>6.5695946308608715</v>
      </c>
    </row>
    <row r="200" spans="1:40">
      <c r="A200" s="130" t="str">
        <f>A$10</f>
        <v>Conrad Hotels &amp; Resorts (Luxury)</v>
      </c>
      <c r="B200" s="1033">
        <f>B184+B168+B152</f>
        <v>3</v>
      </c>
      <c r="C200" s="398">
        <f>C184+C168+C152</f>
        <v>3</v>
      </c>
      <c r="D200" s="1033">
        <f t="shared" ref="D200:R200" si="459">D184+D168+D152</f>
        <v>3</v>
      </c>
      <c r="E200" s="406">
        <f t="shared" si="459"/>
        <v>3</v>
      </c>
      <c r="F200" s="406">
        <f t="shared" si="459"/>
        <v>4</v>
      </c>
      <c r="G200" s="820">
        <f t="shared" si="459"/>
        <v>3</v>
      </c>
      <c r="H200" s="820">
        <f t="shared" si="459"/>
        <v>3</v>
      </c>
      <c r="I200" s="1033">
        <f t="shared" si="459"/>
        <v>3</v>
      </c>
      <c r="J200" s="406">
        <f t="shared" si="459"/>
        <v>3</v>
      </c>
      <c r="K200" s="406">
        <f t="shared" si="459"/>
        <v>3</v>
      </c>
      <c r="L200" s="820">
        <f t="shared" si="454"/>
        <v>3</v>
      </c>
      <c r="M200" s="820">
        <f t="shared" si="454"/>
        <v>3</v>
      </c>
      <c r="N200" s="1033">
        <f t="shared" si="454"/>
        <v>3</v>
      </c>
      <c r="O200" s="401">
        <f t="shared" si="459"/>
        <v>3</v>
      </c>
      <c r="P200" s="401">
        <f t="shared" si="459"/>
        <v>4</v>
      </c>
      <c r="Q200" s="820">
        <f t="shared" si="459"/>
        <v>4</v>
      </c>
      <c r="R200" s="398">
        <f t="shared" si="459"/>
        <v>4</v>
      </c>
      <c r="S200" s="401">
        <f t="shared" ref="S200:AN200" si="460">S184+S168+S152</f>
        <v>4</v>
      </c>
      <c r="T200" s="401">
        <f t="shared" si="460"/>
        <v>4</v>
      </c>
      <c r="U200" s="401">
        <f t="shared" si="460"/>
        <v>4</v>
      </c>
      <c r="V200" s="820">
        <f t="shared" si="460"/>
        <v>4</v>
      </c>
      <c r="W200" s="398">
        <f t="shared" si="460"/>
        <v>4</v>
      </c>
      <c r="X200" s="401">
        <f t="shared" ref="X200" si="461">X184+X168+X152</f>
        <v>4</v>
      </c>
      <c r="Y200" s="401">
        <f t="shared" si="460"/>
        <v>4</v>
      </c>
      <c r="Z200" s="401">
        <f t="shared" si="460"/>
        <v>4</v>
      </c>
      <c r="AA200" s="401">
        <f t="shared" si="460"/>
        <v>4</v>
      </c>
      <c r="AB200" s="398">
        <f t="shared" si="460"/>
        <v>4</v>
      </c>
      <c r="AC200" s="3667">
        <v>4</v>
      </c>
      <c r="AD200" s="3665">
        <v>4</v>
      </c>
      <c r="AE200" s="401">
        <f t="shared" si="460"/>
        <v>4</v>
      </c>
      <c r="AF200" s="820">
        <f t="shared" si="460"/>
        <v>4</v>
      </c>
      <c r="AG200" s="398">
        <f t="shared" si="460"/>
        <v>4</v>
      </c>
      <c r="AH200" s="401">
        <f t="shared" ref="AH200:AK200" si="462">AH184+AH168+AH152</f>
        <v>4.0599999999999996</v>
      </c>
      <c r="AI200" s="401">
        <f t="shared" si="462"/>
        <v>4.1208999999999989</v>
      </c>
      <c r="AJ200" s="401">
        <f t="shared" si="462"/>
        <v>4.1827134999999984</v>
      </c>
      <c r="AK200" s="820">
        <f t="shared" si="462"/>
        <v>4.2454542024999977</v>
      </c>
      <c r="AL200" s="398">
        <f t="shared" ref="AL200" si="463">AL184+AL168+AL152</f>
        <v>4.2454542024999977</v>
      </c>
      <c r="AM200" s="398">
        <f t="shared" si="460"/>
        <v>4.4364996416124969</v>
      </c>
      <c r="AN200" s="398">
        <f t="shared" si="460"/>
        <v>4.5695946308608715</v>
      </c>
    </row>
    <row r="201" spans="1:40">
      <c r="A201" s="1828" t="s">
        <v>3022</v>
      </c>
      <c r="B201" s="1030"/>
      <c r="C201" s="508"/>
      <c r="D201" s="1030"/>
      <c r="E201" s="912"/>
      <c r="F201" s="912"/>
      <c r="G201" s="1041"/>
      <c r="H201" s="820"/>
      <c r="I201" s="1030"/>
      <c r="J201" s="912"/>
      <c r="K201" s="912"/>
      <c r="L201" s="1041"/>
      <c r="M201" s="820"/>
      <c r="N201" s="1030"/>
      <c r="O201" s="912"/>
      <c r="P201" s="912"/>
      <c r="Q201" s="1041"/>
      <c r="R201" s="820"/>
      <c r="S201" s="1030"/>
      <c r="T201" s="912"/>
      <c r="U201" s="912"/>
      <c r="V201" s="912"/>
      <c r="W201" s="398"/>
      <c r="X201" s="2791"/>
      <c r="Y201" s="2791"/>
      <c r="Z201" s="2791"/>
      <c r="AA201" s="2791">
        <f t="shared" ref="AA201:AN201" si="464">AA185+AA169+AA153</f>
        <v>1</v>
      </c>
      <c r="AB201" s="398">
        <f t="shared" si="464"/>
        <v>1</v>
      </c>
      <c r="AC201" s="3667">
        <v>1</v>
      </c>
      <c r="AD201" s="3665">
        <v>1</v>
      </c>
      <c r="AE201" s="401">
        <f t="shared" si="464"/>
        <v>1</v>
      </c>
      <c r="AF201" s="820">
        <f t="shared" si="464"/>
        <v>1</v>
      </c>
      <c r="AG201" s="398">
        <f t="shared" si="464"/>
        <v>1</v>
      </c>
      <c r="AH201" s="401">
        <f t="shared" ref="AH201:AK201" si="465">AH185+AH169+AH153</f>
        <v>1</v>
      </c>
      <c r="AI201" s="401">
        <f t="shared" si="465"/>
        <v>1</v>
      </c>
      <c r="AJ201" s="401">
        <f t="shared" si="465"/>
        <v>1</v>
      </c>
      <c r="AK201" s="820">
        <f t="shared" si="465"/>
        <v>1</v>
      </c>
      <c r="AL201" s="398">
        <f t="shared" ref="AL201" si="466">AL185+AL169+AL153</f>
        <v>1</v>
      </c>
      <c r="AM201" s="398">
        <f t="shared" si="464"/>
        <v>1</v>
      </c>
      <c r="AN201" s="398">
        <f t="shared" si="464"/>
        <v>1</v>
      </c>
    </row>
    <row r="202" spans="1:40">
      <c r="A202" s="130" t="str">
        <f>A$12</f>
        <v>Hilton Hotels &amp; Resorts (Upper Up)</v>
      </c>
      <c r="B202" s="1033">
        <f>B186+B170+B154</f>
        <v>152</v>
      </c>
      <c r="C202" s="398">
        <f>C186+C170+C154</f>
        <v>155</v>
      </c>
      <c r="D202" s="1033">
        <f t="shared" ref="D202:R202" si="467">D186+D170+D154</f>
        <v>154</v>
      </c>
      <c r="E202" s="406">
        <f t="shared" si="467"/>
        <v>155</v>
      </c>
      <c r="F202" s="406">
        <f t="shared" si="467"/>
        <v>155</v>
      </c>
      <c r="G202" s="820">
        <f t="shared" si="467"/>
        <v>155</v>
      </c>
      <c r="H202" s="820">
        <f t="shared" si="467"/>
        <v>155</v>
      </c>
      <c r="I202" s="1033">
        <f t="shared" si="467"/>
        <v>153</v>
      </c>
      <c r="J202" s="406">
        <f t="shared" si="467"/>
        <v>151</v>
      </c>
      <c r="K202" s="406">
        <f t="shared" si="467"/>
        <v>151</v>
      </c>
      <c r="L202" s="820">
        <f>L186+L170+L154</f>
        <v>151</v>
      </c>
      <c r="M202" s="820">
        <f>M186+M170+M154</f>
        <v>151</v>
      </c>
      <c r="N202" s="1033">
        <f>N186+N170+N154</f>
        <v>153</v>
      </c>
      <c r="O202" s="401">
        <f t="shared" si="467"/>
        <v>151</v>
      </c>
      <c r="P202" s="401">
        <f t="shared" si="467"/>
        <v>151</v>
      </c>
      <c r="Q202" s="820">
        <f t="shared" si="467"/>
        <v>152</v>
      </c>
      <c r="R202" s="398">
        <f t="shared" si="467"/>
        <v>152</v>
      </c>
      <c r="S202" s="401">
        <f t="shared" ref="S202:W208" si="468">S186+S170+S154</f>
        <v>151</v>
      </c>
      <c r="T202" s="401">
        <f t="shared" si="468"/>
        <v>152</v>
      </c>
      <c r="U202" s="401">
        <f t="shared" si="468"/>
        <v>151</v>
      </c>
      <c r="V202" s="820">
        <f t="shared" si="468"/>
        <v>154</v>
      </c>
      <c r="W202" s="398">
        <f t="shared" si="468"/>
        <v>154</v>
      </c>
      <c r="X202" s="401">
        <f t="shared" ref="X202" si="469">X186+X170+X154</f>
        <v>153</v>
      </c>
      <c r="Y202" s="401">
        <f t="shared" ref="Y202:Z208" si="470">Y186+Y170+Y154</f>
        <v>150</v>
      </c>
      <c r="Z202" s="401">
        <f t="shared" si="470"/>
        <v>152</v>
      </c>
      <c r="AA202" s="401">
        <f t="shared" ref="AA202:AN202" si="471">AA186+AA170+AA154</f>
        <v>143</v>
      </c>
      <c r="AB202" s="398">
        <f t="shared" si="471"/>
        <v>143</v>
      </c>
      <c r="AC202" s="3666">
        <v>142</v>
      </c>
      <c r="AD202" s="3666">
        <v>140</v>
      </c>
      <c r="AE202" s="401">
        <f t="shared" si="471"/>
        <v>140</v>
      </c>
      <c r="AF202" s="820">
        <f t="shared" si="471"/>
        <v>142</v>
      </c>
      <c r="AG202" s="398">
        <f t="shared" si="471"/>
        <v>142</v>
      </c>
      <c r="AH202" s="401">
        <f t="shared" ref="AH202:AK202" si="472">AH186+AH170+AH154</f>
        <v>143.13999999999999</v>
      </c>
      <c r="AI202" s="401">
        <f t="shared" si="472"/>
        <v>144.29544999999999</v>
      </c>
      <c r="AJ202" s="401">
        <f t="shared" si="472"/>
        <v>145.63488174999998</v>
      </c>
      <c r="AK202" s="820">
        <f t="shared" si="472"/>
        <v>146.99440497624997</v>
      </c>
      <c r="AL202" s="398">
        <f t="shared" ref="AL202" si="473">AL186+AL170+AL154</f>
        <v>146.99440497624997</v>
      </c>
      <c r="AM202" s="398">
        <f t="shared" si="471"/>
        <v>151.6543647988187</v>
      </c>
      <c r="AN202" s="398">
        <f t="shared" si="471"/>
        <v>155.28922813552427</v>
      </c>
    </row>
    <row r="203" spans="1:40">
      <c r="A203" s="130" t="str">
        <f>A$13</f>
        <v xml:space="preserve">Curio - A Collection by Hilton </v>
      </c>
      <c r="B203" s="1033"/>
      <c r="C203" s="398"/>
      <c r="D203" s="1033"/>
      <c r="E203" s="406"/>
      <c r="F203" s="406"/>
      <c r="G203" s="820"/>
      <c r="H203" s="820"/>
      <c r="I203" s="1033"/>
      <c r="J203" s="406"/>
      <c r="K203" s="406"/>
      <c r="L203" s="820"/>
      <c r="M203" s="820"/>
      <c r="N203" s="1033"/>
      <c r="O203" s="401"/>
      <c r="P203" s="401"/>
      <c r="Q203" s="820"/>
      <c r="R203" s="398"/>
      <c r="S203" s="401">
        <f t="shared" si="468"/>
        <v>0</v>
      </c>
      <c r="T203" s="401">
        <f t="shared" si="468"/>
        <v>0</v>
      </c>
      <c r="U203" s="401">
        <f t="shared" si="468"/>
        <v>1</v>
      </c>
      <c r="V203" s="820">
        <f t="shared" si="468"/>
        <v>1</v>
      </c>
      <c r="W203" s="398">
        <f t="shared" si="468"/>
        <v>1</v>
      </c>
      <c r="X203" s="401">
        <f t="shared" ref="X203" si="474">X187+X171+X155</f>
        <v>1</v>
      </c>
      <c r="Y203" s="401">
        <f t="shared" si="470"/>
        <v>1</v>
      </c>
      <c r="Z203" s="401">
        <f t="shared" si="470"/>
        <v>2</v>
      </c>
      <c r="AA203" s="401">
        <f t="shared" ref="AA203:AN203" si="475">AA187+AA171+AA155</f>
        <v>2</v>
      </c>
      <c r="AB203" s="398">
        <f t="shared" si="475"/>
        <v>2</v>
      </c>
      <c r="AC203" s="3666">
        <v>2</v>
      </c>
      <c r="AD203" s="3666">
        <v>4</v>
      </c>
      <c r="AE203" s="401">
        <f t="shared" si="475"/>
        <v>7</v>
      </c>
      <c r="AF203" s="820">
        <f t="shared" si="475"/>
        <v>8</v>
      </c>
      <c r="AG203" s="398">
        <f t="shared" si="475"/>
        <v>8</v>
      </c>
      <c r="AH203" s="401">
        <f t="shared" ref="AH203:AK203" si="476">AH187+AH171+AH155</f>
        <v>8.1199999999999992</v>
      </c>
      <c r="AI203" s="401">
        <f t="shared" si="476"/>
        <v>8.2417999999999978</v>
      </c>
      <c r="AJ203" s="401">
        <f t="shared" si="476"/>
        <v>8.3654269999999968</v>
      </c>
      <c r="AK203" s="820">
        <f t="shared" si="476"/>
        <v>8.4909084049999954</v>
      </c>
      <c r="AL203" s="398">
        <f t="shared" ref="AL203" si="477">AL187+AL171+AL155</f>
        <v>8.4909084049999954</v>
      </c>
      <c r="AM203" s="398">
        <f t="shared" si="475"/>
        <v>8.8729992832249955</v>
      </c>
      <c r="AN203" s="398">
        <f t="shared" si="475"/>
        <v>9.1391892617217447</v>
      </c>
    </row>
    <row r="204" spans="1:40">
      <c r="A204" s="130" t="str">
        <f>A$14</f>
        <v>DoubleTree by Hilton (Upscale)</v>
      </c>
      <c r="B204" s="1033">
        <f t="shared" ref="B204:C208" si="478">B188+B172+B156</f>
        <v>16</v>
      </c>
      <c r="C204" s="398">
        <f t="shared" si="478"/>
        <v>29</v>
      </c>
      <c r="D204" s="1033">
        <f t="shared" ref="D204:R204" si="479">D188+D172+D156</f>
        <v>32</v>
      </c>
      <c r="E204" s="406">
        <f t="shared" si="479"/>
        <v>32</v>
      </c>
      <c r="F204" s="406">
        <f t="shared" si="479"/>
        <v>33</v>
      </c>
      <c r="G204" s="820">
        <f t="shared" si="479"/>
        <v>37</v>
      </c>
      <c r="H204" s="820">
        <f t="shared" si="479"/>
        <v>37</v>
      </c>
      <c r="I204" s="1033">
        <f t="shared" si="479"/>
        <v>39</v>
      </c>
      <c r="J204" s="406">
        <f t="shared" si="479"/>
        <v>43</v>
      </c>
      <c r="K204" s="406">
        <f t="shared" si="479"/>
        <v>46</v>
      </c>
      <c r="L204" s="820">
        <f t="shared" ref="L204:N208" si="480">L188+L172+L156</f>
        <v>45</v>
      </c>
      <c r="M204" s="820">
        <f t="shared" si="480"/>
        <v>45</v>
      </c>
      <c r="N204" s="1033">
        <f t="shared" si="480"/>
        <v>46</v>
      </c>
      <c r="O204" s="401">
        <f t="shared" si="479"/>
        <v>50</v>
      </c>
      <c r="P204" s="401">
        <f t="shared" si="479"/>
        <v>52</v>
      </c>
      <c r="Q204" s="820">
        <f t="shared" si="479"/>
        <v>54</v>
      </c>
      <c r="R204" s="398">
        <f t="shared" si="479"/>
        <v>54</v>
      </c>
      <c r="S204" s="401">
        <f t="shared" si="468"/>
        <v>55</v>
      </c>
      <c r="T204" s="401">
        <f t="shared" si="468"/>
        <v>58</v>
      </c>
      <c r="U204" s="401">
        <f t="shared" si="468"/>
        <v>63</v>
      </c>
      <c r="V204" s="820">
        <f t="shared" si="468"/>
        <v>67</v>
      </c>
      <c r="W204" s="398">
        <f t="shared" si="468"/>
        <v>67</v>
      </c>
      <c r="X204" s="401">
        <f t="shared" ref="X204" si="481">X188+X172+X156</f>
        <v>70</v>
      </c>
      <c r="Y204" s="401">
        <f t="shared" si="470"/>
        <v>72</v>
      </c>
      <c r="Z204" s="401">
        <f t="shared" si="470"/>
        <v>75</v>
      </c>
      <c r="AA204" s="401">
        <f t="shared" ref="AA204:AN204" si="482">AA188+AA172+AA156</f>
        <v>86</v>
      </c>
      <c r="AB204" s="398">
        <f t="shared" si="482"/>
        <v>86</v>
      </c>
      <c r="AC204" s="3666">
        <v>89</v>
      </c>
      <c r="AD204" s="3666">
        <v>90</v>
      </c>
      <c r="AE204" s="401">
        <f t="shared" si="482"/>
        <v>91</v>
      </c>
      <c r="AF204" s="820">
        <f t="shared" si="482"/>
        <v>92</v>
      </c>
      <c r="AG204" s="398">
        <f t="shared" si="482"/>
        <v>92</v>
      </c>
      <c r="AH204" s="401">
        <f t="shared" ref="AH204:AK204" si="483">AH188+AH172+AH156</f>
        <v>92.974999999999994</v>
      </c>
      <c r="AI204" s="401">
        <f t="shared" si="483"/>
        <v>93.960575000000006</v>
      </c>
      <c r="AJ204" s="401">
        <f t="shared" si="483"/>
        <v>95.369983624999989</v>
      </c>
      <c r="AK204" s="820">
        <f t="shared" si="483"/>
        <v>96.800533379374983</v>
      </c>
      <c r="AL204" s="398">
        <f t="shared" ref="AL204" si="484">AL188+AL172+AL156</f>
        <v>96.800533379374983</v>
      </c>
      <c r="AM204" s="398">
        <f t="shared" si="482"/>
        <v>102.43344039628437</v>
      </c>
      <c r="AN204" s="398">
        <f t="shared" si="482"/>
        <v>107.31110493580989</v>
      </c>
    </row>
    <row r="205" spans="1:40">
      <c r="A205" s="130" t="str">
        <f>A$15</f>
        <v>Embassy Suites Hotels (Upper Up)</v>
      </c>
      <c r="B205" s="1033">
        <f t="shared" si="478"/>
        <v>0</v>
      </c>
      <c r="C205" s="398">
        <f t="shared" si="478"/>
        <v>0</v>
      </c>
      <c r="D205" s="1033">
        <f t="shared" ref="D205:R205" si="485">D189+D173+D157</f>
        <v>0</v>
      </c>
      <c r="E205" s="406">
        <f t="shared" si="485"/>
        <v>0</v>
      </c>
      <c r="F205" s="406">
        <f t="shared" si="485"/>
        <v>0</v>
      </c>
      <c r="G205" s="820">
        <f t="shared" si="485"/>
        <v>0</v>
      </c>
      <c r="H205" s="820">
        <f t="shared" si="485"/>
        <v>0</v>
      </c>
      <c r="I205" s="1033">
        <f t="shared" si="485"/>
        <v>0</v>
      </c>
      <c r="J205" s="406">
        <f t="shared" si="485"/>
        <v>0</v>
      </c>
      <c r="K205" s="406">
        <f t="shared" si="485"/>
        <v>0</v>
      </c>
      <c r="L205" s="820">
        <f t="shared" si="480"/>
        <v>0</v>
      </c>
      <c r="M205" s="820">
        <f t="shared" si="480"/>
        <v>0</v>
      </c>
      <c r="N205" s="1033">
        <f t="shared" si="480"/>
        <v>0</v>
      </c>
      <c r="O205" s="401">
        <f t="shared" si="485"/>
        <v>0</v>
      </c>
      <c r="P205" s="401">
        <f t="shared" si="485"/>
        <v>0</v>
      </c>
      <c r="Q205" s="820">
        <f t="shared" si="485"/>
        <v>0</v>
      </c>
      <c r="R205" s="398">
        <f t="shared" si="485"/>
        <v>0</v>
      </c>
      <c r="S205" s="401">
        <f t="shared" si="468"/>
        <v>0</v>
      </c>
      <c r="T205" s="401">
        <f t="shared" si="468"/>
        <v>0</v>
      </c>
      <c r="U205" s="401">
        <f t="shared" si="468"/>
        <v>0</v>
      </c>
      <c r="V205" s="820">
        <f t="shared" si="468"/>
        <v>0</v>
      </c>
      <c r="W205" s="398">
        <f t="shared" si="468"/>
        <v>0</v>
      </c>
      <c r="X205" s="401">
        <f t="shared" ref="X205" si="486">X189+X173+X157</f>
        <v>0</v>
      </c>
      <c r="Y205" s="401">
        <f t="shared" si="470"/>
        <v>0</v>
      </c>
      <c r="Z205" s="401">
        <f t="shared" si="470"/>
        <v>0</v>
      </c>
      <c r="AA205" s="401">
        <f t="shared" ref="AA205:AN205" si="487">AA189+AA173+AA157</f>
        <v>0</v>
      </c>
      <c r="AB205" s="398">
        <f t="shared" si="487"/>
        <v>0</v>
      </c>
      <c r="AC205" s="3666">
        <v>0</v>
      </c>
      <c r="AD205" s="3666">
        <v>0</v>
      </c>
      <c r="AE205" s="401">
        <f t="shared" si="487"/>
        <v>0</v>
      </c>
      <c r="AF205" s="820">
        <f t="shared" si="487"/>
        <v>0</v>
      </c>
      <c r="AG205" s="398">
        <f t="shared" si="487"/>
        <v>0</v>
      </c>
      <c r="AH205" s="401">
        <f t="shared" ref="AH205:AK205" si="488">AH189+AH173+AH157</f>
        <v>0</v>
      </c>
      <c r="AI205" s="401">
        <f t="shared" si="488"/>
        <v>0</v>
      </c>
      <c r="AJ205" s="401">
        <f t="shared" si="488"/>
        <v>0</v>
      </c>
      <c r="AK205" s="820">
        <f t="shared" si="488"/>
        <v>0</v>
      </c>
      <c r="AL205" s="398">
        <f t="shared" ref="AL205" si="489">AL189+AL173+AL157</f>
        <v>0</v>
      </c>
      <c r="AM205" s="398">
        <f t="shared" si="487"/>
        <v>0</v>
      </c>
      <c r="AN205" s="398">
        <f t="shared" si="487"/>
        <v>0</v>
      </c>
    </row>
    <row r="206" spans="1:40">
      <c r="A206" s="130" t="str">
        <f>A$16</f>
        <v>Hilton Garden Inn (Upscale)</v>
      </c>
      <c r="B206" s="1033">
        <f t="shared" si="478"/>
        <v>14</v>
      </c>
      <c r="C206" s="398">
        <f t="shared" si="478"/>
        <v>18</v>
      </c>
      <c r="D206" s="1033">
        <f t="shared" ref="D206:R206" si="490">D190+D174+D158</f>
        <v>18</v>
      </c>
      <c r="E206" s="406">
        <f t="shared" si="490"/>
        <v>21</v>
      </c>
      <c r="F206" s="406">
        <f t="shared" si="490"/>
        <v>23</v>
      </c>
      <c r="G206" s="820">
        <f t="shared" si="490"/>
        <v>24</v>
      </c>
      <c r="H206" s="820">
        <f t="shared" si="490"/>
        <v>24</v>
      </c>
      <c r="I206" s="1033">
        <f t="shared" si="490"/>
        <v>26</v>
      </c>
      <c r="J206" s="406">
        <f t="shared" si="490"/>
        <v>27</v>
      </c>
      <c r="K206" s="406">
        <f t="shared" si="490"/>
        <v>27</v>
      </c>
      <c r="L206" s="820">
        <f t="shared" si="480"/>
        <v>27</v>
      </c>
      <c r="M206" s="820">
        <f t="shared" si="480"/>
        <v>27</v>
      </c>
      <c r="N206" s="1033">
        <f t="shared" si="480"/>
        <v>30</v>
      </c>
      <c r="O206" s="401">
        <f t="shared" si="490"/>
        <v>31</v>
      </c>
      <c r="P206" s="401">
        <f t="shared" si="490"/>
        <v>32</v>
      </c>
      <c r="Q206" s="820">
        <f t="shared" si="490"/>
        <v>35</v>
      </c>
      <c r="R206" s="398">
        <f t="shared" si="490"/>
        <v>35</v>
      </c>
      <c r="S206" s="401">
        <f t="shared" si="468"/>
        <v>36</v>
      </c>
      <c r="T206" s="401">
        <f t="shared" si="468"/>
        <v>40</v>
      </c>
      <c r="U206" s="401">
        <f t="shared" si="468"/>
        <v>43</v>
      </c>
      <c r="V206" s="820">
        <f t="shared" si="468"/>
        <v>45</v>
      </c>
      <c r="W206" s="398">
        <f t="shared" si="468"/>
        <v>45</v>
      </c>
      <c r="X206" s="401">
        <f t="shared" ref="X206" si="491">X190+X174+X158</f>
        <v>45</v>
      </c>
      <c r="Y206" s="401">
        <f t="shared" si="470"/>
        <v>48</v>
      </c>
      <c r="Z206" s="401">
        <f t="shared" si="470"/>
        <v>50</v>
      </c>
      <c r="AA206" s="401">
        <f t="shared" ref="AA206:AN206" si="492">AA190+AA174+AA158</f>
        <v>52</v>
      </c>
      <c r="AB206" s="398">
        <f t="shared" si="492"/>
        <v>52</v>
      </c>
      <c r="AC206" s="3666">
        <v>53</v>
      </c>
      <c r="AD206" s="3666">
        <v>56</v>
      </c>
      <c r="AE206" s="401">
        <f t="shared" si="492"/>
        <v>57</v>
      </c>
      <c r="AF206" s="820">
        <f t="shared" si="492"/>
        <v>59</v>
      </c>
      <c r="AG206" s="398">
        <f t="shared" si="492"/>
        <v>59</v>
      </c>
      <c r="AH206" s="401">
        <f t="shared" ref="AH206:AK206" si="493">AH190+AH174+AH158</f>
        <v>59.695</v>
      </c>
      <c r="AI206" s="401">
        <f t="shared" si="493"/>
        <v>60.398524999999999</v>
      </c>
      <c r="AJ206" s="401">
        <f t="shared" si="493"/>
        <v>61.30450287499999</v>
      </c>
      <c r="AK206" s="820">
        <f t="shared" si="493"/>
        <v>62.224070418124981</v>
      </c>
      <c r="AL206" s="398">
        <f t="shared" ref="AL206" si="494">AL190+AL174+AL158</f>
        <v>62.224070418124981</v>
      </c>
      <c r="AM206" s="398">
        <f t="shared" si="492"/>
        <v>65.623185124765612</v>
      </c>
      <c r="AN206" s="398">
        <f t="shared" si="492"/>
        <v>68.438511918634589</v>
      </c>
    </row>
    <row r="207" spans="1:40">
      <c r="A207" s="130" t="str">
        <f>A$17</f>
        <v>Hampton Inn (Upper Mid)</v>
      </c>
      <c r="B207" s="1033">
        <f t="shared" si="478"/>
        <v>9</v>
      </c>
      <c r="C207" s="398">
        <f t="shared" si="478"/>
        <v>10</v>
      </c>
      <c r="D207" s="1033">
        <f t="shared" ref="D207:R207" si="495">D191+D175+D159</f>
        <v>12</v>
      </c>
      <c r="E207" s="406">
        <f t="shared" si="495"/>
        <v>14</v>
      </c>
      <c r="F207" s="406">
        <f t="shared" si="495"/>
        <v>15</v>
      </c>
      <c r="G207" s="820">
        <f t="shared" si="495"/>
        <v>14</v>
      </c>
      <c r="H207" s="820">
        <f t="shared" si="495"/>
        <v>14</v>
      </c>
      <c r="I207" s="1033">
        <f t="shared" si="495"/>
        <v>14</v>
      </c>
      <c r="J207" s="406">
        <f t="shared" si="495"/>
        <v>18</v>
      </c>
      <c r="K207" s="406">
        <f t="shared" si="495"/>
        <v>21</v>
      </c>
      <c r="L207" s="820">
        <f t="shared" si="480"/>
        <v>23</v>
      </c>
      <c r="M207" s="820">
        <f t="shared" si="480"/>
        <v>23</v>
      </c>
      <c r="N207" s="1033">
        <f t="shared" si="480"/>
        <v>27</v>
      </c>
      <c r="O207" s="401">
        <f t="shared" si="495"/>
        <v>29</v>
      </c>
      <c r="P207" s="401">
        <f t="shared" si="495"/>
        <v>29</v>
      </c>
      <c r="Q207" s="820">
        <f t="shared" si="495"/>
        <v>31</v>
      </c>
      <c r="R207" s="398">
        <f t="shared" si="495"/>
        <v>31</v>
      </c>
      <c r="S207" s="401">
        <f t="shared" si="468"/>
        <v>32</v>
      </c>
      <c r="T207" s="401">
        <f t="shared" si="468"/>
        <v>35</v>
      </c>
      <c r="U207" s="401">
        <f t="shared" si="468"/>
        <v>37</v>
      </c>
      <c r="V207" s="820">
        <f t="shared" si="468"/>
        <v>40</v>
      </c>
      <c r="W207" s="398">
        <f t="shared" si="468"/>
        <v>40</v>
      </c>
      <c r="X207" s="401">
        <f t="shared" ref="X207" si="496">X191+X175+X159</f>
        <v>41</v>
      </c>
      <c r="Y207" s="401">
        <f t="shared" si="470"/>
        <v>45</v>
      </c>
      <c r="Z207" s="401">
        <f t="shared" si="470"/>
        <v>47</v>
      </c>
      <c r="AA207" s="401">
        <f t="shared" ref="AA207:AN207" si="497">AA191+AA175+AA159</f>
        <v>48</v>
      </c>
      <c r="AB207" s="398">
        <f t="shared" si="497"/>
        <v>48</v>
      </c>
      <c r="AC207" s="3666">
        <v>54</v>
      </c>
      <c r="AD207" s="3666">
        <v>57</v>
      </c>
      <c r="AE207" s="401">
        <f t="shared" si="497"/>
        <v>64</v>
      </c>
      <c r="AF207" s="820">
        <f t="shared" si="497"/>
        <v>67</v>
      </c>
      <c r="AG207" s="398">
        <f t="shared" si="497"/>
        <v>67</v>
      </c>
      <c r="AH207" s="401">
        <f t="shared" ref="AH207:AK207" si="498">AH191+AH175+AH159</f>
        <v>67.745000000000005</v>
      </c>
      <c r="AI207" s="401">
        <f t="shared" si="498"/>
        <v>68.498575000000002</v>
      </c>
      <c r="AJ207" s="401">
        <f t="shared" si="498"/>
        <v>69.526053624999989</v>
      </c>
      <c r="AK207" s="820">
        <f t="shared" si="498"/>
        <v>70.56894442937498</v>
      </c>
      <c r="AL207" s="398">
        <f t="shared" ref="AL207" si="499">AL191+AL175+AL159</f>
        <v>70.56894442937498</v>
      </c>
      <c r="AM207" s="398">
        <f t="shared" si="497"/>
        <v>74.564274296246865</v>
      </c>
      <c r="AN207" s="398">
        <f t="shared" si="497"/>
        <v>77.959750537938277</v>
      </c>
    </row>
    <row r="208" spans="1:40">
      <c r="A208" s="130" t="str">
        <f>A$18</f>
        <v>Home2 Suites by Hilton (Upper Mid)</v>
      </c>
      <c r="B208" s="1033">
        <f t="shared" si="478"/>
        <v>0</v>
      </c>
      <c r="C208" s="398">
        <f t="shared" si="478"/>
        <v>0</v>
      </c>
      <c r="D208" s="1033">
        <f t="shared" ref="D208:R208" si="500">D192+D176+D160</f>
        <v>0</v>
      </c>
      <c r="E208" s="406">
        <f t="shared" si="500"/>
        <v>0</v>
      </c>
      <c r="F208" s="406">
        <f t="shared" si="500"/>
        <v>0</v>
      </c>
      <c r="G208" s="820">
        <f t="shared" si="500"/>
        <v>0</v>
      </c>
      <c r="H208" s="820">
        <f t="shared" si="500"/>
        <v>0</v>
      </c>
      <c r="I208" s="1033">
        <f t="shared" si="500"/>
        <v>0</v>
      </c>
      <c r="J208" s="406">
        <f t="shared" si="500"/>
        <v>0</v>
      </c>
      <c r="K208" s="406">
        <f t="shared" si="500"/>
        <v>0</v>
      </c>
      <c r="L208" s="820">
        <f t="shared" si="480"/>
        <v>0</v>
      </c>
      <c r="M208" s="820">
        <f t="shared" si="480"/>
        <v>0</v>
      </c>
      <c r="N208" s="1033">
        <f t="shared" si="480"/>
        <v>0</v>
      </c>
      <c r="O208" s="401">
        <f t="shared" si="500"/>
        <v>0</v>
      </c>
      <c r="P208" s="401">
        <f t="shared" si="500"/>
        <v>0</v>
      </c>
      <c r="Q208" s="820">
        <f t="shared" si="500"/>
        <v>0</v>
      </c>
      <c r="R208" s="398">
        <f t="shared" si="500"/>
        <v>0</v>
      </c>
      <c r="S208" s="401">
        <f t="shared" si="468"/>
        <v>0</v>
      </c>
      <c r="T208" s="401">
        <f t="shared" si="468"/>
        <v>0</v>
      </c>
      <c r="U208" s="401">
        <f t="shared" si="468"/>
        <v>0</v>
      </c>
      <c r="V208" s="820">
        <f t="shared" si="468"/>
        <v>0</v>
      </c>
      <c r="W208" s="398">
        <f t="shared" si="468"/>
        <v>0</v>
      </c>
      <c r="X208" s="401">
        <f t="shared" ref="X208" si="501">X192+X176+X160</f>
        <v>0</v>
      </c>
      <c r="Y208" s="401">
        <f t="shared" si="470"/>
        <v>0</v>
      </c>
      <c r="Z208" s="401">
        <f t="shared" si="470"/>
        <v>0</v>
      </c>
      <c r="AA208" s="401">
        <f t="shared" ref="AA208:AN208" si="502">AA192+AA176+AA160</f>
        <v>0</v>
      </c>
      <c r="AB208" s="398">
        <f t="shared" si="502"/>
        <v>0</v>
      </c>
      <c r="AC208" s="3666">
        <f t="shared" si="502"/>
        <v>0</v>
      </c>
      <c r="AD208" s="3666">
        <f t="shared" ref="AD208:AN211" si="503">AD192+AD176+AD160</f>
        <v>0</v>
      </c>
      <c r="AE208" s="401">
        <f t="shared" si="502"/>
        <v>0</v>
      </c>
      <c r="AF208" s="820">
        <f t="shared" si="502"/>
        <v>0</v>
      </c>
      <c r="AG208" s="398">
        <f t="shared" si="502"/>
        <v>0</v>
      </c>
      <c r="AH208" s="401">
        <f t="shared" ref="AH208:AK208" si="504">AH192+AH176+AH160</f>
        <v>0</v>
      </c>
      <c r="AI208" s="401">
        <f t="shared" si="504"/>
        <v>0</v>
      </c>
      <c r="AJ208" s="401">
        <f t="shared" si="504"/>
        <v>0</v>
      </c>
      <c r="AK208" s="820">
        <f t="shared" si="504"/>
        <v>0</v>
      </c>
      <c r="AL208" s="398">
        <f t="shared" ref="AL208" si="505">AL192+AL176+AL160</f>
        <v>0</v>
      </c>
      <c r="AM208" s="398">
        <f t="shared" si="502"/>
        <v>0</v>
      </c>
      <c r="AN208" s="398">
        <f t="shared" si="502"/>
        <v>0</v>
      </c>
    </row>
    <row r="209" spans="1:40">
      <c r="A209" s="130" t="str">
        <f>$A$90</f>
        <v>Tru by Hilton</v>
      </c>
      <c r="B209" s="1030"/>
      <c r="C209" s="508"/>
      <c r="D209" s="1030"/>
      <c r="E209" s="912"/>
      <c r="F209" s="912"/>
      <c r="G209" s="1041"/>
      <c r="H209" s="820"/>
      <c r="I209" s="1030"/>
      <c r="J209" s="912"/>
      <c r="K209" s="912"/>
      <c r="L209" s="1041"/>
      <c r="M209" s="820"/>
      <c r="N209" s="1030"/>
      <c r="O209" s="912"/>
      <c r="P209" s="912"/>
      <c r="Q209" s="1041"/>
      <c r="R209" s="820"/>
      <c r="S209" s="1030"/>
      <c r="T209" s="912"/>
      <c r="U209" s="912"/>
      <c r="V209" s="912"/>
      <c r="W209" s="398"/>
      <c r="X209" s="2791"/>
      <c r="Y209" s="2791"/>
      <c r="Z209" s="2791"/>
      <c r="AA209" s="2791"/>
      <c r="AB209" s="398"/>
      <c r="AC209" s="3666">
        <f t="shared" ref="AC209" si="506">AC193+AC177+AC161</f>
        <v>0</v>
      </c>
      <c r="AD209" s="3666">
        <f t="shared" si="503"/>
        <v>0</v>
      </c>
      <c r="AE209" s="401">
        <f t="shared" si="503"/>
        <v>0</v>
      </c>
      <c r="AF209" s="820">
        <f t="shared" si="503"/>
        <v>0</v>
      </c>
      <c r="AG209" s="398">
        <f t="shared" si="503"/>
        <v>0</v>
      </c>
      <c r="AH209" s="401">
        <f t="shared" ref="AH209:AK209" si="507">AH193+AH177+AH161</f>
        <v>0</v>
      </c>
      <c r="AI209" s="401">
        <f t="shared" si="507"/>
        <v>0</v>
      </c>
      <c r="AJ209" s="401">
        <f t="shared" si="507"/>
        <v>0</v>
      </c>
      <c r="AK209" s="820">
        <f t="shared" si="507"/>
        <v>0</v>
      </c>
      <c r="AL209" s="398">
        <f t="shared" ref="AL209" si="508">AL193+AL177+AL161</f>
        <v>0</v>
      </c>
      <c r="AM209" s="398">
        <f t="shared" si="503"/>
        <v>0</v>
      </c>
      <c r="AN209" s="398">
        <f t="shared" si="503"/>
        <v>0</v>
      </c>
    </row>
    <row r="210" spans="1:40">
      <c r="A210" s="130" t="str">
        <f>$A$91</f>
        <v>Tapestry Collection by Hilton</v>
      </c>
      <c r="B210" s="1030"/>
      <c r="C210" s="508"/>
      <c r="D210" s="1030"/>
      <c r="E210" s="912"/>
      <c r="F210" s="912"/>
      <c r="G210" s="1041"/>
      <c r="H210" s="820"/>
      <c r="I210" s="1030"/>
      <c r="J210" s="912"/>
      <c r="K210" s="912"/>
      <c r="L210" s="1041"/>
      <c r="M210" s="820"/>
      <c r="N210" s="1030"/>
      <c r="O210" s="912"/>
      <c r="P210" s="912"/>
      <c r="Q210" s="1041"/>
      <c r="R210" s="820"/>
      <c r="S210" s="1030"/>
      <c r="T210" s="912"/>
      <c r="U210" s="912"/>
      <c r="V210" s="912"/>
      <c r="W210" s="398"/>
      <c r="X210" s="2791"/>
      <c r="Y210" s="2791"/>
      <c r="Z210" s="2791"/>
      <c r="AA210" s="2791"/>
      <c r="AB210" s="398"/>
      <c r="AC210" s="3666">
        <f t="shared" ref="AC210" si="509">AC194+AC178+AC162</f>
        <v>0</v>
      </c>
      <c r="AD210" s="3666">
        <f t="shared" si="503"/>
        <v>0</v>
      </c>
      <c r="AE210" s="401">
        <f t="shared" si="503"/>
        <v>0</v>
      </c>
      <c r="AF210" s="820">
        <f t="shared" si="503"/>
        <v>0</v>
      </c>
      <c r="AG210" s="398">
        <f t="shared" si="503"/>
        <v>0</v>
      </c>
      <c r="AH210" s="401">
        <f t="shared" ref="AH210:AK210" si="510">AH194+AH178+AH162</f>
        <v>0</v>
      </c>
      <c r="AI210" s="401">
        <f t="shared" si="510"/>
        <v>0</v>
      </c>
      <c r="AJ210" s="401">
        <f t="shared" si="510"/>
        <v>0</v>
      </c>
      <c r="AK210" s="820">
        <f t="shared" si="510"/>
        <v>0</v>
      </c>
      <c r="AL210" s="398">
        <f t="shared" ref="AL210" si="511">AL194+AL178+AL162</f>
        <v>0</v>
      </c>
      <c r="AM210" s="398">
        <f t="shared" si="503"/>
        <v>0</v>
      </c>
      <c r="AN210" s="398">
        <f t="shared" si="503"/>
        <v>0</v>
      </c>
    </row>
    <row r="211" spans="1:40" s="5" customFormat="1">
      <c r="A211" s="1828" t="str">
        <f>A$21</f>
        <v>Homewood Suites by Hilton (Upscale)</v>
      </c>
      <c r="B211" s="1033">
        <f t="shared" ref="B211:C211" si="512">B195+B179+B163</f>
        <v>0</v>
      </c>
      <c r="C211" s="398">
        <f t="shared" si="512"/>
        <v>0</v>
      </c>
      <c r="D211" s="1033">
        <f t="shared" ref="D211:R211" si="513">D195+D179+D163</f>
        <v>0</v>
      </c>
      <c r="E211" s="406">
        <f t="shared" si="513"/>
        <v>0</v>
      </c>
      <c r="F211" s="406">
        <f t="shared" si="513"/>
        <v>0</v>
      </c>
      <c r="G211" s="820">
        <f t="shared" si="513"/>
        <v>0</v>
      </c>
      <c r="H211" s="820">
        <f t="shared" si="513"/>
        <v>0</v>
      </c>
      <c r="I211" s="1033">
        <f t="shared" si="513"/>
        <v>0</v>
      </c>
      <c r="J211" s="406">
        <f t="shared" si="513"/>
        <v>0</v>
      </c>
      <c r="K211" s="406">
        <f t="shared" si="513"/>
        <v>0</v>
      </c>
      <c r="L211" s="820">
        <f t="shared" ref="L211:N211" si="514">L195+L179+L163</f>
        <v>0</v>
      </c>
      <c r="M211" s="820">
        <f t="shared" si="514"/>
        <v>0</v>
      </c>
      <c r="N211" s="1033">
        <f t="shared" si="514"/>
        <v>0</v>
      </c>
      <c r="O211" s="401">
        <f t="shared" si="513"/>
        <v>0</v>
      </c>
      <c r="P211" s="401">
        <f t="shared" si="513"/>
        <v>0</v>
      </c>
      <c r="Q211" s="820">
        <f t="shared" si="513"/>
        <v>0</v>
      </c>
      <c r="R211" s="398">
        <f t="shared" si="513"/>
        <v>0</v>
      </c>
      <c r="S211" s="401">
        <f t="shared" ref="S211:Z211" si="515">S195+S179+S163</f>
        <v>0</v>
      </c>
      <c r="T211" s="401">
        <f t="shared" si="515"/>
        <v>0</v>
      </c>
      <c r="U211" s="401">
        <f t="shared" si="515"/>
        <v>0</v>
      </c>
      <c r="V211" s="820">
        <f t="shared" si="515"/>
        <v>0</v>
      </c>
      <c r="W211" s="398">
        <f t="shared" si="515"/>
        <v>0</v>
      </c>
      <c r="X211" s="401">
        <f t="shared" ref="X211" si="516">X195+X179+X163</f>
        <v>0</v>
      </c>
      <c r="Y211" s="401">
        <f t="shared" si="515"/>
        <v>0</v>
      </c>
      <c r="Z211" s="401">
        <f t="shared" si="515"/>
        <v>0</v>
      </c>
      <c r="AA211" s="401">
        <f t="shared" ref="AA211:AC211" si="517">AA195+AA179+AA163</f>
        <v>0</v>
      </c>
      <c r="AB211" s="398">
        <f t="shared" si="517"/>
        <v>0</v>
      </c>
      <c r="AC211" s="3666">
        <f t="shared" si="517"/>
        <v>0</v>
      </c>
      <c r="AD211" s="3666">
        <f t="shared" si="503"/>
        <v>0</v>
      </c>
      <c r="AE211" s="401">
        <f t="shared" si="503"/>
        <v>0</v>
      </c>
      <c r="AF211" s="820">
        <f t="shared" si="503"/>
        <v>0</v>
      </c>
      <c r="AG211" s="398">
        <f t="shared" si="503"/>
        <v>0</v>
      </c>
      <c r="AH211" s="401">
        <f t="shared" ref="AH211:AK211" si="518">AH195+AH179+AH163</f>
        <v>0</v>
      </c>
      <c r="AI211" s="401">
        <f t="shared" si="518"/>
        <v>0</v>
      </c>
      <c r="AJ211" s="401">
        <f t="shared" si="518"/>
        <v>0</v>
      </c>
      <c r="AK211" s="820">
        <f t="shared" si="518"/>
        <v>0</v>
      </c>
      <c r="AL211" s="398">
        <f t="shared" ref="AL211" si="519">AL195+AL179+AL163</f>
        <v>0</v>
      </c>
      <c r="AM211" s="398">
        <f t="shared" si="503"/>
        <v>0</v>
      </c>
      <c r="AN211" s="398">
        <f t="shared" si="503"/>
        <v>0</v>
      </c>
    </row>
    <row r="212" spans="1:40" s="5" customFormat="1">
      <c r="A212" s="1828" t="s">
        <v>395</v>
      </c>
      <c r="B212" s="1033"/>
      <c r="C212" s="398"/>
      <c r="D212" s="1033"/>
      <c r="E212" s="406"/>
      <c r="F212" s="406"/>
      <c r="G212" s="820"/>
      <c r="H212" s="820"/>
      <c r="I212" s="1033"/>
      <c r="J212" s="406"/>
      <c r="K212" s="406"/>
      <c r="L212" s="820"/>
      <c r="M212" s="820"/>
      <c r="N212" s="1033"/>
      <c r="O212" s="401"/>
      <c r="P212" s="401"/>
      <c r="Q212" s="820"/>
      <c r="R212" s="398"/>
      <c r="S212" s="401"/>
      <c r="T212" s="401"/>
      <c r="U212" s="401"/>
      <c r="V212" s="820"/>
      <c r="W212" s="398"/>
      <c r="X212" s="401">
        <f>W212</f>
        <v>0</v>
      </c>
      <c r="Y212" s="401">
        <f>X212</f>
        <v>0</v>
      </c>
      <c r="Z212" s="401">
        <f t="shared" ref="Z212:AA212" si="520">Y212</f>
        <v>0</v>
      </c>
      <c r="AA212" s="401">
        <f t="shared" si="520"/>
        <v>0</v>
      </c>
      <c r="AB212" s="398">
        <f>AA212</f>
        <v>0</v>
      </c>
      <c r="AC212" s="3666">
        <v>3</v>
      </c>
      <c r="AD212" s="3666">
        <v>3</v>
      </c>
      <c r="AE212" s="401">
        <f t="shared" ref="AE212:AF212" si="521">AD212</f>
        <v>3</v>
      </c>
      <c r="AF212" s="401">
        <f t="shared" si="521"/>
        <v>3</v>
      </c>
      <c r="AG212" s="398">
        <f>AF212</f>
        <v>3</v>
      </c>
      <c r="AH212" s="401">
        <f t="shared" ref="AH212:AH213" si="522">AG212</f>
        <v>3</v>
      </c>
      <c r="AI212" s="401">
        <f t="shared" ref="AI212:AI213" si="523">AH212</f>
        <v>3</v>
      </c>
      <c r="AJ212" s="401">
        <f t="shared" ref="AJ212:AJ213" si="524">AI212</f>
        <v>3</v>
      </c>
      <c r="AK212" s="401">
        <f t="shared" ref="AK212:AK213" si="525">AJ212</f>
        <v>3</v>
      </c>
      <c r="AL212" s="398">
        <f>AK212</f>
        <v>3</v>
      </c>
      <c r="AM212" s="398">
        <f t="shared" ref="AM212:AN212" si="526">AL212</f>
        <v>3</v>
      </c>
      <c r="AN212" s="398">
        <f t="shared" si="526"/>
        <v>3</v>
      </c>
    </row>
    <row r="213" spans="1:40" s="5" customFormat="1">
      <c r="A213" s="1828" t="s">
        <v>1394</v>
      </c>
      <c r="B213" s="1033"/>
      <c r="C213" s="398"/>
      <c r="D213" s="1033"/>
      <c r="E213" s="406"/>
      <c r="F213" s="406"/>
      <c r="G213" s="820"/>
      <c r="H213" s="820"/>
      <c r="I213" s="1033"/>
      <c r="J213" s="406"/>
      <c r="K213" s="406"/>
      <c r="L213" s="820"/>
      <c r="M213" s="820"/>
      <c r="N213" s="1033"/>
      <c r="O213" s="401"/>
      <c r="P213" s="401"/>
      <c r="Q213" s="820"/>
      <c r="R213" s="398"/>
      <c r="S213" s="401"/>
      <c r="T213" s="401"/>
      <c r="U213" s="401"/>
      <c r="V213" s="820"/>
      <c r="W213" s="398"/>
      <c r="X213" s="401">
        <f>W213</f>
        <v>0</v>
      </c>
      <c r="Y213" s="401">
        <f>X213</f>
        <v>0</v>
      </c>
      <c r="Z213" s="401">
        <f t="shared" ref="Z213:AA213" si="527">Y213</f>
        <v>0</v>
      </c>
      <c r="AA213" s="401">
        <f t="shared" si="527"/>
        <v>0</v>
      </c>
      <c r="AB213" s="398">
        <f>AA213</f>
        <v>0</v>
      </c>
      <c r="AC213" s="3666">
        <v>5</v>
      </c>
      <c r="AD213" s="3666">
        <v>5</v>
      </c>
      <c r="AE213" s="401">
        <f t="shared" ref="AE213:AF213" si="528">AD213</f>
        <v>5</v>
      </c>
      <c r="AF213" s="401">
        <f t="shared" si="528"/>
        <v>5</v>
      </c>
      <c r="AG213" s="398">
        <f>AF213</f>
        <v>5</v>
      </c>
      <c r="AH213" s="401">
        <f t="shared" si="522"/>
        <v>5</v>
      </c>
      <c r="AI213" s="401">
        <f t="shared" si="523"/>
        <v>5</v>
      </c>
      <c r="AJ213" s="401">
        <f t="shared" si="524"/>
        <v>5</v>
      </c>
      <c r="AK213" s="401">
        <f t="shared" si="525"/>
        <v>5</v>
      </c>
      <c r="AL213" s="398">
        <f>AK213</f>
        <v>5</v>
      </c>
      <c r="AM213" s="398">
        <f t="shared" ref="AM213:AN213" si="529">AL213</f>
        <v>5</v>
      </c>
      <c r="AN213" s="398">
        <f t="shared" si="529"/>
        <v>5</v>
      </c>
    </row>
    <row r="214" spans="1:40">
      <c r="A214" s="202" t="s">
        <v>1787</v>
      </c>
      <c r="B214" s="1034">
        <f>SUM(B199:B211)</f>
        <v>198</v>
      </c>
      <c r="C214" s="476">
        <f>SUM(C199:C211)</f>
        <v>218</v>
      </c>
      <c r="D214" s="1034">
        <f t="shared" ref="D214:T214" si="530">SUM(D199:D211)</f>
        <v>222</v>
      </c>
      <c r="E214" s="475">
        <f t="shared" si="530"/>
        <v>228</v>
      </c>
      <c r="F214" s="475">
        <f t="shared" si="530"/>
        <v>234</v>
      </c>
      <c r="G214" s="822">
        <f t="shared" si="530"/>
        <v>238</v>
      </c>
      <c r="H214" s="822">
        <f t="shared" si="530"/>
        <v>238</v>
      </c>
      <c r="I214" s="1034">
        <f t="shared" si="530"/>
        <v>239</v>
      </c>
      <c r="J214" s="475">
        <f t="shared" si="530"/>
        <v>246</v>
      </c>
      <c r="K214" s="475">
        <f t="shared" si="530"/>
        <v>252</v>
      </c>
      <c r="L214" s="822">
        <f>SUM(L199:L211)</f>
        <v>253</v>
      </c>
      <c r="M214" s="822">
        <f>SUM(M199:M211)</f>
        <v>253</v>
      </c>
      <c r="N214" s="1034">
        <f t="shared" si="530"/>
        <v>263</v>
      </c>
      <c r="O214" s="475">
        <f t="shared" si="530"/>
        <v>270</v>
      </c>
      <c r="P214" s="475">
        <f t="shared" si="530"/>
        <v>274</v>
      </c>
      <c r="Q214" s="822">
        <f t="shared" si="530"/>
        <v>282</v>
      </c>
      <c r="R214" s="476">
        <f t="shared" si="530"/>
        <v>282</v>
      </c>
      <c r="S214" s="475">
        <f t="shared" si="530"/>
        <v>284</v>
      </c>
      <c r="T214" s="475">
        <f t="shared" si="530"/>
        <v>295</v>
      </c>
      <c r="U214" s="475">
        <f t="shared" ref="U214:W214" si="531">SUM(U199:U211)</f>
        <v>305</v>
      </c>
      <c r="V214" s="822">
        <f t="shared" si="531"/>
        <v>317</v>
      </c>
      <c r="W214" s="476">
        <f t="shared" si="531"/>
        <v>317</v>
      </c>
      <c r="X214" s="475">
        <f>SUM(X199:X213)</f>
        <v>320</v>
      </c>
      <c r="Y214" s="475">
        <f t="shared" ref="Y214:AA214" si="532">SUM(Y199:Y213)</f>
        <v>326</v>
      </c>
      <c r="Z214" s="475">
        <f t="shared" si="532"/>
        <v>336</v>
      </c>
      <c r="AA214" s="475">
        <f t="shared" si="532"/>
        <v>342</v>
      </c>
      <c r="AB214" s="476">
        <f t="shared" ref="AB214:AG214" si="533">SUM(AB199:AB213)</f>
        <v>342</v>
      </c>
      <c r="AC214" s="475">
        <f t="shared" si="533"/>
        <v>359</v>
      </c>
      <c r="AD214" s="475">
        <f t="shared" si="533"/>
        <v>366</v>
      </c>
      <c r="AE214" s="475">
        <f t="shared" si="533"/>
        <v>378</v>
      </c>
      <c r="AF214" s="475">
        <f t="shared" si="533"/>
        <v>387</v>
      </c>
      <c r="AG214" s="476">
        <f t="shared" si="533"/>
        <v>387</v>
      </c>
      <c r="AH214" s="475">
        <f t="shared" ref="AH214:AK214" si="534">SUM(AH199:AH213)</f>
        <v>390.79500000000002</v>
      </c>
      <c r="AI214" s="475">
        <f t="shared" si="534"/>
        <v>394.63672500000001</v>
      </c>
      <c r="AJ214" s="475">
        <f t="shared" si="534"/>
        <v>399.56627587499992</v>
      </c>
      <c r="AK214" s="475">
        <f t="shared" si="534"/>
        <v>404.56977001312492</v>
      </c>
      <c r="AL214" s="476">
        <f t="shared" ref="AL214" si="535">SUM(AL199:AL213)</f>
        <v>404.56977001312492</v>
      </c>
      <c r="AM214" s="476">
        <f t="shared" ref="AM214:AN214" si="536">SUM(AM199:AM213)</f>
        <v>423.02126318256558</v>
      </c>
      <c r="AN214" s="476">
        <f t="shared" si="536"/>
        <v>438.27697405135052</v>
      </c>
    </row>
    <row r="215" spans="1:40">
      <c r="A215" s="478" t="s">
        <v>598</v>
      </c>
      <c r="B215" s="1035"/>
      <c r="C215" s="480">
        <f>C214-B214</f>
        <v>20</v>
      </c>
      <c r="D215" s="1035"/>
      <c r="E215" s="479"/>
      <c r="F215" s="479"/>
      <c r="G215" s="1040"/>
      <c r="H215" s="1040">
        <f t="shared" ref="H215:T215" si="537">H214-C214</f>
        <v>20</v>
      </c>
      <c r="I215" s="1035">
        <f t="shared" si="537"/>
        <v>17</v>
      </c>
      <c r="J215" s="479">
        <f t="shared" si="537"/>
        <v>18</v>
      </c>
      <c r="K215" s="479">
        <f t="shared" si="537"/>
        <v>18</v>
      </c>
      <c r="L215" s="1040">
        <f t="shared" si="537"/>
        <v>15</v>
      </c>
      <c r="M215" s="1040">
        <f>M214-H214</f>
        <v>15</v>
      </c>
      <c r="N215" s="1035">
        <f t="shared" si="537"/>
        <v>24</v>
      </c>
      <c r="O215" s="479">
        <f t="shared" si="537"/>
        <v>24</v>
      </c>
      <c r="P215" s="479">
        <f t="shared" si="537"/>
        <v>22</v>
      </c>
      <c r="Q215" s="479">
        <f t="shared" si="537"/>
        <v>29</v>
      </c>
      <c r="R215" s="480">
        <f t="shared" si="537"/>
        <v>29</v>
      </c>
      <c r="S215" s="479">
        <f t="shared" si="537"/>
        <v>21</v>
      </c>
      <c r="T215" s="479">
        <f t="shared" si="537"/>
        <v>25</v>
      </c>
      <c r="U215" s="479">
        <f t="shared" ref="U215:AB215" si="538">U214-P214</f>
        <v>31</v>
      </c>
      <c r="V215" s="479">
        <f t="shared" si="538"/>
        <v>35</v>
      </c>
      <c r="W215" s="480">
        <f t="shared" si="538"/>
        <v>35</v>
      </c>
      <c r="X215" s="479">
        <f t="shared" si="538"/>
        <v>36</v>
      </c>
      <c r="Y215" s="479">
        <f t="shared" si="538"/>
        <v>31</v>
      </c>
      <c r="Z215" s="479">
        <f t="shared" si="538"/>
        <v>31</v>
      </c>
      <c r="AA215" s="479">
        <f t="shared" si="538"/>
        <v>25</v>
      </c>
      <c r="AB215" s="480">
        <f t="shared" si="538"/>
        <v>25</v>
      </c>
      <c r="AC215" s="479">
        <f>AC214-X214</f>
        <v>39</v>
      </c>
      <c r="AD215" s="479">
        <f>AD214-Y214</f>
        <v>40</v>
      </c>
      <c r="AE215" s="479">
        <f>AE214-Z214</f>
        <v>42</v>
      </c>
      <c r="AF215" s="479">
        <f>AF214-AA214</f>
        <v>45</v>
      </c>
      <c r="AG215" s="480">
        <f>AG214-AB214</f>
        <v>45</v>
      </c>
      <c r="AH215" s="479">
        <f t="shared" ref="AH215:AK215" si="539">AH214-AC214</f>
        <v>31.795000000000016</v>
      </c>
      <c r="AI215" s="479">
        <f t="shared" si="539"/>
        <v>28.636725000000013</v>
      </c>
      <c r="AJ215" s="479">
        <f t="shared" si="539"/>
        <v>21.566275874999917</v>
      </c>
      <c r="AK215" s="479">
        <f t="shared" si="539"/>
        <v>17.569770013124923</v>
      </c>
      <c r="AL215" s="480">
        <f>AL214-AG214</f>
        <v>17.569770013124923</v>
      </c>
      <c r="AM215" s="480">
        <f>AM214-AL214</f>
        <v>18.451493169440653</v>
      </c>
      <c r="AN215" s="480">
        <f>AN214-AM214</f>
        <v>15.255710868784945</v>
      </c>
    </row>
    <row r="216" spans="1:40">
      <c r="A216" s="477" t="s">
        <v>1423</v>
      </c>
      <c r="B216" s="1036"/>
      <c r="C216" s="445">
        <f>C215/B214</f>
        <v>0.10101010101010101</v>
      </c>
      <c r="D216" s="1036"/>
      <c r="E216" s="437"/>
      <c r="F216" s="437"/>
      <c r="G216" s="589"/>
      <c r="H216" s="589">
        <f t="shared" ref="H216:T216" si="540">H215/C214</f>
        <v>9.1743119266055051E-2</v>
      </c>
      <c r="I216" s="1036">
        <f t="shared" si="540"/>
        <v>7.6576576576576572E-2</v>
      </c>
      <c r="J216" s="437">
        <f t="shared" si="540"/>
        <v>7.8947368421052627E-2</v>
      </c>
      <c r="K216" s="437">
        <f>K215/F214</f>
        <v>7.6923076923076927E-2</v>
      </c>
      <c r="L216" s="589">
        <f>L215/G214</f>
        <v>6.3025210084033612E-2</v>
      </c>
      <c r="M216" s="589">
        <f>M215/H214</f>
        <v>6.3025210084033612E-2</v>
      </c>
      <c r="N216" s="1036">
        <f t="shared" si="540"/>
        <v>0.100418410041841</v>
      </c>
      <c r="O216" s="481">
        <f>O215/J214</f>
        <v>9.7560975609756101E-2</v>
      </c>
      <c r="P216" s="481">
        <f t="shared" si="540"/>
        <v>8.7301587301587297E-2</v>
      </c>
      <c r="Q216" s="481">
        <f t="shared" si="540"/>
        <v>0.11462450592885376</v>
      </c>
      <c r="R216" s="445">
        <f t="shared" si="540"/>
        <v>0.11462450592885376</v>
      </c>
      <c r="S216" s="481">
        <f t="shared" si="540"/>
        <v>7.9847908745247151E-2</v>
      </c>
      <c r="T216" s="481">
        <f t="shared" si="540"/>
        <v>9.2592592592592587E-2</v>
      </c>
      <c r="U216" s="481">
        <f t="shared" ref="U216:AB216" si="541">U215/P214</f>
        <v>0.11313868613138686</v>
      </c>
      <c r="V216" s="481">
        <f t="shared" si="541"/>
        <v>0.12411347517730496</v>
      </c>
      <c r="W216" s="445">
        <f t="shared" si="541"/>
        <v>0.12411347517730496</v>
      </c>
      <c r="X216" s="481">
        <f t="shared" si="541"/>
        <v>0.12676056338028169</v>
      </c>
      <c r="Y216" s="481">
        <f t="shared" si="541"/>
        <v>0.10508474576271186</v>
      </c>
      <c r="Z216" s="481">
        <f t="shared" si="541"/>
        <v>0.10163934426229508</v>
      </c>
      <c r="AA216" s="481">
        <f t="shared" si="541"/>
        <v>7.8864353312302835E-2</v>
      </c>
      <c r="AB216" s="445">
        <f t="shared" si="541"/>
        <v>7.8864353312302835E-2</v>
      </c>
      <c r="AC216" s="481">
        <f>AC215/X214</f>
        <v>0.121875</v>
      </c>
      <c r="AD216" s="481">
        <f>AD215/Y214</f>
        <v>0.12269938650306748</v>
      </c>
      <c r="AE216" s="481">
        <f>AE215/Z214</f>
        <v>0.125</v>
      </c>
      <c r="AF216" s="481">
        <f>AF215/AA214</f>
        <v>0.13157894736842105</v>
      </c>
      <c r="AG216" s="445">
        <f>AG215/AB214</f>
        <v>0.13157894736842105</v>
      </c>
      <c r="AH216" s="481">
        <f t="shared" ref="AH216:AK216" si="542">AH215/AC214</f>
        <v>8.8565459610027902E-2</v>
      </c>
      <c r="AI216" s="481">
        <f t="shared" si="542"/>
        <v>7.824241803278692E-2</v>
      </c>
      <c r="AJ216" s="481">
        <f t="shared" si="542"/>
        <v>5.7053639880952162E-2</v>
      </c>
      <c r="AK216" s="481">
        <f t="shared" si="542"/>
        <v>4.5399922514534688E-2</v>
      </c>
      <c r="AL216" s="445">
        <f>AL215/AG214</f>
        <v>4.5399922514534688E-2</v>
      </c>
      <c r="AM216" s="445">
        <f>AM215/AL214</f>
        <v>4.5607691273725312E-2</v>
      </c>
      <c r="AN216" s="445">
        <f>AN215/AM214</f>
        <v>3.6063697493619734E-2</v>
      </c>
    </row>
    <row r="217" spans="1:40">
      <c r="A217" s="130"/>
      <c r="B217" s="406"/>
      <c r="C217" s="398"/>
      <c r="D217" s="1033"/>
      <c r="E217" s="406"/>
      <c r="F217" s="406"/>
      <c r="G217" s="820"/>
      <c r="H217" s="406"/>
      <c r="I217" s="1033"/>
      <c r="J217" s="406"/>
      <c r="K217" s="406"/>
      <c r="L217" s="820"/>
      <c r="M217" s="406"/>
      <c r="N217" s="401"/>
      <c r="O217" s="401"/>
      <c r="P217" s="401"/>
      <c r="Q217" s="820"/>
      <c r="R217" s="406"/>
      <c r="S217" s="406"/>
      <c r="T217" s="406"/>
      <c r="U217" s="406"/>
      <c r="V217" s="406"/>
      <c r="W217" s="406"/>
      <c r="X217" s="406"/>
      <c r="Y217" s="406"/>
      <c r="Z217" s="406"/>
      <c r="AA217" s="406"/>
      <c r="AB217" s="406"/>
      <c r="AC217" s="406"/>
      <c r="AD217" s="406"/>
      <c r="AE217" s="406"/>
      <c r="AF217" s="406"/>
      <c r="AG217" s="406"/>
      <c r="AH217" s="406"/>
      <c r="AI217" s="406"/>
      <c r="AJ217" s="406"/>
      <c r="AK217" s="406"/>
      <c r="AL217" s="406"/>
      <c r="AM217" s="406"/>
      <c r="AN217" s="406"/>
    </row>
    <row r="218" spans="1:40">
      <c r="A218" s="130"/>
      <c r="B218" s="406"/>
      <c r="C218" s="398"/>
      <c r="D218" s="1033"/>
      <c r="E218" s="406"/>
      <c r="F218" s="406"/>
      <c r="G218" s="820"/>
      <c r="H218" s="406"/>
      <c r="I218" s="1033"/>
      <c r="J218" s="406"/>
      <c r="K218" s="406"/>
      <c r="L218" s="820"/>
      <c r="M218" s="406"/>
      <c r="N218" s="401"/>
      <c r="O218" s="401"/>
      <c r="P218" s="401"/>
      <c r="Q218" s="820"/>
      <c r="R218" s="406"/>
      <c r="S218" s="406"/>
      <c r="T218" s="406"/>
      <c r="U218" s="406"/>
      <c r="V218" s="406"/>
      <c r="W218" s="406"/>
      <c r="X218" s="406"/>
      <c r="Y218" s="406"/>
      <c r="Z218" s="406"/>
      <c r="AA218" s="406"/>
      <c r="AB218" s="406"/>
      <c r="AC218" s="406"/>
      <c r="AD218" s="406"/>
      <c r="AE218" s="406"/>
      <c r="AF218" s="406"/>
      <c r="AG218" s="406"/>
      <c r="AH218" s="406"/>
      <c r="AI218" s="406"/>
      <c r="AJ218" s="406"/>
      <c r="AK218" s="406"/>
      <c r="AL218" s="406"/>
      <c r="AM218" s="406"/>
      <c r="AN218" s="406"/>
    </row>
    <row r="219" spans="1:40" s="775" customFormat="1">
      <c r="A219" s="461" t="s">
        <v>1401</v>
      </c>
      <c r="B219" s="1037" t="str">
        <f>+Hilton!E$5</f>
        <v>2010</v>
      </c>
      <c r="C219" s="774" t="str">
        <f>+Hilton!F$5</f>
        <v>2011</v>
      </c>
      <c r="D219" s="1037" t="str">
        <f>+Hilton!G$5</f>
        <v>1Q12</v>
      </c>
      <c r="E219" s="773" t="str">
        <f>+Hilton!H$5</f>
        <v>2Q12</v>
      </c>
      <c r="F219" s="773" t="str">
        <f>+Hilton!I$5</f>
        <v>3Q12</v>
      </c>
      <c r="G219" s="776" t="str">
        <f>+Hilton!J$5</f>
        <v>4Q12</v>
      </c>
      <c r="H219" s="776">
        <f>+Hilton!K$5</f>
        <v>2012</v>
      </c>
      <c r="I219" s="1037" t="str">
        <f>+Hilton!L$5</f>
        <v>1Q13</v>
      </c>
      <c r="J219" s="773" t="str">
        <f>+Hilton!M$5</f>
        <v>2Q13</v>
      </c>
      <c r="K219" s="773" t="str">
        <f>+Hilton!N$5</f>
        <v>3Q13</v>
      </c>
      <c r="L219" s="776" t="str">
        <f>+Hilton!O$5</f>
        <v>4Q13</v>
      </c>
      <c r="M219" s="776">
        <f>+Hilton!P$5</f>
        <v>2013</v>
      </c>
      <c r="N219" s="773" t="str">
        <f>+Hilton!Q$5</f>
        <v>1Q14</v>
      </c>
      <c r="O219" s="773" t="str">
        <f>+Hilton!R$5</f>
        <v>2Q14</v>
      </c>
      <c r="P219" s="773" t="str">
        <f>+Hilton!S$5</f>
        <v>3Q14</v>
      </c>
      <c r="Q219" s="776" t="str">
        <f>+Hilton!T$5</f>
        <v>4Q14</v>
      </c>
      <c r="R219" s="774">
        <f>+Hilton!U$5</f>
        <v>2014</v>
      </c>
      <c r="S219" s="773" t="str">
        <f>+Hilton!V$5</f>
        <v>1Q15</v>
      </c>
      <c r="T219" s="773" t="str">
        <f>+Hilton!W$5</f>
        <v>2Q15</v>
      </c>
      <c r="U219" s="773" t="str">
        <f>+Hilton!X$5</f>
        <v>3Q15</v>
      </c>
      <c r="V219" s="776" t="str">
        <f>+Hilton!Y$5</f>
        <v>4Q15</v>
      </c>
      <c r="W219" s="774">
        <f>+Hilton!Z$5</f>
        <v>2015</v>
      </c>
      <c r="X219" s="773" t="str">
        <f>+Hilton!AA$5</f>
        <v>1Q16</v>
      </c>
      <c r="Y219" s="773" t="str">
        <f>+Hilton!AB$5</f>
        <v>2Q16</v>
      </c>
      <c r="Z219" s="773" t="str">
        <f>+Hilton!AC$5</f>
        <v>3Q16</v>
      </c>
      <c r="AA219" s="773" t="str">
        <f>+Hilton!AD$5</f>
        <v>4Q16</v>
      </c>
      <c r="AB219" s="774">
        <f>+Hilton!AE$5</f>
        <v>2016</v>
      </c>
      <c r="AC219" s="773" t="str">
        <f>+Hilton!AF$5</f>
        <v>1Q17</v>
      </c>
      <c r="AD219" s="773" t="str">
        <f>+Hilton!AG$5</f>
        <v>2Q17</v>
      </c>
      <c r="AE219" s="773" t="str">
        <f>+Hilton!AH$5</f>
        <v>3Q17</v>
      </c>
      <c r="AF219" s="776" t="str">
        <f>+Hilton!AI$5</f>
        <v>4Q17A</v>
      </c>
      <c r="AG219" s="774" t="str">
        <f>+Hilton!AJ$5</f>
        <v>2017A</v>
      </c>
      <c r="AH219" s="773" t="str">
        <f>+Hilton!AK$5</f>
        <v>1Q18E</v>
      </c>
      <c r="AI219" s="773" t="str">
        <f>+Hilton!AL$5</f>
        <v>2Q18E</v>
      </c>
      <c r="AJ219" s="773" t="str">
        <f>+Hilton!AM$5</f>
        <v>3Q18E</v>
      </c>
      <c r="AK219" s="776" t="str">
        <f>+Hilton!AN$5</f>
        <v>4Q18E</v>
      </c>
      <c r="AL219" s="774" t="str">
        <f>+Hilton!AO$5</f>
        <v>2018E</v>
      </c>
      <c r="AM219" s="774" t="str">
        <f>+Hilton!AP$5</f>
        <v>2019E</v>
      </c>
      <c r="AN219" s="774" t="str">
        <f>+Hilton!AQ$5</f>
        <v>2020E</v>
      </c>
    </row>
    <row r="220" spans="1:40" s="130" customFormat="1">
      <c r="A220" s="140"/>
      <c r="B220" s="1038"/>
      <c r="C220" s="397"/>
      <c r="D220" s="1038"/>
      <c r="E220" s="203"/>
      <c r="F220" s="203"/>
      <c r="G220" s="572"/>
      <c r="H220" s="572"/>
      <c r="I220" s="1038"/>
      <c r="J220" s="203"/>
      <c r="K220" s="203"/>
      <c r="L220" s="572"/>
      <c r="M220" s="572"/>
      <c r="N220" s="203"/>
      <c r="O220" s="203"/>
      <c r="P220" s="203"/>
      <c r="Q220" s="572"/>
      <c r="R220" s="397"/>
      <c r="S220" s="1038"/>
      <c r="T220" s="203"/>
      <c r="U220" s="203"/>
      <c r="V220" s="572"/>
      <c r="W220" s="397"/>
      <c r="X220" s="1038"/>
      <c r="Y220" s="203"/>
      <c r="Z220" s="203"/>
      <c r="AA220" s="203"/>
      <c r="AB220" s="397"/>
      <c r="AC220" s="203"/>
      <c r="AD220" s="203"/>
      <c r="AE220" s="203"/>
      <c r="AF220" s="572"/>
      <c r="AG220" s="397"/>
      <c r="AH220" s="203"/>
      <c r="AI220" s="203"/>
      <c r="AJ220" s="203"/>
      <c r="AK220" s="572"/>
      <c r="AL220" s="397"/>
      <c r="AM220" s="397"/>
      <c r="AN220" s="397"/>
    </row>
    <row r="221" spans="1:40">
      <c r="A221" s="141" t="s">
        <v>1589</v>
      </c>
      <c r="B221" s="394"/>
      <c r="C221" s="138"/>
      <c r="D221" s="394"/>
      <c r="E221" s="135"/>
      <c r="F221" s="135"/>
      <c r="G221" s="452"/>
      <c r="H221" s="452"/>
      <c r="I221" s="394"/>
      <c r="J221" s="135"/>
      <c r="K221" s="135"/>
      <c r="L221" s="452"/>
      <c r="M221" s="452"/>
      <c r="N221" s="130"/>
      <c r="O221" s="130"/>
      <c r="P221" s="130"/>
      <c r="Q221" s="452"/>
      <c r="R221" s="138"/>
      <c r="S221" s="394"/>
      <c r="T221" s="135"/>
      <c r="U221" s="135"/>
      <c r="V221" s="135"/>
      <c r="W221" s="138"/>
      <c r="X221" s="394"/>
      <c r="Y221" s="135"/>
      <c r="Z221" s="135"/>
      <c r="AA221" s="135"/>
      <c r="AB221" s="138"/>
      <c r="AC221" s="135"/>
      <c r="AD221" s="135"/>
      <c r="AE221" s="135"/>
      <c r="AF221" s="452"/>
      <c r="AG221" s="138"/>
      <c r="AH221" s="135"/>
      <c r="AI221" s="135"/>
      <c r="AJ221" s="135"/>
      <c r="AK221" s="452"/>
      <c r="AL221" s="138"/>
      <c r="AM221" s="138"/>
      <c r="AN221" s="138"/>
    </row>
    <row r="222" spans="1:40">
      <c r="A222" s="130" t="s">
        <v>2272</v>
      </c>
      <c r="B222" s="1030">
        <v>0</v>
      </c>
      <c r="C222" s="508">
        <v>0</v>
      </c>
      <c r="D222" s="1030">
        <v>0</v>
      </c>
      <c r="E222" s="912">
        <v>0</v>
      </c>
      <c r="F222" s="912">
        <v>0</v>
      </c>
      <c r="G222" s="1041">
        <v>0</v>
      </c>
      <c r="H222" s="820">
        <f>G222</f>
        <v>0</v>
      </c>
      <c r="I222" s="1030">
        <v>0</v>
      </c>
      <c r="J222" s="912">
        <v>0</v>
      </c>
      <c r="K222" s="912">
        <v>0</v>
      </c>
      <c r="L222" s="1041">
        <v>0</v>
      </c>
      <c r="M222" s="820">
        <f>L222</f>
        <v>0</v>
      </c>
      <c r="N222" s="1030">
        <v>0</v>
      </c>
      <c r="O222" s="912">
        <v>0</v>
      </c>
      <c r="P222" s="912">
        <v>0</v>
      </c>
      <c r="Q222" s="1041">
        <v>0</v>
      </c>
      <c r="R222" s="820">
        <f t="shared" ref="R222:R234" si="543">Q222</f>
        <v>0</v>
      </c>
      <c r="S222" s="1030">
        <v>0</v>
      </c>
      <c r="T222" s="912">
        <v>0</v>
      </c>
      <c r="U222" s="912">
        <v>0</v>
      </c>
      <c r="V222" s="912">
        <v>0</v>
      </c>
      <c r="W222" s="398">
        <f>V222</f>
        <v>0</v>
      </c>
      <c r="X222" s="2787">
        <v>0</v>
      </c>
      <c r="Y222" s="2791">
        <v>0</v>
      </c>
      <c r="Z222" s="2791">
        <v>0</v>
      </c>
      <c r="AA222" s="2791">
        <v>0</v>
      </c>
      <c r="AB222" s="398">
        <f>AA222</f>
        <v>0</v>
      </c>
      <c r="AC222" s="406">
        <f t="shared" ref="AC222:AC234" si="544">AA222</f>
        <v>0</v>
      </c>
      <c r="AD222" s="406">
        <f t="shared" ref="AD222:AD234" si="545">AC222</f>
        <v>0</v>
      </c>
      <c r="AE222" s="3665">
        <v>0</v>
      </c>
      <c r="AF222" s="406">
        <f t="shared" ref="AF222:AG234" si="546">AE222</f>
        <v>0</v>
      </c>
      <c r="AG222" s="398">
        <f t="shared" si="546"/>
        <v>0</v>
      </c>
      <c r="AH222" s="406">
        <f t="shared" ref="AH222:AH223" si="547">AG222</f>
        <v>0</v>
      </c>
      <c r="AI222" s="406">
        <f t="shared" ref="AI222:AI223" si="548">AH222</f>
        <v>0</v>
      </c>
      <c r="AJ222" s="406">
        <f t="shared" ref="AJ222:AJ223" si="549">AI222</f>
        <v>0</v>
      </c>
      <c r="AK222" s="820">
        <f t="shared" ref="AK222:AL234" si="550">AJ222</f>
        <v>0</v>
      </c>
      <c r="AL222" s="820">
        <f t="shared" si="550"/>
        <v>0</v>
      </c>
      <c r="AM222" s="398">
        <f t="shared" ref="AM222:AN234" si="551">AL222</f>
        <v>0</v>
      </c>
      <c r="AN222" s="398">
        <f t="shared" si="551"/>
        <v>0</v>
      </c>
    </row>
    <row r="223" spans="1:40">
      <c r="A223" s="130" t="s">
        <v>2273</v>
      </c>
      <c r="B223" s="1030">
        <v>1</v>
      </c>
      <c r="C223" s="508">
        <v>1</v>
      </c>
      <c r="D223" s="1030">
        <v>1</v>
      </c>
      <c r="E223" s="912">
        <v>1</v>
      </c>
      <c r="F223" s="912">
        <v>1</v>
      </c>
      <c r="G223" s="1041">
        <v>1</v>
      </c>
      <c r="H223" s="820">
        <f t="shared" ref="H223:H234" si="552">G223</f>
        <v>1</v>
      </c>
      <c r="I223" s="1030">
        <v>1</v>
      </c>
      <c r="J223" s="912">
        <v>1</v>
      </c>
      <c r="K223" s="912">
        <v>1</v>
      </c>
      <c r="L223" s="1041">
        <v>1</v>
      </c>
      <c r="M223" s="820">
        <f t="shared" ref="M223:M234" si="553">L223</f>
        <v>1</v>
      </c>
      <c r="N223" s="1030">
        <v>1</v>
      </c>
      <c r="O223" s="912">
        <v>1</v>
      </c>
      <c r="P223" s="912">
        <v>1</v>
      </c>
      <c r="Q223" s="1041">
        <v>1</v>
      </c>
      <c r="R223" s="820">
        <f t="shared" si="543"/>
        <v>1</v>
      </c>
      <c r="S223" s="1030">
        <v>1</v>
      </c>
      <c r="T223" s="912">
        <v>1</v>
      </c>
      <c r="U223" s="912">
        <v>1</v>
      </c>
      <c r="V223" s="912">
        <v>1</v>
      </c>
      <c r="W223" s="398">
        <f>V223</f>
        <v>1</v>
      </c>
      <c r="X223" s="2787">
        <v>1</v>
      </c>
      <c r="Y223" s="2791">
        <v>1</v>
      </c>
      <c r="Z223" s="2791">
        <v>1</v>
      </c>
      <c r="AA223" s="2791">
        <v>1</v>
      </c>
      <c r="AB223" s="398">
        <f>AA223</f>
        <v>1</v>
      </c>
      <c r="AC223" s="406">
        <f t="shared" si="544"/>
        <v>1</v>
      </c>
      <c r="AD223" s="406">
        <f t="shared" si="545"/>
        <v>1</v>
      </c>
      <c r="AE223" s="3665">
        <v>1</v>
      </c>
      <c r="AF223" s="3665">
        <v>1</v>
      </c>
      <c r="AG223" s="398">
        <f t="shared" si="546"/>
        <v>1</v>
      </c>
      <c r="AH223" s="406">
        <f t="shared" si="547"/>
        <v>1</v>
      </c>
      <c r="AI223" s="406">
        <f t="shared" si="548"/>
        <v>1</v>
      </c>
      <c r="AJ223" s="406">
        <f t="shared" si="549"/>
        <v>1</v>
      </c>
      <c r="AK223" s="820">
        <f t="shared" si="550"/>
        <v>1</v>
      </c>
      <c r="AL223" s="820">
        <f t="shared" si="550"/>
        <v>1</v>
      </c>
      <c r="AM223" s="398">
        <f t="shared" si="551"/>
        <v>1</v>
      </c>
      <c r="AN223" s="398">
        <f t="shared" si="551"/>
        <v>1</v>
      </c>
    </row>
    <row r="224" spans="1:40">
      <c r="A224" s="1828" t="s">
        <v>3022</v>
      </c>
      <c r="B224" s="1030"/>
      <c r="C224" s="508"/>
      <c r="D224" s="1030"/>
      <c r="E224" s="912"/>
      <c r="F224" s="912"/>
      <c r="G224" s="1041"/>
      <c r="H224" s="820"/>
      <c r="I224" s="1030"/>
      <c r="J224" s="912"/>
      <c r="K224" s="912"/>
      <c r="L224" s="1041"/>
      <c r="M224" s="820"/>
      <c r="N224" s="1030"/>
      <c r="O224" s="912"/>
      <c r="P224" s="912"/>
      <c r="Q224" s="1041"/>
      <c r="R224" s="820"/>
      <c r="S224" s="1030"/>
      <c r="T224" s="912"/>
      <c r="U224" s="912"/>
      <c r="V224" s="912"/>
      <c r="W224" s="398"/>
      <c r="X224" s="2787"/>
      <c r="Y224" s="2791"/>
      <c r="Z224" s="2791"/>
      <c r="AA224" s="2791">
        <v>0</v>
      </c>
      <c r="AB224" s="398">
        <f t="shared" ref="AB224:AG224" si="554">+AA224</f>
        <v>0</v>
      </c>
      <c r="AC224" s="2944">
        <f t="shared" si="554"/>
        <v>0</v>
      </c>
      <c r="AD224" s="406">
        <f t="shared" si="554"/>
        <v>0</v>
      </c>
      <c r="AE224" s="3665">
        <v>0</v>
      </c>
      <c r="AF224" s="406">
        <f t="shared" si="554"/>
        <v>0</v>
      </c>
      <c r="AG224" s="398">
        <f t="shared" si="554"/>
        <v>0</v>
      </c>
      <c r="AH224" s="406">
        <f t="shared" ref="AH224" si="555">+AG224</f>
        <v>0</v>
      </c>
      <c r="AI224" s="406">
        <f t="shared" ref="AI224" si="556">+AH224</f>
        <v>0</v>
      </c>
      <c r="AJ224" s="406">
        <f t="shared" ref="AJ224" si="557">+AI224</f>
        <v>0</v>
      </c>
      <c r="AK224" s="820">
        <f t="shared" ref="AK224:AL224" si="558">+AJ224</f>
        <v>0</v>
      </c>
      <c r="AL224" s="398">
        <f t="shared" si="558"/>
        <v>0</v>
      </c>
      <c r="AM224" s="398">
        <f t="shared" si="551"/>
        <v>0</v>
      </c>
      <c r="AN224" s="398">
        <f t="shared" si="551"/>
        <v>0</v>
      </c>
    </row>
    <row r="225" spans="1:40">
      <c r="A225" s="130" t="s">
        <v>2280</v>
      </c>
      <c r="B225" s="1030">
        <v>6</v>
      </c>
      <c r="C225" s="508">
        <v>6</v>
      </c>
      <c r="D225" s="1030">
        <v>6</v>
      </c>
      <c r="E225" s="912">
        <v>6</v>
      </c>
      <c r="F225" s="912">
        <v>6</v>
      </c>
      <c r="G225" s="1041">
        <v>6</v>
      </c>
      <c r="H225" s="820">
        <f t="shared" si="552"/>
        <v>6</v>
      </c>
      <c r="I225" s="1030">
        <v>6</v>
      </c>
      <c r="J225" s="912">
        <v>6</v>
      </c>
      <c r="K225" s="912">
        <v>6</v>
      </c>
      <c r="L225" s="1041">
        <v>6</v>
      </c>
      <c r="M225" s="820">
        <f t="shared" si="553"/>
        <v>6</v>
      </c>
      <c r="N225" s="1030">
        <v>6</v>
      </c>
      <c r="O225" s="912">
        <v>6</v>
      </c>
      <c r="P225" s="912">
        <v>6</v>
      </c>
      <c r="Q225" s="1041">
        <v>6</v>
      </c>
      <c r="R225" s="820">
        <f t="shared" si="543"/>
        <v>6</v>
      </c>
      <c r="S225" s="1030">
        <v>6</v>
      </c>
      <c r="T225" s="912">
        <v>6</v>
      </c>
      <c r="U225" s="912">
        <v>6</v>
      </c>
      <c r="V225" s="912">
        <v>6</v>
      </c>
      <c r="W225" s="398">
        <f>V225</f>
        <v>6</v>
      </c>
      <c r="X225" s="2787">
        <v>6</v>
      </c>
      <c r="Y225" s="2791">
        <v>6</v>
      </c>
      <c r="Z225" s="2791">
        <v>6</v>
      </c>
      <c r="AA225" s="2791">
        <v>6</v>
      </c>
      <c r="AB225" s="398">
        <f t="shared" ref="AB225:AB234" si="559">AA225</f>
        <v>6</v>
      </c>
      <c r="AC225" s="406">
        <f t="shared" si="544"/>
        <v>6</v>
      </c>
      <c r="AD225" s="406">
        <f t="shared" si="545"/>
        <v>6</v>
      </c>
      <c r="AE225" s="3665">
        <v>5</v>
      </c>
      <c r="AF225" s="3665">
        <v>5</v>
      </c>
      <c r="AG225" s="398">
        <f t="shared" si="546"/>
        <v>5</v>
      </c>
      <c r="AH225" s="406">
        <f t="shared" ref="AH225:AH234" si="560">AG225</f>
        <v>5</v>
      </c>
      <c r="AI225" s="406">
        <f t="shared" ref="AI225:AI234" si="561">AH225</f>
        <v>5</v>
      </c>
      <c r="AJ225" s="406">
        <f t="shared" ref="AJ225:AJ234" si="562">AI225</f>
        <v>5</v>
      </c>
      <c r="AK225" s="820">
        <f t="shared" ref="AK225:AK234" si="563">AJ225</f>
        <v>5</v>
      </c>
      <c r="AL225" s="820">
        <f t="shared" si="550"/>
        <v>5</v>
      </c>
      <c r="AM225" s="398">
        <f t="shared" si="551"/>
        <v>5</v>
      </c>
      <c r="AN225" s="398">
        <f t="shared" si="551"/>
        <v>5</v>
      </c>
    </row>
    <row r="226" spans="1:40">
      <c r="A226" s="130" t="s">
        <v>2323</v>
      </c>
      <c r="B226" s="1030"/>
      <c r="C226" s="508"/>
      <c r="D226" s="1030"/>
      <c r="E226" s="912"/>
      <c r="F226" s="912"/>
      <c r="G226" s="1041"/>
      <c r="H226" s="820"/>
      <c r="I226" s="1030"/>
      <c r="J226" s="912"/>
      <c r="K226" s="912"/>
      <c r="L226" s="1041"/>
      <c r="M226" s="820"/>
      <c r="N226" s="1030"/>
      <c r="O226" s="912"/>
      <c r="P226" s="912"/>
      <c r="Q226" s="1041"/>
      <c r="R226" s="820"/>
      <c r="S226" s="1030">
        <v>0</v>
      </c>
      <c r="T226" s="912">
        <v>0</v>
      </c>
      <c r="U226" s="912">
        <v>0</v>
      </c>
      <c r="V226" s="912">
        <v>0</v>
      </c>
      <c r="W226" s="398">
        <f>V226</f>
        <v>0</v>
      </c>
      <c r="X226" s="2787">
        <v>0</v>
      </c>
      <c r="Y226" s="2791">
        <v>0</v>
      </c>
      <c r="Z226" s="2791">
        <v>0</v>
      </c>
      <c r="AA226" s="2791">
        <v>0</v>
      </c>
      <c r="AB226" s="398">
        <f t="shared" si="559"/>
        <v>0</v>
      </c>
      <c r="AC226" s="406">
        <f t="shared" si="544"/>
        <v>0</v>
      </c>
      <c r="AD226" s="406">
        <f t="shared" si="545"/>
        <v>0</v>
      </c>
      <c r="AE226" s="3665">
        <f t="shared" ref="AE226:AE234" si="564">AD226</f>
        <v>0</v>
      </c>
      <c r="AF226" s="820">
        <f t="shared" si="546"/>
        <v>0</v>
      </c>
      <c r="AG226" s="820">
        <f>AF226</f>
        <v>0</v>
      </c>
      <c r="AH226" s="406">
        <f t="shared" si="560"/>
        <v>0</v>
      </c>
      <c r="AI226" s="406">
        <f t="shared" si="561"/>
        <v>0</v>
      </c>
      <c r="AJ226" s="406">
        <f t="shared" si="562"/>
        <v>0</v>
      </c>
      <c r="AK226" s="820">
        <f t="shared" si="563"/>
        <v>0</v>
      </c>
      <c r="AL226" s="820">
        <f>AK226</f>
        <v>0</v>
      </c>
      <c r="AM226" s="398">
        <f>AL226</f>
        <v>0</v>
      </c>
      <c r="AN226" s="398">
        <f>AM226</f>
        <v>0</v>
      </c>
    </row>
    <row r="227" spans="1:40">
      <c r="A227" s="130" t="s">
        <v>2274</v>
      </c>
      <c r="B227" s="1030">
        <v>0</v>
      </c>
      <c r="C227" s="508">
        <v>0</v>
      </c>
      <c r="D227" s="1030">
        <v>0</v>
      </c>
      <c r="E227" s="912">
        <v>0</v>
      </c>
      <c r="F227" s="912">
        <v>0</v>
      </c>
      <c r="G227" s="1041">
        <v>0</v>
      </c>
      <c r="H227" s="820">
        <f t="shared" si="552"/>
        <v>0</v>
      </c>
      <c r="I227" s="1030">
        <v>0</v>
      </c>
      <c r="J227" s="912">
        <v>0</v>
      </c>
      <c r="K227" s="912">
        <v>0</v>
      </c>
      <c r="L227" s="1041">
        <v>0</v>
      </c>
      <c r="M227" s="820">
        <f t="shared" si="553"/>
        <v>0</v>
      </c>
      <c r="N227" s="1030">
        <v>0</v>
      </c>
      <c r="O227" s="912">
        <v>0</v>
      </c>
      <c r="P227" s="912">
        <v>0</v>
      </c>
      <c r="Q227" s="1041">
        <v>0</v>
      </c>
      <c r="R227" s="820">
        <f t="shared" si="543"/>
        <v>0</v>
      </c>
      <c r="S227" s="1030">
        <v>0</v>
      </c>
      <c r="T227" s="912">
        <v>0</v>
      </c>
      <c r="U227" s="912">
        <v>0</v>
      </c>
      <c r="V227" s="912">
        <v>0</v>
      </c>
      <c r="W227" s="398">
        <f t="shared" ref="W227:W234" si="565">V227</f>
        <v>0</v>
      </c>
      <c r="X227" s="2787">
        <v>0</v>
      </c>
      <c r="Y227" s="2791">
        <v>0</v>
      </c>
      <c r="Z227" s="2791">
        <v>0</v>
      </c>
      <c r="AA227" s="2791">
        <v>0</v>
      </c>
      <c r="AB227" s="398">
        <f t="shared" si="559"/>
        <v>0</v>
      </c>
      <c r="AC227" s="406">
        <f t="shared" si="544"/>
        <v>0</v>
      </c>
      <c r="AD227" s="406">
        <f t="shared" si="545"/>
        <v>0</v>
      </c>
      <c r="AE227" s="3665">
        <f t="shared" si="564"/>
        <v>0</v>
      </c>
      <c r="AF227" s="820">
        <f t="shared" si="546"/>
        <v>0</v>
      </c>
      <c r="AG227" s="820">
        <f t="shared" si="546"/>
        <v>0</v>
      </c>
      <c r="AH227" s="406">
        <f t="shared" si="560"/>
        <v>0</v>
      </c>
      <c r="AI227" s="406">
        <f t="shared" si="561"/>
        <v>0</v>
      </c>
      <c r="AJ227" s="406">
        <f t="shared" si="562"/>
        <v>0</v>
      </c>
      <c r="AK227" s="820">
        <f t="shared" si="563"/>
        <v>0</v>
      </c>
      <c r="AL227" s="820">
        <f t="shared" si="550"/>
        <v>0</v>
      </c>
      <c r="AM227" s="820">
        <f t="shared" si="551"/>
        <v>0</v>
      </c>
      <c r="AN227" s="398">
        <f t="shared" si="551"/>
        <v>0</v>
      </c>
    </row>
    <row r="228" spans="1:40">
      <c r="A228" s="130" t="s">
        <v>2279</v>
      </c>
      <c r="B228" s="1030">
        <v>0</v>
      </c>
      <c r="C228" s="508">
        <v>0</v>
      </c>
      <c r="D228" s="1030">
        <v>0</v>
      </c>
      <c r="E228" s="912">
        <v>0</v>
      </c>
      <c r="F228" s="912">
        <v>0</v>
      </c>
      <c r="G228" s="1041">
        <v>0</v>
      </c>
      <c r="H228" s="820">
        <f t="shared" si="552"/>
        <v>0</v>
      </c>
      <c r="I228" s="1030">
        <v>0</v>
      </c>
      <c r="J228" s="912">
        <v>0</v>
      </c>
      <c r="K228" s="912">
        <v>0</v>
      </c>
      <c r="L228" s="1041">
        <v>0</v>
      </c>
      <c r="M228" s="820">
        <f t="shared" si="553"/>
        <v>0</v>
      </c>
      <c r="N228" s="1030">
        <v>0</v>
      </c>
      <c r="O228" s="912">
        <v>0</v>
      </c>
      <c r="P228" s="912">
        <v>0</v>
      </c>
      <c r="Q228" s="1041">
        <v>0</v>
      </c>
      <c r="R228" s="820">
        <f t="shared" si="543"/>
        <v>0</v>
      </c>
      <c r="S228" s="1030">
        <v>0</v>
      </c>
      <c r="T228" s="912">
        <v>0</v>
      </c>
      <c r="U228" s="912">
        <v>0</v>
      </c>
      <c r="V228" s="912">
        <v>0</v>
      </c>
      <c r="W228" s="398">
        <f t="shared" si="565"/>
        <v>0</v>
      </c>
      <c r="X228" s="2787">
        <v>0</v>
      </c>
      <c r="Y228" s="2791">
        <v>0</v>
      </c>
      <c r="Z228" s="2791">
        <v>0</v>
      </c>
      <c r="AA228" s="2791">
        <v>0</v>
      </c>
      <c r="AB228" s="398">
        <f t="shared" si="559"/>
        <v>0</v>
      </c>
      <c r="AC228" s="406">
        <f t="shared" si="544"/>
        <v>0</v>
      </c>
      <c r="AD228" s="406">
        <f t="shared" si="545"/>
        <v>0</v>
      </c>
      <c r="AE228" s="3665">
        <f t="shared" si="564"/>
        <v>0</v>
      </c>
      <c r="AF228" s="820">
        <f t="shared" si="546"/>
        <v>0</v>
      </c>
      <c r="AG228" s="820">
        <f t="shared" si="546"/>
        <v>0</v>
      </c>
      <c r="AH228" s="406">
        <f t="shared" si="560"/>
        <v>0</v>
      </c>
      <c r="AI228" s="406">
        <f t="shared" si="561"/>
        <v>0</v>
      </c>
      <c r="AJ228" s="406">
        <f t="shared" si="562"/>
        <v>0</v>
      </c>
      <c r="AK228" s="820">
        <f t="shared" si="563"/>
        <v>0</v>
      </c>
      <c r="AL228" s="820">
        <f t="shared" si="550"/>
        <v>0</v>
      </c>
      <c r="AM228" s="820">
        <f t="shared" si="551"/>
        <v>0</v>
      </c>
      <c r="AN228" s="398">
        <f t="shared" si="551"/>
        <v>0</v>
      </c>
    </row>
    <row r="229" spans="1:40">
      <c r="A229" s="130" t="s">
        <v>2275</v>
      </c>
      <c r="B229" s="1030">
        <v>0</v>
      </c>
      <c r="C229" s="508">
        <v>0</v>
      </c>
      <c r="D229" s="1030">
        <v>0</v>
      </c>
      <c r="E229" s="912">
        <v>0</v>
      </c>
      <c r="F229" s="912">
        <v>0</v>
      </c>
      <c r="G229" s="1041">
        <v>0</v>
      </c>
      <c r="H229" s="820">
        <f t="shared" si="552"/>
        <v>0</v>
      </c>
      <c r="I229" s="1030">
        <v>0</v>
      </c>
      <c r="J229" s="912">
        <v>0</v>
      </c>
      <c r="K229" s="912">
        <v>0</v>
      </c>
      <c r="L229" s="1041">
        <v>0</v>
      </c>
      <c r="M229" s="820">
        <f t="shared" si="553"/>
        <v>0</v>
      </c>
      <c r="N229" s="1030">
        <v>0</v>
      </c>
      <c r="O229" s="912">
        <v>0</v>
      </c>
      <c r="P229" s="912">
        <v>0</v>
      </c>
      <c r="Q229" s="1041">
        <v>0</v>
      </c>
      <c r="R229" s="820">
        <f t="shared" si="543"/>
        <v>0</v>
      </c>
      <c r="S229" s="1030">
        <v>0</v>
      </c>
      <c r="T229" s="912">
        <v>0</v>
      </c>
      <c r="U229" s="912">
        <v>0</v>
      </c>
      <c r="V229" s="912">
        <v>0</v>
      </c>
      <c r="W229" s="398">
        <f t="shared" si="565"/>
        <v>0</v>
      </c>
      <c r="X229" s="2787">
        <v>0</v>
      </c>
      <c r="Y229" s="2791">
        <v>0</v>
      </c>
      <c r="Z229" s="2791">
        <v>0</v>
      </c>
      <c r="AA229" s="2791">
        <v>0</v>
      </c>
      <c r="AB229" s="398">
        <f t="shared" si="559"/>
        <v>0</v>
      </c>
      <c r="AC229" s="406">
        <f t="shared" si="544"/>
        <v>0</v>
      </c>
      <c r="AD229" s="406">
        <f t="shared" si="545"/>
        <v>0</v>
      </c>
      <c r="AE229" s="3665">
        <f t="shared" si="564"/>
        <v>0</v>
      </c>
      <c r="AF229" s="820">
        <f t="shared" si="546"/>
        <v>0</v>
      </c>
      <c r="AG229" s="820">
        <f t="shared" si="546"/>
        <v>0</v>
      </c>
      <c r="AH229" s="406">
        <f t="shared" si="560"/>
        <v>0</v>
      </c>
      <c r="AI229" s="406">
        <f t="shared" si="561"/>
        <v>0</v>
      </c>
      <c r="AJ229" s="406">
        <f t="shared" si="562"/>
        <v>0</v>
      </c>
      <c r="AK229" s="820">
        <f t="shared" si="563"/>
        <v>0</v>
      </c>
      <c r="AL229" s="820">
        <f t="shared" si="550"/>
        <v>0</v>
      </c>
      <c r="AM229" s="820">
        <f t="shared" si="551"/>
        <v>0</v>
      </c>
      <c r="AN229" s="398">
        <f t="shared" si="551"/>
        <v>0</v>
      </c>
    </row>
    <row r="230" spans="1:40">
      <c r="A230" s="130" t="s">
        <v>2277</v>
      </c>
      <c r="B230" s="1030">
        <v>0</v>
      </c>
      <c r="C230" s="508">
        <v>0</v>
      </c>
      <c r="D230" s="1030">
        <v>0</v>
      </c>
      <c r="E230" s="912">
        <v>0</v>
      </c>
      <c r="F230" s="912">
        <v>0</v>
      </c>
      <c r="G230" s="1041">
        <v>0</v>
      </c>
      <c r="H230" s="820">
        <f t="shared" si="552"/>
        <v>0</v>
      </c>
      <c r="I230" s="1030">
        <v>0</v>
      </c>
      <c r="J230" s="912">
        <v>0</v>
      </c>
      <c r="K230" s="912">
        <v>0</v>
      </c>
      <c r="L230" s="1041">
        <v>0</v>
      </c>
      <c r="M230" s="820">
        <f t="shared" si="553"/>
        <v>0</v>
      </c>
      <c r="N230" s="1030">
        <v>0</v>
      </c>
      <c r="O230" s="912">
        <v>0</v>
      </c>
      <c r="P230" s="912">
        <v>0</v>
      </c>
      <c r="Q230" s="1041">
        <v>0</v>
      </c>
      <c r="R230" s="820">
        <f t="shared" si="543"/>
        <v>0</v>
      </c>
      <c r="S230" s="1030">
        <v>0</v>
      </c>
      <c r="T230" s="912">
        <v>0</v>
      </c>
      <c r="U230" s="912">
        <v>0</v>
      </c>
      <c r="V230" s="912">
        <v>0</v>
      </c>
      <c r="W230" s="398">
        <f t="shared" si="565"/>
        <v>0</v>
      </c>
      <c r="X230" s="2787">
        <v>0</v>
      </c>
      <c r="Y230" s="2791">
        <v>0</v>
      </c>
      <c r="Z230" s="2791">
        <v>0</v>
      </c>
      <c r="AA230" s="2791">
        <v>0</v>
      </c>
      <c r="AB230" s="398">
        <f t="shared" si="559"/>
        <v>0</v>
      </c>
      <c r="AC230" s="406">
        <f t="shared" si="544"/>
        <v>0</v>
      </c>
      <c r="AD230" s="406">
        <f t="shared" si="545"/>
        <v>0</v>
      </c>
      <c r="AE230" s="3665">
        <f t="shared" si="564"/>
        <v>0</v>
      </c>
      <c r="AF230" s="820">
        <f t="shared" si="546"/>
        <v>0</v>
      </c>
      <c r="AG230" s="820">
        <f t="shared" si="546"/>
        <v>0</v>
      </c>
      <c r="AH230" s="406">
        <f t="shared" si="560"/>
        <v>0</v>
      </c>
      <c r="AI230" s="406">
        <f t="shared" si="561"/>
        <v>0</v>
      </c>
      <c r="AJ230" s="406">
        <f t="shared" si="562"/>
        <v>0</v>
      </c>
      <c r="AK230" s="820">
        <f t="shared" si="563"/>
        <v>0</v>
      </c>
      <c r="AL230" s="820">
        <f t="shared" si="550"/>
        <v>0</v>
      </c>
      <c r="AM230" s="820">
        <f t="shared" si="551"/>
        <v>0</v>
      </c>
      <c r="AN230" s="398">
        <f t="shared" si="551"/>
        <v>0</v>
      </c>
    </row>
    <row r="231" spans="1:40">
      <c r="A231" s="130" t="s">
        <v>2278</v>
      </c>
      <c r="B231" s="1030">
        <v>0</v>
      </c>
      <c r="C231" s="508">
        <v>0</v>
      </c>
      <c r="D231" s="1030">
        <v>0</v>
      </c>
      <c r="E231" s="912">
        <v>0</v>
      </c>
      <c r="F231" s="912">
        <v>0</v>
      </c>
      <c r="G231" s="1041">
        <v>0</v>
      </c>
      <c r="H231" s="820">
        <f t="shared" si="552"/>
        <v>0</v>
      </c>
      <c r="I231" s="1030">
        <v>0</v>
      </c>
      <c r="J231" s="912">
        <v>0</v>
      </c>
      <c r="K231" s="912">
        <v>0</v>
      </c>
      <c r="L231" s="1041">
        <v>0</v>
      </c>
      <c r="M231" s="820">
        <f t="shared" si="553"/>
        <v>0</v>
      </c>
      <c r="N231" s="1030">
        <v>0</v>
      </c>
      <c r="O231" s="912">
        <v>0</v>
      </c>
      <c r="P231" s="912">
        <v>0</v>
      </c>
      <c r="Q231" s="1041">
        <v>0</v>
      </c>
      <c r="R231" s="820">
        <f t="shared" si="543"/>
        <v>0</v>
      </c>
      <c r="S231" s="1030">
        <v>0</v>
      </c>
      <c r="T231" s="912">
        <v>0</v>
      </c>
      <c r="U231" s="912">
        <v>0</v>
      </c>
      <c r="V231" s="912">
        <v>0</v>
      </c>
      <c r="W231" s="398">
        <f t="shared" si="565"/>
        <v>0</v>
      </c>
      <c r="X231" s="2787">
        <v>0</v>
      </c>
      <c r="Y231" s="2791">
        <v>0</v>
      </c>
      <c r="Z231" s="2791">
        <v>0</v>
      </c>
      <c r="AA231" s="2791">
        <v>0</v>
      </c>
      <c r="AB231" s="398">
        <f t="shared" si="559"/>
        <v>0</v>
      </c>
      <c r="AC231" s="406">
        <f t="shared" si="544"/>
        <v>0</v>
      </c>
      <c r="AD231" s="406">
        <f t="shared" si="545"/>
        <v>0</v>
      </c>
      <c r="AE231" s="3665">
        <f t="shared" si="564"/>
        <v>0</v>
      </c>
      <c r="AF231" s="820">
        <f t="shared" si="546"/>
        <v>0</v>
      </c>
      <c r="AG231" s="820">
        <f t="shared" si="546"/>
        <v>0</v>
      </c>
      <c r="AH231" s="406">
        <f t="shared" si="560"/>
        <v>0</v>
      </c>
      <c r="AI231" s="406">
        <f t="shared" si="561"/>
        <v>0</v>
      </c>
      <c r="AJ231" s="406">
        <f t="shared" si="562"/>
        <v>0</v>
      </c>
      <c r="AK231" s="820">
        <f t="shared" si="563"/>
        <v>0</v>
      </c>
      <c r="AL231" s="820">
        <f t="shared" si="550"/>
        <v>0</v>
      </c>
      <c r="AM231" s="820">
        <f t="shared" si="551"/>
        <v>0</v>
      </c>
      <c r="AN231" s="820">
        <f t="shared" si="551"/>
        <v>0</v>
      </c>
    </row>
    <row r="232" spans="1:40">
      <c r="A232" s="130" t="str">
        <f>$A$90</f>
        <v>Tru by Hilton</v>
      </c>
      <c r="B232" s="1030"/>
      <c r="C232" s="508"/>
      <c r="D232" s="1030"/>
      <c r="E232" s="912"/>
      <c r="F232" s="912"/>
      <c r="G232" s="1041"/>
      <c r="H232" s="820"/>
      <c r="I232" s="1030"/>
      <c r="J232" s="912"/>
      <c r="K232" s="912"/>
      <c r="L232" s="1041"/>
      <c r="M232" s="820"/>
      <c r="N232" s="1030"/>
      <c r="O232" s="912"/>
      <c r="P232" s="912"/>
      <c r="Q232" s="1041"/>
      <c r="R232" s="820"/>
      <c r="S232" s="1030"/>
      <c r="T232" s="912"/>
      <c r="U232" s="912"/>
      <c r="V232" s="912"/>
      <c r="W232" s="398"/>
      <c r="X232" s="2791"/>
      <c r="Y232" s="2791"/>
      <c r="Z232" s="2791"/>
      <c r="AA232" s="2791"/>
      <c r="AB232" s="398"/>
      <c r="AC232" s="406">
        <f t="shared" ref="AC232:AC233" si="566">AA232</f>
        <v>0</v>
      </c>
      <c r="AD232" s="406">
        <f t="shared" ref="AD232:AD233" si="567">AC232</f>
        <v>0</v>
      </c>
      <c r="AE232" s="3665">
        <f t="shared" ref="AE232:AE233" si="568">AD232</f>
        <v>0</v>
      </c>
      <c r="AF232" s="820">
        <f t="shared" ref="AF232:AF233" si="569">AE232</f>
        <v>0</v>
      </c>
      <c r="AG232" s="820">
        <f t="shared" ref="AG232:AG233" si="570">AF232</f>
        <v>0</v>
      </c>
      <c r="AH232" s="406">
        <f t="shared" si="560"/>
        <v>0</v>
      </c>
      <c r="AI232" s="406">
        <f t="shared" si="561"/>
        <v>0</v>
      </c>
      <c r="AJ232" s="406">
        <f t="shared" si="562"/>
        <v>0</v>
      </c>
      <c r="AK232" s="820">
        <f t="shared" si="563"/>
        <v>0</v>
      </c>
      <c r="AL232" s="820">
        <f t="shared" si="550"/>
        <v>0</v>
      </c>
      <c r="AM232" s="820">
        <f t="shared" ref="AM232:AM233" si="571">AL232</f>
        <v>0</v>
      </c>
      <c r="AN232" s="820">
        <f t="shared" ref="AN232:AN233" si="572">AM232</f>
        <v>0</v>
      </c>
    </row>
    <row r="233" spans="1:40">
      <c r="A233" s="130" t="str">
        <f>$A$91</f>
        <v>Tapestry Collection by Hilton</v>
      </c>
      <c r="B233" s="1030"/>
      <c r="C233" s="508"/>
      <c r="D233" s="1030"/>
      <c r="E233" s="912"/>
      <c r="F233" s="912"/>
      <c r="G233" s="1041"/>
      <c r="H233" s="820"/>
      <c r="I233" s="1030"/>
      <c r="J233" s="912"/>
      <c r="K233" s="912"/>
      <c r="L233" s="1041"/>
      <c r="M233" s="820"/>
      <c r="N233" s="1030"/>
      <c r="O233" s="912"/>
      <c r="P233" s="912"/>
      <c r="Q233" s="1041"/>
      <c r="R233" s="820"/>
      <c r="S233" s="1030"/>
      <c r="T233" s="912"/>
      <c r="U233" s="912"/>
      <c r="V233" s="912"/>
      <c r="W233" s="398"/>
      <c r="X233" s="2791"/>
      <c r="Y233" s="2791"/>
      <c r="Z233" s="2791"/>
      <c r="AA233" s="2791"/>
      <c r="AB233" s="398"/>
      <c r="AC233" s="406">
        <f t="shared" si="566"/>
        <v>0</v>
      </c>
      <c r="AD233" s="406">
        <f t="shared" si="567"/>
        <v>0</v>
      </c>
      <c r="AE233" s="3665">
        <f t="shared" si="568"/>
        <v>0</v>
      </c>
      <c r="AF233" s="820">
        <f t="shared" si="569"/>
        <v>0</v>
      </c>
      <c r="AG233" s="820">
        <f t="shared" si="570"/>
        <v>0</v>
      </c>
      <c r="AH233" s="406">
        <f t="shared" si="560"/>
        <v>0</v>
      </c>
      <c r="AI233" s="406">
        <f t="shared" si="561"/>
        <v>0</v>
      </c>
      <c r="AJ233" s="406">
        <f t="shared" si="562"/>
        <v>0</v>
      </c>
      <c r="AK233" s="820">
        <f t="shared" si="563"/>
        <v>0</v>
      </c>
      <c r="AL233" s="820">
        <f t="shared" si="550"/>
        <v>0</v>
      </c>
      <c r="AM233" s="820">
        <f t="shared" si="571"/>
        <v>0</v>
      </c>
      <c r="AN233" s="820">
        <f t="shared" si="572"/>
        <v>0</v>
      </c>
    </row>
    <row r="234" spans="1:40" s="5" customFormat="1">
      <c r="A234" s="402" t="s">
        <v>2276</v>
      </c>
      <c r="B234" s="1031">
        <v>0</v>
      </c>
      <c r="C234" s="1029">
        <v>0</v>
      </c>
      <c r="D234" s="1031">
        <v>0</v>
      </c>
      <c r="E234" s="1039">
        <v>0</v>
      </c>
      <c r="F234" s="1039">
        <v>0</v>
      </c>
      <c r="G234" s="1042">
        <v>0</v>
      </c>
      <c r="H234" s="700">
        <f t="shared" si="552"/>
        <v>0</v>
      </c>
      <c r="I234" s="1031">
        <v>0</v>
      </c>
      <c r="J234" s="1039">
        <v>0</v>
      </c>
      <c r="K234" s="1039">
        <v>0</v>
      </c>
      <c r="L234" s="1042">
        <v>0</v>
      </c>
      <c r="M234" s="700">
        <f t="shared" si="553"/>
        <v>0</v>
      </c>
      <c r="N234" s="1031">
        <v>0</v>
      </c>
      <c r="O234" s="1039">
        <v>0</v>
      </c>
      <c r="P234" s="1039">
        <v>0</v>
      </c>
      <c r="Q234" s="1042">
        <v>0</v>
      </c>
      <c r="R234" s="700">
        <f t="shared" si="543"/>
        <v>0</v>
      </c>
      <c r="S234" s="1031">
        <v>0</v>
      </c>
      <c r="T234" s="1039">
        <v>0</v>
      </c>
      <c r="U234" s="1039">
        <v>0</v>
      </c>
      <c r="V234" s="1039">
        <v>0</v>
      </c>
      <c r="W234" s="403">
        <f t="shared" si="565"/>
        <v>0</v>
      </c>
      <c r="X234" s="2788">
        <v>0</v>
      </c>
      <c r="Y234" s="2839">
        <v>0</v>
      </c>
      <c r="Z234" s="2839">
        <v>0</v>
      </c>
      <c r="AA234" s="2839">
        <v>0</v>
      </c>
      <c r="AB234" s="403">
        <f t="shared" si="559"/>
        <v>0</v>
      </c>
      <c r="AC234" s="2392">
        <f t="shared" si="544"/>
        <v>0</v>
      </c>
      <c r="AD234" s="2392">
        <f t="shared" si="545"/>
        <v>0</v>
      </c>
      <c r="AE234" s="4002">
        <f t="shared" si="564"/>
        <v>0</v>
      </c>
      <c r="AF234" s="700">
        <f t="shared" si="546"/>
        <v>0</v>
      </c>
      <c r="AG234" s="700">
        <f t="shared" si="546"/>
        <v>0</v>
      </c>
      <c r="AH234" s="2392">
        <f t="shared" si="560"/>
        <v>0</v>
      </c>
      <c r="AI234" s="2392">
        <f t="shared" si="561"/>
        <v>0</v>
      </c>
      <c r="AJ234" s="2392">
        <f t="shared" si="562"/>
        <v>0</v>
      </c>
      <c r="AK234" s="700">
        <f t="shared" si="563"/>
        <v>0</v>
      </c>
      <c r="AL234" s="700">
        <f t="shared" si="550"/>
        <v>0</v>
      </c>
      <c r="AM234" s="700">
        <f t="shared" si="551"/>
        <v>0</v>
      </c>
      <c r="AN234" s="700">
        <f t="shared" si="551"/>
        <v>0</v>
      </c>
    </row>
    <row r="235" spans="1:40">
      <c r="A235" s="482" t="s">
        <v>1687</v>
      </c>
      <c r="B235" s="1032">
        <f t="shared" ref="B235:AN235" si="573">SUM(B222:B234)</f>
        <v>7</v>
      </c>
      <c r="C235" s="400">
        <f t="shared" si="573"/>
        <v>7</v>
      </c>
      <c r="D235" s="1032">
        <f t="shared" si="573"/>
        <v>7</v>
      </c>
      <c r="E235" s="405">
        <f t="shared" si="573"/>
        <v>7</v>
      </c>
      <c r="F235" s="405">
        <f t="shared" si="573"/>
        <v>7</v>
      </c>
      <c r="G235" s="821">
        <f t="shared" si="573"/>
        <v>7</v>
      </c>
      <c r="H235" s="821">
        <f t="shared" si="573"/>
        <v>7</v>
      </c>
      <c r="I235" s="1032">
        <f t="shared" si="573"/>
        <v>7</v>
      </c>
      <c r="J235" s="405">
        <f t="shared" si="573"/>
        <v>7</v>
      </c>
      <c r="K235" s="405">
        <f t="shared" si="573"/>
        <v>7</v>
      </c>
      <c r="L235" s="821">
        <f t="shared" si="573"/>
        <v>7</v>
      </c>
      <c r="M235" s="821">
        <f t="shared" si="573"/>
        <v>7</v>
      </c>
      <c r="N235" s="1032">
        <f t="shared" si="573"/>
        <v>7</v>
      </c>
      <c r="O235" s="405">
        <f t="shared" si="573"/>
        <v>7</v>
      </c>
      <c r="P235" s="405">
        <f t="shared" si="573"/>
        <v>7</v>
      </c>
      <c r="Q235" s="821">
        <f t="shared" si="573"/>
        <v>7</v>
      </c>
      <c r="R235" s="821">
        <f t="shared" si="573"/>
        <v>7</v>
      </c>
      <c r="S235" s="1032">
        <f t="shared" si="573"/>
        <v>7</v>
      </c>
      <c r="T235" s="405">
        <f t="shared" si="573"/>
        <v>7</v>
      </c>
      <c r="U235" s="405">
        <f>SUM(U222:U234)</f>
        <v>7</v>
      </c>
      <c r="V235" s="405">
        <f>SUM(V222:V234)</f>
        <v>7</v>
      </c>
      <c r="W235" s="400">
        <f t="shared" si="573"/>
        <v>7</v>
      </c>
      <c r="X235" s="1032">
        <f t="shared" ref="X235:AG235" si="574">SUM(X222:X234)</f>
        <v>7</v>
      </c>
      <c r="Y235" s="405">
        <f t="shared" si="574"/>
        <v>7</v>
      </c>
      <c r="Z235" s="405">
        <f>SUM(Z222:Z234)</f>
        <v>7</v>
      </c>
      <c r="AA235" s="405">
        <f>SUM(AA222:AA234)</f>
        <v>7</v>
      </c>
      <c r="AB235" s="400">
        <f t="shared" si="574"/>
        <v>7</v>
      </c>
      <c r="AC235" s="405">
        <f t="shared" si="574"/>
        <v>7</v>
      </c>
      <c r="AD235" s="405">
        <f t="shared" si="574"/>
        <v>7</v>
      </c>
      <c r="AE235" s="405">
        <f t="shared" si="574"/>
        <v>6</v>
      </c>
      <c r="AF235" s="821">
        <f t="shared" si="574"/>
        <v>6</v>
      </c>
      <c r="AG235" s="400">
        <f t="shared" si="574"/>
        <v>6</v>
      </c>
      <c r="AH235" s="405">
        <f t="shared" ref="AH235:AL235" si="575">SUM(AH222:AH234)</f>
        <v>6</v>
      </c>
      <c r="AI235" s="405">
        <f t="shared" si="575"/>
        <v>6</v>
      </c>
      <c r="AJ235" s="405">
        <f t="shared" si="575"/>
        <v>6</v>
      </c>
      <c r="AK235" s="821">
        <f t="shared" si="575"/>
        <v>6</v>
      </c>
      <c r="AL235" s="400">
        <f t="shared" si="575"/>
        <v>6</v>
      </c>
      <c r="AM235" s="821">
        <f t="shared" si="573"/>
        <v>6</v>
      </c>
      <c r="AN235" s="821">
        <f t="shared" si="573"/>
        <v>6</v>
      </c>
    </row>
    <row r="236" spans="1:40">
      <c r="A236" s="130"/>
      <c r="B236" s="1033"/>
      <c r="C236" s="398"/>
      <c r="D236" s="1033"/>
      <c r="E236" s="406"/>
      <c r="F236" s="406"/>
      <c r="G236" s="820"/>
      <c r="H236" s="820"/>
      <c r="I236" s="1033"/>
      <c r="J236" s="406"/>
      <c r="K236" s="406"/>
      <c r="L236" s="820"/>
      <c r="M236" s="820"/>
      <c r="N236" s="401"/>
      <c r="O236" s="406"/>
      <c r="P236" s="406"/>
      <c r="Q236" s="820"/>
      <c r="R236" s="820"/>
      <c r="S236" s="1033"/>
      <c r="T236" s="406"/>
      <c r="U236" s="406"/>
      <c r="V236" s="406"/>
      <c r="W236" s="398"/>
      <c r="X236" s="1033"/>
      <c r="Y236" s="406"/>
      <c r="Z236" s="406"/>
      <c r="AA236" s="406"/>
      <c r="AB236" s="398"/>
      <c r="AC236" s="406"/>
      <c r="AD236" s="406"/>
      <c r="AE236" s="406"/>
      <c r="AF236" s="820"/>
      <c r="AG236" s="398"/>
      <c r="AH236" s="406"/>
      <c r="AI236" s="406"/>
      <c r="AJ236" s="406"/>
      <c r="AK236" s="820"/>
      <c r="AL236" s="398"/>
      <c r="AM236" s="820"/>
      <c r="AN236" s="820"/>
    </row>
    <row r="237" spans="1:40">
      <c r="A237" s="295" t="s">
        <v>1283</v>
      </c>
      <c r="B237" s="1033"/>
      <c r="C237" s="398"/>
      <c r="D237" s="1033"/>
      <c r="E237" s="406"/>
      <c r="F237" s="406"/>
      <c r="G237" s="820"/>
      <c r="H237" s="820"/>
      <c r="I237" s="1033"/>
      <c r="J237" s="406"/>
      <c r="K237" s="406"/>
      <c r="L237" s="820"/>
      <c r="M237" s="820"/>
      <c r="N237" s="401"/>
      <c r="O237" s="406"/>
      <c r="P237" s="406"/>
      <c r="Q237" s="820"/>
      <c r="R237" s="820"/>
      <c r="S237" s="1033"/>
      <c r="T237" s="406"/>
      <c r="U237" s="406"/>
      <c r="V237" s="406"/>
      <c r="W237" s="398"/>
      <c r="X237" s="1033"/>
      <c r="Y237" s="406"/>
      <c r="Z237" s="406"/>
      <c r="AA237" s="406"/>
      <c r="AB237" s="398"/>
      <c r="AC237" s="406"/>
      <c r="AD237" s="406"/>
      <c r="AE237" s="406"/>
      <c r="AF237" s="820"/>
      <c r="AG237" s="398"/>
      <c r="AH237" s="406"/>
      <c r="AI237" s="406"/>
      <c r="AJ237" s="406"/>
      <c r="AK237" s="820"/>
      <c r="AL237" s="398"/>
      <c r="AM237" s="820"/>
      <c r="AN237" s="820"/>
    </row>
    <row r="238" spans="1:40">
      <c r="A238" s="130" t="str">
        <f>A$9</f>
        <v>Waldorf Astoria Hotels &amp; Resorts (Luxury)</v>
      </c>
      <c r="B238" s="1030">
        <v>1</v>
      </c>
      <c r="C238" s="508">
        <v>1</v>
      </c>
      <c r="D238" s="1030">
        <v>1</v>
      </c>
      <c r="E238" s="912">
        <v>1</v>
      </c>
      <c r="F238" s="912">
        <v>1</v>
      </c>
      <c r="G238" s="1041">
        <v>1</v>
      </c>
      <c r="H238" s="820">
        <f>G238</f>
        <v>1</v>
      </c>
      <c r="I238" s="1030">
        <v>1</v>
      </c>
      <c r="J238" s="912">
        <v>1</v>
      </c>
      <c r="K238" s="912">
        <v>2</v>
      </c>
      <c r="L238" s="1041">
        <v>3</v>
      </c>
      <c r="M238" s="820">
        <f>L238</f>
        <v>3</v>
      </c>
      <c r="N238" s="1030">
        <v>3</v>
      </c>
      <c r="O238" s="912">
        <v>3</v>
      </c>
      <c r="P238" s="912">
        <v>3</v>
      </c>
      <c r="Q238" s="1041">
        <v>3</v>
      </c>
      <c r="R238" s="1714">
        <f t="shared" ref="R238:R250" si="576">Q238</f>
        <v>3</v>
      </c>
      <c r="S238" s="1030">
        <v>3</v>
      </c>
      <c r="T238" s="912">
        <v>3</v>
      </c>
      <c r="U238" s="912">
        <v>3</v>
      </c>
      <c r="V238" s="912">
        <v>3</v>
      </c>
      <c r="W238" s="1716">
        <f t="shared" ref="W238:W250" si="577">V238</f>
        <v>3</v>
      </c>
      <c r="X238" s="2787">
        <v>3</v>
      </c>
      <c r="Y238" s="2791">
        <v>3</v>
      </c>
      <c r="Z238" s="2791">
        <v>3</v>
      </c>
      <c r="AA238" s="2791">
        <v>3</v>
      </c>
      <c r="AB238" s="1716">
        <f t="shared" ref="AB238:AB250" si="578">AA238</f>
        <v>3</v>
      </c>
      <c r="AC238" s="1715">
        <f>AA238*(1+AC$884)</f>
        <v>3.0300000000000002</v>
      </c>
      <c r="AD238" s="1715">
        <f t="shared" ref="AD238:AD239" si="579">AC238*(1+AD$884)</f>
        <v>3.0597825296939654</v>
      </c>
      <c r="AE238" s="3665">
        <v>3</v>
      </c>
      <c r="AF238" s="3665">
        <v>3</v>
      </c>
      <c r="AG238" s="1716">
        <f t="shared" ref="AG238:AG250" si="580">AF238</f>
        <v>3</v>
      </c>
      <c r="AH238" s="1715">
        <f t="shared" ref="AH238:AH239" si="581">AG238*(1+AH$884)</f>
        <v>3.0449999999999999</v>
      </c>
      <c r="AI238" s="1715">
        <f t="shared" ref="AI238:AI239" si="582">AH238*(1+AI$884)</f>
        <v>3.0906749999999996</v>
      </c>
      <c r="AJ238" s="1715">
        <f t="shared" ref="AJ238:AJ239" si="583">AI238*(1+AJ$884)</f>
        <v>3.1370351249999993</v>
      </c>
      <c r="AK238" s="1714">
        <f t="shared" ref="AK238:AK239" si="584">AJ238*(1+AK$884)</f>
        <v>3.1840906518749987</v>
      </c>
      <c r="AL238" s="1714">
        <f t="shared" ref="AL238:AL250" si="585">AK238</f>
        <v>3.1840906518749987</v>
      </c>
      <c r="AM238" s="1716">
        <f t="shared" ref="AM238:AN239" si="586">AL238*(1+AM$883)</f>
        <v>3.3273747312093733</v>
      </c>
      <c r="AN238" s="1716">
        <f t="shared" si="586"/>
        <v>3.4271959731456545</v>
      </c>
    </row>
    <row r="239" spans="1:40">
      <c r="A239" s="130" t="str">
        <f>A$10</f>
        <v>Conrad Hotels &amp; Resorts (Luxury)</v>
      </c>
      <c r="B239" s="1030">
        <v>0</v>
      </c>
      <c r="C239" s="508">
        <v>0</v>
      </c>
      <c r="D239" s="1030">
        <v>0</v>
      </c>
      <c r="E239" s="912">
        <v>0</v>
      </c>
      <c r="F239" s="912">
        <v>0</v>
      </c>
      <c r="G239" s="1041">
        <v>1</v>
      </c>
      <c r="H239" s="820">
        <f t="shared" ref="H239:H250" si="587">G239</f>
        <v>1</v>
      </c>
      <c r="I239" s="1030">
        <v>1</v>
      </c>
      <c r="J239" s="912">
        <v>1</v>
      </c>
      <c r="K239" s="912">
        <v>2</v>
      </c>
      <c r="L239" s="1041">
        <v>2</v>
      </c>
      <c r="M239" s="820">
        <f t="shared" ref="M239:M250" si="588">L239</f>
        <v>2</v>
      </c>
      <c r="N239" s="1030">
        <v>2</v>
      </c>
      <c r="O239" s="912">
        <v>2</v>
      </c>
      <c r="P239" s="912">
        <v>2</v>
      </c>
      <c r="Q239" s="1041">
        <v>2</v>
      </c>
      <c r="R239" s="1714">
        <f t="shared" si="576"/>
        <v>2</v>
      </c>
      <c r="S239" s="1030">
        <v>2</v>
      </c>
      <c r="T239" s="912">
        <v>2</v>
      </c>
      <c r="U239" s="912">
        <v>2</v>
      </c>
      <c r="V239" s="912">
        <v>2</v>
      </c>
      <c r="W239" s="1716">
        <f t="shared" si="577"/>
        <v>2</v>
      </c>
      <c r="X239" s="2787">
        <v>2</v>
      </c>
      <c r="Y239" s="2791">
        <v>3</v>
      </c>
      <c r="Z239" s="2791">
        <v>3</v>
      </c>
      <c r="AA239" s="2791">
        <v>3</v>
      </c>
      <c r="AB239" s="1716">
        <f t="shared" si="578"/>
        <v>3</v>
      </c>
      <c r="AC239" s="1715">
        <f>AA239*(1+AC$884)</f>
        <v>3.0300000000000002</v>
      </c>
      <c r="AD239" s="1715">
        <f t="shared" si="579"/>
        <v>3.0597825296939654</v>
      </c>
      <c r="AE239" s="3665">
        <v>3</v>
      </c>
      <c r="AF239" s="3665">
        <v>3</v>
      </c>
      <c r="AG239" s="1716">
        <f t="shared" si="580"/>
        <v>3</v>
      </c>
      <c r="AH239" s="1715">
        <f t="shared" si="581"/>
        <v>3.0449999999999999</v>
      </c>
      <c r="AI239" s="1715">
        <f t="shared" si="582"/>
        <v>3.0906749999999996</v>
      </c>
      <c r="AJ239" s="1715">
        <f t="shared" si="583"/>
        <v>3.1370351249999993</v>
      </c>
      <c r="AK239" s="1714">
        <f t="shared" si="584"/>
        <v>3.1840906518749987</v>
      </c>
      <c r="AL239" s="1714">
        <f t="shared" si="585"/>
        <v>3.1840906518749987</v>
      </c>
      <c r="AM239" s="1716">
        <f t="shared" si="586"/>
        <v>3.3273747312093733</v>
      </c>
      <c r="AN239" s="1716">
        <f t="shared" si="586"/>
        <v>3.4271959731456545</v>
      </c>
    </row>
    <row r="240" spans="1:40">
      <c r="A240" s="1828" t="s">
        <v>3022</v>
      </c>
      <c r="B240" s="1030"/>
      <c r="C240" s="508"/>
      <c r="D240" s="1030"/>
      <c r="E240" s="912"/>
      <c r="F240" s="912"/>
      <c r="G240" s="1041"/>
      <c r="H240" s="820"/>
      <c r="I240" s="1030"/>
      <c r="J240" s="912"/>
      <c r="K240" s="912"/>
      <c r="L240" s="1041"/>
      <c r="M240" s="820"/>
      <c r="N240" s="1030"/>
      <c r="O240" s="912"/>
      <c r="P240" s="912"/>
      <c r="Q240" s="1041"/>
      <c r="R240" s="820"/>
      <c r="S240" s="1030"/>
      <c r="T240" s="912"/>
      <c r="U240" s="912"/>
      <c r="V240" s="912"/>
      <c r="W240" s="398"/>
      <c r="X240" s="2787"/>
      <c r="Y240" s="2791"/>
      <c r="Z240" s="2791"/>
      <c r="AA240" s="2791">
        <v>0</v>
      </c>
      <c r="AB240" s="398">
        <f t="shared" ref="AB240:AG240" si="589">+AA240</f>
        <v>0</v>
      </c>
      <c r="AC240" s="2944">
        <f t="shared" si="589"/>
        <v>0</v>
      </c>
      <c r="AD240" s="406">
        <f t="shared" si="589"/>
        <v>0</v>
      </c>
      <c r="AE240" s="3665">
        <v>0</v>
      </c>
      <c r="AF240" s="406">
        <f t="shared" si="589"/>
        <v>0</v>
      </c>
      <c r="AG240" s="398">
        <f t="shared" si="589"/>
        <v>0</v>
      </c>
      <c r="AH240" s="406">
        <f t="shared" ref="AH240" si="590">+AG240</f>
        <v>0</v>
      </c>
      <c r="AI240" s="406">
        <f t="shared" ref="AI240" si="591">+AH240</f>
        <v>0</v>
      </c>
      <c r="AJ240" s="406">
        <f t="shared" ref="AJ240" si="592">+AI240</f>
        <v>0</v>
      </c>
      <c r="AK240" s="820">
        <f t="shared" ref="AK240:AL240" si="593">+AJ240</f>
        <v>0</v>
      </c>
      <c r="AL240" s="398">
        <f t="shared" si="593"/>
        <v>0</v>
      </c>
      <c r="AM240" s="398">
        <f>AL240</f>
        <v>0</v>
      </c>
      <c r="AN240" s="398">
        <f>AM240</f>
        <v>0</v>
      </c>
    </row>
    <row r="241" spans="1:40">
      <c r="A241" s="130" t="str">
        <f>A$12</f>
        <v>Hilton Hotels &amp; Resorts (Upper Up)</v>
      </c>
      <c r="B241" s="1030">
        <v>32</v>
      </c>
      <c r="C241" s="508">
        <v>38</v>
      </c>
      <c r="D241" s="1030">
        <v>37</v>
      </c>
      <c r="E241" s="912">
        <v>40</v>
      </c>
      <c r="F241" s="912">
        <v>40</v>
      </c>
      <c r="G241" s="1041">
        <v>40</v>
      </c>
      <c r="H241" s="820">
        <f t="shared" si="587"/>
        <v>40</v>
      </c>
      <c r="I241" s="1030">
        <v>42</v>
      </c>
      <c r="J241" s="912">
        <v>42</v>
      </c>
      <c r="K241" s="912">
        <v>43</v>
      </c>
      <c r="L241" s="1041">
        <v>43</v>
      </c>
      <c r="M241" s="820">
        <f t="shared" si="588"/>
        <v>43</v>
      </c>
      <c r="N241" s="1030">
        <v>44</v>
      </c>
      <c r="O241" s="912">
        <v>44</v>
      </c>
      <c r="P241" s="912">
        <v>44</v>
      </c>
      <c r="Q241" s="1041">
        <v>44</v>
      </c>
      <c r="R241" s="1714">
        <f t="shared" si="576"/>
        <v>44</v>
      </c>
      <c r="S241" s="1030">
        <v>43</v>
      </c>
      <c r="T241" s="912">
        <v>43</v>
      </c>
      <c r="U241" s="912">
        <v>44</v>
      </c>
      <c r="V241" s="912">
        <v>45</v>
      </c>
      <c r="W241" s="1716">
        <f t="shared" si="577"/>
        <v>45</v>
      </c>
      <c r="X241" s="2787">
        <v>45</v>
      </c>
      <c r="Y241" s="2791">
        <v>45</v>
      </c>
      <c r="Z241" s="2791">
        <v>45</v>
      </c>
      <c r="AA241" s="2791">
        <v>45</v>
      </c>
      <c r="AB241" s="1716">
        <f t="shared" si="578"/>
        <v>45</v>
      </c>
      <c r="AC241" s="1715">
        <f>AA241*(1+AC$884)</f>
        <v>45.45</v>
      </c>
      <c r="AD241" s="3879">
        <v>46</v>
      </c>
      <c r="AE241" s="3665">
        <v>43</v>
      </c>
      <c r="AF241" s="3665">
        <v>44</v>
      </c>
      <c r="AG241" s="1716">
        <f t="shared" si="580"/>
        <v>44</v>
      </c>
      <c r="AH241" s="1715">
        <f t="shared" ref="AH241:AK241" si="594">AG241*(1+AH$884)</f>
        <v>44.66</v>
      </c>
      <c r="AI241" s="1715">
        <f t="shared" si="594"/>
        <v>45.329899999999995</v>
      </c>
      <c r="AJ241" s="1715">
        <f t="shared" si="594"/>
        <v>46.00984849999999</v>
      </c>
      <c r="AK241" s="1714">
        <f t="shared" si="594"/>
        <v>46.699996227499987</v>
      </c>
      <c r="AL241" s="1714">
        <f t="shared" si="585"/>
        <v>46.699996227499987</v>
      </c>
      <c r="AM241" s="1716">
        <f>AL241*(1+AM$883)</f>
        <v>48.801496057737481</v>
      </c>
      <c r="AN241" s="1716">
        <f>AM241*(1+AN$883)</f>
        <v>50.265540939469609</v>
      </c>
    </row>
    <row r="242" spans="1:40">
      <c r="A242" s="130" t="str">
        <f>A$13</f>
        <v xml:space="preserve">Curio - A Collection by Hilton </v>
      </c>
      <c r="B242" s="1030"/>
      <c r="C242" s="508"/>
      <c r="D242" s="1030"/>
      <c r="E242" s="912"/>
      <c r="F242" s="912"/>
      <c r="G242" s="1041"/>
      <c r="H242" s="820"/>
      <c r="I242" s="1030"/>
      <c r="J242" s="912"/>
      <c r="K242" s="912"/>
      <c r="L242" s="1041"/>
      <c r="M242" s="820"/>
      <c r="N242" s="1030"/>
      <c r="O242" s="912"/>
      <c r="P242" s="912"/>
      <c r="Q242" s="1041"/>
      <c r="R242" s="1714"/>
      <c r="S242" s="1030">
        <v>0</v>
      </c>
      <c r="T242" s="912">
        <v>0</v>
      </c>
      <c r="U242" s="912">
        <v>0</v>
      </c>
      <c r="V242" s="912">
        <v>0</v>
      </c>
      <c r="W242" s="398">
        <f t="shared" si="577"/>
        <v>0</v>
      </c>
      <c r="X242" s="2787">
        <v>0</v>
      </c>
      <c r="Y242" s="2791">
        <v>0</v>
      </c>
      <c r="Z242" s="2791">
        <v>0</v>
      </c>
      <c r="AA242" s="2791">
        <v>1</v>
      </c>
      <c r="AB242" s="398">
        <f t="shared" si="578"/>
        <v>1</v>
      </c>
      <c r="AC242" s="406">
        <f>AA242</f>
        <v>1</v>
      </c>
      <c r="AD242" s="406">
        <f>AC242</f>
        <v>1</v>
      </c>
      <c r="AE242" s="3665">
        <v>1</v>
      </c>
      <c r="AF242" s="3665">
        <v>1</v>
      </c>
      <c r="AG242" s="398">
        <f t="shared" si="580"/>
        <v>1</v>
      </c>
      <c r="AH242" s="406">
        <f t="shared" ref="AH242:AK242" si="595">AG242</f>
        <v>1</v>
      </c>
      <c r="AI242" s="406">
        <f t="shared" si="595"/>
        <v>1</v>
      </c>
      <c r="AJ242" s="406">
        <f t="shared" si="595"/>
        <v>1</v>
      </c>
      <c r="AK242" s="820">
        <f t="shared" si="595"/>
        <v>1</v>
      </c>
      <c r="AL242" s="820">
        <f t="shared" si="585"/>
        <v>1</v>
      </c>
      <c r="AM242" s="398">
        <f>AL242</f>
        <v>1</v>
      </c>
      <c r="AN242" s="398">
        <f>AM242</f>
        <v>1</v>
      </c>
    </row>
    <row r="243" spans="1:40">
      <c r="A243" s="130" t="str">
        <f>A$14</f>
        <v>DoubleTree by Hilton (Upscale)</v>
      </c>
      <c r="B243" s="1030">
        <v>0</v>
      </c>
      <c r="C243" s="508">
        <v>2</v>
      </c>
      <c r="D243" s="1030">
        <v>2</v>
      </c>
      <c r="E243" s="912">
        <v>2</v>
      </c>
      <c r="F243" s="912">
        <v>2</v>
      </c>
      <c r="G243" s="1041">
        <v>2</v>
      </c>
      <c r="H243" s="820">
        <f t="shared" si="587"/>
        <v>2</v>
      </c>
      <c r="I243" s="1030">
        <v>2</v>
      </c>
      <c r="J243" s="912">
        <v>2</v>
      </c>
      <c r="K243" s="912">
        <v>2</v>
      </c>
      <c r="L243" s="1041">
        <v>4</v>
      </c>
      <c r="M243" s="820">
        <f t="shared" si="588"/>
        <v>4</v>
      </c>
      <c r="N243" s="1030">
        <v>5</v>
      </c>
      <c r="O243" s="912">
        <v>7</v>
      </c>
      <c r="P243" s="912">
        <v>7</v>
      </c>
      <c r="Q243" s="1041">
        <v>7</v>
      </c>
      <c r="R243" s="1714">
        <f t="shared" si="576"/>
        <v>7</v>
      </c>
      <c r="S243" s="1030">
        <v>7</v>
      </c>
      <c r="T243" s="912">
        <v>8</v>
      </c>
      <c r="U243" s="912">
        <v>8</v>
      </c>
      <c r="V243" s="912">
        <v>9</v>
      </c>
      <c r="W243" s="1716">
        <f t="shared" si="577"/>
        <v>9</v>
      </c>
      <c r="X243" s="2787">
        <v>9</v>
      </c>
      <c r="Y243" s="2791">
        <v>9</v>
      </c>
      <c r="Z243" s="2791">
        <v>9</v>
      </c>
      <c r="AA243" s="2791">
        <v>9</v>
      </c>
      <c r="AB243" s="1716">
        <f t="shared" si="578"/>
        <v>9</v>
      </c>
      <c r="AC243" s="1715">
        <f>AA243*(1+AC$884)</f>
        <v>9.09</v>
      </c>
      <c r="AD243" s="1715">
        <f t="shared" ref="AD243:AF247" si="596">AC243*(1+AD$884)</f>
        <v>9.1793475890818961</v>
      </c>
      <c r="AE243" s="3665">
        <v>10</v>
      </c>
      <c r="AF243" s="3665">
        <v>10</v>
      </c>
      <c r="AG243" s="1716">
        <f t="shared" si="580"/>
        <v>10</v>
      </c>
      <c r="AH243" s="1715">
        <f t="shared" ref="AH243:AH250" si="597">AG243*(1+AH$884)</f>
        <v>10.149999999999999</v>
      </c>
      <c r="AI243" s="1715">
        <f t="shared" ref="AI243:AI250" si="598">AH243*(1+AI$884)</f>
        <v>10.302249999999997</v>
      </c>
      <c r="AJ243" s="1715">
        <f t="shared" ref="AJ243:AJ250" si="599">AI243*(1+AJ$884)</f>
        <v>10.456783749999996</v>
      </c>
      <c r="AK243" s="1714">
        <f t="shared" ref="AK243:AK250" si="600">AJ243*(1+AK$884)</f>
        <v>10.613635506249995</v>
      </c>
      <c r="AL243" s="1714">
        <f t="shared" si="585"/>
        <v>10.613635506249995</v>
      </c>
      <c r="AM243" s="1716">
        <f t="shared" ref="AM243:AN247" si="601">AL243*(1+AM$883)</f>
        <v>11.091249104031244</v>
      </c>
      <c r="AN243" s="1716">
        <f t="shared" si="601"/>
        <v>11.423986577152181</v>
      </c>
    </row>
    <row r="244" spans="1:40">
      <c r="A244" s="130" t="str">
        <f>A$15</f>
        <v>Embassy Suites Hotels (Upper Up)</v>
      </c>
      <c r="B244" s="1030">
        <v>0</v>
      </c>
      <c r="C244" s="508">
        <v>0</v>
      </c>
      <c r="D244" s="1030">
        <v>0</v>
      </c>
      <c r="E244" s="912">
        <v>0</v>
      </c>
      <c r="F244" s="912">
        <v>0</v>
      </c>
      <c r="G244" s="1041">
        <v>0</v>
      </c>
      <c r="H244" s="820">
        <f t="shared" si="587"/>
        <v>0</v>
      </c>
      <c r="I244" s="1030">
        <v>0</v>
      </c>
      <c r="J244" s="912">
        <v>0</v>
      </c>
      <c r="K244" s="912">
        <v>0</v>
      </c>
      <c r="L244" s="1041">
        <v>0</v>
      </c>
      <c r="M244" s="820">
        <f t="shared" si="588"/>
        <v>0</v>
      </c>
      <c r="N244" s="1030">
        <v>0</v>
      </c>
      <c r="O244" s="912">
        <v>0</v>
      </c>
      <c r="P244" s="912">
        <v>0</v>
      </c>
      <c r="Q244" s="1041">
        <v>0</v>
      </c>
      <c r="R244" s="1714">
        <f t="shared" si="576"/>
        <v>0</v>
      </c>
      <c r="S244" s="1030">
        <v>0</v>
      </c>
      <c r="T244" s="912">
        <v>0</v>
      </c>
      <c r="U244" s="912">
        <v>0</v>
      </c>
      <c r="V244" s="912">
        <v>0</v>
      </c>
      <c r="W244" s="1716">
        <f t="shared" si="577"/>
        <v>0</v>
      </c>
      <c r="X244" s="2787">
        <v>0</v>
      </c>
      <c r="Y244" s="2791">
        <v>0</v>
      </c>
      <c r="Z244" s="2791">
        <v>0</v>
      </c>
      <c r="AA244" s="2791">
        <v>0</v>
      </c>
      <c r="AB244" s="1716">
        <f t="shared" si="578"/>
        <v>0</v>
      </c>
      <c r="AC244" s="1715">
        <f>AA244*(1+AC$884)</f>
        <v>0</v>
      </c>
      <c r="AD244" s="1715">
        <f t="shared" si="596"/>
        <v>0</v>
      </c>
      <c r="AE244" s="3665">
        <v>0</v>
      </c>
      <c r="AF244" s="1715">
        <f t="shared" si="596"/>
        <v>0</v>
      </c>
      <c r="AG244" s="1716">
        <f t="shared" si="580"/>
        <v>0</v>
      </c>
      <c r="AH244" s="1715">
        <f t="shared" si="597"/>
        <v>0</v>
      </c>
      <c r="AI244" s="1715">
        <f t="shared" si="598"/>
        <v>0</v>
      </c>
      <c r="AJ244" s="1715">
        <f t="shared" si="599"/>
        <v>0</v>
      </c>
      <c r="AK244" s="1714">
        <f t="shared" si="600"/>
        <v>0</v>
      </c>
      <c r="AL244" s="1714">
        <f t="shared" si="585"/>
        <v>0</v>
      </c>
      <c r="AM244" s="1716">
        <f t="shared" si="601"/>
        <v>0</v>
      </c>
      <c r="AN244" s="1716">
        <f t="shared" si="601"/>
        <v>0</v>
      </c>
    </row>
    <row r="245" spans="1:40">
      <c r="A245" s="130" t="str">
        <f>A$16</f>
        <v>Hilton Garden Inn (Upscale)</v>
      </c>
      <c r="B245" s="1030">
        <v>1</v>
      </c>
      <c r="C245" s="508">
        <v>1</v>
      </c>
      <c r="D245" s="1030">
        <v>1</v>
      </c>
      <c r="E245" s="912">
        <v>1</v>
      </c>
      <c r="F245" s="912">
        <v>1</v>
      </c>
      <c r="G245" s="1041">
        <v>1</v>
      </c>
      <c r="H245" s="820">
        <f t="shared" si="587"/>
        <v>1</v>
      </c>
      <c r="I245" s="1030">
        <v>1</v>
      </c>
      <c r="J245" s="912">
        <v>1</v>
      </c>
      <c r="K245" s="912">
        <v>1</v>
      </c>
      <c r="L245" s="1041">
        <v>1</v>
      </c>
      <c r="M245" s="820">
        <f t="shared" si="588"/>
        <v>1</v>
      </c>
      <c r="N245" s="1030">
        <v>1</v>
      </c>
      <c r="O245" s="912">
        <v>1</v>
      </c>
      <c r="P245" s="912">
        <v>1</v>
      </c>
      <c r="Q245" s="1041">
        <v>1</v>
      </c>
      <c r="R245" s="1714">
        <f t="shared" si="576"/>
        <v>1</v>
      </c>
      <c r="S245" s="1030">
        <v>1</v>
      </c>
      <c r="T245" s="912">
        <v>1</v>
      </c>
      <c r="U245" s="912">
        <v>2</v>
      </c>
      <c r="V245" s="912">
        <v>5</v>
      </c>
      <c r="W245" s="1716">
        <f t="shared" si="577"/>
        <v>5</v>
      </c>
      <c r="X245" s="2787">
        <v>6</v>
      </c>
      <c r="Y245" s="2791">
        <v>6</v>
      </c>
      <c r="Z245" s="2791">
        <v>6</v>
      </c>
      <c r="AA245" s="2791">
        <v>6</v>
      </c>
      <c r="AB245" s="1716">
        <f t="shared" si="578"/>
        <v>6</v>
      </c>
      <c r="AC245" s="1715">
        <f>AA245*(1+AC$884)</f>
        <v>6.0600000000000005</v>
      </c>
      <c r="AD245" s="1715">
        <f t="shared" si="596"/>
        <v>6.1195650593879307</v>
      </c>
      <c r="AE245" s="3665">
        <v>7</v>
      </c>
      <c r="AF245" s="3665">
        <v>7</v>
      </c>
      <c r="AG245" s="1716">
        <f t="shared" si="580"/>
        <v>7</v>
      </c>
      <c r="AH245" s="1715">
        <f t="shared" si="597"/>
        <v>7.1049999999999995</v>
      </c>
      <c r="AI245" s="1715">
        <f t="shared" si="598"/>
        <v>7.211574999999999</v>
      </c>
      <c r="AJ245" s="1715">
        <f t="shared" si="599"/>
        <v>7.3197486249999981</v>
      </c>
      <c r="AK245" s="1714">
        <f t="shared" si="600"/>
        <v>7.4295448543749973</v>
      </c>
      <c r="AL245" s="1714">
        <f t="shared" si="585"/>
        <v>7.4295448543749973</v>
      </c>
      <c r="AM245" s="1716">
        <f t="shared" si="601"/>
        <v>7.7638743728218715</v>
      </c>
      <c r="AN245" s="1716">
        <f t="shared" si="601"/>
        <v>7.9967906040065282</v>
      </c>
    </row>
    <row r="246" spans="1:40">
      <c r="A246" s="130" t="str">
        <f>A$17</f>
        <v>Hampton Inn (Upper Mid)</v>
      </c>
      <c r="B246" s="1030">
        <v>0</v>
      </c>
      <c r="C246" s="508">
        <v>0</v>
      </c>
      <c r="D246" s="1030">
        <v>0</v>
      </c>
      <c r="E246" s="912">
        <v>0</v>
      </c>
      <c r="F246" s="912">
        <v>0</v>
      </c>
      <c r="G246" s="1041">
        <v>0</v>
      </c>
      <c r="H246" s="820">
        <f t="shared" si="587"/>
        <v>0</v>
      </c>
      <c r="I246" s="1030">
        <v>0</v>
      </c>
      <c r="J246" s="912">
        <v>0</v>
      </c>
      <c r="K246" s="912">
        <v>0</v>
      </c>
      <c r="L246" s="1041">
        <v>0</v>
      </c>
      <c r="M246" s="820">
        <f t="shared" si="588"/>
        <v>0</v>
      </c>
      <c r="N246" s="1030">
        <v>0</v>
      </c>
      <c r="O246" s="912">
        <v>0</v>
      </c>
      <c r="P246" s="912">
        <v>0</v>
      </c>
      <c r="Q246" s="1041">
        <v>0</v>
      </c>
      <c r="R246" s="1714">
        <f t="shared" si="576"/>
        <v>0</v>
      </c>
      <c r="S246" s="1030">
        <v>0</v>
      </c>
      <c r="T246" s="912">
        <v>0</v>
      </c>
      <c r="U246" s="912">
        <v>0</v>
      </c>
      <c r="V246" s="912">
        <v>0</v>
      </c>
      <c r="W246" s="1716">
        <f t="shared" si="577"/>
        <v>0</v>
      </c>
      <c r="X246" s="2787">
        <v>0</v>
      </c>
      <c r="Y246" s="2791">
        <v>0</v>
      </c>
      <c r="Z246" s="2791">
        <v>0</v>
      </c>
      <c r="AA246" s="2791">
        <v>0</v>
      </c>
      <c r="AB246" s="1716">
        <f t="shared" si="578"/>
        <v>0</v>
      </c>
      <c r="AC246" s="1715">
        <f>AA246*(1+AC$884)</f>
        <v>0</v>
      </c>
      <c r="AD246" s="1715">
        <f t="shared" si="596"/>
        <v>0</v>
      </c>
      <c r="AE246" s="3665">
        <f t="shared" si="596"/>
        <v>0</v>
      </c>
      <c r="AF246" s="1714">
        <f t="shared" si="596"/>
        <v>0</v>
      </c>
      <c r="AG246" s="1714">
        <f t="shared" si="580"/>
        <v>0</v>
      </c>
      <c r="AH246" s="1715">
        <f t="shared" si="597"/>
        <v>0</v>
      </c>
      <c r="AI246" s="1715">
        <f t="shared" si="598"/>
        <v>0</v>
      </c>
      <c r="AJ246" s="1715">
        <f t="shared" si="599"/>
        <v>0</v>
      </c>
      <c r="AK246" s="1714">
        <f t="shared" si="600"/>
        <v>0</v>
      </c>
      <c r="AL246" s="1714">
        <f t="shared" si="585"/>
        <v>0</v>
      </c>
      <c r="AM246" s="1716">
        <f t="shared" si="601"/>
        <v>0</v>
      </c>
      <c r="AN246" s="1716">
        <f t="shared" si="601"/>
        <v>0</v>
      </c>
    </row>
    <row r="247" spans="1:40">
      <c r="A247" s="130" t="s">
        <v>1408</v>
      </c>
      <c r="B247" s="1030">
        <v>0</v>
      </c>
      <c r="C247" s="508">
        <v>0</v>
      </c>
      <c r="D247" s="1030">
        <v>0</v>
      </c>
      <c r="E247" s="912">
        <v>0</v>
      </c>
      <c r="F247" s="912">
        <v>0</v>
      </c>
      <c r="G247" s="1041">
        <v>0</v>
      </c>
      <c r="H247" s="820">
        <f t="shared" si="587"/>
        <v>0</v>
      </c>
      <c r="I247" s="1030">
        <v>0</v>
      </c>
      <c r="J247" s="912">
        <v>0</v>
      </c>
      <c r="K247" s="912">
        <v>0</v>
      </c>
      <c r="L247" s="1041">
        <v>0</v>
      </c>
      <c r="M247" s="820">
        <f t="shared" si="588"/>
        <v>0</v>
      </c>
      <c r="N247" s="1030">
        <v>0</v>
      </c>
      <c r="O247" s="912">
        <v>0</v>
      </c>
      <c r="P247" s="912">
        <v>0</v>
      </c>
      <c r="Q247" s="1041">
        <v>0</v>
      </c>
      <c r="R247" s="1714">
        <f t="shared" si="576"/>
        <v>0</v>
      </c>
      <c r="S247" s="1030">
        <v>0</v>
      </c>
      <c r="T247" s="912">
        <v>0</v>
      </c>
      <c r="U247" s="912">
        <v>0</v>
      </c>
      <c r="V247" s="912">
        <v>0</v>
      </c>
      <c r="W247" s="1716">
        <f t="shared" si="577"/>
        <v>0</v>
      </c>
      <c r="X247" s="2787">
        <v>0</v>
      </c>
      <c r="Y247" s="2791">
        <v>0</v>
      </c>
      <c r="Z247" s="2791">
        <v>0</v>
      </c>
      <c r="AA247" s="2791">
        <v>0</v>
      </c>
      <c r="AB247" s="1716">
        <f t="shared" si="578"/>
        <v>0</v>
      </c>
      <c r="AC247" s="1715">
        <f>AA247*(1+AC$884)</f>
        <v>0</v>
      </c>
      <c r="AD247" s="1715">
        <f t="shared" si="596"/>
        <v>0</v>
      </c>
      <c r="AE247" s="3665">
        <f t="shared" si="596"/>
        <v>0</v>
      </c>
      <c r="AF247" s="1714">
        <f t="shared" si="596"/>
        <v>0</v>
      </c>
      <c r="AG247" s="1714">
        <f t="shared" si="580"/>
        <v>0</v>
      </c>
      <c r="AH247" s="1715">
        <f t="shared" si="597"/>
        <v>0</v>
      </c>
      <c r="AI247" s="1715">
        <f t="shared" si="598"/>
        <v>0</v>
      </c>
      <c r="AJ247" s="1715">
        <f t="shared" si="599"/>
        <v>0</v>
      </c>
      <c r="AK247" s="1714">
        <f t="shared" si="600"/>
        <v>0</v>
      </c>
      <c r="AL247" s="1714">
        <f t="shared" si="585"/>
        <v>0</v>
      </c>
      <c r="AM247" s="1716">
        <f t="shared" si="601"/>
        <v>0</v>
      </c>
      <c r="AN247" s="1716">
        <f t="shared" si="601"/>
        <v>0</v>
      </c>
    </row>
    <row r="248" spans="1:40">
      <c r="A248" s="130" t="str">
        <f>$A$90</f>
        <v>Tru by Hilton</v>
      </c>
      <c r="B248" s="1030"/>
      <c r="C248" s="508"/>
      <c r="D248" s="1030"/>
      <c r="E248" s="912"/>
      <c r="F248" s="912"/>
      <c r="G248" s="1041"/>
      <c r="H248" s="820"/>
      <c r="I248" s="1030"/>
      <c r="J248" s="912"/>
      <c r="K248" s="912"/>
      <c r="L248" s="1041"/>
      <c r="M248" s="820"/>
      <c r="N248" s="1030"/>
      <c r="O248" s="912"/>
      <c r="P248" s="912"/>
      <c r="Q248" s="1041"/>
      <c r="R248" s="820"/>
      <c r="S248" s="1030"/>
      <c r="T248" s="912"/>
      <c r="U248" s="912"/>
      <c r="V248" s="912"/>
      <c r="W248" s="398"/>
      <c r="X248" s="2791"/>
      <c r="Y248" s="2791"/>
      <c r="Z248" s="2791"/>
      <c r="AA248" s="2791"/>
      <c r="AB248" s="398"/>
      <c r="AC248" s="1715">
        <f t="shared" ref="AC248:AC249" si="602">AA248*(1+AC$884)</f>
        <v>0</v>
      </c>
      <c r="AD248" s="1715">
        <f t="shared" ref="AD248:AF248" si="603">AC248*(1+AD$884)</f>
        <v>0</v>
      </c>
      <c r="AE248" s="3665">
        <f t="shared" si="603"/>
        <v>0</v>
      </c>
      <c r="AF248" s="1714">
        <f t="shared" si="603"/>
        <v>0</v>
      </c>
      <c r="AG248" s="1714">
        <f t="shared" ref="AG248:AG249" si="604">AF248</f>
        <v>0</v>
      </c>
      <c r="AH248" s="1715">
        <f t="shared" si="597"/>
        <v>0</v>
      </c>
      <c r="AI248" s="1715">
        <f t="shared" si="598"/>
        <v>0</v>
      </c>
      <c r="AJ248" s="1715">
        <f t="shared" si="599"/>
        <v>0</v>
      </c>
      <c r="AK248" s="1714">
        <f t="shared" si="600"/>
        <v>0</v>
      </c>
      <c r="AL248" s="1714">
        <f t="shared" si="585"/>
        <v>0</v>
      </c>
      <c r="AM248" s="1716">
        <f t="shared" ref="AM248:AN248" si="605">AL248*(1+AM$883)</f>
        <v>0</v>
      </c>
      <c r="AN248" s="1716">
        <f t="shared" si="605"/>
        <v>0</v>
      </c>
    </row>
    <row r="249" spans="1:40">
      <c r="A249" s="130" t="str">
        <f>$A$91</f>
        <v>Tapestry Collection by Hilton</v>
      </c>
      <c r="B249" s="1030"/>
      <c r="C249" s="508"/>
      <c r="D249" s="1030"/>
      <c r="E249" s="912"/>
      <c r="F249" s="912"/>
      <c r="G249" s="1041"/>
      <c r="H249" s="820"/>
      <c r="I249" s="1030"/>
      <c r="J249" s="912"/>
      <c r="K249" s="912"/>
      <c r="L249" s="1041"/>
      <c r="M249" s="820"/>
      <c r="N249" s="1030"/>
      <c r="O249" s="912"/>
      <c r="P249" s="912"/>
      <c r="Q249" s="1041"/>
      <c r="R249" s="820"/>
      <c r="S249" s="1030"/>
      <c r="T249" s="912"/>
      <c r="U249" s="912"/>
      <c r="V249" s="912"/>
      <c r="W249" s="398"/>
      <c r="X249" s="2791"/>
      <c r="Y249" s="2791"/>
      <c r="Z249" s="2791"/>
      <c r="AA249" s="2791"/>
      <c r="AB249" s="398"/>
      <c r="AC249" s="1715">
        <f t="shared" si="602"/>
        <v>0</v>
      </c>
      <c r="AD249" s="1715">
        <f t="shared" ref="AD249:AF249" si="606">AC249*(1+AD$884)</f>
        <v>0</v>
      </c>
      <c r="AE249" s="3665">
        <f t="shared" si="606"/>
        <v>0</v>
      </c>
      <c r="AF249" s="1714">
        <f t="shared" si="606"/>
        <v>0</v>
      </c>
      <c r="AG249" s="1714">
        <f t="shared" si="604"/>
        <v>0</v>
      </c>
      <c r="AH249" s="1715">
        <f t="shared" si="597"/>
        <v>0</v>
      </c>
      <c r="AI249" s="1715">
        <f t="shared" si="598"/>
        <v>0</v>
      </c>
      <c r="AJ249" s="1715">
        <f t="shared" si="599"/>
        <v>0</v>
      </c>
      <c r="AK249" s="1714">
        <f t="shared" si="600"/>
        <v>0</v>
      </c>
      <c r="AL249" s="1714">
        <f t="shared" si="585"/>
        <v>0</v>
      </c>
      <c r="AM249" s="1716">
        <f t="shared" ref="AM249:AN249" si="607">AL249*(1+AM$883)</f>
        <v>0</v>
      </c>
      <c r="AN249" s="1716">
        <f t="shared" si="607"/>
        <v>0</v>
      </c>
    </row>
    <row r="250" spans="1:40" s="5" customFormat="1" ht="15">
      <c r="A250" s="402" t="str">
        <f>A$21</f>
        <v>Homewood Suites by Hilton (Upscale)</v>
      </c>
      <c r="B250" s="1031">
        <v>0</v>
      </c>
      <c r="C250" s="1029">
        <v>0</v>
      </c>
      <c r="D250" s="1031">
        <v>0</v>
      </c>
      <c r="E250" s="1039">
        <v>0</v>
      </c>
      <c r="F250" s="1039">
        <v>0</v>
      </c>
      <c r="G250" s="1042">
        <v>0</v>
      </c>
      <c r="H250" s="700">
        <f t="shared" si="587"/>
        <v>0</v>
      </c>
      <c r="I250" s="1031">
        <v>0</v>
      </c>
      <c r="J250" s="1039">
        <v>0</v>
      </c>
      <c r="K250" s="1039">
        <v>0</v>
      </c>
      <c r="L250" s="1042">
        <v>0</v>
      </c>
      <c r="M250" s="700">
        <f t="shared" si="588"/>
        <v>0</v>
      </c>
      <c r="N250" s="1031">
        <v>0</v>
      </c>
      <c r="O250" s="1039">
        <v>0</v>
      </c>
      <c r="P250" s="1039">
        <v>0</v>
      </c>
      <c r="Q250" s="1042">
        <v>0</v>
      </c>
      <c r="R250" s="1711">
        <f t="shared" si="576"/>
        <v>0</v>
      </c>
      <c r="S250" s="1031">
        <v>0</v>
      </c>
      <c r="T250" s="1039">
        <v>0</v>
      </c>
      <c r="U250" s="1039">
        <v>0</v>
      </c>
      <c r="V250" s="1039">
        <v>0</v>
      </c>
      <c r="W250" s="1713">
        <f t="shared" si="577"/>
        <v>0</v>
      </c>
      <c r="X250" s="2789">
        <v>0</v>
      </c>
      <c r="Y250" s="2793">
        <v>0</v>
      </c>
      <c r="Z250" s="2793">
        <v>0</v>
      </c>
      <c r="AA250" s="2793">
        <v>0</v>
      </c>
      <c r="AB250" s="1713">
        <f t="shared" si="578"/>
        <v>0</v>
      </c>
      <c r="AC250" s="1712">
        <f>AA250*(1+AC$884)</f>
        <v>0</v>
      </c>
      <c r="AD250" s="1712">
        <f>AC250*(1+AD$884)</f>
        <v>0</v>
      </c>
      <c r="AE250" s="4001">
        <f>AD250*(1+AE$884)</f>
        <v>0</v>
      </c>
      <c r="AF250" s="1711">
        <f>AE250*(1+AF$884)</f>
        <v>0</v>
      </c>
      <c r="AG250" s="1711">
        <f t="shared" si="580"/>
        <v>0</v>
      </c>
      <c r="AH250" s="1712">
        <f t="shared" si="597"/>
        <v>0</v>
      </c>
      <c r="AI250" s="1712">
        <f t="shared" si="598"/>
        <v>0</v>
      </c>
      <c r="AJ250" s="1712">
        <f t="shared" si="599"/>
        <v>0</v>
      </c>
      <c r="AK250" s="1711">
        <f t="shared" si="600"/>
        <v>0</v>
      </c>
      <c r="AL250" s="1711">
        <f t="shared" si="585"/>
        <v>0</v>
      </c>
      <c r="AM250" s="1713">
        <f>AL250*(1+AM$883)</f>
        <v>0</v>
      </c>
      <c r="AN250" s="1713">
        <f>AM250*(1+AN$883)</f>
        <v>0</v>
      </c>
    </row>
    <row r="251" spans="1:40">
      <c r="A251" s="482" t="s">
        <v>1687</v>
      </c>
      <c r="B251" s="1032">
        <f>SUM(B238:B250)</f>
        <v>34</v>
      </c>
      <c r="C251" s="400">
        <f>SUM(C238:C250)</f>
        <v>42</v>
      </c>
      <c r="D251" s="1032">
        <f t="shared" ref="D251:R251" si="608">SUM(D238:D250)</f>
        <v>41</v>
      </c>
      <c r="E251" s="405">
        <f t="shared" si="608"/>
        <v>44</v>
      </c>
      <c r="F251" s="405">
        <f t="shared" si="608"/>
        <v>44</v>
      </c>
      <c r="G251" s="821">
        <f t="shared" si="608"/>
        <v>45</v>
      </c>
      <c r="H251" s="821">
        <f t="shared" si="608"/>
        <v>45</v>
      </c>
      <c r="I251" s="1032">
        <f t="shared" si="608"/>
        <v>47</v>
      </c>
      <c r="J251" s="405">
        <f t="shared" si="608"/>
        <v>47</v>
      </c>
      <c r="K251" s="405">
        <f t="shared" si="608"/>
        <v>50</v>
      </c>
      <c r="L251" s="821">
        <f>SUM(L238:L250)</f>
        <v>53</v>
      </c>
      <c r="M251" s="821">
        <f>SUM(M238:M250)</f>
        <v>53</v>
      </c>
      <c r="N251" s="1032">
        <f t="shared" si="608"/>
        <v>55</v>
      </c>
      <c r="O251" s="405">
        <f t="shared" si="608"/>
        <v>57</v>
      </c>
      <c r="P251" s="405">
        <f>SUM(P238:P250)</f>
        <v>57</v>
      </c>
      <c r="Q251" s="821">
        <f>SUM(Q238:Q250)</f>
        <v>57</v>
      </c>
      <c r="R251" s="821">
        <f t="shared" si="608"/>
        <v>57</v>
      </c>
      <c r="S251" s="1032">
        <f t="shared" ref="S251:AN251" si="609">SUM(S238:S250)</f>
        <v>56</v>
      </c>
      <c r="T251" s="405">
        <f t="shared" si="609"/>
        <v>57</v>
      </c>
      <c r="U251" s="405">
        <f t="shared" si="609"/>
        <v>59</v>
      </c>
      <c r="V251" s="405">
        <f t="shared" si="609"/>
        <v>64</v>
      </c>
      <c r="W251" s="400">
        <f t="shared" si="609"/>
        <v>64</v>
      </c>
      <c r="X251" s="1032">
        <f t="shared" si="609"/>
        <v>65</v>
      </c>
      <c r="Y251" s="405">
        <f t="shared" si="609"/>
        <v>66</v>
      </c>
      <c r="Z251" s="405">
        <f>SUM(Z238:Z250)</f>
        <v>66</v>
      </c>
      <c r="AA251" s="405">
        <f>SUM(AA238:AA250)</f>
        <v>67</v>
      </c>
      <c r="AB251" s="400">
        <f t="shared" si="609"/>
        <v>67</v>
      </c>
      <c r="AC251" s="405">
        <f t="shared" si="609"/>
        <v>67.660000000000011</v>
      </c>
      <c r="AD251" s="405">
        <f t="shared" si="609"/>
        <v>68.418477707857761</v>
      </c>
      <c r="AE251" s="405">
        <f t="shared" si="609"/>
        <v>67</v>
      </c>
      <c r="AF251" s="821">
        <f t="shared" si="609"/>
        <v>68</v>
      </c>
      <c r="AG251" s="400">
        <f t="shared" si="609"/>
        <v>68</v>
      </c>
      <c r="AH251" s="405">
        <f t="shared" ref="AH251:AL251" si="610">SUM(AH238:AH250)</f>
        <v>69.004999999999995</v>
      </c>
      <c r="AI251" s="405">
        <f t="shared" si="610"/>
        <v>70.025074999999987</v>
      </c>
      <c r="AJ251" s="405">
        <f t="shared" si="610"/>
        <v>71.060451124999986</v>
      </c>
      <c r="AK251" s="821">
        <f t="shared" si="610"/>
        <v>72.111357891874974</v>
      </c>
      <c r="AL251" s="400">
        <f t="shared" si="610"/>
        <v>72.111357891874974</v>
      </c>
      <c r="AM251" s="821">
        <f t="shared" si="609"/>
        <v>75.311368997009353</v>
      </c>
      <c r="AN251" s="821">
        <f t="shared" si="609"/>
        <v>77.54071006691963</v>
      </c>
    </row>
    <row r="252" spans="1:40">
      <c r="A252" s="130"/>
      <c r="B252" s="1033"/>
      <c r="C252" s="398"/>
      <c r="D252" s="1033"/>
      <c r="E252" s="406"/>
      <c r="F252" s="406"/>
      <c r="G252" s="820"/>
      <c r="H252" s="820"/>
      <c r="I252" s="1033"/>
      <c r="J252" s="406"/>
      <c r="K252" s="406"/>
      <c r="L252" s="820"/>
      <c r="M252" s="820"/>
      <c r="N252" s="401"/>
      <c r="O252" s="406"/>
      <c r="P252" s="406"/>
      <c r="Q252" s="820"/>
      <c r="R252" s="820"/>
      <c r="S252" s="1033"/>
      <c r="T252" s="406"/>
      <c r="U252" s="406"/>
      <c r="V252" s="406"/>
      <c r="W252" s="398"/>
      <c r="X252" s="1033"/>
      <c r="Y252" s="406"/>
      <c r="Z252" s="406"/>
      <c r="AA252" s="406"/>
      <c r="AB252" s="398"/>
      <c r="AC252" s="406"/>
      <c r="AD252" s="406"/>
      <c r="AE252" s="406"/>
      <c r="AF252" s="820"/>
      <c r="AG252" s="398"/>
      <c r="AH252" s="406"/>
      <c r="AI252" s="406"/>
      <c r="AJ252" s="406"/>
      <c r="AK252" s="820"/>
      <c r="AL252" s="398"/>
      <c r="AM252" s="820"/>
      <c r="AN252" s="820"/>
    </row>
    <row r="253" spans="1:40">
      <c r="A253" s="295" t="s">
        <v>1284</v>
      </c>
      <c r="B253" s="1033"/>
      <c r="C253" s="398"/>
      <c r="D253" s="1033"/>
      <c r="E253" s="406"/>
      <c r="F253" s="406"/>
      <c r="G253" s="820"/>
      <c r="H253" s="820"/>
      <c r="I253" s="1033"/>
      <c r="J253" s="406"/>
      <c r="K253" s="406"/>
      <c r="L253" s="820"/>
      <c r="M253" s="820"/>
      <c r="N253" s="401"/>
      <c r="O253" s="406"/>
      <c r="P253" s="406"/>
      <c r="Q253" s="820"/>
      <c r="R253" s="820"/>
      <c r="S253" s="1033"/>
      <c r="T253" s="406"/>
      <c r="U253" s="406"/>
      <c r="V253" s="406"/>
      <c r="W253" s="398"/>
      <c r="X253" s="1033"/>
      <c r="Y253" s="406"/>
      <c r="Z253" s="406"/>
      <c r="AA253" s="406"/>
      <c r="AB253" s="398"/>
      <c r="AC253" s="406"/>
      <c r="AD253" s="406"/>
      <c r="AE253" s="406"/>
      <c r="AF253" s="820"/>
      <c r="AG253" s="398"/>
      <c r="AH253" s="406"/>
      <c r="AI253" s="406"/>
      <c r="AJ253" s="406"/>
      <c r="AK253" s="820"/>
      <c r="AL253" s="398"/>
      <c r="AM253" s="820"/>
      <c r="AN253" s="820"/>
    </row>
    <row r="254" spans="1:40">
      <c r="A254" s="130" t="str">
        <f>A$9</f>
        <v>Waldorf Astoria Hotels &amp; Resorts (Luxury)</v>
      </c>
      <c r="B254" s="1030">
        <v>0</v>
      </c>
      <c r="C254" s="508">
        <v>0</v>
      </c>
      <c r="D254" s="1030">
        <v>0</v>
      </c>
      <c r="E254" s="912">
        <v>0</v>
      </c>
      <c r="F254" s="912">
        <v>0</v>
      </c>
      <c r="G254" s="1041">
        <v>0</v>
      </c>
      <c r="H254" s="820">
        <f>G254</f>
        <v>0</v>
      </c>
      <c r="I254" s="1030">
        <v>0</v>
      </c>
      <c r="J254" s="912">
        <v>0</v>
      </c>
      <c r="K254" s="912">
        <v>0</v>
      </c>
      <c r="L254" s="1041">
        <v>0</v>
      </c>
      <c r="M254" s="820">
        <f>L254</f>
        <v>0</v>
      </c>
      <c r="N254" s="1030">
        <v>0</v>
      </c>
      <c r="O254" s="912">
        <v>0</v>
      </c>
      <c r="P254" s="912">
        <v>0</v>
      </c>
      <c r="Q254" s="1041">
        <v>0</v>
      </c>
      <c r="R254" s="820">
        <f t="shared" ref="R254:R266" si="611">Q254</f>
        <v>0</v>
      </c>
      <c r="S254" s="1030">
        <v>0</v>
      </c>
      <c r="T254" s="912">
        <v>0</v>
      </c>
      <c r="U254" s="912">
        <v>0</v>
      </c>
      <c r="V254" s="912">
        <v>0</v>
      </c>
      <c r="W254" s="398">
        <f t="shared" ref="W254:W266" si="612">V254</f>
        <v>0</v>
      </c>
      <c r="X254" s="2787">
        <v>0</v>
      </c>
      <c r="Y254" s="2791">
        <v>0</v>
      </c>
      <c r="Z254" s="2791">
        <v>0</v>
      </c>
      <c r="AA254" s="2791">
        <v>0</v>
      </c>
      <c r="AB254" s="398">
        <f t="shared" ref="AB254:AB266" si="613">AA254</f>
        <v>0</v>
      </c>
      <c r="AC254" s="406">
        <f>AA254*(1+AC$913)</f>
        <v>0</v>
      </c>
      <c r="AD254" s="406">
        <f t="shared" ref="AD254:AF255" si="614">AC254*(1+AD$913)</f>
        <v>0</v>
      </c>
      <c r="AE254" s="3665">
        <v>0</v>
      </c>
      <c r="AF254" s="820">
        <f t="shared" si="614"/>
        <v>0</v>
      </c>
      <c r="AG254" s="820">
        <f t="shared" ref="AG254:AG266" si="615">AF254</f>
        <v>0</v>
      </c>
      <c r="AH254" s="406">
        <f t="shared" ref="AH254:AH255" si="616">AG254*(1+AH$913)</f>
        <v>0</v>
      </c>
      <c r="AI254" s="406">
        <f t="shared" ref="AI254:AI255" si="617">AH254*(1+AI$913)</f>
        <v>0</v>
      </c>
      <c r="AJ254" s="406">
        <f t="shared" ref="AJ254:AJ255" si="618">AI254*(1+AJ$913)</f>
        <v>0</v>
      </c>
      <c r="AK254" s="820">
        <f t="shared" ref="AK254:AK255" si="619">AJ254*(1+AK$913)</f>
        <v>0</v>
      </c>
      <c r="AL254" s="820">
        <f t="shared" ref="AL254:AL266" si="620">AK254</f>
        <v>0</v>
      </c>
      <c r="AM254" s="398">
        <f t="shared" ref="AM254:AN255" si="621">AL254*(1+AM$912)</f>
        <v>0</v>
      </c>
      <c r="AN254" s="398">
        <f t="shared" si="621"/>
        <v>0</v>
      </c>
    </row>
    <row r="255" spans="1:40">
      <c r="A255" s="130" t="str">
        <f>A$10</f>
        <v>Conrad Hotels &amp; Resorts (Luxury)</v>
      </c>
      <c r="B255" s="1030">
        <v>0</v>
      </c>
      <c r="C255" s="508">
        <v>0</v>
      </c>
      <c r="D255" s="1030">
        <v>0</v>
      </c>
      <c r="E255" s="912">
        <v>0</v>
      </c>
      <c r="F255" s="912">
        <v>0</v>
      </c>
      <c r="G255" s="1041">
        <v>0</v>
      </c>
      <c r="H255" s="820">
        <f t="shared" ref="H255:H266" si="622">G255</f>
        <v>0</v>
      </c>
      <c r="I255" s="1030">
        <v>0</v>
      </c>
      <c r="J255" s="912">
        <v>0</v>
      </c>
      <c r="K255" s="912">
        <v>0</v>
      </c>
      <c r="L255" s="1041">
        <v>0</v>
      </c>
      <c r="M255" s="820">
        <f t="shared" ref="M255:M266" si="623">L255</f>
        <v>0</v>
      </c>
      <c r="N255" s="1030">
        <v>0</v>
      </c>
      <c r="O255" s="912">
        <v>0</v>
      </c>
      <c r="P255" s="912">
        <v>0</v>
      </c>
      <c r="Q255" s="1041">
        <v>0</v>
      </c>
      <c r="R255" s="820">
        <f t="shared" si="611"/>
        <v>0</v>
      </c>
      <c r="S255" s="1030">
        <v>0</v>
      </c>
      <c r="T255" s="912">
        <v>0</v>
      </c>
      <c r="U255" s="912">
        <v>0</v>
      </c>
      <c r="V255" s="912">
        <v>0</v>
      </c>
      <c r="W255" s="398">
        <f t="shared" si="612"/>
        <v>0</v>
      </c>
      <c r="X255" s="2787">
        <v>0</v>
      </c>
      <c r="Y255" s="2791">
        <v>0</v>
      </c>
      <c r="Z255" s="2791">
        <v>0</v>
      </c>
      <c r="AA255" s="2791">
        <v>0</v>
      </c>
      <c r="AB255" s="398">
        <f t="shared" si="613"/>
        <v>0</v>
      </c>
      <c r="AC255" s="406">
        <f>AA255*(1+AC$913)</f>
        <v>0</v>
      </c>
      <c r="AD255" s="406">
        <f t="shared" si="614"/>
        <v>0</v>
      </c>
      <c r="AE255" s="3665">
        <v>0</v>
      </c>
      <c r="AF255" s="820">
        <f t="shared" si="614"/>
        <v>0</v>
      </c>
      <c r="AG255" s="820">
        <f t="shared" si="615"/>
        <v>0</v>
      </c>
      <c r="AH255" s="406">
        <f t="shared" si="616"/>
        <v>0</v>
      </c>
      <c r="AI255" s="406">
        <f t="shared" si="617"/>
        <v>0</v>
      </c>
      <c r="AJ255" s="406">
        <f t="shared" si="618"/>
        <v>0</v>
      </c>
      <c r="AK255" s="820">
        <f t="shared" si="619"/>
        <v>0</v>
      </c>
      <c r="AL255" s="820">
        <f t="shared" si="620"/>
        <v>0</v>
      </c>
      <c r="AM255" s="398">
        <f t="shared" si="621"/>
        <v>0</v>
      </c>
      <c r="AN255" s="398">
        <f t="shared" si="621"/>
        <v>0</v>
      </c>
    </row>
    <row r="256" spans="1:40">
      <c r="A256" s="1828" t="s">
        <v>3022</v>
      </c>
      <c r="B256" s="1030"/>
      <c r="C256" s="508"/>
      <c r="D256" s="1030"/>
      <c r="E256" s="912"/>
      <c r="F256" s="912"/>
      <c r="G256" s="1041"/>
      <c r="H256" s="820"/>
      <c r="I256" s="1030"/>
      <c r="J256" s="912"/>
      <c r="K256" s="912"/>
      <c r="L256" s="1041"/>
      <c r="M256" s="820"/>
      <c r="N256" s="1030"/>
      <c r="O256" s="912"/>
      <c r="P256" s="912"/>
      <c r="Q256" s="1041"/>
      <c r="R256" s="820"/>
      <c r="S256" s="1030"/>
      <c r="T256" s="912"/>
      <c r="U256" s="912"/>
      <c r="V256" s="912"/>
      <c r="W256" s="398"/>
      <c r="X256" s="2787"/>
      <c r="Y256" s="2791"/>
      <c r="Z256" s="2791"/>
      <c r="AA256" s="2791">
        <v>0</v>
      </c>
      <c r="AB256" s="398">
        <f t="shared" ref="AB256:AG256" si="624">+AA256</f>
        <v>0</v>
      </c>
      <c r="AC256" s="2944">
        <f t="shared" si="624"/>
        <v>0</v>
      </c>
      <c r="AD256" s="406">
        <f t="shared" si="624"/>
        <v>0</v>
      </c>
      <c r="AE256" s="3665">
        <v>0</v>
      </c>
      <c r="AF256" s="820">
        <f t="shared" si="624"/>
        <v>0</v>
      </c>
      <c r="AG256" s="398">
        <f t="shared" si="624"/>
        <v>0</v>
      </c>
      <c r="AH256" s="406">
        <f t="shared" ref="AH256" si="625">+AG256</f>
        <v>0</v>
      </c>
      <c r="AI256" s="406">
        <f t="shared" ref="AI256" si="626">+AH256</f>
        <v>0</v>
      </c>
      <c r="AJ256" s="406">
        <f t="shared" ref="AJ256" si="627">+AI256</f>
        <v>0</v>
      </c>
      <c r="AK256" s="820">
        <f t="shared" ref="AK256:AL256" si="628">+AJ256</f>
        <v>0</v>
      </c>
      <c r="AL256" s="398">
        <f t="shared" si="628"/>
        <v>0</v>
      </c>
      <c r="AM256" s="398">
        <f>AL256</f>
        <v>0</v>
      </c>
      <c r="AN256" s="398">
        <f>AM256</f>
        <v>0</v>
      </c>
    </row>
    <row r="257" spans="1:40">
      <c r="A257" s="130" t="str">
        <f>A$12</f>
        <v>Hilton Hotels &amp; Resorts (Upper Up)</v>
      </c>
      <c r="B257" s="1030">
        <v>1</v>
      </c>
      <c r="C257" s="508">
        <v>1</v>
      </c>
      <c r="D257" s="1030">
        <v>1</v>
      </c>
      <c r="E257" s="912">
        <v>1</v>
      </c>
      <c r="F257" s="912">
        <v>1</v>
      </c>
      <c r="G257" s="1041">
        <v>1</v>
      </c>
      <c r="H257" s="820">
        <f t="shared" si="622"/>
        <v>1</v>
      </c>
      <c r="I257" s="1030">
        <v>1</v>
      </c>
      <c r="J257" s="912">
        <v>1</v>
      </c>
      <c r="K257" s="912">
        <v>1</v>
      </c>
      <c r="L257" s="1041">
        <v>1</v>
      </c>
      <c r="M257" s="820">
        <f t="shared" si="623"/>
        <v>1</v>
      </c>
      <c r="N257" s="1030">
        <v>1</v>
      </c>
      <c r="O257" s="912">
        <v>1</v>
      </c>
      <c r="P257" s="912">
        <v>1</v>
      </c>
      <c r="Q257" s="1041">
        <v>1</v>
      </c>
      <c r="R257" s="820">
        <f t="shared" si="611"/>
        <v>1</v>
      </c>
      <c r="S257" s="1030">
        <v>1</v>
      </c>
      <c r="T257" s="912">
        <v>1</v>
      </c>
      <c r="U257" s="912">
        <v>1</v>
      </c>
      <c r="V257" s="912">
        <v>1</v>
      </c>
      <c r="W257" s="398">
        <f t="shared" si="612"/>
        <v>1</v>
      </c>
      <c r="X257" s="2787">
        <v>1</v>
      </c>
      <c r="Y257" s="2791">
        <v>1</v>
      </c>
      <c r="Z257" s="2791">
        <v>1</v>
      </c>
      <c r="AA257" s="2791">
        <v>1</v>
      </c>
      <c r="AB257" s="398">
        <f t="shared" si="613"/>
        <v>1</v>
      </c>
      <c r="AC257" s="406">
        <f>AA257*(1+AC$913)</f>
        <v>1.0149999999999999</v>
      </c>
      <c r="AD257" s="406">
        <f>AC257*(1+AD$913)</f>
        <v>1.0403749999999998</v>
      </c>
      <c r="AE257" s="3665">
        <v>2</v>
      </c>
      <c r="AF257" s="3665">
        <v>2</v>
      </c>
      <c r="AG257" s="398">
        <f t="shared" si="615"/>
        <v>2</v>
      </c>
      <c r="AH257" s="406">
        <f t="shared" ref="AH257:AK257" si="629">AG257*(1+AH$913)</f>
        <v>2.02</v>
      </c>
      <c r="AI257" s="406">
        <f t="shared" si="629"/>
        <v>2.0402</v>
      </c>
      <c r="AJ257" s="406">
        <f t="shared" si="629"/>
        <v>2.0708029999999997</v>
      </c>
      <c r="AK257" s="820">
        <f t="shared" si="629"/>
        <v>2.1018650449999994</v>
      </c>
      <c r="AL257" s="820">
        <f t="shared" si="620"/>
        <v>2.1018650449999994</v>
      </c>
      <c r="AM257" s="398">
        <f>AL257*(1+AM$912)</f>
        <v>2.2279769476999993</v>
      </c>
      <c r="AN257" s="398">
        <f>AM257*(1+AN$912)</f>
        <v>2.3393757950849996</v>
      </c>
    </row>
    <row r="258" spans="1:40">
      <c r="A258" s="130" t="str">
        <f>A$13</f>
        <v xml:space="preserve">Curio - A Collection by Hilton </v>
      </c>
      <c r="B258" s="1030"/>
      <c r="C258" s="508"/>
      <c r="D258" s="1030"/>
      <c r="E258" s="912"/>
      <c r="F258" s="912"/>
      <c r="G258" s="1041"/>
      <c r="H258" s="820"/>
      <c r="I258" s="1030"/>
      <c r="J258" s="912"/>
      <c r="K258" s="912"/>
      <c r="L258" s="1041"/>
      <c r="M258" s="820"/>
      <c r="N258" s="1030"/>
      <c r="O258" s="912"/>
      <c r="P258" s="912"/>
      <c r="Q258" s="1041"/>
      <c r="R258" s="820"/>
      <c r="S258" s="1030">
        <v>0</v>
      </c>
      <c r="T258" s="912">
        <v>0</v>
      </c>
      <c r="U258" s="912">
        <v>0</v>
      </c>
      <c r="V258" s="912">
        <v>0</v>
      </c>
      <c r="W258" s="398">
        <f t="shared" si="612"/>
        <v>0</v>
      </c>
      <c r="X258" s="2787">
        <v>0</v>
      </c>
      <c r="Y258" s="2791">
        <v>0</v>
      </c>
      <c r="Z258" s="2791">
        <v>0</v>
      </c>
      <c r="AA258" s="2791">
        <v>0</v>
      </c>
      <c r="AB258" s="398">
        <f t="shared" si="613"/>
        <v>0</v>
      </c>
      <c r="AC258" s="406">
        <f>AA258</f>
        <v>0</v>
      </c>
      <c r="AD258" s="406">
        <f>AC258</f>
        <v>0</v>
      </c>
      <c r="AE258" s="3665">
        <v>0</v>
      </c>
      <c r="AF258" s="406">
        <f>AE258</f>
        <v>0</v>
      </c>
      <c r="AG258" s="398">
        <f t="shared" si="615"/>
        <v>0</v>
      </c>
      <c r="AH258" s="406">
        <f t="shared" ref="AH258:AK258" si="630">AG258</f>
        <v>0</v>
      </c>
      <c r="AI258" s="406">
        <f t="shared" si="630"/>
        <v>0</v>
      </c>
      <c r="AJ258" s="406">
        <f t="shared" si="630"/>
        <v>0</v>
      </c>
      <c r="AK258" s="820">
        <f t="shared" si="630"/>
        <v>0</v>
      </c>
      <c r="AL258" s="820">
        <f t="shared" si="620"/>
        <v>0</v>
      </c>
      <c r="AM258" s="398">
        <f>AL258</f>
        <v>0</v>
      </c>
      <c r="AN258" s="398">
        <f>AM258</f>
        <v>0</v>
      </c>
    </row>
    <row r="259" spans="1:40">
      <c r="A259" s="130" t="str">
        <f>A$14</f>
        <v>DoubleTree by Hilton (Upscale)</v>
      </c>
      <c r="B259" s="1030">
        <v>2</v>
      </c>
      <c r="C259" s="508">
        <v>2</v>
      </c>
      <c r="D259" s="1030">
        <v>2</v>
      </c>
      <c r="E259" s="912">
        <v>2</v>
      </c>
      <c r="F259" s="912">
        <v>2</v>
      </c>
      <c r="G259" s="1041">
        <v>2</v>
      </c>
      <c r="H259" s="820">
        <f t="shared" si="622"/>
        <v>2</v>
      </c>
      <c r="I259" s="1030">
        <v>2</v>
      </c>
      <c r="J259" s="912">
        <v>3</v>
      </c>
      <c r="K259" s="912">
        <v>3</v>
      </c>
      <c r="L259" s="1041">
        <v>3</v>
      </c>
      <c r="M259" s="820">
        <f t="shared" si="623"/>
        <v>3</v>
      </c>
      <c r="N259" s="1030">
        <v>3</v>
      </c>
      <c r="O259" s="912">
        <v>3</v>
      </c>
      <c r="P259" s="912">
        <v>4</v>
      </c>
      <c r="Q259" s="1041">
        <v>4</v>
      </c>
      <c r="R259" s="820">
        <f t="shared" si="611"/>
        <v>4</v>
      </c>
      <c r="S259" s="1030">
        <v>4</v>
      </c>
      <c r="T259" s="912">
        <v>4</v>
      </c>
      <c r="U259" s="912">
        <v>4</v>
      </c>
      <c r="V259" s="912">
        <v>4</v>
      </c>
      <c r="W259" s="398">
        <f t="shared" si="612"/>
        <v>4</v>
      </c>
      <c r="X259" s="2787">
        <v>4</v>
      </c>
      <c r="Y259" s="2791">
        <v>4</v>
      </c>
      <c r="Z259" s="2791">
        <v>4</v>
      </c>
      <c r="AA259" s="2791">
        <v>4</v>
      </c>
      <c r="AB259" s="398">
        <f t="shared" si="613"/>
        <v>4</v>
      </c>
      <c r="AC259" s="406">
        <f>AA259*(1+AC$913)</f>
        <v>4.0599999999999996</v>
      </c>
      <c r="AD259" s="406">
        <f t="shared" ref="AD259:AF263" si="631">AC259*(1+AD$913)</f>
        <v>4.1614999999999993</v>
      </c>
      <c r="AE259" s="3665">
        <v>4</v>
      </c>
      <c r="AF259" s="3665">
        <v>4</v>
      </c>
      <c r="AG259" s="398">
        <f t="shared" si="615"/>
        <v>4</v>
      </c>
      <c r="AH259" s="406">
        <f t="shared" ref="AH259:AH266" si="632">AG259*(1+AH$913)</f>
        <v>4.04</v>
      </c>
      <c r="AI259" s="406">
        <f t="shared" ref="AI259:AI266" si="633">AH259*(1+AI$913)</f>
        <v>4.0804</v>
      </c>
      <c r="AJ259" s="406">
        <f t="shared" ref="AJ259:AJ266" si="634">AI259*(1+AJ$913)</f>
        <v>4.1416059999999995</v>
      </c>
      <c r="AK259" s="820">
        <f t="shared" ref="AK259:AK266" si="635">AJ259*(1+AK$913)</f>
        <v>4.2037300899999988</v>
      </c>
      <c r="AL259" s="820">
        <f t="shared" si="620"/>
        <v>4.2037300899999988</v>
      </c>
      <c r="AM259" s="398">
        <f t="shared" ref="AM259:AN263" si="636">AL259*(1+AM$912)</f>
        <v>4.4559538953999986</v>
      </c>
      <c r="AN259" s="398">
        <f t="shared" si="636"/>
        <v>4.6787515901699992</v>
      </c>
    </row>
    <row r="260" spans="1:40">
      <c r="A260" s="130" t="str">
        <f>A$15</f>
        <v>Embassy Suites Hotels (Upper Up)</v>
      </c>
      <c r="B260" s="1030">
        <v>0</v>
      </c>
      <c r="C260" s="508">
        <v>0</v>
      </c>
      <c r="D260" s="1030">
        <v>0</v>
      </c>
      <c r="E260" s="912">
        <v>0</v>
      </c>
      <c r="F260" s="912">
        <v>0</v>
      </c>
      <c r="G260" s="1041">
        <v>0</v>
      </c>
      <c r="H260" s="820">
        <f t="shared" si="622"/>
        <v>0</v>
      </c>
      <c r="I260" s="1030">
        <v>0</v>
      </c>
      <c r="J260" s="912">
        <v>0</v>
      </c>
      <c r="K260" s="912">
        <v>0</v>
      </c>
      <c r="L260" s="1041">
        <v>0</v>
      </c>
      <c r="M260" s="820">
        <f t="shared" si="623"/>
        <v>0</v>
      </c>
      <c r="N260" s="1030">
        <v>0</v>
      </c>
      <c r="O260" s="912">
        <v>0</v>
      </c>
      <c r="P260" s="912">
        <v>0</v>
      </c>
      <c r="Q260" s="1041">
        <v>0</v>
      </c>
      <c r="R260" s="820">
        <f t="shared" si="611"/>
        <v>0</v>
      </c>
      <c r="S260" s="1030">
        <v>0</v>
      </c>
      <c r="T260" s="912">
        <v>0</v>
      </c>
      <c r="U260" s="912">
        <v>0</v>
      </c>
      <c r="V260" s="912">
        <v>0</v>
      </c>
      <c r="W260" s="398">
        <f t="shared" si="612"/>
        <v>0</v>
      </c>
      <c r="X260" s="2787">
        <v>0</v>
      </c>
      <c r="Y260" s="2791">
        <v>0</v>
      </c>
      <c r="Z260" s="2791">
        <v>0</v>
      </c>
      <c r="AA260" s="2791">
        <v>0</v>
      </c>
      <c r="AB260" s="398">
        <f t="shared" si="613"/>
        <v>0</v>
      </c>
      <c r="AC260" s="406">
        <f>AA260*(1+AC$913)</f>
        <v>0</v>
      </c>
      <c r="AD260" s="406">
        <f t="shared" si="631"/>
        <v>0</v>
      </c>
      <c r="AE260" s="3665">
        <v>0</v>
      </c>
      <c r="AF260" s="820">
        <f t="shared" si="631"/>
        <v>0</v>
      </c>
      <c r="AG260" s="820">
        <f t="shared" si="615"/>
        <v>0</v>
      </c>
      <c r="AH260" s="406">
        <f t="shared" si="632"/>
        <v>0</v>
      </c>
      <c r="AI260" s="406">
        <f t="shared" si="633"/>
        <v>0</v>
      </c>
      <c r="AJ260" s="406">
        <f t="shared" si="634"/>
        <v>0</v>
      </c>
      <c r="AK260" s="820">
        <f t="shared" si="635"/>
        <v>0</v>
      </c>
      <c r="AL260" s="820">
        <f t="shared" si="620"/>
        <v>0</v>
      </c>
      <c r="AM260" s="398">
        <f t="shared" si="636"/>
        <v>0</v>
      </c>
      <c r="AN260" s="398">
        <f t="shared" si="636"/>
        <v>0</v>
      </c>
    </row>
    <row r="261" spans="1:40">
      <c r="A261" s="130" t="str">
        <f>A$16</f>
        <v>Hilton Garden Inn (Upscale)</v>
      </c>
      <c r="B261" s="1030">
        <v>0</v>
      </c>
      <c r="C261" s="508">
        <v>0</v>
      </c>
      <c r="D261" s="1030">
        <v>0</v>
      </c>
      <c r="E261" s="912">
        <v>0</v>
      </c>
      <c r="F261" s="912">
        <v>0</v>
      </c>
      <c r="G261" s="1041">
        <v>0</v>
      </c>
      <c r="H261" s="820">
        <f t="shared" si="622"/>
        <v>0</v>
      </c>
      <c r="I261" s="1030">
        <v>0</v>
      </c>
      <c r="J261" s="912">
        <v>0</v>
      </c>
      <c r="K261" s="912">
        <v>0</v>
      </c>
      <c r="L261" s="1041">
        <v>0</v>
      </c>
      <c r="M261" s="820">
        <f t="shared" si="623"/>
        <v>0</v>
      </c>
      <c r="N261" s="1030">
        <v>0</v>
      </c>
      <c r="O261" s="912">
        <v>0</v>
      </c>
      <c r="P261" s="912">
        <v>0</v>
      </c>
      <c r="Q261" s="1041">
        <v>0</v>
      </c>
      <c r="R261" s="820">
        <f t="shared" si="611"/>
        <v>0</v>
      </c>
      <c r="S261" s="1030">
        <v>0</v>
      </c>
      <c r="T261" s="912">
        <v>0</v>
      </c>
      <c r="U261" s="912">
        <v>0</v>
      </c>
      <c r="V261" s="912">
        <v>0</v>
      </c>
      <c r="W261" s="398">
        <f t="shared" si="612"/>
        <v>0</v>
      </c>
      <c r="X261" s="2787">
        <v>0</v>
      </c>
      <c r="Y261" s="2791">
        <v>0</v>
      </c>
      <c r="Z261" s="2791">
        <v>0</v>
      </c>
      <c r="AA261" s="2791">
        <v>0</v>
      </c>
      <c r="AB261" s="398">
        <f t="shared" si="613"/>
        <v>0</v>
      </c>
      <c r="AC261" s="406">
        <f>AA261*(1+AC$913)</f>
        <v>0</v>
      </c>
      <c r="AD261" s="406">
        <f t="shared" si="631"/>
        <v>0</v>
      </c>
      <c r="AE261" s="3665">
        <v>0</v>
      </c>
      <c r="AF261" s="820">
        <f t="shared" si="631"/>
        <v>0</v>
      </c>
      <c r="AG261" s="820">
        <f t="shared" si="615"/>
        <v>0</v>
      </c>
      <c r="AH261" s="406">
        <f t="shared" si="632"/>
        <v>0</v>
      </c>
      <c r="AI261" s="406">
        <f t="shared" si="633"/>
        <v>0</v>
      </c>
      <c r="AJ261" s="406">
        <f t="shared" si="634"/>
        <v>0</v>
      </c>
      <c r="AK261" s="820">
        <f t="shared" si="635"/>
        <v>0</v>
      </c>
      <c r="AL261" s="820">
        <f t="shared" si="620"/>
        <v>0</v>
      </c>
      <c r="AM261" s="398">
        <f t="shared" si="636"/>
        <v>0</v>
      </c>
      <c r="AN261" s="398">
        <f t="shared" si="636"/>
        <v>0</v>
      </c>
    </row>
    <row r="262" spans="1:40">
      <c r="A262" s="130" t="str">
        <f>A$17</f>
        <v>Hampton Inn (Upper Mid)</v>
      </c>
      <c r="B262" s="1030">
        <v>0</v>
      </c>
      <c r="C262" s="508">
        <v>0</v>
      </c>
      <c r="D262" s="1030">
        <v>0</v>
      </c>
      <c r="E262" s="912">
        <v>0</v>
      </c>
      <c r="F262" s="912">
        <v>0</v>
      </c>
      <c r="G262" s="1041">
        <v>0</v>
      </c>
      <c r="H262" s="820">
        <f t="shared" si="622"/>
        <v>0</v>
      </c>
      <c r="I262" s="1030">
        <v>0</v>
      </c>
      <c r="J262" s="912">
        <v>0</v>
      </c>
      <c r="K262" s="912">
        <v>0</v>
      </c>
      <c r="L262" s="1041">
        <v>0</v>
      </c>
      <c r="M262" s="820">
        <f t="shared" si="623"/>
        <v>0</v>
      </c>
      <c r="N262" s="1030">
        <v>0</v>
      </c>
      <c r="O262" s="912">
        <v>0</v>
      </c>
      <c r="P262" s="912">
        <v>0</v>
      </c>
      <c r="Q262" s="1041">
        <v>0</v>
      </c>
      <c r="R262" s="820">
        <f t="shared" si="611"/>
        <v>0</v>
      </c>
      <c r="S262" s="1030">
        <v>0</v>
      </c>
      <c r="T262" s="912">
        <v>0</v>
      </c>
      <c r="U262" s="912">
        <v>0</v>
      </c>
      <c r="V262" s="912">
        <v>0</v>
      </c>
      <c r="W262" s="398">
        <f t="shared" si="612"/>
        <v>0</v>
      </c>
      <c r="X262" s="2787">
        <v>0</v>
      </c>
      <c r="Y262" s="2791">
        <v>0</v>
      </c>
      <c r="Z262" s="2791">
        <v>0</v>
      </c>
      <c r="AA262" s="2791">
        <v>0</v>
      </c>
      <c r="AB262" s="398">
        <f t="shared" si="613"/>
        <v>0</v>
      </c>
      <c r="AC262" s="406">
        <f>AA262*(1+AC$913)</f>
        <v>0</v>
      </c>
      <c r="AD262" s="406">
        <f t="shared" si="631"/>
        <v>0</v>
      </c>
      <c r="AE262" s="3665">
        <v>0</v>
      </c>
      <c r="AF262" s="820">
        <f t="shared" si="631"/>
        <v>0</v>
      </c>
      <c r="AG262" s="820">
        <f t="shared" si="615"/>
        <v>0</v>
      </c>
      <c r="AH262" s="406">
        <f t="shared" si="632"/>
        <v>0</v>
      </c>
      <c r="AI262" s="406">
        <f t="shared" si="633"/>
        <v>0</v>
      </c>
      <c r="AJ262" s="406">
        <f t="shared" si="634"/>
        <v>0</v>
      </c>
      <c r="AK262" s="820">
        <f t="shared" si="635"/>
        <v>0</v>
      </c>
      <c r="AL262" s="820">
        <f t="shared" si="620"/>
        <v>0</v>
      </c>
      <c r="AM262" s="398">
        <f t="shared" si="636"/>
        <v>0</v>
      </c>
      <c r="AN262" s="398">
        <f t="shared" si="636"/>
        <v>0</v>
      </c>
    </row>
    <row r="263" spans="1:40">
      <c r="A263" s="130" t="s">
        <v>1408</v>
      </c>
      <c r="B263" s="1030">
        <v>0</v>
      </c>
      <c r="C263" s="508">
        <v>0</v>
      </c>
      <c r="D263" s="1030">
        <v>0</v>
      </c>
      <c r="E263" s="912">
        <v>0</v>
      </c>
      <c r="F263" s="912">
        <v>0</v>
      </c>
      <c r="G263" s="1041">
        <v>0</v>
      </c>
      <c r="H263" s="820">
        <f t="shared" si="622"/>
        <v>0</v>
      </c>
      <c r="I263" s="1030">
        <v>0</v>
      </c>
      <c r="J263" s="912">
        <v>0</v>
      </c>
      <c r="K263" s="912">
        <v>0</v>
      </c>
      <c r="L263" s="1041">
        <v>0</v>
      </c>
      <c r="M263" s="820">
        <f t="shared" si="623"/>
        <v>0</v>
      </c>
      <c r="N263" s="1030">
        <v>0</v>
      </c>
      <c r="O263" s="912">
        <v>0</v>
      </c>
      <c r="P263" s="912">
        <v>0</v>
      </c>
      <c r="Q263" s="1041">
        <v>0</v>
      </c>
      <c r="R263" s="820">
        <f t="shared" si="611"/>
        <v>0</v>
      </c>
      <c r="S263" s="1030">
        <v>0</v>
      </c>
      <c r="T263" s="912">
        <v>0</v>
      </c>
      <c r="U263" s="912">
        <v>0</v>
      </c>
      <c r="V263" s="912">
        <v>0</v>
      </c>
      <c r="W263" s="398">
        <f t="shared" si="612"/>
        <v>0</v>
      </c>
      <c r="X263" s="2787">
        <v>0</v>
      </c>
      <c r="Y263" s="2791">
        <v>0</v>
      </c>
      <c r="Z263" s="2791">
        <v>0</v>
      </c>
      <c r="AA263" s="2791">
        <v>0</v>
      </c>
      <c r="AB263" s="398">
        <f t="shared" si="613"/>
        <v>0</v>
      </c>
      <c r="AC263" s="406">
        <f>AA263*(1+AC$913)</f>
        <v>0</v>
      </c>
      <c r="AD263" s="406">
        <f t="shared" si="631"/>
        <v>0</v>
      </c>
      <c r="AE263" s="3665">
        <v>0</v>
      </c>
      <c r="AF263" s="820">
        <f t="shared" si="631"/>
        <v>0</v>
      </c>
      <c r="AG263" s="820">
        <f t="shared" si="615"/>
        <v>0</v>
      </c>
      <c r="AH263" s="406">
        <f t="shared" si="632"/>
        <v>0</v>
      </c>
      <c r="AI263" s="406">
        <f t="shared" si="633"/>
        <v>0</v>
      </c>
      <c r="AJ263" s="406">
        <f t="shared" si="634"/>
        <v>0</v>
      </c>
      <c r="AK263" s="820">
        <f t="shared" si="635"/>
        <v>0</v>
      </c>
      <c r="AL263" s="820">
        <f t="shared" si="620"/>
        <v>0</v>
      </c>
      <c r="AM263" s="398">
        <f t="shared" si="636"/>
        <v>0</v>
      </c>
      <c r="AN263" s="398">
        <f t="shared" si="636"/>
        <v>0</v>
      </c>
    </row>
    <row r="264" spans="1:40">
      <c r="A264" s="130" t="str">
        <f>$A$90</f>
        <v>Tru by Hilton</v>
      </c>
      <c r="B264" s="1030"/>
      <c r="C264" s="508"/>
      <c r="D264" s="1030"/>
      <c r="E264" s="912"/>
      <c r="F264" s="912"/>
      <c r="G264" s="1041"/>
      <c r="H264" s="820"/>
      <c r="I264" s="1030"/>
      <c r="J264" s="912"/>
      <c r="K264" s="912"/>
      <c r="L264" s="1041"/>
      <c r="M264" s="820"/>
      <c r="N264" s="1030"/>
      <c r="O264" s="912"/>
      <c r="P264" s="912"/>
      <c r="Q264" s="1041"/>
      <c r="R264" s="820"/>
      <c r="S264" s="1030"/>
      <c r="T264" s="912"/>
      <c r="U264" s="912"/>
      <c r="V264" s="912"/>
      <c r="W264" s="398"/>
      <c r="X264" s="2791"/>
      <c r="Y264" s="2791"/>
      <c r="Z264" s="2791"/>
      <c r="AA264" s="2791"/>
      <c r="AB264" s="398"/>
      <c r="AC264" s="406">
        <f t="shared" ref="AC264:AC265" si="637">AA264*(1+AC$913)</f>
        <v>0</v>
      </c>
      <c r="AD264" s="406">
        <f t="shared" ref="AD264:AF264" si="638">AC264*(1+AD$913)</f>
        <v>0</v>
      </c>
      <c r="AE264" s="3665">
        <v>0</v>
      </c>
      <c r="AF264" s="820">
        <f t="shared" si="638"/>
        <v>0</v>
      </c>
      <c r="AG264" s="820">
        <f t="shared" ref="AG264:AG265" si="639">AF264</f>
        <v>0</v>
      </c>
      <c r="AH264" s="406">
        <f t="shared" si="632"/>
        <v>0</v>
      </c>
      <c r="AI264" s="406">
        <f t="shared" si="633"/>
        <v>0</v>
      </c>
      <c r="AJ264" s="406">
        <f t="shared" si="634"/>
        <v>0</v>
      </c>
      <c r="AK264" s="820">
        <f t="shared" si="635"/>
        <v>0</v>
      </c>
      <c r="AL264" s="820">
        <f t="shared" si="620"/>
        <v>0</v>
      </c>
      <c r="AM264" s="398">
        <f t="shared" ref="AM264:AN264" si="640">AL264*(1+AM$912)</f>
        <v>0</v>
      </c>
      <c r="AN264" s="398">
        <f t="shared" si="640"/>
        <v>0</v>
      </c>
    </row>
    <row r="265" spans="1:40">
      <c r="A265" s="130" t="str">
        <f>$A$91</f>
        <v>Tapestry Collection by Hilton</v>
      </c>
      <c r="B265" s="1030"/>
      <c r="C265" s="508"/>
      <c r="D265" s="1030"/>
      <c r="E265" s="912"/>
      <c r="F265" s="912"/>
      <c r="G265" s="1041"/>
      <c r="H265" s="820"/>
      <c r="I265" s="1030"/>
      <c r="J265" s="912"/>
      <c r="K265" s="912"/>
      <c r="L265" s="1041"/>
      <c r="M265" s="820"/>
      <c r="N265" s="1030"/>
      <c r="O265" s="912"/>
      <c r="P265" s="912"/>
      <c r="Q265" s="1041"/>
      <c r="R265" s="820"/>
      <c r="S265" s="1030"/>
      <c r="T265" s="912"/>
      <c r="U265" s="912"/>
      <c r="V265" s="912"/>
      <c r="W265" s="398"/>
      <c r="X265" s="2791"/>
      <c r="Y265" s="2791"/>
      <c r="Z265" s="2791"/>
      <c r="AA265" s="2791"/>
      <c r="AB265" s="398"/>
      <c r="AC265" s="406">
        <f t="shared" si="637"/>
        <v>0</v>
      </c>
      <c r="AD265" s="406">
        <f t="shared" ref="AD265:AF265" si="641">AC265*(1+AD$913)</f>
        <v>0</v>
      </c>
      <c r="AE265" s="3665">
        <v>0</v>
      </c>
      <c r="AF265" s="820">
        <f t="shared" si="641"/>
        <v>0</v>
      </c>
      <c r="AG265" s="820">
        <f t="shared" si="639"/>
        <v>0</v>
      </c>
      <c r="AH265" s="406">
        <f t="shared" si="632"/>
        <v>0</v>
      </c>
      <c r="AI265" s="406">
        <f t="shared" si="633"/>
        <v>0</v>
      </c>
      <c r="AJ265" s="406">
        <f t="shared" si="634"/>
        <v>0</v>
      </c>
      <c r="AK265" s="820">
        <f t="shared" si="635"/>
        <v>0</v>
      </c>
      <c r="AL265" s="820">
        <f t="shared" si="620"/>
        <v>0</v>
      </c>
      <c r="AM265" s="398">
        <f t="shared" ref="AM265:AN265" si="642">AL265*(1+AM$912)</f>
        <v>0</v>
      </c>
      <c r="AN265" s="398">
        <f t="shared" si="642"/>
        <v>0</v>
      </c>
    </row>
    <row r="266" spans="1:40" s="5" customFormat="1" ht="15" collapsed="1">
      <c r="A266" s="402" t="str">
        <f>A$21</f>
        <v>Homewood Suites by Hilton (Upscale)</v>
      </c>
      <c r="B266" s="1031">
        <v>0</v>
      </c>
      <c r="C266" s="1029">
        <v>0</v>
      </c>
      <c r="D266" s="1031">
        <v>0</v>
      </c>
      <c r="E266" s="1039">
        <v>0</v>
      </c>
      <c r="F266" s="1039">
        <v>0</v>
      </c>
      <c r="G266" s="1042">
        <v>0</v>
      </c>
      <c r="H266" s="700">
        <f t="shared" si="622"/>
        <v>0</v>
      </c>
      <c r="I266" s="1031">
        <v>0</v>
      </c>
      <c r="J266" s="1039">
        <v>0</v>
      </c>
      <c r="K266" s="1039">
        <v>0</v>
      </c>
      <c r="L266" s="1042">
        <v>0</v>
      </c>
      <c r="M266" s="700">
        <f t="shared" si="623"/>
        <v>0</v>
      </c>
      <c r="N266" s="1031">
        <v>0</v>
      </c>
      <c r="O266" s="1039">
        <v>0</v>
      </c>
      <c r="P266" s="1039">
        <v>0</v>
      </c>
      <c r="Q266" s="1042">
        <v>0</v>
      </c>
      <c r="R266" s="1711">
        <f t="shared" si="611"/>
        <v>0</v>
      </c>
      <c r="S266" s="1031">
        <v>0</v>
      </c>
      <c r="T266" s="1039">
        <v>0</v>
      </c>
      <c r="U266" s="1039">
        <v>0</v>
      </c>
      <c r="V266" s="1039">
        <v>0</v>
      </c>
      <c r="W266" s="1713">
        <f t="shared" si="612"/>
        <v>0</v>
      </c>
      <c r="X266" s="2789">
        <v>0</v>
      </c>
      <c r="Y266" s="2793">
        <v>0</v>
      </c>
      <c r="Z266" s="2793">
        <v>0</v>
      </c>
      <c r="AA266" s="2793">
        <v>0</v>
      </c>
      <c r="AB266" s="1713">
        <f t="shared" si="613"/>
        <v>0</v>
      </c>
      <c r="AC266" s="1712">
        <f>AA266*(1+AC$913)</f>
        <v>0</v>
      </c>
      <c r="AD266" s="1712">
        <f>AC266*(1+AD$913)</f>
        <v>0</v>
      </c>
      <c r="AE266" s="4001">
        <v>0</v>
      </c>
      <c r="AF266" s="1711">
        <f>AE266*(1+AF$913)</f>
        <v>0</v>
      </c>
      <c r="AG266" s="1711">
        <f t="shared" si="615"/>
        <v>0</v>
      </c>
      <c r="AH266" s="1712">
        <f t="shared" si="632"/>
        <v>0</v>
      </c>
      <c r="AI266" s="1712">
        <f t="shared" si="633"/>
        <v>0</v>
      </c>
      <c r="AJ266" s="1712">
        <f t="shared" si="634"/>
        <v>0</v>
      </c>
      <c r="AK266" s="1711">
        <f t="shared" si="635"/>
        <v>0</v>
      </c>
      <c r="AL266" s="1711">
        <f t="shared" si="620"/>
        <v>0</v>
      </c>
      <c r="AM266" s="1713">
        <f>AL266*(1+AM$912)</f>
        <v>0</v>
      </c>
      <c r="AN266" s="1713">
        <f>AM266*(1+AN$912)</f>
        <v>0</v>
      </c>
    </row>
    <row r="267" spans="1:40">
      <c r="A267" s="482" t="s">
        <v>1687</v>
      </c>
      <c r="B267" s="1032">
        <f>SUM(B254:B266)</f>
        <v>3</v>
      </c>
      <c r="C267" s="400">
        <f>SUM(C254:C266)</f>
        <v>3</v>
      </c>
      <c r="D267" s="1032">
        <f t="shared" ref="D267:R267" si="643">SUM(D254:D266)</f>
        <v>3</v>
      </c>
      <c r="E267" s="405">
        <f t="shared" si="643"/>
        <v>3</v>
      </c>
      <c r="F267" s="405">
        <f t="shared" si="643"/>
        <v>3</v>
      </c>
      <c r="G267" s="821">
        <f t="shared" si="643"/>
        <v>3</v>
      </c>
      <c r="H267" s="821">
        <f t="shared" si="643"/>
        <v>3</v>
      </c>
      <c r="I267" s="1032">
        <f t="shared" si="643"/>
        <v>3</v>
      </c>
      <c r="J267" s="405">
        <f t="shared" si="643"/>
        <v>4</v>
      </c>
      <c r="K267" s="405">
        <f t="shared" si="643"/>
        <v>4</v>
      </c>
      <c r="L267" s="821">
        <f>SUM(L254:L266)</f>
        <v>4</v>
      </c>
      <c r="M267" s="821">
        <f>SUM(M254:M266)</f>
        <v>4</v>
      </c>
      <c r="N267" s="1032">
        <f t="shared" si="643"/>
        <v>4</v>
      </c>
      <c r="O267" s="405">
        <f t="shared" si="643"/>
        <v>4</v>
      </c>
      <c r="P267" s="405">
        <f>SUM(P254:P266)</f>
        <v>5</v>
      </c>
      <c r="Q267" s="821">
        <f>SUM(Q254:Q266)</f>
        <v>5</v>
      </c>
      <c r="R267" s="821">
        <f t="shared" si="643"/>
        <v>5</v>
      </c>
      <c r="S267" s="1032">
        <f t="shared" ref="S267:AI267" si="644">SUM(S254:S266)</f>
        <v>5</v>
      </c>
      <c r="T267" s="405">
        <f t="shared" si="644"/>
        <v>5</v>
      </c>
      <c r="U267" s="405">
        <f t="shared" si="644"/>
        <v>5</v>
      </c>
      <c r="V267" s="405">
        <f t="shared" si="644"/>
        <v>5</v>
      </c>
      <c r="W267" s="400">
        <f t="shared" si="644"/>
        <v>5</v>
      </c>
      <c r="X267" s="1032">
        <f t="shared" si="644"/>
        <v>5</v>
      </c>
      <c r="Y267" s="405">
        <f t="shared" si="644"/>
        <v>5</v>
      </c>
      <c r="Z267" s="405">
        <f>SUM(Z254:Z266)</f>
        <v>5</v>
      </c>
      <c r="AA267" s="405">
        <f>SUM(AA254:AA266)</f>
        <v>5</v>
      </c>
      <c r="AB267" s="400">
        <f t="shared" si="644"/>
        <v>5</v>
      </c>
      <c r="AC267" s="1032">
        <f t="shared" si="644"/>
        <v>5.0749999999999993</v>
      </c>
      <c r="AD267" s="405">
        <f t="shared" si="644"/>
        <v>5.2018749999999994</v>
      </c>
      <c r="AE267" s="405">
        <f>SUM(AE254:AE266)</f>
        <v>6</v>
      </c>
      <c r="AF267" s="405">
        <f>SUM(AF254:AF266)</f>
        <v>6</v>
      </c>
      <c r="AG267" s="400">
        <f t="shared" si="644"/>
        <v>6</v>
      </c>
      <c r="AH267" s="1032">
        <f t="shared" si="644"/>
        <v>6.0600000000000005</v>
      </c>
      <c r="AI267" s="405">
        <f t="shared" si="644"/>
        <v>6.1205999999999996</v>
      </c>
      <c r="AJ267" s="405">
        <f>SUM(AJ254:AJ266)</f>
        <v>6.2124089999999992</v>
      </c>
      <c r="AK267" s="405">
        <f>SUM(AK254:AK266)</f>
        <v>6.3055951349999981</v>
      </c>
      <c r="AL267" s="400">
        <f t="shared" ref="AL267" si="645">SUM(AL254:AL266)</f>
        <v>6.3055951349999981</v>
      </c>
      <c r="AM267" s="821">
        <f>SUM(AM254:AM266)</f>
        <v>6.683930843099998</v>
      </c>
      <c r="AN267" s="821">
        <f>SUM(AN254:AN266)</f>
        <v>7.0181273852549992</v>
      </c>
    </row>
    <row r="268" spans="1:40">
      <c r="A268" s="130"/>
      <c r="B268" s="1033"/>
      <c r="C268" s="398"/>
      <c r="D268" s="1033"/>
      <c r="E268" s="406"/>
      <c r="F268" s="406"/>
      <c r="G268" s="820"/>
      <c r="H268" s="820"/>
      <c r="I268" s="1033"/>
      <c r="J268" s="406"/>
      <c r="K268" s="406"/>
      <c r="L268" s="820"/>
      <c r="M268" s="820"/>
      <c r="N268" s="401"/>
      <c r="O268" s="401"/>
      <c r="P268" s="401"/>
      <c r="Q268" s="820"/>
      <c r="R268" s="398"/>
      <c r="S268" s="401"/>
      <c r="T268" s="401"/>
      <c r="U268" s="401"/>
      <c r="V268" s="406"/>
      <c r="W268" s="398"/>
      <c r="X268" s="1033"/>
      <c r="Y268" s="406"/>
      <c r="Z268" s="406"/>
      <c r="AA268" s="406"/>
      <c r="AB268" s="398"/>
      <c r="AC268" s="406"/>
      <c r="AD268" s="406"/>
      <c r="AE268" s="406"/>
      <c r="AF268" s="820"/>
      <c r="AG268" s="398"/>
      <c r="AH268" s="406"/>
      <c r="AI268" s="406"/>
      <c r="AJ268" s="406"/>
      <c r="AK268" s="820"/>
      <c r="AL268" s="398"/>
      <c r="AM268" s="820"/>
      <c r="AN268" s="820"/>
    </row>
    <row r="269" spans="1:40">
      <c r="A269" s="295" t="s">
        <v>1402</v>
      </c>
      <c r="B269" s="1033"/>
      <c r="C269" s="398"/>
      <c r="D269" s="1033"/>
      <c r="E269" s="406"/>
      <c r="F269" s="406"/>
      <c r="G269" s="820"/>
      <c r="H269" s="820"/>
      <c r="I269" s="1033"/>
      <c r="J269" s="406"/>
      <c r="K269" s="406"/>
      <c r="L269" s="820"/>
      <c r="M269" s="820"/>
      <c r="N269" s="401"/>
      <c r="O269" s="401"/>
      <c r="P269" s="401"/>
      <c r="Q269" s="820"/>
      <c r="R269" s="398"/>
      <c r="S269" s="401"/>
      <c r="T269" s="401"/>
      <c r="U269" s="401"/>
      <c r="V269" s="820"/>
      <c r="W269" s="398"/>
      <c r="X269" s="1033"/>
      <c r="Y269" s="406"/>
      <c r="Z269" s="406"/>
      <c r="AA269" s="406"/>
      <c r="AB269" s="398"/>
      <c r="AC269" s="406"/>
      <c r="AD269" s="406"/>
      <c r="AE269" s="406"/>
      <c r="AF269" s="820"/>
      <c r="AG269" s="398"/>
      <c r="AH269" s="406"/>
      <c r="AI269" s="406"/>
      <c r="AJ269" s="406"/>
      <c r="AK269" s="820"/>
      <c r="AL269" s="398"/>
      <c r="AM269" s="820"/>
      <c r="AN269" s="820"/>
    </row>
    <row r="270" spans="1:40">
      <c r="A270" s="130" t="str">
        <f>A$9</f>
        <v>Waldorf Astoria Hotels &amp; Resorts (Luxury)</v>
      </c>
      <c r="B270" s="1033">
        <f t="shared" ref="B270:AN270" si="646">B254+B238+B222</f>
        <v>1</v>
      </c>
      <c r="C270" s="398">
        <f t="shared" si="646"/>
        <v>1</v>
      </c>
      <c r="D270" s="1033">
        <f t="shared" si="646"/>
        <v>1</v>
      </c>
      <c r="E270" s="406">
        <f t="shared" si="646"/>
        <v>1</v>
      </c>
      <c r="F270" s="406">
        <f t="shared" si="646"/>
        <v>1</v>
      </c>
      <c r="G270" s="820">
        <f t="shared" si="646"/>
        <v>1</v>
      </c>
      <c r="H270" s="820">
        <f t="shared" si="646"/>
        <v>1</v>
      </c>
      <c r="I270" s="1033">
        <f t="shared" si="646"/>
        <v>1</v>
      </c>
      <c r="J270" s="406">
        <f t="shared" si="646"/>
        <v>1</v>
      </c>
      <c r="K270" s="406">
        <f t="shared" si="646"/>
        <v>2</v>
      </c>
      <c r="L270" s="820">
        <f t="shared" si="646"/>
        <v>3</v>
      </c>
      <c r="M270" s="820">
        <f t="shared" si="646"/>
        <v>3</v>
      </c>
      <c r="N270" s="1033">
        <f t="shared" si="646"/>
        <v>3</v>
      </c>
      <c r="O270" s="401">
        <f t="shared" si="646"/>
        <v>3</v>
      </c>
      <c r="P270" s="401">
        <f t="shared" si="646"/>
        <v>3</v>
      </c>
      <c r="Q270" s="820">
        <f t="shared" si="646"/>
        <v>3</v>
      </c>
      <c r="R270" s="398">
        <f t="shared" si="646"/>
        <v>3</v>
      </c>
      <c r="S270" s="401">
        <f t="shared" si="646"/>
        <v>3</v>
      </c>
      <c r="T270" s="401">
        <f t="shared" si="646"/>
        <v>3</v>
      </c>
      <c r="U270" s="401">
        <f t="shared" si="646"/>
        <v>3</v>
      </c>
      <c r="V270" s="820">
        <f t="shared" si="646"/>
        <v>3</v>
      </c>
      <c r="W270" s="398">
        <f t="shared" si="646"/>
        <v>3</v>
      </c>
      <c r="X270" s="1033">
        <f t="shared" ref="X270:AG270" si="647">X254+X238+X222</f>
        <v>3</v>
      </c>
      <c r="Y270" s="406">
        <f t="shared" si="647"/>
        <v>3</v>
      </c>
      <c r="Z270" s="406">
        <f t="shared" si="647"/>
        <v>3</v>
      </c>
      <c r="AA270" s="406">
        <f t="shared" si="647"/>
        <v>3</v>
      </c>
      <c r="AB270" s="398">
        <f t="shared" si="647"/>
        <v>3</v>
      </c>
      <c r="AC270" s="3665">
        <v>3</v>
      </c>
      <c r="AD270" s="3665">
        <v>3</v>
      </c>
      <c r="AE270" s="406">
        <f t="shared" si="647"/>
        <v>3</v>
      </c>
      <c r="AF270" s="820">
        <f t="shared" si="647"/>
        <v>3</v>
      </c>
      <c r="AG270" s="398">
        <f t="shared" si="647"/>
        <v>3</v>
      </c>
      <c r="AH270" s="406">
        <f t="shared" ref="AH270:AL270" si="648">AH254+AH238+AH222</f>
        <v>3.0449999999999999</v>
      </c>
      <c r="AI270" s="406">
        <f t="shared" si="648"/>
        <v>3.0906749999999996</v>
      </c>
      <c r="AJ270" s="406">
        <f t="shared" si="648"/>
        <v>3.1370351249999993</v>
      </c>
      <c r="AK270" s="820">
        <f t="shared" si="648"/>
        <v>3.1840906518749987</v>
      </c>
      <c r="AL270" s="398">
        <f t="shared" si="648"/>
        <v>3.1840906518749987</v>
      </c>
      <c r="AM270" s="398">
        <f t="shared" si="646"/>
        <v>3.3273747312093733</v>
      </c>
      <c r="AN270" s="398">
        <f t="shared" si="646"/>
        <v>3.4271959731456545</v>
      </c>
    </row>
    <row r="271" spans="1:40">
      <c r="A271" s="130" t="str">
        <f>A$10</f>
        <v>Conrad Hotels &amp; Resorts (Luxury)</v>
      </c>
      <c r="B271" s="1033">
        <f t="shared" ref="B271:W271" si="649">B255+B239+B223</f>
        <v>1</v>
      </c>
      <c r="C271" s="398">
        <f t="shared" si="649"/>
        <v>1</v>
      </c>
      <c r="D271" s="1033">
        <f t="shared" si="649"/>
        <v>1</v>
      </c>
      <c r="E271" s="406">
        <f t="shared" si="649"/>
        <v>1</v>
      </c>
      <c r="F271" s="406">
        <f t="shared" si="649"/>
        <v>1</v>
      </c>
      <c r="G271" s="820">
        <f t="shared" si="649"/>
        <v>2</v>
      </c>
      <c r="H271" s="820">
        <f t="shared" si="649"/>
        <v>2</v>
      </c>
      <c r="I271" s="1033">
        <f t="shared" si="649"/>
        <v>2</v>
      </c>
      <c r="J271" s="406">
        <f t="shared" si="649"/>
        <v>2</v>
      </c>
      <c r="K271" s="406">
        <f t="shared" si="649"/>
        <v>3</v>
      </c>
      <c r="L271" s="820">
        <f t="shared" si="649"/>
        <v>3</v>
      </c>
      <c r="M271" s="820">
        <f t="shared" si="649"/>
        <v>3</v>
      </c>
      <c r="N271" s="1033">
        <f t="shared" si="649"/>
        <v>3</v>
      </c>
      <c r="O271" s="401">
        <f t="shared" si="649"/>
        <v>3</v>
      </c>
      <c r="P271" s="401">
        <f t="shared" si="649"/>
        <v>3</v>
      </c>
      <c r="Q271" s="820">
        <f t="shared" si="649"/>
        <v>3</v>
      </c>
      <c r="R271" s="398">
        <f t="shared" si="649"/>
        <v>3</v>
      </c>
      <c r="S271" s="401">
        <f t="shared" si="649"/>
        <v>3</v>
      </c>
      <c r="T271" s="401">
        <f t="shared" si="649"/>
        <v>3</v>
      </c>
      <c r="U271" s="401">
        <f t="shared" si="649"/>
        <v>3</v>
      </c>
      <c r="V271" s="820">
        <f t="shared" si="649"/>
        <v>3</v>
      </c>
      <c r="W271" s="398">
        <f t="shared" si="649"/>
        <v>3</v>
      </c>
      <c r="X271" s="1033">
        <f t="shared" ref="X271:AG271" si="650">X255+X239+X223</f>
        <v>3</v>
      </c>
      <c r="Y271" s="406">
        <f t="shared" si="650"/>
        <v>4</v>
      </c>
      <c r="Z271" s="406">
        <f t="shared" si="650"/>
        <v>4</v>
      </c>
      <c r="AA271" s="406">
        <f t="shared" si="650"/>
        <v>4</v>
      </c>
      <c r="AB271" s="398">
        <f t="shared" si="650"/>
        <v>4</v>
      </c>
      <c r="AC271" s="3665">
        <v>4</v>
      </c>
      <c r="AD271" s="3665">
        <v>4</v>
      </c>
      <c r="AE271" s="406">
        <f t="shared" si="650"/>
        <v>4</v>
      </c>
      <c r="AF271" s="820">
        <f t="shared" si="650"/>
        <v>4</v>
      </c>
      <c r="AG271" s="398">
        <f t="shared" si="650"/>
        <v>4</v>
      </c>
      <c r="AH271" s="406">
        <f t="shared" ref="AH271:AL271" si="651">AH255+AH239+AH223</f>
        <v>4.0449999999999999</v>
      </c>
      <c r="AI271" s="406">
        <f t="shared" si="651"/>
        <v>4.0906749999999992</v>
      </c>
      <c r="AJ271" s="406">
        <f t="shared" si="651"/>
        <v>4.1370351249999988</v>
      </c>
      <c r="AK271" s="820">
        <f t="shared" si="651"/>
        <v>4.1840906518749987</v>
      </c>
      <c r="AL271" s="398">
        <f t="shared" si="651"/>
        <v>4.1840906518749987</v>
      </c>
      <c r="AM271" s="398">
        <f t="shared" ref="AM271:AN272" si="652">AM255+AM239+AM223</f>
        <v>4.3273747312093729</v>
      </c>
      <c r="AN271" s="398">
        <f t="shared" si="652"/>
        <v>4.4271959731456541</v>
      </c>
    </row>
    <row r="272" spans="1:40">
      <c r="A272" s="1828" t="s">
        <v>3022</v>
      </c>
      <c r="B272" s="1030"/>
      <c r="C272" s="508"/>
      <c r="D272" s="1030"/>
      <c r="E272" s="912"/>
      <c r="F272" s="912"/>
      <c r="G272" s="1041"/>
      <c r="H272" s="820"/>
      <c r="I272" s="1030"/>
      <c r="J272" s="912"/>
      <c r="K272" s="912"/>
      <c r="L272" s="1041"/>
      <c r="M272" s="820"/>
      <c r="N272" s="1030"/>
      <c r="O272" s="912"/>
      <c r="P272" s="912"/>
      <c r="Q272" s="1041"/>
      <c r="R272" s="820"/>
      <c r="S272" s="1030"/>
      <c r="T272" s="912"/>
      <c r="U272" s="912"/>
      <c r="V272" s="912"/>
      <c r="W272" s="398"/>
      <c r="X272" s="2787"/>
      <c r="Y272" s="2791"/>
      <c r="Z272" s="2791"/>
      <c r="AA272" s="2791">
        <f t="shared" ref="AA272:AG272" si="653">AA256+AA240+AA224</f>
        <v>0</v>
      </c>
      <c r="AB272" s="398">
        <f t="shared" si="653"/>
        <v>0</v>
      </c>
      <c r="AC272" s="3665">
        <v>0</v>
      </c>
      <c r="AD272" s="3665">
        <v>0</v>
      </c>
      <c r="AE272" s="406">
        <f t="shared" si="653"/>
        <v>0</v>
      </c>
      <c r="AF272" s="820">
        <f t="shared" si="653"/>
        <v>0</v>
      </c>
      <c r="AG272" s="398">
        <f t="shared" si="653"/>
        <v>0</v>
      </c>
      <c r="AH272" s="406">
        <f t="shared" ref="AH272:AL272" si="654">AH256+AH240+AH224</f>
        <v>0</v>
      </c>
      <c r="AI272" s="406">
        <f t="shared" si="654"/>
        <v>0</v>
      </c>
      <c r="AJ272" s="406">
        <f t="shared" si="654"/>
        <v>0</v>
      </c>
      <c r="AK272" s="820">
        <f t="shared" si="654"/>
        <v>0</v>
      </c>
      <c r="AL272" s="398">
        <f t="shared" si="654"/>
        <v>0</v>
      </c>
      <c r="AM272" s="398">
        <f t="shared" si="652"/>
        <v>0</v>
      </c>
      <c r="AN272" s="398">
        <f t="shared" si="652"/>
        <v>0</v>
      </c>
    </row>
    <row r="273" spans="1:40">
      <c r="A273" s="130" t="str">
        <f>A$12</f>
        <v>Hilton Hotels &amp; Resorts (Upper Up)</v>
      </c>
      <c r="B273" s="1033">
        <f t="shared" ref="B273:AN273" si="655">B257+B241+B225</f>
        <v>39</v>
      </c>
      <c r="C273" s="398">
        <f t="shared" si="655"/>
        <v>45</v>
      </c>
      <c r="D273" s="1033">
        <f t="shared" si="655"/>
        <v>44</v>
      </c>
      <c r="E273" s="406">
        <f t="shared" si="655"/>
        <v>47</v>
      </c>
      <c r="F273" s="406">
        <f t="shared" si="655"/>
        <v>47</v>
      </c>
      <c r="G273" s="820">
        <f t="shared" si="655"/>
        <v>47</v>
      </c>
      <c r="H273" s="820">
        <f t="shared" si="655"/>
        <v>47</v>
      </c>
      <c r="I273" s="1033">
        <f t="shared" si="655"/>
        <v>49</v>
      </c>
      <c r="J273" s="406">
        <f t="shared" si="655"/>
        <v>49</v>
      </c>
      <c r="K273" s="406">
        <f t="shared" si="655"/>
        <v>50</v>
      </c>
      <c r="L273" s="820">
        <f t="shared" si="655"/>
        <v>50</v>
      </c>
      <c r="M273" s="820">
        <f t="shared" si="655"/>
        <v>50</v>
      </c>
      <c r="N273" s="1033">
        <f t="shared" si="655"/>
        <v>51</v>
      </c>
      <c r="O273" s="401">
        <f t="shared" si="655"/>
        <v>51</v>
      </c>
      <c r="P273" s="401">
        <f t="shared" si="655"/>
        <v>51</v>
      </c>
      <c r="Q273" s="820">
        <f t="shared" si="655"/>
        <v>51</v>
      </c>
      <c r="R273" s="398">
        <f t="shared" si="655"/>
        <v>51</v>
      </c>
      <c r="S273" s="401">
        <f t="shared" si="655"/>
        <v>50</v>
      </c>
      <c r="T273" s="401">
        <f t="shared" si="655"/>
        <v>50</v>
      </c>
      <c r="U273" s="401">
        <f t="shared" si="655"/>
        <v>51</v>
      </c>
      <c r="V273" s="820">
        <f t="shared" si="655"/>
        <v>52</v>
      </c>
      <c r="W273" s="398">
        <f t="shared" si="655"/>
        <v>52</v>
      </c>
      <c r="X273" s="1033">
        <f t="shared" ref="X273:AB279" si="656">X257+X241+X225</f>
        <v>52</v>
      </c>
      <c r="Y273" s="406">
        <f t="shared" si="656"/>
        <v>52</v>
      </c>
      <c r="Z273" s="406">
        <f t="shared" si="656"/>
        <v>52</v>
      </c>
      <c r="AA273" s="406">
        <f t="shared" si="656"/>
        <v>52</v>
      </c>
      <c r="AB273" s="398">
        <f t="shared" si="656"/>
        <v>52</v>
      </c>
      <c r="AC273" s="3665">
        <v>52</v>
      </c>
      <c r="AD273" s="3665">
        <v>52</v>
      </c>
      <c r="AE273" s="406">
        <f t="shared" ref="AE273:AG279" si="657">AE257+AE241+AE225</f>
        <v>50</v>
      </c>
      <c r="AF273" s="820">
        <f t="shared" si="657"/>
        <v>51</v>
      </c>
      <c r="AG273" s="398">
        <f t="shared" si="657"/>
        <v>51</v>
      </c>
      <c r="AH273" s="406">
        <f t="shared" ref="AH273:AL273" si="658">AH257+AH241+AH225</f>
        <v>51.68</v>
      </c>
      <c r="AI273" s="406">
        <f t="shared" si="658"/>
        <v>52.370099999999994</v>
      </c>
      <c r="AJ273" s="406">
        <f t="shared" si="658"/>
        <v>53.080651499999988</v>
      </c>
      <c r="AK273" s="820">
        <f t="shared" si="658"/>
        <v>53.801861272499984</v>
      </c>
      <c r="AL273" s="398">
        <f t="shared" si="658"/>
        <v>53.801861272499984</v>
      </c>
      <c r="AM273" s="398">
        <f t="shared" si="655"/>
        <v>56.029473005437481</v>
      </c>
      <c r="AN273" s="398">
        <f t="shared" si="655"/>
        <v>57.604916734554607</v>
      </c>
    </row>
    <row r="274" spans="1:40">
      <c r="A274" s="130" t="str">
        <f>A$13</f>
        <v xml:space="preserve">Curio - A Collection by Hilton </v>
      </c>
      <c r="B274" s="1033"/>
      <c r="C274" s="398"/>
      <c r="D274" s="1033"/>
      <c r="E274" s="406"/>
      <c r="F274" s="406"/>
      <c r="G274" s="820"/>
      <c r="H274" s="820"/>
      <c r="I274" s="1033"/>
      <c r="J274" s="406"/>
      <c r="K274" s="406"/>
      <c r="L274" s="820"/>
      <c r="M274" s="820"/>
      <c r="N274" s="1033"/>
      <c r="O274" s="401"/>
      <c r="P274" s="401"/>
      <c r="Q274" s="820"/>
      <c r="R274" s="398"/>
      <c r="S274" s="401">
        <f t="shared" ref="S274:W275" si="659">S258+S242+S226</f>
        <v>0</v>
      </c>
      <c r="T274" s="401">
        <f t="shared" si="659"/>
        <v>0</v>
      </c>
      <c r="U274" s="401">
        <f t="shared" si="659"/>
        <v>0</v>
      </c>
      <c r="V274" s="820">
        <f t="shared" si="659"/>
        <v>0</v>
      </c>
      <c r="W274" s="398">
        <f t="shared" si="659"/>
        <v>0</v>
      </c>
      <c r="X274" s="1033">
        <f t="shared" si="656"/>
        <v>0</v>
      </c>
      <c r="Y274" s="406">
        <f t="shared" si="656"/>
        <v>0</v>
      </c>
      <c r="Z274" s="406">
        <f t="shared" si="656"/>
        <v>0</v>
      </c>
      <c r="AA274" s="406">
        <f t="shared" si="656"/>
        <v>1</v>
      </c>
      <c r="AB274" s="398">
        <f t="shared" si="656"/>
        <v>1</v>
      </c>
      <c r="AC274" s="3665">
        <v>1</v>
      </c>
      <c r="AD274" s="3665">
        <v>1</v>
      </c>
      <c r="AE274" s="406">
        <f t="shared" si="657"/>
        <v>1</v>
      </c>
      <c r="AF274" s="820">
        <f t="shared" si="657"/>
        <v>1</v>
      </c>
      <c r="AG274" s="398">
        <f t="shared" si="657"/>
        <v>1</v>
      </c>
      <c r="AH274" s="406">
        <f t="shared" ref="AH274:AL274" si="660">AH258+AH242+AH226</f>
        <v>1</v>
      </c>
      <c r="AI274" s="406">
        <f t="shared" si="660"/>
        <v>1</v>
      </c>
      <c r="AJ274" s="406">
        <f t="shared" si="660"/>
        <v>1</v>
      </c>
      <c r="AK274" s="820">
        <f t="shared" si="660"/>
        <v>1</v>
      </c>
      <c r="AL274" s="398">
        <f t="shared" si="660"/>
        <v>1</v>
      </c>
      <c r="AM274" s="398">
        <f t="shared" ref="AM274:AN279" si="661">AM258+AM242+AM226</f>
        <v>1</v>
      </c>
      <c r="AN274" s="398">
        <f t="shared" si="661"/>
        <v>1</v>
      </c>
    </row>
    <row r="275" spans="1:40">
      <c r="A275" s="130" t="str">
        <f>A$14</f>
        <v>DoubleTree by Hilton (Upscale)</v>
      </c>
      <c r="B275" s="1033">
        <f t="shared" ref="B275:R275" si="662">B259+B243+B227</f>
        <v>2</v>
      </c>
      <c r="C275" s="398">
        <f t="shared" si="662"/>
        <v>4</v>
      </c>
      <c r="D275" s="1033">
        <f t="shared" si="662"/>
        <v>4</v>
      </c>
      <c r="E275" s="406">
        <f t="shared" si="662"/>
        <v>4</v>
      </c>
      <c r="F275" s="406">
        <f t="shared" si="662"/>
        <v>4</v>
      </c>
      <c r="G275" s="820">
        <f t="shared" si="662"/>
        <v>4</v>
      </c>
      <c r="H275" s="820">
        <f t="shared" si="662"/>
        <v>4</v>
      </c>
      <c r="I275" s="1033">
        <f t="shared" si="662"/>
        <v>4</v>
      </c>
      <c r="J275" s="406">
        <f t="shared" si="662"/>
        <v>5</v>
      </c>
      <c r="K275" s="406">
        <f t="shared" si="662"/>
        <v>5</v>
      </c>
      <c r="L275" s="820">
        <f t="shared" si="662"/>
        <v>7</v>
      </c>
      <c r="M275" s="820">
        <f t="shared" si="662"/>
        <v>7</v>
      </c>
      <c r="N275" s="1033">
        <f t="shared" si="662"/>
        <v>8</v>
      </c>
      <c r="O275" s="401">
        <f t="shared" si="662"/>
        <v>10</v>
      </c>
      <c r="P275" s="401">
        <f t="shared" si="662"/>
        <v>11</v>
      </c>
      <c r="Q275" s="820">
        <f t="shared" si="662"/>
        <v>11</v>
      </c>
      <c r="R275" s="398">
        <f t="shared" si="662"/>
        <v>11</v>
      </c>
      <c r="S275" s="401">
        <f t="shared" si="659"/>
        <v>11</v>
      </c>
      <c r="T275" s="401">
        <f t="shared" si="659"/>
        <v>12</v>
      </c>
      <c r="U275" s="401">
        <f t="shared" si="659"/>
        <v>12</v>
      </c>
      <c r="V275" s="820">
        <f t="shared" si="659"/>
        <v>13</v>
      </c>
      <c r="W275" s="398">
        <f t="shared" si="659"/>
        <v>13</v>
      </c>
      <c r="X275" s="1033">
        <f t="shared" si="656"/>
        <v>13</v>
      </c>
      <c r="Y275" s="406">
        <f t="shared" si="656"/>
        <v>13</v>
      </c>
      <c r="Z275" s="406">
        <f t="shared" si="656"/>
        <v>13</v>
      </c>
      <c r="AA275" s="406">
        <f t="shared" si="656"/>
        <v>13</v>
      </c>
      <c r="AB275" s="398">
        <f t="shared" si="656"/>
        <v>13</v>
      </c>
      <c r="AC275" s="3665">
        <v>13</v>
      </c>
      <c r="AD275" s="3665">
        <v>13</v>
      </c>
      <c r="AE275" s="406">
        <f t="shared" si="657"/>
        <v>14</v>
      </c>
      <c r="AF275" s="820">
        <f t="shared" si="657"/>
        <v>14</v>
      </c>
      <c r="AG275" s="398">
        <f t="shared" si="657"/>
        <v>14</v>
      </c>
      <c r="AH275" s="406">
        <f t="shared" ref="AH275:AL275" si="663">AH259+AH243+AH227</f>
        <v>14.189999999999998</v>
      </c>
      <c r="AI275" s="406">
        <f t="shared" si="663"/>
        <v>14.382649999999998</v>
      </c>
      <c r="AJ275" s="406">
        <f t="shared" si="663"/>
        <v>14.598389749999996</v>
      </c>
      <c r="AK275" s="820">
        <f t="shared" si="663"/>
        <v>14.817365596249994</v>
      </c>
      <c r="AL275" s="398">
        <f t="shared" si="663"/>
        <v>14.817365596249994</v>
      </c>
      <c r="AM275" s="398">
        <f t="shared" si="661"/>
        <v>15.547202999431242</v>
      </c>
      <c r="AN275" s="398">
        <f t="shared" si="661"/>
        <v>16.10273816732218</v>
      </c>
    </row>
    <row r="276" spans="1:40">
      <c r="A276" s="130" t="str">
        <f>A$15</f>
        <v>Embassy Suites Hotels (Upper Up)</v>
      </c>
      <c r="B276" s="1033">
        <f t="shared" ref="B276:C279" si="664">B260+B244+B228</f>
        <v>0</v>
      </c>
      <c r="C276" s="398">
        <f t="shared" si="664"/>
        <v>0</v>
      </c>
      <c r="D276" s="1033">
        <f t="shared" ref="D276:S276" si="665">D260+D244+D228</f>
        <v>0</v>
      </c>
      <c r="E276" s="406">
        <f t="shared" si="665"/>
        <v>0</v>
      </c>
      <c r="F276" s="406">
        <f t="shared" si="665"/>
        <v>0</v>
      </c>
      <c r="G276" s="820">
        <f t="shared" si="665"/>
        <v>0</v>
      </c>
      <c r="H276" s="820">
        <f t="shared" si="665"/>
        <v>0</v>
      </c>
      <c r="I276" s="1033">
        <f t="shared" si="665"/>
        <v>0</v>
      </c>
      <c r="J276" s="406">
        <f t="shared" si="665"/>
        <v>0</v>
      </c>
      <c r="K276" s="406">
        <f t="shared" si="665"/>
        <v>0</v>
      </c>
      <c r="L276" s="820">
        <f t="shared" ref="L276:N279" si="666">L260+L244+L228</f>
        <v>0</v>
      </c>
      <c r="M276" s="820">
        <f t="shared" si="666"/>
        <v>0</v>
      </c>
      <c r="N276" s="1033">
        <f t="shared" si="666"/>
        <v>0</v>
      </c>
      <c r="O276" s="401">
        <f t="shared" si="665"/>
        <v>0</v>
      </c>
      <c r="P276" s="401">
        <f t="shared" si="665"/>
        <v>0</v>
      </c>
      <c r="Q276" s="820">
        <f t="shared" si="665"/>
        <v>0</v>
      </c>
      <c r="R276" s="398">
        <f t="shared" si="665"/>
        <v>0</v>
      </c>
      <c r="S276" s="401">
        <f t="shared" si="665"/>
        <v>0</v>
      </c>
      <c r="T276" s="401">
        <f t="shared" ref="T276:W279" si="667">T260+T244+T228</f>
        <v>0</v>
      </c>
      <c r="U276" s="401">
        <f t="shared" si="667"/>
        <v>0</v>
      </c>
      <c r="V276" s="820">
        <f t="shared" si="667"/>
        <v>0</v>
      </c>
      <c r="W276" s="398">
        <f t="shared" si="667"/>
        <v>0</v>
      </c>
      <c r="X276" s="1033">
        <f t="shared" si="656"/>
        <v>0</v>
      </c>
      <c r="Y276" s="406">
        <f t="shared" si="656"/>
        <v>0</v>
      </c>
      <c r="Z276" s="406">
        <f t="shared" si="656"/>
        <v>0</v>
      </c>
      <c r="AA276" s="406">
        <f t="shared" si="656"/>
        <v>0</v>
      </c>
      <c r="AB276" s="398">
        <f t="shared" si="656"/>
        <v>0</v>
      </c>
      <c r="AC276" s="3665">
        <v>0</v>
      </c>
      <c r="AD276" s="3665">
        <v>0</v>
      </c>
      <c r="AE276" s="406">
        <f t="shared" si="657"/>
        <v>0</v>
      </c>
      <c r="AF276" s="820">
        <f t="shared" si="657"/>
        <v>0</v>
      </c>
      <c r="AG276" s="398">
        <f t="shared" si="657"/>
        <v>0</v>
      </c>
      <c r="AH276" s="406">
        <f t="shared" ref="AH276:AL276" si="668">AH260+AH244+AH228</f>
        <v>0</v>
      </c>
      <c r="AI276" s="406">
        <f t="shared" si="668"/>
        <v>0</v>
      </c>
      <c r="AJ276" s="406">
        <f t="shared" si="668"/>
        <v>0</v>
      </c>
      <c r="AK276" s="820">
        <f t="shared" si="668"/>
        <v>0</v>
      </c>
      <c r="AL276" s="398">
        <f t="shared" si="668"/>
        <v>0</v>
      </c>
      <c r="AM276" s="398">
        <f t="shared" si="661"/>
        <v>0</v>
      </c>
      <c r="AN276" s="398">
        <f t="shared" si="661"/>
        <v>0</v>
      </c>
    </row>
    <row r="277" spans="1:40">
      <c r="A277" s="130" t="str">
        <f>A$16</f>
        <v>Hilton Garden Inn (Upscale)</v>
      </c>
      <c r="B277" s="1033">
        <f t="shared" si="664"/>
        <v>1</v>
      </c>
      <c r="C277" s="398">
        <f t="shared" si="664"/>
        <v>1</v>
      </c>
      <c r="D277" s="1033">
        <f t="shared" ref="D277:S277" si="669">D261+D245+D229</f>
        <v>1</v>
      </c>
      <c r="E277" s="406">
        <f t="shared" si="669"/>
        <v>1</v>
      </c>
      <c r="F277" s="406">
        <f t="shared" si="669"/>
        <v>1</v>
      </c>
      <c r="G277" s="820">
        <f t="shared" si="669"/>
        <v>1</v>
      </c>
      <c r="H277" s="820">
        <f t="shared" si="669"/>
        <v>1</v>
      </c>
      <c r="I277" s="1033">
        <f t="shared" si="669"/>
        <v>1</v>
      </c>
      <c r="J277" s="406">
        <f t="shared" si="669"/>
        <v>1</v>
      </c>
      <c r="K277" s="406">
        <f t="shared" si="669"/>
        <v>1</v>
      </c>
      <c r="L277" s="820">
        <f t="shared" si="666"/>
        <v>1</v>
      </c>
      <c r="M277" s="820">
        <f t="shared" si="666"/>
        <v>1</v>
      </c>
      <c r="N277" s="1033">
        <f t="shared" si="666"/>
        <v>1</v>
      </c>
      <c r="O277" s="401">
        <f t="shared" si="669"/>
        <v>1</v>
      </c>
      <c r="P277" s="401">
        <f t="shared" si="669"/>
        <v>1</v>
      </c>
      <c r="Q277" s="820">
        <f t="shared" si="669"/>
        <v>1</v>
      </c>
      <c r="R277" s="398">
        <f t="shared" si="669"/>
        <v>1</v>
      </c>
      <c r="S277" s="401">
        <f t="shared" si="669"/>
        <v>1</v>
      </c>
      <c r="T277" s="401">
        <f t="shared" si="667"/>
        <v>1</v>
      </c>
      <c r="U277" s="401">
        <f t="shared" si="667"/>
        <v>2</v>
      </c>
      <c r="V277" s="820">
        <f t="shared" si="667"/>
        <v>5</v>
      </c>
      <c r="W277" s="398">
        <f t="shared" si="667"/>
        <v>5</v>
      </c>
      <c r="X277" s="1033">
        <f t="shared" si="656"/>
        <v>6</v>
      </c>
      <c r="Y277" s="406">
        <f t="shared" si="656"/>
        <v>6</v>
      </c>
      <c r="Z277" s="406">
        <f t="shared" si="656"/>
        <v>6</v>
      </c>
      <c r="AA277" s="406">
        <f t="shared" si="656"/>
        <v>6</v>
      </c>
      <c r="AB277" s="398">
        <f t="shared" si="656"/>
        <v>6</v>
      </c>
      <c r="AC277" s="3665">
        <v>6</v>
      </c>
      <c r="AD277" s="3665">
        <v>7</v>
      </c>
      <c r="AE277" s="406">
        <f t="shared" si="657"/>
        <v>7</v>
      </c>
      <c r="AF277" s="820">
        <f t="shared" si="657"/>
        <v>7</v>
      </c>
      <c r="AG277" s="398">
        <f t="shared" si="657"/>
        <v>7</v>
      </c>
      <c r="AH277" s="406">
        <f t="shared" ref="AH277:AL277" si="670">AH261+AH245+AH229</f>
        <v>7.1049999999999995</v>
      </c>
      <c r="AI277" s="406">
        <f t="shared" si="670"/>
        <v>7.211574999999999</v>
      </c>
      <c r="AJ277" s="406">
        <f t="shared" si="670"/>
        <v>7.3197486249999981</v>
      </c>
      <c r="AK277" s="820">
        <f t="shared" si="670"/>
        <v>7.4295448543749973</v>
      </c>
      <c r="AL277" s="398">
        <f t="shared" si="670"/>
        <v>7.4295448543749973</v>
      </c>
      <c r="AM277" s="398">
        <f t="shared" si="661"/>
        <v>7.7638743728218715</v>
      </c>
      <c r="AN277" s="398">
        <f t="shared" si="661"/>
        <v>7.9967906040065282</v>
      </c>
    </row>
    <row r="278" spans="1:40">
      <c r="A278" s="130" t="str">
        <f>A$17</f>
        <v>Hampton Inn (Upper Mid)</v>
      </c>
      <c r="B278" s="1033">
        <f t="shared" si="664"/>
        <v>0</v>
      </c>
      <c r="C278" s="398">
        <f t="shared" si="664"/>
        <v>0</v>
      </c>
      <c r="D278" s="1033">
        <f t="shared" ref="D278:S278" si="671">D262+D246+D230</f>
        <v>0</v>
      </c>
      <c r="E278" s="406">
        <f t="shared" si="671"/>
        <v>0</v>
      </c>
      <c r="F278" s="406">
        <f t="shared" si="671"/>
        <v>0</v>
      </c>
      <c r="G278" s="820">
        <f t="shared" si="671"/>
        <v>0</v>
      </c>
      <c r="H278" s="820">
        <f t="shared" si="671"/>
        <v>0</v>
      </c>
      <c r="I278" s="1033">
        <f t="shared" si="671"/>
        <v>0</v>
      </c>
      <c r="J278" s="406">
        <f t="shared" si="671"/>
        <v>0</v>
      </c>
      <c r="K278" s="406">
        <f t="shared" si="671"/>
        <v>0</v>
      </c>
      <c r="L278" s="820">
        <f t="shared" si="666"/>
        <v>0</v>
      </c>
      <c r="M278" s="820">
        <f t="shared" si="666"/>
        <v>0</v>
      </c>
      <c r="N278" s="1033">
        <f t="shared" si="666"/>
        <v>0</v>
      </c>
      <c r="O278" s="401">
        <f t="shared" si="671"/>
        <v>0</v>
      </c>
      <c r="P278" s="401">
        <f t="shared" si="671"/>
        <v>0</v>
      </c>
      <c r="Q278" s="820">
        <f t="shared" si="671"/>
        <v>0</v>
      </c>
      <c r="R278" s="398">
        <f t="shared" si="671"/>
        <v>0</v>
      </c>
      <c r="S278" s="401">
        <f t="shared" si="671"/>
        <v>0</v>
      </c>
      <c r="T278" s="401">
        <f t="shared" si="667"/>
        <v>0</v>
      </c>
      <c r="U278" s="401">
        <f t="shared" si="667"/>
        <v>0</v>
      </c>
      <c r="V278" s="820">
        <f t="shared" si="667"/>
        <v>0</v>
      </c>
      <c r="W278" s="398">
        <f t="shared" si="667"/>
        <v>0</v>
      </c>
      <c r="X278" s="1033">
        <f t="shared" si="656"/>
        <v>0</v>
      </c>
      <c r="Y278" s="406">
        <f t="shared" si="656"/>
        <v>0</v>
      </c>
      <c r="Z278" s="406">
        <f t="shared" si="656"/>
        <v>0</v>
      </c>
      <c r="AA278" s="406">
        <f t="shared" si="656"/>
        <v>0</v>
      </c>
      <c r="AB278" s="398">
        <f t="shared" si="656"/>
        <v>0</v>
      </c>
      <c r="AC278" s="3665">
        <v>0</v>
      </c>
      <c r="AD278" s="3665">
        <v>0</v>
      </c>
      <c r="AE278" s="406">
        <f t="shared" si="657"/>
        <v>0</v>
      </c>
      <c r="AF278" s="820">
        <f t="shared" si="657"/>
        <v>0</v>
      </c>
      <c r="AG278" s="398">
        <f t="shared" si="657"/>
        <v>0</v>
      </c>
      <c r="AH278" s="406">
        <f t="shared" ref="AH278:AL278" si="672">AH262+AH246+AH230</f>
        <v>0</v>
      </c>
      <c r="AI278" s="406">
        <f t="shared" si="672"/>
        <v>0</v>
      </c>
      <c r="AJ278" s="406">
        <f t="shared" si="672"/>
        <v>0</v>
      </c>
      <c r="AK278" s="820">
        <f t="shared" si="672"/>
        <v>0</v>
      </c>
      <c r="AL278" s="398">
        <f t="shared" si="672"/>
        <v>0</v>
      </c>
      <c r="AM278" s="398">
        <f t="shared" si="661"/>
        <v>0</v>
      </c>
      <c r="AN278" s="398">
        <f t="shared" si="661"/>
        <v>0</v>
      </c>
    </row>
    <row r="279" spans="1:40">
      <c r="A279" s="130" t="str">
        <f>A$18</f>
        <v>Home2 Suites by Hilton (Upper Mid)</v>
      </c>
      <c r="B279" s="1033">
        <f t="shared" si="664"/>
        <v>0</v>
      </c>
      <c r="C279" s="398">
        <f t="shared" si="664"/>
        <v>0</v>
      </c>
      <c r="D279" s="1033">
        <f t="shared" ref="D279:S279" si="673">D263+D247+D231</f>
        <v>0</v>
      </c>
      <c r="E279" s="406">
        <f t="shared" si="673"/>
        <v>0</v>
      </c>
      <c r="F279" s="406">
        <f t="shared" si="673"/>
        <v>0</v>
      </c>
      <c r="G279" s="820">
        <f t="shared" si="673"/>
        <v>0</v>
      </c>
      <c r="H279" s="820">
        <f t="shared" si="673"/>
        <v>0</v>
      </c>
      <c r="I279" s="1033">
        <f t="shared" si="673"/>
        <v>0</v>
      </c>
      <c r="J279" s="406">
        <f t="shared" si="673"/>
        <v>0</v>
      </c>
      <c r="K279" s="406">
        <f t="shared" si="673"/>
        <v>0</v>
      </c>
      <c r="L279" s="820">
        <f t="shared" si="666"/>
        <v>0</v>
      </c>
      <c r="M279" s="820">
        <f t="shared" si="666"/>
        <v>0</v>
      </c>
      <c r="N279" s="1033">
        <f t="shared" si="666"/>
        <v>0</v>
      </c>
      <c r="O279" s="401">
        <f t="shared" si="673"/>
        <v>0</v>
      </c>
      <c r="P279" s="401">
        <f t="shared" si="673"/>
        <v>0</v>
      </c>
      <c r="Q279" s="820">
        <f t="shared" si="673"/>
        <v>0</v>
      </c>
      <c r="R279" s="398">
        <f t="shared" si="673"/>
        <v>0</v>
      </c>
      <c r="S279" s="401">
        <f t="shared" si="673"/>
        <v>0</v>
      </c>
      <c r="T279" s="401">
        <f t="shared" si="667"/>
        <v>0</v>
      </c>
      <c r="U279" s="401">
        <f t="shared" si="667"/>
        <v>0</v>
      </c>
      <c r="V279" s="820">
        <f t="shared" si="667"/>
        <v>0</v>
      </c>
      <c r="W279" s="398">
        <f t="shared" si="667"/>
        <v>0</v>
      </c>
      <c r="X279" s="1033">
        <f t="shared" si="656"/>
        <v>0</v>
      </c>
      <c r="Y279" s="406">
        <f t="shared" si="656"/>
        <v>0</v>
      </c>
      <c r="Z279" s="406">
        <f t="shared" si="656"/>
        <v>0</v>
      </c>
      <c r="AA279" s="406">
        <f t="shared" si="656"/>
        <v>0</v>
      </c>
      <c r="AB279" s="398">
        <f t="shared" si="656"/>
        <v>0</v>
      </c>
      <c r="AC279" s="3665">
        <v>0</v>
      </c>
      <c r="AD279" s="3665">
        <v>0</v>
      </c>
      <c r="AE279" s="406">
        <f t="shared" si="657"/>
        <v>0</v>
      </c>
      <c r="AF279" s="820">
        <f t="shared" si="657"/>
        <v>0</v>
      </c>
      <c r="AG279" s="398">
        <f t="shared" si="657"/>
        <v>0</v>
      </c>
      <c r="AH279" s="406">
        <f t="shared" ref="AH279:AL279" si="674">AH263+AH247+AH231</f>
        <v>0</v>
      </c>
      <c r="AI279" s="406">
        <f t="shared" si="674"/>
        <v>0</v>
      </c>
      <c r="AJ279" s="406">
        <f t="shared" si="674"/>
        <v>0</v>
      </c>
      <c r="AK279" s="820">
        <f t="shared" si="674"/>
        <v>0</v>
      </c>
      <c r="AL279" s="398">
        <f t="shared" si="674"/>
        <v>0</v>
      </c>
      <c r="AM279" s="398">
        <f t="shared" si="661"/>
        <v>0</v>
      </c>
      <c r="AN279" s="398">
        <f t="shared" si="661"/>
        <v>0</v>
      </c>
    </row>
    <row r="280" spans="1:40">
      <c r="A280" s="130" t="str">
        <f>$A$90</f>
        <v>Tru by Hilton</v>
      </c>
      <c r="B280" s="1030"/>
      <c r="C280" s="508"/>
      <c r="D280" s="1030"/>
      <c r="E280" s="912"/>
      <c r="F280" s="912"/>
      <c r="G280" s="1041"/>
      <c r="H280" s="820"/>
      <c r="I280" s="1030"/>
      <c r="J280" s="912"/>
      <c r="K280" s="912"/>
      <c r="L280" s="1041"/>
      <c r="M280" s="820"/>
      <c r="N280" s="1030"/>
      <c r="O280" s="912"/>
      <c r="P280" s="912"/>
      <c r="Q280" s="1041"/>
      <c r="R280" s="820"/>
      <c r="S280" s="1030"/>
      <c r="T280" s="912"/>
      <c r="U280" s="912"/>
      <c r="V280" s="912"/>
      <c r="W280" s="398"/>
      <c r="X280" s="2791"/>
      <c r="Y280" s="2791"/>
      <c r="Z280" s="2791"/>
      <c r="AA280" s="2791"/>
      <c r="AB280" s="398"/>
      <c r="AC280" s="3665">
        <v>0</v>
      </c>
      <c r="AD280" s="3665">
        <v>0</v>
      </c>
      <c r="AE280" s="406">
        <f t="shared" ref="AE280:AN280" si="675">AE264+AE248+AE232</f>
        <v>0</v>
      </c>
      <c r="AF280" s="820">
        <f t="shared" si="675"/>
        <v>0</v>
      </c>
      <c r="AG280" s="398">
        <f t="shared" si="675"/>
        <v>0</v>
      </c>
      <c r="AH280" s="406">
        <f t="shared" ref="AH280:AL280" si="676">AH264+AH248+AH232</f>
        <v>0</v>
      </c>
      <c r="AI280" s="406">
        <f t="shared" si="676"/>
        <v>0</v>
      </c>
      <c r="AJ280" s="406">
        <f t="shared" si="676"/>
        <v>0</v>
      </c>
      <c r="AK280" s="820">
        <f t="shared" si="676"/>
        <v>0</v>
      </c>
      <c r="AL280" s="398">
        <f t="shared" si="676"/>
        <v>0</v>
      </c>
      <c r="AM280" s="398">
        <f t="shared" si="675"/>
        <v>0</v>
      </c>
      <c r="AN280" s="398">
        <f t="shared" si="675"/>
        <v>0</v>
      </c>
    </row>
    <row r="281" spans="1:40">
      <c r="A281" s="130" t="str">
        <f>$A$91</f>
        <v>Tapestry Collection by Hilton</v>
      </c>
      <c r="B281" s="1030"/>
      <c r="C281" s="508"/>
      <c r="D281" s="1030"/>
      <c r="E281" s="912"/>
      <c r="F281" s="912"/>
      <c r="G281" s="1041"/>
      <c r="H281" s="820"/>
      <c r="I281" s="1030"/>
      <c r="J281" s="912"/>
      <c r="K281" s="912"/>
      <c r="L281" s="1041"/>
      <c r="M281" s="820"/>
      <c r="N281" s="1030"/>
      <c r="O281" s="912"/>
      <c r="P281" s="912"/>
      <c r="Q281" s="1041"/>
      <c r="R281" s="820"/>
      <c r="S281" s="1030"/>
      <c r="T281" s="912"/>
      <c r="U281" s="912"/>
      <c r="V281" s="912"/>
      <c r="W281" s="398"/>
      <c r="X281" s="2791"/>
      <c r="Y281" s="2791"/>
      <c r="Z281" s="2791"/>
      <c r="AA281" s="2791"/>
      <c r="AB281" s="398"/>
      <c r="AC281" s="3665">
        <v>0</v>
      </c>
      <c r="AD281" s="3665">
        <v>0</v>
      </c>
      <c r="AE281" s="406">
        <f t="shared" ref="AE281:AN281" si="677">AE265+AE249+AE233</f>
        <v>0</v>
      </c>
      <c r="AF281" s="820">
        <f t="shared" si="677"/>
        <v>0</v>
      </c>
      <c r="AG281" s="398">
        <f t="shared" si="677"/>
        <v>0</v>
      </c>
      <c r="AH281" s="406">
        <f t="shared" ref="AH281:AL281" si="678">AH265+AH249+AH233</f>
        <v>0</v>
      </c>
      <c r="AI281" s="406">
        <f t="shared" si="678"/>
        <v>0</v>
      </c>
      <c r="AJ281" s="406">
        <f t="shared" si="678"/>
        <v>0</v>
      </c>
      <c r="AK281" s="820">
        <f t="shared" si="678"/>
        <v>0</v>
      </c>
      <c r="AL281" s="398">
        <f t="shared" si="678"/>
        <v>0</v>
      </c>
      <c r="AM281" s="398">
        <f t="shared" si="677"/>
        <v>0</v>
      </c>
      <c r="AN281" s="398">
        <f t="shared" si="677"/>
        <v>0</v>
      </c>
    </row>
    <row r="282" spans="1:40" s="5" customFormat="1">
      <c r="A282" s="1828" t="str">
        <f>A$21</f>
        <v>Homewood Suites by Hilton (Upscale)</v>
      </c>
      <c r="B282" s="1033">
        <f t="shared" ref="B282:C282" si="679">B266+B250+B234</f>
        <v>0</v>
      </c>
      <c r="C282" s="398">
        <f t="shared" si="679"/>
        <v>0</v>
      </c>
      <c r="D282" s="1033">
        <f t="shared" ref="D282:S282" si="680">D266+D250+D234</f>
        <v>0</v>
      </c>
      <c r="E282" s="406">
        <f t="shared" si="680"/>
        <v>0</v>
      </c>
      <c r="F282" s="406">
        <f t="shared" si="680"/>
        <v>0</v>
      </c>
      <c r="G282" s="820">
        <f t="shared" si="680"/>
        <v>0</v>
      </c>
      <c r="H282" s="820">
        <f t="shared" si="680"/>
        <v>0</v>
      </c>
      <c r="I282" s="1033">
        <f t="shared" si="680"/>
        <v>0</v>
      </c>
      <c r="J282" s="406">
        <f t="shared" si="680"/>
        <v>0</v>
      </c>
      <c r="K282" s="406">
        <f t="shared" si="680"/>
        <v>0</v>
      </c>
      <c r="L282" s="820">
        <f t="shared" ref="L282:N282" si="681">L266+L250+L234</f>
        <v>0</v>
      </c>
      <c r="M282" s="820">
        <f t="shared" si="681"/>
        <v>0</v>
      </c>
      <c r="N282" s="1033">
        <f t="shared" si="681"/>
        <v>0</v>
      </c>
      <c r="O282" s="401">
        <f t="shared" si="680"/>
        <v>0</v>
      </c>
      <c r="P282" s="401">
        <f t="shared" si="680"/>
        <v>0</v>
      </c>
      <c r="Q282" s="820">
        <f t="shared" si="680"/>
        <v>0</v>
      </c>
      <c r="R282" s="398">
        <f t="shared" si="680"/>
        <v>0</v>
      </c>
      <c r="S282" s="401">
        <f t="shared" si="680"/>
        <v>0</v>
      </c>
      <c r="T282" s="401">
        <f t="shared" ref="T282:W282" si="682">T266+T250+T234</f>
        <v>0</v>
      </c>
      <c r="U282" s="401">
        <f t="shared" si="682"/>
        <v>0</v>
      </c>
      <c r="V282" s="820">
        <f t="shared" si="682"/>
        <v>0</v>
      </c>
      <c r="W282" s="398">
        <f t="shared" si="682"/>
        <v>0</v>
      </c>
      <c r="X282" s="1033">
        <f t="shared" ref="X282:AB282" si="683">X266+X250+X234</f>
        <v>0</v>
      </c>
      <c r="Y282" s="406">
        <f t="shared" si="683"/>
        <v>0</v>
      </c>
      <c r="Z282" s="406">
        <f t="shared" si="683"/>
        <v>0</v>
      </c>
      <c r="AA282" s="406">
        <f t="shared" si="683"/>
        <v>0</v>
      </c>
      <c r="AB282" s="398">
        <f t="shared" si="683"/>
        <v>0</v>
      </c>
      <c r="AC282" s="3665">
        <v>0</v>
      </c>
      <c r="AD282" s="3665">
        <v>0</v>
      </c>
      <c r="AE282" s="406">
        <f t="shared" ref="AE282:AN282" si="684">AE266+AE250+AE234</f>
        <v>0</v>
      </c>
      <c r="AF282" s="820">
        <f t="shared" si="684"/>
        <v>0</v>
      </c>
      <c r="AG282" s="398">
        <f t="shared" si="684"/>
        <v>0</v>
      </c>
      <c r="AH282" s="406">
        <f t="shared" ref="AH282:AL282" si="685">AH266+AH250+AH234</f>
        <v>0</v>
      </c>
      <c r="AI282" s="406">
        <f t="shared" si="685"/>
        <v>0</v>
      </c>
      <c r="AJ282" s="406">
        <f t="shared" si="685"/>
        <v>0</v>
      </c>
      <c r="AK282" s="820">
        <f t="shared" si="685"/>
        <v>0</v>
      </c>
      <c r="AL282" s="398">
        <f t="shared" si="685"/>
        <v>0</v>
      </c>
      <c r="AM282" s="398">
        <f t="shared" si="684"/>
        <v>0</v>
      </c>
      <c r="AN282" s="398">
        <f t="shared" si="684"/>
        <v>0</v>
      </c>
    </row>
    <row r="283" spans="1:40" s="5" customFormat="1">
      <c r="A283" s="1828" t="s">
        <v>395</v>
      </c>
      <c r="B283" s="1033"/>
      <c r="C283" s="398"/>
      <c r="D283" s="1033"/>
      <c r="E283" s="406"/>
      <c r="F283" s="406"/>
      <c r="G283" s="820"/>
      <c r="H283" s="820"/>
      <c r="I283" s="1033"/>
      <c r="J283" s="406"/>
      <c r="K283" s="406"/>
      <c r="L283" s="820"/>
      <c r="M283" s="820"/>
      <c r="N283" s="1033"/>
      <c r="O283" s="401"/>
      <c r="P283" s="401"/>
      <c r="Q283" s="820"/>
      <c r="R283" s="398"/>
      <c r="S283" s="401"/>
      <c r="T283" s="401"/>
      <c r="U283" s="401"/>
      <c r="V283" s="820"/>
      <c r="W283" s="398"/>
      <c r="X283" s="1033"/>
      <c r="Y283" s="406"/>
      <c r="Z283" s="406"/>
      <c r="AA283" s="406"/>
      <c r="AB283" s="398"/>
      <c r="AC283" s="3665">
        <v>1</v>
      </c>
      <c r="AD283" s="3665">
        <v>1</v>
      </c>
      <c r="AE283" s="406">
        <f t="shared" ref="AD283:AF284" si="686">+AD283</f>
        <v>1</v>
      </c>
      <c r="AF283" s="406">
        <f t="shared" si="686"/>
        <v>1</v>
      </c>
      <c r="AG283" s="398">
        <f t="shared" ref="AG283:AN284" si="687">AF283</f>
        <v>1</v>
      </c>
      <c r="AH283" s="406">
        <f t="shared" ref="AH283:AH284" si="688">+AG283</f>
        <v>1</v>
      </c>
      <c r="AI283" s="406">
        <f t="shared" ref="AI283:AI284" si="689">+AH283</f>
        <v>1</v>
      </c>
      <c r="AJ283" s="406">
        <f t="shared" ref="AJ283:AJ284" si="690">+AI283</f>
        <v>1</v>
      </c>
      <c r="AK283" s="406">
        <f t="shared" ref="AK283:AK284" si="691">+AJ283</f>
        <v>1</v>
      </c>
      <c r="AL283" s="398">
        <f t="shared" si="687"/>
        <v>1</v>
      </c>
      <c r="AM283" s="398">
        <f t="shared" si="687"/>
        <v>1</v>
      </c>
      <c r="AN283" s="398">
        <f t="shared" si="687"/>
        <v>1</v>
      </c>
    </row>
    <row r="284" spans="1:40" s="5" customFormat="1">
      <c r="A284" s="1828" t="s">
        <v>1394</v>
      </c>
      <c r="B284" s="1033"/>
      <c r="C284" s="398"/>
      <c r="D284" s="1033"/>
      <c r="E284" s="406"/>
      <c r="F284" s="406"/>
      <c r="G284" s="820"/>
      <c r="H284" s="820"/>
      <c r="I284" s="1033"/>
      <c r="J284" s="406"/>
      <c r="K284" s="406"/>
      <c r="L284" s="820"/>
      <c r="M284" s="820"/>
      <c r="N284" s="1033"/>
      <c r="O284" s="401"/>
      <c r="P284" s="401"/>
      <c r="Q284" s="820"/>
      <c r="R284" s="398"/>
      <c r="S284" s="401"/>
      <c r="T284" s="401"/>
      <c r="U284" s="401"/>
      <c r="V284" s="820"/>
      <c r="W284" s="398"/>
      <c r="X284" s="1033"/>
      <c r="Y284" s="406"/>
      <c r="Z284" s="406"/>
      <c r="AA284" s="406"/>
      <c r="AB284" s="398"/>
      <c r="AC284" s="3665">
        <v>0</v>
      </c>
      <c r="AD284" s="406">
        <f t="shared" si="686"/>
        <v>0</v>
      </c>
      <c r="AE284" s="406">
        <f t="shared" si="686"/>
        <v>0</v>
      </c>
      <c r="AF284" s="406">
        <f t="shared" si="686"/>
        <v>0</v>
      </c>
      <c r="AG284" s="398">
        <f t="shared" si="687"/>
        <v>0</v>
      </c>
      <c r="AH284" s="406">
        <f t="shared" si="688"/>
        <v>0</v>
      </c>
      <c r="AI284" s="406">
        <f t="shared" si="689"/>
        <v>0</v>
      </c>
      <c r="AJ284" s="406">
        <f t="shared" si="690"/>
        <v>0</v>
      </c>
      <c r="AK284" s="406">
        <f t="shared" si="691"/>
        <v>0</v>
      </c>
      <c r="AL284" s="398">
        <f t="shared" si="687"/>
        <v>0</v>
      </c>
      <c r="AM284" s="398">
        <f t="shared" si="687"/>
        <v>0</v>
      </c>
      <c r="AN284" s="398">
        <f t="shared" si="687"/>
        <v>0</v>
      </c>
    </row>
    <row r="285" spans="1:40">
      <c r="A285" s="202" t="s">
        <v>1403</v>
      </c>
      <c r="B285" s="1034">
        <f>SUM(B270:B282)</f>
        <v>44</v>
      </c>
      <c r="C285" s="476">
        <f>SUM(C270:C282)</f>
        <v>52</v>
      </c>
      <c r="D285" s="1034">
        <f t="shared" ref="D285:R285" si="692">SUM(D270:D282)</f>
        <v>51</v>
      </c>
      <c r="E285" s="475">
        <f t="shared" si="692"/>
        <v>54</v>
      </c>
      <c r="F285" s="475">
        <f t="shared" si="692"/>
        <v>54</v>
      </c>
      <c r="G285" s="822">
        <f t="shared" si="692"/>
        <v>55</v>
      </c>
      <c r="H285" s="822">
        <f t="shared" si="692"/>
        <v>55</v>
      </c>
      <c r="I285" s="1034">
        <f t="shared" si="692"/>
        <v>57</v>
      </c>
      <c r="J285" s="475">
        <f t="shared" si="692"/>
        <v>58</v>
      </c>
      <c r="K285" s="475">
        <f t="shared" si="692"/>
        <v>61</v>
      </c>
      <c r="L285" s="822">
        <f>SUM(L270:L282)</f>
        <v>64</v>
      </c>
      <c r="M285" s="822">
        <f>SUM(M270:M282)</f>
        <v>64</v>
      </c>
      <c r="N285" s="1034">
        <f t="shared" si="692"/>
        <v>66</v>
      </c>
      <c r="O285" s="475">
        <f t="shared" si="692"/>
        <v>68</v>
      </c>
      <c r="P285" s="475">
        <f t="shared" si="692"/>
        <v>69</v>
      </c>
      <c r="Q285" s="822">
        <f t="shared" si="692"/>
        <v>69</v>
      </c>
      <c r="R285" s="476">
        <f t="shared" si="692"/>
        <v>69</v>
      </c>
      <c r="S285" s="475">
        <f t="shared" ref="S285:AB285" si="693">SUM(S270:S282)</f>
        <v>68</v>
      </c>
      <c r="T285" s="475">
        <f t="shared" si="693"/>
        <v>69</v>
      </c>
      <c r="U285" s="475">
        <f t="shared" si="693"/>
        <v>71</v>
      </c>
      <c r="V285" s="822">
        <f t="shared" si="693"/>
        <v>76</v>
      </c>
      <c r="W285" s="476">
        <f t="shared" si="693"/>
        <v>76</v>
      </c>
      <c r="X285" s="1034">
        <f t="shared" si="693"/>
        <v>77</v>
      </c>
      <c r="Y285" s="475">
        <f t="shared" si="693"/>
        <v>78</v>
      </c>
      <c r="Z285" s="475">
        <f t="shared" si="693"/>
        <v>78</v>
      </c>
      <c r="AA285" s="475">
        <f t="shared" si="693"/>
        <v>79</v>
      </c>
      <c r="AB285" s="476">
        <f t="shared" si="693"/>
        <v>79</v>
      </c>
      <c r="AC285" s="475">
        <f t="shared" ref="AC285:AN285" si="694">SUM(AC270:AC284)</f>
        <v>80</v>
      </c>
      <c r="AD285" s="475">
        <f t="shared" si="694"/>
        <v>81</v>
      </c>
      <c r="AE285" s="475">
        <f t="shared" si="694"/>
        <v>80</v>
      </c>
      <c r="AF285" s="475">
        <f t="shared" si="694"/>
        <v>81</v>
      </c>
      <c r="AG285" s="476">
        <f t="shared" si="694"/>
        <v>81</v>
      </c>
      <c r="AH285" s="475">
        <f t="shared" ref="AH285:AL285" si="695">SUM(AH270:AH284)</f>
        <v>82.064999999999998</v>
      </c>
      <c r="AI285" s="475">
        <f t="shared" si="695"/>
        <v>83.145674999999983</v>
      </c>
      <c r="AJ285" s="475">
        <f t="shared" si="695"/>
        <v>84.27286012499998</v>
      </c>
      <c r="AK285" s="475">
        <f t="shared" si="695"/>
        <v>85.416953026874978</v>
      </c>
      <c r="AL285" s="476">
        <f t="shared" si="695"/>
        <v>85.416953026874978</v>
      </c>
      <c r="AM285" s="476">
        <f t="shared" si="694"/>
        <v>88.99529984010934</v>
      </c>
      <c r="AN285" s="476">
        <f t="shared" si="694"/>
        <v>91.558837452174615</v>
      </c>
    </row>
    <row r="286" spans="1:40">
      <c r="A286" s="478" t="s">
        <v>598</v>
      </c>
      <c r="B286" s="1035"/>
      <c r="C286" s="480">
        <f>C285-B285</f>
        <v>8</v>
      </c>
      <c r="D286" s="1035"/>
      <c r="E286" s="479"/>
      <c r="F286" s="479"/>
      <c r="G286" s="1040"/>
      <c r="H286" s="1040">
        <f t="shared" ref="H286:R286" si="696">H285-C285</f>
        <v>3</v>
      </c>
      <c r="I286" s="1035">
        <f t="shared" si="696"/>
        <v>6</v>
      </c>
      <c r="J286" s="479">
        <f t="shared" si="696"/>
        <v>4</v>
      </c>
      <c r="K286" s="479">
        <f t="shared" si="696"/>
        <v>7</v>
      </c>
      <c r="L286" s="1040">
        <f t="shared" si="696"/>
        <v>9</v>
      </c>
      <c r="M286" s="1040">
        <f>M285-H285</f>
        <v>9</v>
      </c>
      <c r="N286" s="1035">
        <f t="shared" si="696"/>
        <v>9</v>
      </c>
      <c r="O286" s="479">
        <f t="shared" si="696"/>
        <v>10</v>
      </c>
      <c r="P286" s="479">
        <f t="shared" si="696"/>
        <v>8</v>
      </c>
      <c r="Q286" s="479">
        <f t="shared" si="696"/>
        <v>5</v>
      </c>
      <c r="R286" s="480">
        <f t="shared" si="696"/>
        <v>5</v>
      </c>
      <c r="S286" s="479">
        <f t="shared" ref="S286:AB286" si="697">S285-N285</f>
        <v>2</v>
      </c>
      <c r="T286" s="479">
        <f t="shared" si="697"/>
        <v>1</v>
      </c>
      <c r="U286" s="479">
        <f t="shared" si="697"/>
        <v>2</v>
      </c>
      <c r="V286" s="479">
        <f t="shared" si="697"/>
        <v>7</v>
      </c>
      <c r="W286" s="480">
        <f t="shared" si="697"/>
        <v>7</v>
      </c>
      <c r="X286" s="1035">
        <f t="shared" si="697"/>
        <v>9</v>
      </c>
      <c r="Y286" s="479">
        <f t="shared" si="697"/>
        <v>9</v>
      </c>
      <c r="Z286" s="479">
        <f t="shared" si="697"/>
        <v>7</v>
      </c>
      <c r="AA286" s="479">
        <f t="shared" si="697"/>
        <v>3</v>
      </c>
      <c r="AB286" s="480">
        <f t="shared" si="697"/>
        <v>3</v>
      </c>
      <c r="AC286" s="479">
        <f>AC285-X285</f>
        <v>3</v>
      </c>
      <c r="AD286" s="479">
        <f>AD285-Y285</f>
        <v>3</v>
      </c>
      <c r="AE286" s="479">
        <f>AE285-Z285</f>
        <v>2</v>
      </c>
      <c r="AF286" s="479">
        <f>AF285-AA285</f>
        <v>2</v>
      </c>
      <c r="AG286" s="480">
        <f>AG285-AB285</f>
        <v>2</v>
      </c>
      <c r="AH286" s="479">
        <f t="shared" ref="AH286:AK286" si="698">AH285-AC285</f>
        <v>2.0649999999999977</v>
      </c>
      <c r="AI286" s="479">
        <f t="shared" si="698"/>
        <v>2.1456749999999829</v>
      </c>
      <c r="AJ286" s="479">
        <f t="shared" si="698"/>
        <v>4.2728601249999798</v>
      </c>
      <c r="AK286" s="479">
        <f t="shared" si="698"/>
        <v>4.4169530268749781</v>
      </c>
      <c r="AL286" s="480">
        <f>AL285-AG285</f>
        <v>4.4169530268749781</v>
      </c>
      <c r="AM286" s="480">
        <f>AM285-AL285</f>
        <v>3.5783468132343614</v>
      </c>
      <c r="AN286" s="480">
        <f>AN285-AM285</f>
        <v>2.5635376120652751</v>
      </c>
    </row>
    <row r="287" spans="1:40">
      <c r="A287" s="477" t="s">
        <v>1423</v>
      </c>
      <c r="B287" s="1036"/>
      <c r="C287" s="445">
        <f>C286/B285</f>
        <v>0.18181818181818182</v>
      </c>
      <c r="D287" s="1036"/>
      <c r="E287" s="437"/>
      <c r="F287" s="437"/>
      <c r="G287" s="589"/>
      <c r="H287" s="589">
        <f t="shared" ref="H287:R287" si="699">H286/C285</f>
        <v>5.7692307692307696E-2</v>
      </c>
      <c r="I287" s="1036">
        <f t="shared" si="699"/>
        <v>0.11764705882352941</v>
      </c>
      <c r="J287" s="437">
        <f t="shared" si="699"/>
        <v>7.407407407407407E-2</v>
      </c>
      <c r="K287" s="437">
        <f t="shared" si="699"/>
        <v>0.12962962962962962</v>
      </c>
      <c r="L287" s="589">
        <f t="shared" si="699"/>
        <v>0.16363636363636364</v>
      </c>
      <c r="M287" s="589">
        <f>M286/H285</f>
        <v>0.16363636363636364</v>
      </c>
      <c r="N287" s="1036">
        <f t="shared" si="699"/>
        <v>0.15789473684210525</v>
      </c>
      <c r="O287" s="481">
        <f t="shared" si="699"/>
        <v>0.17241379310344829</v>
      </c>
      <c r="P287" s="481">
        <f t="shared" si="699"/>
        <v>0.13114754098360656</v>
      </c>
      <c r="Q287" s="481">
        <f t="shared" si="699"/>
        <v>7.8125E-2</v>
      </c>
      <c r="R287" s="445">
        <f t="shared" si="699"/>
        <v>7.8125E-2</v>
      </c>
      <c r="S287" s="481">
        <f t="shared" ref="S287:AB287" si="700">S286/N285</f>
        <v>3.0303030303030304E-2</v>
      </c>
      <c r="T287" s="481">
        <f t="shared" si="700"/>
        <v>1.4705882352941176E-2</v>
      </c>
      <c r="U287" s="481">
        <f t="shared" si="700"/>
        <v>2.8985507246376812E-2</v>
      </c>
      <c r="V287" s="481">
        <f t="shared" si="700"/>
        <v>0.10144927536231885</v>
      </c>
      <c r="W287" s="445">
        <f t="shared" si="700"/>
        <v>0.10144927536231885</v>
      </c>
      <c r="X287" s="2548">
        <f t="shared" si="700"/>
        <v>0.13235294117647059</v>
      </c>
      <c r="Y287" s="481">
        <f t="shared" si="700"/>
        <v>0.13043478260869565</v>
      </c>
      <c r="Z287" s="481">
        <f t="shared" si="700"/>
        <v>9.8591549295774641E-2</v>
      </c>
      <c r="AA287" s="481">
        <f t="shared" si="700"/>
        <v>3.9473684210526314E-2</v>
      </c>
      <c r="AB287" s="445">
        <f t="shared" si="700"/>
        <v>3.9473684210526314E-2</v>
      </c>
      <c r="AC287" s="481">
        <f>AC286/X285</f>
        <v>3.896103896103896E-2</v>
      </c>
      <c r="AD287" s="481">
        <f>AD286/Y285</f>
        <v>3.8461538461538464E-2</v>
      </c>
      <c r="AE287" s="481">
        <f>AE286/Z285</f>
        <v>2.564102564102564E-2</v>
      </c>
      <c r="AF287" s="481">
        <f>AF286/AA285</f>
        <v>2.5316455696202531E-2</v>
      </c>
      <c r="AG287" s="445">
        <f>AG286/AB285</f>
        <v>2.5316455696202531E-2</v>
      </c>
      <c r="AH287" s="481">
        <f t="shared" ref="AH287:AK287" si="701">AH286/AC285</f>
        <v>2.5812499999999971E-2</v>
      </c>
      <c r="AI287" s="481">
        <f t="shared" si="701"/>
        <v>2.6489814814814605E-2</v>
      </c>
      <c r="AJ287" s="481">
        <f t="shared" si="701"/>
        <v>5.3410751562499748E-2</v>
      </c>
      <c r="AK287" s="481">
        <f t="shared" si="701"/>
        <v>5.4530284282407138E-2</v>
      </c>
      <c r="AL287" s="445">
        <f>AL286/AG285</f>
        <v>5.4530284282407138E-2</v>
      </c>
      <c r="AM287" s="445">
        <f>AM286/AL285</f>
        <v>4.1892700294618286E-2</v>
      </c>
      <c r="AN287" s="445">
        <f>AN286/AM285</f>
        <v>2.8805314625277693E-2</v>
      </c>
    </row>
    <row r="288" spans="1:40">
      <c r="A288" s="130"/>
      <c r="B288" s="406"/>
      <c r="C288" s="398"/>
      <c r="D288" s="1033"/>
      <c r="E288" s="406"/>
      <c r="F288" s="406"/>
      <c r="G288" s="820"/>
      <c r="H288" s="406"/>
      <c r="I288" s="1033"/>
      <c r="J288" s="406"/>
      <c r="K288" s="406"/>
      <c r="L288" s="820"/>
      <c r="M288" s="406"/>
      <c r="N288" s="401"/>
      <c r="O288" s="401"/>
      <c r="P288" s="401"/>
      <c r="Q288" s="820"/>
      <c r="R288" s="406"/>
      <c r="S288" s="406"/>
      <c r="T288" s="406"/>
      <c r="U288" s="406"/>
      <c r="V288" s="406"/>
      <c r="W288" s="406"/>
      <c r="X288" s="406"/>
      <c r="Y288" s="406"/>
      <c r="Z288" s="406"/>
      <c r="AA288" s="406"/>
      <c r="AB288" s="406"/>
      <c r="AC288" s="406"/>
      <c r="AD288" s="406"/>
      <c r="AE288" s="406"/>
      <c r="AF288" s="406"/>
      <c r="AG288" s="406"/>
      <c r="AH288" s="406"/>
      <c r="AI288" s="406"/>
      <c r="AJ288" s="406"/>
      <c r="AK288" s="406"/>
      <c r="AL288" s="406"/>
      <c r="AM288" s="406"/>
      <c r="AN288" s="406"/>
    </row>
    <row r="289" spans="1:40">
      <c r="A289" s="130"/>
      <c r="B289" s="406"/>
      <c r="C289" s="398"/>
      <c r="D289" s="1033"/>
      <c r="E289" s="406"/>
      <c r="F289" s="406"/>
      <c r="G289" s="820"/>
      <c r="H289" s="406"/>
      <c r="I289" s="1033"/>
      <c r="J289" s="406"/>
      <c r="K289" s="406"/>
      <c r="L289" s="820"/>
      <c r="M289" s="406"/>
      <c r="N289" s="401"/>
      <c r="O289" s="401"/>
      <c r="P289" s="401"/>
      <c r="Q289" s="820"/>
      <c r="R289" s="406"/>
      <c r="S289" s="406"/>
      <c r="T289" s="406"/>
      <c r="U289" s="406"/>
      <c r="V289" s="406"/>
      <c r="W289" s="406"/>
      <c r="X289" s="406"/>
      <c r="Y289" s="406"/>
      <c r="Z289" s="406"/>
      <c r="AA289" s="406"/>
      <c r="AB289" s="406"/>
      <c r="AC289" s="406"/>
      <c r="AD289" s="406"/>
      <c r="AE289" s="406"/>
      <c r="AF289" s="406"/>
      <c r="AG289" s="406"/>
      <c r="AH289" s="406"/>
      <c r="AI289" s="406"/>
      <c r="AJ289" s="406"/>
      <c r="AK289" s="406"/>
      <c r="AL289" s="406"/>
      <c r="AM289" s="406"/>
      <c r="AN289" s="406"/>
    </row>
    <row r="290" spans="1:40" s="775" customFormat="1">
      <c r="A290" s="461" t="s">
        <v>1404</v>
      </c>
      <c r="B290" s="1037" t="str">
        <f>+Hilton!E$5</f>
        <v>2010</v>
      </c>
      <c r="C290" s="774" t="str">
        <f>+Hilton!F$5</f>
        <v>2011</v>
      </c>
      <c r="D290" s="1037" t="str">
        <f>+Hilton!G$5</f>
        <v>1Q12</v>
      </c>
      <c r="E290" s="773" t="str">
        <f>+Hilton!H$5</f>
        <v>2Q12</v>
      </c>
      <c r="F290" s="773" t="str">
        <f>+Hilton!I$5</f>
        <v>3Q12</v>
      </c>
      <c r="G290" s="776" t="str">
        <f>+Hilton!J$5</f>
        <v>4Q12</v>
      </c>
      <c r="H290" s="776">
        <f>+Hilton!K$5</f>
        <v>2012</v>
      </c>
      <c r="I290" s="1037" t="str">
        <f>+Hilton!L$5</f>
        <v>1Q13</v>
      </c>
      <c r="J290" s="773" t="str">
        <f>+Hilton!M$5</f>
        <v>2Q13</v>
      </c>
      <c r="K290" s="773" t="str">
        <f>+Hilton!N$5</f>
        <v>3Q13</v>
      </c>
      <c r="L290" s="776" t="str">
        <f>+Hilton!O$5</f>
        <v>4Q13</v>
      </c>
      <c r="M290" s="776">
        <f>+Hilton!P$5</f>
        <v>2013</v>
      </c>
      <c r="N290" s="773" t="str">
        <f>+Hilton!Q$5</f>
        <v>1Q14</v>
      </c>
      <c r="O290" s="773" t="str">
        <f>+Hilton!R$5</f>
        <v>2Q14</v>
      </c>
      <c r="P290" s="773" t="str">
        <f>+Hilton!S$5</f>
        <v>3Q14</v>
      </c>
      <c r="Q290" s="776" t="str">
        <f>+Hilton!T$5</f>
        <v>4Q14</v>
      </c>
      <c r="R290" s="774">
        <f>+Hilton!U$5</f>
        <v>2014</v>
      </c>
      <c r="S290" s="773" t="str">
        <f>+Hilton!V$5</f>
        <v>1Q15</v>
      </c>
      <c r="T290" s="773" t="str">
        <f>+Hilton!W$5</f>
        <v>2Q15</v>
      </c>
      <c r="U290" s="773" t="str">
        <f>+Hilton!X$5</f>
        <v>3Q15</v>
      </c>
      <c r="V290" s="776" t="str">
        <f>+Hilton!Y$5</f>
        <v>4Q15</v>
      </c>
      <c r="W290" s="774">
        <f>+Hilton!Z$5</f>
        <v>2015</v>
      </c>
      <c r="X290" s="773" t="str">
        <f>+Hilton!AA$5</f>
        <v>1Q16</v>
      </c>
      <c r="Y290" s="773" t="str">
        <f>+Hilton!AB$5</f>
        <v>2Q16</v>
      </c>
      <c r="Z290" s="773" t="str">
        <f>+Hilton!AC$5</f>
        <v>3Q16</v>
      </c>
      <c r="AA290" s="773" t="str">
        <f>+Hilton!AD$5</f>
        <v>4Q16</v>
      </c>
      <c r="AB290" s="774">
        <f>+Hilton!AE$5</f>
        <v>2016</v>
      </c>
      <c r="AC290" s="773" t="str">
        <f>+Hilton!AF$5</f>
        <v>1Q17</v>
      </c>
      <c r="AD290" s="773" t="str">
        <f>+Hilton!AG$5</f>
        <v>2Q17</v>
      </c>
      <c r="AE290" s="773" t="str">
        <f>+Hilton!AH$5</f>
        <v>3Q17</v>
      </c>
      <c r="AF290" s="776" t="str">
        <f>+Hilton!AI$5</f>
        <v>4Q17A</v>
      </c>
      <c r="AG290" s="774" t="str">
        <f>+Hilton!AJ$5</f>
        <v>2017A</v>
      </c>
      <c r="AH290" s="773" t="str">
        <f>+Hilton!AK$5</f>
        <v>1Q18E</v>
      </c>
      <c r="AI290" s="773" t="str">
        <f>+Hilton!AL$5</f>
        <v>2Q18E</v>
      </c>
      <c r="AJ290" s="773" t="str">
        <f>+Hilton!AM$5</f>
        <v>3Q18E</v>
      </c>
      <c r="AK290" s="776" t="str">
        <f>+Hilton!AN$5</f>
        <v>4Q18E</v>
      </c>
      <c r="AL290" s="774" t="str">
        <f>+Hilton!AO$5</f>
        <v>2018E</v>
      </c>
      <c r="AM290" s="774" t="str">
        <f>+Hilton!AP$5</f>
        <v>2019E</v>
      </c>
      <c r="AN290" s="774" t="str">
        <f>+Hilton!AQ$5</f>
        <v>2020E</v>
      </c>
    </row>
    <row r="291" spans="1:40" s="130" customFormat="1">
      <c r="A291" s="140"/>
      <c r="B291" s="1038"/>
      <c r="C291" s="397"/>
      <c r="D291" s="1038"/>
      <c r="E291" s="203"/>
      <c r="F291" s="203"/>
      <c r="G291" s="572"/>
      <c r="H291" s="572"/>
      <c r="I291" s="1038"/>
      <c r="J291" s="203"/>
      <c r="K291" s="203"/>
      <c r="L291" s="572"/>
      <c r="M291" s="572"/>
      <c r="N291" s="203"/>
      <c r="O291" s="203"/>
      <c r="P291" s="203"/>
      <c r="Q291" s="572"/>
      <c r="R291" s="397"/>
      <c r="S291" s="1038"/>
      <c r="T291" s="203"/>
      <c r="U291" s="203"/>
      <c r="V291" s="572"/>
      <c r="W291" s="397"/>
      <c r="X291" s="1038"/>
      <c r="Y291" s="203"/>
      <c r="Z291" s="203"/>
      <c r="AA291" s="203"/>
      <c r="AB291" s="397"/>
      <c r="AC291" s="203"/>
      <c r="AD291" s="203"/>
      <c r="AE291" s="203"/>
      <c r="AF291" s="572"/>
      <c r="AG291" s="397"/>
      <c r="AH291" s="203"/>
      <c r="AI291" s="203"/>
      <c r="AJ291" s="203"/>
      <c r="AK291" s="572"/>
      <c r="AL291" s="397"/>
      <c r="AM291" s="397"/>
      <c r="AN291" s="397"/>
    </row>
    <row r="292" spans="1:40">
      <c r="A292" s="141" t="s">
        <v>1589</v>
      </c>
      <c r="B292" s="394"/>
      <c r="C292" s="138"/>
      <c r="D292" s="394"/>
      <c r="E292" s="135"/>
      <c r="F292" s="135"/>
      <c r="G292" s="452"/>
      <c r="H292" s="452"/>
      <c r="I292" s="394"/>
      <c r="J292" s="135"/>
      <c r="K292" s="135"/>
      <c r="L292" s="452"/>
      <c r="M292" s="452"/>
      <c r="N292" s="130"/>
      <c r="O292" s="130"/>
      <c r="P292" s="130"/>
      <c r="Q292" s="452"/>
      <c r="R292" s="138"/>
      <c r="S292" s="394"/>
      <c r="T292" s="135"/>
      <c r="U292" s="135"/>
      <c r="V292" s="135"/>
      <c r="W292" s="138"/>
      <c r="X292" s="394"/>
      <c r="Y292" s="135"/>
      <c r="Z292" s="135"/>
      <c r="AA292" s="135"/>
      <c r="AB292" s="138"/>
      <c r="AC292" s="135"/>
      <c r="AD292" s="135"/>
      <c r="AE292" s="135"/>
      <c r="AF292" s="452"/>
      <c r="AG292" s="138"/>
      <c r="AH292" s="135"/>
      <c r="AI292" s="135"/>
      <c r="AJ292" s="135"/>
      <c r="AK292" s="452"/>
      <c r="AL292" s="138"/>
      <c r="AM292" s="138"/>
      <c r="AN292" s="138"/>
    </row>
    <row r="293" spans="1:40">
      <c r="A293" s="130" t="s">
        <v>2272</v>
      </c>
      <c r="B293" s="1030">
        <v>0</v>
      </c>
      <c r="C293" s="508">
        <v>0</v>
      </c>
      <c r="D293" s="1030">
        <v>0</v>
      </c>
      <c r="E293" s="912">
        <v>0</v>
      </c>
      <c r="F293" s="912">
        <v>0</v>
      </c>
      <c r="G293" s="1041">
        <v>0</v>
      </c>
      <c r="H293" s="820">
        <f>G293</f>
        <v>0</v>
      </c>
      <c r="I293" s="1030">
        <v>0</v>
      </c>
      <c r="J293" s="912">
        <v>0</v>
      </c>
      <c r="K293" s="912">
        <v>0</v>
      </c>
      <c r="L293" s="1041">
        <v>0</v>
      </c>
      <c r="M293" s="820">
        <f>L293</f>
        <v>0</v>
      </c>
      <c r="N293" s="1030">
        <v>0</v>
      </c>
      <c r="O293" s="912">
        <v>0</v>
      </c>
      <c r="P293" s="912">
        <v>0</v>
      </c>
      <c r="Q293" s="1041">
        <v>0</v>
      </c>
      <c r="R293" s="820">
        <f t="shared" ref="R293:R305" si="702">Q293</f>
        <v>0</v>
      </c>
      <c r="S293" s="1030">
        <v>0</v>
      </c>
      <c r="T293" s="912">
        <v>0</v>
      </c>
      <c r="U293" s="912">
        <v>0</v>
      </c>
      <c r="V293" s="912">
        <v>0</v>
      </c>
      <c r="W293" s="398">
        <f>V293</f>
        <v>0</v>
      </c>
      <c r="X293" s="2792">
        <v>0</v>
      </c>
      <c r="Y293" s="2792">
        <v>0</v>
      </c>
      <c r="Z293" s="2792">
        <v>0</v>
      </c>
      <c r="AA293" s="2792">
        <v>0</v>
      </c>
      <c r="AB293" s="398">
        <f>AA293</f>
        <v>0</v>
      </c>
      <c r="AC293" s="401">
        <f>AA293</f>
        <v>0</v>
      </c>
      <c r="AD293" s="401">
        <f t="shared" ref="AD293:AG296" si="703">AC293</f>
        <v>0</v>
      </c>
      <c r="AE293" s="3666">
        <v>0</v>
      </c>
      <c r="AF293" s="820">
        <f t="shared" si="703"/>
        <v>0</v>
      </c>
      <c r="AG293" s="820">
        <f t="shared" si="703"/>
        <v>0</v>
      </c>
      <c r="AH293" s="401">
        <f t="shared" ref="AH293:AH294" si="704">AG293</f>
        <v>0</v>
      </c>
      <c r="AI293" s="401">
        <f t="shared" ref="AI293:AI294" si="705">AH293</f>
        <v>0</v>
      </c>
      <c r="AJ293" s="401">
        <f t="shared" ref="AJ293:AJ294" si="706">AI293</f>
        <v>0</v>
      </c>
      <c r="AK293" s="820">
        <f t="shared" ref="AK293:AK294" si="707">AJ293</f>
        <v>0</v>
      </c>
      <c r="AL293" s="820">
        <f t="shared" ref="AL293:AL294" si="708">AK293</f>
        <v>0</v>
      </c>
      <c r="AM293" s="398">
        <f t="shared" ref="AM293:AN305" si="709">AL293</f>
        <v>0</v>
      </c>
      <c r="AN293" s="398">
        <f t="shared" si="709"/>
        <v>0</v>
      </c>
    </row>
    <row r="294" spans="1:40">
      <c r="A294" s="130" t="s">
        <v>2273</v>
      </c>
      <c r="B294" s="1030">
        <v>0</v>
      </c>
      <c r="C294" s="508">
        <v>0</v>
      </c>
      <c r="D294" s="1030">
        <v>0</v>
      </c>
      <c r="E294" s="912">
        <v>0</v>
      </c>
      <c r="F294" s="912">
        <v>0</v>
      </c>
      <c r="G294" s="1041">
        <v>0</v>
      </c>
      <c r="H294" s="820">
        <f t="shared" ref="H294:H305" si="710">G294</f>
        <v>0</v>
      </c>
      <c r="I294" s="1030">
        <v>0</v>
      </c>
      <c r="J294" s="912">
        <v>0</v>
      </c>
      <c r="K294" s="912">
        <v>0</v>
      </c>
      <c r="L294" s="1041">
        <v>0</v>
      </c>
      <c r="M294" s="820">
        <f t="shared" ref="M294:M305" si="711">L294</f>
        <v>0</v>
      </c>
      <c r="N294" s="1030">
        <v>0</v>
      </c>
      <c r="O294" s="912">
        <v>0</v>
      </c>
      <c r="P294" s="912">
        <v>0</v>
      </c>
      <c r="Q294" s="1041">
        <v>0</v>
      </c>
      <c r="R294" s="820">
        <f t="shared" si="702"/>
        <v>0</v>
      </c>
      <c r="S294" s="1030">
        <v>0</v>
      </c>
      <c r="T294" s="912">
        <v>0</v>
      </c>
      <c r="U294" s="912">
        <v>0</v>
      </c>
      <c r="V294" s="912">
        <v>0</v>
      </c>
      <c r="W294" s="398">
        <f>V294</f>
        <v>0</v>
      </c>
      <c r="X294" s="2792">
        <v>0</v>
      </c>
      <c r="Y294" s="2792">
        <v>0</v>
      </c>
      <c r="Z294" s="2792">
        <v>0</v>
      </c>
      <c r="AA294" s="2792">
        <v>0</v>
      </c>
      <c r="AB294" s="398">
        <f>AA294</f>
        <v>0</v>
      </c>
      <c r="AC294" s="401">
        <f t="shared" ref="AC294:AC305" si="712">AA294</f>
        <v>0</v>
      </c>
      <c r="AD294" s="401">
        <f t="shared" si="703"/>
        <v>0</v>
      </c>
      <c r="AE294" s="3666">
        <v>1</v>
      </c>
      <c r="AF294" s="3666">
        <v>1</v>
      </c>
      <c r="AG294" s="398">
        <f t="shared" si="703"/>
        <v>1</v>
      </c>
      <c r="AH294" s="401">
        <f t="shared" si="704"/>
        <v>1</v>
      </c>
      <c r="AI294" s="401">
        <f t="shared" si="705"/>
        <v>1</v>
      </c>
      <c r="AJ294" s="401">
        <f t="shared" si="706"/>
        <v>1</v>
      </c>
      <c r="AK294" s="820">
        <f t="shared" si="707"/>
        <v>1</v>
      </c>
      <c r="AL294" s="820">
        <f t="shared" si="708"/>
        <v>1</v>
      </c>
      <c r="AM294" s="398">
        <f t="shared" si="709"/>
        <v>1</v>
      </c>
      <c r="AN294" s="398">
        <f t="shared" si="709"/>
        <v>1</v>
      </c>
    </row>
    <row r="295" spans="1:40">
      <c r="A295" s="1828" t="s">
        <v>3022</v>
      </c>
      <c r="B295" s="1030"/>
      <c r="C295" s="508"/>
      <c r="D295" s="1030"/>
      <c r="E295" s="912"/>
      <c r="F295" s="912"/>
      <c r="G295" s="1041"/>
      <c r="H295" s="820"/>
      <c r="I295" s="1030"/>
      <c r="J295" s="912"/>
      <c r="K295" s="912"/>
      <c r="L295" s="1041"/>
      <c r="M295" s="820"/>
      <c r="N295" s="1030"/>
      <c r="O295" s="912"/>
      <c r="P295" s="912"/>
      <c r="Q295" s="1041"/>
      <c r="R295" s="820"/>
      <c r="S295" s="1030"/>
      <c r="T295" s="912"/>
      <c r="U295" s="912"/>
      <c r="V295" s="912"/>
      <c r="W295" s="398"/>
      <c r="X295" s="2787"/>
      <c r="Y295" s="2791"/>
      <c r="Z295" s="2791"/>
      <c r="AA295" s="2791">
        <v>0</v>
      </c>
      <c r="AB295" s="398">
        <f t="shared" ref="AB295:AG295" si="713">+AA295</f>
        <v>0</v>
      </c>
      <c r="AC295" s="2944">
        <f t="shared" si="713"/>
        <v>0</v>
      </c>
      <c r="AD295" s="406">
        <f t="shared" si="713"/>
        <v>0</v>
      </c>
      <c r="AE295" s="3665">
        <f t="shared" si="713"/>
        <v>0</v>
      </c>
      <c r="AF295" s="406">
        <f t="shared" si="713"/>
        <v>0</v>
      </c>
      <c r="AG295" s="398">
        <f t="shared" si="713"/>
        <v>0</v>
      </c>
      <c r="AH295" s="406">
        <f t="shared" ref="AH295" si="714">+AG295</f>
        <v>0</v>
      </c>
      <c r="AI295" s="406">
        <f t="shared" ref="AI295" si="715">+AH295</f>
        <v>0</v>
      </c>
      <c r="AJ295" s="406">
        <f t="shared" ref="AJ295" si="716">+AI295</f>
        <v>0</v>
      </c>
      <c r="AK295" s="820">
        <f t="shared" ref="AK295" si="717">+AJ295</f>
        <v>0</v>
      </c>
      <c r="AL295" s="398">
        <f t="shared" ref="AL295" si="718">+AK295</f>
        <v>0</v>
      </c>
      <c r="AM295" s="398">
        <f t="shared" si="709"/>
        <v>0</v>
      </c>
      <c r="AN295" s="398">
        <f t="shared" si="709"/>
        <v>0</v>
      </c>
    </row>
    <row r="296" spans="1:40">
      <c r="A296" s="130" t="s">
        <v>2280</v>
      </c>
      <c r="B296" s="1030">
        <v>8</v>
      </c>
      <c r="C296" s="508">
        <v>8</v>
      </c>
      <c r="D296" s="1030">
        <v>8</v>
      </c>
      <c r="E296" s="912">
        <v>8</v>
      </c>
      <c r="F296" s="912">
        <v>8</v>
      </c>
      <c r="G296" s="1041">
        <v>8</v>
      </c>
      <c r="H296" s="820">
        <f t="shared" si="710"/>
        <v>8</v>
      </c>
      <c r="I296" s="1030">
        <v>8</v>
      </c>
      <c r="J296" s="912">
        <v>8</v>
      </c>
      <c r="K296" s="912">
        <v>8</v>
      </c>
      <c r="L296" s="1041">
        <v>8</v>
      </c>
      <c r="M296" s="820">
        <f t="shared" si="711"/>
        <v>8</v>
      </c>
      <c r="N296" s="1030">
        <v>8</v>
      </c>
      <c r="O296" s="912">
        <v>8</v>
      </c>
      <c r="P296" s="912">
        <v>8</v>
      </c>
      <c r="Q296" s="1041">
        <v>8</v>
      </c>
      <c r="R296" s="820">
        <f t="shared" si="702"/>
        <v>8</v>
      </c>
      <c r="S296" s="1030">
        <v>8</v>
      </c>
      <c r="T296" s="912">
        <v>8</v>
      </c>
      <c r="U296" s="912">
        <v>7</v>
      </c>
      <c r="V296" s="912">
        <v>7</v>
      </c>
      <c r="W296" s="398">
        <f>V296</f>
        <v>7</v>
      </c>
      <c r="X296" s="2792">
        <v>7</v>
      </c>
      <c r="Y296" s="2792">
        <v>7</v>
      </c>
      <c r="Z296" s="2792">
        <v>7</v>
      </c>
      <c r="AA296" s="2792">
        <v>7</v>
      </c>
      <c r="AB296" s="398">
        <f>AA296</f>
        <v>7</v>
      </c>
      <c r="AC296" s="401">
        <f t="shared" si="712"/>
        <v>7</v>
      </c>
      <c r="AD296" s="401">
        <f t="shared" si="703"/>
        <v>7</v>
      </c>
      <c r="AE296" s="3666">
        <v>7</v>
      </c>
      <c r="AF296" s="3666">
        <v>7</v>
      </c>
      <c r="AG296" s="398">
        <f t="shared" si="703"/>
        <v>7</v>
      </c>
      <c r="AH296" s="401">
        <f t="shared" ref="AH296" si="719">AG296</f>
        <v>7</v>
      </c>
      <c r="AI296" s="401">
        <f t="shared" ref="AI296" si="720">AH296</f>
        <v>7</v>
      </c>
      <c r="AJ296" s="401">
        <f t="shared" ref="AJ296" si="721">AI296</f>
        <v>7</v>
      </c>
      <c r="AK296" s="820">
        <f t="shared" ref="AK296" si="722">AJ296</f>
        <v>7</v>
      </c>
      <c r="AL296" s="820">
        <f t="shared" ref="AL296" si="723">AK296</f>
        <v>7</v>
      </c>
      <c r="AM296" s="398">
        <f t="shared" si="709"/>
        <v>7</v>
      </c>
      <c r="AN296" s="398">
        <f t="shared" si="709"/>
        <v>7</v>
      </c>
    </row>
    <row r="297" spans="1:40">
      <c r="A297" s="130" t="s">
        <v>2323</v>
      </c>
      <c r="B297" s="1030"/>
      <c r="C297" s="508"/>
      <c r="D297" s="1030"/>
      <c r="E297" s="912"/>
      <c r="F297" s="912"/>
      <c r="G297" s="1041"/>
      <c r="H297" s="820"/>
      <c r="I297" s="1030"/>
      <c r="J297" s="912"/>
      <c r="K297" s="912"/>
      <c r="L297" s="1041"/>
      <c r="M297" s="820"/>
      <c r="N297" s="1030"/>
      <c r="O297" s="912"/>
      <c r="P297" s="912"/>
      <c r="Q297" s="1041"/>
      <c r="R297" s="820"/>
      <c r="S297" s="1030">
        <v>0</v>
      </c>
      <c r="T297" s="912">
        <v>0</v>
      </c>
      <c r="U297" s="912">
        <v>0</v>
      </c>
      <c r="V297" s="912">
        <v>0</v>
      </c>
      <c r="W297" s="208"/>
      <c r="X297" s="2792">
        <v>0</v>
      </c>
      <c r="Y297" s="2792">
        <v>0</v>
      </c>
      <c r="Z297" s="2792">
        <v>0</v>
      </c>
      <c r="AA297" s="2792">
        <v>0</v>
      </c>
      <c r="AB297" s="208"/>
      <c r="AC297" s="401">
        <f t="shared" si="712"/>
        <v>0</v>
      </c>
      <c r="AD297" s="401">
        <f t="shared" ref="AD297:AD305" si="724">AC297</f>
        <v>0</v>
      </c>
      <c r="AE297" s="3666">
        <v>0</v>
      </c>
      <c r="AF297" s="3"/>
      <c r="AG297" s="208"/>
      <c r="AH297" s="3"/>
      <c r="AI297" s="3"/>
      <c r="AJ297" s="3"/>
      <c r="AK297" s="3"/>
      <c r="AL297" s="208"/>
      <c r="AM297" s="208"/>
      <c r="AN297" s="208"/>
    </row>
    <row r="298" spans="1:40">
      <c r="A298" s="130" t="s">
        <v>2274</v>
      </c>
      <c r="B298" s="1030">
        <v>0</v>
      </c>
      <c r="C298" s="508">
        <v>0</v>
      </c>
      <c r="D298" s="1030">
        <v>0</v>
      </c>
      <c r="E298" s="912">
        <v>0</v>
      </c>
      <c r="F298" s="912">
        <v>0</v>
      </c>
      <c r="G298" s="1041">
        <v>0</v>
      </c>
      <c r="H298" s="820">
        <f t="shared" si="710"/>
        <v>0</v>
      </c>
      <c r="I298" s="1030">
        <v>0</v>
      </c>
      <c r="J298" s="912">
        <v>0</v>
      </c>
      <c r="K298" s="912">
        <v>0</v>
      </c>
      <c r="L298" s="1041">
        <v>0</v>
      </c>
      <c r="M298" s="820">
        <f t="shared" si="711"/>
        <v>0</v>
      </c>
      <c r="N298" s="1030">
        <v>0</v>
      </c>
      <c r="O298" s="912">
        <v>0</v>
      </c>
      <c r="P298" s="912">
        <v>0</v>
      </c>
      <c r="Q298" s="1041">
        <v>0</v>
      </c>
      <c r="R298" s="820">
        <f t="shared" si="702"/>
        <v>0</v>
      </c>
      <c r="S298" s="1030">
        <v>0</v>
      </c>
      <c r="T298" s="912">
        <v>0</v>
      </c>
      <c r="U298" s="912">
        <v>0</v>
      </c>
      <c r="V298" s="912">
        <v>0</v>
      </c>
      <c r="W298" s="398">
        <f t="shared" ref="W298:W305" si="725">V298</f>
        <v>0</v>
      </c>
      <c r="X298" s="2792">
        <v>0</v>
      </c>
      <c r="Y298" s="2792">
        <v>0</v>
      </c>
      <c r="Z298" s="2792">
        <v>0</v>
      </c>
      <c r="AA298" s="2792">
        <v>0</v>
      </c>
      <c r="AB298" s="398">
        <f t="shared" ref="AB298:AB305" si="726">AA298</f>
        <v>0</v>
      </c>
      <c r="AC298" s="401">
        <f t="shared" si="712"/>
        <v>0</v>
      </c>
      <c r="AD298" s="401">
        <f t="shared" si="724"/>
        <v>0</v>
      </c>
      <c r="AE298" s="3666">
        <v>0</v>
      </c>
      <c r="AF298" s="820">
        <f t="shared" ref="AF298:AF305" si="727">AE298</f>
        <v>0</v>
      </c>
      <c r="AG298" s="820">
        <f t="shared" ref="AG298:AG305" si="728">AF298</f>
        <v>0</v>
      </c>
      <c r="AH298" s="401">
        <f t="shared" ref="AH298:AH305" si="729">AG298</f>
        <v>0</v>
      </c>
      <c r="AI298" s="401">
        <f t="shared" ref="AI298:AI305" si="730">AH298</f>
        <v>0</v>
      </c>
      <c r="AJ298" s="401">
        <f t="shared" ref="AJ298:AJ305" si="731">AI298</f>
        <v>0</v>
      </c>
      <c r="AK298" s="820">
        <f t="shared" ref="AK298:AK305" si="732">AJ298</f>
        <v>0</v>
      </c>
      <c r="AL298" s="820">
        <f t="shared" ref="AL298:AL305" si="733">AK298</f>
        <v>0</v>
      </c>
      <c r="AM298" s="398">
        <f t="shared" si="709"/>
        <v>0</v>
      </c>
      <c r="AN298" s="398">
        <f t="shared" si="709"/>
        <v>0</v>
      </c>
    </row>
    <row r="299" spans="1:40">
      <c r="A299" s="130" t="s">
        <v>2279</v>
      </c>
      <c r="B299" s="1030">
        <v>0</v>
      </c>
      <c r="C299" s="508">
        <v>0</v>
      </c>
      <c r="D299" s="1030">
        <v>0</v>
      </c>
      <c r="E299" s="912">
        <v>0</v>
      </c>
      <c r="F299" s="912">
        <v>0</v>
      </c>
      <c r="G299" s="1041">
        <v>0</v>
      </c>
      <c r="H299" s="820">
        <f t="shared" si="710"/>
        <v>0</v>
      </c>
      <c r="I299" s="1030">
        <v>0</v>
      </c>
      <c r="J299" s="912">
        <v>0</v>
      </c>
      <c r="K299" s="912">
        <v>0</v>
      </c>
      <c r="L299" s="1041">
        <v>0</v>
      </c>
      <c r="M299" s="820">
        <f t="shared" si="711"/>
        <v>0</v>
      </c>
      <c r="N299" s="1030">
        <v>0</v>
      </c>
      <c r="O299" s="912">
        <v>0</v>
      </c>
      <c r="P299" s="912">
        <v>0</v>
      </c>
      <c r="Q299" s="1041">
        <v>0</v>
      </c>
      <c r="R299" s="820">
        <f t="shared" si="702"/>
        <v>0</v>
      </c>
      <c r="S299" s="1030">
        <v>0</v>
      </c>
      <c r="T299" s="912">
        <v>0</v>
      </c>
      <c r="U299" s="912">
        <v>0</v>
      </c>
      <c r="V299" s="912">
        <v>0</v>
      </c>
      <c r="W299" s="398">
        <f t="shared" si="725"/>
        <v>0</v>
      </c>
      <c r="X299" s="2792">
        <v>0</v>
      </c>
      <c r="Y299" s="2792">
        <v>0</v>
      </c>
      <c r="Z299" s="2792">
        <v>0</v>
      </c>
      <c r="AA299" s="2792">
        <v>0</v>
      </c>
      <c r="AB299" s="398">
        <f t="shared" si="726"/>
        <v>0</v>
      </c>
      <c r="AC299" s="401">
        <f t="shared" si="712"/>
        <v>0</v>
      </c>
      <c r="AD299" s="401">
        <f t="shared" si="724"/>
        <v>0</v>
      </c>
      <c r="AE299" s="3666">
        <v>0</v>
      </c>
      <c r="AF299" s="820">
        <f t="shared" si="727"/>
        <v>0</v>
      </c>
      <c r="AG299" s="820">
        <f t="shared" si="728"/>
        <v>0</v>
      </c>
      <c r="AH299" s="401">
        <f t="shared" si="729"/>
        <v>0</v>
      </c>
      <c r="AI299" s="401">
        <f t="shared" si="730"/>
        <v>0</v>
      </c>
      <c r="AJ299" s="401">
        <f t="shared" si="731"/>
        <v>0</v>
      </c>
      <c r="AK299" s="820">
        <f t="shared" si="732"/>
        <v>0</v>
      </c>
      <c r="AL299" s="820">
        <f t="shared" si="733"/>
        <v>0</v>
      </c>
      <c r="AM299" s="398">
        <f t="shared" si="709"/>
        <v>0</v>
      </c>
      <c r="AN299" s="398">
        <f t="shared" si="709"/>
        <v>0</v>
      </c>
    </row>
    <row r="300" spans="1:40">
      <c r="A300" s="130" t="s">
        <v>2275</v>
      </c>
      <c r="B300" s="1030">
        <v>0</v>
      </c>
      <c r="C300" s="508">
        <v>0</v>
      </c>
      <c r="D300" s="1030">
        <v>0</v>
      </c>
      <c r="E300" s="912">
        <v>0</v>
      </c>
      <c r="F300" s="912">
        <v>0</v>
      </c>
      <c r="G300" s="1041">
        <v>0</v>
      </c>
      <c r="H300" s="820">
        <f t="shared" si="710"/>
        <v>0</v>
      </c>
      <c r="I300" s="1030">
        <v>0</v>
      </c>
      <c r="J300" s="912">
        <v>0</v>
      </c>
      <c r="K300" s="912">
        <v>0</v>
      </c>
      <c r="L300" s="1041">
        <v>0</v>
      </c>
      <c r="M300" s="820">
        <f t="shared" si="711"/>
        <v>0</v>
      </c>
      <c r="N300" s="1030">
        <v>0</v>
      </c>
      <c r="O300" s="912">
        <v>0</v>
      </c>
      <c r="P300" s="912">
        <v>0</v>
      </c>
      <c r="Q300" s="1041">
        <v>0</v>
      </c>
      <c r="R300" s="820">
        <f t="shared" si="702"/>
        <v>0</v>
      </c>
      <c r="S300" s="1030">
        <v>0</v>
      </c>
      <c r="T300" s="912">
        <v>0</v>
      </c>
      <c r="U300" s="912">
        <v>0</v>
      </c>
      <c r="V300" s="912">
        <v>0</v>
      </c>
      <c r="W300" s="398">
        <f t="shared" si="725"/>
        <v>0</v>
      </c>
      <c r="X300" s="2792">
        <v>0</v>
      </c>
      <c r="Y300" s="2792">
        <v>0</v>
      </c>
      <c r="Z300" s="2792">
        <v>0</v>
      </c>
      <c r="AA300" s="2792">
        <v>0</v>
      </c>
      <c r="AB300" s="398">
        <f t="shared" si="726"/>
        <v>0</v>
      </c>
      <c r="AC300" s="401">
        <f t="shared" si="712"/>
        <v>0</v>
      </c>
      <c r="AD300" s="401">
        <f t="shared" si="724"/>
        <v>0</v>
      </c>
      <c r="AE300" s="3666">
        <v>0</v>
      </c>
      <c r="AF300" s="820">
        <f t="shared" si="727"/>
        <v>0</v>
      </c>
      <c r="AG300" s="820">
        <f t="shared" si="728"/>
        <v>0</v>
      </c>
      <c r="AH300" s="401">
        <f t="shared" si="729"/>
        <v>0</v>
      </c>
      <c r="AI300" s="401">
        <f t="shared" si="730"/>
        <v>0</v>
      </c>
      <c r="AJ300" s="401">
        <f t="shared" si="731"/>
        <v>0</v>
      </c>
      <c r="AK300" s="820">
        <f t="shared" si="732"/>
        <v>0</v>
      </c>
      <c r="AL300" s="820">
        <f t="shared" si="733"/>
        <v>0</v>
      </c>
      <c r="AM300" s="398">
        <f t="shared" si="709"/>
        <v>0</v>
      </c>
      <c r="AN300" s="398">
        <f t="shared" si="709"/>
        <v>0</v>
      </c>
    </row>
    <row r="301" spans="1:40">
      <c r="A301" s="130" t="s">
        <v>2277</v>
      </c>
      <c r="B301" s="1030">
        <v>0</v>
      </c>
      <c r="C301" s="508">
        <v>0</v>
      </c>
      <c r="D301" s="1030">
        <v>0</v>
      </c>
      <c r="E301" s="912">
        <v>0</v>
      </c>
      <c r="F301" s="912">
        <v>0</v>
      </c>
      <c r="G301" s="1041">
        <v>0</v>
      </c>
      <c r="H301" s="820">
        <f t="shared" si="710"/>
        <v>0</v>
      </c>
      <c r="I301" s="1030">
        <v>0</v>
      </c>
      <c r="J301" s="912">
        <v>0</v>
      </c>
      <c r="K301" s="912">
        <v>0</v>
      </c>
      <c r="L301" s="1041">
        <v>0</v>
      </c>
      <c r="M301" s="820">
        <f t="shared" si="711"/>
        <v>0</v>
      </c>
      <c r="N301" s="1030">
        <v>0</v>
      </c>
      <c r="O301" s="912">
        <v>0</v>
      </c>
      <c r="P301" s="912">
        <v>0</v>
      </c>
      <c r="Q301" s="1041">
        <v>0</v>
      </c>
      <c r="R301" s="820">
        <f t="shared" si="702"/>
        <v>0</v>
      </c>
      <c r="S301" s="1030">
        <v>0</v>
      </c>
      <c r="T301" s="912">
        <v>0</v>
      </c>
      <c r="U301" s="912">
        <v>0</v>
      </c>
      <c r="V301" s="912">
        <v>0</v>
      </c>
      <c r="W301" s="398">
        <f t="shared" si="725"/>
        <v>0</v>
      </c>
      <c r="X301" s="2792">
        <v>0</v>
      </c>
      <c r="Y301" s="2792">
        <v>0</v>
      </c>
      <c r="Z301" s="2792">
        <v>0</v>
      </c>
      <c r="AA301" s="2792">
        <v>0</v>
      </c>
      <c r="AB301" s="398">
        <f t="shared" si="726"/>
        <v>0</v>
      </c>
      <c r="AC301" s="401">
        <f t="shared" si="712"/>
        <v>0</v>
      </c>
      <c r="AD301" s="401">
        <f t="shared" si="724"/>
        <v>0</v>
      </c>
      <c r="AE301" s="3666">
        <v>0</v>
      </c>
      <c r="AF301" s="820">
        <f t="shared" si="727"/>
        <v>0</v>
      </c>
      <c r="AG301" s="820">
        <f t="shared" si="728"/>
        <v>0</v>
      </c>
      <c r="AH301" s="401">
        <f t="shared" si="729"/>
        <v>0</v>
      </c>
      <c r="AI301" s="401">
        <f t="shared" si="730"/>
        <v>0</v>
      </c>
      <c r="AJ301" s="401">
        <f t="shared" si="731"/>
        <v>0</v>
      </c>
      <c r="AK301" s="820">
        <f t="shared" si="732"/>
        <v>0</v>
      </c>
      <c r="AL301" s="820">
        <f t="shared" si="733"/>
        <v>0</v>
      </c>
      <c r="AM301" s="398">
        <f t="shared" si="709"/>
        <v>0</v>
      </c>
      <c r="AN301" s="398">
        <f t="shared" si="709"/>
        <v>0</v>
      </c>
    </row>
    <row r="302" spans="1:40">
      <c r="A302" s="130" t="s">
        <v>2278</v>
      </c>
      <c r="B302" s="1030">
        <v>0</v>
      </c>
      <c r="C302" s="508">
        <v>0</v>
      </c>
      <c r="D302" s="1030">
        <v>0</v>
      </c>
      <c r="E302" s="912">
        <v>0</v>
      </c>
      <c r="F302" s="912">
        <v>0</v>
      </c>
      <c r="G302" s="1041">
        <v>0</v>
      </c>
      <c r="H302" s="820">
        <f t="shared" si="710"/>
        <v>0</v>
      </c>
      <c r="I302" s="1030">
        <v>0</v>
      </c>
      <c r="J302" s="912">
        <v>0</v>
      </c>
      <c r="K302" s="912">
        <v>0</v>
      </c>
      <c r="L302" s="1041">
        <v>0</v>
      </c>
      <c r="M302" s="820">
        <f t="shared" si="711"/>
        <v>0</v>
      </c>
      <c r="N302" s="1030">
        <v>0</v>
      </c>
      <c r="O302" s="912">
        <v>0</v>
      </c>
      <c r="P302" s="912">
        <v>0</v>
      </c>
      <c r="Q302" s="1041">
        <v>0</v>
      </c>
      <c r="R302" s="820">
        <f t="shared" si="702"/>
        <v>0</v>
      </c>
      <c r="S302" s="1030">
        <v>0</v>
      </c>
      <c r="T302" s="912">
        <v>0</v>
      </c>
      <c r="U302" s="912">
        <v>0</v>
      </c>
      <c r="V302" s="912">
        <v>0</v>
      </c>
      <c r="W302" s="398">
        <f t="shared" si="725"/>
        <v>0</v>
      </c>
      <c r="X302" s="2792">
        <v>0</v>
      </c>
      <c r="Y302" s="2792">
        <v>0</v>
      </c>
      <c r="Z302" s="2792">
        <v>0</v>
      </c>
      <c r="AA302" s="2792">
        <v>0</v>
      </c>
      <c r="AB302" s="398">
        <f t="shared" si="726"/>
        <v>0</v>
      </c>
      <c r="AC302" s="401">
        <f t="shared" si="712"/>
        <v>0</v>
      </c>
      <c r="AD302" s="401">
        <f t="shared" si="724"/>
        <v>0</v>
      </c>
      <c r="AE302" s="3666">
        <v>0</v>
      </c>
      <c r="AF302" s="820">
        <f t="shared" si="727"/>
        <v>0</v>
      </c>
      <c r="AG302" s="820">
        <f t="shared" si="728"/>
        <v>0</v>
      </c>
      <c r="AH302" s="401">
        <f t="shared" si="729"/>
        <v>0</v>
      </c>
      <c r="AI302" s="401">
        <f t="shared" si="730"/>
        <v>0</v>
      </c>
      <c r="AJ302" s="401">
        <f t="shared" si="731"/>
        <v>0</v>
      </c>
      <c r="AK302" s="820">
        <f t="shared" si="732"/>
        <v>0</v>
      </c>
      <c r="AL302" s="820">
        <f t="shared" si="733"/>
        <v>0</v>
      </c>
      <c r="AM302" s="820">
        <f t="shared" si="709"/>
        <v>0</v>
      </c>
      <c r="AN302" s="820">
        <f t="shared" si="709"/>
        <v>0</v>
      </c>
    </row>
    <row r="303" spans="1:40">
      <c r="A303" s="130" t="str">
        <f>$A$90</f>
        <v>Tru by Hilton</v>
      </c>
      <c r="B303" s="1030"/>
      <c r="C303" s="508"/>
      <c r="D303" s="1030"/>
      <c r="E303" s="912"/>
      <c r="F303" s="912"/>
      <c r="G303" s="1041"/>
      <c r="H303" s="820"/>
      <c r="I303" s="1030"/>
      <c r="J303" s="912"/>
      <c r="K303" s="912"/>
      <c r="L303" s="1041"/>
      <c r="M303" s="820"/>
      <c r="N303" s="1030"/>
      <c r="O303" s="912"/>
      <c r="P303" s="912"/>
      <c r="Q303" s="1041"/>
      <c r="R303" s="820"/>
      <c r="S303" s="1030"/>
      <c r="T303" s="912"/>
      <c r="U303" s="912"/>
      <c r="V303" s="912"/>
      <c r="W303" s="398"/>
      <c r="X303" s="2791"/>
      <c r="Y303" s="2791"/>
      <c r="Z303" s="2791"/>
      <c r="AA303" s="2791"/>
      <c r="AB303" s="398"/>
      <c r="AC303" s="401">
        <f t="shared" ref="AC303:AC304" si="734">AA303</f>
        <v>0</v>
      </c>
      <c r="AD303" s="401">
        <f t="shared" ref="AD303:AD304" si="735">AC303</f>
        <v>0</v>
      </c>
      <c r="AE303" s="3666">
        <v>0</v>
      </c>
      <c r="AF303" s="820">
        <f t="shared" ref="AF303:AF304" si="736">AE303</f>
        <v>0</v>
      </c>
      <c r="AG303" s="820">
        <f t="shared" ref="AG303:AG304" si="737">AF303</f>
        <v>0</v>
      </c>
      <c r="AH303" s="401">
        <f t="shared" si="729"/>
        <v>0</v>
      </c>
      <c r="AI303" s="401">
        <f t="shared" si="730"/>
        <v>0</v>
      </c>
      <c r="AJ303" s="401">
        <f t="shared" si="731"/>
        <v>0</v>
      </c>
      <c r="AK303" s="820">
        <f t="shared" si="732"/>
        <v>0</v>
      </c>
      <c r="AL303" s="820">
        <f t="shared" si="733"/>
        <v>0</v>
      </c>
      <c r="AM303" s="820">
        <f t="shared" ref="AM303:AM304" si="738">AL303</f>
        <v>0</v>
      </c>
      <c r="AN303" s="820">
        <f t="shared" ref="AN303:AN304" si="739">AM303</f>
        <v>0</v>
      </c>
    </row>
    <row r="304" spans="1:40">
      <c r="A304" s="130" t="str">
        <f>$A$91</f>
        <v>Tapestry Collection by Hilton</v>
      </c>
      <c r="B304" s="1030"/>
      <c r="C304" s="508"/>
      <c r="D304" s="1030"/>
      <c r="E304" s="912"/>
      <c r="F304" s="912"/>
      <c r="G304" s="1041"/>
      <c r="H304" s="820"/>
      <c r="I304" s="1030"/>
      <c r="J304" s="912"/>
      <c r="K304" s="912"/>
      <c r="L304" s="1041"/>
      <c r="M304" s="820"/>
      <c r="N304" s="1030"/>
      <c r="O304" s="912"/>
      <c r="P304" s="912"/>
      <c r="Q304" s="1041"/>
      <c r="R304" s="820"/>
      <c r="S304" s="1030"/>
      <c r="T304" s="912"/>
      <c r="U304" s="912"/>
      <c r="V304" s="912"/>
      <c r="W304" s="398"/>
      <c r="X304" s="2791"/>
      <c r="Y304" s="2791"/>
      <c r="Z304" s="2791"/>
      <c r="AA304" s="2791"/>
      <c r="AB304" s="398"/>
      <c r="AC304" s="401">
        <f t="shared" si="734"/>
        <v>0</v>
      </c>
      <c r="AD304" s="401">
        <f t="shared" si="735"/>
        <v>0</v>
      </c>
      <c r="AE304" s="3666">
        <v>0</v>
      </c>
      <c r="AF304" s="820">
        <f t="shared" si="736"/>
        <v>0</v>
      </c>
      <c r="AG304" s="820">
        <f t="shared" si="737"/>
        <v>0</v>
      </c>
      <c r="AH304" s="401">
        <f t="shared" si="729"/>
        <v>0</v>
      </c>
      <c r="AI304" s="401">
        <f t="shared" si="730"/>
        <v>0</v>
      </c>
      <c r="AJ304" s="401">
        <f t="shared" si="731"/>
        <v>0</v>
      </c>
      <c r="AK304" s="820">
        <f t="shared" si="732"/>
        <v>0</v>
      </c>
      <c r="AL304" s="820">
        <f t="shared" si="733"/>
        <v>0</v>
      </c>
      <c r="AM304" s="820">
        <f t="shared" si="738"/>
        <v>0</v>
      </c>
      <c r="AN304" s="820">
        <f t="shared" si="739"/>
        <v>0</v>
      </c>
    </row>
    <row r="305" spans="1:40" s="5" customFormat="1">
      <c r="A305" s="402" t="s">
        <v>2276</v>
      </c>
      <c r="B305" s="1031">
        <v>0</v>
      </c>
      <c r="C305" s="1029">
        <v>0</v>
      </c>
      <c r="D305" s="1031">
        <v>0</v>
      </c>
      <c r="E305" s="1039">
        <v>0</v>
      </c>
      <c r="F305" s="1039">
        <v>0</v>
      </c>
      <c r="G305" s="1042">
        <v>0</v>
      </c>
      <c r="H305" s="700">
        <f t="shared" si="710"/>
        <v>0</v>
      </c>
      <c r="I305" s="1031">
        <v>0</v>
      </c>
      <c r="J305" s="1039">
        <v>0</v>
      </c>
      <c r="K305" s="1039">
        <v>0</v>
      </c>
      <c r="L305" s="1042">
        <v>0</v>
      </c>
      <c r="M305" s="700">
        <f t="shared" si="711"/>
        <v>0</v>
      </c>
      <c r="N305" s="1031">
        <v>0</v>
      </c>
      <c r="O305" s="1039">
        <v>0</v>
      </c>
      <c r="P305" s="1039">
        <v>0</v>
      </c>
      <c r="Q305" s="1042">
        <v>0</v>
      </c>
      <c r="R305" s="700">
        <f t="shared" si="702"/>
        <v>0</v>
      </c>
      <c r="S305" s="1031">
        <v>0</v>
      </c>
      <c r="T305" s="1039">
        <v>0</v>
      </c>
      <c r="U305" s="1039">
        <v>0</v>
      </c>
      <c r="V305" s="1039">
        <v>0</v>
      </c>
      <c r="W305" s="403">
        <f t="shared" si="725"/>
        <v>0</v>
      </c>
      <c r="X305" s="2794">
        <v>0</v>
      </c>
      <c r="Y305" s="2794">
        <v>0</v>
      </c>
      <c r="Z305" s="2794">
        <v>0</v>
      </c>
      <c r="AA305" s="2794">
        <v>0</v>
      </c>
      <c r="AB305" s="403">
        <f t="shared" si="726"/>
        <v>0</v>
      </c>
      <c r="AC305" s="615">
        <f t="shared" si="712"/>
        <v>0</v>
      </c>
      <c r="AD305" s="615">
        <f t="shared" si="724"/>
        <v>0</v>
      </c>
      <c r="AE305" s="4005">
        <v>0</v>
      </c>
      <c r="AF305" s="700">
        <f t="shared" si="727"/>
        <v>0</v>
      </c>
      <c r="AG305" s="700">
        <f t="shared" si="728"/>
        <v>0</v>
      </c>
      <c r="AH305" s="615">
        <f t="shared" si="729"/>
        <v>0</v>
      </c>
      <c r="AI305" s="615">
        <f t="shared" si="730"/>
        <v>0</v>
      </c>
      <c r="AJ305" s="615">
        <f t="shared" si="731"/>
        <v>0</v>
      </c>
      <c r="AK305" s="700">
        <f t="shared" si="732"/>
        <v>0</v>
      </c>
      <c r="AL305" s="700">
        <f t="shared" si="733"/>
        <v>0</v>
      </c>
      <c r="AM305" s="700">
        <f t="shared" si="709"/>
        <v>0</v>
      </c>
      <c r="AN305" s="700">
        <f t="shared" si="709"/>
        <v>0</v>
      </c>
    </row>
    <row r="306" spans="1:40">
      <c r="A306" s="482" t="s">
        <v>1687</v>
      </c>
      <c r="B306" s="1032">
        <f>SUM(B293:B305)</f>
        <v>8</v>
      </c>
      <c r="C306" s="400">
        <f>SUM(C293:C305)</f>
        <v>8</v>
      </c>
      <c r="D306" s="1032">
        <f t="shared" ref="D306:R306" si="740">SUM(D293:D305)</f>
        <v>8</v>
      </c>
      <c r="E306" s="405">
        <f t="shared" si="740"/>
        <v>8</v>
      </c>
      <c r="F306" s="405">
        <f t="shared" si="740"/>
        <v>8</v>
      </c>
      <c r="G306" s="821">
        <f t="shared" si="740"/>
        <v>8</v>
      </c>
      <c r="H306" s="821">
        <f t="shared" si="740"/>
        <v>8</v>
      </c>
      <c r="I306" s="1032">
        <f t="shared" si="740"/>
        <v>8</v>
      </c>
      <c r="J306" s="405">
        <f t="shared" si="740"/>
        <v>8</v>
      </c>
      <c r="K306" s="405">
        <f t="shared" si="740"/>
        <v>8</v>
      </c>
      <c r="L306" s="821">
        <f>SUM(L293:L305)</f>
        <v>8</v>
      </c>
      <c r="M306" s="821">
        <f>SUM(M293:M305)</f>
        <v>8</v>
      </c>
      <c r="N306" s="1032">
        <f t="shared" si="740"/>
        <v>8</v>
      </c>
      <c r="O306" s="405">
        <f t="shared" si="740"/>
        <v>8</v>
      </c>
      <c r="P306" s="405">
        <f>SUM(P293:P305)</f>
        <v>8</v>
      </c>
      <c r="Q306" s="821">
        <f>SUM(Q293:Q305)</f>
        <v>8</v>
      </c>
      <c r="R306" s="821">
        <f t="shared" si="740"/>
        <v>8</v>
      </c>
      <c r="S306" s="1032">
        <f t="shared" ref="S306:AN306" si="741">SUM(S293:S305)</f>
        <v>8</v>
      </c>
      <c r="T306" s="405">
        <f t="shared" si="741"/>
        <v>8</v>
      </c>
      <c r="U306" s="405">
        <f t="shared" si="741"/>
        <v>7</v>
      </c>
      <c r="V306" s="405">
        <f t="shared" si="741"/>
        <v>7</v>
      </c>
      <c r="W306" s="400">
        <f t="shared" si="741"/>
        <v>7</v>
      </c>
      <c r="X306" s="399">
        <f t="shared" si="741"/>
        <v>7</v>
      </c>
      <c r="Y306" s="399">
        <f t="shared" si="741"/>
        <v>7</v>
      </c>
      <c r="Z306" s="399">
        <f>SUM(Z293:Z305)</f>
        <v>7</v>
      </c>
      <c r="AA306" s="399">
        <f>SUM(AA293:AA305)</f>
        <v>7</v>
      </c>
      <c r="AB306" s="400">
        <f t="shared" si="741"/>
        <v>7</v>
      </c>
      <c r="AC306" s="399">
        <f t="shared" si="741"/>
        <v>7</v>
      </c>
      <c r="AD306" s="399">
        <f t="shared" si="741"/>
        <v>7</v>
      </c>
      <c r="AE306" s="399">
        <f t="shared" si="741"/>
        <v>8</v>
      </c>
      <c r="AF306" s="821">
        <f t="shared" si="741"/>
        <v>8</v>
      </c>
      <c r="AG306" s="400">
        <f t="shared" si="741"/>
        <v>8</v>
      </c>
      <c r="AH306" s="399">
        <f t="shared" si="741"/>
        <v>8</v>
      </c>
      <c r="AI306" s="399">
        <f t="shared" si="741"/>
        <v>8</v>
      </c>
      <c r="AJ306" s="399">
        <f t="shared" ref="AJ306:AL306" si="742">SUM(AJ293:AJ305)</f>
        <v>8</v>
      </c>
      <c r="AK306" s="821">
        <f t="shared" si="742"/>
        <v>8</v>
      </c>
      <c r="AL306" s="400">
        <f t="shared" si="742"/>
        <v>8</v>
      </c>
      <c r="AM306" s="821">
        <f t="shared" si="741"/>
        <v>8</v>
      </c>
      <c r="AN306" s="821">
        <f t="shared" si="741"/>
        <v>8</v>
      </c>
    </row>
    <row r="307" spans="1:40">
      <c r="A307" s="130"/>
      <c r="B307" s="1033"/>
      <c r="C307" s="398"/>
      <c r="D307" s="1033"/>
      <c r="E307" s="406"/>
      <c r="F307" s="406"/>
      <c r="G307" s="820"/>
      <c r="H307" s="820"/>
      <c r="I307" s="1033"/>
      <c r="J307" s="406"/>
      <c r="K307" s="406"/>
      <c r="L307" s="820"/>
      <c r="M307" s="820"/>
      <c r="N307" s="401"/>
      <c r="O307" s="406"/>
      <c r="P307" s="406"/>
      <c r="Q307" s="820"/>
      <c r="R307" s="820"/>
      <c r="S307" s="1033"/>
      <c r="T307" s="406"/>
      <c r="U307" s="406"/>
      <c r="V307" s="406"/>
      <c r="W307" s="398"/>
      <c r="X307" s="401"/>
      <c r="Y307" s="401"/>
      <c r="Z307" s="401"/>
      <c r="AA307" s="401"/>
      <c r="AB307" s="398"/>
      <c r="AC307" s="401"/>
      <c r="AD307" s="401"/>
      <c r="AE307" s="401"/>
      <c r="AF307" s="820"/>
      <c r="AG307" s="398"/>
      <c r="AH307" s="401"/>
      <c r="AI307" s="401"/>
      <c r="AJ307" s="401"/>
      <c r="AK307" s="820"/>
      <c r="AL307" s="398"/>
      <c r="AM307" s="820"/>
      <c r="AN307" s="820"/>
    </row>
    <row r="308" spans="1:40">
      <c r="A308" s="295" t="s">
        <v>1283</v>
      </c>
      <c r="B308" s="1033"/>
      <c r="C308" s="398"/>
      <c r="D308" s="1033"/>
      <c r="E308" s="406"/>
      <c r="F308" s="406"/>
      <c r="G308" s="820"/>
      <c r="H308" s="820"/>
      <c r="I308" s="1033"/>
      <c r="J308" s="406"/>
      <c r="K308" s="406"/>
      <c r="L308" s="820"/>
      <c r="M308" s="820"/>
      <c r="N308" s="401"/>
      <c r="O308" s="406"/>
      <c r="P308" s="406"/>
      <c r="Q308" s="820"/>
      <c r="R308" s="820"/>
      <c r="S308" s="1033"/>
      <c r="T308" s="406"/>
      <c r="U308" s="406"/>
      <c r="V308" s="406"/>
      <c r="W308" s="398"/>
      <c r="X308" s="401"/>
      <c r="Y308" s="401"/>
      <c r="Z308" s="401"/>
      <c r="AA308" s="401"/>
      <c r="AB308" s="398"/>
      <c r="AC308" s="401"/>
      <c r="AD308" s="401"/>
      <c r="AE308" s="401"/>
      <c r="AF308" s="406"/>
      <c r="AG308" s="398"/>
      <c r="AH308" s="401"/>
      <c r="AI308" s="401"/>
      <c r="AJ308" s="401"/>
      <c r="AK308" s="820"/>
      <c r="AL308" s="398"/>
      <c r="AM308" s="820"/>
      <c r="AN308" s="820"/>
    </row>
    <row r="309" spans="1:40">
      <c r="A309" s="130" t="str">
        <f>A$9</f>
        <v>Waldorf Astoria Hotels &amp; Resorts (Luxury)</v>
      </c>
      <c r="B309" s="1030">
        <v>2</v>
      </c>
      <c r="C309" s="508">
        <v>2</v>
      </c>
      <c r="D309" s="1030">
        <v>2</v>
      </c>
      <c r="E309" s="912">
        <v>2</v>
      </c>
      <c r="F309" s="912">
        <v>1</v>
      </c>
      <c r="G309" s="1041">
        <v>1</v>
      </c>
      <c r="H309" s="820">
        <f>G309</f>
        <v>1</v>
      </c>
      <c r="I309" s="1030">
        <v>1</v>
      </c>
      <c r="J309" s="912">
        <v>1</v>
      </c>
      <c r="K309" s="912">
        <v>1</v>
      </c>
      <c r="L309" s="1041">
        <v>1</v>
      </c>
      <c r="M309" s="820">
        <f>L309</f>
        <v>1</v>
      </c>
      <c r="N309" s="1030">
        <v>2</v>
      </c>
      <c r="O309" s="912">
        <v>2</v>
      </c>
      <c r="P309" s="912">
        <v>2</v>
      </c>
      <c r="Q309" s="1041">
        <v>2</v>
      </c>
      <c r="R309" s="1714">
        <f t="shared" ref="R309:R321" si="743">Q309</f>
        <v>2</v>
      </c>
      <c r="S309" s="1030">
        <v>2</v>
      </c>
      <c r="T309" s="912">
        <v>2</v>
      </c>
      <c r="U309" s="912">
        <v>2</v>
      </c>
      <c r="V309" s="912">
        <v>2</v>
      </c>
      <c r="W309" s="1716">
        <f t="shared" ref="W309:W321" si="744">V309</f>
        <v>2</v>
      </c>
      <c r="X309" s="2791">
        <v>2</v>
      </c>
      <c r="Y309" s="2791">
        <v>2</v>
      </c>
      <c r="Z309" s="2791">
        <v>2</v>
      </c>
      <c r="AA309" s="2791">
        <v>2</v>
      </c>
      <c r="AB309" s="1716">
        <f t="shared" ref="AB309:AB321" si="745">AA309</f>
        <v>2</v>
      </c>
      <c r="AC309" s="1715">
        <f>AA309*(1+AC$884)</f>
        <v>2.02</v>
      </c>
      <c r="AD309" s="1715">
        <f t="shared" ref="AD309" si="746">AC309*(1+AD$884)</f>
        <v>2.0398550197959771</v>
      </c>
      <c r="AE309" s="3665">
        <v>3</v>
      </c>
      <c r="AF309" s="3665">
        <v>3</v>
      </c>
      <c r="AG309" s="1716">
        <f t="shared" ref="AG309:AG321" si="747">AF309</f>
        <v>3</v>
      </c>
      <c r="AH309" s="1715">
        <f t="shared" ref="AH309:AH310" si="748">AG309*(1+AH$884)</f>
        <v>3.0449999999999999</v>
      </c>
      <c r="AI309" s="1715">
        <f t="shared" ref="AI309:AI310" si="749">AH309*(1+AI$884)</f>
        <v>3.0906749999999996</v>
      </c>
      <c r="AJ309" s="1715">
        <f t="shared" ref="AJ309:AJ310" si="750">AI309*(1+AJ$884)</f>
        <v>3.1370351249999993</v>
      </c>
      <c r="AK309" s="1714">
        <f t="shared" ref="AK309:AK310" si="751">AJ309*(1+AK$884)</f>
        <v>3.1840906518749987</v>
      </c>
      <c r="AL309" s="1714">
        <f t="shared" ref="AL309:AL310" si="752">AK309</f>
        <v>3.1840906518749987</v>
      </c>
      <c r="AM309" s="1716">
        <f t="shared" ref="AM309:AN310" si="753">AL309*(1+AM$883)</f>
        <v>3.3273747312093733</v>
      </c>
      <c r="AN309" s="1716">
        <f t="shared" si="753"/>
        <v>3.4271959731456545</v>
      </c>
    </row>
    <row r="310" spans="1:40">
      <c r="A310" s="130" t="str">
        <f>A$10</f>
        <v>Conrad Hotels &amp; Resorts (Luxury)</v>
      </c>
      <c r="B310" s="1030">
        <v>7</v>
      </c>
      <c r="C310" s="508">
        <v>8</v>
      </c>
      <c r="D310" s="1030">
        <v>9</v>
      </c>
      <c r="E310" s="912">
        <v>9</v>
      </c>
      <c r="F310" s="912">
        <v>9</v>
      </c>
      <c r="G310" s="1041">
        <v>10</v>
      </c>
      <c r="H310" s="820">
        <f t="shared" ref="H310:H321" si="754">G310</f>
        <v>10</v>
      </c>
      <c r="I310" s="1030">
        <v>11</v>
      </c>
      <c r="J310" s="912">
        <v>11</v>
      </c>
      <c r="K310" s="912">
        <v>11</v>
      </c>
      <c r="L310" s="1041">
        <v>11</v>
      </c>
      <c r="M310" s="820">
        <f t="shared" ref="M310:M321" si="755">L310</f>
        <v>11</v>
      </c>
      <c r="N310" s="1030">
        <v>11</v>
      </c>
      <c r="O310" s="912">
        <v>11</v>
      </c>
      <c r="P310" s="912">
        <v>11</v>
      </c>
      <c r="Q310" s="1041">
        <v>11</v>
      </c>
      <c r="R310" s="1714">
        <f t="shared" si="743"/>
        <v>11</v>
      </c>
      <c r="S310" s="1030">
        <v>11</v>
      </c>
      <c r="T310" s="912">
        <v>11</v>
      </c>
      <c r="U310" s="912">
        <v>11</v>
      </c>
      <c r="V310" s="912">
        <v>11</v>
      </c>
      <c r="W310" s="1716">
        <f t="shared" si="744"/>
        <v>11</v>
      </c>
      <c r="X310" s="2791">
        <v>12</v>
      </c>
      <c r="Y310" s="2791">
        <v>13</v>
      </c>
      <c r="Z310" s="2791">
        <v>14</v>
      </c>
      <c r="AA310" s="2791">
        <v>14</v>
      </c>
      <c r="AB310" s="1716">
        <f t="shared" si="745"/>
        <v>14</v>
      </c>
      <c r="AC310" s="1715">
        <f>AA310*(1+AC$884)</f>
        <v>14.14</v>
      </c>
      <c r="AD310" s="3879">
        <v>14</v>
      </c>
      <c r="AE310" s="3665">
        <v>15</v>
      </c>
      <c r="AF310" s="3665">
        <v>15</v>
      </c>
      <c r="AG310" s="1716">
        <f t="shared" si="747"/>
        <v>15</v>
      </c>
      <c r="AH310" s="1715">
        <f t="shared" si="748"/>
        <v>15.224999999999998</v>
      </c>
      <c r="AI310" s="1715">
        <f t="shared" si="749"/>
        <v>15.453374999999996</v>
      </c>
      <c r="AJ310" s="1715">
        <f t="shared" si="750"/>
        <v>15.685175624999994</v>
      </c>
      <c r="AK310" s="1714">
        <f t="shared" si="751"/>
        <v>15.920453259374993</v>
      </c>
      <c r="AL310" s="1714">
        <f t="shared" si="752"/>
        <v>15.920453259374993</v>
      </c>
      <c r="AM310" s="1716">
        <f t="shared" si="753"/>
        <v>16.636873656046866</v>
      </c>
      <c r="AN310" s="1716">
        <f t="shared" si="753"/>
        <v>17.135979865728274</v>
      </c>
    </row>
    <row r="311" spans="1:40">
      <c r="A311" s="1828" t="s">
        <v>3022</v>
      </c>
      <c r="B311" s="1030"/>
      <c r="C311" s="508"/>
      <c r="D311" s="1030"/>
      <c r="E311" s="912"/>
      <c r="F311" s="912"/>
      <c r="G311" s="1041"/>
      <c r="H311" s="820"/>
      <c r="I311" s="1030"/>
      <c r="J311" s="912"/>
      <c r="K311" s="912"/>
      <c r="L311" s="1041"/>
      <c r="M311" s="820"/>
      <c r="N311" s="1030"/>
      <c r="O311" s="912"/>
      <c r="P311" s="912"/>
      <c r="Q311" s="1041"/>
      <c r="R311" s="820"/>
      <c r="S311" s="1030"/>
      <c r="T311" s="912"/>
      <c r="U311" s="912"/>
      <c r="V311" s="912"/>
      <c r="W311" s="398"/>
      <c r="X311" s="2787"/>
      <c r="Y311" s="2791"/>
      <c r="Z311" s="2791"/>
      <c r="AA311" s="2791">
        <v>0</v>
      </c>
      <c r="AB311" s="398">
        <f t="shared" ref="AB311:AG311" si="756">+AA311</f>
        <v>0</v>
      </c>
      <c r="AC311" s="2944">
        <f t="shared" si="756"/>
        <v>0</v>
      </c>
      <c r="AD311" s="406">
        <f t="shared" si="756"/>
        <v>0</v>
      </c>
      <c r="AE311" s="3665">
        <v>0</v>
      </c>
      <c r="AF311" s="406">
        <f t="shared" si="756"/>
        <v>0</v>
      </c>
      <c r="AG311" s="398">
        <f t="shared" si="756"/>
        <v>0</v>
      </c>
      <c r="AH311" s="406">
        <f t="shared" ref="AH311" si="757">+AG311</f>
        <v>0</v>
      </c>
      <c r="AI311" s="406">
        <f t="shared" ref="AI311" si="758">+AH311</f>
        <v>0</v>
      </c>
      <c r="AJ311" s="406">
        <f t="shared" ref="AJ311" si="759">+AI311</f>
        <v>0</v>
      </c>
      <c r="AK311" s="820">
        <f t="shared" ref="AK311" si="760">+AJ311</f>
        <v>0</v>
      </c>
      <c r="AL311" s="398">
        <f t="shared" ref="AL311" si="761">+AK311</f>
        <v>0</v>
      </c>
      <c r="AM311" s="398">
        <f>AL311</f>
        <v>0</v>
      </c>
      <c r="AN311" s="398">
        <f>AM311</f>
        <v>0</v>
      </c>
    </row>
    <row r="312" spans="1:40">
      <c r="A312" s="130" t="str">
        <f>A$12</f>
        <v>Hilton Hotels &amp; Resorts (Upper Up)</v>
      </c>
      <c r="B312" s="1030">
        <v>37</v>
      </c>
      <c r="C312" s="508">
        <v>44</v>
      </c>
      <c r="D312" s="1030">
        <v>45</v>
      </c>
      <c r="E312" s="912">
        <v>45</v>
      </c>
      <c r="F312" s="912">
        <v>44</v>
      </c>
      <c r="G312" s="1041">
        <v>45</v>
      </c>
      <c r="H312" s="820">
        <f t="shared" si="754"/>
        <v>45</v>
      </c>
      <c r="I312" s="1030">
        <v>46</v>
      </c>
      <c r="J312" s="912">
        <v>47</v>
      </c>
      <c r="K312" s="912">
        <v>48</v>
      </c>
      <c r="L312" s="1041">
        <v>49</v>
      </c>
      <c r="M312" s="820">
        <f t="shared" si="755"/>
        <v>49</v>
      </c>
      <c r="N312" s="1030">
        <v>51</v>
      </c>
      <c r="O312" s="912">
        <v>52</v>
      </c>
      <c r="P312" s="912">
        <v>54</v>
      </c>
      <c r="Q312" s="1041">
        <v>59</v>
      </c>
      <c r="R312" s="1714">
        <f t="shared" si="743"/>
        <v>59</v>
      </c>
      <c r="S312" s="1030">
        <v>58</v>
      </c>
      <c r="T312" s="912">
        <v>59</v>
      </c>
      <c r="U312" s="912">
        <v>64</v>
      </c>
      <c r="V312" s="912">
        <v>68</v>
      </c>
      <c r="W312" s="1716">
        <f t="shared" si="744"/>
        <v>68</v>
      </c>
      <c r="X312" s="2791">
        <v>69</v>
      </c>
      <c r="Y312" s="2791">
        <v>70</v>
      </c>
      <c r="Z312" s="2791">
        <v>72</v>
      </c>
      <c r="AA312" s="2791">
        <v>77</v>
      </c>
      <c r="AB312" s="1716">
        <f t="shared" si="745"/>
        <v>77</v>
      </c>
      <c r="AC312" s="1715">
        <f>AA312*(1+AC$884)</f>
        <v>77.77</v>
      </c>
      <c r="AD312" s="3879">
        <v>78</v>
      </c>
      <c r="AE312" s="3665">
        <v>81</v>
      </c>
      <c r="AF312" s="3665">
        <v>84</v>
      </c>
      <c r="AG312" s="1716">
        <f t="shared" si="747"/>
        <v>84</v>
      </c>
      <c r="AH312" s="1715">
        <f t="shared" ref="AH312:AI312" si="762">AG312*(1+AH$884)</f>
        <v>85.259999999999991</v>
      </c>
      <c r="AI312" s="1715">
        <f t="shared" si="762"/>
        <v>86.538899999999984</v>
      </c>
      <c r="AJ312" s="1715">
        <f>AI312*(1+AJ$884)</f>
        <v>87.836983499999974</v>
      </c>
      <c r="AK312" s="1714">
        <f>AJ312*(1+AK$884)</f>
        <v>89.154538252499961</v>
      </c>
      <c r="AL312" s="1714">
        <f t="shared" ref="AL312:AL321" si="763">AK312</f>
        <v>89.154538252499961</v>
      </c>
      <c r="AM312" s="1716">
        <f>AL312*(1+AM$883)</f>
        <v>93.166492473862448</v>
      </c>
      <c r="AN312" s="1716">
        <f>AM312*(1+AN$883)</f>
        <v>95.961487248078328</v>
      </c>
    </row>
    <row r="313" spans="1:40">
      <c r="A313" s="130" t="str">
        <f>A$13</f>
        <v xml:space="preserve">Curio - A Collection by Hilton </v>
      </c>
      <c r="B313" s="1030"/>
      <c r="C313" s="508"/>
      <c r="D313" s="1030"/>
      <c r="E313" s="912"/>
      <c r="F313" s="912"/>
      <c r="G313" s="1041"/>
      <c r="H313" s="820"/>
      <c r="I313" s="1030"/>
      <c r="J313" s="912"/>
      <c r="K313" s="912"/>
      <c r="L313" s="1041"/>
      <c r="M313" s="820"/>
      <c r="N313" s="1030"/>
      <c r="O313" s="912"/>
      <c r="P313" s="912"/>
      <c r="Q313" s="1041"/>
      <c r="R313" s="1714"/>
      <c r="S313" s="1030">
        <v>0</v>
      </c>
      <c r="T313" s="912">
        <v>0</v>
      </c>
      <c r="U313" s="912">
        <v>0</v>
      </c>
      <c r="V313" s="912">
        <v>0</v>
      </c>
      <c r="W313" s="398">
        <f>V313</f>
        <v>0</v>
      </c>
      <c r="X313" s="2792">
        <v>0</v>
      </c>
      <c r="Y313" s="2792">
        <v>0</v>
      </c>
      <c r="Z313" s="2792">
        <v>0</v>
      </c>
      <c r="AA313" s="2792">
        <v>0</v>
      </c>
      <c r="AB313" s="398">
        <f>AA313</f>
        <v>0</v>
      </c>
      <c r="AC313" s="401">
        <f>AA313</f>
        <v>0</v>
      </c>
      <c r="AD313" s="401">
        <f t="shared" ref="AD313:AN313" si="764">AC313</f>
        <v>0</v>
      </c>
      <c r="AE313" s="3666">
        <v>1</v>
      </c>
      <c r="AF313" s="3666">
        <v>2</v>
      </c>
      <c r="AG313" s="398">
        <f t="shared" si="764"/>
        <v>2</v>
      </c>
      <c r="AH313" s="401">
        <f t="shared" ref="AH313" si="765">AG313</f>
        <v>2</v>
      </c>
      <c r="AI313" s="401">
        <f t="shared" ref="AI313" si="766">AH313</f>
        <v>2</v>
      </c>
      <c r="AJ313" s="401">
        <f t="shared" ref="AJ313" si="767">AI313</f>
        <v>2</v>
      </c>
      <c r="AK313" s="820">
        <f t="shared" ref="AK313" si="768">AJ313</f>
        <v>2</v>
      </c>
      <c r="AL313" s="820">
        <f t="shared" si="763"/>
        <v>2</v>
      </c>
      <c r="AM313" s="398">
        <f t="shared" si="764"/>
        <v>2</v>
      </c>
      <c r="AN313" s="398">
        <f t="shared" si="764"/>
        <v>2</v>
      </c>
    </row>
    <row r="314" spans="1:40">
      <c r="A314" s="130" t="str">
        <f>A$14</f>
        <v>DoubleTree by Hilton (Upscale)</v>
      </c>
      <c r="B314" s="1030">
        <v>7</v>
      </c>
      <c r="C314" s="508">
        <v>11</v>
      </c>
      <c r="D314" s="1030">
        <v>12</v>
      </c>
      <c r="E314" s="912">
        <v>13</v>
      </c>
      <c r="F314" s="912">
        <v>15</v>
      </c>
      <c r="G314" s="1041">
        <v>17</v>
      </c>
      <c r="H314" s="820">
        <f t="shared" si="754"/>
        <v>17</v>
      </c>
      <c r="I314" s="1030">
        <v>17</v>
      </c>
      <c r="J314" s="912">
        <v>21</v>
      </c>
      <c r="K314" s="912">
        <v>22</v>
      </c>
      <c r="L314" s="1041">
        <v>26</v>
      </c>
      <c r="M314" s="820">
        <f t="shared" si="755"/>
        <v>26</v>
      </c>
      <c r="N314" s="1030">
        <v>27</v>
      </c>
      <c r="O314" s="912">
        <v>27</v>
      </c>
      <c r="P314" s="912">
        <v>29</v>
      </c>
      <c r="Q314" s="1041">
        <v>35</v>
      </c>
      <c r="R314" s="1714">
        <f t="shared" si="743"/>
        <v>35</v>
      </c>
      <c r="S314" s="1030">
        <v>35</v>
      </c>
      <c r="T314" s="912">
        <v>35</v>
      </c>
      <c r="U314" s="912">
        <v>39</v>
      </c>
      <c r="V314" s="912">
        <v>41</v>
      </c>
      <c r="W314" s="1716">
        <f t="shared" si="744"/>
        <v>41</v>
      </c>
      <c r="X314" s="2791">
        <v>40</v>
      </c>
      <c r="Y314" s="2791">
        <v>40</v>
      </c>
      <c r="Z314" s="2791">
        <v>43</v>
      </c>
      <c r="AA314" s="2791">
        <v>45</v>
      </c>
      <c r="AB314" s="1716">
        <f t="shared" si="745"/>
        <v>45</v>
      </c>
      <c r="AC314" s="1715">
        <f>AA314*(1+AC$884)</f>
        <v>45.45</v>
      </c>
      <c r="AD314" s="3879">
        <v>46</v>
      </c>
      <c r="AE314" s="3665">
        <v>46</v>
      </c>
      <c r="AF314" s="3665">
        <v>49</v>
      </c>
      <c r="AG314" s="1716">
        <f t="shared" si="747"/>
        <v>49</v>
      </c>
      <c r="AH314" s="1715">
        <f t="shared" ref="AH314:AH321" si="769">AG314*(1+AH$884)</f>
        <v>49.734999999999992</v>
      </c>
      <c r="AI314" s="1715">
        <f t="shared" ref="AI314:AI321" si="770">AH314*(1+AI$884)</f>
        <v>50.481024999999988</v>
      </c>
      <c r="AJ314" s="1715">
        <f t="shared" ref="AJ314:AJ320" si="771">AI314*(1+AJ$884)</f>
        <v>51.238240374999982</v>
      </c>
      <c r="AK314" s="1714">
        <f t="shared" ref="AK314:AK320" si="772">AJ314*(1+AK$884)</f>
        <v>52.006813980624976</v>
      </c>
      <c r="AL314" s="1714">
        <f t="shared" si="763"/>
        <v>52.006813980624976</v>
      </c>
      <c r="AM314" s="1716">
        <f t="shared" ref="AM314:AN318" si="773">AL314*(1+AM$883)</f>
        <v>54.347120609753098</v>
      </c>
      <c r="AN314" s="1716">
        <f t="shared" si="773"/>
        <v>55.977534228045691</v>
      </c>
    </row>
    <row r="315" spans="1:40">
      <c r="A315" s="130" t="str">
        <f>A$15</f>
        <v>Embassy Suites Hotels (Upper Up)</v>
      </c>
      <c r="B315" s="1030">
        <v>0</v>
      </c>
      <c r="C315" s="508">
        <v>0</v>
      </c>
      <c r="D315" s="1030">
        <v>0</v>
      </c>
      <c r="E315" s="912">
        <v>0</v>
      </c>
      <c r="F315" s="912">
        <v>0</v>
      </c>
      <c r="G315" s="1041">
        <v>0</v>
      </c>
      <c r="H315" s="820">
        <f t="shared" si="754"/>
        <v>0</v>
      </c>
      <c r="I315" s="1030">
        <v>0</v>
      </c>
      <c r="J315" s="912">
        <v>0</v>
      </c>
      <c r="K315" s="912">
        <v>0</v>
      </c>
      <c r="L315" s="1041">
        <v>0</v>
      </c>
      <c r="M315" s="820">
        <f t="shared" si="755"/>
        <v>0</v>
      </c>
      <c r="N315" s="1030">
        <v>0</v>
      </c>
      <c r="O315" s="912">
        <v>0</v>
      </c>
      <c r="P315" s="912">
        <v>0</v>
      </c>
      <c r="Q315" s="1041">
        <v>0</v>
      </c>
      <c r="R315" s="1714">
        <f t="shared" si="743"/>
        <v>0</v>
      </c>
      <c r="S315" s="1030">
        <v>0</v>
      </c>
      <c r="T315" s="912">
        <v>0</v>
      </c>
      <c r="U315" s="912">
        <v>0</v>
      </c>
      <c r="V315" s="912">
        <v>0</v>
      </c>
      <c r="W315" s="1716">
        <f t="shared" si="744"/>
        <v>0</v>
      </c>
      <c r="X315" s="2791">
        <v>0</v>
      </c>
      <c r="Y315" s="2791">
        <v>0</v>
      </c>
      <c r="Z315" s="2791">
        <v>0</v>
      </c>
      <c r="AA315" s="2791">
        <v>0</v>
      </c>
      <c r="AB315" s="1716">
        <f t="shared" si="745"/>
        <v>0</v>
      </c>
      <c r="AC315" s="1715">
        <f>AA315*(1+AC$884)</f>
        <v>0</v>
      </c>
      <c r="AD315" s="1715">
        <f t="shared" ref="AD315:AF318" si="774">AC315*(1+AD$884)</f>
        <v>0</v>
      </c>
      <c r="AE315" s="3665">
        <f t="shared" si="774"/>
        <v>0</v>
      </c>
      <c r="AF315" s="1715">
        <f t="shared" si="774"/>
        <v>0</v>
      </c>
      <c r="AG315" s="1716">
        <f t="shared" si="747"/>
        <v>0</v>
      </c>
      <c r="AH315" s="1715">
        <f t="shared" si="769"/>
        <v>0</v>
      </c>
      <c r="AI315" s="1715">
        <f t="shared" si="770"/>
        <v>0</v>
      </c>
      <c r="AJ315" s="1715">
        <f t="shared" si="771"/>
        <v>0</v>
      </c>
      <c r="AK315" s="1714">
        <f t="shared" si="772"/>
        <v>0</v>
      </c>
      <c r="AL315" s="1714">
        <f t="shared" si="763"/>
        <v>0</v>
      </c>
      <c r="AM315" s="1716">
        <f t="shared" si="773"/>
        <v>0</v>
      </c>
      <c r="AN315" s="1716">
        <f t="shared" si="773"/>
        <v>0</v>
      </c>
    </row>
    <row r="316" spans="1:40">
      <c r="A316" s="130" t="str">
        <f>A$16</f>
        <v>Hilton Garden Inn (Upscale)</v>
      </c>
      <c r="B316" s="1030">
        <v>1</v>
      </c>
      <c r="C316" s="508">
        <v>1</v>
      </c>
      <c r="D316" s="1030">
        <v>1</v>
      </c>
      <c r="E316" s="912">
        <v>1</v>
      </c>
      <c r="F316" s="912">
        <v>1</v>
      </c>
      <c r="G316" s="1041">
        <v>1</v>
      </c>
      <c r="H316" s="820">
        <f t="shared" si="754"/>
        <v>1</v>
      </c>
      <c r="I316" s="1030">
        <v>2</v>
      </c>
      <c r="J316" s="912">
        <v>3</v>
      </c>
      <c r="K316" s="912">
        <v>3</v>
      </c>
      <c r="L316" s="1041">
        <v>4</v>
      </c>
      <c r="M316" s="820">
        <f t="shared" si="755"/>
        <v>4</v>
      </c>
      <c r="N316" s="1030">
        <v>5</v>
      </c>
      <c r="O316" s="912">
        <v>5</v>
      </c>
      <c r="P316" s="912">
        <v>5</v>
      </c>
      <c r="Q316" s="1041">
        <v>6</v>
      </c>
      <c r="R316" s="1714">
        <f t="shared" si="743"/>
        <v>6</v>
      </c>
      <c r="S316" s="1030">
        <v>6</v>
      </c>
      <c r="T316" s="912">
        <v>7</v>
      </c>
      <c r="U316" s="912">
        <v>7</v>
      </c>
      <c r="V316" s="912">
        <v>8</v>
      </c>
      <c r="W316" s="1716">
        <f t="shared" si="744"/>
        <v>8</v>
      </c>
      <c r="X316" s="2791">
        <v>8</v>
      </c>
      <c r="Y316" s="2791">
        <v>11</v>
      </c>
      <c r="Z316" s="2791">
        <v>12</v>
      </c>
      <c r="AA316" s="2791">
        <v>16</v>
      </c>
      <c r="AB316" s="1716">
        <f t="shared" si="745"/>
        <v>16</v>
      </c>
      <c r="AC316" s="1715">
        <f>AA316*(1+AC$884)</f>
        <v>16.16</v>
      </c>
      <c r="AD316" s="1715">
        <f t="shared" si="774"/>
        <v>16.318840158367816</v>
      </c>
      <c r="AE316" s="3665">
        <v>20</v>
      </c>
      <c r="AF316" s="3665">
        <v>23</v>
      </c>
      <c r="AG316" s="1716">
        <f t="shared" si="747"/>
        <v>23</v>
      </c>
      <c r="AH316" s="1715">
        <f t="shared" si="769"/>
        <v>23.344999999999999</v>
      </c>
      <c r="AI316" s="1715">
        <f t="shared" si="770"/>
        <v>23.695174999999995</v>
      </c>
      <c r="AJ316" s="1715">
        <f t="shared" si="771"/>
        <v>24.050602624999993</v>
      </c>
      <c r="AK316" s="1714">
        <f t="shared" si="772"/>
        <v>24.41136166437499</v>
      </c>
      <c r="AL316" s="1714">
        <f t="shared" si="763"/>
        <v>24.41136166437499</v>
      </c>
      <c r="AM316" s="1716">
        <f t="shared" si="773"/>
        <v>25.509872939271862</v>
      </c>
      <c r="AN316" s="1716">
        <f t="shared" si="773"/>
        <v>26.275169127450017</v>
      </c>
    </row>
    <row r="317" spans="1:40">
      <c r="A317" s="130" t="str">
        <f>A$17</f>
        <v>Hampton Inn (Upper Mid)</v>
      </c>
      <c r="B317" s="1030">
        <v>0</v>
      </c>
      <c r="C317" s="508">
        <v>0</v>
      </c>
      <c r="D317" s="1030">
        <v>0</v>
      </c>
      <c r="E317" s="912">
        <v>0</v>
      </c>
      <c r="F317" s="912">
        <v>0</v>
      </c>
      <c r="G317" s="1041">
        <v>0</v>
      </c>
      <c r="H317" s="820">
        <f t="shared" si="754"/>
        <v>0</v>
      </c>
      <c r="I317" s="1030">
        <v>0</v>
      </c>
      <c r="J317" s="912">
        <v>0</v>
      </c>
      <c r="K317" s="912">
        <v>0</v>
      </c>
      <c r="L317" s="1041">
        <v>0</v>
      </c>
      <c r="M317" s="820">
        <f t="shared" si="755"/>
        <v>0</v>
      </c>
      <c r="N317" s="1030">
        <v>0</v>
      </c>
      <c r="O317" s="912">
        <v>0</v>
      </c>
      <c r="P317" s="912">
        <v>0</v>
      </c>
      <c r="Q317" s="1041">
        <v>0</v>
      </c>
      <c r="R317" s="1714">
        <f t="shared" si="743"/>
        <v>0</v>
      </c>
      <c r="S317" s="1030">
        <v>0</v>
      </c>
      <c r="T317" s="912">
        <v>0</v>
      </c>
      <c r="U317" s="912">
        <v>0</v>
      </c>
      <c r="V317" s="912">
        <v>0</v>
      </c>
      <c r="W317" s="1716">
        <f t="shared" si="744"/>
        <v>0</v>
      </c>
      <c r="X317" s="2791">
        <v>0</v>
      </c>
      <c r="Y317" s="2791">
        <v>0</v>
      </c>
      <c r="Z317" s="2791">
        <v>0</v>
      </c>
      <c r="AA317" s="2791">
        <v>0</v>
      </c>
      <c r="AB317" s="1716">
        <f t="shared" si="745"/>
        <v>0</v>
      </c>
      <c r="AC317" s="1715">
        <f>AA317*(1+AC$884)</f>
        <v>0</v>
      </c>
      <c r="AD317" s="1715">
        <f t="shared" si="774"/>
        <v>0</v>
      </c>
      <c r="AE317" s="3665">
        <f t="shared" si="774"/>
        <v>0</v>
      </c>
      <c r="AF317" s="1714">
        <f t="shared" si="774"/>
        <v>0</v>
      </c>
      <c r="AG317" s="1714">
        <f t="shared" si="747"/>
        <v>0</v>
      </c>
      <c r="AH317" s="1715">
        <f t="shared" si="769"/>
        <v>0</v>
      </c>
      <c r="AI317" s="1715">
        <f t="shared" si="770"/>
        <v>0</v>
      </c>
      <c r="AJ317" s="1715">
        <f t="shared" si="771"/>
        <v>0</v>
      </c>
      <c r="AK317" s="1714">
        <f t="shared" si="772"/>
        <v>0</v>
      </c>
      <c r="AL317" s="1714">
        <f t="shared" si="763"/>
        <v>0</v>
      </c>
      <c r="AM317" s="1716">
        <f t="shared" si="773"/>
        <v>0</v>
      </c>
      <c r="AN317" s="1716">
        <f t="shared" si="773"/>
        <v>0</v>
      </c>
    </row>
    <row r="318" spans="1:40">
      <c r="A318" s="130" t="s">
        <v>1408</v>
      </c>
      <c r="B318" s="1030">
        <v>0</v>
      </c>
      <c r="C318" s="508">
        <v>0</v>
      </c>
      <c r="D318" s="1030">
        <v>0</v>
      </c>
      <c r="E318" s="912">
        <v>0</v>
      </c>
      <c r="F318" s="912">
        <v>0</v>
      </c>
      <c r="G318" s="1041">
        <v>0</v>
      </c>
      <c r="H318" s="820">
        <f t="shared" si="754"/>
        <v>0</v>
      </c>
      <c r="I318" s="1030">
        <v>0</v>
      </c>
      <c r="J318" s="912">
        <v>0</v>
      </c>
      <c r="K318" s="912">
        <v>0</v>
      </c>
      <c r="L318" s="1041">
        <v>0</v>
      </c>
      <c r="M318" s="820">
        <f t="shared" si="755"/>
        <v>0</v>
      </c>
      <c r="N318" s="1030">
        <v>0</v>
      </c>
      <c r="O318" s="912">
        <v>0</v>
      </c>
      <c r="P318" s="912">
        <v>0</v>
      </c>
      <c r="Q318" s="1041">
        <v>0</v>
      </c>
      <c r="R318" s="1714">
        <f t="shared" si="743"/>
        <v>0</v>
      </c>
      <c r="S318" s="1030">
        <v>0</v>
      </c>
      <c r="T318" s="912">
        <v>0</v>
      </c>
      <c r="U318" s="912">
        <v>0</v>
      </c>
      <c r="V318" s="912">
        <v>0</v>
      </c>
      <c r="W318" s="1716">
        <f t="shared" si="744"/>
        <v>0</v>
      </c>
      <c r="X318" s="2791">
        <v>0</v>
      </c>
      <c r="Y318" s="2791">
        <v>0</v>
      </c>
      <c r="Z318" s="2791">
        <v>0</v>
      </c>
      <c r="AA318" s="2791">
        <v>0</v>
      </c>
      <c r="AB318" s="1716">
        <f t="shared" si="745"/>
        <v>0</v>
      </c>
      <c r="AC318" s="1715">
        <f>AA318*(1+AC$884)</f>
        <v>0</v>
      </c>
      <c r="AD318" s="1715">
        <f t="shared" si="774"/>
        <v>0</v>
      </c>
      <c r="AE318" s="3665">
        <f t="shared" si="774"/>
        <v>0</v>
      </c>
      <c r="AF318" s="1714">
        <f t="shared" si="774"/>
        <v>0</v>
      </c>
      <c r="AG318" s="1714">
        <f t="shared" si="747"/>
        <v>0</v>
      </c>
      <c r="AH318" s="1715">
        <f t="shared" si="769"/>
        <v>0</v>
      </c>
      <c r="AI318" s="1715">
        <f t="shared" si="770"/>
        <v>0</v>
      </c>
      <c r="AJ318" s="1715">
        <f t="shared" si="771"/>
        <v>0</v>
      </c>
      <c r="AK318" s="1714">
        <f t="shared" si="772"/>
        <v>0</v>
      </c>
      <c r="AL318" s="1714">
        <f t="shared" si="763"/>
        <v>0</v>
      </c>
      <c r="AM318" s="1716">
        <f t="shared" si="773"/>
        <v>0</v>
      </c>
      <c r="AN318" s="1716">
        <f t="shared" si="773"/>
        <v>0</v>
      </c>
    </row>
    <row r="319" spans="1:40">
      <c r="A319" s="130" t="str">
        <f>$A$90</f>
        <v>Tru by Hilton</v>
      </c>
      <c r="B319" s="1030"/>
      <c r="C319" s="508"/>
      <c r="D319" s="1030"/>
      <c r="E319" s="912"/>
      <c r="F319" s="912"/>
      <c r="G319" s="1041"/>
      <c r="H319" s="820"/>
      <c r="I319" s="1030"/>
      <c r="J319" s="912"/>
      <c r="K319" s="912"/>
      <c r="L319" s="1041"/>
      <c r="M319" s="820"/>
      <c r="N319" s="1030"/>
      <c r="O319" s="912"/>
      <c r="P319" s="912"/>
      <c r="Q319" s="1041"/>
      <c r="R319" s="820"/>
      <c r="S319" s="1030"/>
      <c r="T319" s="912"/>
      <c r="U319" s="912"/>
      <c r="V319" s="912"/>
      <c r="W319" s="398"/>
      <c r="X319" s="2791"/>
      <c r="Y319" s="2791"/>
      <c r="Z319" s="2791"/>
      <c r="AA319" s="2791"/>
      <c r="AB319" s="398"/>
      <c r="AC319" s="1715">
        <f t="shared" ref="AC319:AC320" si="775">AA319*(1+AC$884)</f>
        <v>0</v>
      </c>
      <c r="AD319" s="1715">
        <f t="shared" ref="AD319:AF319" si="776">AC319*(1+AD$884)</f>
        <v>0</v>
      </c>
      <c r="AE319" s="3665">
        <f t="shared" si="776"/>
        <v>0</v>
      </c>
      <c r="AF319" s="1714">
        <f t="shared" si="776"/>
        <v>0</v>
      </c>
      <c r="AG319" s="1714">
        <f t="shared" ref="AG319:AG320" si="777">AF319</f>
        <v>0</v>
      </c>
      <c r="AH319" s="1715">
        <f t="shared" si="769"/>
        <v>0</v>
      </c>
      <c r="AI319" s="1715">
        <f t="shared" si="770"/>
        <v>0</v>
      </c>
      <c r="AJ319" s="1715">
        <f t="shared" si="771"/>
        <v>0</v>
      </c>
      <c r="AK319" s="1714">
        <f t="shared" si="772"/>
        <v>0</v>
      </c>
      <c r="AL319" s="1714">
        <f t="shared" si="763"/>
        <v>0</v>
      </c>
      <c r="AM319" s="1716">
        <f t="shared" ref="AM319:AN319" si="778">AL319*(1+AM$883)</f>
        <v>0</v>
      </c>
      <c r="AN319" s="1716">
        <f t="shared" si="778"/>
        <v>0</v>
      </c>
    </row>
    <row r="320" spans="1:40">
      <c r="A320" s="130" t="str">
        <f>$A$91</f>
        <v>Tapestry Collection by Hilton</v>
      </c>
      <c r="B320" s="1030"/>
      <c r="C320" s="508"/>
      <c r="D320" s="1030"/>
      <c r="E320" s="912"/>
      <c r="F320" s="912"/>
      <c r="G320" s="1041"/>
      <c r="H320" s="820"/>
      <c r="I320" s="1030"/>
      <c r="J320" s="912"/>
      <c r="K320" s="912"/>
      <c r="L320" s="1041"/>
      <c r="M320" s="820"/>
      <c r="N320" s="1030"/>
      <c r="O320" s="912"/>
      <c r="P320" s="912"/>
      <c r="Q320" s="1041"/>
      <c r="R320" s="820"/>
      <c r="S320" s="1030"/>
      <c r="T320" s="912"/>
      <c r="U320" s="912"/>
      <c r="V320" s="912"/>
      <c r="W320" s="398"/>
      <c r="X320" s="2791"/>
      <c r="Y320" s="2791"/>
      <c r="Z320" s="2791"/>
      <c r="AA320" s="2791"/>
      <c r="AB320" s="398"/>
      <c r="AC320" s="1715">
        <f t="shared" si="775"/>
        <v>0</v>
      </c>
      <c r="AD320" s="1715">
        <f t="shared" ref="AD320:AF320" si="779">AC320*(1+AD$884)</f>
        <v>0</v>
      </c>
      <c r="AE320" s="3665">
        <f t="shared" si="779"/>
        <v>0</v>
      </c>
      <c r="AF320" s="1714">
        <f t="shared" si="779"/>
        <v>0</v>
      </c>
      <c r="AG320" s="1714">
        <f t="shared" si="777"/>
        <v>0</v>
      </c>
      <c r="AH320" s="1715">
        <f t="shared" si="769"/>
        <v>0</v>
      </c>
      <c r="AI320" s="1715">
        <f t="shared" si="770"/>
        <v>0</v>
      </c>
      <c r="AJ320" s="1715">
        <f t="shared" si="771"/>
        <v>0</v>
      </c>
      <c r="AK320" s="1714">
        <f t="shared" si="772"/>
        <v>0</v>
      </c>
      <c r="AL320" s="1714">
        <f t="shared" si="763"/>
        <v>0</v>
      </c>
      <c r="AM320" s="1716">
        <f t="shared" ref="AM320:AN320" si="780">AL320*(1+AM$883)</f>
        <v>0</v>
      </c>
      <c r="AN320" s="1716">
        <f t="shared" si="780"/>
        <v>0</v>
      </c>
    </row>
    <row r="321" spans="1:40" s="5" customFormat="1" ht="15">
      <c r="A321" s="402" t="str">
        <f>A$21</f>
        <v>Homewood Suites by Hilton (Upscale)</v>
      </c>
      <c r="B321" s="1031">
        <v>0</v>
      </c>
      <c r="C321" s="1029">
        <v>0</v>
      </c>
      <c r="D321" s="1031">
        <v>0</v>
      </c>
      <c r="E321" s="1039">
        <v>0</v>
      </c>
      <c r="F321" s="1039">
        <v>0</v>
      </c>
      <c r="G321" s="1042">
        <v>0</v>
      </c>
      <c r="H321" s="700">
        <f t="shared" si="754"/>
        <v>0</v>
      </c>
      <c r="I321" s="1031">
        <v>0</v>
      </c>
      <c r="J321" s="1039">
        <v>0</v>
      </c>
      <c r="K321" s="1039">
        <v>0</v>
      </c>
      <c r="L321" s="1042">
        <v>0</v>
      </c>
      <c r="M321" s="700">
        <f t="shared" si="755"/>
        <v>0</v>
      </c>
      <c r="N321" s="1031">
        <v>0</v>
      </c>
      <c r="O321" s="1039">
        <v>0</v>
      </c>
      <c r="P321" s="1039">
        <v>0</v>
      </c>
      <c r="Q321" s="1042">
        <v>0</v>
      </c>
      <c r="R321" s="1711">
        <f t="shared" si="743"/>
        <v>0</v>
      </c>
      <c r="S321" s="1031">
        <v>0</v>
      </c>
      <c r="T321" s="1039">
        <v>0</v>
      </c>
      <c r="U321" s="1039">
        <v>0</v>
      </c>
      <c r="V321" s="1039">
        <v>0</v>
      </c>
      <c r="W321" s="1713">
        <f t="shared" si="744"/>
        <v>0</v>
      </c>
      <c r="X321" s="2793">
        <v>0</v>
      </c>
      <c r="Y321" s="2793">
        <v>0</v>
      </c>
      <c r="Z321" s="2793">
        <v>0</v>
      </c>
      <c r="AA321" s="2793">
        <v>0</v>
      </c>
      <c r="AB321" s="1713">
        <f t="shared" si="745"/>
        <v>0</v>
      </c>
      <c r="AC321" s="1712">
        <f>AA321*(1+AC$884)</f>
        <v>0</v>
      </c>
      <c r="AD321" s="1712">
        <f>AC321*(1+AD$884)</f>
        <v>0</v>
      </c>
      <c r="AE321" s="4001">
        <f>AD321*(1+AE$884)</f>
        <v>0</v>
      </c>
      <c r="AF321" s="1711">
        <f>AE321*(1+AF$884)</f>
        <v>0</v>
      </c>
      <c r="AG321" s="1711">
        <f t="shared" si="747"/>
        <v>0</v>
      </c>
      <c r="AH321" s="1712">
        <f t="shared" si="769"/>
        <v>0</v>
      </c>
      <c r="AI321" s="1712">
        <f t="shared" si="770"/>
        <v>0</v>
      </c>
      <c r="AJ321" s="1712">
        <f>AI321*(1+AJ$884)</f>
        <v>0</v>
      </c>
      <c r="AK321" s="1711">
        <f>AJ321*(1+AK$884)</f>
        <v>0</v>
      </c>
      <c r="AL321" s="1711">
        <f t="shared" si="763"/>
        <v>0</v>
      </c>
      <c r="AM321" s="1713">
        <f>AL321*(1+AM$883)</f>
        <v>0</v>
      </c>
      <c r="AN321" s="1713">
        <f>AM321*(1+AN$883)</f>
        <v>0</v>
      </c>
    </row>
    <row r="322" spans="1:40">
      <c r="A322" s="482" t="s">
        <v>1687</v>
      </c>
      <c r="B322" s="1032">
        <f>SUM(B309:B321)</f>
        <v>54</v>
      </c>
      <c r="C322" s="400">
        <f>SUM(C309:C321)</f>
        <v>66</v>
      </c>
      <c r="D322" s="1032">
        <f t="shared" ref="D322:R322" si="781">SUM(D309:D321)</f>
        <v>69</v>
      </c>
      <c r="E322" s="405">
        <f t="shared" si="781"/>
        <v>70</v>
      </c>
      <c r="F322" s="405">
        <f t="shared" si="781"/>
        <v>70</v>
      </c>
      <c r="G322" s="821">
        <f t="shared" si="781"/>
        <v>74</v>
      </c>
      <c r="H322" s="821">
        <f t="shared" si="781"/>
        <v>74</v>
      </c>
      <c r="I322" s="1032">
        <f t="shared" si="781"/>
        <v>77</v>
      </c>
      <c r="J322" s="405">
        <f t="shared" si="781"/>
        <v>83</v>
      </c>
      <c r="K322" s="405">
        <f t="shared" si="781"/>
        <v>85</v>
      </c>
      <c r="L322" s="821">
        <f>SUM(L309:L321)</f>
        <v>91</v>
      </c>
      <c r="M322" s="821">
        <f>SUM(M309:M321)</f>
        <v>91</v>
      </c>
      <c r="N322" s="1032">
        <f t="shared" si="781"/>
        <v>96</v>
      </c>
      <c r="O322" s="405">
        <f t="shared" si="781"/>
        <v>97</v>
      </c>
      <c r="P322" s="405">
        <f>SUM(P309:P321)</f>
        <v>101</v>
      </c>
      <c r="Q322" s="821">
        <f>SUM(Q309:Q321)</f>
        <v>113</v>
      </c>
      <c r="R322" s="821">
        <f t="shared" si="781"/>
        <v>113</v>
      </c>
      <c r="S322" s="1032">
        <f t="shared" ref="S322:AN322" si="782">SUM(S309:S321)</f>
        <v>112</v>
      </c>
      <c r="T322" s="405">
        <f t="shared" si="782"/>
        <v>114</v>
      </c>
      <c r="U322" s="405">
        <f t="shared" si="782"/>
        <v>123</v>
      </c>
      <c r="V322" s="405">
        <f t="shared" si="782"/>
        <v>130</v>
      </c>
      <c r="W322" s="400">
        <f t="shared" si="782"/>
        <v>130</v>
      </c>
      <c r="X322" s="399">
        <f t="shared" si="782"/>
        <v>131</v>
      </c>
      <c r="Y322" s="399">
        <f t="shared" si="782"/>
        <v>136</v>
      </c>
      <c r="Z322" s="399">
        <f>SUM(Z309:Z321)</f>
        <v>143</v>
      </c>
      <c r="AA322" s="399">
        <f>SUM(AA309:AA321)</f>
        <v>154</v>
      </c>
      <c r="AB322" s="400">
        <f t="shared" si="782"/>
        <v>154</v>
      </c>
      <c r="AC322" s="399">
        <f t="shared" si="782"/>
        <v>155.54</v>
      </c>
      <c r="AD322" s="399">
        <f t="shared" si="782"/>
        <v>156.3586951781638</v>
      </c>
      <c r="AE322" s="399">
        <f t="shared" si="782"/>
        <v>166</v>
      </c>
      <c r="AF322" s="821">
        <f t="shared" si="782"/>
        <v>176</v>
      </c>
      <c r="AG322" s="400">
        <f t="shared" si="782"/>
        <v>176</v>
      </c>
      <c r="AH322" s="399">
        <f t="shared" si="782"/>
        <v>178.60999999999999</v>
      </c>
      <c r="AI322" s="399">
        <f t="shared" si="782"/>
        <v>181.25914999999998</v>
      </c>
      <c r="AJ322" s="399">
        <f t="shared" ref="AJ322:AL322" si="783">SUM(AJ309:AJ321)</f>
        <v>183.94803724999994</v>
      </c>
      <c r="AK322" s="821">
        <f t="shared" si="783"/>
        <v>186.67725780874991</v>
      </c>
      <c r="AL322" s="400">
        <f t="shared" si="783"/>
        <v>186.67725780874991</v>
      </c>
      <c r="AM322" s="821">
        <f t="shared" si="782"/>
        <v>194.98773441014364</v>
      </c>
      <c r="AN322" s="821">
        <f t="shared" si="782"/>
        <v>200.77736644244797</v>
      </c>
    </row>
    <row r="323" spans="1:40">
      <c r="A323" s="130"/>
      <c r="B323" s="1033"/>
      <c r="C323" s="398"/>
      <c r="D323" s="1033"/>
      <c r="E323" s="406"/>
      <c r="F323" s="406"/>
      <c r="G323" s="820"/>
      <c r="H323" s="820"/>
      <c r="I323" s="1033"/>
      <c r="J323" s="406"/>
      <c r="K323" s="406"/>
      <c r="L323" s="820"/>
      <c r="M323" s="820"/>
      <c r="N323" s="401"/>
      <c r="O323" s="406"/>
      <c r="P323" s="406"/>
      <c r="Q323" s="820"/>
      <c r="R323" s="820"/>
      <c r="S323" s="1033"/>
      <c r="T323" s="406"/>
      <c r="U323" s="406"/>
      <c r="V323" s="406"/>
      <c r="W323" s="398"/>
      <c r="X323" s="401"/>
      <c r="Y323" s="401"/>
      <c r="Z323" s="401"/>
      <c r="AA323" s="401"/>
      <c r="AB323" s="398"/>
      <c r="AC323" s="401"/>
      <c r="AD323" s="401"/>
      <c r="AE323" s="401"/>
      <c r="AF323" s="820"/>
      <c r="AG323" s="398"/>
      <c r="AH323" s="401"/>
      <c r="AI323" s="401"/>
      <c r="AJ323" s="401"/>
      <c r="AK323" s="820"/>
      <c r="AL323" s="398"/>
      <c r="AM323" s="820"/>
      <c r="AN323" s="820"/>
    </row>
    <row r="324" spans="1:40">
      <c r="A324" s="295" t="s">
        <v>1284</v>
      </c>
      <c r="B324" s="1033"/>
      <c r="C324" s="398"/>
      <c r="D324" s="1033"/>
      <c r="E324" s="406"/>
      <c r="F324" s="406"/>
      <c r="G324" s="820"/>
      <c r="H324" s="820"/>
      <c r="I324" s="1033"/>
      <c r="J324" s="406"/>
      <c r="K324" s="406"/>
      <c r="L324" s="820"/>
      <c r="M324" s="820"/>
      <c r="N324" s="401"/>
      <c r="O324" s="406"/>
      <c r="P324" s="406"/>
      <c r="Q324" s="820"/>
      <c r="R324" s="820"/>
      <c r="S324" s="1033"/>
      <c r="T324" s="406"/>
      <c r="U324" s="406"/>
      <c r="V324" s="406"/>
      <c r="W324" s="398"/>
      <c r="X324" s="401"/>
      <c r="Y324" s="401"/>
      <c r="Z324" s="401"/>
      <c r="AA324" s="401"/>
      <c r="AB324" s="398"/>
      <c r="AC324" s="401"/>
      <c r="AD324" s="401"/>
      <c r="AE324" s="401"/>
      <c r="AF324" s="820"/>
      <c r="AG324" s="398"/>
      <c r="AH324" s="401"/>
      <c r="AI324" s="401"/>
      <c r="AJ324" s="401"/>
      <c r="AK324" s="820"/>
      <c r="AL324" s="398"/>
      <c r="AM324" s="820"/>
      <c r="AN324" s="820"/>
    </row>
    <row r="325" spans="1:40">
      <c r="A325" s="130" t="str">
        <f>A$9</f>
        <v>Waldorf Astoria Hotels &amp; Resorts (Luxury)</v>
      </c>
      <c r="B325" s="1030">
        <v>0</v>
      </c>
      <c r="C325" s="508">
        <v>0</v>
      </c>
      <c r="D325" s="1030">
        <v>0</v>
      </c>
      <c r="E325" s="912">
        <v>0</v>
      </c>
      <c r="F325" s="912">
        <v>0</v>
      </c>
      <c r="G325" s="1041">
        <v>0</v>
      </c>
      <c r="H325" s="820">
        <f>G325</f>
        <v>0</v>
      </c>
      <c r="I325" s="1030">
        <v>0</v>
      </c>
      <c r="J325" s="912">
        <v>0</v>
      </c>
      <c r="K325" s="912">
        <v>0</v>
      </c>
      <c r="L325" s="1041">
        <v>0</v>
      </c>
      <c r="M325" s="820">
        <f>L325</f>
        <v>0</v>
      </c>
      <c r="N325" s="1030">
        <v>0</v>
      </c>
      <c r="O325" s="912">
        <v>0</v>
      </c>
      <c r="P325" s="912">
        <v>0</v>
      </c>
      <c r="Q325" s="1041">
        <v>0</v>
      </c>
      <c r="R325" s="820">
        <f t="shared" ref="R325:R337" si="784">Q325</f>
        <v>0</v>
      </c>
      <c r="S325" s="1030">
        <v>0</v>
      </c>
      <c r="T325" s="912">
        <v>0</v>
      </c>
      <c r="U325" s="912">
        <v>0</v>
      </c>
      <c r="V325" s="912">
        <v>0</v>
      </c>
      <c r="W325" s="398">
        <f t="shared" ref="W325:W337" si="785">V325</f>
        <v>0</v>
      </c>
      <c r="X325" s="2791">
        <v>0</v>
      </c>
      <c r="Y325" s="2791">
        <v>0</v>
      </c>
      <c r="Z325" s="2791">
        <v>0</v>
      </c>
      <c r="AA325" s="2791">
        <v>0</v>
      </c>
      <c r="AB325" s="398">
        <f t="shared" ref="AB325:AB337" si="786">AA325</f>
        <v>0</v>
      </c>
      <c r="AC325" s="406">
        <f>AA325*(1+AC$913)</f>
        <v>0</v>
      </c>
      <c r="AD325" s="406">
        <f t="shared" ref="AD325:AF326" si="787">AC325*(1+AD$913)</f>
        <v>0</v>
      </c>
      <c r="AE325" s="3665">
        <v>0</v>
      </c>
      <c r="AF325" s="406">
        <f t="shared" si="787"/>
        <v>0</v>
      </c>
      <c r="AG325" s="398">
        <f t="shared" ref="AG325:AG337" si="788">AF325</f>
        <v>0</v>
      </c>
      <c r="AH325" s="406">
        <f t="shared" ref="AH325:AH326" si="789">AG325*(1+AH$913)</f>
        <v>0</v>
      </c>
      <c r="AI325" s="406">
        <f t="shared" ref="AI325:AI326" si="790">AH325*(1+AI$913)</f>
        <v>0</v>
      </c>
      <c r="AJ325" s="406">
        <f t="shared" ref="AJ325:AJ326" si="791">AI325*(1+AJ$913)</f>
        <v>0</v>
      </c>
      <c r="AK325" s="820">
        <f t="shared" ref="AK325:AK326" si="792">AJ325*(1+AK$913)</f>
        <v>0</v>
      </c>
      <c r="AL325" s="820">
        <f t="shared" ref="AL325:AL326" si="793">AK325</f>
        <v>0</v>
      </c>
      <c r="AM325" s="398">
        <f t="shared" ref="AM325:AN326" si="794">AL325*(1+AM$912)</f>
        <v>0</v>
      </c>
      <c r="AN325" s="398">
        <f t="shared" si="794"/>
        <v>0</v>
      </c>
    </row>
    <row r="326" spans="1:40">
      <c r="A326" s="130" t="str">
        <f>A$10</f>
        <v>Conrad Hotels &amp; Resorts (Luxury)</v>
      </c>
      <c r="B326" s="1030">
        <v>0</v>
      </c>
      <c r="C326" s="508">
        <v>0</v>
      </c>
      <c r="D326" s="1030">
        <v>0</v>
      </c>
      <c r="E326" s="912">
        <v>1</v>
      </c>
      <c r="F326" s="912">
        <v>1</v>
      </c>
      <c r="G326" s="1041">
        <v>1</v>
      </c>
      <c r="H326" s="820">
        <f t="shared" ref="H326:H337" si="795">G326</f>
        <v>1</v>
      </c>
      <c r="I326" s="1030">
        <v>1</v>
      </c>
      <c r="J326" s="912">
        <v>1</v>
      </c>
      <c r="K326" s="912">
        <v>1</v>
      </c>
      <c r="L326" s="1041">
        <v>1</v>
      </c>
      <c r="M326" s="820">
        <f t="shared" ref="M326:M337" si="796">L326</f>
        <v>1</v>
      </c>
      <c r="N326" s="1030">
        <v>1</v>
      </c>
      <c r="O326" s="912">
        <v>1</v>
      </c>
      <c r="P326" s="912">
        <v>1</v>
      </c>
      <c r="Q326" s="1041">
        <v>1</v>
      </c>
      <c r="R326" s="820">
        <f t="shared" si="784"/>
        <v>1</v>
      </c>
      <c r="S326" s="1030">
        <v>1</v>
      </c>
      <c r="T326" s="912">
        <v>1</v>
      </c>
      <c r="U326" s="912">
        <v>1</v>
      </c>
      <c r="V326" s="912">
        <v>1</v>
      </c>
      <c r="W326" s="398">
        <f t="shared" si="785"/>
        <v>1</v>
      </c>
      <c r="X326" s="2791">
        <v>1</v>
      </c>
      <c r="Y326" s="2791">
        <v>1</v>
      </c>
      <c r="Z326" s="2791">
        <v>2</v>
      </c>
      <c r="AA326" s="2791">
        <v>2</v>
      </c>
      <c r="AB326" s="398">
        <f t="shared" si="786"/>
        <v>2</v>
      </c>
      <c r="AC326" s="406">
        <f>AA326*(1+AC$913)</f>
        <v>2.0299999999999998</v>
      </c>
      <c r="AD326" s="406">
        <f t="shared" si="787"/>
        <v>2.0807499999999997</v>
      </c>
      <c r="AE326" s="3665">
        <v>2</v>
      </c>
      <c r="AF326" s="3665">
        <v>2</v>
      </c>
      <c r="AG326" s="398">
        <f t="shared" si="788"/>
        <v>2</v>
      </c>
      <c r="AH326" s="406">
        <f t="shared" si="789"/>
        <v>2.02</v>
      </c>
      <c r="AI326" s="406">
        <f t="shared" si="790"/>
        <v>2.0402</v>
      </c>
      <c r="AJ326" s="406">
        <f t="shared" si="791"/>
        <v>2.0708029999999997</v>
      </c>
      <c r="AK326" s="820">
        <f t="shared" si="792"/>
        <v>2.1018650449999994</v>
      </c>
      <c r="AL326" s="820">
        <f t="shared" si="793"/>
        <v>2.1018650449999994</v>
      </c>
      <c r="AM326" s="398">
        <f t="shared" si="794"/>
        <v>2.2279769476999993</v>
      </c>
      <c r="AN326" s="398">
        <f t="shared" si="794"/>
        <v>2.3393757950849996</v>
      </c>
    </row>
    <row r="327" spans="1:40">
      <c r="A327" s="1828" t="s">
        <v>3022</v>
      </c>
      <c r="B327" s="1030"/>
      <c r="C327" s="508"/>
      <c r="D327" s="1030"/>
      <c r="E327" s="912"/>
      <c r="F327" s="912"/>
      <c r="G327" s="1041"/>
      <c r="H327" s="820"/>
      <c r="I327" s="1030"/>
      <c r="J327" s="912"/>
      <c r="K327" s="912"/>
      <c r="L327" s="1041"/>
      <c r="M327" s="820"/>
      <c r="N327" s="1030"/>
      <c r="O327" s="912"/>
      <c r="P327" s="912"/>
      <c r="Q327" s="1041"/>
      <c r="R327" s="820"/>
      <c r="S327" s="1030"/>
      <c r="T327" s="912"/>
      <c r="U327" s="912"/>
      <c r="V327" s="912"/>
      <c r="W327" s="398"/>
      <c r="X327" s="2787"/>
      <c r="Y327" s="2791"/>
      <c r="Z327" s="2791"/>
      <c r="AA327" s="2791">
        <v>0</v>
      </c>
      <c r="AB327" s="398">
        <f t="shared" ref="AB327:AG327" si="797">+AA327</f>
        <v>0</v>
      </c>
      <c r="AC327" s="2944">
        <f t="shared" si="797"/>
        <v>0</v>
      </c>
      <c r="AD327" s="406">
        <f t="shared" si="797"/>
        <v>0</v>
      </c>
      <c r="AE327" s="3665">
        <v>0</v>
      </c>
      <c r="AF327" s="406">
        <f t="shared" si="797"/>
        <v>0</v>
      </c>
      <c r="AG327" s="398">
        <f t="shared" si="797"/>
        <v>0</v>
      </c>
      <c r="AH327" s="406">
        <f t="shared" ref="AH327" si="798">+AG327</f>
        <v>0</v>
      </c>
      <c r="AI327" s="406">
        <f t="shared" ref="AI327" si="799">+AH327</f>
        <v>0</v>
      </c>
      <c r="AJ327" s="406">
        <f t="shared" ref="AJ327" si="800">+AI327</f>
        <v>0</v>
      </c>
      <c r="AK327" s="820">
        <f t="shared" ref="AK327" si="801">+AJ327</f>
        <v>0</v>
      </c>
      <c r="AL327" s="398">
        <f t="shared" ref="AL327" si="802">+AK327</f>
        <v>0</v>
      </c>
      <c r="AM327" s="398">
        <f>AL327</f>
        <v>0</v>
      </c>
      <c r="AN327" s="398">
        <f>AM327</f>
        <v>0</v>
      </c>
    </row>
    <row r="328" spans="1:40">
      <c r="A328" s="130" t="str">
        <f>A$12</f>
        <v>Hilton Hotels &amp; Resorts (Upper Up)</v>
      </c>
      <c r="B328" s="1030">
        <v>7</v>
      </c>
      <c r="C328" s="508">
        <v>7</v>
      </c>
      <c r="D328" s="1030">
        <v>7</v>
      </c>
      <c r="E328" s="912">
        <v>7</v>
      </c>
      <c r="F328" s="912">
        <v>7</v>
      </c>
      <c r="G328" s="1041">
        <v>7</v>
      </c>
      <c r="H328" s="820">
        <f t="shared" si="795"/>
        <v>7</v>
      </c>
      <c r="I328" s="1030">
        <v>7</v>
      </c>
      <c r="J328" s="912">
        <v>7</v>
      </c>
      <c r="K328" s="912">
        <v>7</v>
      </c>
      <c r="L328" s="1041">
        <v>8</v>
      </c>
      <c r="M328" s="820">
        <f t="shared" si="796"/>
        <v>8</v>
      </c>
      <c r="N328" s="1030">
        <v>8</v>
      </c>
      <c r="O328" s="912">
        <v>8</v>
      </c>
      <c r="P328" s="912">
        <v>8</v>
      </c>
      <c r="Q328" s="1041">
        <v>8</v>
      </c>
      <c r="R328" s="820">
        <f t="shared" si="784"/>
        <v>8</v>
      </c>
      <c r="S328" s="1030">
        <v>8</v>
      </c>
      <c r="T328" s="912">
        <v>8</v>
      </c>
      <c r="U328" s="912">
        <v>8</v>
      </c>
      <c r="V328" s="912">
        <v>8</v>
      </c>
      <c r="W328" s="398">
        <f t="shared" si="785"/>
        <v>8</v>
      </c>
      <c r="X328" s="2791">
        <v>8</v>
      </c>
      <c r="Y328" s="2791">
        <v>8</v>
      </c>
      <c r="Z328" s="2791">
        <v>7</v>
      </c>
      <c r="AA328" s="2791">
        <v>7</v>
      </c>
      <c r="AB328" s="398">
        <f t="shared" si="786"/>
        <v>7</v>
      </c>
      <c r="AC328" s="406">
        <f>AA328*(1+AC$913)</f>
        <v>7.1049999999999995</v>
      </c>
      <c r="AD328" s="406">
        <f>AC328*(1+AD$913)</f>
        <v>7.2826249999999986</v>
      </c>
      <c r="AE328" s="3665">
        <v>7</v>
      </c>
      <c r="AF328" s="3665">
        <v>7</v>
      </c>
      <c r="AG328" s="398">
        <f t="shared" si="788"/>
        <v>7</v>
      </c>
      <c r="AH328" s="406">
        <f t="shared" ref="AH328:AI328" si="803">AG328*(1+AH$913)</f>
        <v>7.07</v>
      </c>
      <c r="AI328" s="406">
        <f t="shared" si="803"/>
        <v>7.1407000000000007</v>
      </c>
      <c r="AJ328" s="406">
        <f>AI328*(1+AJ$913)</f>
        <v>7.2478104999999999</v>
      </c>
      <c r="AK328" s="820">
        <f>AJ328*(1+AK$913)</f>
        <v>7.3565276574999992</v>
      </c>
      <c r="AL328" s="820">
        <f t="shared" ref="AL328:AL337" si="804">AK328</f>
        <v>7.3565276574999992</v>
      </c>
      <c r="AM328" s="398">
        <f>AL328*(1+AM$912)</f>
        <v>7.7979193169499998</v>
      </c>
      <c r="AN328" s="398">
        <f>AM328*(1+AN$912)</f>
        <v>8.1878152827974997</v>
      </c>
    </row>
    <row r="329" spans="1:40">
      <c r="A329" s="130" t="str">
        <f>A$13</f>
        <v xml:space="preserve">Curio - A Collection by Hilton </v>
      </c>
      <c r="B329" s="1030"/>
      <c r="C329" s="508"/>
      <c r="D329" s="1030"/>
      <c r="E329" s="912"/>
      <c r="F329" s="912"/>
      <c r="G329" s="1041"/>
      <c r="H329" s="820"/>
      <c r="I329" s="1030"/>
      <c r="J329" s="912"/>
      <c r="K329" s="912"/>
      <c r="L329" s="1041"/>
      <c r="M329" s="820"/>
      <c r="N329" s="1030"/>
      <c r="O329" s="912"/>
      <c r="P329" s="912"/>
      <c r="Q329" s="1041"/>
      <c r="R329" s="820"/>
      <c r="S329" s="1030">
        <v>0</v>
      </c>
      <c r="T329" s="912">
        <v>0</v>
      </c>
      <c r="U329" s="912">
        <v>0</v>
      </c>
      <c r="V329" s="912">
        <v>0</v>
      </c>
      <c r="W329" s="398">
        <f t="shared" si="785"/>
        <v>0</v>
      </c>
      <c r="X329" s="2792">
        <v>0</v>
      </c>
      <c r="Y329" s="2792">
        <v>0</v>
      </c>
      <c r="Z329" s="2792">
        <v>0</v>
      </c>
      <c r="AA329" s="2792">
        <v>0</v>
      </c>
      <c r="AB329" s="398">
        <f t="shared" si="786"/>
        <v>0</v>
      </c>
      <c r="AC329" s="401">
        <f>AA329</f>
        <v>0</v>
      </c>
      <c r="AD329" s="401">
        <f>AC329</f>
        <v>0</v>
      </c>
      <c r="AE329" s="3666">
        <v>0</v>
      </c>
      <c r="AF329" s="406">
        <f>AE329</f>
        <v>0</v>
      </c>
      <c r="AG329" s="398">
        <f t="shared" si="788"/>
        <v>0</v>
      </c>
      <c r="AH329" s="401">
        <f t="shared" ref="AH329:AI329" si="805">AG329</f>
        <v>0</v>
      </c>
      <c r="AI329" s="401">
        <f t="shared" si="805"/>
        <v>0</v>
      </c>
      <c r="AJ329" s="401">
        <f>AI329</f>
        <v>0</v>
      </c>
      <c r="AK329" s="820">
        <f>AJ329</f>
        <v>0</v>
      </c>
      <c r="AL329" s="820">
        <f t="shared" si="804"/>
        <v>0</v>
      </c>
      <c r="AM329" s="398">
        <f>AL329</f>
        <v>0</v>
      </c>
      <c r="AN329" s="398">
        <f>AM329</f>
        <v>0</v>
      </c>
    </row>
    <row r="330" spans="1:40">
      <c r="A330" s="130" t="str">
        <f>A$14</f>
        <v>DoubleTree by Hilton (Upscale)</v>
      </c>
      <c r="B330" s="1030">
        <v>0</v>
      </c>
      <c r="C330" s="508">
        <v>0</v>
      </c>
      <c r="D330" s="1030">
        <v>1</v>
      </c>
      <c r="E330" s="912">
        <v>1</v>
      </c>
      <c r="F330" s="912">
        <v>1</v>
      </c>
      <c r="G330" s="1041">
        <v>1</v>
      </c>
      <c r="H330" s="820">
        <f t="shared" si="795"/>
        <v>1</v>
      </c>
      <c r="I330" s="1030">
        <v>1</v>
      </c>
      <c r="J330" s="912">
        <v>1</v>
      </c>
      <c r="K330" s="912">
        <v>2</v>
      </c>
      <c r="L330" s="1041">
        <v>2</v>
      </c>
      <c r="M330" s="820">
        <f t="shared" si="796"/>
        <v>2</v>
      </c>
      <c r="N330" s="1030">
        <v>2</v>
      </c>
      <c r="O330" s="912">
        <v>2</v>
      </c>
      <c r="P330" s="912">
        <v>2</v>
      </c>
      <c r="Q330" s="1041">
        <v>2</v>
      </c>
      <c r="R330" s="820">
        <f t="shared" si="784"/>
        <v>2</v>
      </c>
      <c r="S330" s="1030">
        <v>2</v>
      </c>
      <c r="T330" s="912">
        <v>2</v>
      </c>
      <c r="U330" s="912">
        <v>2</v>
      </c>
      <c r="V330" s="912">
        <v>2</v>
      </c>
      <c r="W330" s="398">
        <f t="shared" si="785"/>
        <v>2</v>
      </c>
      <c r="X330" s="2791">
        <v>2</v>
      </c>
      <c r="Y330" s="2791">
        <v>2</v>
      </c>
      <c r="Z330" s="2791">
        <v>2</v>
      </c>
      <c r="AA330" s="2791">
        <v>2</v>
      </c>
      <c r="AB330" s="398">
        <f t="shared" si="786"/>
        <v>2</v>
      </c>
      <c r="AC330" s="406">
        <f>AA330*(1+AC$913)</f>
        <v>2.0299999999999998</v>
      </c>
      <c r="AD330" s="406">
        <f t="shared" ref="AD330:AF334" si="806">AC330*(1+AD$913)</f>
        <v>2.0807499999999997</v>
      </c>
      <c r="AE330" s="3665">
        <v>2</v>
      </c>
      <c r="AF330" s="3665">
        <v>2</v>
      </c>
      <c r="AG330" s="398">
        <f t="shared" si="788"/>
        <v>2</v>
      </c>
      <c r="AH330" s="406">
        <f t="shared" ref="AH330:AH337" si="807">AG330*(1+AH$913)</f>
        <v>2.02</v>
      </c>
      <c r="AI330" s="406">
        <f t="shared" ref="AI330:AI337" si="808">AH330*(1+AI$913)</f>
        <v>2.0402</v>
      </c>
      <c r="AJ330" s="406">
        <f t="shared" ref="AJ330:AJ336" si="809">AI330*(1+AJ$913)</f>
        <v>2.0708029999999997</v>
      </c>
      <c r="AK330" s="820">
        <f t="shared" ref="AK330:AK336" si="810">AJ330*(1+AK$913)</f>
        <v>2.1018650449999994</v>
      </c>
      <c r="AL330" s="820">
        <f t="shared" si="804"/>
        <v>2.1018650449999994</v>
      </c>
      <c r="AM330" s="398">
        <f t="shared" ref="AM330:AN334" si="811">AL330*(1+AM$912)</f>
        <v>2.2279769476999993</v>
      </c>
      <c r="AN330" s="398">
        <f t="shared" si="811"/>
        <v>2.3393757950849996</v>
      </c>
    </row>
    <row r="331" spans="1:40">
      <c r="A331" s="130" t="str">
        <f>A$15</f>
        <v>Embassy Suites Hotels (Upper Up)</v>
      </c>
      <c r="B331" s="1030">
        <v>0</v>
      </c>
      <c r="C331" s="508">
        <v>0</v>
      </c>
      <c r="D331" s="1030">
        <v>0</v>
      </c>
      <c r="E331" s="912">
        <v>0</v>
      </c>
      <c r="F331" s="912">
        <v>0</v>
      </c>
      <c r="G331" s="1041">
        <v>0</v>
      </c>
      <c r="H331" s="820">
        <f t="shared" si="795"/>
        <v>0</v>
      </c>
      <c r="I331" s="1030">
        <v>0</v>
      </c>
      <c r="J331" s="912">
        <v>0</v>
      </c>
      <c r="K331" s="912">
        <v>0</v>
      </c>
      <c r="L331" s="1041">
        <v>0</v>
      </c>
      <c r="M331" s="820">
        <f t="shared" si="796"/>
        <v>0</v>
      </c>
      <c r="N331" s="1030">
        <v>0</v>
      </c>
      <c r="O331" s="912">
        <v>0</v>
      </c>
      <c r="P331" s="912">
        <v>0</v>
      </c>
      <c r="Q331" s="1041">
        <v>0</v>
      </c>
      <c r="R331" s="820">
        <f t="shared" si="784"/>
        <v>0</v>
      </c>
      <c r="S331" s="1030">
        <v>0</v>
      </c>
      <c r="T331" s="912">
        <v>0</v>
      </c>
      <c r="U331" s="912">
        <v>0</v>
      </c>
      <c r="V331" s="912">
        <v>0</v>
      </c>
      <c r="W331" s="398">
        <f t="shared" si="785"/>
        <v>0</v>
      </c>
      <c r="X331" s="2791">
        <v>0</v>
      </c>
      <c r="Y331" s="2791">
        <v>0</v>
      </c>
      <c r="Z331" s="2791">
        <v>0</v>
      </c>
      <c r="AA331" s="2791">
        <v>0</v>
      </c>
      <c r="AB331" s="398">
        <f t="shared" si="786"/>
        <v>0</v>
      </c>
      <c r="AC331" s="406">
        <f>AA331*(1+AC$913)</f>
        <v>0</v>
      </c>
      <c r="AD331" s="406">
        <f t="shared" si="806"/>
        <v>0</v>
      </c>
      <c r="AE331" s="3665">
        <v>0</v>
      </c>
      <c r="AF331" s="406">
        <f t="shared" si="806"/>
        <v>0</v>
      </c>
      <c r="AG331" s="398">
        <f t="shared" si="788"/>
        <v>0</v>
      </c>
      <c r="AH331" s="406">
        <f t="shared" si="807"/>
        <v>0</v>
      </c>
      <c r="AI331" s="406">
        <f t="shared" si="808"/>
        <v>0</v>
      </c>
      <c r="AJ331" s="406">
        <f t="shared" si="809"/>
        <v>0</v>
      </c>
      <c r="AK331" s="820">
        <f t="shared" si="810"/>
        <v>0</v>
      </c>
      <c r="AL331" s="820">
        <f t="shared" si="804"/>
        <v>0</v>
      </c>
      <c r="AM331" s="398">
        <f t="shared" si="811"/>
        <v>0</v>
      </c>
      <c r="AN331" s="398">
        <f t="shared" si="811"/>
        <v>0</v>
      </c>
    </row>
    <row r="332" spans="1:40">
      <c r="A332" s="130" t="str">
        <f>A$16</f>
        <v>Hilton Garden Inn (Upscale)</v>
      </c>
      <c r="B332" s="1030">
        <v>0</v>
      </c>
      <c r="C332" s="508">
        <v>0</v>
      </c>
      <c r="D332" s="1030">
        <v>0</v>
      </c>
      <c r="E332" s="912">
        <v>0</v>
      </c>
      <c r="F332" s="912">
        <v>0</v>
      </c>
      <c r="G332" s="1041">
        <v>0</v>
      </c>
      <c r="H332" s="820">
        <f t="shared" si="795"/>
        <v>0</v>
      </c>
      <c r="I332" s="1030">
        <v>0</v>
      </c>
      <c r="J332" s="912">
        <v>0</v>
      </c>
      <c r="K332" s="912">
        <v>0</v>
      </c>
      <c r="L332" s="1041">
        <v>0</v>
      </c>
      <c r="M332" s="820">
        <f t="shared" si="796"/>
        <v>0</v>
      </c>
      <c r="N332" s="1030">
        <v>0</v>
      </c>
      <c r="O332" s="912">
        <v>0</v>
      </c>
      <c r="P332" s="912">
        <v>0</v>
      </c>
      <c r="Q332" s="1041">
        <v>0</v>
      </c>
      <c r="R332" s="820">
        <f t="shared" si="784"/>
        <v>0</v>
      </c>
      <c r="S332" s="1030">
        <v>0</v>
      </c>
      <c r="T332" s="912">
        <v>0</v>
      </c>
      <c r="U332" s="912">
        <v>0</v>
      </c>
      <c r="V332" s="912">
        <v>0</v>
      </c>
      <c r="W332" s="398">
        <f t="shared" si="785"/>
        <v>0</v>
      </c>
      <c r="X332" s="2791">
        <v>0</v>
      </c>
      <c r="Y332" s="2791">
        <v>0</v>
      </c>
      <c r="Z332" s="2791">
        <v>0</v>
      </c>
      <c r="AA332" s="2791">
        <v>0</v>
      </c>
      <c r="AB332" s="398">
        <f t="shared" si="786"/>
        <v>0</v>
      </c>
      <c r="AC332" s="406">
        <f>AA332*(1+AC$913)</f>
        <v>0</v>
      </c>
      <c r="AD332" s="406">
        <f t="shared" si="806"/>
        <v>0</v>
      </c>
      <c r="AE332" s="3665">
        <v>0</v>
      </c>
      <c r="AF332" s="406">
        <f t="shared" si="806"/>
        <v>0</v>
      </c>
      <c r="AG332" s="398">
        <f t="shared" si="788"/>
        <v>0</v>
      </c>
      <c r="AH332" s="406">
        <f t="shared" si="807"/>
        <v>0</v>
      </c>
      <c r="AI332" s="406">
        <f t="shared" si="808"/>
        <v>0</v>
      </c>
      <c r="AJ332" s="406">
        <f t="shared" si="809"/>
        <v>0</v>
      </c>
      <c r="AK332" s="820">
        <f t="shared" si="810"/>
        <v>0</v>
      </c>
      <c r="AL332" s="820">
        <f t="shared" si="804"/>
        <v>0</v>
      </c>
      <c r="AM332" s="398">
        <f t="shared" si="811"/>
        <v>0</v>
      </c>
      <c r="AN332" s="398">
        <f t="shared" si="811"/>
        <v>0</v>
      </c>
    </row>
    <row r="333" spans="1:40">
      <c r="A333" s="130" t="str">
        <f>A$17</f>
        <v>Hampton Inn (Upper Mid)</v>
      </c>
      <c r="B333" s="1030">
        <v>0</v>
      </c>
      <c r="C333" s="508">
        <v>1</v>
      </c>
      <c r="D333" s="1030">
        <v>1</v>
      </c>
      <c r="E333" s="912">
        <v>1</v>
      </c>
      <c r="F333" s="912">
        <v>1</v>
      </c>
      <c r="G333" s="1041">
        <v>1</v>
      </c>
      <c r="H333" s="820">
        <f t="shared" si="795"/>
        <v>1</v>
      </c>
      <c r="I333" s="1030">
        <v>1</v>
      </c>
      <c r="J333" s="912">
        <v>1</v>
      </c>
      <c r="K333" s="912">
        <v>1</v>
      </c>
      <c r="L333" s="1041">
        <v>1</v>
      </c>
      <c r="M333" s="820">
        <f t="shared" si="796"/>
        <v>1</v>
      </c>
      <c r="N333" s="1030">
        <v>1</v>
      </c>
      <c r="O333" s="912">
        <v>1</v>
      </c>
      <c r="P333" s="912">
        <v>1</v>
      </c>
      <c r="Q333" s="1041">
        <v>1</v>
      </c>
      <c r="R333" s="820">
        <f t="shared" si="784"/>
        <v>1</v>
      </c>
      <c r="S333" s="1030">
        <v>1</v>
      </c>
      <c r="T333" s="912">
        <v>1</v>
      </c>
      <c r="U333" s="912">
        <v>1</v>
      </c>
      <c r="V333" s="912">
        <v>2</v>
      </c>
      <c r="W333" s="398">
        <f t="shared" si="785"/>
        <v>2</v>
      </c>
      <c r="X333" s="2791">
        <v>3</v>
      </c>
      <c r="Y333" s="2791">
        <v>4</v>
      </c>
      <c r="Z333" s="2791">
        <v>7</v>
      </c>
      <c r="AA333" s="2791">
        <v>9</v>
      </c>
      <c r="AB333" s="398">
        <f t="shared" si="786"/>
        <v>9</v>
      </c>
      <c r="AC333" s="406">
        <f>AA333*(1+AC$913)</f>
        <v>9.1349999999999998</v>
      </c>
      <c r="AD333" s="406">
        <f t="shared" si="806"/>
        <v>9.3633749999999996</v>
      </c>
      <c r="AE333" s="3665">
        <v>20</v>
      </c>
      <c r="AF333" s="3665">
        <v>25</v>
      </c>
      <c r="AG333" s="398">
        <f t="shared" si="788"/>
        <v>25</v>
      </c>
      <c r="AH333" s="406">
        <f t="shared" si="807"/>
        <v>25.25</v>
      </c>
      <c r="AI333" s="406">
        <f t="shared" si="808"/>
        <v>25.502500000000001</v>
      </c>
      <c r="AJ333" s="406">
        <f t="shared" si="809"/>
        <v>25.885037499999999</v>
      </c>
      <c r="AK333" s="820">
        <f t="shared" si="810"/>
        <v>26.273313062499998</v>
      </c>
      <c r="AL333" s="820">
        <f t="shared" si="804"/>
        <v>26.273313062499998</v>
      </c>
      <c r="AM333" s="398">
        <f t="shared" si="811"/>
        <v>27.849711846249999</v>
      </c>
      <c r="AN333" s="398">
        <f t="shared" si="811"/>
        <v>29.242197438562499</v>
      </c>
    </row>
    <row r="334" spans="1:40">
      <c r="A334" s="130" t="s">
        <v>1408</v>
      </c>
      <c r="B334" s="1030">
        <v>0</v>
      </c>
      <c r="C334" s="508">
        <v>0</v>
      </c>
      <c r="D334" s="1030">
        <v>0</v>
      </c>
      <c r="E334" s="912">
        <v>0</v>
      </c>
      <c r="F334" s="912">
        <v>0</v>
      </c>
      <c r="G334" s="1041">
        <v>0</v>
      </c>
      <c r="H334" s="820">
        <f t="shared" si="795"/>
        <v>0</v>
      </c>
      <c r="I334" s="1030">
        <v>0</v>
      </c>
      <c r="J334" s="912">
        <v>0</v>
      </c>
      <c r="K334" s="912">
        <v>0</v>
      </c>
      <c r="L334" s="1041">
        <v>0</v>
      </c>
      <c r="M334" s="820">
        <f t="shared" si="796"/>
        <v>0</v>
      </c>
      <c r="N334" s="1030">
        <v>0</v>
      </c>
      <c r="O334" s="912">
        <v>0</v>
      </c>
      <c r="P334" s="912">
        <v>0</v>
      </c>
      <c r="Q334" s="1041">
        <v>0</v>
      </c>
      <c r="R334" s="820">
        <f t="shared" si="784"/>
        <v>0</v>
      </c>
      <c r="S334" s="1030">
        <v>0</v>
      </c>
      <c r="T334" s="912">
        <v>0</v>
      </c>
      <c r="U334" s="912">
        <v>0</v>
      </c>
      <c r="V334" s="912">
        <v>0</v>
      </c>
      <c r="W334" s="398">
        <f t="shared" si="785"/>
        <v>0</v>
      </c>
      <c r="X334" s="2791">
        <v>0</v>
      </c>
      <c r="Y334" s="2791">
        <v>0</v>
      </c>
      <c r="Z334" s="2791">
        <v>0</v>
      </c>
      <c r="AA334" s="2791">
        <v>0</v>
      </c>
      <c r="AB334" s="398">
        <f t="shared" si="786"/>
        <v>0</v>
      </c>
      <c r="AC334" s="406">
        <f>AA334*(1+AC$913)</f>
        <v>0</v>
      </c>
      <c r="AD334" s="406">
        <f t="shared" si="806"/>
        <v>0</v>
      </c>
      <c r="AE334" s="3665">
        <v>0</v>
      </c>
      <c r="AF334" s="820">
        <f t="shared" si="806"/>
        <v>0</v>
      </c>
      <c r="AG334" s="820">
        <f t="shared" si="788"/>
        <v>0</v>
      </c>
      <c r="AH334" s="406">
        <f t="shared" si="807"/>
        <v>0</v>
      </c>
      <c r="AI334" s="406">
        <f t="shared" si="808"/>
        <v>0</v>
      </c>
      <c r="AJ334" s="406">
        <f t="shared" si="809"/>
        <v>0</v>
      </c>
      <c r="AK334" s="820">
        <f t="shared" si="810"/>
        <v>0</v>
      </c>
      <c r="AL334" s="820">
        <f t="shared" si="804"/>
        <v>0</v>
      </c>
      <c r="AM334" s="398">
        <f t="shared" si="811"/>
        <v>0</v>
      </c>
      <c r="AN334" s="398">
        <f t="shared" si="811"/>
        <v>0</v>
      </c>
    </row>
    <row r="335" spans="1:40">
      <c r="A335" s="130" t="str">
        <f>$A$90</f>
        <v>Tru by Hilton</v>
      </c>
      <c r="B335" s="1030"/>
      <c r="C335" s="508"/>
      <c r="D335" s="1030"/>
      <c r="E335" s="912"/>
      <c r="F335" s="912"/>
      <c r="G335" s="1041"/>
      <c r="H335" s="820"/>
      <c r="I335" s="1030"/>
      <c r="J335" s="912"/>
      <c r="K335" s="912"/>
      <c r="L335" s="1041"/>
      <c r="M335" s="820"/>
      <c r="N335" s="1030"/>
      <c r="O335" s="912"/>
      <c r="P335" s="912"/>
      <c r="Q335" s="1041"/>
      <c r="R335" s="820"/>
      <c r="S335" s="1030"/>
      <c r="T335" s="912"/>
      <c r="U335" s="912"/>
      <c r="V335" s="912"/>
      <c r="W335" s="398"/>
      <c r="X335" s="2791"/>
      <c r="Y335" s="2791"/>
      <c r="Z335" s="2791"/>
      <c r="AA335" s="2791"/>
      <c r="AB335" s="398"/>
      <c r="AC335" s="406">
        <f t="shared" ref="AC335:AC336" si="812">AA335*(1+AC$913)</f>
        <v>0</v>
      </c>
      <c r="AD335" s="406">
        <f t="shared" ref="AD335:AF335" si="813">AC335*(1+AD$913)</f>
        <v>0</v>
      </c>
      <c r="AE335" s="3665">
        <v>0</v>
      </c>
      <c r="AF335" s="820">
        <f t="shared" si="813"/>
        <v>0</v>
      </c>
      <c r="AG335" s="820">
        <f t="shared" ref="AG335:AG336" si="814">AF335</f>
        <v>0</v>
      </c>
      <c r="AH335" s="406">
        <f t="shared" si="807"/>
        <v>0</v>
      </c>
      <c r="AI335" s="406">
        <f t="shared" si="808"/>
        <v>0</v>
      </c>
      <c r="AJ335" s="406">
        <f t="shared" si="809"/>
        <v>0</v>
      </c>
      <c r="AK335" s="820">
        <f t="shared" si="810"/>
        <v>0</v>
      </c>
      <c r="AL335" s="820">
        <f t="shared" si="804"/>
        <v>0</v>
      </c>
      <c r="AM335" s="398">
        <f t="shared" ref="AM335:AN335" si="815">AL335*(1+AM$912)</f>
        <v>0</v>
      </c>
      <c r="AN335" s="398">
        <f t="shared" si="815"/>
        <v>0</v>
      </c>
    </row>
    <row r="336" spans="1:40">
      <c r="A336" s="130" t="str">
        <f>$A$91</f>
        <v>Tapestry Collection by Hilton</v>
      </c>
      <c r="B336" s="1030"/>
      <c r="C336" s="508"/>
      <c r="D336" s="1030"/>
      <c r="E336" s="912"/>
      <c r="F336" s="912"/>
      <c r="G336" s="1041"/>
      <c r="H336" s="820"/>
      <c r="I336" s="1030"/>
      <c r="J336" s="912"/>
      <c r="K336" s="912"/>
      <c r="L336" s="1041"/>
      <c r="M336" s="820"/>
      <c r="N336" s="1030"/>
      <c r="O336" s="912"/>
      <c r="P336" s="912"/>
      <c r="Q336" s="1041"/>
      <c r="R336" s="820"/>
      <c r="S336" s="1030"/>
      <c r="T336" s="912"/>
      <c r="U336" s="912"/>
      <c r="V336" s="912"/>
      <c r="W336" s="398"/>
      <c r="X336" s="2791"/>
      <c r="Y336" s="2791"/>
      <c r="Z336" s="2791"/>
      <c r="AA336" s="2791"/>
      <c r="AB336" s="398"/>
      <c r="AC336" s="406">
        <f t="shared" si="812"/>
        <v>0</v>
      </c>
      <c r="AD336" s="406">
        <f t="shared" ref="AD336:AF336" si="816">AC336*(1+AD$913)</f>
        <v>0</v>
      </c>
      <c r="AE336" s="3665">
        <v>0</v>
      </c>
      <c r="AF336" s="820">
        <f t="shared" si="816"/>
        <v>0</v>
      </c>
      <c r="AG336" s="820">
        <f t="shared" si="814"/>
        <v>0</v>
      </c>
      <c r="AH336" s="406">
        <f t="shared" si="807"/>
        <v>0</v>
      </c>
      <c r="AI336" s="406">
        <f t="shared" si="808"/>
        <v>0</v>
      </c>
      <c r="AJ336" s="406">
        <f t="shared" si="809"/>
        <v>0</v>
      </c>
      <c r="AK336" s="820">
        <f t="shared" si="810"/>
        <v>0</v>
      </c>
      <c r="AL336" s="820">
        <f t="shared" si="804"/>
        <v>0</v>
      </c>
      <c r="AM336" s="398">
        <f t="shared" ref="AM336:AN336" si="817">AL336*(1+AM$912)</f>
        <v>0</v>
      </c>
      <c r="AN336" s="398">
        <f t="shared" si="817"/>
        <v>0</v>
      </c>
    </row>
    <row r="337" spans="1:40" s="5" customFormat="1" ht="15" collapsed="1">
      <c r="A337" s="402" t="str">
        <f>A$21</f>
        <v>Homewood Suites by Hilton (Upscale)</v>
      </c>
      <c r="B337" s="1031">
        <v>0</v>
      </c>
      <c r="C337" s="1029">
        <v>0</v>
      </c>
      <c r="D337" s="1031">
        <v>0</v>
      </c>
      <c r="E337" s="1039">
        <v>0</v>
      </c>
      <c r="F337" s="1039">
        <v>0</v>
      </c>
      <c r="G337" s="1042">
        <v>0</v>
      </c>
      <c r="H337" s="700">
        <f t="shared" si="795"/>
        <v>0</v>
      </c>
      <c r="I337" s="1031">
        <v>0</v>
      </c>
      <c r="J337" s="1039">
        <v>0</v>
      </c>
      <c r="K337" s="1039">
        <v>0</v>
      </c>
      <c r="L337" s="1042">
        <v>0</v>
      </c>
      <c r="M337" s="700">
        <f t="shared" si="796"/>
        <v>0</v>
      </c>
      <c r="N337" s="1031">
        <v>0</v>
      </c>
      <c r="O337" s="1039">
        <v>0</v>
      </c>
      <c r="P337" s="1039">
        <v>0</v>
      </c>
      <c r="Q337" s="1042">
        <v>0</v>
      </c>
      <c r="R337" s="1711">
        <f t="shared" si="784"/>
        <v>0</v>
      </c>
      <c r="S337" s="1031">
        <v>0</v>
      </c>
      <c r="T337" s="1039">
        <v>0</v>
      </c>
      <c r="U337" s="1039">
        <v>0</v>
      </c>
      <c r="V337" s="1039">
        <v>0</v>
      </c>
      <c r="W337" s="1713">
        <f t="shared" si="785"/>
        <v>0</v>
      </c>
      <c r="X337" s="2793">
        <v>0</v>
      </c>
      <c r="Y337" s="2793">
        <v>0</v>
      </c>
      <c r="Z337" s="2793">
        <v>0</v>
      </c>
      <c r="AA337" s="2793">
        <v>0</v>
      </c>
      <c r="AB337" s="1713">
        <f t="shared" si="786"/>
        <v>0</v>
      </c>
      <c r="AC337" s="1712">
        <f>AA337*(1+AC$913)</f>
        <v>0</v>
      </c>
      <c r="AD337" s="1712">
        <f>AC337*(1+AD$913)</f>
        <v>0</v>
      </c>
      <c r="AE337" s="4001">
        <v>0</v>
      </c>
      <c r="AF337" s="1711">
        <f>AE337*(1+AF$913)</f>
        <v>0</v>
      </c>
      <c r="AG337" s="1711">
        <f t="shared" si="788"/>
        <v>0</v>
      </c>
      <c r="AH337" s="1712">
        <f t="shared" si="807"/>
        <v>0</v>
      </c>
      <c r="AI337" s="1712">
        <f t="shared" si="808"/>
        <v>0</v>
      </c>
      <c r="AJ337" s="1712">
        <f>AI337*(1+AJ$913)</f>
        <v>0</v>
      </c>
      <c r="AK337" s="1711">
        <f>AJ337*(1+AK$913)</f>
        <v>0</v>
      </c>
      <c r="AL337" s="1711">
        <f t="shared" si="804"/>
        <v>0</v>
      </c>
      <c r="AM337" s="1713">
        <f>AL337*(1+AM$912)</f>
        <v>0</v>
      </c>
      <c r="AN337" s="1713">
        <f>AM337*(1+AN$912)</f>
        <v>0</v>
      </c>
    </row>
    <row r="338" spans="1:40">
      <c r="A338" s="482" t="s">
        <v>1687</v>
      </c>
      <c r="B338" s="1032">
        <f>SUM(B325:B337)</f>
        <v>7</v>
      </c>
      <c r="C338" s="400">
        <f>SUM(C325:C337)</f>
        <v>8</v>
      </c>
      <c r="D338" s="1032">
        <f t="shared" ref="D338:R338" si="818">SUM(D325:D337)</f>
        <v>9</v>
      </c>
      <c r="E338" s="405">
        <f t="shared" si="818"/>
        <v>10</v>
      </c>
      <c r="F338" s="405">
        <f t="shared" si="818"/>
        <v>10</v>
      </c>
      <c r="G338" s="821">
        <f t="shared" si="818"/>
        <v>10</v>
      </c>
      <c r="H338" s="821">
        <f t="shared" si="818"/>
        <v>10</v>
      </c>
      <c r="I338" s="1032">
        <f t="shared" si="818"/>
        <v>10</v>
      </c>
      <c r="J338" s="405">
        <f t="shared" si="818"/>
        <v>10</v>
      </c>
      <c r="K338" s="405">
        <f t="shared" si="818"/>
        <v>11</v>
      </c>
      <c r="L338" s="821">
        <f>SUM(L325:L337)</f>
        <v>12</v>
      </c>
      <c r="M338" s="821">
        <f>SUM(M325:M337)</f>
        <v>12</v>
      </c>
      <c r="N338" s="1032">
        <f t="shared" si="818"/>
        <v>12</v>
      </c>
      <c r="O338" s="405">
        <f t="shared" si="818"/>
        <v>12</v>
      </c>
      <c r="P338" s="405">
        <f>SUM(P325:P337)</f>
        <v>12</v>
      </c>
      <c r="Q338" s="821">
        <f>SUM(Q325:Q337)</f>
        <v>12</v>
      </c>
      <c r="R338" s="821">
        <f t="shared" si="818"/>
        <v>12</v>
      </c>
      <c r="S338" s="1032">
        <f t="shared" ref="S338:AN338" si="819">SUM(S325:S337)</f>
        <v>12</v>
      </c>
      <c r="T338" s="405">
        <f t="shared" si="819"/>
        <v>12</v>
      </c>
      <c r="U338" s="405">
        <f t="shared" si="819"/>
        <v>12</v>
      </c>
      <c r="V338" s="405">
        <f t="shared" si="819"/>
        <v>13</v>
      </c>
      <c r="W338" s="400">
        <f t="shared" si="819"/>
        <v>13</v>
      </c>
      <c r="X338" s="399">
        <f t="shared" si="819"/>
        <v>14</v>
      </c>
      <c r="Y338" s="399">
        <f t="shared" si="819"/>
        <v>15</v>
      </c>
      <c r="Z338" s="399">
        <f>SUM(Z325:Z337)</f>
        <v>18</v>
      </c>
      <c r="AA338" s="399">
        <f>SUM(AA325:AA337)</f>
        <v>20</v>
      </c>
      <c r="AB338" s="400">
        <f t="shared" si="819"/>
        <v>20</v>
      </c>
      <c r="AC338" s="399">
        <f t="shared" si="819"/>
        <v>20.299999999999997</v>
      </c>
      <c r="AD338" s="399">
        <f t="shared" si="819"/>
        <v>20.807499999999997</v>
      </c>
      <c r="AE338" s="399">
        <f t="shared" si="819"/>
        <v>31</v>
      </c>
      <c r="AF338" s="821">
        <f t="shared" si="819"/>
        <v>36</v>
      </c>
      <c r="AG338" s="400">
        <f t="shared" si="819"/>
        <v>36</v>
      </c>
      <c r="AH338" s="399">
        <f t="shared" si="819"/>
        <v>36.36</v>
      </c>
      <c r="AI338" s="399">
        <f t="shared" si="819"/>
        <v>36.723600000000005</v>
      </c>
      <c r="AJ338" s="399">
        <f t="shared" ref="AJ338:AL338" si="820">SUM(AJ325:AJ337)</f>
        <v>37.274453999999999</v>
      </c>
      <c r="AK338" s="821">
        <f t="shared" si="820"/>
        <v>37.833570809999998</v>
      </c>
      <c r="AL338" s="400">
        <f t="shared" si="820"/>
        <v>37.833570809999998</v>
      </c>
      <c r="AM338" s="821">
        <f t="shared" si="819"/>
        <v>40.103585058599997</v>
      </c>
      <c r="AN338" s="821">
        <f t="shared" si="819"/>
        <v>42.108764311529995</v>
      </c>
    </row>
    <row r="339" spans="1:40">
      <c r="A339" s="130"/>
      <c r="B339" s="1033"/>
      <c r="C339" s="398"/>
      <c r="D339" s="1033"/>
      <c r="E339" s="406"/>
      <c r="F339" s="406"/>
      <c r="G339" s="820"/>
      <c r="H339" s="820"/>
      <c r="I339" s="1033"/>
      <c r="J339" s="406"/>
      <c r="K339" s="406"/>
      <c r="L339" s="820"/>
      <c r="M339" s="820"/>
      <c r="N339" s="401"/>
      <c r="O339" s="401"/>
      <c r="P339" s="401"/>
      <c r="Q339" s="820"/>
      <c r="R339" s="398"/>
      <c r="S339" s="401"/>
      <c r="T339" s="401"/>
      <c r="U339" s="401"/>
      <c r="V339" s="406"/>
      <c r="W339" s="398"/>
      <c r="X339" s="401"/>
      <c r="Y339" s="401"/>
      <c r="Z339" s="401"/>
      <c r="AA339" s="401"/>
      <c r="AB339" s="398"/>
      <c r="AC339" s="401"/>
      <c r="AD339" s="401"/>
      <c r="AE339" s="401"/>
      <c r="AF339" s="820"/>
      <c r="AG339" s="398"/>
      <c r="AH339" s="401"/>
      <c r="AI339" s="401"/>
      <c r="AJ339" s="401"/>
      <c r="AK339" s="820"/>
      <c r="AL339" s="398"/>
      <c r="AM339" s="820"/>
      <c r="AN339" s="820"/>
    </row>
    <row r="340" spans="1:40">
      <c r="A340" s="295" t="s">
        <v>1406</v>
      </c>
      <c r="B340" s="1033"/>
      <c r="C340" s="398"/>
      <c r="D340" s="1033"/>
      <c r="E340" s="406"/>
      <c r="F340" s="406"/>
      <c r="G340" s="820"/>
      <c r="H340" s="820"/>
      <c r="I340" s="1033"/>
      <c r="J340" s="406"/>
      <c r="K340" s="406"/>
      <c r="L340" s="820"/>
      <c r="M340" s="820"/>
      <c r="N340" s="401"/>
      <c r="O340" s="401"/>
      <c r="P340" s="401"/>
      <c r="Q340" s="820"/>
      <c r="R340" s="398"/>
      <c r="S340" s="401"/>
      <c r="T340" s="401"/>
      <c r="U340" s="401"/>
      <c r="V340" s="406"/>
      <c r="W340" s="398"/>
      <c r="X340" s="401"/>
      <c r="Y340" s="401"/>
      <c r="Z340" s="401"/>
      <c r="AA340" s="401"/>
      <c r="AB340" s="398"/>
      <c r="AC340" s="401"/>
      <c r="AD340" s="401"/>
      <c r="AE340" s="401"/>
      <c r="AF340" s="820"/>
      <c r="AG340" s="398"/>
      <c r="AH340" s="401"/>
      <c r="AI340" s="401"/>
      <c r="AJ340" s="401"/>
      <c r="AK340" s="820"/>
      <c r="AL340" s="398"/>
      <c r="AM340" s="820"/>
      <c r="AN340" s="820"/>
    </row>
    <row r="341" spans="1:40">
      <c r="A341" s="130" t="str">
        <f>A$9</f>
        <v>Waldorf Astoria Hotels &amp; Resorts (Luxury)</v>
      </c>
      <c r="B341" s="1033">
        <f>B325+B309+B293</f>
        <v>2</v>
      </c>
      <c r="C341" s="398">
        <f>C325+C309+C293</f>
        <v>2</v>
      </c>
      <c r="D341" s="1033">
        <f t="shared" ref="D341:S341" si="821">D325+D309+D293</f>
        <v>2</v>
      </c>
      <c r="E341" s="406">
        <f t="shared" si="821"/>
        <v>2</v>
      </c>
      <c r="F341" s="406">
        <f t="shared" si="821"/>
        <v>1</v>
      </c>
      <c r="G341" s="820">
        <f t="shared" si="821"/>
        <v>1</v>
      </c>
      <c r="H341" s="820">
        <f t="shared" si="821"/>
        <v>1</v>
      </c>
      <c r="I341" s="1033">
        <f t="shared" si="821"/>
        <v>1</v>
      </c>
      <c r="J341" s="406">
        <f t="shared" si="821"/>
        <v>1</v>
      </c>
      <c r="K341" s="406">
        <f t="shared" si="821"/>
        <v>1</v>
      </c>
      <c r="L341" s="820">
        <f t="shared" ref="L341:N342" si="822">L325+L309+L293</f>
        <v>1</v>
      </c>
      <c r="M341" s="820">
        <f t="shared" si="822"/>
        <v>1</v>
      </c>
      <c r="N341" s="1033">
        <f t="shared" si="822"/>
        <v>2</v>
      </c>
      <c r="O341" s="401">
        <f t="shared" si="821"/>
        <v>2</v>
      </c>
      <c r="P341" s="401">
        <f t="shared" si="821"/>
        <v>2</v>
      </c>
      <c r="Q341" s="820">
        <f t="shared" si="821"/>
        <v>2</v>
      </c>
      <c r="R341" s="398">
        <f t="shared" si="821"/>
        <v>2</v>
      </c>
      <c r="S341" s="401">
        <f t="shared" si="821"/>
        <v>2</v>
      </c>
      <c r="T341" s="401">
        <f t="shared" ref="T341:AN341" si="823">T325+T309+T293</f>
        <v>2</v>
      </c>
      <c r="U341" s="401">
        <f t="shared" si="823"/>
        <v>2</v>
      </c>
      <c r="V341" s="406">
        <f t="shared" si="823"/>
        <v>2</v>
      </c>
      <c r="W341" s="398">
        <f t="shared" si="823"/>
        <v>2</v>
      </c>
      <c r="X341" s="401">
        <f t="shared" si="823"/>
        <v>2</v>
      </c>
      <c r="Y341" s="401">
        <f t="shared" si="823"/>
        <v>2</v>
      </c>
      <c r="Z341" s="401">
        <f t="shared" si="823"/>
        <v>2</v>
      </c>
      <c r="AA341" s="401">
        <f t="shared" si="823"/>
        <v>2</v>
      </c>
      <c r="AB341" s="398">
        <f t="shared" si="823"/>
        <v>2</v>
      </c>
      <c r="AC341" s="3666">
        <v>2</v>
      </c>
      <c r="AD341" s="3666">
        <v>2</v>
      </c>
      <c r="AE341" s="401">
        <f t="shared" si="823"/>
        <v>3</v>
      </c>
      <c r="AF341" s="820">
        <f t="shared" si="823"/>
        <v>3</v>
      </c>
      <c r="AG341" s="398">
        <f t="shared" si="823"/>
        <v>3</v>
      </c>
      <c r="AH341" s="401">
        <f t="shared" si="823"/>
        <v>3.0449999999999999</v>
      </c>
      <c r="AI341" s="401">
        <f t="shared" si="823"/>
        <v>3.0906749999999996</v>
      </c>
      <c r="AJ341" s="401">
        <f t="shared" ref="AJ341:AL341" si="824">AJ325+AJ309+AJ293</f>
        <v>3.1370351249999993</v>
      </c>
      <c r="AK341" s="820">
        <f t="shared" si="824"/>
        <v>3.1840906518749987</v>
      </c>
      <c r="AL341" s="398">
        <f t="shared" si="824"/>
        <v>3.1840906518749987</v>
      </c>
      <c r="AM341" s="398">
        <f t="shared" si="823"/>
        <v>3.3273747312093733</v>
      </c>
      <c r="AN341" s="398">
        <f t="shared" si="823"/>
        <v>3.4271959731456545</v>
      </c>
    </row>
    <row r="342" spans="1:40">
      <c r="A342" s="130" t="str">
        <f>A$10</f>
        <v>Conrad Hotels &amp; Resorts (Luxury)</v>
      </c>
      <c r="B342" s="1033">
        <f>B326+B310+B294</f>
        <v>7</v>
      </c>
      <c r="C342" s="398">
        <f>C326+C310+C294</f>
        <v>8</v>
      </c>
      <c r="D342" s="1033">
        <f t="shared" ref="D342:S342" si="825">D326+D310+D294</f>
        <v>9</v>
      </c>
      <c r="E342" s="406">
        <f t="shared" si="825"/>
        <v>10</v>
      </c>
      <c r="F342" s="406">
        <f t="shared" si="825"/>
        <v>10</v>
      </c>
      <c r="G342" s="820">
        <f t="shared" si="825"/>
        <v>11</v>
      </c>
      <c r="H342" s="820">
        <f t="shared" si="825"/>
        <v>11</v>
      </c>
      <c r="I342" s="1033">
        <f t="shared" si="825"/>
        <v>12</v>
      </c>
      <c r="J342" s="406">
        <f t="shared" si="825"/>
        <v>12</v>
      </c>
      <c r="K342" s="406">
        <f t="shared" si="825"/>
        <v>12</v>
      </c>
      <c r="L342" s="820">
        <f t="shared" si="822"/>
        <v>12</v>
      </c>
      <c r="M342" s="820">
        <f t="shared" si="822"/>
        <v>12</v>
      </c>
      <c r="N342" s="1033">
        <f t="shared" si="822"/>
        <v>12</v>
      </c>
      <c r="O342" s="401">
        <f t="shared" si="825"/>
        <v>12</v>
      </c>
      <c r="P342" s="401">
        <f t="shared" si="825"/>
        <v>12</v>
      </c>
      <c r="Q342" s="820">
        <f t="shared" si="825"/>
        <v>12</v>
      </c>
      <c r="R342" s="398">
        <f t="shared" si="825"/>
        <v>12</v>
      </c>
      <c r="S342" s="401">
        <f t="shared" si="825"/>
        <v>12</v>
      </c>
      <c r="T342" s="401">
        <f t="shared" ref="T342:AN342" si="826">T326+T310+T294</f>
        <v>12</v>
      </c>
      <c r="U342" s="401">
        <f t="shared" si="826"/>
        <v>12</v>
      </c>
      <c r="V342" s="820">
        <f t="shared" si="826"/>
        <v>12</v>
      </c>
      <c r="W342" s="398">
        <f t="shared" si="826"/>
        <v>12</v>
      </c>
      <c r="X342" s="401">
        <f t="shared" si="826"/>
        <v>13</v>
      </c>
      <c r="Y342" s="401">
        <f t="shared" si="826"/>
        <v>14</v>
      </c>
      <c r="Z342" s="401">
        <f t="shared" si="826"/>
        <v>16</v>
      </c>
      <c r="AA342" s="401">
        <f t="shared" si="826"/>
        <v>16</v>
      </c>
      <c r="AB342" s="398">
        <f t="shared" si="826"/>
        <v>16</v>
      </c>
      <c r="AC342" s="3666">
        <v>16</v>
      </c>
      <c r="AD342" s="3666">
        <v>18</v>
      </c>
      <c r="AE342" s="401">
        <f t="shared" si="826"/>
        <v>18</v>
      </c>
      <c r="AF342" s="820">
        <f t="shared" si="826"/>
        <v>18</v>
      </c>
      <c r="AG342" s="398">
        <f t="shared" si="826"/>
        <v>18</v>
      </c>
      <c r="AH342" s="401">
        <f t="shared" si="826"/>
        <v>18.244999999999997</v>
      </c>
      <c r="AI342" s="401">
        <f t="shared" si="826"/>
        <v>18.493574999999996</v>
      </c>
      <c r="AJ342" s="401">
        <f t="shared" ref="AJ342:AL342" si="827">AJ326+AJ310+AJ294</f>
        <v>18.755978624999994</v>
      </c>
      <c r="AK342" s="820">
        <f t="shared" si="827"/>
        <v>19.022318304374991</v>
      </c>
      <c r="AL342" s="398">
        <f t="shared" si="827"/>
        <v>19.022318304374991</v>
      </c>
      <c r="AM342" s="398">
        <f t="shared" si="826"/>
        <v>19.864850603746866</v>
      </c>
      <c r="AN342" s="398">
        <f t="shared" si="826"/>
        <v>20.475355660813275</v>
      </c>
    </row>
    <row r="343" spans="1:40">
      <c r="A343" s="1828" t="s">
        <v>3022</v>
      </c>
      <c r="B343" s="1033"/>
      <c r="C343" s="398"/>
      <c r="D343" s="1033"/>
      <c r="E343" s="406"/>
      <c r="F343" s="406"/>
      <c r="G343" s="820"/>
      <c r="H343" s="820"/>
      <c r="I343" s="1033"/>
      <c r="J343" s="406"/>
      <c r="K343" s="406"/>
      <c r="L343" s="820"/>
      <c r="M343" s="820"/>
      <c r="N343" s="1033"/>
      <c r="O343" s="401"/>
      <c r="P343" s="401"/>
      <c r="Q343" s="820"/>
      <c r="R343" s="398"/>
      <c r="S343" s="401"/>
      <c r="T343" s="401"/>
      <c r="U343" s="401"/>
      <c r="V343" s="820"/>
      <c r="W343" s="398"/>
      <c r="X343" s="401"/>
      <c r="Y343" s="401"/>
      <c r="Z343" s="401"/>
      <c r="AA343" s="401">
        <f t="shared" ref="AA343:AN343" si="828">AA327+AA311+AA295</f>
        <v>0</v>
      </c>
      <c r="AB343" s="398">
        <f t="shared" si="828"/>
        <v>0</v>
      </c>
      <c r="AC343" s="3666">
        <v>0</v>
      </c>
      <c r="AD343" s="3666">
        <v>0</v>
      </c>
      <c r="AE343" s="401">
        <f t="shared" si="828"/>
        <v>0</v>
      </c>
      <c r="AF343" s="820">
        <f t="shared" si="828"/>
        <v>0</v>
      </c>
      <c r="AG343" s="398">
        <f t="shared" si="828"/>
        <v>0</v>
      </c>
      <c r="AH343" s="401">
        <f t="shared" si="828"/>
        <v>0</v>
      </c>
      <c r="AI343" s="401">
        <f t="shared" si="828"/>
        <v>0</v>
      </c>
      <c r="AJ343" s="401">
        <f t="shared" ref="AJ343:AL343" si="829">AJ327+AJ311+AJ295</f>
        <v>0</v>
      </c>
      <c r="AK343" s="820">
        <f t="shared" si="829"/>
        <v>0</v>
      </c>
      <c r="AL343" s="398">
        <f t="shared" si="829"/>
        <v>0</v>
      </c>
      <c r="AM343" s="398">
        <f t="shared" si="828"/>
        <v>0</v>
      </c>
      <c r="AN343" s="398">
        <f t="shared" si="828"/>
        <v>0</v>
      </c>
    </row>
    <row r="344" spans="1:40">
      <c r="A344" s="130" t="str">
        <f>A$12</f>
        <v>Hilton Hotels &amp; Resorts (Upper Up)</v>
      </c>
      <c r="B344" s="1033">
        <f>B328+B312+B296</f>
        <v>52</v>
      </c>
      <c r="C344" s="398">
        <f>C328+C312+C296</f>
        <v>59</v>
      </c>
      <c r="D344" s="1033">
        <f t="shared" ref="D344:K344" si="830">D328+D312+D296</f>
        <v>60</v>
      </c>
      <c r="E344" s="406">
        <f t="shared" si="830"/>
        <v>60</v>
      </c>
      <c r="F344" s="406">
        <f t="shared" si="830"/>
        <v>59</v>
      </c>
      <c r="G344" s="820">
        <f t="shared" si="830"/>
        <v>60</v>
      </c>
      <c r="H344" s="820">
        <f t="shared" si="830"/>
        <v>60</v>
      </c>
      <c r="I344" s="1033">
        <f t="shared" si="830"/>
        <v>61</v>
      </c>
      <c r="J344" s="406">
        <f t="shared" si="830"/>
        <v>62</v>
      </c>
      <c r="K344" s="406">
        <f t="shared" si="830"/>
        <v>63</v>
      </c>
      <c r="L344" s="820">
        <f t="shared" ref="L344:Z344" si="831">L328+L312+L296</f>
        <v>65</v>
      </c>
      <c r="M344" s="820">
        <f t="shared" si="831"/>
        <v>65</v>
      </c>
      <c r="N344" s="1033">
        <f t="shared" si="831"/>
        <v>67</v>
      </c>
      <c r="O344" s="401">
        <f t="shared" si="831"/>
        <v>68</v>
      </c>
      <c r="P344" s="401">
        <f t="shared" si="831"/>
        <v>70</v>
      </c>
      <c r="Q344" s="820">
        <f t="shared" si="831"/>
        <v>75</v>
      </c>
      <c r="R344" s="398">
        <f t="shared" si="831"/>
        <v>75</v>
      </c>
      <c r="S344" s="401">
        <f t="shared" si="831"/>
        <v>74</v>
      </c>
      <c r="T344" s="401">
        <f t="shared" si="831"/>
        <v>75</v>
      </c>
      <c r="U344" s="401">
        <f t="shared" si="831"/>
        <v>79</v>
      </c>
      <c r="V344" s="820">
        <f t="shared" si="831"/>
        <v>83</v>
      </c>
      <c r="W344" s="398">
        <f t="shared" si="831"/>
        <v>83</v>
      </c>
      <c r="X344" s="401">
        <f t="shared" si="831"/>
        <v>84</v>
      </c>
      <c r="Y344" s="401">
        <f t="shared" si="831"/>
        <v>85</v>
      </c>
      <c r="Z344" s="401">
        <f t="shared" si="831"/>
        <v>86</v>
      </c>
      <c r="AA344" s="401">
        <f t="shared" ref="AA344:AN344" si="832">AA328+AA312+AA296</f>
        <v>91</v>
      </c>
      <c r="AB344" s="398">
        <f t="shared" si="832"/>
        <v>91</v>
      </c>
      <c r="AC344" s="3666">
        <v>92</v>
      </c>
      <c r="AD344" s="3666">
        <v>94</v>
      </c>
      <c r="AE344" s="401">
        <f t="shared" si="832"/>
        <v>95</v>
      </c>
      <c r="AF344" s="820">
        <f t="shared" si="832"/>
        <v>98</v>
      </c>
      <c r="AG344" s="398">
        <f t="shared" si="832"/>
        <v>98</v>
      </c>
      <c r="AH344" s="401">
        <f t="shared" si="832"/>
        <v>99.329999999999984</v>
      </c>
      <c r="AI344" s="401">
        <f t="shared" si="832"/>
        <v>100.67959999999998</v>
      </c>
      <c r="AJ344" s="401">
        <f t="shared" ref="AJ344:AL344" si="833">AJ328+AJ312+AJ296</f>
        <v>102.08479399999997</v>
      </c>
      <c r="AK344" s="820">
        <f t="shared" si="833"/>
        <v>103.51106590999996</v>
      </c>
      <c r="AL344" s="398">
        <f t="shared" si="833"/>
        <v>103.51106590999996</v>
      </c>
      <c r="AM344" s="398">
        <f t="shared" si="832"/>
        <v>107.96441179081245</v>
      </c>
      <c r="AN344" s="398">
        <f t="shared" si="832"/>
        <v>111.14930253087583</v>
      </c>
    </row>
    <row r="345" spans="1:40">
      <c r="A345" s="130" t="str">
        <f>A$13</f>
        <v xml:space="preserve">Curio - A Collection by Hilton </v>
      </c>
      <c r="B345" s="1033"/>
      <c r="C345" s="398"/>
      <c r="D345" s="1033"/>
      <c r="E345" s="406"/>
      <c r="F345" s="406"/>
      <c r="G345" s="820"/>
      <c r="H345" s="820"/>
      <c r="I345" s="1033"/>
      <c r="J345" s="406"/>
      <c r="K345" s="406"/>
      <c r="L345" s="820"/>
      <c r="M345" s="820"/>
      <c r="N345" s="1033"/>
      <c r="O345" s="401"/>
      <c r="P345" s="401"/>
      <c r="Q345" s="820"/>
      <c r="R345" s="398"/>
      <c r="S345" s="401">
        <f t="shared" ref="S345:Z345" si="834">S329+S313+S297</f>
        <v>0</v>
      </c>
      <c r="T345" s="401">
        <f t="shared" si="834"/>
        <v>0</v>
      </c>
      <c r="U345" s="401">
        <f t="shared" si="834"/>
        <v>0</v>
      </c>
      <c r="V345" s="820">
        <f t="shared" si="834"/>
        <v>0</v>
      </c>
      <c r="W345" s="398">
        <f t="shared" si="834"/>
        <v>0</v>
      </c>
      <c r="X345" s="401">
        <f t="shared" si="834"/>
        <v>0</v>
      </c>
      <c r="Y345" s="401">
        <f t="shared" si="834"/>
        <v>0</v>
      </c>
      <c r="Z345" s="401">
        <f t="shared" si="834"/>
        <v>0</v>
      </c>
      <c r="AA345" s="401">
        <f t="shared" ref="AA345:AN345" si="835">AA329+AA313+AA297</f>
        <v>0</v>
      </c>
      <c r="AB345" s="398">
        <f t="shared" si="835"/>
        <v>0</v>
      </c>
      <c r="AC345" s="3666">
        <v>0</v>
      </c>
      <c r="AD345" s="3666">
        <v>1</v>
      </c>
      <c r="AE345" s="401">
        <f t="shared" si="835"/>
        <v>1</v>
      </c>
      <c r="AF345" s="820">
        <f t="shared" si="835"/>
        <v>2</v>
      </c>
      <c r="AG345" s="398">
        <f t="shared" si="835"/>
        <v>2</v>
      </c>
      <c r="AH345" s="401">
        <f t="shared" si="835"/>
        <v>2</v>
      </c>
      <c r="AI345" s="401">
        <f t="shared" si="835"/>
        <v>2</v>
      </c>
      <c r="AJ345" s="401">
        <f t="shared" ref="AJ345:AL345" si="836">AJ329+AJ313+AJ297</f>
        <v>2</v>
      </c>
      <c r="AK345" s="820">
        <f t="shared" si="836"/>
        <v>2</v>
      </c>
      <c r="AL345" s="398">
        <f t="shared" si="836"/>
        <v>2</v>
      </c>
      <c r="AM345" s="398">
        <f t="shared" si="835"/>
        <v>2</v>
      </c>
      <c r="AN345" s="398">
        <f t="shared" si="835"/>
        <v>2</v>
      </c>
    </row>
    <row r="346" spans="1:40">
      <c r="A346" s="130" t="str">
        <f>A$14</f>
        <v>DoubleTree by Hilton (Upscale)</v>
      </c>
      <c r="B346" s="1033">
        <f t="shared" ref="B346:C350" si="837">B330+B314+B298</f>
        <v>7</v>
      </c>
      <c r="C346" s="398">
        <f t="shared" si="837"/>
        <v>11</v>
      </c>
      <c r="D346" s="1033">
        <f t="shared" ref="D346:S346" si="838">D330+D314+D298</f>
        <v>13</v>
      </c>
      <c r="E346" s="406">
        <f t="shared" si="838"/>
        <v>14</v>
      </c>
      <c r="F346" s="406">
        <f t="shared" si="838"/>
        <v>16</v>
      </c>
      <c r="G346" s="820">
        <f t="shared" si="838"/>
        <v>18</v>
      </c>
      <c r="H346" s="820">
        <f t="shared" si="838"/>
        <v>18</v>
      </c>
      <c r="I346" s="1033">
        <f t="shared" si="838"/>
        <v>18</v>
      </c>
      <c r="J346" s="406">
        <f t="shared" si="838"/>
        <v>22</v>
      </c>
      <c r="K346" s="406">
        <f t="shared" si="838"/>
        <v>24</v>
      </c>
      <c r="L346" s="820">
        <f t="shared" ref="L346:N350" si="839">L330+L314+L298</f>
        <v>28</v>
      </c>
      <c r="M346" s="820">
        <f t="shared" si="839"/>
        <v>28</v>
      </c>
      <c r="N346" s="1033">
        <f t="shared" si="839"/>
        <v>29</v>
      </c>
      <c r="O346" s="401">
        <f t="shared" si="838"/>
        <v>29</v>
      </c>
      <c r="P346" s="401">
        <f t="shared" si="838"/>
        <v>31</v>
      </c>
      <c r="Q346" s="820">
        <f t="shared" si="838"/>
        <v>37</v>
      </c>
      <c r="R346" s="398">
        <f t="shared" si="838"/>
        <v>37</v>
      </c>
      <c r="S346" s="401">
        <f t="shared" si="838"/>
        <v>37</v>
      </c>
      <c r="T346" s="401">
        <f t="shared" ref="T346:Z350" si="840">T330+T314+T298</f>
        <v>37</v>
      </c>
      <c r="U346" s="401">
        <f t="shared" si="840"/>
        <v>41</v>
      </c>
      <c r="V346" s="820">
        <f t="shared" si="840"/>
        <v>43</v>
      </c>
      <c r="W346" s="398">
        <f t="shared" si="840"/>
        <v>43</v>
      </c>
      <c r="X346" s="401">
        <f t="shared" si="840"/>
        <v>42</v>
      </c>
      <c r="Y346" s="401">
        <f t="shared" si="840"/>
        <v>42</v>
      </c>
      <c r="Z346" s="401">
        <f t="shared" si="840"/>
        <v>45</v>
      </c>
      <c r="AA346" s="401">
        <f t="shared" ref="AA346:AN346" si="841">AA330+AA314+AA298</f>
        <v>47</v>
      </c>
      <c r="AB346" s="398">
        <f t="shared" si="841"/>
        <v>47</v>
      </c>
      <c r="AC346" s="3666">
        <v>48</v>
      </c>
      <c r="AD346" s="3666">
        <v>48</v>
      </c>
      <c r="AE346" s="401">
        <f t="shared" si="841"/>
        <v>48</v>
      </c>
      <c r="AF346" s="820">
        <f t="shared" si="841"/>
        <v>51</v>
      </c>
      <c r="AG346" s="398">
        <f t="shared" si="841"/>
        <v>51</v>
      </c>
      <c r="AH346" s="401">
        <f t="shared" si="841"/>
        <v>51.754999999999995</v>
      </c>
      <c r="AI346" s="401">
        <f t="shared" si="841"/>
        <v>52.521224999999987</v>
      </c>
      <c r="AJ346" s="401">
        <f t="shared" ref="AJ346:AL346" si="842">AJ330+AJ314+AJ298</f>
        <v>53.30904337499998</v>
      </c>
      <c r="AK346" s="820">
        <f t="shared" si="842"/>
        <v>54.108679025624973</v>
      </c>
      <c r="AL346" s="398">
        <f t="shared" si="842"/>
        <v>54.108679025624973</v>
      </c>
      <c r="AM346" s="398">
        <f t="shared" si="841"/>
        <v>56.575097557453098</v>
      </c>
      <c r="AN346" s="398">
        <f t="shared" si="841"/>
        <v>58.316910023130689</v>
      </c>
    </row>
    <row r="347" spans="1:40">
      <c r="A347" s="130" t="str">
        <f>A$15</f>
        <v>Embassy Suites Hotels (Upper Up)</v>
      </c>
      <c r="B347" s="1033">
        <f t="shared" si="837"/>
        <v>0</v>
      </c>
      <c r="C347" s="398">
        <f t="shared" si="837"/>
        <v>0</v>
      </c>
      <c r="D347" s="1033">
        <f t="shared" ref="D347:S347" si="843">D331+D315+D299</f>
        <v>0</v>
      </c>
      <c r="E347" s="406">
        <f t="shared" si="843"/>
        <v>0</v>
      </c>
      <c r="F347" s="406">
        <f t="shared" si="843"/>
        <v>0</v>
      </c>
      <c r="G347" s="820">
        <f t="shared" si="843"/>
        <v>0</v>
      </c>
      <c r="H347" s="820">
        <f t="shared" si="843"/>
        <v>0</v>
      </c>
      <c r="I347" s="1033">
        <f t="shared" si="843"/>
        <v>0</v>
      </c>
      <c r="J347" s="406">
        <f t="shared" si="843"/>
        <v>0</v>
      </c>
      <c r="K347" s="406">
        <f t="shared" si="843"/>
        <v>0</v>
      </c>
      <c r="L347" s="820">
        <f t="shared" si="839"/>
        <v>0</v>
      </c>
      <c r="M347" s="820">
        <f t="shared" si="839"/>
        <v>0</v>
      </c>
      <c r="N347" s="1033">
        <f t="shared" si="839"/>
        <v>0</v>
      </c>
      <c r="O347" s="401">
        <f t="shared" si="843"/>
        <v>0</v>
      </c>
      <c r="P347" s="401">
        <f t="shared" si="843"/>
        <v>0</v>
      </c>
      <c r="Q347" s="820">
        <f t="shared" si="843"/>
        <v>0</v>
      </c>
      <c r="R347" s="398">
        <f t="shared" si="843"/>
        <v>0</v>
      </c>
      <c r="S347" s="401">
        <f t="shared" si="843"/>
        <v>0</v>
      </c>
      <c r="T347" s="401">
        <f t="shared" si="840"/>
        <v>0</v>
      </c>
      <c r="U347" s="401">
        <f t="shared" si="840"/>
        <v>0</v>
      </c>
      <c r="V347" s="820">
        <f t="shared" si="840"/>
        <v>0</v>
      </c>
      <c r="W347" s="398">
        <f t="shared" si="840"/>
        <v>0</v>
      </c>
      <c r="X347" s="401">
        <f t="shared" si="840"/>
        <v>0</v>
      </c>
      <c r="Y347" s="401">
        <f t="shared" si="840"/>
        <v>0</v>
      </c>
      <c r="Z347" s="401">
        <f t="shared" si="840"/>
        <v>0</v>
      </c>
      <c r="AA347" s="401">
        <f t="shared" ref="AA347:AN347" si="844">AA331+AA315+AA299</f>
        <v>0</v>
      </c>
      <c r="AB347" s="398">
        <f t="shared" si="844"/>
        <v>0</v>
      </c>
      <c r="AC347" s="3666">
        <v>0</v>
      </c>
      <c r="AD347" s="3666">
        <v>0</v>
      </c>
      <c r="AE347" s="401">
        <f t="shared" si="844"/>
        <v>0</v>
      </c>
      <c r="AF347" s="820">
        <f t="shared" si="844"/>
        <v>0</v>
      </c>
      <c r="AG347" s="398">
        <f t="shared" si="844"/>
        <v>0</v>
      </c>
      <c r="AH347" s="401">
        <f t="shared" si="844"/>
        <v>0</v>
      </c>
      <c r="AI347" s="401">
        <f t="shared" si="844"/>
        <v>0</v>
      </c>
      <c r="AJ347" s="401">
        <f t="shared" ref="AJ347:AL347" si="845">AJ331+AJ315+AJ299</f>
        <v>0</v>
      </c>
      <c r="AK347" s="820">
        <f t="shared" si="845"/>
        <v>0</v>
      </c>
      <c r="AL347" s="398">
        <f t="shared" si="845"/>
        <v>0</v>
      </c>
      <c r="AM347" s="398">
        <f t="shared" si="844"/>
        <v>0</v>
      </c>
      <c r="AN347" s="398">
        <f t="shared" si="844"/>
        <v>0</v>
      </c>
    </row>
    <row r="348" spans="1:40">
      <c r="A348" s="130" t="str">
        <f>A$16</f>
        <v>Hilton Garden Inn (Upscale)</v>
      </c>
      <c r="B348" s="1033">
        <f t="shared" si="837"/>
        <v>1</v>
      </c>
      <c r="C348" s="398">
        <f t="shared" si="837"/>
        <v>1</v>
      </c>
      <c r="D348" s="1033">
        <f t="shared" ref="D348:S348" si="846">D332+D316+D300</f>
        <v>1</v>
      </c>
      <c r="E348" s="406">
        <f t="shared" si="846"/>
        <v>1</v>
      </c>
      <c r="F348" s="406">
        <f t="shared" si="846"/>
        <v>1</v>
      </c>
      <c r="G348" s="820">
        <f t="shared" si="846"/>
        <v>1</v>
      </c>
      <c r="H348" s="820">
        <f t="shared" si="846"/>
        <v>1</v>
      </c>
      <c r="I348" s="1033">
        <f t="shared" si="846"/>
        <v>2</v>
      </c>
      <c r="J348" s="406">
        <f t="shared" si="846"/>
        <v>3</v>
      </c>
      <c r="K348" s="406">
        <f t="shared" si="846"/>
        <v>3</v>
      </c>
      <c r="L348" s="820">
        <f t="shared" si="839"/>
        <v>4</v>
      </c>
      <c r="M348" s="820">
        <f t="shared" si="839"/>
        <v>4</v>
      </c>
      <c r="N348" s="1033">
        <f t="shared" si="839"/>
        <v>5</v>
      </c>
      <c r="O348" s="401">
        <f t="shared" si="846"/>
        <v>5</v>
      </c>
      <c r="P348" s="401">
        <f t="shared" si="846"/>
        <v>5</v>
      </c>
      <c r="Q348" s="820">
        <f t="shared" si="846"/>
        <v>6</v>
      </c>
      <c r="R348" s="398">
        <f t="shared" si="846"/>
        <v>6</v>
      </c>
      <c r="S348" s="401">
        <f t="shared" si="846"/>
        <v>6</v>
      </c>
      <c r="T348" s="401">
        <f t="shared" si="840"/>
        <v>7</v>
      </c>
      <c r="U348" s="401">
        <f t="shared" si="840"/>
        <v>7</v>
      </c>
      <c r="V348" s="820">
        <f t="shared" si="840"/>
        <v>8</v>
      </c>
      <c r="W348" s="398">
        <f t="shared" si="840"/>
        <v>8</v>
      </c>
      <c r="X348" s="401">
        <f t="shared" si="840"/>
        <v>8</v>
      </c>
      <c r="Y348" s="401">
        <f t="shared" si="840"/>
        <v>11</v>
      </c>
      <c r="Z348" s="401">
        <f t="shared" si="840"/>
        <v>12</v>
      </c>
      <c r="AA348" s="401">
        <f t="shared" ref="AA348:AN348" si="847">AA332+AA316+AA300</f>
        <v>16</v>
      </c>
      <c r="AB348" s="398">
        <f t="shared" si="847"/>
        <v>16</v>
      </c>
      <c r="AC348" s="3666">
        <v>16</v>
      </c>
      <c r="AD348" s="3666">
        <v>19</v>
      </c>
      <c r="AE348" s="401">
        <f t="shared" si="847"/>
        <v>20</v>
      </c>
      <c r="AF348" s="820">
        <f t="shared" si="847"/>
        <v>23</v>
      </c>
      <c r="AG348" s="398">
        <f t="shared" si="847"/>
        <v>23</v>
      </c>
      <c r="AH348" s="401">
        <f t="shared" si="847"/>
        <v>23.344999999999999</v>
      </c>
      <c r="AI348" s="401">
        <f t="shared" si="847"/>
        <v>23.695174999999995</v>
      </c>
      <c r="AJ348" s="401">
        <f t="shared" ref="AJ348:AL348" si="848">AJ332+AJ316+AJ300</f>
        <v>24.050602624999993</v>
      </c>
      <c r="AK348" s="820">
        <f t="shared" si="848"/>
        <v>24.41136166437499</v>
      </c>
      <c r="AL348" s="398">
        <f t="shared" si="848"/>
        <v>24.41136166437499</v>
      </c>
      <c r="AM348" s="398">
        <f t="shared" si="847"/>
        <v>25.509872939271862</v>
      </c>
      <c r="AN348" s="398">
        <f t="shared" si="847"/>
        <v>26.275169127450017</v>
      </c>
    </row>
    <row r="349" spans="1:40">
      <c r="A349" s="130" t="str">
        <f>A$17</f>
        <v>Hampton Inn (Upper Mid)</v>
      </c>
      <c r="B349" s="1033">
        <f t="shared" si="837"/>
        <v>0</v>
      </c>
      <c r="C349" s="398">
        <f t="shared" si="837"/>
        <v>1</v>
      </c>
      <c r="D349" s="1033">
        <f t="shared" ref="D349:S349" si="849">D333+D317+D301</f>
        <v>1</v>
      </c>
      <c r="E349" s="406">
        <f t="shared" si="849"/>
        <v>1</v>
      </c>
      <c r="F349" s="406">
        <f t="shared" si="849"/>
        <v>1</v>
      </c>
      <c r="G349" s="820">
        <f t="shared" si="849"/>
        <v>1</v>
      </c>
      <c r="H349" s="820">
        <f t="shared" si="849"/>
        <v>1</v>
      </c>
      <c r="I349" s="1033">
        <f t="shared" si="849"/>
        <v>1</v>
      </c>
      <c r="J349" s="406">
        <f t="shared" si="849"/>
        <v>1</v>
      </c>
      <c r="K349" s="406">
        <f t="shared" si="849"/>
        <v>1</v>
      </c>
      <c r="L349" s="820">
        <f t="shared" si="839"/>
        <v>1</v>
      </c>
      <c r="M349" s="820">
        <f t="shared" si="839"/>
        <v>1</v>
      </c>
      <c r="N349" s="1033">
        <f t="shared" si="839"/>
        <v>1</v>
      </c>
      <c r="O349" s="401">
        <f t="shared" si="849"/>
        <v>1</v>
      </c>
      <c r="P349" s="401">
        <f t="shared" si="849"/>
        <v>1</v>
      </c>
      <c r="Q349" s="820">
        <f t="shared" si="849"/>
        <v>1</v>
      </c>
      <c r="R349" s="398">
        <f t="shared" si="849"/>
        <v>1</v>
      </c>
      <c r="S349" s="401">
        <f t="shared" si="849"/>
        <v>1</v>
      </c>
      <c r="T349" s="401">
        <f t="shared" si="840"/>
        <v>1</v>
      </c>
      <c r="U349" s="401">
        <f t="shared" si="840"/>
        <v>1</v>
      </c>
      <c r="V349" s="820">
        <f t="shared" si="840"/>
        <v>2</v>
      </c>
      <c r="W349" s="398">
        <f t="shared" si="840"/>
        <v>2</v>
      </c>
      <c r="X349" s="401">
        <f t="shared" si="840"/>
        <v>3</v>
      </c>
      <c r="Y349" s="401">
        <f t="shared" si="840"/>
        <v>4</v>
      </c>
      <c r="Z349" s="401">
        <f t="shared" si="840"/>
        <v>7</v>
      </c>
      <c r="AA349" s="401">
        <f t="shared" ref="AA349:AN349" si="850">AA333+AA317+AA301</f>
        <v>9</v>
      </c>
      <c r="AB349" s="398">
        <f t="shared" si="850"/>
        <v>9</v>
      </c>
      <c r="AC349" s="3666">
        <v>11</v>
      </c>
      <c r="AD349" s="3666">
        <v>15</v>
      </c>
      <c r="AE349" s="401">
        <f t="shared" si="850"/>
        <v>20</v>
      </c>
      <c r="AF349" s="820">
        <f t="shared" si="850"/>
        <v>25</v>
      </c>
      <c r="AG349" s="398">
        <f t="shared" si="850"/>
        <v>25</v>
      </c>
      <c r="AH349" s="401">
        <f t="shared" si="850"/>
        <v>25.25</v>
      </c>
      <c r="AI349" s="401">
        <f t="shared" si="850"/>
        <v>25.502500000000001</v>
      </c>
      <c r="AJ349" s="401">
        <f t="shared" ref="AJ349:AL349" si="851">AJ333+AJ317+AJ301</f>
        <v>25.885037499999999</v>
      </c>
      <c r="AK349" s="820">
        <f t="shared" si="851"/>
        <v>26.273313062499998</v>
      </c>
      <c r="AL349" s="398">
        <f t="shared" si="851"/>
        <v>26.273313062499998</v>
      </c>
      <c r="AM349" s="398">
        <f t="shared" si="850"/>
        <v>27.849711846249999</v>
      </c>
      <c r="AN349" s="398">
        <f t="shared" si="850"/>
        <v>29.242197438562499</v>
      </c>
    </row>
    <row r="350" spans="1:40">
      <c r="A350" s="130" t="str">
        <f>A$18</f>
        <v>Home2 Suites by Hilton (Upper Mid)</v>
      </c>
      <c r="B350" s="1033">
        <f t="shared" si="837"/>
        <v>0</v>
      </c>
      <c r="C350" s="398">
        <f t="shared" si="837"/>
        <v>0</v>
      </c>
      <c r="D350" s="1033">
        <f t="shared" ref="D350:S350" si="852">D334+D318+D302</f>
        <v>0</v>
      </c>
      <c r="E350" s="406">
        <f t="shared" si="852"/>
        <v>0</v>
      </c>
      <c r="F350" s="406">
        <f t="shared" si="852"/>
        <v>0</v>
      </c>
      <c r="G350" s="820">
        <f t="shared" si="852"/>
        <v>0</v>
      </c>
      <c r="H350" s="820">
        <f t="shared" si="852"/>
        <v>0</v>
      </c>
      <c r="I350" s="1033">
        <f t="shared" si="852"/>
        <v>0</v>
      </c>
      <c r="J350" s="406">
        <f t="shared" si="852"/>
        <v>0</v>
      </c>
      <c r="K350" s="406">
        <f t="shared" si="852"/>
        <v>0</v>
      </c>
      <c r="L350" s="820">
        <f t="shared" si="839"/>
        <v>0</v>
      </c>
      <c r="M350" s="820">
        <f t="shared" si="839"/>
        <v>0</v>
      </c>
      <c r="N350" s="1033">
        <f t="shared" si="839"/>
        <v>0</v>
      </c>
      <c r="O350" s="401">
        <f t="shared" si="852"/>
        <v>0</v>
      </c>
      <c r="P350" s="401">
        <f t="shared" si="852"/>
        <v>0</v>
      </c>
      <c r="Q350" s="820">
        <f t="shared" si="852"/>
        <v>0</v>
      </c>
      <c r="R350" s="398">
        <f t="shared" si="852"/>
        <v>0</v>
      </c>
      <c r="S350" s="401">
        <f t="shared" si="852"/>
        <v>0</v>
      </c>
      <c r="T350" s="401">
        <f t="shared" si="840"/>
        <v>0</v>
      </c>
      <c r="U350" s="401">
        <f t="shared" si="840"/>
        <v>0</v>
      </c>
      <c r="V350" s="820">
        <f t="shared" si="840"/>
        <v>0</v>
      </c>
      <c r="W350" s="398">
        <f t="shared" si="840"/>
        <v>0</v>
      </c>
      <c r="X350" s="401">
        <f t="shared" si="840"/>
        <v>0</v>
      </c>
      <c r="Y350" s="401">
        <f t="shared" si="840"/>
        <v>0</v>
      </c>
      <c r="Z350" s="401">
        <f t="shared" si="840"/>
        <v>0</v>
      </c>
      <c r="AA350" s="401">
        <f t="shared" ref="AA350:AN350" si="853">AA334+AA318+AA302</f>
        <v>0</v>
      </c>
      <c r="AB350" s="398">
        <f t="shared" si="853"/>
        <v>0</v>
      </c>
      <c r="AC350" s="3666">
        <v>0</v>
      </c>
      <c r="AD350" s="3666">
        <v>0</v>
      </c>
      <c r="AE350" s="401">
        <f t="shared" si="853"/>
        <v>0</v>
      </c>
      <c r="AF350" s="820">
        <f t="shared" si="853"/>
        <v>0</v>
      </c>
      <c r="AG350" s="398">
        <f t="shared" si="853"/>
        <v>0</v>
      </c>
      <c r="AH350" s="401">
        <f t="shared" si="853"/>
        <v>0</v>
      </c>
      <c r="AI350" s="401">
        <f t="shared" si="853"/>
        <v>0</v>
      </c>
      <c r="AJ350" s="401">
        <f t="shared" ref="AJ350:AL350" si="854">AJ334+AJ318+AJ302</f>
        <v>0</v>
      </c>
      <c r="AK350" s="820">
        <f t="shared" si="854"/>
        <v>0</v>
      </c>
      <c r="AL350" s="398">
        <f t="shared" si="854"/>
        <v>0</v>
      </c>
      <c r="AM350" s="398">
        <f t="shared" si="853"/>
        <v>0</v>
      </c>
      <c r="AN350" s="398">
        <f t="shared" si="853"/>
        <v>0</v>
      </c>
    </row>
    <row r="351" spans="1:40">
      <c r="A351" s="130" t="str">
        <f>$A$90</f>
        <v>Tru by Hilton</v>
      </c>
      <c r="B351" s="1030"/>
      <c r="C351" s="508"/>
      <c r="D351" s="1030"/>
      <c r="E351" s="912"/>
      <c r="F351" s="912"/>
      <c r="G351" s="1041"/>
      <c r="H351" s="820"/>
      <c r="I351" s="1030"/>
      <c r="J351" s="912"/>
      <c r="K351" s="912"/>
      <c r="L351" s="1041"/>
      <c r="M351" s="820"/>
      <c r="N351" s="1030"/>
      <c r="O351" s="912"/>
      <c r="P351" s="912"/>
      <c r="Q351" s="1041"/>
      <c r="R351" s="820"/>
      <c r="S351" s="1030"/>
      <c r="T351" s="912"/>
      <c r="U351" s="912"/>
      <c r="V351" s="912"/>
      <c r="W351" s="398"/>
      <c r="X351" s="2791"/>
      <c r="Y351" s="2791"/>
      <c r="Z351" s="2791"/>
      <c r="AA351" s="2791"/>
      <c r="AB351" s="398"/>
      <c r="AC351" s="3666">
        <v>0</v>
      </c>
      <c r="AD351" s="3666">
        <v>0</v>
      </c>
      <c r="AE351" s="401">
        <f t="shared" ref="AE351:AN351" si="855">AE335+AE319+AE303</f>
        <v>0</v>
      </c>
      <c r="AF351" s="820">
        <f t="shared" si="855"/>
        <v>0</v>
      </c>
      <c r="AG351" s="398">
        <f t="shared" si="855"/>
        <v>0</v>
      </c>
      <c r="AH351" s="401">
        <f t="shared" si="855"/>
        <v>0</v>
      </c>
      <c r="AI351" s="401">
        <f t="shared" si="855"/>
        <v>0</v>
      </c>
      <c r="AJ351" s="401">
        <f t="shared" ref="AJ351:AL351" si="856">AJ335+AJ319+AJ303</f>
        <v>0</v>
      </c>
      <c r="AK351" s="820">
        <f t="shared" si="856"/>
        <v>0</v>
      </c>
      <c r="AL351" s="398">
        <f t="shared" si="856"/>
        <v>0</v>
      </c>
      <c r="AM351" s="398">
        <f t="shared" si="855"/>
        <v>0</v>
      </c>
      <c r="AN351" s="398">
        <f t="shared" si="855"/>
        <v>0</v>
      </c>
    </row>
    <row r="352" spans="1:40">
      <c r="A352" s="130" t="str">
        <f>$A$91</f>
        <v>Tapestry Collection by Hilton</v>
      </c>
      <c r="B352" s="1030"/>
      <c r="C352" s="508"/>
      <c r="D352" s="1030"/>
      <c r="E352" s="912"/>
      <c r="F352" s="912"/>
      <c r="G352" s="1041"/>
      <c r="H352" s="820"/>
      <c r="I352" s="1030"/>
      <c r="J352" s="912"/>
      <c r="K352" s="912"/>
      <c r="L352" s="1041"/>
      <c r="M352" s="820"/>
      <c r="N352" s="1030"/>
      <c r="O352" s="912"/>
      <c r="P352" s="912"/>
      <c r="Q352" s="1041"/>
      <c r="R352" s="820"/>
      <c r="S352" s="1030"/>
      <c r="T352" s="912"/>
      <c r="U352" s="912"/>
      <c r="V352" s="912"/>
      <c r="W352" s="398"/>
      <c r="X352" s="2791"/>
      <c r="Y352" s="2791"/>
      <c r="Z352" s="2791"/>
      <c r="AA352" s="2791"/>
      <c r="AB352" s="398"/>
      <c r="AC352" s="3666">
        <v>0</v>
      </c>
      <c r="AD352" s="3666">
        <v>0</v>
      </c>
      <c r="AE352" s="401">
        <f t="shared" ref="AE352:AN352" si="857">AE336+AE320+AE304</f>
        <v>0</v>
      </c>
      <c r="AF352" s="820">
        <f t="shared" si="857"/>
        <v>0</v>
      </c>
      <c r="AG352" s="398">
        <f t="shared" si="857"/>
        <v>0</v>
      </c>
      <c r="AH352" s="401">
        <f t="shared" si="857"/>
        <v>0</v>
      </c>
      <c r="AI352" s="401">
        <f t="shared" si="857"/>
        <v>0</v>
      </c>
      <c r="AJ352" s="401">
        <f t="shared" ref="AJ352:AL352" si="858">AJ336+AJ320+AJ304</f>
        <v>0</v>
      </c>
      <c r="AK352" s="820">
        <f t="shared" si="858"/>
        <v>0</v>
      </c>
      <c r="AL352" s="398">
        <f t="shared" si="858"/>
        <v>0</v>
      </c>
      <c r="AM352" s="398">
        <f t="shared" si="857"/>
        <v>0</v>
      </c>
      <c r="AN352" s="398">
        <f t="shared" si="857"/>
        <v>0</v>
      </c>
    </row>
    <row r="353" spans="1:40" s="5" customFormat="1">
      <c r="A353" s="402" t="str">
        <f>A$21</f>
        <v>Homewood Suites by Hilton (Upscale)</v>
      </c>
      <c r="B353" s="1033">
        <f t="shared" ref="B353:C353" si="859">B337+B321+B305</f>
        <v>0</v>
      </c>
      <c r="C353" s="398">
        <f t="shared" si="859"/>
        <v>0</v>
      </c>
      <c r="D353" s="1033">
        <f t="shared" ref="D353:S353" si="860">D337+D321+D305</f>
        <v>0</v>
      </c>
      <c r="E353" s="406">
        <f t="shared" si="860"/>
        <v>0</v>
      </c>
      <c r="F353" s="406">
        <f t="shared" si="860"/>
        <v>0</v>
      </c>
      <c r="G353" s="820">
        <f t="shared" si="860"/>
        <v>0</v>
      </c>
      <c r="H353" s="820">
        <f t="shared" si="860"/>
        <v>0</v>
      </c>
      <c r="I353" s="1033">
        <f t="shared" si="860"/>
        <v>0</v>
      </c>
      <c r="J353" s="406">
        <f t="shared" si="860"/>
        <v>0</v>
      </c>
      <c r="K353" s="406">
        <f t="shared" si="860"/>
        <v>0</v>
      </c>
      <c r="L353" s="820">
        <f t="shared" ref="L353:N353" si="861">L337+L321+L305</f>
        <v>0</v>
      </c>
      <c r="M353" s="820">
        <f t="shared" si="861"/>
        <v>0</v>
      </c>
      <c r="N353" s="1033">
        <f t="shared" si="861"/>
        <v>0</v>
      </c>
      <c r="O353" s="401">
        <f t="shared" si="860"/>
        <v>0</v>
      </c>
      <c r="P353" s="401">
        <f t="shared" si="860"/>
        <v>0</v>
      </c>
      <c r="Q353" s="820">
        <f t="shared" si="860"/>
        <v>0</v>
      </c>
      <c r="R353" s="398">
        <f t="shared" si="860"/>
        <v>0</v>
      </c>
      <c r="S353" s="401">
        <f t="shared" si="860"/>
        <v>0</v>
      </c>
      <c r="T353" s="401">
        <f t="shared" ref="T353:Z353" si="862">T337+T321+T305</f>
        <v>0</v>
      </c>
      <c r="U353" s="401">
        <f t="shared" si="862"/>
        <v>0</v>
      </c>
      <c r="V353" s="820">
        <f t="shared" si="862"/>
        <v>0</v>
      </c>
      <c r="W353" s="398">
        <f t="shared" si="862"/>
        <v>0</v>
      </c>
      <c r="X353" s="401">
        <f t="shared" si="862"/>
        <v>0</v>
      </c>
      <c r="Y353" s="401">
        <f t="shared" si="862"/>
        <v>0</v>
      </c>
      <c r="Z353" s="401">
        <f t="shared" si="862"/>
        <v>0</v>
      </c>
      <c r="AA353" s="401">
        <f t="shared" ref="AA353:AN353" si="863">AA337+AA321+AA305</f>
        <v>0</v>
      </c>
      <c r="AB353" s="398">
        <f t="shared" si="863"/>
        <v>0</v>
      </c>
      <c r="AC353" s="3666">
        <v>0</v>
      </c>
      <c r="AD353" s="3666">
        <v>0</v>
      </c>
      <c r="AE353" s="401">
        <f t="shared" si="863"/>
        <v>0</v>
      </c>
      <c r="AF353" s="820">
        <f t="shared" si="863"/>
        <v>0</v>
      </c>
      <c r="AG353" s="398">
        <f t="shared" si="863"/>
        <v>0</v>
      </c>
      <c r="AH353" s="401">
        <f t="shared" si="863"/>
        <v>0</v>
      </c>
      <c r="AI353" s="401">
        <f t="shared" si="863"/>
        <v>0</v>
      </c>
      <c r="AJ353" s="401">
        <f t="shared" ref="AJ353:AL353" si="864">AJ337+AJ321+AJ305</f>
        <v>0</v>
      </c>
      <c r="AK353" s="820">
        <f t="shared" si="864"/>
        <v>0</v>
      </c>
      <c r="AL353" s="398">
        <f t="shared" si="864"/>
        <v>0</v>
      </c>
      <c r="AM353" s="398">
        <f t="shared" si="863"/>
        <v>0</v>
      </c>
      <c r="AN353" s="398">
        <f t="shared" si="863"/>
        <v>0</v>
      </c>
    </row>
    <row r="354" spans="1:40" s="5" customFormat="1">
      <c r="A354" s="1828" t="s">
        <v>395</v>
      </c>
      <c r="B354" s="1033"/>
      <c r="C354" s="398"/>
      <c r="D354" s="1033"/>
      <c r="E354" s="406"/>
      <c r="F354" s="406"/>
      <c r="G354" s="820"/>
      <c r="H354" s="820"/>
      <c r="I354" s="1033"/>
      <c r="J354" s="406"/>
      <c r="K354" s="406"/>
      <c r="L354" s="820"/>
      <c r="M354" s="820"/>
      <c r="N354" s="1033"/>
      <c r="O354" s="401"/>
      <c r="P354" s="401"/>
      <c r="Q354" s="820"/>
      <c r="R354" s="398"/>
      <c r="S354" s="401"/>
      <c r="T354" s="401"/>
      <c r="U354" s="401"/>
      <c r="V354" s="820"/>
      <c r="W354" s="398"/>
      <c r="X354" s="401"/>
      <c r="Y354" s="401"/>
      <c r="Z354" s="401"/>
      <c r="AA354" s="401"/>
      <c r="AB354" s="398"/>
      <c r="AC354" s="3666">
        <v>0</v>
      </c>
      <c r="AD354" s="3666">
        <v>0</v>
      </c>
      <c r="AE354" s="401">
        <f t="shared" ref="AE354:AF354" si="865">AD354</f>
        <v>0</v>
      </c>
      <c r="AF354" s="401">
        <f t="shared" si="865"/>
        <v>0</v>
      </c>
      <c r="AG354" s="398">
        <f>AF354</f>
        <v>0</v>
      </c>
      <c r="AH354" s="401">
        <f t="shared" ref="AH354:AH355" si="866">AG354</f>
        <v>0</v>
      </c>
      <c r="AI354" s="401">
        <f t="shared" ref="AI354:AI355" si="867">AH354</f>
        <v>0</v>
      </c>
      <c r="AJ354" s="401">
        <f t="shared" ref="AJ354:AJ355" si="868">AI354</f>
        <v>0</v>
      </c>
      <c r="AK354" s="401">
        <f t="shared" ref="AK354:AK355" si="869">AJ354</f>
        <v>0</v>
      </c>
      <c r="AL354" s="398">
        <f>AK354</f>
        <v>0</v>
      </c>
      <c r="AM354" s="398">
        <f t="shared" ref="AM354:AN354" si="870">AL354</f>
        <v>0</v>
      </c>
      <c r="AN354" s="398">
        <f t="shared" si="870"/>
        <v>0</v>
      </c>
    </row>
    <row r="355" spans="1:40" s="5" customFormat="1">
      <c r="A355" s="1828" t="s">
        <v>1394</v>
      </c>
      <c r="B355" s="1033"/>
      <c r="C355" s="398"/>
      <c r="D355" s="1033"/>
      <c r="E355" s="406"/>
      <c r="F355" s="406"/>
      <c r="G355" s="820"/>
      <c r="H355" s="820"/>
      <c r="I355" s="1033"/>
      <c r="J355" s="406"/>
      <c r="K355" s="406"/>
      <c r="L355" s="820"/>
      <c r="M355" s="820"/>
      <c r="N355" s="1033"/>
      <c r="O355" s="401"/>
      <c r="P355" s="401"/>
      <c r="Q355" s="820"/>
      <c r="R355" s="398"/>
      <c r="S355" s="401"/>
      <c r="T355" s="401"/>
      <c r="U355" s="401"/>
      <c r="V355" s="820"/>
      <c r="W355" s="398"/>
      <c r="X355" s="401"/>
      <c r="Y355" s="401"/>
      <c r="Z355" s="401"/>
      <c r="AA355" s="401"/>
      <c r="AB355" s="398"/>
      <c r="AC355" s="3666">
        <v>0</v>
      </c>
      <c r="AD355" s="3666">
        <v>0</v>
      </c>
      <c r="AE355" s="401">
        <f t="shared" ref="AE355:AF355" si="871">AD355</f>
        <v>0</v>
      </c>
      <c r="AF355" s="401">
        <f t="shared" si="871"/>
        <v>0</v>
      </c>
      <c r="AG355" s="398">
        <f>AF355</f>
        <v>0</v>
      </c>
      <c r="AH355" s="401">
        <f t="shared" si="866"/>
        <v>0</v>
      </c>
      <c r="AI355" s="401">
        <f t="shared" si="867"/>
        <v>0</v>
      </c>
      <c r="AJ355" s="401">
        <f t="shared" si="868"/>
        <v>0</v>
      </c>
      <c r="AK355" s="401">
        <f t="shared" si="869"/>
        <v>0</v>
      </c>
      <c r="AL355" s="398">
        <f>AK355</f>
        <v>0</v>
      </c>
      <c r="AM355" s="398">
        <f t="shared" ref="AM355:AN355" si="872">AL355</f>
        <v>0</v>
      </c>
      <c r="AN355" s="398">
        <f t="shared" si="872"/>
        <v>0</v>
      </c>
    </row>
    <row r="356" spans="1:40">
      <c r="A356" s="202" t="s">
        <v>1405</v>
      </c>
      <c r="B356" s="1034">
        <f>SUM(B341:B353)</f>
        <v>69</v>
      </c>
      <c r="C356" s="476">
        <f>SUM(C341:C353)</f>
        <v>82</v>
      </c>
      <c r="D356" s="1034">
        <f t="shared" ref="D356:R356" si="873">SUM(D341:D353)</f>
        <v>86</v>
      </c>
      <c r="E356" s="475">
        <f t="shared" si="873"/>
        <v>88</v>
      </c>
      <c r="F356" s="475">
        <f t="shared" si="873"/>
        <v>88</v>
      </c>
      <c r="G356" s="822">
        <f t="shared" si="873"/>
        <v>92</v>
      </c>
      <c r="H356" s="822">
        <f t="shared" si="873"/>
        <v>92</v>
      </c>
      <c r="I356" s="1034">
        <f t="shared" si="873"/>
        <v>95</v>
      </c>
      <c r="J356" s="475">
        <f t="shared" si="873"/>
        <v>101</v>
      </c>
      <c r="K356" s="475">
        <f t="shared" si="873"/>
        <v>104</v>
      </c>
      <c r="L356" s="822">
        <f>SUM(L341:L353)</f>
        <v>111</v>
      </c>
      <c r="M356" s="822">
        <f>SUM(M341:M353)</f>
        <v>111</v>
      </c>
      <c r="N356" s="1034">
        <f t="shared" si="873"/>
        <v>116</v>
      </c>
      <c r="O356" s="475">
        <f t="shared" si="873"/>
        <v>117</v>
      </c>
      <c r="P356" s="475">
        <f t="shared" si="873"/>
        <v>121</v>
      </c>
      <c r="Q356" s="822">
        <f t="shared" si="873"/>
        <v>133</v>
      </c>
      <c r="R356" s="476">
        <f t="shared" si="873"/>
        <v>133</v>
      </c>
      <c r="S356" s="475">
        <f t="shared" ref="S356:AB356" si="874">SUM(S341:S353)</f>
        <v>132</v>
      </c>
      <c r="T356" s="475">
        <f t="shared" si="874"/>
        <v>134</v>
      </c>
      <c r="U356" s="475">
        <f t="shared" si="874"/>
        <v>142</v>
      </c>
      <c r="V356" s="822">
        <f t="shared" si="874"/>
        <v>150</v>
      </c>
      <c r="W356" s="476">
        <f t="shared" si="874"/>
        <v>150</v>
      </c>
      <c r="X356" s="475">
        <f t="shared" si="874"/>
        <v>152</v>
      </c>
      <c r="Y356" s="475">
        <f t="shared" si="874"/>
        <v>158</v>
      </c>
      <c r="Z356" s="475">
        <f t="shared" si="874"/>
        <v>168</v>
      </c>
      <c r="AA356" s="475">
        <f t="shared" si="874"/>
        <v>181</v>
      </c>
      <c r="AB356" s="476">
        <f t="shared" si="874"/>
        <v>181</v>
      </c>
      <c r="AC356" s="475">
        <f t="shared" ref="AC356:AN356" si="875">SUM(AC341:AC355)</f>
        <v>185</v>
      </c>
      <c r="AD356" s="475">
        <f t="shared" si="875"/>
        <v>197</v>
      </c>
      <c r="AE356" s="475">
        <f t="shared" si="875"/>
        <v>205</v>
      </c>
      <c r="AF356" s="475">
        <f t="shared" si="875"/>
        <v>220</v>
      </c>
      <c r="AG356" s="476">
        <f t="shared" si="875"/>
        <v>220</v>
      </c>
      <c r="AH356" s="475">
        <f t="shared" si="875"/>
        <v>222.96999999999997</v>
      </c>
      <c r="AI356" s="475">
        <f t="shared" si="875"/>
        <v>225.98274999999995</v>
      </c>
      <c r="AJ356" s="475">
        <f t="shared" ref="AJ356:AL356" si="876">SUM(AJ341:AJ355)</f>
        <v>229.22249124999993</v>
      </c>
      <c r="AK356" s="475">
        <f t="shared" si="876"/>
        <v>232.51082861874991</v>
      </c>
      <c r="AL356" s="476">
        <f t="shared" si="876"/>
        <v>232.51082861874991</v>
      </c>
      <c r="AM356" s="1034">
        <f t="shared" si="875"/>
        <v>243.09131946874365</v>
      </c>
      <c r="AN356" s="476">
        <f t="shared" si="875"/>
        <v>250.88613075397797</v>
      </c>
    </row>
    <row r="357" spans="1:40">
      <c r="A357" s="478" t="s">
        <v>598</v>
      </c>
      <c r="B357" s="1035"/>
      <c r="C357" s="480">
        <f>C356-B356</f>
        <v>13</v>
      </c>
      <c r="D357" s="1035"/>
      <c r="E357" s="479"/>
      <c r="F357" s="479"/>
      <c r="G357" s="1040"/>
      <c r="H357" s="1040">
        <f t="shared" ref="H357:R357" si="877">H356-C356</f>
        <v>10</v>
      </c>
      <c r="I357" s="1035">
        <f t="shared" si="877"/>
        <v>9</v>
      </c>
      <c r="J357" s="479">
        <f t="shared" si="877"/>
        <v>13</v>
      </c>
      <c r="K357" s="479">
        <f t="shared" si="877"/>
        <v>16</v>
      </c>
      <c r="L357" s="1040">
        <f t="shared" si="877"/>
        <v>19</v>
      </c>
      <c r="M357" s="1040">
        <f>M356-H356</f>
        <v>19</v>
      </c>
      <c r="N357" s="1035">
        <f t="shared" si="877"/>
        <v>21</v>
      </c>
      <c r="O357" s="479">
        <f t="shared" si="877"/>
        <v>16</v>
      </c>
      <c r="P357" s="479">
        <f t="shared" si="877"/>
        <v>17</v>
      </c>
      <c r="Q357" s="479">
        <f t="shared" si="877"/>
        <v>22</v>
      </c>
      <c r="R357" s="480">
        <f t="shared" si="877"/>
        <v>22</v>
      </c>
      <c r="S357" s="479">
        <f t="shared" ref="S357:AB357" si="878">S356-N356</f>
        <v>16</v>
      </c>
      <c r="T357" s="479">
        <f t="shared" si="878"/>
        <v>17</v>
      </c>
      <c r="U357" s="479">
        <f t="shared" si="878"/>
        <v>21</v>
      </c>
      <c r="V357" s="479">
        <f t="shared" si="878"/>
        <v>17</v>
      </c>
      <c r="W357" s="480">
        <f t="shared" si="878"/>
        <v>17</v>
      </c>
      <c r="X357" s="479">
        <f t="shared" si="878"/>
        <v>20</v>
      </c>
      <c r="Y357" s="479">
        <f t="shared" si="878"/>
        <v>24</v>
      </c>
      <c r="Z357" s="479">
        <f t="shared" si="878"/>
        <v>26</v>
      </c>
      <c r="AA357" s="479">
        <f t="shared" si="878"/>
        <v>31</v>
      </c>
      <c r="AB357" s="480">
        <f t="shared" si="878"/>
        <v>31</v>
      </c>
      <c r="AC357" s="479">
        <f>AC356-X356</f>
        <v>33</v>
      </c>
      <c r="AD357" s="479">
        <f>AD356-Y356</f>
        <v>39</v>
      </c>
      <c r="AE357" s="479">
        <f>AE356-Z356</f>
        <v>37</v>
      </c>
      <c r="AF357" s="479">
        <f>AF356-AA356</f>
        <v>39</v>
      </c>
      <c r="AG357" s="480">
        <f>AG356-AB356</f>
        <v>39</v>
      </c>
      <c r="AH357" s="479">
        <f t="shared" ref="AH357:AI357" si="879">AH356-AC356</f>
        <v>37.96999999999997</v>
      </c>
      <c r="AI357" s="479">
        <f t="shared" si="879"/>
        <v>28.982749999999953</v>
      </c>
      <c r="AJ357" s="479">
        <f>AJ356-AE356</f>
        <v>24.222491249999933</v>
      </c>
      <c r="AK357" s="479">
        <f>AK356-AF356</f>
        <v>12.510828618749912</v>
      </c>
      <c r="AL357" s="480">
        <f>AL356-AG356</f>
        <v>12.510828618749912</v>
      </c>
      <c r="AM357" s="480">
        <f>AM356-AL356</f>
        <v>10.580490849993737</v>
      </c>
      <c r="AN357" s="480">
        <f>AN356-AM356</f>
        <v>7.7948112852343172</v>
      </c>
    </row>
    <row r="358" spans="1:40">
      <c r="A358" s="477" t="s">
        <v>1423</v>
      </c>
      <c r="B358" s="1036"/>
      <c r="C358" s="445">
        <f>C357/B356</f>
        <v>0.18840579710144928</v>
      </c>
      <c r="D358" s="1036"/>
      <c r="E358" s="437"/>
      <c r="F358" s="437"/>
      <c r="G358" s="589"/>
      <c r="H358" s="589">
        <f t="shared" ref="H358:R358" si="880">H357/C356</f>
        <v>0.12195121951219512</v>
      </c>
      <c r="I358" s="1036">
        <f t="shared" si="880"/>
        <v>0.10465116279069768</v>
      </c>
      <c r="J358" s="437">
        <f t="shared" si="880"/>
        <v>0.14772727272727273</v>
      </c>
      <c r="K358" s="437">
        <f t="shared" si="880"/>
        <v>0.18181818181818182</v>
      </c>
      <c r="L358" s="589">
        <f t="shared" si="880"/>
        <v>0.20652173913043478</v>
      </c>
      <c r="M358" s="589">
        <f>M357/H356</f>
        <v>0.20652173913043478</v>
      </c>
      <c r="N358" s="1036">
        <f t="shared" si="880"/>
        <v>0.22105263157894736</v>
      </c>
      <c r="O358" s="481">
        <f t="shared" si="880"/>
        <v>0.15841584158415842</v>
      </c>
      <c r="P358" s="481">
        <f t="shared" si="880"/>
        <v>0.16346153846153846</v>
      </c>
      <c r="Q358" s="481">
        <f t="shared" si="880"/>
        <v>0.1981981981981982</v>
      </c>
      <c r="R358" s="445">
        <f t="shared" si="880"/>
        <v>0.1981981981981982</v>
      </c>
      <c r="S358" s="481">
        <f t="shared" ref="S358:AB358" si="881">S357/N356</f>
        <v>0.13793103448275862</v>
      </c>
      <c r="T358" s="481">
        <f t="shared" si="881"/>
        <v>0.14529914529914531</v>
      </c>
      <c r="U358" s="481">
        <f t="shared" si="881"/>
        <v>0.17355371900826447</v>
      </c>
      <c r="V358" s="481">
        <f t="shared" si="881"/>
        <v>0.12781954887218044</v>
      </c>
      <c r="W358" s="445">
        <f t="shared" si="881"/>
        <v>0.12781954887218044</v>
      </c>
      <c r="X358" s="481">
        <f t="shared" si="881"/>
        <v>0.15151515151515152</v>
      </c>
      <c r="Y358" s="481">
        <f t="shared" si="881"/>
        <v>0.17910447761194029</v>
      </c>
      <c r="Z358" s="481">
        <f t="shared" si="881"/>
        <v>0.18309859154929578</v>
      </c>
      <c r="AA358" s="481">
        <f t="shared" si="881"/>
        <v>0.20666666666666667</v>
      </c>
      <c r="AB358" s="445">
        <f t="shared" si="881"/>
        <v>0.20666666666666667</v>
      </c>
      <c r="AC358" s="481">
        <f>AC357/X356</f>
        <v>0.21710526315789475</v>
      </c>
      <c r="AD358" s="481">
        <f>AD357/Y356</f>
        <v>0.24683544303797469</v>
      </c>
      <c r="AE358" s="481">
        <f>AE357/Z356</f>
        <v>0.22023809523809523</v>
      </c>
      <c r="AF358" s="481">
        <f>AF357/AA356</f>
        <v>0.21546961325966851</v>
      </c>
      <c r="AG358" s="445">
        <f>AG357/AB356</f>
        <v>0.21546961325966851</v>
      </c>
      <c r="AH358" s="481">
        <f t="shared" ref="AH358:AI358" si="882">AH357/AC356</f>
        <v>0.20524324324324308</v>
      </c>
      <c r="AI358" s="481">
        <f t="shared" si="882"/>
        <v>0.14712055837563429</v>
      </c>
      <c r="AJ358" s="481">
        <f>AJ357/AE356</f>
        <v>0.1181584939024387</v>
      </c>
      <c r="AK358" s="481">
        <f>AK357/AF356</f>
        <v>5.68674028124996E-2</v>
      </c>
      <c r="AL358" s="445">
        <f>AL357/AG356</f>
        <v>5.68674028124996E-2</v>
      </c>
      <c r="AM358" s="445">
        <f>AM357/AL356</f>
        <v>4.5505368127790137E-2</v>
      </c>
      <c r="AN358" s="445">
        <f>AN357/AM356</f>
        <v>3.2065362524129802E-2</v>
      </c>
    </row>
    <row r="359" spans="1:40">
      <c r="A359" s="130"/>
      <c r="B359" s="406"/>
      <c r="C359" s="398"/>
      <c r="D359" s="1033"/>
      <c r="E359" s="406"/>
      <c r="F359" s="406"/>
      <c r="G359" s="820"/>
      <c r="H359" s="406"/>
      <c r="I359" s="1033"/>
      <c r="J359" s="406"/>
      <c r="K359" s="406"/>
      <c r="L359" s="820"/>
      <c r="M359" s="406"/>
      <c r="N359" s="401"/>
      <c r="O359" s="401"/>
      <c r="P359" s="401"/>
      <c r="Q359" s="820"/>
      <c r="R359" s="406"/>
      <c r="S359" s="406"/>
      <c r="T359" s="406"/>
      <c r="U359" s="406"/>
      <c r="V359" s="406"/>
      <c r="W359" s="406"/>
      <c r="X359" s="406"/>
      <c r="Y359" s="406"/>
      <c r="Z359" s="406"/>
      <c r="AA359" s="406"/>
      <c r="AB359" s="406"/>
      <c r="AC359" s="406"/>
      <c r="AD359" s="406"/>
      <c r="AE359" s="406"/>
      <c r="AF359" s="406"/>
      <c r="AG359" s="406"/>
      <c r="AH359" s="406"/>
      <c r="AI359" s="406"/>
      <c r="AJ359" s="406"/>
      <c r="AK359" s="406"/>
      <c r="AL359" s="406"/>
      <c r="AM359" s="406"/>
      <c r="AN359" s="406"/>
    </row>
    <row r="360" spans="1:40">
      <c r="A360" s="130"/>
      <c r="B360" s="406"/>
      <c r="C360" s="398"/>
      <c r="D360" s="1033"/>
      <c r="E360" s="406"/>
      <c r="F360" s="406"/>
      <c r="G360" s="820"/>
      <c r="H360" s="406"/>
      <c r="I360" s="1033"/>
      <c r="J360" s="406"/>
      <c r="K360" s="406"/>
      <c r="L360" s="820"/>
      <c r="M360" s="406"/>
      <c r="N360" s="401"/>
      <c r="O360" s="401"/>
      <c r="P360" s="401"/>
      <c r="Q360" s="820"/>
      <c r="R360" s="406"/>
      <c r="S360" s="406"/>
      <c r="T360" s="406"/>
      <c r="U360" s="406"/>
      <c r="V360" s="406"/>
      <c r="W360" s="406"/>
      <c r="X360" s="406"/>
      <c r="Y360" s="406"/>
      <c r="Z360" s="406"/>
      <c r="AA360" s="406"/>
      <c r="AB360" s="406"/>
      <c r="AC360" s="406"/>
      <c r="AD360" s="406"/>
      <c r="AE360" s="406"/>
      <c r="AF360" s="406"/>
      <c r="AG360" s="406"/>
      <c r="AH360" s="406"/>
      <c r="AI360" s="406"/>
      <c r="AJ360" s="406"/>
      <c r="AK360" s="406"/>
      <c r="AL360" s="406"/>
      <c r="AM360" s="406"/>
      <c r="AN360" s="406"/>
    </row>
    <row r="361" spans="1:40" s="775" customFormat="1">
      <c r="A361" s="461" t="s">
        <v>1227</v>
      </c>
      <c r="B361" s="1037" t="str">
        <f>B290</f>
        <v>2010</v>
      </c>
      <c r="C361" s="774" t="str">
        <f t="shared" ref="C361:AA361" si="883">C290</f>
        <v>2011</v>
      </c>
      <c r="D361" s="1037" t="str">
        <f t="shared" si="883"/>
        <v>1Q12</v>
      </c>
      <c r="E361" s="773" t="str">
        <f t="shared" si="883"/>
        <v>2Q12</v>
      </c>
      <c r="F361" s="773" t="str">
        <f t="shared" si="883"/>
        <v>3Q12</v>
      </c>
      <c r="G361" s="776" t="str">
        <f t="shared" si="883"/>
        <v>4Q12</v>
      </c>
      <c r="H361" s="776">
        <f t="shared" si="883"/>
        <v>2012</v>
      </c>
      <c r="I361" s="1037" t="str">
        <f t="shared" si="883"/>
        <v>1Q13</v>
      </c>
      <c r="J361" s="773" t="str">
        <f t="shared" si="883"/>
        <v>2Q13</v>
      </c>
      <c r="K361" s="773" t="str">
        <f t="shared" si="883"/>
        <v>3Q13</v>
      </c>
      <c r="L361" s="776" t="str">
        <f>L290</f>
        <v>4Q13</v>
      </c>
      <c r="M361" s="776">
        <f>M290</f>
        <v>2013</v>
      </c>
      <c r="N361" s="773" t="str">
        <f t="shared" si="883"/>
        <v>1Q14</v>
      </c>
      <c r="O361" s="773" t="str">
        <f t="shared" si="883"/>
        <v>2Q14</v>
      </c>
      <c r="P361" s="773" t="str">
        <f t="shared" si="883"/>
        <v>3Q14</v>
      </c>
      <c r="Q361" s="776" t="str">
        <f t="shared" si="883"/>
        <v>4Q14</v>
      </c>
      <c r="R361" s="774">
        <f t="shared" si="883"/>
        <v>2014</v>
      </c>
      <c r="S361" s="773" t="str">
        <f t="shared" si="883"/>
        <v>1Q15</v>
      </c>
      <c r="T361" s="773" t="str">
        <f t="shared" si="883"/>
        <v>2Q15</v>
      </c>
      <c r="U361" s="773" t="str">
        <f t="shared" si="883"/>
        <v>3Q15</v>
      </c>
      <c r="V361" s="776" t="str">
        <f t="shared" si="883"/>
        <v>4Q15</v>
      </c>
      <c r="W361" s="774">
        <f t="shared" si="883"/>
        <v>2015</v>
      </c>
      <c r="X361" s="773" t="str">
        <f t="shared" si="883"/>
        <v>1Q16</v>
      </c>
      <c r="Y361" s="773" t="str">
        <f t="shared" si="883"/>
        <v>2Q16</v>
      </c>
      <c r="Z361" s="773" t="str">
        <f t="shared" si="883"/>
        <v>3Q16</v>
      </c>
      <c r="AA361" s="773" t="str">
        <f t="shared" si="883"/>
        <v>4Q16</v>
      </c>
      <c r="AB361" s="774">
        <f t="shared" ref="AB361:AN361" si="884">AB290</f>
        <v>2016</v>
      </c>
      <c r="AC361" s="773" t="str">
        <f t="shared" si="884"/>
        <v>1Q17</v>
      </c>
      <c r="AD361" s="773" t="str">
        <f t="shared" si="884"/>
        <v>2Q17</v>
      </c>
      <c r="AE361" s="773" t="str">
        <f t="shared" si="884"/>
        <v>3Q17</v>
      </c>
      <c r="AF361" s="776" t="str">
        <f t="shared" si="884"/>
        <v>4Q17A</v>
      </c>
      <c r="AG361" s="774" t="str">
        <f t="shared" si="884"/>
        <v>2017A</v>
      </c>
      <c r="AH361" s="773" t="str">
        <f t="shared" ref="AH361:AK361" si="885">AH290</f>
        <v>1Q18E</v>
      </c>
      <c r="AI361" s="773" t="str">
        <f t="shared" si="885"/>
        <v>2Q18E</v>
      </c>
      <c r="AJ361" s="773" t="str">
        <f t="shared" si="885"/>
        <v>3Q18E</v>
      </c>
      <c r="AK361" s="776" t="str">
        <f t="shared" si="885"/>
        <v>4Q18E</v>
      </c>
      <c r="AL361" s="774" t="str">
        <f t="shared" si="884"/>
        <v>2018E</v>
      </c>
      <c r="AM361" s="774" t="str">
        <f t="shared" si="884"/>
        <v>2019E</v>
      </c>
      <c r="AN361" s="774" t="str">
        <f t="shared" si="884"/>
        <v>2020E</v>
      </c>
    </row>
    <row r="362" spans="1:40" s="130" customFormat="1">
      <c r="A362" s="482"/>
      <c r="B362" s="1038"/>
      <c r="C362" s="397"/>
      <c r="D362" s="1038"/>
      <c r="E362" s="203"/>
      <c r="F362" s="203"/>
      <c r="G362" s="572"/>
      <c r="H362" s="572"/>
      <c r="I362" s="1038"/>
      <c r="J362" s="203"/>
      <c r="K362" s="203"/>
      <c r="L362" s="572"/>
      <c r="M362" s="572"/>
      <c r="N362" s="203"/>
      <c r="O362" s="203"/>
      <c r="P362" s="203"/>
      <c r="Q362" s="572"/>
      <c r="R362" s="397"/>
      <c r="S362" s="1038"/>
      <c r="T362" s="203"/>
      <c r="U362" s="203"/>
      <c r="V362" s="572"/>
      <c r="W362" s="397"/>
      <c r="X362" s="1038"/>
      <c r="Y362" s="203"/>
      <c r="Z362" s="203"/>
      <c r="AA362" s="203"/>
      <c r="AB362" s="397"/>
      <c r="AC362" s="203"/>
      <c r="AD362" s="203"/>
      <c r="AE362" s="203"/>
      <c r="AF362" s="572"/>
      <c r="AG362" s="397"/>
      <c r="AH362" s="203"/>
      <c r="AI362" s="203"/>
      <c r="AJ362" s="203"/>
      <c r="AK362" s="572"/>
      <c r="AL362" s="397"/>
      <c r="AM362" s="397"/>
      <c r="AN362" s="397"/>
    </row>
    <row r="363" spans="1:40">
      <c r="A363" s="484" t="s">
        <v>1589</v>
      </c>
      <c r="B363" s="394"/>
      <c r="C363" s="138"/>
      <c r="D363" s="394"/>
      <c r="E363" s="135"/>
      <c r="F363" s="135"/>
      <c r="G363" s="452"/>
      <c r="H363" s="452"/>
      <c r="I363" s="394"/>
      <c r="J363" s="135"/>
      <c r="K363" s="135"/>
      <c r="L363" s="452"/>
      <c r="M363" s="452"/>
      <c r="N363" s="135"/>
      <c r="O363" s="135"/>
      <c r="P363" s="135"/>
      <c r="Q363" s="452"/>
      <c r="R363" s="138"/>
      <c r="S363" s="394"/>
      <c r="T363" s="135"/>
      <c r="U363" s="135"/>
      <c r="V363" s="452"/>
      <c r="W363" s="138"/>
      <c r="X363" s="394"/>
      <c r="Y363" s="135"/>
      <c r="Z363" s="135"/>
      <c r="AA363" s="135"/>
      <c r="AB363" s="138"/>
      <c r="AC363" s="135"/>
      <c r="AD363" s="135"/>
      <c r="AE363" s="135"/>
      <c r="AF363" s="452"/>
      <c r="AG363" s="138"/>
      <c r="AH363" s="135"/>
      <c r="AI363" s="135"/>
      <c r="AJ363" s="135"/>
      <c r="AK363" s="452"/>
      <c r="AL363" s="138"/>
      <c r="AM363" s="138"/>
      <c r="AN363" s="138"/>
    </row>
    <row r="364" spans="1:40">
      <c r="A364" s="130" t="str">
        <f>A$9</f>
        <v>Waldorf Astoria Hotels &amp; Resorts (Luxury)</v>
      </c>
      <c r="B364" s="1033">
        <f t="shared" ref="B364:AN364" si="886">B9+B80+B151+B222+B293</f>
        <v>2</v>
      </c>
      <c r="C364" s="398">
        <f t="shared" si="886"/>
        <v>2</v>
      </c>
      <c r="D364" s="1033">
        <f t="shared" si="886"/>
        <v>3</v>
      </c>
      <c r="E364" s="406">
        <f t="shared" si="886"/>
        <v>3</v>
      </c>
      <c r="F364" s="406">
        <f t="shared" si="886"/>
        <v>3</v>
      </c>
      <c r="G364" s="820">
        <f t="shared" si="886"/>
        <v>3</v>
      </c>
      <c r="H364" s="820">
        <f t="shared" si="886"/>
        <v>3</v>
      </c>
      <c r="I364" s="1033">
        <f t="shared" si="886"/>
        <v>3</v>
      </c>
      <c r="J364" s="406">
        <f t="shared" si="886"/>
        <v>3</v>
      </c>
      <c r="K364" s="406">
        <f t="shared" si="886"/>
        <v>3</v>
      </c>
      <c r="L364" s="820">
        <f t="shared" si="886"/>
        <v>3</v>
      </c>
      <c r="M364" s="820">
        <f t="shared" si="886"/>
        <v>3</v>
      </c>
      <c r="N364" s="1033">
        <f t="shared" si="886"/>
        <v>3</v>
      </c>
      <c r="O364" s="406">
        <f t="shared" si="886"/>
        <v>4</v>
      </c>
      <c r="P364" s="406">
        <f t="shared" si="886"/>
        <v>4</v>
      </c>
      <c r="Q364" s="820">
        <f t="shared" si="886"/>
        <v>4</v>
      </c>
      <c r="R364" s="398">
        <f t="shared" si="886"/>
        <v>4</v>
      </c>
      <c r="S364" s="406">
        <f t="shared" si="886"/>
        <v>6</v>
      </c>
      <c r="T364" s="406">
        <f t="shared" si="886"/>
        <v>6</v>
      </c>
      <c r="U364" s="406">
        <f t="shared" si="886"/>
        <v>6</v>
      </c>
      <c r="V364" s="820">
        <f t="shared" si="886"/>
        <v>6</v>
      </c>
      <c r="W364" s="398">
        <f t="shared" si="886"/>
        <v>6</v>
      </c>
      <c r="X364" s="406">
        <f t="shared" si="886"/>
        <v>6</v>
      </c>
      <c r="Y364" s="406">
        <f t="shared" si="886"/>
        <v>6</v>
      </c>
      <c r="Z364" s="406">
        <f t="shared" si="886"/>
        <v>6</v>
      </c>
      <c r="AA364" s="406">
        <f t="shared" si="886"/>
        <v>6</v>
      </c>
      <c r="AB364" s="398">
        <f t="shared" si="886"/>
        <v>6</v>
      </c>
      <c r="AC364" s="406">
        <f t="shared" si="886"/>
        <v>3</v>
      </c>
      <c r="AD364" s="406">
        <f t="shared" si="886"/>
        <v>3</v>
      </c>
      <c r="AE364" s="406">
        <f t="shared" si="886"/>
        <v>3</v>
      </c>
      <c r="AF364" s="820">
        <f>AF9+AF80+AF151+AF222+AF293</f>
        <v>3</v>
      </c>
      <c r="AG364" s="398">
        <f t="shared" si="886"/>
        <v>3</v>
      </c>
      <c r="AH364" s="406">
        <f t="shared" si="886"/>
        <v>3</v>
      </c>
      <c r="AI364" s="406">
        <f t="shared" si="886"/>
        <v>3</v>
      </c>
      <c r="AJ364" s="406">
        <f t="shared" ref="AJ364" si="887">AJ9+AJ80+AJ151+AJ222+AJ293</f>
        <v>3</v>
      </c>
      <c r="AK364" s="820">
        <f>AK9+AK80+AK151+AK222+AK293</f>
        <v>3</v>
      </c>
      <c r="AL364" s="398">
        <f t="shared" ref="AL364" si="888">AL9+AL80+AL151+AL222+AL293</f>
        <v>3</v>
      </c>
      <c r="AM364" s="398">
        <f t="shared" si="886"/>
        <v>3</v>
      </c>
      <c r="AN364" s="398">
        <f t="shared" si="886"/>
        <v>3</v>
      </c>
    </row>
    <row r="365" spans="1:40">
      <c r="A365" s="130" t="str">
        <f>A$10</f>
        <v>Conrad Hotels &amp; Resorts (Luxury)</v>
      </c>
      <c r="B365" s="1033">
        <f t="shared" ref="B365:AN365" si="889">B10+B81+B152+B223+B294</f>
        <v>3</v>
      </c>
      <c r="C365" s="398">
        <f t="shared" si="889"/>
        <v>3</v>
      </c>
      <c r="D365" s="1033">
        <f t="shared" si="889"/>
        <v>3</v>
      </c>
      <c r="E365" s="406">
        <f t="shared" si="889"/>
        <v>3</v>
      </c>
      <c r="F365" s="406">
        <f t="shared" si="889"/>
        <v>3</v>
      </c>
      <c r="G365" s="820">
        <f t="shared" si="889"/>
        <v>3</v>
      </c>
      <c r="H365" s="820">
        <f t="shared" si="889"/>
        <v>3</v>
      </c>
      <c r="I365" s="1033">
        <f t="shared" si="889"/>
        <v>3</v>
      </c>
      <c r="J365" s="406">
        <f t="shared" si="889"/>
        <v>3</v>
      </c>
      <c r="K365" s="406">
        <f t="shared" si="889"/>
        <v>3</v>
      </c>
      <c r="L365" s="820">
        <f t="shared" si="889"/>
        <v>2</v>
      </c>
      <c r="M365" s="820">
        <f t="shared" si="889"/>
        <v>2</v>
      </c>
      <c r="N365" s="1033">
        <f t="shared" si="889"/>
        <v>2</v>
      </c>
      <c r="O365" s="406">
        <f t="shared" si="889"/>
        <v>2</v>
      </c>
      <c r="P365" s="406">
        <f t="shared" si="889"/>
        <v>2</v>
      </c>
      <c r="Q365" s="820">
        <f t="shared" si="889"/>
        <v>2</v>
      </c>
      <c r="R365" s="398">
        <f t="shared" si="889"/>
        <v>2</v>
      </c>
      <c r="S365" s="406">
        <f t="shared" si="889"/>
        <v>2</v>
      </c>
      <c r="T365" s="406">
        <f t="shared" si="889"/>
        <v>2</v>
      </c>
      <c r="U365" s="406">
        <f t="shared" si="889"/>
        <v>2</v>
      </c>
      <c r="V365" s="820">
        <f t="shared" si="889"/>
        <v>2</v>
      </c>
      <c r="W365" s="398">
        <f t="shared" si="889"/>
        <v>2</v>
      </c>
      <c r="X365" s="406">
        <f t="shared" si="889"/>
        <v>2</v>
      </c>
      <c r="Y365" s="406">
        <f t="shared" si="889"/>
        <v>2</v>
      </c>
      <c r="Z365" s="406">
        <f t="shared" si="889"/>
        <v>2</v>
      </c>
      <c r="AA365" s="406">
        <f t="shared" si="889"/>
        <v>2</v>
      </c>
      <c r="AB365" s="398">
        <f t="shared" si="889"/>
        <v>2</v>
      </c>
      <c r="AC365" s="406">
        <f t="shared" si="889"/>
        <v>1</v>
      </c>
      <c r="AD365" s="406">
        <f t="shared" si="889"/>
        <v>1</v>
      </c>
      <c r="AE365" s="406">
        <f t="shared" si="889"/>
        <v>2</v>
      </c>
      <c r="AF365" s="820">
        <f t="shared" si="889"/>
        <v>2</v>
      </c>
      <c r="AG365" s="398">
        <f t="shared" si="889"/>
        <v>2</v>
      </c>
      <c r="AH365" s="406">
        <f t="shared" si="889"/>
        <v>2</v>
      </c>
      <c r="AI365" s="406">
        <f t="shared" si="889"/>
        <v>2</v>
      </c>
      <c r="AJ365" s="406">
        <f t="shared" ref="AJ365:AL365" si="890">AJ10+AJ81+AJ152+AJ223+AJ294</f>
        <v>2</v>
      </c>
      <c r="AK365" s="820">
        <f t="shared" si="890"/>
        <v>2</v>
      </c>
      <c r="AL365" s="398">
        <f t="shared" si="890"/>
        <v>2</v>
      </c>
      <c r="AM365" s="398">
        <f t="shared" si="889"/>
        <v>2</v>
      </c>
      <c r="AN365" s="398">
        <f t="shared" si="889"/>
        <v>2</v>
      </c>
    </row>
    <row r="366" spans="1:40">
      <c r="A366" s="1828" t="s">
        <v>3022</v>
      </c>
      <c r="B366" s="1033"/>
      <c r="C366" s="398"/>
      <c r="D366" s="1033"/>
      <c r="E366" s="406"/>
      <c r="F366" s="406"/>
      <c r="G366" s="820"/>
      <c r="H366" s="820"/>
      <c r="I366" s="1033"/>
      <c r="J366" s="406"/>
      <c r="K366" s="406"/>
      <c r="L366" s="820"/>
      <c r="M366" s="820"/>
      <c r="N366" s="1033"/>
      <c r="O366" s="406"/>
      <c r="P366" s="406"/>
      <c r="Q366" s="820"/>
      <c r="R366" s="398"/>
      <c r="S366" s="406"/>
      <c r="T366" s="406"/>
      <c r="U366" s="406"/>
      <c r="V366" s="820"/>
      <c r="W366" s="398"/>
      <c r="X366" s="406"/>
      <c r="Y366" s="406"/>
      <c r="Z366" s="406"/>
      <c r="AA366" s="406">
        <f t="shared" ref="AA366:AN366" si="891">AA11+AA82+AA153+AA224+AA295</f>
        <v>0</v>
      </c>
      <c r="AB366" s="398">
        <f t="shared" si="891"/>
        <v>0</v>
      </c>
      <c r="AC366" s="406">
        <f t="shared" si="891"/>
        <v>0</v>
      </c>
      <c r="AD366" s="406">
        <f t="shared" si="891"/>
        <v>0</v>
      </c>
      <c r="AE366" s="406">
        <f t="shared" si="891"/>
        <v>0</v>
      </c>
      <c r="AF366" s="820">
        <f t="shared" si="891"/>
        <v>0</v>
      </c>
      <c r="AG366" s="398">
        <f t="shared" si="891"/>
        <v>0</v>
      </c>
      <c r="AH366" s="406">
        <f t="shared" si="891"/>
        <v>0</v>
      </c>
      <c r="AI366" s="406">
        <f t="shared" si="891"/>
        <v>0</v>
      </c>
      <c r="AJ366" s="406">
        <f t="shared" ref="AJ366:AL366" si="892">AJ11+AJ82+AJ153+AJ224+AJ295</f>
        <v>0</v>
      </c>
      <c r="AK366" s="820">
        <f t="shared" si="892"/>
        <v>0</v>
      </c>
      <c r="AL366" s="398">
        <f t="shared" si="892"/>
        <v>0</v>
      </c>
      <c r="AM366" s="398">
        <f t="shared" si="891"/>
        <v>0</v>
      </c>
      <c r="AN366" s="398">
        <f t="shared" si="891"/>
        <v>0</v>
      </c>
    </row>
    <row r="367" spans="1:40">
      <c r="A367" s="130" t="str">
        <f>A$12</f>
        <v>Hilton Hotels &amp; Resorts (Upper Up)</v>
      </c>
      <c r="B367" s="1033">
        <f t="shared" ref="B367:Z367" si="893">B12+B83+B154+B225+B296</f>
        <v>119</v>
      </c>
      <c r="C367" s="398">
        <f t="shared" si="893"/>
        <v>119</v>
      </c>
      <c r="D367" s="1033">
        <f t="shared" si="893"/>
        <v>119</v>
      </c>
      <c r="E367" s="406">
        <f t="shared" si="893"/>
        <v>119</v>
      </c>
      <c r="F367" s="406">
        <f t="shared" si="893"/>
        <v>119</v>
      </c>
      <c r="G367" s="820">
        <f t="shared" si="893"/>
        <v>119</v>
      </c>
      <c r="H367" s="820">
        <f t="shared" si="893"/>
        <v>119</v>
      </c>
      <c r="I367" s="1033">
        <f t="shared" si="893"/>
        <v>116</v>
      </c>
      <c r="J367" s="406">
        <f t="shared" si="893"/>
        <v>114</v>
      </c>
      <c r="K367" s="406">
        <f t="shared" si="893"/>
        <v>114</v>
      </c>
      <c r="L367" s="820">
        <f t="shared" si="893"/>
        <v>114</v>
      </c>
      <c r="M367" s="820">
        <f t="shared" si="893"/>
        <v>114</v>
      </c>
      <c r="N367" s="1033">
        <f t="shared" si="893"/>
        <v>114</v>
      </c>
      <c r="O367" s="406">
        <f t="shared" si="893"/>
        <v>113</v>
      </c>
      <c r="P367" s="406">
        <f t="shared" si="893"/>
        <v>112</v>
      </c>
      <c r="Q367" s="820">
        <f t="shared" si="893"/>
        <v>111</v>
      </c>
      <c r="R367" s="398">
        <f t="shared" si="893"/>
        <v>111</v>
      </c>
      <c r="S367" s="406">
        <f t="shared" si="893"/>
        <v>113</v>
      </c>
      <c r="T367" s="406">
        <f t="shared" si="893"/>
        <v>113</v>
      </c>
      <c r="U367" s="406">
        <f t="shared" si="893"/>
        <v>111</v>
      </c>
      <c r="V367" s="820">
        <f t="shared" si="893"/>
        <v>110</v>
      </c>
      <c r="W367" s="398">
        <f t="shared" si="893"/>
        <v>110</v>
      </c>
      <c r="X367" s="406">
        <f t="shared" si="893"/>
        <v>110</v>
      </c>
      <c r="Y367" s="406">
        <f t="shared" si="893"/>
        <v>109</v>
      </c>
      <c r="Z367" s="406">
        <f t="shared" si="893"/>
        <v>109</v>
      </c>
      <c r="AA367" s="406">
        <f t="shared" ref="AA367:AN367" si="894">AA12+AA83+AA154+AA225+AA296</f>
        <v>109</v>
      </c>
      <c r="AB367" s="398">
        <f t="shared" si="894"/>
        <v>109</v>
      </c>
      <c r="AC367" s="406">
        <f t="shared" si="894"/>
        <v>71</v>
      </c>
      <c r="AD367" s="406">
        <f>AD12+AD83+AD154+AD225+AD296</f>
        <v>70</v>
      </c>
      <c r="AE367" s="406">
        <f t="shared" si="894"/>
        <v>68</v>
      </c>
      <c r="AF367" s="820">
        <f t="shared" si="894"/>
        <v>68</v>
      </c>
      <c r="AG367" s="398">
        <f t="shared" si="894"/>
        <v>68</v>
      </c>
      <c r="AH367" s="406">
        <f t="shared" si="894"/>
        <v>68</v>
      </c>
      <c r="AI367" s="406">
        <f t="shared" si="894"/>
        <v>68</v>
      </c>
      <c r="AJ367" s="406">
        <f t="shared" ref="AJ367:AL367" si="895">AJ12+AJ83+AJ154+AJ225+AJ296</f>
        <v>68</v>
      </c>
      <c r="AK367" s="820">
        <f t="shared" si="895"/>
        <v>68</v>
      </c>
      <c r="AL367" s="398">
        <f t="shared" si="895"/>
        <v>68</v>
      </c>
      <c r="AM367" s="398">
        <f t="shared" si="894"/>
        <v>68</v>
      </c>
      <c r="AN367" s="398">
        <f t="shared" si="894"/>
        <v>68</v>
      </c>
    </row>
    <row r="368" spans="1:40">
      <c r="A368" s="130" t="str">
        <f>A$13</f>
        <v xml:space="preserve">Curio - A Collection by Hilton </v>
      </c>
      <c r="B368" s="1033"/>
      <c r="C368" s="398"/>
      <c r="D368" s="1033"/>
      <c r="E368" s="406"/>
      <c r="F368" s="406"/>
      <c r="G368" s="820"/>
      <c r="H368" s="820"/>
      <c r="I368" s="1033"/>
      <c r="J368" s="406"/>
      <c r="K368" s="406"/>
      <c r="L368" s="820"/>
      <c r="M368" s="820"/>
      <c r="N368" s="1033"/>
      <c r="O368" s="406"/>
      <c r="P368" s="406"/>
      <c r="Q368" s="820"/>
      <c r="R368" s="398"/>
      <c r="S368" s="406">
        <f t="shared" ref="S368:Z373" si="896">S13+S84+S155+S226+S297</f>
        <v>0</v>
      </c>
      <c r="T368" s="406">
        <f t="shared" si="896"/>
        <v>1</v>
      </c>
      <c r="U368" s="406">
        <f t="shared" si="896"/>
        <v>1</v>
      </c>
      <c r="V368" s="820">
        <f t="shared" si="896"/>
        <v>1</v>
      </c>
      <c r="W368" s="398">
        <f t="shared" si="896"/>
        <v>1</v>
      </c>
      <c r="X368" s="406">
        <f t="shared" si="896"/>
        <v>1</v>
      </c>
      <c r="Y368" s="406">
        <f t="shared" si="896"/>
        <v>1</v>
      </c>
      <c r="Z368" s="406">
        <f t="shared" si="896"/>
        <v>1</v>
      </c>
      <c r="AA368" s="406">
        <f t="shared" ref="AA368:AN368" si="897">AA13+AA84+AA155+AA226+AA297</f>
        <v>1</v>
      </c>
      <c r="AB368" s="398">
        <f t="shared" si="897"/>
        <v>1</v>
      </c>
      <c r="AC368" s="406">
        <f t="shared" si="897"/>
        <v>0</v>
      </c>
      <c r="AD368" s="406">
        <f t="shared" si="897"/>
        <v>0</v>
      </c>
      <c r="AE368" s="406">
        <f t="shared" si="897"/>
        <v>0</v>
      </c>
      <c r="AF368" s="820">
        <f t="shared" si="897"/>
        <v>0</v>
      </c>
      <c r="AG368" s="398">
        <f t="shared" si="897"/>
        <v>0</v>
      </c>
      <c r="AH368" s="406">
        <f t="shared" si="897"/>
        <v>0</v>
      </c>
      <c r="AI368" s="406">
        <f t="shared" si="897"/>
        <v>0</v>
      </c>
      <c r="AJ368" s="406">
        <f t="shared" ref="AJ368:AL368" si="898">AJ13+AJ84+AJ155+AJ226+AJ297</f>
        <v>0</v>
      </c>
      <c r="AK368" s="820">
        <f t="shared" si="898"/>
        <v>0</v>
      </c>
      <c r="AL368" s="398">
        <f t="shared" si="898"/>
        <v>0</v>
      </c>
      <c r="AM368" s="398">
        <f t="shared" si="897"/>
        <v>0</v>
      </c>
      <c r="AN368" s="398">
        <f t="shared" si="897"/>
        <v>0</v>
      </c>
    </row>
    <row r="369" spans="1:40">
      <c r="A369" s="130" t="str">
        <f>A$14</f>
        <v>DoubleTree by Hilton (Upscale)</v>
      </c>
      <c r="B369" s="1033">
        <f t="shared" ref="B369:R369" si="899">B14+B85+B156+B227+B298</f>
        <v>14</v>
      </c>
      <c r="C369" s="398">
        <f t="shared" si="899"/>
        <v>13</v>
      </c>
      <c r="D369" s="1033">
        <f t="shared" si="899"/>
        <v>13</v>
      </c>
      <c r="E369" s="406">
        <f t="shared" si="899"/>
        <v>13</v>
      </c>
      <c r="F369" s="406">
        <f t="shared" si="899"/>
        <v>13</v>
      </c>
      <c r="G369" s="820">
        <f t="shared" si="899"/>
        <v>13</v>
      </c>
      <c r="H369" s="820">
        <f t="shared" si="899"/>
        <v>13</v>
      </c>
      <c r="I369" s="1033">
        <f t="shared" si="899"/>
        <v>13</v>
      </c>
      <c r="J369" s="406">
        <f t="shared" si="899"/>
        <v>13</v>
      </c>
      <c r="K369" s="406">
        <f t="shared" si="899"/>
        <v>12</v>
      </c>
      <c r="L369" s="820">
        <f t="shared" si="899"/>
        <v>12</v>
      </c>
      <c r="M369" s="820">
        <f t="shared" si="899"/>
        <v>12</v>
      </c>
      <c r="N369" s="1033">
        <f t="shared" si="899"/>
        <v>12</v>
      </c>
      <c r="O369" s="406">
        <f t="shared" si="899"/>
        <v>12</v>
      </c>
      <c r="P369" s="406">
        <f t="shared" si="899"/>
        <v>11</v>
      </c>
      <c r="Q369" s="820">
        <f t="shared" si="899"/>
        <v>11</v>
      </c>
      <c r="R369" s="398">
        <f t="shared" si="899"/>
        <v>11</v>
      </c>
      <c r="S369" s="406">
        <f t="shared" si="896"/>
        <v>11</v>
      </c>
      <c r="T369" s="406">
        <f t="shared" si="896"/>
        <v>11</v>
      </c>
      <c r="U369" s="406">
        <f t="shared" si="896"/>
        <v>11</v>
      </c>
      <c r="V369" s="820">
        <f t="shared" si="896"/>
        <v>11</v>
      </c>
      <c r="W369" s="398">
        <f t="shared" si="896"/>
        <v>11</v>
      </c>
      <c r="X369" s="406">
        <f t="shared" si="896"/>
        <v>11</v>
      </c>
      <c r="Y369" s="406">
        <f t="shared" si="896"/>
        <v>11</v>
      </c>
      <c r="Z369" s="406">
        <f t="shared" si="896"/>
        <v>11</v>
      </c>
      <c r="AA369" s="406">
        <f t="shared" ref="AA369:AN369" si="900">AA14+AA85+AA156+AA227+AA298</f>
        <v>10</v>
      </c>
      <c r="AB369" s="398">
        <f t="shared" si="900"/>
        <v>10</v>
      </c>
      <c r="AC369" s="406">
        <f t="shared" si="900"/>
        <v>0</v>
      </c>
      <c r="AD369" s="406">
        <f t="shared" si="900"/>
        <v>0</v>
      </c>
      <c r="AE369" s="406">
        <f t="shared" si="900"/>
        <v>0</v>
      </c>
      <c r="AF369" s="820">
        <f t="shared" si="900"/>
        <v>0</v>
      </c>
      <c r="AG369" s="398">
        <f t="shared" si="900"/>
        <v>0</v>
      </c>
      <c r="AH369" s="406">
        <f t="shared" si="900"/>
        <v>0</v>
      </c>
      <c r="AI369" s="406">
        <f t="shared" si="900"/>
        <v>0</v>
      </c>
      <c r="AJ369" s="406">
        <f t="shared" ref="AJ369:AL369" si="901">AJ14+AJ85+AJ156+AJ227+AJ298</f>
        <v>0</v>
      </c>
      <c r="AK369" s="820">
        <f t="shared" si="901"/>
        <v>0</v>
      </c>
      <c r="AL369" s="398">
        <f t="shared" si="901"/>
        <v>0</v>
      </c>
      <c r="AM369" s="398">
        <f t="shared" si="900"/>
        <v>0</v>
      </c>
      <c r="AN369" s="398">
        <f t="shared" si="900"/>
        <v>0</v>
      </c>
    </row>
    <row r="370" spans="1:40">
      <c r="A370" s="130" t="str">
        <f>A$15</f>
        <v>Embassy Suites Hotels (Upper Up)</v>
      </c>
      <c r="B370" s="1033">
        <f t="shared" ref="B370:R370" si="902">B15+B86+B157+B228+B299</f>
        <v>18</v>
      </c>
      <c r="C370" s="398">
        <f t="shared" si="902"/>
        <v>18</v>
      </c>
      <c r="D370" s="1033">
        <f t="shared" si="902"/>
        <v>18</v>
      </c>
      <c r="E370" s="406">
        <f t="shared" si="902"/>
        <v>18</v>
      </c>
      <c r="F370" s="406">
        <f t="shared" si="902"/>
        <v>18</v>
      </c>
      <c r="G370" s="820">
        <f t="shared" si="902"/>
        <v>18</v>
      </c>
      <c r="H370" s="820">
        <f t="shared" si="902"/>
        <v>18</v>
      </c>
      <c r="I370" s="1033">
        <f t="shared" si="902"/>
        <v>18</v>
      </c>
      <c r="J370" s="406">
        <f t="shared" si="902"/>
        <v>18</v>
      </c>
      <c r="K370" s="406">
        <f t="shared" si="902"/>
        <v>18</v>
      </c>
      <c r="L370" s="820">
        <f t="shared" si="902"/>
        <v>18</v>
      </c>
      <c r="M370" s="820">
        <f t="shared" si="902"/>
        <v>18</v>
      </c>
      <c r="N370" s="1033">
        <f t="shared" si="902"/>
        <v>17</v>
      </c>
      <c r="O370" s="406">
        <f t="shared" si="902"/>
        <v>15</v>
      </c>
      <c r="P370" s="406">
        <f t="shared" si="902"/>
        <v>10</v>
      </c>
      <c r="Q370" s="820">
        <f t="shared" si="902"/>
        <v>10</v>
      </c>
      <c r="R370" s="398">
        <f t="shared" si="902"/>
        <v>10</v>
      </c>
      <c r="S370" s="406">
        <f t="shared" si="896"/>
        <v>10</v>
      </c>
      <c r="T370" s="406">
        <f t="shared" si="896"/>
        <v>10</v>
      </c>
      <c r="U370" s="406">
        <f t="shared" si="896"/>
        <v>10</v>
      </c>
      <c r="V370" s="820">
        <f t="shared" si="896"/>
        <v>10</v>
      </c>
      <c r="W370" s="398">
        <f t="shared" si="896"/>
        <v>10</v>
      </c>
      <c r="X370" s="406">
        <f t="shared" si="896"/>
        <v>10</v>
      </c>
      <c r="Y370" s="406">
        <f t="shared" si="896"/>
        <v>10</v>
      </c>
      <c r="Z370" s="406">
        <f t="shared" si="896"/>
        <v>10</v>
      </c>
      <c r="AA370" s="406">
        <f t="shared" ref="AA370:AN370" si="903">AA15+AA86+AA157+AA228+AA299</f>
        <v>10</v>
      </c>
      <c r="AB370" s="398">
        <f t="shared" si="903"/>
        <v>10</v>
      </c>
      <c r="AC370" s="406">
        <f t="shared" si="903"/>
        <v>0</v>
      </c>
      <c r="AD370" s="406">
        <f t="shared" si="903"/>
        <v>0</v>
      </c>
      <c r="AE370" s="406">
        <f t="shared" si="903"/>
        <v>0</v>
      </c>
      <c r="AF370" s="820">
        <f t="shared" si="903"/>
        <v>0</v>
      </c>
      <c r="AG370" s="398">
        <f t="shared" si="903"/>
        <v>0</v>
      </c>
      <c r="AH370" s="406">
        <f t="shared" si="903"/>
        <v>0</v>
      </c>
      <c r="AI370" s="406">
        <f t="shared" si="903"/>
        <v>0</v>
      </c>
      <c r="AJ370" s="406">
        <f t="shared" ref="AJ370:AL370" si="904">AJ15+AJ86+AJ157+AJ228+AJ299</f>
        <v>0</v>
      </c>
      <c r="AK370" s="820">
        <f t="shared" si="904"/>
        <v>0</v>
      </c>
      <c r="AL370" s="398">
        <f t="shared" si="904"/>
        <v>0</v>
      </c>
      <c r="AM370" s="398">
        <f t="shared" si="903"/>
        <v>0</v>
      </c>
      <c r="AN370" s="398">
        <f t="shared" si="903"/>
        <v>0</v>
      </c>
    </row>
    <row r="371" spans="1:40">
      <c r="A371" s="130" t="str">
        <f>A$16</f>
        <v>Hilton Garden Inn (Upscale)</v>
      </c>
      <c r="B371" s="1033">
        <f t="shared" ref="B371:R371" si="905">B16+B87+B158+B229+B300</f>
        <v>2</v>
      </c>
      <c r="C371" s="398">
        <f t="shared" si="905"/>
        <v>2</v>
      </c>
      <c r="D371" s="1033">
        <f t="shared" si="905"/>
        <v>2</v>
      </c>
      <c r="E371" s="406">
        <f t="shared" si="905"/>
        <v>2</v>
      </c>
      <c r="F371" s="406">
        <f t="shared" si="905"/>
        <v>2</v>
      </c>
      <c r="G371" s="820">
        <f t="shared" si="905"/>
        <v>2</v>
      </c>
      <c r="H371" s="820">
        <f t="shared" si="905"/>
        <v>2</v>
      </c>
      <c r="I371" s="1033">
        <f t="shared" si="905"/>
        <v>2</v>
      </c>
      <c r="J371" s="406">
        <f t="shared" si="905"/>
        <v>2</v>
      </c>
      <c r="K371" s="406">
        <f t="shared" si="905"/>
        <v>2</v>
      </c>
      <c r="L371" s="820">
        <f t="shared" si="905"/>
        <v>2</v>
      </c>
      <c r="M371" s="820">
        <f t="shared" si="905"/>
        <v>2</v>
      </c>
      <c r="N371" s="1033">
        <f t="shared" si="905"/>
        <v>2</v>
      </c>
      <c r="O371" s="406">
        <f t="shared" si="905"/>
        <v>2</v>
      </c>
      <c r="P371" s="406">
        <f t="shared" si="905"/>
        <v>2</v>
      </c>
      <c r="Q371" s="820">
        <f t="shared" si="905"/>
        <v>2</v>
      </c>
      <c r="R371" s="398">
        <f t="shared" si="905"/>
        <v>2</v>
      </c>
      <c r="S371" s="406">
        <f t="shared" si="896"/>
        <v>2</v>
      </c>
      <c r="T371" s="406">
        <f t="shared" si="896"/>
        <v>2</v>
      </c>
      <c r="U371" s="406">
        <f t="shared" si="896"/>
        <v>2</v>
      </c>
      <c r="V371" s="820">
        <f t="shared" si="896"/>
        <v>2</v>
      </c>
      <c r="W371" s="398">
        <f t="shared" si="896"/>
        <v>2</v>
      </c>
      <c r="X371" s="406">
        <f t="shared" si="896"/>
        <v>2</v>
      </c>
      <c r="Y371" s="406">
        <f t="shared" si="896"/>
        <v>2</v>
      </c>
      <c r="Z371" s="406">
        <f t="shared" si="896"/>
        <v>2</v>
      </c>
      <c r="AA371" s="406">
        <f t="shared" ref="AA371:AN371" si="906">AA16+AA87+AA158+AA229+AA300</f>
        <v>2</v>
      </c>
      <c r="AB371" s="398">
        <f t="shared" si="906"/>
        <v>2</v>
      </c>
      <c r="AC371" s="406">
        <f t="shared" si="906"/>
        <v>0</v>
      </c>
      <c r="AD371" s="406">
        <f t="shared" si="906"/>
        <v>0</v>
      </c>
      <c r="AE371" s="406">
        <f t="shared" si="906"/>
        <v>0</v>
      </c>
      <c r="AF371" s="820">
        <f t="shared" si="906"/>
        <v>0</v>
      </c>
      <c r="AG371" s="398">
        <f t="shared" si="906"/>
        <v>0</v>
      </c>
      <c r="AH371" s="406">
        <f t="shared" si="906"/>
        <v>0</v>
      </c>
      <c r="AI371" s="406">
        <f t="shared" si="906"/>
        <v>0</v>
      </c>
      <c r="AJ371" s="406">
        <f t="shared" ref="AJ371:AL371" si="907">AJ16+AJ87+AJ158+AJ229+AJ300</f>
        <v>0</v>
      </c>
      <c r="AK371" s="820">
        <f t="shared" si="907"/>
        <v>0</v>
      </c>
      <c r="AL371" s="398">
        <f t="shared" si="907"/>
        <v>0</v>
      </c>
      <c r="AM371" s="398">
        <f t="shared" si="906"/>
        <v>0</v>
      </c>
      <c r="AN371" s="398">
        <f t="shared" si="906"/>
        <v>0</v>
      </c>
    </row>
    <row r="372" spans="1:40">
      <c r="A372" s="130" t="str">
        <f>A$17</f>
        <v>Hampton Inn (Upper Mid)</v>
      </c>
      <c r="B372" s="1033">
        <f t="shared" ref="B372:R372" si="908">B17+B88+B159+B230+B301</f>
        <v>1</v>
      </c>
      <c r="C372" s="398">
        <f t="shared" si="908"/>
        <v>1</v>
      </c>
      <c r="D372" s="1033">
        <f t="shared" si="908"/>
        <v>1</v>
      </c>
      <c r="E372" s="406">
        <f t="shared" si="908"/>
        <v>1</v>
      </c>
      <c r="F372" s="406">
        <f t="shared" si="908"/>
        <v>1</v>
      </c>
      <c r="G372" s="820">
        <f t="shared" si="908"/>
        <v>1</v>
      </c>
      <c r="H372" s="820">
        <f t="shared" si="908"/>
        <v>1</v>
      </c>
      <c r="I372" s="1033">
        <f t="shared" si="908"/>
        <v>1</v>
      </c>
      <c r="J372" s="406">
        <f t="shared" si="908"/>
        <v>1</v>
      </c>
      <c r="K372" s="406">
        <f t="shared" si="908"/>
        <v>1</v>
      </c>
      <c r="L372" s="820">
        <f t="shared" si="908"/>
        <v>1</v>
      </c>
      <c r="M372" s="820">
        <f t="shared" si="908"/>
        <v>1</v>
      </c>
      <c r="N372" s="1033">
        <f t="shared" si="908"/>
        <v>1</v>
      </c>
      <c r="O372" s="406">
        <f t="shared" si="908"/>
        <v>1</v>
      </c>
      <c r="P372" s="406">
        <f t="shared" si="908"/>
        <v>1</v>
      </c>
      <c r="Q372" s="820">
        <f t="shared" si="908"/>
        <v>1</v>
      </c>
      <c r="R372" s="398">
        <f t="shared" si="908"/>
        <v>1</v>
      </c>
      <c r="S372" s="406">
        <f t="shared" si="896"/>
        <v>1</v>
      </c>
      <c r="T372" s="406">
        <f t="shared" si="896"/>
        <v>1</v>
      </c>
      <c r="U372" s="406">
        <f t="shared" si="896"/>
        <v>1</v>
      </c>
      <c r="V372" s="820">
        <f t="shared" si="896"/>
        <v>1</v>
      </c>
      <c r="W372" s="398">
        <f t="shared" si="896"/>
        <v>1</v>
      </c>
      <c r="X372" s="406">
        <f t="shared" si="896"/>
        <v>1</v>
      </c>
      <c r="Y372" s="406">
        <f t="shared" si="896"/>
        <v>1</v>
      </c>
      <c r="Z372" s="406">
        <f t="shared" si="896"/>
        <v>1</v>
      </c>
      <c r="AA372" s="406">
        <f t="shared" ref="AA372:AN372" si="909">AA17+AA88+AA159+AA230+AA301</f>
        <v>1</v>
      </c>
      <c r="AB372" s="398">
        <f t="shared" si="909"/>
        <v>1</v>
      </c>
      <c r="AC372" s="406">
        <f t="shared" si="909"/>
        <v>0</v>
      </c>
      <c r="AD372" s="406">
        <f t="shared" si="909"/>
        <v>0</v>
      </c>
      <c r="AE372" s="406">
        <f t="shared" si="909"/>
        <v>0</v>
      </c>
      <c r="AF372" s="820">
        <f t="shared" si="909"/>
        <v>0</v>
      </c>
      <c r="AG372" s="398">
        <f t="shared" si="909"/>
        <v>0</v>
      </c>
      <c r="AH372" s="406">
        <f t="shared" si="909"/>
        <v>0</v>
      </c>
      <c r="AI372" s="406">
        <f t="shared" si="909"/>
        <v>0</v>
      </c>
      <c r="AJ372" s="406">
        <f t="shared" ref="AJ372:AL372" si="910">AJ17+AJ88+AJ159+AJ230+AJ301</f>
        <v>0</v>
      </c>
      <c r="AK372" s="820">
        <f t="shared" si="910"/>
        <v>0</v>
      </c>
      <c r="AL372" s="398">
        <f t="shared" si="910"/>
        <v>0</v>
      </c>
      <c r="AM372" s="398">
        <f t="shared" si="909"/>
        <v>0</v>
      </c>
      <c r="AN372" s="398">
        <f t="shared" si="909"/>
        <v>0</v>
      </c>
    </row>
    <row r="373" spans="1:40">
      <c r="A373" s="130" t="str">
        <f>A$18</f>
        <v>Home2 Suites by Hilton (Upper Mid)</v>
      </c>
      <c r="B373" s="1033">
        <f t="shared" ref="B373:R373" si="911">B18+B89+B160+B231+B302</f>
        <v>0</v>
      </c>
      <c r="C373" s="398">
        <f t="shared" si="911"/>
        <v>0</v>
      </c>
      <c r="D373" s="1033">
        <f t="shared" si="911"/>
        <v>0</v>
      </c>
      <c r="E373" s="406">
        <f t="shared" si="911"/>
        <v>0</v>
      </c>
      <c r="F373" s="406">
        <f t="shared" si="911"/>
        <v>0</v>
      </c>
      <c r="G373" s="820">
        <f t="shared" si="911"/>
        <v>0</v>
      </c>
      <c r="H373" s="820">
        <f t="shared" si="911"/>
        <v>0</v>
      </c>
      <c r="I373" s="1033">
        <f t="shared" si="911"/>
        <v>0</v>
      </c>
      <c r="J373" s="406">
        <f t="shared" si="911"/>
        <v>0</v>
      </c>
      <c r="K373" s="406">
        <f t="shared" si="911"/>
        <v>0</v>
      </c>
      <c r="L373" s="820">
        <f t="shared" si="911"/>
        <v>0</v>
      </c>
      <c r="M373" s="820">
        <f t="shared" si="911"/>
        <v>0</v>
      </c>
      <c r="N373" s="1033">
        <f t="shared" si="911"/>
        <v>0</v>
      </c>
      <c r="O373" s="406">
        <f t="shared" si="911"/>
        <v>0</v>
      </c>
      <c r="P373" s="406">
        <f t="shared" si="911"/>
        <v>0</v>
      </c>
      <c r="Q373" s="820">
        <f t="shared" si="911"/>
        <v>0</v>
      </c>
      <c r="R373" s="398">
        <f t="shared" si="911"/>
        <v>0</v>
      </c>
      <c r="S373" s="406">
        <f t="shared" si="896"/>
        <v>0</v>
      </c>
      <c r="T373" s="406">
        <f t="shared" si="896"/>
        <v>0</v>
      </c>
      <c r="U373" s="406">
        <f t="shared" si="896"/>
        <v>0</v>
      </c>
      <c r="V373" s="820">
        <f t="shared" si="896"/>
        <v>0</v>
      </c>
      <c r="W373" s="398">
        <f t="shared" si="896"/>
        <v>0</v>
      </c>
      <c r="X373" s="406">
        <f t="shared" si="896"/>
        <v>0</v>
      </c>
      <c r="Y373" s="406">
        <f t="shared" si="896"/>
        <v>0</v>
      </c>
      <c r="Z373" s="406">
        <f t="shared" si="896"/>
        <v>0</v>
      </c>
      <c r="AA373" s="406">
        <f t="shared" ref="AA373:AN373" si="912">AA18+AA89+AA160+AA231+AA302</f>
        <v>0</v>
      </c>
      <c r="AB373" s="398">
        <f t="shared" si="912"/>
        <v>0</v>
      </c>
      <c r="AC373" s="406">
        <f t="shared" si="912"/>
        <v>0</v>
      </c>
      <c r="AD373" s="406">
        <f t="shared" si="912"/>
        <v>0</v>
      </c>
      <c r="AE373" s="406">
        <f t="shared" si="912"/>
        <v>0</v>
      </c>
      <c r="AF373" s="820">
        <f t="shared" si="912"/>
        <v>0</v>
      </c>
      <c r="AG373" s="398">
        <f t="shared" si="912"/>
        <v>0</v>
      </c>
      <c r="AH373" s="406">
        <f t="shared" si="912"/>
        <v>0</v>
      </c>
      <c r="AI373" s="406">
        <f t="shared" si="912"/>
        <v>0</v>
      </c>
      <c r="AJ373" s="406">
        <f t="shared" ref="AJ373:AL373" si="913">AJ18+AJ89+AJ160+AJ231+AJ302</f>
        <v>0</v>
      </c>
      <c r="AK373" s="820">
        <f t="shared" si="913"/>
        <v>0</v>
      </c>
      <c r="AL373" s="398">
        <f t="shared" si="913"/>
        <v>0</v>
      </c>
      <c r="AM373" s="398">
        <f t="shared" si="912"/>
        <v>0</v>
      </c>
      <c r="AN373" s="398">
        <f t="shared" si="912"/>
        <v>0</v>
      </c>
    </row>
    <row r="374" spans="1:40">
      <c r="A374" s="130" t="str">
        <f>$A$90</f>
        <v>Tru by Hilton</v>
      </c>
      <c r="B374" s="1030"/>
      <c r="C374" s="508"/>
      <c r="D374" s="1030"/>
      <c r="E374" s="912"/>
      <c r="F374" s="912"/>
      <c r="G374" s="1041"/>
      <c r="H374" s="820"/>
      <c r="I374" s="1030"/>
      <c r="J374" s="912"/>
      <c r="K374" s="912"/>
      <c r="L374" s="1041"/>
      <c r="M374" s="820"/>
      <c r="N374" s="1030"/>
      <c r="O374" s="912"/>
      <c r="P374" s="912"/>
      <c r="Q374" s="1041"/>
      <c r="R374" s="820"/>
      <c r="S374" s="1030"/>
      <c r="T374" s="912"/>
      <c r="U374" s="912"/>
      <c r="V374" s="912"/>
      <c r="W374" s="398"/>
      <c r="X374" s="2791"/>
      <c r="Y374" s="2791"/>
      <c r="Z374" s="2791"/>
      <c r="AA374" s="2791"/>
      <c r="AB374" s="398"/>
      <c r="AC374" s="406">
        <f t="shared" ref="AC374:AN374" si="914">AC19+AC90+AC161+AC232+AC303</f>
        <v>0</v>
      </c>
      <c r="AD374" s="406">
        <f t="shared" si="914"/>
        <v>0</v>
      </c>
      <c r="AE374" s="406">
        <f t="shared" si="914"/>
        <v>0</v>
      </c>
      <c r="AF374" s="820">
        <f t="shared" si="914"/>
        <v>0</v>
      </c>
      <c r="AG374" s="398">
        <f t="shared" si="914"/>
        <v>0</v>
      </c>
      <c r="AH374" s="406">
        <f t="shared" si="914"/>
        <v>0</v>
      </c>
      <c r="AI374" s="406">
        <f t="shared" si="914"/>
        <v>0</v>
      </c>
      <c r="AJ374" s="406">
        <f t="shared" ref="AJ374:AL374" si="915">AJ19+AJ90+AJ161+AJ232+AJ303</f>
        <v>0</v>
      </c>
      <c r="AK374" s="820">
        <f t="shared" si="915"/>
        <v>0</v>
      </c>
      <c r="AL374" s="398">
        <f t="shared" si="915"/>
        <v>0</v>
      </c>
      <c r="AM374" s="398">
        <f t="shared" si="914"/>
        <v>0</v>
      </c>
      <c r="AN374" s="398">
        <f t="shared" si="914"/>
        <v>0</v>
      </c>
    </row>
    <row r="375" spans="1:40">
      <c r="A375" s="130" t="str">
        <f>$A$91</f>
        <v>Tapestry Collection by Hilton</v>
      </c>
      <c r="B375" s="1030"/>
      <c r="C375" s="508"/>
      <c r="D375" s="1030"/>
      <c r="E375" s="912"/>
      <c r="F375" s="912"/>
      <c r="G375" s="1041"/>
      <c r="H375" s="820"/>
      <c r="I375" s="1030"/>
      <c r="J375" s="912"/>
      <c r="K375" s="912"/>
      <c r="L375" s="1041"/>
      <c r="M375" s="820"/>
      <c r="N375" s="1030"/>
      <c r="O375" s="912"/>
      <c r="P375" s="912"/>
      <c r="Q375" s="1041"/>
      <c r="R375" s="820"/>
      <c r="S375" s="1030"/>
      <c r="T375" s="912"/>
      <c r="U375" s="912"/>
      <c r="V375" s="912"/>
      <c r="W375" s="398"/>
      <c r="X375" s="2791"/>
      <c r="Y375" s="2791"/>
      <c r="Z375" s="2791"/>
      <c r="AA375" s="2791"/>
      <c r="AB375" s="398"/>
      <c r="AC375" s="406">
        <f t="shared" ref="AC375:AN375" si="916">AC20+AC91+AC162+AC233+AC304</f>
        <v>0</v>
      </c>
      <c r="AD375" s="406">
        <f t="shared" si="916"/>
        <v>0</v>
      </c>
      <c r="AE375" s="406">
        <f t="shared" si="916"/>
        <v>0</v>
      </c>
      <c r="AF375" s="820">
        <f t="shared" si="916"/>
        <v>0</v>
      </c>
      <c r="AG375" s="398">
        <f t="shared" si="916"/>
        <v>0</v>
      </c>
      <c r="AH375" s="406">
        <f t="shared" si="916"/>
        <v>0</v>
      </c>
      <c r="AI375" s="406">
        <f t="shared" si="916"/>
        <v>0</v>
      </c>
      <c r="AJ375" s="406">
        <f t="shared" ref="AJ375:AL375" si="917">AJ20+AJ91+AJ162+AJ233+AJ304</f>
        <v>0</v>
      </c>
      <c r="AK375" s="820">
        <f t="shared" si="917"/>
        <v>0</v>
      </c>
      <c r="AL375" s="398">
        <f t="shared" si="917"/>
        <v>0</v>
      </c>
      <c r="AM375" s="398">
        <f t="shared" si="916"/>
        <v>0</v>
      </c>
      <c r="AN375" s="398">
        <f t="shared" si="916"/>
        <v>0</v>
      </c>
    </row>
    <row r="376" spans="1:40">
      <c r="A376" s="130" t="str">
        <f>A$21</f>
        <v>Homewood Suites by Hilton (Upscale)</v>
      </c>
      <c r="B376" s="1033">
        <f t="shared" ref="B376:AN376" si="918">B21+B92+B163+B234+B305</f>
        <v>0</v>
      </c>
      <c r="C376" s="398">
        <f t="shared" si="918"/>
        <v>0</v>
      </c>
      <c r="D376" s="1033">
        <f t="shared" si="918"/>
        <v>0</v>
      </c>
      <c r="E376" s="406">
        <f t="shared" si="918"/>
        <v>0</v>
      </c>
      <c r="F376" s="406">
        <f t="shared" si="918"/>
        <v>0</v>
      </c>
      <c r="G376" s="820">
        <f t="shared" si="918"/>
        <v>0</v>
      </c>
      <c r="H376" s="820">
        <f t="shared" si="918"/>
        <v>0</v>
      </c>
      <c r="I376" s="1033">
        <f t="shared" si="918"/>
        <v>0</v>
      </c>
      <c r="J376" s="406">
        <f t="shared" si="918"/>
        <v>0</v>
      </c>
      <c r="K376" s="406">
        <f t="shared" si="918"/>
        <v>0</v>
      </c>
      <c r="L376" s="820">
        <f t="shared" si="918"/>
        <v>0</v>
      </c>
      <c r="M376" s="820">
        <f t="shared" si="918"/>
        <v>0</v>
      </c>
      <c r="N376" s="1033">
        <f t="shared" si="918"/>
        <v>0</v>
      </c>
      <c r="O376" s="406">
        <f t="shared" si="918"/>
        <v>0</v>
      </c>
      <c r="P376" s="406">
        <f t="shared" si="918"/>
        <v>0</v>
      </c>
      <c r="Q376" s="820">
        <f t="shared" si="918"/>
        <v>0</v>
      </c>
      <c r="R376" s="398">
        <f t="shared" si="918"/>
        <v>0</v>
      </c>
      <c r="S376" s="406">
        <f t="shared" si="918"/>
        <v>0</v>
      </c>
      <c r="T376" s="406">
        <f t="shared" si="918"/>
        <v>0</v>
      </c>
      <c r="U376" s="406">
        <f t="shared" si="918"/>
        <v>0</v>
      </c>
      <c r="V376" s="820">
        <f t="shared" si="918"/>
        <v>0</v>
      </c>
      <c r="W376" s="398">
        <f t="shared" si="918"/>
        <v>0</v>
      </c>
      <c r="X376" s="406">
        <f t="shared" si="918"/>
        <v>0</v>
      </c>
      <c r="Y376" s="406">
        <f t="shared" si="918"/>
        <v>0</v>
      </c>
      <c r="Z376" s="406">
        <f t="shared" si="918"/>
        <v>0</v>
      </c>
      <c r="AA376" s="406">
        <f t="shared" si="918"/>
        <v>0</v>
      </c>
      <c r="AB376" s="398">
        <f t="shared" si="918"/>
        <v>0</v>
      </c>
      <c r="AC376" s="406">
        <f t="shared" si="918"/>
        <v>0</v>
      </c>
      <c r="AD376" s="406">
        <f t="shared" si="918"/>
        <v>0</v>
      </c>
      <c r="AE376" s="406">
        <f t="shared" si="918"/>
        <v>0</v>
      </c>
      <c r="AF376" s="820">
        <f t="shared" si="918"/>
        <v>0</v>
      </c>
      <c r="AG376" s="398">
        <f t="shared" si="918"/>
        <v>0</v>
      </c>
      <c r="AH376" s="406">
        <f t="shared" si="918"/>
        <v>0</v>
      </c>
      <c r="AI376" s="406">
        <f t="shared" si="918"/>
        <v>0</v>
      </c>
      <c r="AJ376" s="406">
        <f t="shared" ref="AJ376:AL376" si="919">AJ21+AJ92+AJ163+AJ234+AJ305</f>
        <v>0</v>
      </c>
      <c r="AK376" s="820">
        <f t="shared" si="919"/>
        <v>0</v>
      </c>
      <c r="AL376" s="398">
        <f t="shared" si="919"/>
        <v>0</v>
      </c>
      <c r="AM376" s="398">
        <f t="shared" si="918"/>
        <v>0</v>
      </c>
      <c r="AN376" s="398">
        <f t="shared" si="918"/>
        <v>0</v>
      </c>
    </row>
    <row r="377" spans="1:40">
      <c r="A377" s="130" t="s">
        <v>1407</v>
      </c>
      <c r="B377" s="1030">
        <v>2</v>
      </c>
      <c r="C377" s="508">
        <v>3</v>
      </c>
      <c r="D377" s="1030">
        <v>2</v>
      </c>
      <c r="E377" s="912">
        <v>2</v>
      </c>
      <c r="F377" s="912">
        <v>2</v>
      </c>
      <c r="G377" s="1041">
        <v>2</v>
      </c>
      <c r="H377" s="820">
        <f>G377</f>
        <v>2</v>
      </c>
      <c r="I377" s="1030">
        <v>2</v>
      </c>
      <c r="J377" s="912">
        <v>3</v>
      </c>
      <c r="K377" s="912">
        <v>3</v>
      </c>
      <c r="L377" s="1041">
        <v>3</v>
      </c>
      <c r="M377" s="820">
        <f>L377</f>
        <v>3</v>
      </c>
      <c r="N377" s="1030">
        <v>3</v>
      </c>
      <c r="O377" s="912">
        <v>3</v>
      </c>
      <c r="P377" s="912">
        <v>3</v>
      </c>
      <c r="Q377" s="1041">
        <v>3</v>
      </c>
      <c r="R377" s="820">
        <f>Q377</f>
        <v>3</v>
      </c>
      <c r="S377" s="1030">
        <v>3</v>
      </c>
      <c r="T377" s="912">
        <v>3</v>
      </c>
      <c r="U377" s="912">
        <v>3</v>
      </c>
      <c r="V377" s="912">
        <v>3</v>
      </c>
      <c r="W377" s="398">
        <f t="shared" ref="T377:W378" si="920">V377</f>
        <v>3</v>
      </c>
      <c r="X377" s="2791">
        <v>1</v>
      </c>
      <c r="Y377" s="2791">
        <v>1</v>
      </c>
      <c r="Z377" s="406">
        <f t="shared" ref="X377:AB378" si="921">Y377</f>
        <v>1</v>
      </c>
      <c r="AA377" s="406">
        <f t="shared" si="921"/>
        <v>1</v>
      </c>
      <c r="AB377" s="820">
        <f t="shared" si="921"/>
        <v>1</v>
      </c>
      <c r="AC377" s="406">
        <v>0</v>
      </c>
      <c r="AD377" s="406">
        <f t="shared" ref="AD377:AG378" si="922">AC377</f>
        <v>0</v>
      </c>
      <c r="AE377" s="406">
        <f t="shared" si="922"/>
        <v>0</v>
      </c>
      <c r="AF377" s="820">
        <f t="shared" si="922"/>
        <v>0</v>
      </c>
      <c r="AG377" s="820">
        <f t="shared" si="922"/>
        <v>0</v>
      </c>
      <c r="AH377" s="406">
        <f t="shared" ref="AH377:AH378" si="923">AG377</f>
        <v>0</v>
      </c>
      <c r="AI377" s="406">
        <f t="shared" ref="AI377:AI378" si="924">AH377</f>
        <v>0</v>
      </c>
      <c r="AJ377" s="406">
        <f t="shared" ref="AJ377:AJ378" si="925">AI377</f>
        <v>0</v>
      </c>
      <c r="AK377" s="820">
        <f t="shared" ref="AK377:AK378" si="926">AJ377</f>
        <v>0</v>
      </c>
      <c r="AL377" s="820">
        <f t="shared" ref="AL377:AL378" si="927">AK377</f>
        <v>0</v>
      </c>
      <c r="AM377" s="398">
        <f t="shared" ref="AM377:AN378" si="928">AL377</f>
        <v>0</v>
      </c>
      <c r="AN377" s="398">
        <f t="shared" si="928"/>
        <v>0</v>
      </c>
    </row>
    <row r="378" spans="1:40" s="5" customFormat="1">
      <c r="A378" s="402" t="s">
        <v>1394</v>
      </c>
      <c r="B378" s="1031">
        <v>38</v>
      </c>
      <c r="C378" s="1029">
        <v>0</v>
      </c>
      <c r="D378" s="1031">
        <v>0</v>
      </c>
      <c r="E378" s="1039">
        <v>0</v>
      </c>
      <c r="F378" s="1039">
        <v>0</v>
      </c>
      <c r="G378" s="1042">
        <v>0</v>
      </c>
      <c r="H378" s="700">
        <f>G378</f>
        <v>0</v>
      </c>
      <c r="I378" s="1031">
        <v>0</v>
      </c>
      <c r="J378" s="1039">
        <v>0</v>
      </c>
      <c r="K378" s="1039">
        <v>0</v>
      </c>
      <c r="L378" s="1042">
        <v>0</v>
      </c>
      <c r="M378" s="700">
        <f>L378</f>
        <v>0</v>
      </c>
      <c r="N378" s="1031">
        <v>0</v>
      </c>
      <c r="O378" s="1039">
        <v>0</v>
      </c>
      <c r="P378" s="1039">
        <v>0</v>
      </c>
      <c r="Q378" s="1042">
        <v>0</v>
      </c>
      <c r="R378" s="700">
        <f>Q378</f>
        <v>0</v>
      </c>
      <c r="S378" s="615">
        <f>R378</f>
        <v>0</v>
      </c>
      <c r="T378" s="615">
        <f t="shared" si="920"/>
        <v>0</v>
      </c>
      <c r="U378" s="615">
        <f t="shared" si="920"/>
        <v>0</v>
      </c>
      <c r="V378" s="700">
        <f t="shared" si="920"/>
        <v>0</v>
      </c>
      <c r="W378" s="700">
        <f t="shared" si="920"/>
        <v>0</v>
      </c>
      <c r="X378" s="615">
        <f t="shared" si="921"/>
        <v>0</v>
      </c>
      <c r="Y378" s="615">
        <f t="shared" si="921"/>
        <v>0</v>
      </c>
      <c r="Z378" s="615">
        <f t="shared" si="921"/>
        <v>0</v>
      </c>
      <c r="AA378" s="615">
        <f t="shared" si="921"/>
        <v>0</v>
      </c>
      <c r="AB378" s="700">
        <f t="shared" si="921"/>
        <v>0</v>
      </c>
      <c r="AC378" s="615">
        <f>AB378</f>
        <v>0</v>
      </c>
      <c r="AD378" s="615">
        <f t="shared" si="922"/>
        <v>0</v>
      </c>
      <c r="AE378" s="615">
        <f t="shared" si="922"/>
        <v>0</v>
      </c>
      <c r="AF378" s="700">
        <f t="shared" si="922"/>
        <v>0</v>
      </c>
      <c r="AG378" s="700">
        <f t="shared" si="922"/>
        <v>0</v>
      </c>
      <c r="AH378" s="615">
        <f t="shared" si="923"/>
        <v>0</v>
      </c>
      <c r="AI378" s="615">
        <f t="shared" si="924"/>
        <v>0</v>
      </c>
      <c r="AJ378" s="615">
        <f t="shared" si="925"/>
        <v>0</v>
      </c>
      <c r="AK378" s="700">
        <f t="shared" si="926"/>
        <v>0</v>
      </c>
      <c r="AL378" s="700">
        <f t="shared" si="927"/>
        <v>0</v>
      </c>
      <c r="AM378" s="403">
        <f t="shared" si="928"/>
        <v>0</v>
      </c>
      <c r="AN378" s="403">
        <f t="shared" si="928"/>
        <v>0</v>
      </c>
    </row>
    <row r="379" spans="1:40">
      <c r="A379" s="482" t="s">
        <v>1687</v>
      </c>
      <c r="B379" s="1032">
        <f>SUM(B364:B378)</f>
        <v>199</v>
      </c>
      <c r="C379" s="400">
        <f>SUM(C364:C378)</f>
        <v>161</v>
      </c>
      <c r="D379" s="1032">
        <f t="shared" ref="D379:R379" si="929">SUM(D364:D378)</f>
        <v>161</v>
      </c>
      <c r="E379" s="405">
        <f t="shared" si="929"/>
        <v>161</v>
      </c>
      <c r="F379" s="405">
        <f t="shared" si="929"/>
        <v>161</v>
      </c>
      <c r="G379" s="821">
        <f t="shared" si="929"/>
        <v>161</v>
      </c>
      <c r="H379" s="821">
        <f t="shared" si="929"/>
        <v>161</v>
      </c>
      <c r="I379" s="1032">
        <f t="shared" si="929"/>
        <v>158</v>
      </c>
      <c r="J379" s="405">
        <f t="shared" si="929"/>
        <v>157</v>
      </c>
      <c r="K379" s="405">
        <f t="shared" si="929"/>
        <v>156</v>
      </c>
      <c r="L379" s="821">
        <f>SUM(L364:L378)</f>
        <v>155</v>
      </c>
      <c r="M379" s="821">
        <f>SUM(M364:M378)</f>
        <v>155</v>
      </c>
      <c r="N379" s="1032">
        <f t="shared" si="929"/>
        <v>154</v>
      </c>
      <c r="O379" s="405">
        <f t="shared" si="929"/>
        <v>152</v>
      </c>
      <c r="P379" s="405">
        <f t="shared" si="929"/>
        <v>145</v>
      </c>
      <c r="Q379" s="821">
        <f t="shared" si="929"/>
        <v>144</v>
      </c>
      <c r="R379" s="400">
        <f t="shared" si="929"/>
        <v>144</v>
      </c>
      <c r="S379" s="405">
        <f t="shared" ref="S379:AN379" si="930">SUM(S364:S378)</f>
        <v>148</v>
      </c>
      <c r="T379" s="405">
        <f t="shared" si="930"/>
        <v>149</v>
      </c>
      <c r="U379" s="405">
        <f t="shared" si="930"/>
        <v>147</v>
      </c>
      <c r="V379" s="821">
        <f t="shared" si="930"/>
        <v>146</v>
      </c>
      <c r="W379" s="400">
        <f t="shared" si="930"/>
        <v>146</v>
      </c>
      <c r="X379" s="405">
        <f t="shared" si="930"/>
        <v>144</v>
      </c>
      <c r="Y379" s="405">
        <f t="shared" si="930"/>
        <v>143</v>
      </c>
      <c r="Z379" s="405">
        <f t="shared" si="930"/>
        <v>143</v>
      </c>
      <c r="AA379" s="405">
        <f t="shared" si="930"/>
        <v>142</v>
      </c>
      <c r="AB379" s="400">
        <f t="shared" si="930"/>
        <v>142</v>
      </c>
      <c r="AC379" s="405">
        <f t="shared" si="930"/>
        <v>75</v>
      </c>
      <c r="AD379" s="405">
        <f t="shared" si="930"/>
        <v>74</v>
      </c>
      <c r="AE379" s="405">
        <f t="shared" si="930"/>
        <v>73</v>
      </c>
      <c r="AF379" s="821">
        <f t="shared" si="930"/>
        <v>73</v>
      </c>
      <c r="AG379" s="400">
        <f t="shared" si="930"/>
        <v>73</v>
      </c>
      <c r="AH379" s="405">
        <f t="shared" si="930"/>
        <v>73</v>
      </c>
      <c r="AI379" s="405">
        <f t="shared" si="930"/>
        <v>73</v>
      </c>
      <c r="AJ379" s="405">
        <f t="shared" ref="AJ379:AL379" si="931">SUM(AJ364:AJ378)</f>
        <v>73</v>
      </c>
      <c r="AK379" s="821">
        <f t="shared" si="931"/>
        <v>73</v>
      </c>
      <c r="AL379" s="400">
        <f t="shared" si="931"/>
        <v>73</v>
      </c>
      <c r="AM379" s="400">
        <f t="shared" si="930"/>
        <v>73</v>
      </c>
      <c r="AN379" s="400">
        <f t="shared" si="930"/>
        <v>73</v>
      </c>
    </row>
    <row r="380" spans="1:40">
      <c r="A380" s="482"/>
      <c r="B380" s="1032"/>
      <c r="C380" s="400"/>
      <c r="D380" s="1032"/>
      <c r="E380" s="405"/>
      <c r="F380" s="405"/>
      <c r="G380" s="821"/>
      <c r="H380" s="821"/>
      <c r="I380" s="1032"/>
      <c r="J380" s="405"/>
      <c r="K380" s="405"/>
      <c r="L380" s="821"/>
      <c r="M380" s="821"/>
      <c r="N380" s="405"/>
      <c r="O380" s="405"/>
      <c r="P380" s="405"/>
      <c r="Q380" s="821"/>
      <c r="R380" s="400"/>
      <c r="S380" s="405"/>
      <c r="T380" s="405"/>
      <c r="U380" s="405"/>
      <c r="V380" s="821"/>
      <c r="W380" s="400"/>
      <c r="X380" s="405"/>
      <c r="Y380" s="405"/>
      <c r="Z380" s="405"/>
      <c r="AA380" s="405"/>
      <c r="AB380" s="400"/>
      <c r="AC380" s="405"/>
      <c r="AD380" s="405"/>
      <c r="AE380" s="405"/>
      <c r="AF380" s="821"/>
      <c r="AG380" s="400"/>
      <c r="AH380" s="405"/>
      <c r="AI380" s="405"/>
      <c r="AJ380" s="405"/>
      <c r="AK380" s="821"/>
      <c r="AL380" s="400"/>
      <c r="AM380" s="400"/>
      <c r="AN380" s="400"/>
    </row>
    <row r="381" spans="1:40">
      <c r="A381" s="484" t="s">
        <v>1283</v>
      </c>
      <c r="B381" s="1033"/>
      <c r="C381" s="398"/>
      <c r="D381" s="1033"/>
      <c r="E381" s="406"/>
      <c r="F381" s="406"/>
      <c r="G381" s="820"/>
      <c r="H381" s="820"/>
      <c r="I381" s="1033"/>
      <c r="J381" s="406"/>
      <c r="K381" s="406"/>
      <c r="L381" s="820"/>
      <c r="M381" s="820"/>
      <c r="N381" s="406"/>
      <c r="O381" s="406"/>
      <c r="P381" s="406"/>
      <c r="Q381" s="820"/>
      <c r="R381" s="398"/>
      <c r="S381" s="406"/>
      <c r="T381" s="406"/>
      <c r="U381" s="406"/>
      <c r="V381" s="820"/>
      <c r="W381" s="398"/>
      <c r="X381" s="406"/>
      <c r="Y381" s="406"/>
      <c r="Z381" s="406"/>
      <c r="AA381" s="406"/>
      <c r="AB381" s="398"/>
      <c r="AC381" s="406"/>
      <c r="AD381" s="406"/>
      <c r="AE381" s="406"/>
      <c r="AF381" s="820"/>
      <c r="AG381" s="398"/>
      <c r="AH381" s="406"/>
      <c r="AI381" s="406"/>
      <c r="AJ381" s="406"/>
      <c r="AK381" s="820"/>
      <c r="AL381" s="398"/>
      <c r="AM381" s="398"/>
      <c r="AN381" s="398"/>
    </row>
    <row r="382" spans="1:40">
      <c r="A382" s="130" t="str">
        <f>A$9</f>
        <v>Waldorf Astoria Hotels &amp; Resorts (Luxury)</v>
      </c>
      <c r="B382" s="1033">
        <f t="shared" ref="B382:AN382" si="932">B25+B96+B167+B238+B309</f>
        <v>15</v>
      </c>
      <c r="C382" s="398">
        <f t="shared" si="932"/>
        <v>14</v>
      </c>
      <c r="D382" s="1033">
        <f t="shared" si="932"/>
        <v>14</v>
      </c>
      <c r="E382" s="406">
        <f t="shared" si="932"/>
        <v>14</v>
      </c>
      <c r="F382" s="406">
        <f t="shared" si="932"/>
        <v>16</v>
      </c>
      <c r="G382" s="820">
        <f t="shared" si="932"/>
        <v>17</v>
      </c>
      <c r="H382" s="820">
        <f t="shared" si="932"/>
        <v>17</v>
      </c>
      <c r="I382" s="1033">
        <f t="shared" si="932"/>
        <v>17</v>
      </c>
      <c r="J382" s="406">
        <f t="shared" si="932"/>
        <v>17</v>
      </c>
      <c r="K382" s="406">
        <f t="shared" si="932"/>
        <v>20</v>
      </c>
      <c r="L382" s="820">
        <f t="shared" si="932"/>
        <v>20</v>
      </c>
      <c r="M382" s="820">
        <f t="shared" si="932"/>
        <v>20</v>
      </c>
      <c r="N382" s="1033">
        <f t="shared" si="932"/>
        <v>21</v>
      </c>
      <c r="O382" s="406">
        <f t="shared" si="932"/>
        <v>22</v>
      </c>
      <c r="P382" s="406">
        <f t="shared" si="932"/>
        <v>21</v>
      </c>
      <c r="Q382" s="820">
        <f t="shared" si="932"/>
        <v>21</v>
      </c>
      <c r="R382" s="398">
        <f t="shared" si="932"/>
        <v>21</v>
      </c>
      <c r="S382" s="406">
        <f t="shared" si="932"/>
        <v>19</v>
      </c>
      <c r="T382" s="406">
        <f t="shared" si="932"/>
        <v>18</v>
      </c>
      <c r="U382" s="406">
        <f t="shared" si="932"/>
        <v>18</v>
      </c>
      <c r="V382" s="820">
        <f t="shared" si="932"/>
        <v>18</v>
      </c>
      <c r="W382" s="398">
        <f t="shared" si="932"/>
        <v>18</v>
      </c>
      <c r="X382" s="406">
        <f t="shared" si="932"/>
        <v>18</v>
      </c>
      <c r="Y382" s="406">
        <f t="shared" si="932"/>
        <v>19</v>
      </c>
      <c r="Z382" s="406">
        <f t="shared" si="932"/>
        <v>19</v>
      </c>
      <c r="AA382" s="406">
        <f t="shared" si="932"/>
        <v>19</v>
      </c>
      <c r="AB382" s="398">
        <f t="shared" si="932"/>
        <v>19</v>
      </c>
      <c r="AC382" s="406">
        <f t="shared" si="932"/>
        <v>21.163</v>
      </c>
      <c r="AD382" s="406">
        <f t="shared" si="932"/>
        <v>21.339716098979881</v>
      </c>
      <c r="AE382" s="406">
        <f t="shared" si="932"/>
        <v>23</v>
      </c>
      <c r="AF382" s="820">
        <f t="shared" si="932"/>
        <v>23</v>
      </c>
      <c r="AG382" s="398">
        <f t="shared" si="932"/>
        <v>23</v>
      </c>
      <c r="AH382" s="406">
        <f t="shared" si="932"/>
        <v>23.285000000000004</v>
      </c>
      <c r="AI382" s="406">
        <f t="shared" si="932"/>
        <v>23.573675000000001</v>
      </c>
      <c r="AJ382" s="406">
        <f t="shared" ref="AJ382:AL382" si="933">AJ25+AJ96+AJ167+AJ238+AJ309</f>
        <v>23.859953525000002</v>
      </c>
      <c r="AK382" s="820">
        <f t="shared" si="933"/>
        <v>24.156065370874998</v>
      </c>
      <c r="AL382" s="398">
        <f t="shared" si="933"/>
        <v>24.156065370874998</v>
      </c>
      <c r="AM382" s="398">
        <f t="shared" si="932"/>
        <v>25.180682980994376</v>
      </c>
      <c r="AN382" s="398">
        <f t="shared" si="932"/>
        <v>25.8063003807586</v>
      </c>
    </row>
    <row r="383" spans="1:40">
      <c r="A383" s="130" t="str">
        <f>A$10</f>
        <v>Conrad Hotels &amp; Resorts (Luxury)</v>
      </c>
      <c r="B383" s="1033">
        <f t="shared" ref="B383:AN383" si="934">B26+B97+B168+B239+B310</f>
        <v>12</v>
      </c>
      <c r="C383" s="398">
        <f t="shared" si="934"/>
        <v>13</v>
      </c>
      <c r="D383" s="1033">
        <f t="shared" si="934"/>
        <v>15</v>
      </c>
      <c r="E383" s="406">
        <f t="shared" si="934"/>
        <v>15</v>
      </c>
      <c r="F383" s="406">
        <f t="shared" si="934"/>
        <v>16</v>
      </c>
      <c r="G383" s="820">
        <f t="shared" si="934"/>
        <v>17</v>
      </c>
      <c r="H383" s="820">
        <f t="shared" si="934"/>
        <v>17</v>
      </c>
      <c r="I383" s="1033">
        <f t="shared" si="934"/>
        <v>18</v>
      </c>
      <c r="J383" s="406">
        <f t="shared" si="934"/>
        <v>18</v>
      </c>
      <c r="K383" s="406">
        <f t="shared" si="934"/>
        <v>18</v>
      </c>
      <c r="L383" s="820">
        <f t="shared" si="934"/>
        <v>19</v>
      </c>
      <c r="M383" s="820">
        <f t="shared" si="934"/>
        <v>19</v>
      </c>
      <c r="N383" s="1033">
        <f t="shared" si="934"/>
        <v>19</v>
      </c>
      <c r="O383" s="406">
        <f t="shared" si="934"/>
        <v>19</v>
      </c>
      <c r="P383" s="406">
        <f t="shared" si="934"/>
        <v>19</v>
      </c>
      <c r="Q383" s="820">
        <f t="shared" si="934"/>
        <v>19</v>
      </c>
      <c r="R383" s="398">
        <f t="shared" si="934"/>
        <v>19</v>
      </c>
      <c r="S383" s="406">
        <f t="shared" si="934"/>
        <v>19</v>
      </c>
      <c r="T383" s="406">
        <f t="shared" si="934"/>
        <v>19</v>
      </c>
      <c r="U383" s="406">
        <f t="shared" si="934"/>
        <v>18</v>
      </c>
      <c r="V383" s="820">
        <f t="shared" si="934"/>
        <v>18</v>
      </c>
      <c r="W383" s="398">
        <f t="shared" si="934"/>
        <v>18</v>
      </c>
      <c r="X383" s="406">
        <f t="shared" si="934"/>
        <v>19</v>
      </c>
      <c r="Y383" s="406">
        <f t="shared" si="934"/>
        <v>21</v>
      </c>
      <c r="Z383" s="406">
        <f t="shared" si="934"/>
        <v>22</v>
      </c>
      <c r="AA383" s="406">
        <f t="shared" si="934"/>
        <v>23</v>
      </c>
      <c r="AB383" s="398">
        <f t="shared" si="934"/>
        <v>23</v>
      </c>
      <c r="AC383" s="406">
        <f t="shared" si="934"/>
        <v>23.218</v>
      </c>
      <c r="AD383" s="406">
        <f t="shared" si="934"/>
        <v>23.155833549489941</v>
      </c>
      <c r="AE383" s="406">
        <f t="shared" si="934"/>
        <v>25</v>
      </c>
      <c r="AF383" s="820">
        <f t="shared" si="934"/>
        <v>28</v>
      </c>
      <c r="AG383" s="398">
        <f t="shared" si="934"/>
        <v>28</v>
      </c>
      <c r="AH383" s="406">
        <f t="shared" si="934"/>
        <v>28.4</v>
      </c>
      <c r="AI383" s="406">
        <f t="shared" si="934"/>
        <v>28.805799999999994</v>
      </c>
      <c r="AJ383" s="406">
        <f t="shared" ref="AJ383:AL383" si="935">AJ26+AJ97+AJ168+AJ239+AJ310</f>
        <v>29.21544479999999</v>
      </c>
      <c r="AK383" s="820">
        <f t="shared" si="935"/>
        <v>29.633080652999986</v>
      </c>
      <c r="AL383" s="398">
        <f t="shared" si="935"/>
        <v>29.633080652999986</v>
      </c>
      <c r="AM383" s="398">
        <f t="shared" si="934"/>
        <v>30.945767505194986</v>
      </c>
      <c r="AN383" s="398">
        <f t="shared" si="934"/>
        <v>31.830872833795635</v>
      </c>
    </row>
    <row r="384" spans="1:40">
      <c r="A384" s="1828" t="s">
        <v>3022</v>
      </c>
      <c r="B384" s="1033"/>
      <c r="C384" s="398"/>
      <c r="D384" s="1033"/>
      <c r="E384" s="406"/>
      <c r="F384" s="406"/>
      <c r="G384" s="820"/>
      <c r="H384" s="820"/>
      <c r="I384" s="1033"/>
      <c r="J384" s="406"/>
      <c r="K384" s="406"/>
      <c r="L384" s="820"/>
      <c r="M384" s="820"/>
      <c r="N384" s="1033"/>
      <c r="O384" s="406"/>
      <c r="P384" s="406"/>
      <c r="Q384" s="820"/>
      <c r="R384" s="398"/>
      <c r="S384" s="406"/>
      <c r="T384" s="406"/>
      <c r="U384" s="406"/>
      <c r="V384" s="820"/>
      <c r="W384" s="398"/>
      <c r="X384" s="406"/>
      <c r="Y384" s="406"/>
      <c r="Z384" s="406"/>
      <c r="AA384" s="406">
        <f t="shared" ref="AA384:AN384" si="936">AA27+AA98+AA169+AA240+AA311</f>
        <v>0</v>
      </c>
      <c r="AB384" s="398">
        <f t="shared" si="936"/>
        <v>0</v>
      </c>
      <c r="AC384" s="406">
        <f t="shared" si="936"/>
        <v>0</v>
      </c>
      <c r="AD384" s="406">
        <f t="shared" si="936"/>
        <v>0</v>
      </c>
      <c r="AE384" s="406">
        <f t="shared" si="936"/>
        <v>0</v>
      </c>
      <c r="AF384" s="820">
        <f t="shared" si="936"/>
        <v>0</v>
      </c>
      <c r="AG384" s="398">
        <f t="shared" si="936"/>
        <v>0</v>
      </c>
      <c r="AH384" s="406">
        <f t="shared" si="936"/>
        <v>0</v>
      </c>
      <c r="AI384" s="406">
        <f t="shared" si="936"/>
        <v>0</v>
      </c>
      <c r="AJ384" s="406">
        <f t="shared" ref="AJ384:AL384" si="937">AJ27+AJ98+AJ169+AJ240+AJ311</f>
        <v>0</v>
      </c>
      <c r="AK384" s="820">
        <f t="shared" si="937"/>
        <v>0</v>
      </c>
      <c r="AL384" s="398">
        <f t="shared" si="937"/>
        <v>0</v>
      </c>
      <c r="AM384" s="398">
        <f t="shared" si="936"/>
        <v>0</v>
      </c>
      <c r="AN384" s="398">
        <f t="shared" si="936"/>
        <v>0</v>
      </c>
    </row>
    <row r="385" spans="1:40">
      <c r="A385" s="130" t="str">
        <f>A$12</f>
        <v>Hilton Hotels &amp; Resorts (Upper Up)</v>
      </c>
      <c r="B385" s="1033">
        <f t="shared" ref="B385:Z385" si="938">B28+B99+B170+B241+B312</f>
        <v>182</v>
      </c>
      <c r="C385" s="398">
        <f t="shared" si="938"/>
        <v>194</v>
      </c>
      <c r="D385" s="1033">
        <f t="shared" si="938"/>
        <v>197</v>
      </c>
      <c r="E385" s="406">
        <f t="shared" si="938"/>
        <v>200</v>
      </c>
      <c r="F385" s="406">
        <f t="shared" si="938"/>
        <v>200</v>
      </c>
      <c r="G385" s="820">
        <f t="shared" si="938"/>
        <v>205</v>
      </c>
      <c r="H385" s="820">
        <f t="shared" si="938"/>
        <v>205</v>
      </c>
      <c r="I385" s="1033">
        <f t="shared" si="938"/>
        <v>209</v>
      </c>
      <c r="J385" s="406">
        <f t="shared" si="938"/>
        <v>208</v>
      </c>
      <c r="K385" s="406">
        <f t="shared" si="938"/>
        <v>211</v>
      </c>
      <c r="L385" s="820">
        <f t="shared" si="938"/>
        <v>211</v>
      </c>
      <c r="M385" s="820">
        <f t="shared" si="938"/>
        <v>211</v>
      </c>
      <c r="N385" s="1033">
        <f t="shared" si="938"/>
        <v>217</v>
      </c>
      <c r="O385" s="406">
        <f t="shared" si="938"/>
        <v>217</v>
      </c>
      <c r="P385" s="406">
        <f t="shared" si="938"/>
        <v>221</v>
      </c>
      <c r="Q385" s="820">
        <f t="shared" si="938"/>
        <v>221</v>
      </c>
      <c r="R385" s="398">
        <f t="shared" si="938"/>
        <v>221</v>
      </c>
      <c r="S385" s="406">
        <f t="shared" si="938"/>
        <v>216</v>
      </c>
      <c r="T385" s="406">
        <f t="shared" si="938"/>
        <v>219</v>
      </c>
      <c r="U385" s="406">
        <f t="shared" si="938"/>
        <v>225</v>
      </c>
      <c r="V385" s="820">
        <f t="shared" si="938"/>
        <v>233</v>
      </c>
      <c r="W385" s="398">
        <f t="shared" si="938"/>
        <v>233</v>
      </c>
      <c r="X385" s="406">
        <f>X28+X99+X170+X241+X312</f>
        <v>221</v>
      </c>
      <c r="Y385" s="406">
        <f t="shared" si="938"/>
        <v>219</v>
      </c>
      <c r="Z385" s="406">
        <f t="shared" si="938"/>
        <v>221</v>
      </c>
      <c r="AA385" s="406">
        <f t="shared" ref="AA385:AN385" si="939">AA28+AA99+AA170+AA241+AA312</f>
        <v>225</v>
      </c>
      <c r="AB385" s="398">
        <f t="shared" si="939"/>
        <v>225</v>
      </c>
      <c r="AC385" s="406">
        <f t="shared" si="939"/>
        <v>265.13899999999995</v>
      </c>
      <c r="AD385" s="406">
        <f t="shared" si="939"/>
        <v>266</v>
      </c>
      <c r="AE385" s="406">
        <f t="shared" si="939"/>
        <v>266</v>
      </c>
      <c r="AF385" s="820">
        <f t="shared" si="939"/>
        <v>272</v>
      </c>
      <c r="AG385" s="398">
        <f t="shared" si="939"/>
        <v>272</v>
      </c>
      <c r="AH385" s="406">
        <f t="shared" si="939"/>
        <v>276.08</v>
      </c>
      <c r="AI385" s="406">
        <f t="shared" si="939"/>
        <v>280.16182249999997</v>
      </c>
      <c r="AJ385" s="406">
        <f t="shared" ref="AJ385:AL385" si="940">AJ28+AJ99+AJ170+AJ241+AJ312</f>
        <v>284.0297235999999</v>
      </c>
      <c r="AK385" s="820">
        <f t="shared" si="940"/>
        <v>287.9522979541249</v>
      </c>
      <c r="AL385" s="398">
        <f t="shared" si="940"/>
        <v>287.9522979541249</v>
      </c>
      <c r="AM385" s="398">
        <f t="shared" si="939"/>
        <v>301.25140157693426</v>
      </c>
      <c r="AN385" s="398">
        <f t="shared" si="939"/>
        <v>310.28894362424228</v>
      </c>
    </row>
    <row r="386" spans="1:40">
      <c r="A386" s="130" t="str">
        <f>A29</f>
        <v xml:space="preserve">Curio - A Collection by Hilton </v>
      </c>
      <c r="B386" s="1033"/>
      <c r="C386" s="398"/>
      <c r="D386" s="1033"/>
      <c r="E386" s="406"/>
      <c r="F386" s="406"/>
      <c r="G386" s="820"/>
      <c r="H386" s="820"/>
      <c r="I386" s="1033"/>
      <c r="J386" s="406"/>
      <c r="K386" s="406"/>
      <c r="L386" s="820"/>
      <c r="M386" s="820"/>
      <c r="N386" s="1033"/>
      <c r="O386" s="406"/>
      <c r="P386" s="406"/>
      <c r="Q386" s="820">
        <f t="shared" ref="Q386:Z386" si="941">Q29+Q100+Q171+Q242+Q313</f>
        <v>1</v>
      </c>
      <c r="R386" s="398">
        <f t="shared" si="941"/>
        <v>1</v>
      </c>
      <c r="S386" s="406">
        <f t="shared" si="941"/>
        <v>1</v>
      </c>
      <c r="T386" s="406">
        <f t="shared" si="941"/>
        <v>1</v>
      </c>
      <c r="U386" s="406">
        <f t="shared" si="941"/>
        <v>1</v>
      </c>
      <c r="V386" s="820">
        <f t="shared" si="941"/>
        <v>1</v>
      </c>
      <c r="W386" s="398">
        <f t="shared" si="941"/>
        <v>1</v>
      </c>
      <c r="X386" s="406">
        <f t="shared" si="941"/>
        <v>1</v>
      </c>
      <c r="Y386" s="406">
        <f t="shared" si="941"/>
        <v>1</v>
      </c>
      <c r="Z386" s="406">
        <f t="shared" si="941"/>
        <v>1</v>
      </c>
      <c r="AA386" s="406">
        <f t="shared" ref="AA386:AN386" si="942">AA29+AA100+AA171+AA242+AA313</f>
        <v>2</v>
      </c>
      <c r="AB386" s="398">
        <f t="shared" si="942"/>
        <v>2</v>
      </c>
      <c r="AC386" s="406">
        <f t="shared" si="942"/>
        <v>3.012</v>
      </c>
      <c r="AD386" s="406">
        <f t="shared" si="942"/>
        <v>3.026084</v>
      </c>
      <c r="AE386" s="406">
        <f t="shared" si="942"/>
        <v>8</v>
      </c>
      <c r="AF386" s="820">
        <f t="shared" si="942"/>
        <v>9</v>
      </c>
      <c r="AG386" s="398">
        <f t="shared" si="942"/>
        <v>9</v>
      </c>
      <c r="AH386" s="406">
        <f t="shared" si="942"/>
        <v>9.07</v>
      </c>
      <c r="AI386" s="406">
        <f t="shared" si="942"/>
        <v>9.1549899999999997</v>
      </c>
      <c r="AJ386" s="406">
        <f t="shared" ref="AJ386:AL386" si="943">AJ29+AJ100+AJ171+AJ242+AJ313</f>
        <v>9.2473148499999986</v>
      </c>
      <c r="AK386" s="820">
        <f t="shared" si="943"/>
        <v>9.3410245727499976</v>
      </c>
      <c r="AL386" s="398">
        <f t="shared" si="943"/>
        <v>9.3410245727499976</v>
      </c>
      <c r="AM386" s="398">
        <f t="shared" si="942"/>
        <v>9.6685536532387477</v>
      </c>
      <c r="AN386" s="398">
        <f t="shared" si="942"/>
        <v>9.9131133011602355</v>
      </c>
    </row>
    <row r="387" spans="1:40">
      <c r="A387" s="130" t="str">
        <f>A$14</f>
        <v>DoubleTree by Hilton (Upscale)</v>
      </c>
      <c r="B387" s="1033">
        <f t="shared" ref="B387:P387" si="944">B30+B101+B172+B243+B314</f>
        <v>39</v>
      </c>
      <c r="C387" s="398">
        <f t="shared" si="944"/>
        <v>48</v>
      </c>
      <c r="D387" s="1033">
        <f t="shared" si="944"/>
        <v>52</v>
      </c>
      <c r="E387" s="406">
        <f t="shared" si="944"/>
        <v>50</v>
      </c>
      <c r="F387" s="406">
        <f t="shared" si="944"/>
        <v>52</v>
      </c>
      <c r="G387" s="820">
        <f t="shared" si="944"/>
        <v>56</v>
      </c>
      <c r="H387" s="820">
        <f t="shared" si="944"/>
        <v>56</v>
      </c>
      <c r="I387" s="1033">
        <f t="shared" si="944"/>
        <v>58</v>
      </c>
      <c r="J387" s="406">
        <f t="shared" si="944"/>
        <v>63</v>
      </c>
      <c r="K387" s="406">
        <f t="shared" si="944"/>
        <v>65</v>
      </c>
      <c r="L387" s="820">
        <f t="shared" si="944"/>
        <v>72</v>
      </c>
      <c r="M387" s="820">
        <f t="shared" si="944"/>
        <v>72</v>
      </c>
      <c r="N387" s="1033">
        <f t="shared" si="944"/>
        <v>74</v>
      </c>
      <c r="O387" s="406">
        <f t="shared" si="944"/>
        <v>76</v>
      </c>
      <c r="P387" s="406">
        <f t="shared" si="944"/>
        <v>79</v>
      </c>
      <c r="Q387" s="820">
        <f t="shared" ref="Q387:Z387" si="945">Q30+Q101+Q172+Q243+Q314</f>
        <v>87</v>
      </c>
      <c r="R387" s="398">
        <f t="shared" si="945"/>
        <v>87</v>
      </c>
      <c r="S387" s="406">
        <f t="shared" si="945"/>
        <v>87</v>
      </c>
      <c r="T387" s="406">
        <f t="shared" si="945"/>
        <v>87</v>
      </c>
      <c r="U387" s="406">
        <f t="shared" si="945"/>
        <v>89</v>
      </c>
      <c r="V387" s="820">
        <f t="shared" si="945"/>
        <v>93</v>
      </c>
      <c r="W387" s="398">
        <f t="shared" si="945"/>
        <v>93</v>
      </c>
      <c r="X387" s="406">
        <f t="shared" si="945"/>
        <v>91</v>
      </c>
      <c r="Y387" s="406">
        <f t="shared" si="945"/>
        <v>91</v>
      </c>
      <c r="Z387" s="406">
        <f t="shared" si="945"/>
        <v>95</v>
      </c>
      <c r="AA387" s="406">
        <f t="shared" ref="AA387:AN387" si="946">AA30+AA101+AA172+AA243+AA314</f>
        <v>98</v>
      </c>
      <c r="AB387" s="398">
        <f t="shared" si="946"/>
        <v>98</v>
      </c>
      <c r="AC387" s="406">
        <f t="shared" si="946"/>
        <v>109.25</v>
      </c>
      <c r="AD387" s="406">
        <f t="shared" si="946"/>
        <v>110.3208952573477</v>
      </c>
      <c r="AE387" s="406">
        <f t="shared" si="946"/>
        <v>109</v>
      </c>
      <c r="AF387" s="820">
        <f t="shared" si="946"/>
        <v>111</v>
      </c>
      <c r="AG387" s="398">
        <f t="shared" si="946"/>
        <v>111</v>
      </c>
      <c r="AH387" s="406">
        <f t="shared" si="946"/>
        <v>112.85</v>
      </c>
      <c r="AI387" s="406">
        <f t="shared" si="946"/>
        <v>114.73145</v>
      </c>
      <c r="AJ387" s="406">
        <f t="shared" ref="AJ387:AL387" si="947">AJ30+AJ101+AJ172+AJ243+AJ314</f>
        <v>116.54865874999999</v>
      </c>
      <c r="AK387" s="820">
        <f t="shared" si="947"/>
        <v>118.39480977874999</v>
      </c>
      <c r="AL387" s="398">
        <f t="shared" si="947"/>
        <v>118.39480977874999</v>
      </c>
      <c r="AM387" s="398">
        <f t="shared" si="946"/>
        <v>124.71892389460623</v>
      </c>
      <c r="AN387" s="398">
        <f t="shared" si="946"/>
        <v>129.3133652219399</v>
      </c>
    </row>
    <row r="388" spans="1:40">
      <c r="A388" s="130" t="str">
        <f>A$15</f>
        <v>Embassy Suites Hotels (Upper Up)</v>
      </c>
      <c r="B388" s="1033">
        <f t="shared" ref="B388:P388" si="948">B31+B102+B173+B244+B315</f>
        <v>55</v>
      </c>
      <c r="C388" s="398">
        <f t="shared" si="948"/>
        <v>49</v>
      </c>
      <c r="D388" s="1033">
        <f t="shared" si="948"/>
        <v>49</v>
      </c>
      <c r="E388" s="406">
        <f t="shared" si="948"/>
        <v>47</v>
      </c>
      <c r="F388" s="406">
        <f t="shared" si="948"/>
        <v>46</v>
      </c>
      <c r="G388" s="820">
        <f t="shared" si="948"/>
        <v>43</v>
      </c>
      <c r="H388" s="820">
        <f t="shared" si="948"/>
        <v>43</v>
      </c>
      <c r="I388" s="1033">
        <f t="shared" si="948"/>
        <v>42</v>
      </c>
      <c r="J388" s="406">
        <f t="shared" si="948"/>
        <v>42</v>
      </c>
      <c r="K388" s="406">
        <f t="shared" si="948"/>
        <v>41</v>
      </c>
      <c r="L388" s="820">
        <f t="shared" si="948"/>
        <v>41</v>
      </c>
      <c r="M388" s="820">
        <f t="shared" si="948"/>
        <v>41</v>
      </c>
      <c r="N388" s="1033">
        <f t="shared" si="948"/>
        <v>40</v>
      </c>
      <c r="O388" s="406">
        <f t="shared" si="948"/>
        <v>41</v>
      </c>
      <c r="P388" s="406">
        <f t="shared" si="948"/>
        <v>45</v>
      </c>
      <c r="Q388" s="820">
        <f t="shared" ref="Q388:Z388" si="949">Q31+Q102+Q173+Q244+Q315</f>
        <v>45</v>
      </c>
      <c r="R388" s="398">
        <f t="shared" si="949"/>
        <v>45</v>
      </c>
      <c r="S388" s="406">
        <f t="shared" si="949"/>
        <v>43</v>
      </c>
      <c r="T388" s="406">
        <f t="shared" si="949"/>
        <v>38</v>
      </c>
      <c r="U388" s="406">
        <f t="shared" si="949"/>
        <v>37</v>
      </c>
      <c r="V388" s="820">
        <f t="shared" si="949"/>
        <v>37</v>
      </c>
      <c r="W388" s="398">
        <f t="shared" si="949"/>
        <v>37</v>
      </c>
      <c r="X388" s="406">
        <f t="shared" si="949"/>
        <v>37</v>
      </c>
      <c r="Y388" s="406">
        <f t="shared" si="949"/>
        <v>36</v>
      </c>
      <c r="Z388" s="406">
        <f t="shared" si="949"/>
        <v>36</v>
      </c>
      <c r="AA388" s="406">
        <f t="shared" ref="AA388:AN388" si="950">AA31+AA102+AA173+AA244+AA315</f>
        <v>36</v>
      </c>
      <c r="AB388" s="398">
        <f t="shared" si="950"/>
        <v>36</v>
      </c>
      <c r="AC388" s="406">
        <f t="shared" si="950"/>
        <v>46.260999999999996</v>
      </c>
      <c r="AD388" s="406">
        <f t="shared" si="950"/>
        <v>46.593399529693954</v>
      </c>
      <c r="AE388" s="406">
        <f t="shared" si="950"/>
        <v>47</v>
      </c>
      <c r="AF388" s="820">
        <f t="shared" si="950"/>
        <v>47</v>
      </c>
      <c r="AG388" s="398">
        <f t="shared" si="950"/>
        <v>47</v>
      </c>
      <c r="AH388" s="406">
        <f t="shared" si="950"/>
        <v>47.704999999999998</v>
      </c>
      <c r="AI388" s="406">
        <f t="shared" si="950"/>
        <v>48.380380999999993</v>
      </c>
      <c r="AJ388" s="406">
        <f t="shared" ref="AJ388:AL388" si="951">AJ31+AJ102+AJ173+AJ244+AJ315</f>
        <v>48.87963818499999</v>
      </c>
      <c r="AK388" s="820">
        <f t="shared" si="951"/>
        <v>49.384119742474986</v>
      </c>
      <c r="AL388" s="398">
        <f t="shared" si="951"/>
        <v>49.384119742474986</v>
      </c>
      <c r="AM388" s="398">
        <f t="shared" si="950"/>
        <v>51.837405276339368</v>
      </c>
      <c r="AN388" s="398">
        <f t="shared" si="950"/>
        <v>53.39252743462955</v>
      </c>
    </row>
    <row r="389" spans="1:40">
      <c r="A389" s="130" t="str">
        <f>A$16</f>
        <v>Hilton Garden Inn (Upscale)</v>
      </c>
      <c r="B389" s="1033">
        <f t="shared" ref="B389:P389" si="952">B32+B103+B174+B245+B316</f>
        <v>18</v>
      </c>
      <c r="C389" s="398">
        <f t="shared" si="952"/>
        <v>25</v>
      </c>
      <c r="D389" s="1033">
        <f t="shared" si="952"/>
        <v>26</v>
      </c>
      <c r="E389" s="406">
        <f t="shared" si="952"/>
        <v>28</v>
      </c>
      <c r="F389" s="406">
        <f t="shared" si="952"/>
        <v>28</v>
      </c>
      <c r="G389" s="820">
        <f t="shared" si="952"/>
        <v>31</v>
      </c>
      <c r="H389" s="820">
        <f t="shared" si="952"/>
        <v>31</v>
      </c>
      <c r="I389" s="1033">
        <f t="shared" si="952"/>
        <v>32</v>
      </c>
      <c r="J389" s="406">
        <f t="shared" si="952"/>
        <v>29</v>
      </c>
      <c r="K389" s="406">
        <f t="shared" si="952"/>
        <v>29</v>
      </c>
      <c r="L389" s="820">
        <f t="shared" si="952"/>
        <v>30</v>
      </c>
      <c r="M389" s="820">
        <f t="shared" si="952"/>
        <v>30</v>
      </c>
      <c r="N389" s="1033">
        <f t="shared" si="952"/>
        <v>34</v>
      </c>
      <c r="O389" s="406">
        <f t="shared" si="952"/>
        <v>35</v>
      </c>
      <c r="P389" s="406">
        <f t="shared" si="952"/>
        <v>36</v>
      </c>
      <c r="Q389" s="820">
        <f t="shared" ref="Q389:Z389" si="953">Q32+Q103+Q174+Q245+Q316</f>
        <v>33</v>
      </c>
      <c r="R389" s="398">
        <f t="shared" si="953"/>
        <v>33</v>
      </c>
      <c r="S389" s="406">
        <f t="shared" si="953"/>
        <v>36</v>
      </c>
      <c r="T389" s="406">
        <f t="shared" si="953"/>
        <v>33</v>
      </c>
      <c r="U389" s="406">
        <f t="shared" si="953"/>
        <v>35</v>
      </c>
      <c r="V389" s="820">
        <f t="shared" si="953"/>
        <v>42</v>
      </c>
      <c r="W389" s="398">
        <f t="shared" si="953"/>
        <v>42</v>
      </c>
      <c r="X389" s="406">
        <f t="shared" si="953"/>
        <v>44</v>
      </c>
      <c r="Y389" s="406">
        <f t="shared" si="953"/>
        <v>47</v>
      </c>
      <c r="Z389" s="406">
        <f t="shared" si="953"/>
        <v>48</v>
      </c>
      <c r="AA389" s="406">
        <f t="shared" ref="AA389:AN389" si="954">AA32+AA103+AA174+AA245+AA316</f>
        <v>54</v>
      </c>
      <c r="AB389" s="398">
        <f t="shared" si="954"/>
        <v>54</v>
      </c>
      <c r="AC389" s="406">
        <f t="shared" si="954"/>
        <v>56.58</v>
      </c>
      <c r="AD389" s="406">
        <f t="shared" si="954"/>
        <v>56.720385296939654</v>
      </c>
      <c r="AE389" s="406">
        <f t="shared" si="954"/>
        <v>59</v>
      </c>
      <c r="AF389" s="820">
        <f t="shared" si="954"/>
        <v>63</v>
      </c>
      <c r="AG389" s="398">
        <f t="shared" si="954"/>
        <v>63</v>
      </c>
      <c r="AH389" s="406">
        <f t="shared" si="954"/>
        <v>63.964999999999996</v>
      </c>
      <c r="AI389" s="406">
        <f t="shared" si="954"/>
        <v>64.944874999999982</v>
      </c>
      <c r="AJ389" s="406">
        <f t="shared" ref="AJ389:AL389" si="955">AJ32+AJ103+AJ174+AJ245+AJ316</f>
        <v>65.929452124999983</v>
      </c>
      <c r="AK389" s="820">
        <f t="shared" si="955"/>
        <v>66.92897997687497</v>
      </c>
      <c r="AL389" s="398">
        <f t="shared" si="955"/>
        <v>66.92897997687497</v>
      </c>
      <c r="AM389" s="398">
        <f t="shared" si="954"/>
        <v>70.048497338084346</v>
      </c>
      <c r="AN389" s="398">
        <f t="shared" si="954"/>
        <v>72.242154810712876</v>
      </c>
    </row>
    <row r="390" spans="1:40">
      <c r="A390" s="130" t="str">
        <f>A$17</f>
        <v>Hampton Inn (Upper Mid)</v>
      </c>
      <c r="B390" s="1033">
        <f t="shared" ref="B390:P390" si="956">B33+B104+B175+B246+B317</f>
        <v>37</v>
      </c>
      <c r="C390" s="398">
        <f t="shared" si="956"/>
        <v>37</v>
      </c>
      <c r="D390" s="1033">
        <f t="shared" si="956"/>
        <v>38</v>
      </c>
      <c r="E390" s="406">
        <f t="shared" si="956"/>
        <v>38</v>
      </c>
      <c r="F390" s="406">
        <f t="shared" si="956"/>
        <v>39</v>
      </c>
      <c r="G390" s="820">
        <f t="shared" si="956"/>
        <v>38</v>
      </c>
      <c r="H390" s="820">
        <f t="shared" si="956"/>
        <v>38</v>
      </c>
      <c r="I390" s="1033">
        <f t="shared" si="956"/>
        <v>59</v>
      </c>
      <c r="J390" s="406">
        <f t="shared" si="956"/>
        <v>58</v>
      </c>
      <c r="K390" s="406">
        <f t="shared" si="956"/>
        <v>61</v>
      </c>
      <c r="L390" s="820">
        <f t="shared" si="956"/>
        <v>60</v>
      </c>
      <c r="M390" s="820">
        <f t="shared" si="956"/>
        <v>60</v>
      </c>
      <c r="N390" s="1033">
        <f t="shared" si="956"/>
        <v>60</v>
      </c>
      <c r="O390" s="406">
        <f t="shared" si="956"/>
        <v>62</v>
      </c>
      <c r="P390" s="406">
        <f t="shared" si="956"/>
        <v>63</v>
      </c>
      <c r="Q390" s="820">
        <f t="shared" ref="Q390:Z390" si="957">Q33+Q104+Q175+Q246+Q317</f>
        <v>64</v>
      </c>
      <c r="R390" s="398">
        <f t="shared" si="957"/>
        <v>64</v>
      </c>
      <c r="S390" s="406">
        <f t="shared" si="957"/>
        <v>64</v>
      </c>
      <c r="T390" s="406">
        <f t="shared" si="957"/>
        <v>65</v>
      </c>
      <c r="U390" s="406">
        <f t="shared" si="957"/>
        <v>68</v>
      </c>
      <c r="V390" s="820">
        <f t="shared" si="957"/>
        <v>71</v>
      </c>
      <c r="W390" s="398">
        <f t="shared" si="957"/>
        <v>71</v>
      </c>
      <c r="X390" s="406">
        <f t="shared" si="957"/>
        <v>71</v>
      </c>
      <c r="Y390" s="406">
        <f t="shared" si="957"/>
        <v>72</v>
      </c>
      <c r="Z390" s="406">
        <f t="shared" si="957"/>
        <v>73</v>
      </c>
      <c r="AA390" s="406">
        <f t="shared" ref="AA390:AN390" si="958">AA33+AA104+AA175+AA246+AA317</f>
        <v>73</v>
      </c>
      <c r="AB390" s="398">
        <f t="shared" si="958"/>
        <v>73</v>
      </c>
      <c r="AC390" s="406">
        <f t="shared" si="958"/>
        <v>75.22</v>
      </c>
      <c r="AD390" s="406">
        <f t="shared" si="958"/>
        <v>75.815120237551724</v>
      </c>
      <c r="AE390" s="406">
        <f t="shared" si="958"/>
        <v>76</v>
      </c>
      <c r="AF390" s="820">
        <f t="shared" si="958"/>
        <v>75</v>
      </c>
      <c r="AG390" s="398">
        <f t="shared" si="958"/>
        <v>75</v>
      </c>
      <c r="AH390" s="406">
        <f t="shared" si="958"/>
        <v>76.36</v>
      </c>
      <c r="AI390" s="406">
        <f t="shared" si="958"/>
        <v>77.745099999999994</v>
      </c>
      <c r="AJ390" s="406">
        <f t="shared" ref="AJ390:AL390" si="959">AJ33+AJ104+AJ175+AJ246+AJ317</f>
        <v>79.033523500000001</v>
      </c>
      <c r="AK390" s="820">
        <f t="shared" si="959"/>
        <v>80.343412674999996</v>
      </c>
      <c r="AL390" s="398">
        <f t="shared" si="959"/>
        <v>80.343412674999996</v>
      </c>
      <c r="AM390" s="398">
        <f t="shared" si="958"/>
        <v>85.224497076812497</v>
      </c>
      <c r="AN390" s="398">
        <f t="shared" si="958"/>
        <v>88.864611980827362</v>
      </c>
    </row>
    <row r="391" spans="1:40">
      <c r="A391" s="130" t="str">
        <f>A$18</f>
        <v>Home2 Suites by Hilton (Upper Mid)</v>
      </c>
      <c r="B391" s="1033">
        <f t="shared" ref="B391:P391" si="960">B34+B105+B176+B247+B318</f>
        <v>0</v>
      </c>
      <c r="C391" s="398">
        <f t="shared" si="960"/>
        <v>0</v>
      </c>
      <c r="D391" s="1033">
        <f t="shared" si="960"/>
        <v>0</v>
      </c>
      <c r="E391" s="406">
        <f t="shared" si="960"/>
        <v>0</v>
      </c>
      <c r="F391" s="406">
        <f t="shared" si="960"/>
        <v>0</v>
      </c>
      <c r="G391" s="820">
        <f t="shared" si="960"/>
        <v>0</v>
      </c>
      <c r="H391" s="820">
        <f t="shared" si="960"/>
        <v>0</v>
      </c>
      <c r="I391" s="1033">
        <f t="shared" si="960"/>
        <v>0</v>
      </c>
      <c r="J391" s="406">
        <f t="shared" si="960"/>
        <v>0</v>
      </c>
      <c r="K391" s="406">
        <f t="shared" si="960"/>
        <v>0</v>
      </c>
      <c r="L391" s="820">
        <f t="shared" si="960"/>
        <v>1</v>
      </c>
      <c r="M391" s="820">
        <f t="shared" si="960"/>
        <v>1</v>
      </c>
      <c r="N391" s="1033">
        <f t="shared" si="960"/>
        <v>1</v>
      </c>
      <c r="O391" s="406">
        <f t="shared" si="960"/>
        <v>1</v>
      </c>
      <c r="P391" s="406">
        <f t="shared" si="960"/>
        <v>1</v>
      </c>
      <c r="Q391" s="820">
        <f t="shared" ref="Q391:Z391" si="961">Q34+Q105+Q176+Q247+Q318</f>
        <v>1</v>
      </c>
      <c r="R391" s="398">
        <f t="shared" si="961"/>
        <v>1</v>
      </c>
      <c r="S391" s="406">
        <f t="shared" si="961"/>
        <v>1</v>
      </c>
      <c r="T391" s="406">
        <f t="shared" si="961"/>
        <v>1</v>
      </c>
      <c r="U391" s="406">
        <f t="shared" si="961"/>
        <v>1</v>
      </c>
      <c r="V391" s="820">
        <f t="shared" si="961"/>
        <v>1</v>
      </c>
      <c r="W391" s="398">
        <f t="shared" si="961"/>
        <v>1</v>
      </c>
      <c r="X391" s="406">
        <f t="shared" si="961"/>
        <v>1</v>
      </c>
      <c r="Y391" s="406">
        <f t="shared" si="961"/>
        <v>1</v>
      </c>
      <c r="Z391" s="406">
        <f t="shared" si="961"/>
        <v>0</v>
      </c>
      <c r="AA391" s="406">
        <f t="shared" ref="AA391:AN391" si="962">AA34+AA105+AA176+AA247+AA318</f>
        <v>0</v>
      </c>
      <c r="AB391" s="398">
        <f t="shared" si="962"/>
        <v>0</v>
      </c>
      <c r="AC391" s="406">
        <f t="shared" si="962"/>
        <v>0</v>
      </c>
      <c r="AD391" s="406">
        <f t="shared" si="962"/>
        <v>0</v>
      </c>
      <c r="AE391" s="406">
        <f t="shared" si="962"/>
        <v>0</v>
      </c>
      <c r="AF391" s="820">
        <f t="shared" si="962"/>
        <v>0</v>
      </c>
      <c r="AG391" s="398">
        <f t="shared" si="962"/>
        <v>0</v>
      </c>
      <c r="AH391" s="406">
        <f t="shared" si="962"/>
        <v>0</v>
      </c>
      <c r="AI391" s="406">
        <f t="shared" si="962"/>
        <v>0</v>
      </c>
      <c r="AJ391" s="406">
        <f t="shared" ref="AJ391:AL391" si="963">AJ34+AJ105+AJ176+AJ247+AJ318</f>
        <v>0</v>
      </c>
      <c r="AK391" s="820">
        <f t="shared" si="963"/>
        <v>0</v>
      </c>
      <c r="AL391" s="398">
        <f t="shared" si="963"/>
        <v>0</v>
      </c>
      <c r="AM391" s="398">
        <f t="shared" si="962"/>
        <v>0</v>
      </c>
      <c r="AN391" s="398">
        <f t="shared" si="962"/>
        <v>0</v>
      </c>
    </row>
    <row r="392" spans="1:40">
      <c r="A392" s="130" t="str">
        <f>$A$90</f>
        <v>Tru by Hilton</v>
      </c>
      <c r="B392" s="1033">
        <f t="shared" ref="B392:AC392" si="964">B35+B106+B177+B248+B319</f>
        <v>0</v>
      </c>
      <c r="C392" s="398">
        <f t="shared" si="964"/>
        <v>0</v>
      </c>
      <c r="D392" s="1033">
        <f t="shared" si="964"/>
        <v>0</v>
      </c>
      <c r="E392" s="406">
        <f t="shared" si="964"/>
        <v>0</v>
      </c>
      <c r="F392" s="406">
        <f t="shared" si="964"/>
        <v>0</v>
      </c>
      <c r="G392" s="820">
        <f t="shared" si="964"/>
        <v>0</v>
      </c>
      <c r="H392" s="820">
        <f t="shared" si="964"/>
        <v>0</v>
      </c>
      <c r="I392" s="1033">
        <f t="shared" si="964"/>
        <v>0</v>
      </c>
      <c r="J392" s="406">
        <f t="shared" si="964"/>
        <v>0</v>
      </c>
      <c r="K392" s="406">
        <f t="shared" si="964"/>
        <v>0</v>
      </c>
      <c r="L392" s="820">
        <f t="shared" si="964"/>
        <v>0</v>
      </c>
      <c r="M392" s="820">
        <f t="shared" si="964"/>
        <v>0</v>
      </c>
      <c r="N392" s="1033">
        <f t="shared" si="964"/>
        <v>0</v>
      </c>
      <c r="O392" s="406">
        <f t="shared" si="964"/>
        <v>0</v>
      </c>
      <c r="P392" s="406">
        <f t="shared" si="964"/>
        <v>0</v>
      </c>
      <c r="Q392" s="820">
        <f t="shared" si="964"/>
        <v>0</v>
      </c>
      <c r="R392" s="398">
        <f t="shared" si="964"/>
        <v>0</v>
      </c>
      <c r="S392" s="406">
        <f t="shared" si="964"/>
        <v>0</v>
      </c>
      <c r="T392" s="406">
        <f t="shared" si="964"/>
        <v>0</v>
      </c>
      <c r="U392" s="406">
        <f t="shared" si="964"/>
        <v>0</v>
      </c>
      <c r="V392" s="820">
        <f t="shared" si="964"/>
        <v>0</v>
      </c>
      <c r="W392" s="398">
        <f t="shared" si="964"/>
        <v>0</v>
      </c>
      <c r="X392" s="406">
        <f t="shared" si="964"/>
        <v>0</v>
      </c>
      <c r="Y392" s="406">
        <f t="shared" si="964"/>
        <v>0</v>
      </c>
      <c r="Z392" s="406">
        <f t="shared" si="964"/>
        <v>0</v>
      </c>
      <c r="AA392" s="406">
        <f t="shared" si="964"/>
        <v>0</v>
      </c>
      <c r="AB392" s="398">
        <f t="shared" si="964"/>
        <v>0</v>
      </c>
      <c r="AC392" s="406">
        <f t="shared" si="964"/>
        <v>0</v>
      </c>
      <c r="AD392" s="406">
        <f>AD35+AD106+AD177+AD248+AD319</f>
        <v>0</v>
      </c>
      <c r="AE392" s="406">
        <f t="shared" ref="AE392:AN392" si="965">AE35+AE106+AE177+AE248+AE319</f>
        <v>0</v>
      </c>
      <c r="AF392" s="820">
        <f t="shared" si="965"/>
        <v>0</v>
      </c>
      <c r="AG392" s="398">
        <f t="shared" si="965"/>
        <v>0</v>
      </c>
      <c r="AH392" s="406">
        <f t="shared" si="965"/>
        <v>0</v>
      </c>
      <c r="AI392" s="406">
        <f t="shared" si="965"/>
        <v>0</v>
      </c>
      <c r="AJ392" s="406">
        <f t="shared" ref="AJ392:AL392" si="966">AJ35+AJ106+AJ177+AJ248+AJ319</f>
        <v>0</v>
      </c>
      <c r="AK392" s="820">
        <f t="shared" si="966"/>
        <v>0</v>
      </c>
      <c r="AL392" s="398">
        <f t="shared" si="966"/>
        <v>0</v>
      </c>
      <c r="AM392" s="398">
        <f t="shared" si="965"/>
        <v>0</v>
      </c>
      <c r="AN392" s="398">
        <f t="shared" si="965"/>
        <v>0</v>
      </c>
    </row>
    <row r="393" spans="1:40">
      <c r="A393" s="130" t="str">
        <f>$A$91</f>
        <v>Tapestry Collection by Hilton</v>
      </c>
      <c r="B393" s="1033">
        <f t="shared" ref="B393:AC393" si="967">B36+B107+B178+B249+B320</f>
        <v>0</v>
      </c>
      <c r="C393" s="398">
        <f t="shared" si="967"/>
        <v>0</v>
      </c>
      <c r="D393" s="1033">
        <f t="shared" si="967"/>
        <v>0</v>
      </c>
      <c r="E393" s="406">
        <f t="shared" si="967"/>
        <v>0</v>
      </c>
      <c r="F393" s="406">
        <f t="shared" si="967"/>
        <v>0</v>
      </c>
      <c r="G393" s="820">
        <f t="shared" si="967"/>
        <v>0</v>
      </c>
      <c r="H393" s="820">
        <f t="shared" si="967"/>
        <v>0</v>
      </c>
      <c r="I393" s="1033">
        <f t="shared" si="967"/>
        <v>0</v>
      </c>
      <c r="J393" s="406">
        <f t="shared" si="967"/>
        <v>0</v>
      </c>
      <c r="K393" s="406">
        <f t="shared" si="967"/>
        <v>0</v>
      </c>
      <c r="L393" s="820">
        <f t="shared" si="967"/>
        <v>0</v>
      </c>
      <c r="M393" s="820">
        <f t="shared" si="967"/>
        <v>0</v>
      </c>
      <c r="N393" s="1033">
        <f t="shared" si="967"/>
        <v>0</v>
      </c>
      <c r="O393" s="406">
        <f t="shared" si="967"/>
        <v>0</v>
      </c>
      <c r="P393" s="406">
        <f t="shared" si="967"/>
        <v>0</v>
      </c>
      <c r="Q393" s="820">
        <f t="shared" si="967"/>
        <v>0</v>
      </c>
      <c r="R393" s="398">
        <f t="shared" si="967"/>
        <v>0</v>
      </c>
      <c r="S393" s="406">
        <f t="shared" si="967"/>
        <v>0</v>
      </c>
      <c r="T393" s="406">
        <f t="shared" si="967"/>
        <v>0</v>
      </c>
      <c r="U393" s="406">
        <f t="shared" si="967"/>
        <v>0</v>
      </c>
      <c r="V393" s="820">
        <f t="shared" si="967"/>
        <v>0</v>
      </c>
      <c r="W393" s="398">
        <f t="shared" si="967"/>
        <v>0</v>
      </c>
      <c r="X393" s="406">
        <f t="shared" si="967"/>
        <v>0</v>
      </c>
      <c r="Y393" s="406">
        <f t="shared" si="967"/>
        <v>0</v>
      </c>
      <c r="Z393" s="406">
        <f t="shared" si="967"/>
        <v>0</v>
      </c>
      <c r="AA393" s="406">
        <f t="shared" si="967"/>
        <v>0</v>
      </c>
      <c r="AB393" s="398">
        <f t="shared" si="967"/>
        <v>0</v>
      </c>
      <c r="AC393" s="406">
        <f t="shared" si="967"/>
        <v>0</v>
      </c>
      <c r="AD393" s="406">
        <f>AD36+AD107+AD178+AD249+AD320</f>
        <v>0</v>
      </c>
      <c r="AE393" s="406">
        <f t="shared" ref="AE393:AN393" si="968">AE36+AE107+AE178+AE249+AE320</f>
        <v>0</v>
      </c>
      <c r="AF393" s="820">
        <f t="shared" si="968"/>
        <v>0</v>
      </c>
      <c r="AG393" s="398">
        <f t="shared" si="968"/>
        <v>0</v>
      </c>
      <c r="AH393" s="406">
        <f t="shared" si="968"/>
        <v>0</v>
      </c>
      <c r="AI393" s="406">
        <f t="shared" si="968"/>
        <v>0</v>
      </c>
      <c r="AJ393" s="406">
        <f t="shared" ref="AJ393:AL393" si="969">AJ36+AJ107+AJ178+AJ249+AJ320</f>
        <v>0</v>
      </c>
      <c r="AK393" s="820">
        <f t="shared" si="969"/>
        <v>0</v>
      </c>
      <c r="AL393" s="398">
        <f t="shared" si="969"/>
        <v>0</v>
      </c>
      <c r="AM393" s="398">
        <f t="shared" si="968"/>
        <v>0</v>
      </c>
      <c r="AN393" s="398">
        <f t="shared" si="968"/>
        <v>0</v>
      </c>
    </row>
    <row r="394" spans="1:40">
      <c r="A394" s="130" t="str">
        <f>A$21</f>
        <v>Homewood Suites by Hilton (Upscale)</v>
      </c>
      <c r="B394" s="1033">
        <f t="shared" ref="B394:AN394" si="970">B37+B108+B179+B250+B321</f>
        <v>45</v>
      </c>
      <c r="C394" s="398">
        <f t="shared" si="970"/>
        <v>44</v>
      </c>
      <c r="D394" s="1033">
        <f t="shared" si="970"/>
        <v>44</v>
      </c>
      <c r="E394" s="406">
        <f t="shared" si="970"/>
        <v>40</v>
      </c>
      <c r="F394" s="406">
        <f t="shared" si="970"/>
        <v>36</v>
      </c>
      <c r="G394" s="820">
        <f t="shared" si="970"/>
        <v>36</v>
      </c>
      <c r="H394" s="820">
        <f t="shared" si="970"/>
        <v>36</v>
      </c>
      <c r="I394" s="1033">
        <f t="shared" si="970"/>
        <v>40</v>
      </c>
      <c r="J394" s="406">
        <f t="shared" si="970"/>
        <v>38</v>
      </c>
      <c r="K394" s="406">
        <f t="shared" si="970"/>
        <v>39</v>
      </c>
      <c r="L394" s="820">
        <f t="shared" si="970"/>
        <v>39</v>
      </c>
      <c r="M394" s="820">
        <f t="shared" si="970"/>
        <v>39</v>
      </c>
      <c r="N394" s="1033">
        <f t="shared" si="970"/>
        <v>38</v>
      </c>
      <c r="O394" s="406">
        <f t="shared" si="970"/>
        <v>39</v>
      </c>
      <c r="P394" s="406">
        <f t="shared" si="970"/>
        <v>34</v>
      </c>
      <c r="Q394" s="820">
        <f t="shared" si="970"/>
        <v>30</v>
      </c>
      <c r="R394" s="398">
        <f t="shared" si="970"/>
        <v>30</v>
      </c>
      <c r="S394" s="406">
        <f t="shared" si="970"/>
        <v>29</v>
      </c>
      <c r="T394" s="406">
        <f t="shared" si="970"/>
        <v>29</v>
      </c>
      <c r="U394" s="406">
        <f t="shared" si="970"/>
        <v>27</v>
      </c>
      <c r="V394" s="820">
        <f t="shared" si="970"/>
        <v>27</v>
      </c>
      <c r="W394" s="398">
        <f t="shared" si="970"/>
        <v>27</v>
      </c>
      <c r="X394" s="406">
        <f t="shared" si="970"/>
        <v>27</v>
      </c>
      <c r="Y394" s="406">
        <f t="shared" si="970"/>
        <v>27</v>
      </c>
      <c r="Z394" s="406">
        <f t="shared" si="970"/>
        <v>28</v>
      </c>
      <c r="AA394" s="406">
        <f t="shared" si="970"/>
        <v>27</v>
      </c>
      <c r="AB394" s="398">
        <f t="shared" si="970"/>
        <v>27</v>
      </c>
      <c r="AC394" s="406">
        <f t="shared" si="970"/>
        <v>27.52</v>
      </c>
      <c r="AD394" s="406">
        <f t="shared" si="970"/>
        <v>27.718355019795972</v>
      </c>
      <c r="AE394" s="406">
        <f t="shared" si="970"/>
        <v>23</v>
      </c>
      <c r="AF394" s="820">
        <f t="shared" si="970"/>
        <v>24</v>
      </c>
      <c r="AG394" s="398">
        <f t="shared" si="970"/>
        <v>24</v>
      </c>
      <c r="AH394" s="406">
        <f t="shared" si="970"/>
        <v>24.465000000000003</v>
      </c>
      <c r="AI394" s="406">
        <f t="shared" si="970"/>
        <v>24.939075000000003</v>
      </c>
      <c r="AJ394" s="406">
        <f t="shared" ref="AJ394:AL394" si="971">AJ37+AJ108+AJ179+AJ250+AJ321</f>
        <v>25.367782125000005</v>
      </c>
      <c r="AK394" s="820">
        <f t="shared" si="971"/>
        <v>25.803875724375004</v>
      </c>
      <c r="AL394" s="398">
        <f t="shared" si="971"/>
        <v>25.803875724375004</v>
      </c>
      <c r="AM394" s="398">
        <f t="shared" si="970"/>
        <v>27.53054475878438</v>
      </c>
      <c r="AN394" s="398">
        <f t="shared" si="970"/>
        <v>28.840524502099409</v>
      </c>
    </row>
    <row r="395" spans="1:40">
      <c r="A395" s="130" t="s">
        <v>1407</v>
      </c>
      <c r="B395" s="1030">
        <v>5</v>
      </c>
      <c r="C395" s="508">
        <v>16</v>
      </c>
      <c r="D395" s="1030">
        <v>11</v>
      </c>
      <c r="E395" s="912">
        <v>8</v>
      </c>
      <c r="F395" s="912">
        <v>9</v>
      </c>
      <c r="G395" s="1041">
        <v>10</v>
      </c>
      <c r="H395" s="820">
        <f>G395</f>
        <v>10</v>
      </c>
      <c r="I395" s="1030">
        <v>7</v>
      </c>
      <c r="J395" s="912">
        <v>6</v>
      </c>
      <c r="K395" s="912">
        <v>5</v>
      </c>
      <c r="L395" s="1041">
        <v>5</v>
      </c>
      <c r="M395" s="820">
        <f>L395</f>
        <v>5</v>
      </c>
      <c r="N395" s="1030">
        <v>4</v>
      </c>
      <c r="O395" s="912">
        <v>5</v>
      </c>
      <c r="P395" s="912">
        <v>5</v>
      </c>
      <c r="Q395" s="1041">
        <v>4</v>
      </c>
      <c r="R395" s="820">
        <f>Q395</f>
        <v>4</v>
      </c>
      <c r="S395" s="1030">
        <v>3</v>
      </c>
      <c r="T395" s="912">
        <v>3</v>
      </c>
      <c r="U395" s="912">
        <v>3</v>
      </c>
      <c r="V395" s="912">
        <v>3</v>
      </c>
      <c r="W395" s="398">
        <f>V395</f>
        <v>3</v>
      </c>
      <c r="X395" s="2791">
        <v>2</v>
      </c>
      <c r="Y395" s="2791">
        <v>3</v>
      </c>
      <c r="Z395" s="2791">
        <v>2</v>
      </c>
      <c r="AA395" s="2791">
        <f>Z395</f>
        <v>2</v>
      </c>
      <c r="AB395" s="398">
        <f>AA395</f>
        <v>2</v>
      </c>
      <c r="AC395" s="3665">
        <v>1</v>
      </c>
      <c r="AD395" s="3665">
        <v>1</v>
      </c>
      <c r="AE395" s="3665">
        <v>1</v>
      </c>
      <c r="AF395" s="3665">
        <v>4</v>
      </c>
      <c r="AG395" s="398">
        <f t="shared" ref="AD395:AG396" si="972">AF395</f>
        <v>4</v>
      </c>
      <c r="AH395" s="406">
        <f t="shared" ref="AH395:AH396" si="973">AG395</f>
        <v>4</v>
      </c>
      <c r="AI395" s="406">
        <f t="shared" ref="AI395:AI396" si="974">AH395</f>
        <v>4</v>
      </c>
      <c r="AJ395" s="406">
        <f t="shared" ref="AJ395:AJ396" si="975">AI395</f>
        <v>4</v>
      </c>
      <c r="AK395" s="406">
        <f t="shared" ref="AK395:AK396" si="976">AJ395</f>
        <v>4</v>
      </c>
      <c r="AL395" s="398">
        <f t="shared" ref="AL395:AL396" si="977">AK395</f>
        <v>4</v>
      </c>
      <c r="AM395" s="398">
        <f t="shared" ref="AM395:AN396" si="978">AL395</f>
        <v>4</v>
      </c>
      <c r="AN395" s="398">
        <f t="shared" si="978"/>
        <v>4</v>
      </c>
    </row>
    <row r="396" spans="1:40" s="5" customFormat="1">
      <c r="A396" s="402" t="s">
        <v>1394</v>
      </c>
      <c r="B396" s="1031">
        <v>0</v>
      </c>
      <c r="C396" s="1029">
        <v>37</v>
      </c>
      <c r="D396" s="1031">
        <v>39</v>
      </c>
      <c r="E396" s="1039">
        <v>39</v>
      </c>
      <c r="F396" s="1039">
        <v>39</v>
      </c>
      <c r="G396" s="1042">
        <v>40</v>
      </c>
      <c r="H396" s="700">
        <f>G396</f>
        <v>40</v>
      </c>
      <c r="I396" s="1031">
        <v>41</v>
      </c>
      <c r="J396" s="1039">
        <v>41</v>
      </c>
      <c r="K396" s="1039">
        <v>41</v>
      </c>
      <c r="L396" s="1042">
        <v>42</v>
      </c>
      <c r="M396" s="700">
        <f>L396</f>
        <v>42</v>
      </c>
      <c r="N396" s="1031">
        <v>43</v>
      </c>
      <c r="O396" s="1039">
        <v>44</v>
      </c>
      <c r="P396" s="1039">
        <v>44</v>
      </c>
      <c r="Q396" s="1042">
        <v>44</v>
      </c>
      <c r="R396" s="700">
        <f>Q396</f>
        <v>44</v>
      </c>
      <c r="S396" s="1031">
        <v>44</v>
      </c>
      <c r="T396" s="1039">
        <v>44</v>
      </c>
      <c r="U396" s="1039">
        <v>45</v>
      </c>
      <c r="V396" s="1039">
        <v>45</v>
      </c>
      <c r="W396" s="403">
        <f>V396</f>
        <v>45</v>
      </c>
      <c r="X396" s="2794">
        <v>46</v>
      </c>
      <c r="Y396" s="2794">
        <v>47</v>
      </c>
      <c r="Z396" s="2794">
        <v>46</v>
      </c>
      <c r="AA396" s="2794">
        <f>Z396</f>
        <v>46</v>
      </c>
      <c r="AB396" s="403">
        <f>AA396</f>
        <v>46</v>
      </c>
      <c r="AC396" s="615">
        <f>+AC213+AC71</f>
        <v>48</v>
      </c>
      <c r="AD396" s="615">
        <f t="shared" si="972"/>
        <v>48</v>
      </c>
      <c r="AE396" s="615">
        <f t="shared" si="972"/>
        <v>48</v>
      </c>
      <c r="AF396" s="700">
        <f t="shared" si="972"/>
        <v>48</v>
      </c>
      <c r="AG396" s="700">
        <f t="shared" si="972"/>
        <v>48</v>
      </c>
      <c r="AH396" s="615">
        <f t="shared" si="973"/>
        <v>48</v>
      </c>
      <c r="AI396" s="615">
        <f t="shared" si="974"/>
        <v>48</v>
      </c>
      <c r="AJ396" s="615">
        <f t="shared" si="975"/>
        <v>48</v>
      </c>
      <c r="AK396" s="700">
        <f t="shared" si="976"/>
        <v>48</v>
      </c>
      <c r="AL396" s="700">
        <f t="shared" si="977"/>
        <v>48</v>
      </c>
      <c r="AM396" s="403">
        <f t="shared" si="978"/>
        <v>48</v>
      </c>
      <c r="AN396" s="403">
        <f t="shared" si="978"/>
        <v>48</v>
      </c>
    </row>
    <row r="397" spans="1:40">
      <c r="A397" s="482" t="s">
        <v>1687</v>
      </c>
      <c r="B397" s="1032">
        <f>SUM(B382:B396)</f>
        <v>408</v>
      </c>
      <c r="C397" s="400">
        <f>SUM(C382:C396)</f>
        <v>477</v>
      </c>
      <c r="D397" s="1032">
        <f t="shared" ref="D397:R397" si="979">SUM(D382:D396)</f>
        <v>485</v>
      </c>
      <c r="E397" s="405">
        <f t="shared" si="979"/>
        <v>479</v>
      </c>
      <c r="F397" s="405">
        <f t="shared" si="979"/>
        <v>481</v>
      </c>
      <c r="G397" s="821">
        <f t="shared" si="979"/>
        <v>493</v>
      </c>
      <c r="H397" s="821">
        <f t="shared" si="979"/>
        <v>493</v>
      </c>
      <c r="I397" s="1032">
        <f t="shared" si="979"/>
        <v>523</v>
      </c>
      <c r="J397" s="405">
        <f t="shared" si="979"/>
        <v>520</v>
      </c>
      <c r="K397" s="405">
        <f>SUM(K382:K396)</f>
        <v>530</v>
      </c>
      <c r="L397" s="821">
        <f>SUM(L382:L396)</f>
        <v>540</v>
      </c>
      <c r="M397" s="821">
        <f>SUM(M382:M396)</f>
        <v>540</v>
      </c>
      <c r="N397" s="1032">
        <f t="shared" si="979"/>
        <v>551</v>
      </c>
      <c r="O397" s="405">
        <f t="shared" si="979"/>
        <v>561</v>
      </c>
      <c r="P397" s="405">
        <f t="shared" si="979"/>
        <v>568</v>
      </c>
      <c r="Q397" s="821">
        <f t="shared" si="979"/>
        <v>570</v>
      </c>
      <c r="R397" s="400">
        <f t="shared" si="979"/>
        <v>570</v>
      </c>
      <c r="S397" s="405">
        <f t="shared" ref="S397:AN397" si="980">SUM(S382:S396)</f>
        <v>562</v>
      </c>
      <c r="T397" s="405">
        <f t="shared" si="980"/>
        <v>557</v>
      </c>
      <c r="U397" s="405">
        <f t="shared" si="980"/>
        <v>567</v>
      </c>
      <c r="V397" s="821">
        <f t="shared" si="980"/>
        <v>589</v>
      </c>
      <c r="W397" s="400">
        <f t="shared" si="980"/>
        <v>589</v>
      </c>
      <c r="X397" s="405">
        <f t="shared" si="980"/>
        <v>578</v>
      </c>
      <c r="Y397" s="405">
        <f t="shared" si="980"/>
        <v>584</v>
      </c>
      <c r="Z397" s="405">
        <f t="shared" si="980"/>
        <v>591</v>
      </c>
      <c r="AA397" s="405">
        <f t="shared" si="980"/>
        <v>605</v>
      </c>
      <c r="AB397" s="400">
        <f t="shared" si="980"/>
        <v>605</v>
      </c>
      <c r="AC397" s="405">
        <f t="shared" si="980"/>
        <v>676.36300000000006</v>
      </c>
      <c r="AD397" s="405">
        <f t="shared" si="980"/>
        <v>679.68978898979879</v>
      </c>
      <c r="AE397" s="405">
        <f t="shared" si="980"/>
        <v>685</v>
      </c>
      <c r="AF397" s="405">
        <f t="shared" si="980"/>
        <v>704</v>
      </c>
      <c r="AG397" s="400">
        <f t="shared" si="980"/>
        <v>704</v>
      </c>
      <c r="AH397" s="405">
        <f t="shared" si="980"/>
        <v>714.18</v>
      </c>
      <c r="AI397" s="405">
        <f t="shared" si="980"/>
        <v>724.43716849999998</v>
      </c>
      <c r="AJ397" s="405">
        <f t="shared" ref="AJ397:AL397" si="981">SUM(AJ382:AJ396)</f>
        <v>734.1114914599998</v>
      </c>
      <c r="AK397" s="405">
        <f t="shared" si="981"/>
        <v>743.93766644822483</v>
      </c>
      <c r="AL397" s="400">
        <f t="shared" si="981"/>
        <v>743.93766644822483</v>
      </c>
      <c r="AM397" s="400">
        <f t="shared" si="980"/>
        <v>778.40627406098906</v>
      </c>
      <c r="AN397" s="400">
        <f t="shared" si="980"/>
        <v>802.49241409016588</v>
      </c>
    </row>
    <row r="398" spans="1:40">
      <c r="A398" s="394"/>
      <c r="B398" s="1033"/>
      <c r="C398" s="398"/>
      <c r="D398" s="1033"/>
      <c r="E398" s="406"/>
      <c r="F398" s="406"/>
      <c r="G398" s="820"/>
      <c r="H398" s="820"/>
      <c r="I398" s="1033"/>
      <c r="J398" s="406"/>
      <c r="K398" s="406"/>
      <c r="L398" s="820"/>
      <c r="M398" s="820"/>
      <c r="N398" s="406"/>
      <c r="O398" s="406"/>
      <c r="P398" s="406"/>
      <c r="Q398" s="820"/>
      <c r="R398" s="398"/>
      <c r="S398" s="406"/>
      <c r="T398" s="406"/>
      <c r="U398" s="406"/>
      <c r="V398" s="820"/>
      <c r="W398" s="398"/>
      <c r="X398" s="406"/>
      <c r="Y398" s="406"/>
      <c r="Z398" s="406"/>
      <c r="AA398" s="406"/>
      <c r="AB398" s="398"/>
      <c r="AC398" s="406"/>
      <c r="AD398" s="406"/>
      <c r="AE398" s="406"/>
      <c r="AF398" s="820"/>
      <c r="AG398" s="398"/>
      <c r="AH398" s="406"/>
      <c r="AI398" s="406"/>
      <c r="AJ398" s="406"/>
      <c r="AK398" s="820"/>
      <c r="AL398" s="398"/>
      <c r="AM398" s="398"/>
      <c r="AN398" s="398"/>
    </row>
    <row r="399" spans="1:40">
      <c r="A399" s="484" t="s">
        <v>1284</v>
      </c>
      <c r="B399" s="1033"/>
      <c r="C399" s="398"/>
      <c r="D399" s="1033"/>
      <c r="E399" s="406"/>
      <c r="F399" s="406"/>
      <c r="G399" s="820"/>
      <c r="H399" s="820"/>
      <c r="I399" s="1033"/>
      <c r="J399" s="406"/>
      <c r="K399" s="406"/>
      <c r="L399" s="820"/>
      <c r="M399" s="820"/>
      <c r="N399" s="406"/>
      <c r="O399" s="406"/>
      <c r="P399" s="406"/>
      <c r="Q399" s="820"/>
      <c r="R399" s="398"/>
      <c r="S399" s="406"/>
      <c r="T399" s="406"/>
      <c r="U399" s="406"/>
      <c r="V399" s="820"/>
      <c r="W399" s="398"/>
      <c r="X399" s="406"/>
      <c r="Y399" s="406"/>
      <c r="Z399" s="406"/>
      <c r="AA399" s="406"/>
      <c r="AB399" s="398"/>
      <c r="AC399" s="406"/>
      <c r="AD399" s="406"/>
      <c r="AE399" s="406"/>
      <c r="AF399" s="820"/>
      <c r="AG399" s="398"/>
      <c r="AH399" s="406"/>
      <c r="AI399" s="406"/>
      <c r="AJ399" s="406"/>
      <c r="AK399" s="820"/>
      <c r="AL399" s="398"/>
      <c r="AM399" s="398"/>
      <c r="AN399" s="398"/>
    </row>
    <row r="400" spans="1:40">
      <c r="A400" s="130" t="str">
        <f>A$9</f>
        <v>Waldorf Astoria Hotels &amp; Resorts (Luxury)</v>
      </c>
      <c r="B400" s="1033">
        <f t="shared" ref="B400:AN400" si="982">B41+B112+B183+B254+B325</f>
        <v>6</v>
      </c>
      <c r="C400" s="398">
        <f t="shared" si="982"/>
        <v>5</v>
      </c>
      <c r="D400" s="1033">
        <f t="shared" si="982"/>
        <v>5</v>
      </c>
      <c r="E400" s="406">
        <f t="shared" si="982"/>
        <v>5</v>
      </c>
      <c r="F400" s="406">
        <f t="shared" si="982"/>
        <v>3</v>
      </c>
      <c r="G400" s="820">
        <f t="shared" si="982"/>
        <v>3</v>
      </c>
      <c r="H400" s="820">
        <f t="shared" si="982"/>
        <v>3</v>
      </c>
      <c r="I400" s="1033">
        <f t="shared" si="982"/>
        <v>3</v>
      </c>
      <c r="J400" s="406">
        <f t="shared" si="982"/>
        <v>3</v>
      </c>
      <c r="K400" s="406">
        <f t="shared" si="982"/>
        <v>1</v>
      </c>
      <c r="L400" s="820">
        <f t="shared" si="982"/>
        <v>1</v>
      </c>
      <c r="M400" s="820">
        <f t="shared" si="982"/>
        <v>1</v>
      </c>
      <c r="N400" s="1033">
        <f t="shared" si="982"/>
        <v>1</v>
      </c>
      <c r="O400" s="406">
        <f t="shared" si="982"/>
        <v>1</v>
      </c>
      <c r="P400" s="406">
        <f t="shared" si="982"/>
        <v>1</v>
      </c>
      <c r="Q400" s="820">
        <f t="shared" si="982"/>
        <v>1</v>
      </c>
      <c r="R400" s="398">
        <f t="shared" si="982"/>
        <v>1</v>
      </c>
      <c r="S400" s="406">
        <f t="shared" si="982"/>
        <v>1</v>
      </c>
      <c r="T400" s="406">
        <f t="shared" si="982"/>
        <v>1</v>
      </c>
      <c r="U400" s="406">
        <f t="shared" si="982"/>
        <v>1</v>
      </c>
      <c r="V400" s="820">
        <f t="shared" si="982"/>
        <v>1</v>
      </c>
      <c r="W400" s="398">
        <f t="shared" si="982"/>
        <v>1</v>
      </c>
      <c r="X400" s="406">
        <f t="shared" si="982"/>
        <v>1</v>
      </c>
      <c r="Y400" s="406">
        <f t="shared" si="982"/>
        <v>1</v>
      </c>
      <c r="Z400" s="406">
        <f t="shared" si="982"/>
        <v>1</v>
      </c>
      <c r="AA400" s="406">
        <f t="shared" si="982"/>
        <v>1</v>
      </c>
      <c r="AB400" s="398">
        <f t="shared" si="982"/>
        <v>1</v>
      </c>
      <c r="AC400" s="406">
        <f t="shared" si="982"/>
        <v>1.0149999999999999</v>
      </c>
      <c r="AD400" s="406">
        <f t="shared" si="982"/>
        <v>1.0403749999999998</v>
      </c>
      <c r="AE400" s="406">
        <f t="shared" si="982"/>
        <v>1</v>
      </c>
      <c r="AF400" s="820">
        <f t="shared" si="982"/>
        <v>1</v>
      </c>
      <c r="AG400" s="398">
        <f t="shared" si="982"/>
        <v>1</v>
      </c>
      <c r="AH400" s="406">
        <f t="shared" si="982"/>
        <v>1.01</v>
      </c>
      <c r="AI400" s="406">
        <f t="shared" si="982"/>
        <v>1.0201</v>
      </c>
      <c r="AJ400" s="406">
        <f t="shared" ref="AJ400:AL400" si="983">AJ41+AJ112+AJ183+AJ254+AJ325</f>
        <v>1.0354014999999999</v>
      </c>
      <c r="AK400" s="820">
        <f t="shared" si="983"/>
        <v>1.0509325224999997</v>
      </c>
      <c r="AL400" s="398">
        <f t="shared" si="983"/>
        <v>1.0509325224999997</v>
      </c>
      <c r="AM400" s="398">
        <f t="shared" si="982"/>
        <v>1.1139884738499997</v>
      </c>
      <c r="AN400" s="398">
        <f t="shared" si="982"/>
        <v>1.1696878975424998</v>
      </c>
    </row>
    <row r="401" spans="1:40">
      <c r="A401" s="130" t="str">
        <f>A$10</f>
        <v>Conrad Hotels &amp; Resorts (Luxury)</v>
      </c>
      <c r="B401" s="1033">
        <f t="shared" ref="B401:AN401" si="984">B42+B113+B184+B255+B326</f>
        <v>1</v>
      </c>
      <c r="C401" s="398">
        <f t="shared" si="984"/>
        <v>1</v>
      </c>
      <c r="D401" s="1033">
        <f t="shared" si="984"/>
        <v>1</v>
      </c>
      <c r="E401" s="406">
        <f t="shared" si="984"/>
        <v>2</v>
      </c>
      <c r="F401" s="406">
        <f t="shared" si="984"/>
        <v>2</v>
      </c>
      <c r="G401" s="820">
        <f t="shared" si="984"/>
        <v>2</v>
      </c>
      <c r="H401" s="820">
        <f t="shared" si="984"/>
        <v>2</v>
      </c>
      <c r="I401" s="1033">
        <f t="shared" si="984"/>
        <v>2</v>
      </c>
      <c r="J401" s="406">
        <f t="shared" si="984"/>
        <v>2</v>
      </c>
      <c r="K401" s="406">
        <f t="shared" si="984"/>
        <v>2</v>
      </c>
      <c r="L401" s="820">
        <f t="shared" si="984"/>
        <v>2</v>
      </c>
      <c r="M401" s="820">
        <f t="shared" si="984"/>
        <v>2</v>
      </c>
      <c r="N401" s="1033">
        <f t="shared" si="984"/>
        <v>2</v>
      </c>
      <c r="O401" s="406">
        <f t="shared" si="984"/>
        <v>2</v>
      </c>
      <c r="P401" s="406">
        <f t="shared" si="984"/>
        <v>3</v>
      </c>
      <c r="Q401" s="820">
        <f t="shared" si="984"/>
        <v>3</v>
      </c>
      <c r="R401" s="398">
        <f t="shared" si="984"/>
        <v>3</v>
      </c>
      <c r="S401" s="406">
        <f t="shared" si="984"/>
        <v>3</v>
      </c>
      <c r="T401" s="406">
        <f t="shared" si="984"/>
        <v>3</v>
      </c>
      <c r="U401" s="406">
        <f t="shared" si="984"/>
        <v>3</v>
      </c>
      <c r="V401" s="820">
        <f t="shared" si="984"/>
        <v>3</v>
      </c>
      <c r="W401" s="398">
        <f t="shared" si="984"/>
        <v>3</v>
      </c>
      <c r="X401" s="406">
        <f t="shared" si="984"/>
        <v>3</v>
      </c>
      <c r="Y401" s="406">
        <f t="shared" si="984"/>
        <v>3</v>
      </c>
      <c r="Z401" s="406">
        <f t="shared" si="984"/>
        <v>4</v>
      </c>
      <c r="AA401" s="406">
        <f t="shared" si="984"/>
        <v>4</v>
      </c>
      <c r="AB401" s="398">
        <f t="shared" si="984"/>
        <v>4</v>
      </c>
      <c r="AC401" s="406">
        <f t="shared" si="984"/>
        <v>4.0599999999999996</v>
      </c>
      <c r="AD401" s="406">
        <f t="shared" si="984"/>
        <v>4.1614999999999993</v>
      </c>
      <c r="AE401" s="406">
        <f t="shared" si="984"/>
        <v>5</v>
      </c>
      <c r="AF401" s="820">
        <f t="shared" si="984"/>
        <v>4</v>
      </c>
      <c r="AG401" s="398">
        <f t="shared" si="984"/>
        <v>4</v>
      </c>
      <c r="AH401" s="406">
        <f t="shared" si="984"/>
        <v>4.0299999999999994</v>
      </c>
      <c r="AI401" s="406">
        <f t="shared" si="984"/>
        <v>4.0602999999999998</v>
      </c>
      <c r="AJ401" s="406">
        <f t="shared" ref="AJ401:AL401" si="985">AJ42+AJ113+AJ184+AJ255+AJ326</f>
        <v>4.1062044999999996</v>
      </c>
      <c r="AK401" s="820">
        <f t="shared" si="985"/>
        <v>4.1527975674999986</v>
      </c>
      <c r="AL401" s="398">
        <f t="shared" si="985"/>
        <v>4.1527975674999986</v>
      </c>
      <c r="AM401" s="398">
        <f t="shared" si="984"/>
        <v>4.3419654215499985</v>
      </c>
      <c r="AN401" s="398">
        <f t="shared" si="984"/>
        <v>4.5090636926274996</v>
      </c>
    </row>
    <row r="402" spans="1:40">
      <c r="A402" s="1828" t="s">
        <v>3022</v>
      </c>
      <c r="B402" s="1033"/>
      <c r="C402" s="398"/>
      <c r="D402" s="1033"/>
      <c r="E402" s="406"/>
      <c r="F402" s="406"/>
      <c r="G402" s="820"/>
      <c r="H402" s="820"/>
      <c r="I402" s="1033"/>
      <c r="J402" s="406"/>
      <c r="K402" s="406"/>
      <c r="L402" s="820"/>
      <c r="M402" s="820"/>
      <c r="N402" s="1033"/>
      <c r="O402" s="406"/>
      <c r="P402" s="406"/>
      <c r="Q402" s="820"/>
      <c r="R402" s="398"/>
      <c r="S402" s="406"/>
      <c r="T402" s="406"/>
      <c r="U402" s="406"/>
      <c r="V402" s="820"/>
      <c r="W402" s="398"/>
      <c r="X402" s="406"/>
      <c r="Y402" s="406"/>
      <c r="Z402" s="406"/>
      <c r="AA402" s="406">
        <f t="shared" ref="AA402:AN402" si="986">AA43+AA114+AA185+AA256+AA327</f>
        <v>1</v>
      </c>
      <c r="AB402" s="398">
        <f t="shared" si="986"/>
        <v>1</v>
      </c>
      <c r="AC402" s="406">
        <f t="shared" si="986"/>
        <v>1</v>
      </c>
      <c r="AD402" s="406">
        <f t="shared" si="986"/>
        <v>1.0249999999999999</v>
      </c>
      <c r="AE402" s="406">
        <f t="shared" si="986"/>
        <v>1</v>
      </c>
      <c r="AF402" s="820">
        <f t="shared" si="986"/>
        <v>1</v>
      </c>
      <c r="AG402" s="398">
        <f t="shared" si="986"/>
        <v>1</v>
      </c>
      <c r="AH402" s="406">
        <f t="shared" si="986"/>
        <v>1</v>
      </c>
      <c r="AI402" s="406">
        <f t="shared" si="986"/>
        <v>1</v>
      </c>
      <c r="AJ402" s="406">
        <f t="shared" ref="AJ402:AL402" si="987">AJ43+AJ114+AJ185+AJ256+AJ327</f>
        <v>1</v>
      </c>
      <c r="AK402" s="820">
        <f t="shared" si="987"/>
        <v>1</v>
      </c>
      <c r="AL402" s="398">
        <f t="shared" si="987"/>
        <v>1</v>
      </c>
      <c r="AM402" s="398">
        <f t="shared" si="986"/>
        <v>1</v>
      </c>
      <c r="AN402" s="398">
        <f t="shared" si="986"/>
        <v>1</v>
      </c>
    </row>
    <row r="403" spans="1:40">
      <c r="A403" s="130" t="str">
        <f>A$12</f>
        <v>Hilton Hotels &amp; Resorts (Upper Up)</v>
      </c>
      <c r="B403" s="1033">
        <f t="shared" ref="B403:Z403" si="988">B44+B115+B186+B257+B328</f>
        <v>237</v>
      </c>
      <c r="C403" s="398">
        <f t="shared" si="988"/>
        <v>240</v>
      </c>
      <c r="D403" s="1033">
        <f t="shared" si="988"/>
        <v>235</v>
      </c>
      <c r="E403" s="406">
        <f t="shared" si="988"/>
        <v>235</v>
      </c>
      <c r="F403" s="406">
        <f t="shared" si="988"/>
        <v>233</v>
      </c>
      <c r="G403" s="820">
        <f t="shared" si="988"/>
        <v>227</v>
      </c>
      <c r="H403" s="820">
        <f t="shared" si="988"/>
        <v>227</v>
      </c>
      <c r="I403" s="1033">
        <f t="shared" si="988"/>
        <v>226</v>
      </c>
      <c r="J403" s="406">
        <f t="shared" si="988"/>
        <v>229</v>
      </c>
      <c r="K403" s="406">
        <f t="shared" si="988"/>
        <v>229</v>
      </c>
      <c r="L403" s="820">
        <f t="shared" si="988"/>
        <v>229</v>
      </c>
      <c r="M403" s="820">
        <f t="shared" si="988"/>
        <v>229</v>
      </c>
      <c r="N403" s="1033">
        <f t="shared" si="988"/>
        <v>227</v>
      </c>
      <c r="O403" s="406">
        <f t="shared" si="988"/>
        <v>223</v>
      </c>
      <c r="P403" s="406">
        <f t="shared" si="988"/>
        <v>223</v>
      </c>
      <c r="Q403" s="820">
        <f t="shared" si="988"/>
        <v>228</v>
      </c>
      <c r="R403" s="398">
        <f t="shared" si="988"/>
        <v>228</v>
      </c>
      <c r="S403" s="406">
        <f t="shared" si="988"/>
        <v>228</v>
      </c>
      <c r="T403" s="406">
        <f t="shared" si="988"/>
        <v>228</v>
      </c>
      <c r="U403" s="406">
        <f t="shared" si="988"/>
        <v>229</v>
      </c>
      <c r="V403" s="820">
        <f t="shared" si="988"/>
        <v>229</v>
      </c>
      <c r="W403" s="398">
        <f t="shared" si="988"/>
        <v>229</v>
      </c>
      <c r="X403" s="406">
        <f t="shared" si="988"/>
        <v>241</v>
      </c>
      <c r="Y403" s="406">
        <f t="shared" si="988"/>
        <v>243</v>
      </c>
      <c r="Z403" s="406">
        <f t="shared" si="988"/>
        <v>243</v>
      </c>
      <c r="AA403" s="406">
        <f t="shared" ref="AA403:AN403" si="989">AA44+AA115+AA186+AA257+AA328</f>
        <v>236</v>
      </c>
      <c r="AB403" s="398">
        <f t="shared" si="989"/>
        <v>236</v>
      </c>
      <c r="AC403" s="406">
        <f t="shared" si="989"/>
        <v>239.00299999999999</v>
      </c>
      <c r="AD403" s="406">
        <f t="shared" si="989"/>
        <v>242.62315100000001</v>
      </c>
      <c r="AE403" s="406">
        <f t="shared" si="989"/>
        <v>238</v>
      </c>
      <c r="AF403" s="820">
        <f t="shared" si="989"/>
        <v>238</v>
      </c>
      <c r="AG403" s="398">
        <f t="shared" si="989"/>
        <v>238</v>
      </c>
      <c r="AH403" s="406">
        <f t="shared" si="989"/>
        <v>240.37999999999997</v>
      </c>
      <c r="AI403" s="406">
        <f t="shared" si="989"/>
        <v>243.41656500000002</v>
      </c>
      <c r="AJ403" s="406">
        <f t="shared" ref="AJ403:AL403" si="990">AJ44+AJ115+AJ186+AJ257+AJ328</f>
        <v>247.06781347499998</v>
      </c>
      <c r="AK403" s="820">
        <f t="shared" si="990"/>
        <v>250.77383067712498</v>
      </c>
      <c r="AL403" s="398">
        <f t="shared" si="990"/>
        <v>250.77383067712498</v>
      </c>
      <c r="AM403" s="398">
        <f t="shared" si="989"/>
        <v>264.87641645850431</v>
      </c>
      <c r="AN403" s="398">
        <f t="shared" si="989"/>
        <v>276.12872631641602</v>
      </c>
    </row>
    <row r="404" spans="1:40">
      <c r="A404" s="1828" t="s">
        <v>2323</v>
      </c>
      <c r="B404" s="1033"/>
      <c r="C404" s="398"/>
      <c r="D404" s="1033"/>
      <c r="E404" s="406"/>
      <c r="F404" s="406"/>
      <c r="G404" s="820"/>
      <c r="H404" s="820"/>
      <c r="I404" s="1033"/>
      <c r="J404" s="406"/>
      <c r="K404" s="406"/>
      <c r="L404" s="820"/>
      <c r="M404" s="820"/>
      <c r="N404" s="1033"/>
      <c r="O404" s="406"/>
      <c r="P404" s="406">
        <f t="shared" ref="P404:Z404" si="991">P45+P116+P187+P258+P329</f>
        <v>2</v>
      </c>
      <c r="Q404" s="820">
        <f t="shared" si="991"/>
        <v>4</v>
      </c>
      <c r="R404" s="398">
        <f t="shared" si="991"/>
        <v>4</v>
      </c>
      <c r="S404" s="406">
        <f t="shared" si="991"/>
        <v>4</v>
      </c>
      <c r="T404" s="406">
        <f t="shared" si="991"/>
        <v>7</v>
      </c>
      <c r="U404" s="406">
        <f t="shared" si="991"/>
        <v>13</v>
      </c>
      <c r="V404" s="820">
        <f t="shared" si="991"/>
        <v>16</v>
      </c>
      <c r="W404" s="398">
        <f t="shared" si="991"/>
        <v>16</v>
      </c>
      <c r="X404" s="406">
        <f t="shared" si="991"/>
        <v>19</v>
      </c>
      <c r="Y404" s="406">
        <f t="shared" si="991"/>
        <v>21</v>
      </c>
      <c r="Z404" s="406">
        <f t="shared" si="991"/>
        <v>24</v>
      </c>
      <c r="AA404" s="406">
        <f t="shared" ref="AA404:AN404" si="992">AA45+AA116+AA187+AA258+AA329</f>
        <v>28</v>
      </c>
      <c r="AB404" s="398">
        <f t="shared" si="992"/>
        <v>28</v>
      </c>
      <c r="AC404" s="406">
        <f t="shared" si="992"/>
        <v>28.283999999999999</v>
      </c>
      <c r="AD404" s="406">
        <f t="shared" si="992"/>
        <v>28.571023019795977</v>
      </c>
      <c r="AE404" s="406">
        <f t="shared" si="992"/>
        <v>35</v>
      </c>
      <c r="AF404" s="820">
        <f t="shared" si="992"/>
        <v>39</v>
      </c>
      <c r="AG404" s="398">
        <f t="shared" si="992"/>
        <v>39</v>
      </c>
      <c r="AH404" s="406">
        <f t="shared" si="992"/>
        <v>39.350000000000009</v>
      </c>
      <c r="AI404" s="406">
        <f t="shared" si="992"/>
        <v>39.795860000000005</v>
      </c>
      <c r="AJ404" s="406">
        <f t="shared" ref="AJ404:AL404" si="993">AJ45+AJ116+AJ187+AJ258+AJ329</f>
        <v>40.287797900000001</v>
      </c>
      <c r="AK404" s="820">
        <f t="shared" si="993"/>
        <v>40.787114868499998</v>
      </c>
      <c r="AL404" s="398">
        <f t="shared" si="993"/>
        <v>40.787114868499998</v>
      </c>
      <c r="AM404" s="398">
        <f t="shared" si="992"/>
        <v>42.581724373229996</v>
      </c>
      <c r="AN404" s="398">
        <f t="shared" si="992"/>
        <v>43.938445853535008</v>
      </c>
    </row>
    <row r="405" spans="1:40">
      <c r="A405" s="130" t="str">
        <f>A$14</f>
        <v>DoubleTree by Hilton (Upscale)</v>
      </c>
      <c r="B405" s="1033">
        <f t="shared" ref="B405:O405" si="994">B46+B117+B188+B259+B330</f>
        <v>192</v>
      </c>
      <c r="C405" s="398">
        <f t="shared" si="994"/>
        <v>220</v>
      </c>
      <c r="D405" s="1033">
        <f t="shared" si="994"/>
        <v>231</v>
      </c>
      <c r="E405" s="406">
        <f t="shared" si="994"/>
        <v>238</v>
      </c>
      <c r="F405" s="406">
        <f t="shared" si="994"/>
        <v>244</v>
      </c>
      <c r="G405" s="820">
        <f t="shared" si="994"/>
        <v>257</v>
      </c>
      <c r="H405" s="820">
        <f t="shared" si="994"/>
        <v>257</v>
      </c>
      <c r="I405" s="1033">
        <f t="shared" si="994"/>
        <v>263</v>
      </c>
      <c r="J405" s="406">
        <f t="shared" si="994"/>
        <v>275</v>
      </c>
      <c r="K405" s="406">
        <f t="shared" si="994"/>
        <v>284</v>
      </c>
      <c r="L405" s="820">
        <f t="shared" si="994"/>
        <v>287</v>
      </c>
      <c r="M405" s="820">
        <f t="shared" si="994"/>
        <v>287</v>
      </c>
      <c r="N405" s="1033">
        <f t="shared" si="994"/>
        <v>294</v>
      </c>
      <c r="O405" s="406">
        <f t="shared" si="994"/>
        <v>299</v>
      </c>
      <c r="P405" s="406">
        <f t="shared" ref="P405:Z405" si="995">P46+P117+P188+P259+P330</f>
        <v>306</v>
      </c>
      <c r="Q405" s="820">
        <f t="shared" si="995"/>
        <v>312</v>
      </c>
      <c r="R405" s="398">
        <f t="shared" si="995"/>
        <v>312</v>
      </c>
      <c r="S405" s="406">
        <f t="shared" si="995"/>
        <v>317</v>
      </c>
      <c r="T405" s="406">
        <f t="shared" si="995"/>
        <v>329</v>
      </c>
      <c r="U405" s="406">
        <f t="shared" si="995"/>
        <v>342</v>
      </c>
      <c r="V405" s="820">
        <f t="shared" si="995"/>
        <v>353</v>
      </c>
      <c r="W405" s="398">
        <f t="shared" si="995"/>
        <v>353</v>
      </c>
      <c r="X405" s="406">
        <f t="shared" si="995"/>
        <v>359</v>
      </c>
      <c r="Y405" s="406">
        <f t="shared" si="995"/>
        <v>364</v>
      </c>
      <c r="Z405" s="406">
        <f t="shared" si="995"/>
        <v>369</v>
      </c>
      <c r="AA405" s="406">
        <f t="shared" ref="AA405:AN405" si="996">AA46+AA117+AA188+AA259+AA330</f>
        <v>386</v>
      </c>
      <c r="AB405" s="398">
        <f t="shared" si="996"/>
        <v>386</v>
      </c>
      <c r="AC405" s="406">
        <f t="shared" si="996"/>
        <v>390.93340533058313</v>
      </c>
      <c r="AD405" s="406">
        <f t="shared" si="996"/>
        <v>400.79372978698882</v>
      </c>
      <c r="AE405" s="406">
        <f t="shared" si="996"/>
        <v>405</v>
      </c>
      <c r="AF405" s="820">
        <f t="shared" si="996"/>
        <v>409</v>
      </c>
      <c r="AG405" s="398">
        <f t="shared" si="996"/>
        <v>409</v>
      </c>
      <c r="AH405" s="406">
        <f t="shared" si="996"/>
        <v>413.69200000000001</v>
      </c>
      <c r="AI405" s="406">
        <f t="shared" si="996"/>
        <v>420.87504000000007</v>
      </c>
      <c r="AJ405" s="406">
        <f t="shared" ref="AJ405:AL405" si="997">AJ46+AJ117+AJ188+AJ259+AJ330</f>
        <v>428.74168680000008</v>
      </c>
      <c r="AK405" s="820">
        <f t="shared" si="997"/>
        <v>438.34199534999999</v>
      </c>
      <c r="AL405" s="398">
        <f t="shared" si="997"/>
        <v>438.34199534999999</v>
      </c>
      <c r="AM405" s="398">
        <f t="shared" si="996"/>
        <v>467.89092790019998</v>
      </c>
      <c r="AN405" s="398">
        <f t="shared" si="996"/>
        <v>494.76127602245407</v>
      </c>
    </row>
    <row r="406" spans="1:40">
      <c r="A406" s="130" t="str">
        <f>A$15</f>
        <v>Embassy Suites Hotels (Upper Up)</v>
      </c>
      <c r="B406" s="1033">
        <f t="shared" ref="B406:O406" si="998">B47+B118+B189+B260+B331</f>
        <v>137</v>
      </c>
      <c r="C406" s="398">
        <f t="shared" si="998"/>
        <v>145</v>
      </c>
      <c r="D406" s="1033">
        <f t="shared" si="998"/>
        <v>146</v>
      </c>
      <c r="E406" s="406">
        <f t="shared" si="998"/>
        <v>148</v>
      </c>
      <c r="F406" s="406">
        <f t="shared" si="998"/>
        <v>149</v>
      </c>
      <c r="G406" s="820">
        <f t="shared" si="998"/>
        <v>149</v>
      </c>
      <c r="H406" s="820">
        <f t="shared" si="998"/>
        <v>149</v>
      </c>
      <c r="I406" s="1033">
        <f t="shared" si="998"/>
        <v>150</v>
      </c>
      <c r="J406" s="406">
        <f t="shared" si="998"/>
        <v>153</v>
      </c>
      <c r="K406" s="406">
        <f t="shared" si="998"/>
        <v>155</v>
      </c>
      <c r="L406" s="820">
        <f t="shared" si="998"/>
        <v>156</v>
      </c>
      <c r="M406" s="820">
        <f t="shared" si="998"/>
        <v>156</v>
      </c>
      <c r="N406" s="1033">
        <f t="shared" si="998"/>
        <v>160</v>
      </c>
      <c r="O406" s="406">
        <f t="shared" si="998"/>
        <v>162</v>
      </c>
      <c r="P406" s="406">
        <f t="shared" ref="P406:Z406" si="999">P47+P118+P189+P260+P331</f>
        <v>163</v>
      </c>
      <c r="Q406" s="820">
        <f t="shared" si="999"/>
        <v>164</v>
      </c>
      <c r="R406" s="398">
        <f t="shared" si="999"/>
        <v>164</v>
      </c>
      <c r="S406" s="406">
        <f t="shared" si="999"/>
        <v>169</v>
      </c>
      <c r="T406" s="406">
        <f t="shared" si="999"/>
        <v>175</v>
      </c>
      <c r="U406" s="406">
        <f t="shared" si="999"/>
        <v>176</v>
      </c>
      <c r="V406" s="820">
        <f t="shared" si="999"/>
        <v>178</v>
      </c>
      <c r="W406" s="398">
        <f t="shared" si="999"/>
        <v>178</v>
      </c>
      <c r="X406" s="406">
        <f t="shared" si="999"/>
        <v>181</v>
      </c>
      <c r="Y406" s="406">
        <f t="shared" si="999"/>
        <v>182</v>
      </c>
      <c r="Z406" s="406">
        <f t="shared" si="999"/>
        <v>186</v>
      </c>
      <c r="AA406" s="406">
        <f t="shared" ref="AA406:AN406" si="1000">AA47+AA118+AA189+AA260+AA331</f>
        <v>186</v>
      </c>
      <c r="AB406" s="398">
        <f t="shared" si="1000"/>
        <v>186</v>
      </c>
      <c r="AC406" s="406">
        <f t="shared" si="1000"/>
        <v>188.24699999999999</v>
      </c>
      <c r="AD406" s="406">
        <f t="shared" si="1000"/>
        <v>190.57193899999999</v>
      </c>
      <c r="AE406" s="406">
        <f t="shared" si="1000"/>
        <v>191</v>
      </c>
      <c r="AF406" s="820">
        <f t="shared" si="1000"/>
        <v>198</v>
      </c>
      <c r="AG406" s="398">
        <f t="shared" si="1000"/>
        <v>198</v>
      </c>
      <c r="AH406" s="406">
        <f t="shared" si="1000"/>
        <v>199.98000000000002</v>
      </c>
      <c r="AI406" s="406">
        <f t="shared" si="1000"/>
        <v>202.66205500000004</v>
      </c>
      <c r="AJ406" s="406">
        <f t="shared" ref="AJ406:AL406" si="1001">AJ47+AJ118+AJ189+AJ260+AJ331</f>
        <v>205.70198582500001</v>
      </c>
      <c r="AK406" s="820">
        <f t="shared" si="1001"/>
        <v>208.78751561237499</v>
      </c>
      <c r="AL406" s="398">
        <f t="shared" si="1001"/>
        <v>208.78751561237499</v>
      </c>
      <c r="AM406" s="398">
        <f t="shared" si="1000"/>
        <v>220.2971022841181</v>
      </c>
      <c r="AN406" s="398">
        <f t="shared" si="1000"/>
        <v>229.16468579917534</v>
      </c>
    </row>
    <row r="407" spans="1:40">
      <c r="A407" s="130" t="str">
        <f>A$16</f>
        <v>Hilton Garden Inn (Upscale)</v>
      </c>
      <c r="B407" s="1033">
        <f t="shared" ref="B407:O407" si="1002">B48+B119+B190+B261+B332</f>
        <v>493</v>
      </c>
      <c r="C407" s="398">
        <f t="shared" si="1002"/>
        <v>511</v>
      </c>
      <c r="D407" s="1033">
        <f t="shared" si="1002"/>
        <v>510</v>
      </c>
      <c r="E407" s="406">
        <f t="shared" si="1002"/>
        <v>514</v>
      </c>
      <c r="F407" s="406">
        <f t="shared" si="1002"/>
        <v>519</v>
      </c>
      <c r="G407" s="820">
        <f t="shared" si="1002"/>
        <v>527</v>
      </c>
      <c r="H407" s="820">
        <f t="shared" si="1002"/>
        <v>527</v>
      </c>
      <c r="I407" s="1033">
        <f t="shared" si="1002"/>
        <v>533</v>
      </c>
      <c r="J407" s="406">
        <f t="shared" si="1002"/>
        <v>541</v>
      </c>
      <c r="K407" s="406">
        <f t="shared" si="1002"/>
        <v>544</v>
      </c>
      <c r="L407" s="820">
        <f t="shared" si="1002"/>
        <v>549</v>
      </c>
      <c r="M407" s="820">
        <f t="shared" si="1002"/>
        <v>549</v>
      </c>
      <c r="N407" s="1033">
        <f t="shared" si="1002"/>
        <v>554</v>
      </c>
      <c r="O407" s="406">
        <f t="shared" si="1002"/>
        <v>561</v>
      </c>
      <c r="P407" s="406">
        <f t="shared" ref="P407:Z407" si="1003">P48+P119+P190+P261+P332</f>
        <v>567</v>
      </c>
      <c r="Q407" s="820">
        <f t="shared" si="1003"/>
        <v>583</v>
      </c>
      <c r="R407" s="398">
        <f t="shared" si="1003"/>
        <v>583</v>
      </c>
      <c r="S407" s="406">
        <f t="shared" si="1003"/>
        <v>588</v>
      </c>
      <c r="T407" s="406">
        <f t="shared" si="1003"/>
        <v>605.58648475228802</v>
      </c>
      <c r="U407" s="406">
        <f t="shared" si="1003"/>
        <v>617</v>
      </c>
      <c r="V407" s="820">
        <f t="shared" si="1003"/>
        <v>624</v>
      </c>
      <c r="W407" s="398">
        <f t="shared" si="1003"/>
        <v>624</v>
      </c>
      <c r="X407" s="406">
        <f t="shared" si="1003"/>
        <v>632</v>
      </c>
      <c r="Y407" s="406">
        <f t="shared" si="1003"/>
        <v>644</v>
      </c>
      <c r="Z407" s="406">
        <f t="shared" si="1003"/>
        <v>653</v>
      </c>
      <c r="AA407" s="406">
        <f t="shared" ref="AA407:AN407" si="1004">AA48+AA119+AA190+AA261+AA332</f>
        <v>661</v>
      </c>
      <c r="AB407" s="398">
        <f t="shared" si="1004"/>
        <v>661</v>
      </c>
      <c r="AC407" s="406">
        <f t="shared" si="1004"/>
        <v>669.14253075324825</v>
      </c>
      <c r="AD407" s="406">
        <f t="shared" si="1004"/>
        <v>686.0510926907242</v>
      </c>
      <c r="AE407" s="406">
        <f t="shared" si="1004"/>
        <v>694</v>
      </c>
      <c r="AF407" s="820">
        <f t="shared" si="1004"/>
        <v>708</v>
      </c>
      <c r="AG407" s="398">
        <f t="shared" si="1004"/>
        <v>708</v>
      </c>
      <c r="AH407" s="406">
        <f t="shared" si="1004"/>
        <v>716.34800000000007</v>
      </c>
      <c r="AI407" s="406">
        <f t="shared" si="1004"/>
        <v>729.92756000000008</v>
      </c>
      <c r="AJ407" s="406">
        <f t="shared" ref="AJ407:AL407" si="1005">AJ48+AJ119+AJ190+AJ261+AJ332</f>
        <v>744.14867420000007</v>
      </c>
      <c r="AK407" s="820">
        <f t="shared" si="1005"/>
        <v>761.98619394500008</v>
      </c>
      <c r="AL407" s="398">
        <f t="shared" si="1005"/>
        <v>761.98619394500008</v>
      </c>
      <c r="AM407" s="398">
        <f t="shared" si="1004"/>
        <v>814.54753745450012</v>
      </c>
      <c r="AN407" s="398">
        <f t="shared" si="1004"/>
        <v>862.59603823112116</v>
      </c>
    </row>
    <row r="408" spans="1:40">
      <c r="A408" s="130" t="str">
        <f>A$17</f>
        <v>Hampton Inn (Upper Mid)</v>
      </c>
      <c r="B408" s="1033">
        <f t="shared" ref="B408:O408" si="1006">B49+B120+B191+B262+B333</f>
        <v>1777</v>
      </c>
      <c r="C408" s="398">
        <f t="shared" si="1006"/>
        <v>1809</v>
      </c>
      <c r="D408" s="1033">
        <f t="shared" si="1006"/>
        <v>1817</v>
      </c>
      <c r="E408" s="406">
        <f t="shared" si="1006"/>
        <v>1827</v>
      </c>
      <c r="F408" s="406">
        <f t="shared" si="1006"/>
        <v>1837</v>
      </c>
      <c r="G408" s="820">
        <f t="shared" si="1006"/>
        <v>1848</v>
      </c>
      <c r="H408" s="820">
        <f t="shared" si="1006"/>
        <v>1848</v>
      </c>
      <c r="I408" s="1033">
        <f t="shared" si="1006"/>
        <v>1835</v>
      </c>
      <c r="J408" s="406">
        <f t="shared" si="1006"/>
        <v>1855</v>
      </c>
      <c r="K408" s="406">
        <f t="shared" si="1006"/>
        <v>1867</v>
      </c>
      <c r="L408" s="820">
        <f t="shared" si="1006"/>
        <v>1876</v>
      </c>
      <c r="M408" s="820">
        <f t="shared" si="1006"/>
        <v>1876</v>
      </c>
      <c r="N408" s="1033">
        <f t="shared" si="1006"/>
        <v>1883</v>
      </c>
      <c r="O408" s="406">
        <f t="shared" si="1006"/>
        <v>1901</v>
      </c>
      <c r="P408" s="406">
        <f t="shared" ref="P408:Z408" si="1007">P49+P120+P191+P262+P333</f>
        <v>1927</v>
      </c>
      <c r="Q408" s="820">
        <f t="shared" si="1007"/>
        <v>1940</v>
      </c>
      <c r="R408" s="398">
        <f t="shared" si="1007"/>
        <v>1940</v>
      </c>
      <c r="S408" s="406">
        <f t="shared" si="1007"/>
        <v>1960</v>
      </c>
      <c r="T408" s="406">
        <f t="shared" si="1007"/>
        <v>1988</v>
      </c>
      <c r="U408" s="406">
        <f t="shared" si="1007"/>
        <v>2011</v>
      </c>
      <c r="V408" s="820">
        <f t="shared" si="1007"/>
        <v>2036</v>
      </c>
      <c r="W408" s="398">
        <f t="shared" si="1007"/>
        <v>2036</v>
      </c>
      <c r="X408" s="406">
        <f t="shared" si="1007"/>
        <v>2051</v>
      </c>
      <c r="Y408" s="406">
        <f t="shared" si="1007"/>
        <v>2076</v>
      </c>
      <c r="Z408" s="406">
        <f t="shared" si="1007"/>
        <v>2106</v>
      </c>
      <c r="AA408" s="406">
        <f t="shared" ref="AA408:AN408" si="1008">AA49+AA120+AA191+AA262+AA333</f>
        <v>2147</v>
      </c>
      <c r="AB408" s="398">
        <f t="shared" si="1008"/>
        <v>2147</v>
      </c>
      <c r="AC408" s="406">
        <f t="shared" si="1008"/>
        <v>2173.2266212864579</v>
      </c>
      <c r="AD408" s="406">
        <f t="shared" si="1008"/>
        <v>2228.1644060738972</v>
      </c>
      <c r="AE408" s="406">
        <f t="shared" si="1008"/>
        <v>2233</v>
      </c>
      <c r="AF408" s="820">
        <f t="shared" si="1008"/>
        <v>2263</v>
      </c>
      <c r="AG408" s="398">
        <f t="shared" si="1008"/>
        <v>2263</v>
      </c>
      <c r="AH408" s="406">
        <f t="shared" si="1008"/>
        <v>2289.8240000000001</v>
      </c>
      <c r="AI408" s="406">
        <f t="shared" si="1008"/>
        <v>2333.9438800000003</v>
      </c>
      <c r="AJ408" s="406">
        <f t="shared" ref="AJ408:AL408" si="1009">AJ49+AJ120+AJ191+AJ262+AJ333</f>
        <v>2379.7760746000004</v>
      </c>
      <c r="AK408" s="820">
        <f t="shared" si="1009"/>
        <v>2437.551709975</v>
      </c>
      <c r="AL408" s="398">
        <f t="shared" si="1009"/>
        <v>2437.551709975</v>
      </c>
      <c r="AM408" s="398">
        <f t="shared" si="1008"/>
        <v>2606.4357816859006</v>
      </c>
      <c r="AN408" s="398">
        <f t="shared" si="1008"/>
        <v>2760.9727077204634</v>
      </c>
    </row>
    <row r="409" spans="1:40">
      <c r="A409" s="130" t="str">
        <f>A$18</f>
        <v>Home2 Suites by Hilton (Upper Mid)</v>
      </c>
      <c r="B409" s="1033">
        <f t="shared" ref="B409:O409" si="1010">B50+B121+B192+B263+B334</f>
        <v>0</v>
      </c>
      <c r="C409" s="398">
        <f t="shared" si="1010"/>
        <v>7</v>
      </c>
      <c r="D409" s="1033">
        <f t="shared" si="1010"/>
        <v>7</v>
      </c>
      <c r="E409" s="406">
        <f t="shared" si="1010"/>
        <v>10</v>
      </c>
      <c r="F409" s="406">
        <f t="shared" si="1010"/>
        <v>12</v>
      </c>
      <c r="G409" s="820">
        <f t="shared" si="1010"/>
        <v>13</v>
      </c>
      <c r="H409" s="820">
        <f t="shared" si="1010"/>
        <v>13</v>
      </c>
      <c r="I409" s="1033">
        <f t="shared" si="1010"/>
        <v>17</v>
      </c>
      <c r="J409" s="406">
        <f t="shared" si="1010"/>
        <v>18</v>
      </c>
      <c r="K409" s="406">
        <f t="shared" si="1010"/>
        <v>22</v>
      </c>
      <c r="L409" s="820">
        <f t="shared" si="1010"/>
        <v>26</v>
      </c>
      <c r="M409" s="820">
        <f t="shared" si="1010"/>
        <v>26</v>
      </c>
      <c r="N409" s="1033">
        <f t="shared" si="1010"/>
        <v>29</v>
      </c>
      <c r="O409" s="406">
        <f t="shared" si="1010"/>
        <v>33</v>
      </c>
      <c r="P409" s="406">
        <f t="shared" ref="P409:Z409" si="1011">P50+P121+P192+P263+P334</f>
        <v>40</v>
      </c>
      <c r="Q409" s="820">
        <f t="shared" si="1011"/>
        <v>44</v>
      </c>
      <c r="R409" s="398">
        <f t="shared" si="1011"/>
        <v>44</v>
      </c>
      <c r="S409" s="406">
        <f t="shared" si="1011"/>
        <v>47</v>
      </c>
      <c r="T409" s="406">
        <f t="shared" si="1011"/>
        <v>56</v>
      </c>
      <c r="U409" s="406">
        <f t="shared" si="1011"/>
        <v>67</v>
      </c>
      <c r="V409" s="820">
        <f t="shared" si="1011"/>
        <v>72</v>
      </c>
      <c r="W409" s="398">
        <f t="shared" si="1011"/>
        <v>72</v>
      </c>
      <c r="X409" s="406">
        <f t="shared" si="1011"/>
        <v>82</v>
      </c>
      <c r="Y409" s="406">
        <f t="shared" si="1011"/>
        <v>92</v>
      </c>
      <c r="Z409" s="406">
        <f t="shared" si="1011"/>
        <v>115</v>
      </c>
      <c r="AA409" s="406">
        <f t="shared" ref="AA409:AN409" si="1012">AA50+AA121+AA192+AA263+AA334</f>
        <v>129</v>
      </c>
      <c r="AB409" s="398">
        <f t="shared" si="1012"/>
        <v>129</v>
      </c>
      <c r="AC409" s="406">
        <f t="shared" si="1012"/>
        <v>130.56153658011584</v>
      </c>
      <c r="AD409" s="406">
        <f t="shared" si="1012"/>
        <v>133.86350113550378</v>
      </c>
      <c r="AE409" s="406">
        <f t="shared" si="1012"/>
        <v>179</v>
      </c>
      <c r="AF409" s="820">
        <f t="shared" si="1012"/>
        <v>204</v>
      </c>
      <c r="AG409" s="398">
        <f t="shared" si="1012"/>
        <v>204</v>
      </c>
      <c r="AH409" s="406">
        <f t="shared" si="1012"/>
        <v>206.44200000000001</v>
      </c>
      <c r="AI409" s="406">
        <f t="shared" si="1012"/>
        <v>210.54054000000002</v>
      </c>
      <c r="AJ409" s="406">
        <f t="shared" ref="AJ409:AL409" si="1013">AJ50+AJ121+AJ192+AJ263+AJ334</f>
        <v>214.73604929999999</v>
      </c>
      <c r="AK409" s="820">
        <f t="shared" si="1013"/>
        <v>220.07338848749998</v>
      </c>
      <c r="AL409" s="398">
        <f t="shared" si="1013"/>
        <v>220.07338848749998</v>
      </c>
      <c r="AM409" s="398">
        <f t="shared" si="1012"/>
        <v>235.44699770595003</v>
      </c>
      <c r="AN409" s="398">
        <f t="shared" si="1012"/>
        <v>249.54039791409153</v>
      </c>
    </row>
    <row r="410" spans="1:40">
      <c r="A410" s="130" t="str">
        <f>$A$90</f>
        <v>Tru by Hilton</v>
      </c>
      <c r="B410" s="1030"/>
      <c r="C410" s="508"/>
      <c r="D410" s="1030"/>
      <c r="E410" s="912"/>
      <c r="F410" s="912"/>
      <c r="G410" s="1041"/>
      <c r="H410" s="820"/>
      <c r="I410" s="1030"/>
      <c r="J410" s="912"/>
      <c r="K410" s="912"/>
      <c r="L410" s="1041"/>
      <c r="M410" s="820"/>
      <c r="N410" s="1030"/>
      <c r="O410" s="912"/>
      <c r="P410" s="912"/>
      <c r="Q410" s="1041"/>
      <c r="R410" s="820"/>
      <c r="S410" s="1030"/>
      <c r="T410" s="912"/>
      <c r="U410" s="912"/>
      <c r="V410" s="912"/>
      <c r="W410" s="398"/>
      <c r="X410" s="2791"/>
      <c r="Y410" s="2791"/>
      <c r="Z410" s="2791"/>
      <c r="AA410" s="2791"/>
      <c r="AB410" s="398"/>
      <c r="AC410" s="406">
        <f t="shared" ref="AC410:AN410" si="1014">AC51+AC122+AC193+AC264+AC335</f>
        <v>0</v>
      </c>
      <c r="AD410" s="406">
        <f t="shared" si="1014"/>
        <v>3</v>
      </c>
      <c r="AE410" s="406">
        <f t="shared" si="1014"/>
        <v>5</v>
      </c>
      <c r="AF410" s="820">
        <f t="shared" si="1014"/>
        <v>9</v>
      </c>
      <c r="AG410" s="398">
        <f t="shared" si="1014"/>
        <v>9</v>
      </c>
      <c r="AH410" s="406">
        <f t="shared" si="1014"/>
        <v>9.1080000000000005</v>
      </c>
      <c r="AI410" s="406">
        <f t="shared" si="1014"/>
        <v>9.2901600000000002</v>
      </c>
      <c r="AJ410" s="406">
        <f t="shared" ref="AJ410:AL410" si="1015">AJ51+AJ122+AJ193+AJ264+AJ335</f>
        <v>9.4759632000000007</v>
      </c>
      <c r="AK410" s="820">
        <f t="shared" si="1015"/>
        <v>9.7128622799999995</v>
      </c>
      <c r="AL410" s="398">
        <f t="shared" si="1015"/>
        <v>9.7128622799999995</v>
      </c>
      <c r="AM410" s="398">
        <f t="shared" si="1014"/>
        <v>10.392762639600001</v>
      </c>
      <c r="AN410" s="398">
        <f t="shared" si="1014"/>
        <v>11.016328397976002</v>
      </c>
    </row>
    <row r="411" spans="1:40">
      <c r="A411" s="130" t="str">
        <f>$A$91</f>
        <v>Tapestry Collection by Hilton</v>
      </c>
      <c r="B411" s="1030"/>
      <c r="C411" s="508"/>
      <c r="D411" s="1030"/>
      <c r="E411" s="912"/>
      <c r="F411" s="912"/>
      <c r="G411" s="1041"/>
      <c r="H411" s="820"/>
      <c r="I411" s="1030"/>
      <c r="J411" s="912"/>
      <c r="K411" s="912"/>
      <c r="L411" s="1041"/>
      <c r="M411" s="820"/>
      <c r="N411" s="1030"/>
      <c r="O411" s="912"/>
      <c r="P411" s="912"/>
      <c r="Q411" s="1041"/>
      <c r="R411" s="820"/>
      <c r="S411" s="1030"/>
      <c r="T411" s="912"/>
      <c r="U411" s="912"/>
      <c r="V411" s="912"/>
      <c r="W411" s="398"/>
      <c r="X411" s="2791"/>
      <c r="Y411" s="2791"/>
      <c r="Z411" s="2791"/>
      <c r="AA411" s="2791"/>
      <c r="AB411" s="398"/>
      <c r="AC411" s="406">
        <f t="shared" ref="AC411:AN411" si="1016">AC52+AC123+AC194+AC265+AC336</f>
        <v>0</v>
      </c>
      <c r="AD411" s="406">
        <f t="shared" si="1016"/>
        <v>1</v>
      </c>
      <c r="AE411" s="406">
        <f t="shared" si="1016"/>
        <v>1</v>
      </c>
      <c r="AF411" s="820">
        <f t="shared" si="1016"/>
        <v>1</v>
      </c>
      <c r="AG411" s="398">
        <f t="shared" si="1016"/>
        <v>1</v>
      </c>
      <c r="AH411" s="406">
        <f t="shared" si="1016"/>
        <v>1.012</v>
      </c>
      <c r="AI411" s="406">
        <f t="shared" si="1016"/>
        <v>1.03224</v>
      </c>
      <c r="AJ411" s="406">
        <f t="shared" ref="AJ411:AL411" si="1017">AJ52+AJ123+AJ194+AJ265+AJ336</f>
        <v>1.0528848000000002</v>
      </c>
      <c r="AK411" s="820">
        <f t="shared" si="1017"/>
        <v>1.0792069200000001</v>
      </c>
      <c r="AL411" s="398">
        <f t="shared" si="1017"/>
        <v>1.0792069200000001</v>
      </c>
      <c r="AM411" s="398">
        <f t="shared" si="1016"/>
        <v>1.1547514044000002</v>
      </c>
      <c r="AN411" s="398">
        <f t="shared" si="1016"/>
        <v>1.2240364886640003</v>
      </c>
    </row>
    <row r="412" spans="1:40">
      <c r="A412" s="130" t="str">
        <f>A$21</f>
        <v>Homewood Suites by Hilton (Upscale)</v>
      </c>
      <c r="B412" s="1033">
        <f t="shared" ref="B412:AN412" si="1018">B53+B124+B195+B266+B337</f>
        <v>259</v>
      </c>
      <c r="C412" s="398">
        <f t="shared" si="1018"/>
        <v>266</v>
      </c>
      <c r="D412" s="1033">
        <f t="shared" si="1018"/>
        <v>267</v>
      </c>
      <c r="E412" s="406">
        <f t="shared" si="1018"/>
        <v>274</v>
      </c>
      <c r="F412" s="406">
        <f t="shared" si="1018"/>
        <v>280</v>
      </c>
      <c r="G412" s="820">
        <f t="shared" si="1018"/>
        <v>282</v>
      </c>
      <c r="H412" s="820">
        <f t="shared" si="1018"/>
        <v>282</v>
      </c>
      <c r="I412" s="1033">
        <f t="shared" si="1018"/>
        <v>282</v>
      </c>
      <c r="J412" s="406">
        <f t="shared" si="1018"/>
        <v>287</v>
      </c>
      <c r="K412" s="406">
        <f t="shared" si="1018"/>
        <v>290</v>
      </c>
      <c r="L412" s="820">
        <f t="shared" si="1018"/>
        <v>294</v>
      </c>
      <c r="M412" s="820">
        <f t="shared" si="1018"/>
        <v>294</v>
      </c>
      <c r="N412" s="1033">
        <f t="shared" si="1018"/>
        <v>300</v>
      </c>
      <c r="O412" s="406">
        <f t="shared" si="1018"/>
        <v>307</v>
      </c>
      <c r="P412" s="406">
        <f t="shared" si="1018"/>
        <v>320</v>
      </c>
      <c r="Q412" s="820">
        <f t="shared" si="1018"/>
        <v>329</v>
      </c>
      <c r="R412" s="398">
        <f t="shared" si="1018"/>
        <v>329</v>
      </c>
      <c r="S412" s="406">
        <f t="shared" si="1018"/>
        <v>335</v>
      </c>
      <c r="T412" s="406">
        <f t="shared" si="1018"/>
        <v>341</v>
      </c>
      <c r="U412" s="406">
        <f t="shared" si="1018"/>
        <v>350</v>
      </c>
      <c r="V412" s="820">
        <f t="shared" si="1018"/>
        <v>360</v>
      </c>
      <c r="W412" s="398">
        <f t="shared" si="1018"/>
        <v>360</v>
      </c>
      <c r="X412" s="406">
        <f t="shared" si="1018"/>
        <v>367</v>
      </c>
      <c r="Y412" s="406">
        <f t="shared" si="1018"/>
        <v>372</v>
      </c>
      <c r="Z412" s="406">
        <f t="shared" si="1018"/>
        <v>382</v>
      </c>
      <c r="AA412" s="406">
        <f t="shared" si="1018"/>
        <v>391</v>
      </c>
      <c r="AB412" s="398">
        <f t="shared" si="1018"/>
        <v>391</v>
      </c>
      <c r="AC412" s="406">
        <f t="shared" si="1018"/>
        <v>395.75350172653521</v>
      </c>
      <c r="AD412" s="406">
        <f t="shared" si="1018"/>
        <v>405.76021468899927</v>
      </c>
      <c r="AE412" s="406">
        <f t="shared" si="1018"/>
        <v>417</v>
      </c>
      <c r="AF412" s="820">
        <f t="shared" si="1018"/>
        <v>427</v>
      </c>
      <c r="AG412" s="398">
        <f t="shared" si="1018"/>
        <v>427</v>
      </c>
      <c r="AH412" s="406">
        <f t="shared" si="1018"/>
        <v>432.09000000000003</v>
      </c>
      <c r="AI412" s="406">
        <f t="shared" si="1018"/>
        <v>440.56010000000003</v>
      </c>
      <c r="AJ412" s="406">
        <f t="shared" ref="AJ412:AL412" si="1019">AJ53+AJ124+AJ195+AJ266+AJ337</f>
        <v>449.28459350000008</v>
      </c>
      <c r="AK412" s="820">
        <f t="shared" si="1019"/>
        <v>460.34069008250003</v>
      </c>
      <c r="AL412" s="398">
        <f t="shared" si="1019"/>
        <v>460.34069008250003</v>
      </c>
      <c r="AM412" s="398">
        <f t="shared" si="1018"/>
        <v>492.38587985945003</v>
      </c>
      <c r="AN412" s="398">
        <f t="shared" si="1018"/>
        <v>521.73965461046259</v>
      </c>
    </row>
    <row r="413" spans="1:40">
      <c r="A413" s="130" t="s">
        <v>1407</v>
      </c>
      <c r="B413" s="1030">
        <v>0</v>
      </c>
      <c r="C413" s="508">
        <v>1</v>
      </c>
      <c r="D413" s="1030">
        <v>1</v>
      </c>
      <c r="E413" s="912">
        <v>4</v>
      </c>
      <c r="F413" s="912">
        <v>3</v>
      </c>
      <c r="G413" s="1041">
        <v>4</v>
      </c>
      <c r="H413" s="820">
        <f>G413</f>
        <v>4</v>
      </c>
      <c r="I413" s="1030">
        <v>2</v>
      </c>
      <c r="J413" s="912">
        <v>1</v>
      </c>
      <c r="K413" s="912">
        <v>0</v>
      </c>
      <c r="L413" s="1041">
        <v>0</v>
      </c>
      <c r="M413" s="820">
        <f>L413</f>
        <v>0</v>
      </c>
      <c r="N413" s="1030">
        <v>0</v>
      </c>
      <c r="O413" s="406">
        <v>0</v>
      </c>
      <c r="P413" s="406">
        <v>0</v>
      </c>
      <c r="Q413" s="820">
        <f>P413</f>
        <v>0</v>
      </c>
      <c r="R413" s="820">
        <f>Q413</f>
        <v>0</v>
      </c>
      <c r="S413" s="1030">
        <v>0</v>
      </c>
      <c r="T413" s="912">
        <v>2</v>
      </c>
      <c r="U413" s="912">
        <v>2</v>
      </c>
      <c r="V413" s="912">
        <v>3</v>
      </c>
      <c r="W413" s="398">
        <f>V413</f>
        <v>3</v>
      </c>
      <c r="X413" s="2791">
        <v>3</v>
      </c>
      <c r="Y413" s="2791">
        <v>2</v>
      </c>
      <c r="Z413" s="2791">
        <v>3</v>
      </c>
      <c r="AA413" s="2791">
        <v>5</v>
      </c>
      <c r="AB413" s="398">
        <f>AA413</f>
        <v>5</v>
      </c>
      <c r="AC413" s="406">
        <f>AA413</f>
        <v>5</v>
      </c>
      <c r="AD413" s="406">
        <f t="shared" ref="AD413:AG414" si="1020">AC413</f>
        <v>5</v>
      </c>
      <c r="AE413" s="406">
        <f t="shared" si="1020"/>
        <v>5</v>
      </c>
      <c r="AF413" s="820">
        <f t="shared" si="1020"/>
        <v>5</v>
      </c>
      <c r="AG413" s="820">
        <f t="shared" si="1020"/>
        <v>5</v>
      </c>
      <c r="AH413" s="406">
        <f t="shared" ref="AH413:AH414" si="1021">AG413</f>
        <v>5</v>
      </c>
      <c r="AI413" s="406">
        <f t="shared" ref="AI413:AI414" si="1022">AH413</f>
        <v>5</v>
      </c>
      <c r="AJ413" s="406">
        <f t="shared" ref="AJ413:AJ414" si="1023">AI413</f>
        <v>5</v>
      </c>
      <c r="AK413" s="820">
        <f t="shared" ref="AK413:AK414" si="1024">AJ413</f>
        <v>5</v>
      </c>
      <c r="AL413" s="820">
        <f t="shared" ref="AL413:AL414" si="1025">AK413</f>
        <v>5</v>
      </c>
      <c r="AM413" s="398">
        <f t="shared" ref="AM413:AN414" si="1026">AL413</f>
        <v>5</v>
      </c>
      <c r="AN413" s="398">
        <f t="shared" si="1026"/>
        <v>5</v>
      </c>
    </row>
    <row r="414" spans="1:40" s="5" customFormat="1">
      <c r="A414" s="402" t="s">
        <v>1394</v>
      </c>
      <c r="B414" s="1031">
        <v>0</v>
      </c>
      <c r="C414" s="1029">
        <v>0</v>
      </c>
      <c r="D414" s="1031">
        <v>0</v>
      </c>
      <c r="E414" s="1039">
        <v>0</v>
      </c>
      <c r="F414" s="1039">
        <v>0</v>
      </c>
      <c r="G414" s="1042">
        <v>0</v>
      </c>
      <c r="H414" s="700">
        <f>G414</f>
        <v>0</v>
      </c>
      <c r="I414" s="1031">
        <v>0</v>
      </c>
      <c r="J414" s="1039">
        <v>0</v>
      </c>
      <c r="K414" s="1039">
        <v>0</v>
      </c>
      <c r="L414" s="1042">
        <v>0</v>
      </c>
      <c r="M414" s="700">
        <f>L414</f>
        <v>0</v>
      </c>
      <c r="N414" s="1031">
        <v>0</v>
      </c>
      <c r="O414" s="1039">
        <v>0</v>
      </c>
      <c r="P414" s="1039">
        <v>0</v>
      </c>
      <c r="Q414" s="700">
        <f>P414</f>
        <v>0</v>
      </c>
      <c r="R414" s="700">
        <f>Q414</f>
        <v>0</v>
      </c>
      <c r="S414" s="1031">
        <v>0</v>
      </c>
      <c r="T414" s="1039">
        <v>0</v>
      </c>
      <c r="U414" s="1039">
        <v>0</v>
      </c>
      <c r="V414" s="1039">
        <v>0</v>
      </c>
      <c r="W414" s="403">
        <f>V414</f>
        <v>0</v>
      </c>
      <c r="X414" s="2794">
        <v>0</v>
      </c>
      <c r="Y414" s="2794">
        <v>0</v>
      </c>
      <c r="Z414" s="2794">
        <v>0</v>
      </c>
      <c r="AA414" s="2794">
        <v>0</v>
      </c>
      <c r="AB414" s="403">
        <f>AA414</f>
        <v>0</v>
      </c>
      <c r="AC414" s="615">
        <f>AA414</f>
        <v>0</v>
      </c>
      <c r="AD414" s="615">
        <f t="shared" si="1020"/>
        <v>0</v>
      </c>
      <c r="AE414" s="615">
        <f t="shared" si="1020"/>
        <v>0</v>
      </c>
      <c r="AF414" s="700">
        <f t="shared" si="1020"/>
        <v>0</v>
      </c>
      <c r="AG414" s="700">
        <f t="shared" si="1020"/>
        <v>0</v>
      </c>
      <c r="AH414" s="615">
        <f t="shared" si="1021"/>
        <v>0</v>
      </c>
      <c r="AI414" s="615">
        <f t="shared" si="1022"/>
        <v>0</v>
      </c>
      <c r="AJ414" s="615">
        <f t="shared" si="1023"/>
        <v>0</v>
      </c>
      <c r="AK414" s="700">
        <f t="shared" si="1024"/>
        <v>0</v>
      </c>
      <c r="AL414" s="700">
        <f t="shared" si="1025"/>
        <v>0</v>
      </c>
      <c r="AM414" s="403">
        <f t="shared" si="1026"/>
        <v>0</v>
      </c>
      <c r="AN414" s="403">
        <f t="shared" si="1026"/>
        <v>0</v>
      </c>
    </row>
    <row r="415" spans="1:40">
      <c r="A415" s="482" t="s">
        <v>1687</v>
      </c>
      <c r="B415" s="1032">
        <f>SUM(B400:B414)</f>
        <v>3102</v>
      </c>
      <c r="C415" s="400">
        <f>SUM(C400:C414)</f>
        <v>3205</v>
      </c>
      <c r="D415" s="1032">
        <f t="shared" ref="D415:R415" si="1027">SUM(D400:D414)</f>
        <v>3220</v>
      </c>
      <c r="E415" s="405">
        <f t="shared" si="1027"/>
        <v>3257</v>
      </c>
      <c r="F415" s="405">
        <f t="shared" si="1027"/>
        <v>3282</v>
      </c>
      <c r="G415" s="821">
        <f t="shared" si="1027"/>
        <v>3312</v>
      </c>
      <c r="H415" s="821">
        <f t="shared" si="1027"/>
        <v>3312</v>
      </c>
      <c r="I415" s="1032">
        <f t="shared" si="1027"/>
        <v>3313</v>
      </c>
      <c r="J415" s="405">
        <f t="shared" si="1027"/>
        <v>3364</v>
      </c>
      <c r="K415" s="405">
        <f t="shared" si="1027"/>
        <v>3394</v>
      </c>
      <c r="L415" s="821">
        <f>SUM(L400:L414)</f>
        <v>3420</v>
      </c>
      <c r="M415" s="821">
        <f>SUM(M400:M414)</f>
        <v>3420</v>
      </c>
      <c r="N415" s="1032">
        <f t="shared" si="1027"/>
        <v>3450</v>
      </c>
      <c r="O415" s="405">
        <f t="shared" si="1027"/>
        <v>3489</v>
      </c>
      <c r="P415" s="405">
        <f t="shared" si="1027"/>
        <v>3552</v>
      </c>
      <c r="Q415" s="821">
        <f t="shared" si="1027"/>
        <v>3608</v>
      </c>
      <c r="R415" s="400">
        <f t="shared" si="1027"/>
        <v>3608</v>
      </c>
      <c r="S415" s="405">
        <f t="shared" ref="S415:AN415" si="1028">SUM(S400:S414)</f>
        <v>3652</v>
      </c>
      <c r="T415" s="405">
        <f t="shared" si="1028"/>
        <v>3735.586484752288</v>
      </c>
      <c r="U415" s="405">
        <f t="shared" si="1028"/>
        <v>3811</v>
      </c>
      <c r="V415" s="405">
        <f t="shared" si="1028"/>
        <v>3875</v>
      </c>
      <c r="W415" s="400">
        <f t="shared" si="1028"/>
        <v>3875</v>
      </c>
      <c r="X415" s="405">
        <f t="shared" si="1028"/>
        <v>3939</v>
      </c>
      <c r="Y415" s="405">
        <f t="shared" si="1028"/>
        <v>4000</v>
      </c>
      <c r="Z415" s="405">
        <f t="shared" si="1028"/>
        <v>4086</v>
      </c>
      <c r="AA415" s="405">
        <f t="shared" si="1028"/>
        <v>4175</v>
      </c>
      <c r="AB415" s="400">
        <f t="shared" si="1028"/>
        <v>4175</v>
      </c>
      <c r="AC415" s="405">
        <f t="shared" si="1028"/>
        <v>4226.2265956769406</v>
      </c>
      <c r="AD415" s="405">
        <f t="shared" si="1028"/>
        <v>4331.6259323959093</v>
      </c>
      <c r="AE415" s="405">
        <f t="shared" si="1028"/>
        <v>4410</v>
      </c>
      <c r="AF415" s="821">
        <f t="shared" si="1028"/>
        <v>4507</v>
      </c>
      <c r="AG415" s="400">
        <f t="shared" si="1028"/>
        <v>4507</v>
      </c>
      <c r="AH415" s="405">
        <f t="shared" si="1028"/>
        <v>4559.2660000000005</v>
      </c>
      <c r="AI415" s="405">
        <f t="shared" si="1028"/>
        <v>4643.1243999999997</v>
      </c>
      <c r="AJ415" s="405">
        <f t="shared" ref="AJ415:AL415" si="1029">SUM(AJ400:AJ414)</f>
        <v>4731.4151296000009</v>
      </c>
      <c r="AK415" s="821">
        <f t="shared" si="1029"/>
        <v>4840.6382382880001</v>
      </c>
      <c r="AL415" s="400">
        <f t="shared" si="1029"/>
        <v>4840.6382382880001</v>
      </c>
      <c r="AM415" s="400">
        <f t="shared" si="1028"/>
        <v>5167.4658356612517</v>
      </c>
      <c r="AN415" s="400">
        <f t="shared" si="1028"/>
        <v>5462.7610489445296</v>
      </c>
    </row>
    <row r="416" spans="1:40">
      <c r="A416" s="394"/>
      <c r="B416" s="1033"/>
      <c r="C416" s="398"/>
      <c r="D416" s="1033"/>
      <c r="E416" s="406"/>
      <c r="F416" s="406"/>
      <c r="G416" s="820"/>
      <c r="H416" s="820"/>
      <c r="I416" s="1033"/>
      <c r="J416" s="406"/>
      <c r="K416" s="406"/>
      <c r="L416" s="820"/>
      <c r="M416" s="820"/>
      <c r="N416" s="406"/>
      <c r="O416" s="406"/>
      <c r="P416" s="406"/>
      <c r="Q416" s="820"/>
      <c r="R416" s="398"/>
      <c r="S416" s="406"/>
      <c r="T416" s="406"/>
      <c r="U416" s="406"/>
      <c r="V416" s="820"/>
      <c r="W416" s="398"/>
      <c r="X416" s="406"/>
      <c r="Y416" s="406"/>
      <c r="Z416" s="406"/>
      <c r="AA416" s="406"/>
      <c r="AB416" s="398"/>
      <c r="AC416" s="406"/>
      <c r="AD416" s="406"/>
      <c r="AE416" s="406"/>
      <c r="AF416" s="820"/>
      <c r="AG416" s="398"/>
      <c r="AH416" s="406"/>
      <c r="AI416" s="406"/>
      <c r="AJ416" s="406"/>
      <c r="AK416" s="820"/>
      <c r="AL416" s="398"/>
      <c r="AM416" s="398"/>
      <c r="AN416" s="398"/>
    </row>
    <row r="417" spans="1:40">
      <c r="A417" s="485" t="s">
        <v>1227</v>
      </c>
      <c r="B417" s="1034">
        <f>B416+B415+B397+B379</f>
        <v>3709</v>
      </c>
      <c r="C417" s="476">
        <f>C416+C415+C397+C379</f>
        <v>3843</v>
      </c>
      <c r="D417" s="1034">
        <f t="shared" ref="D417:R417" si="1030">D416+D415+D397+D379</f>
        <v>3866</v>
      </c>
      <c r="E417" s="475">
        <f t="shared" si="1030"/>
        <v>3897</v>
      </c>
      <c r="F417" s="475">
        <f t="shared" si="1030"/>
        <v>3924</v>
      </c>
      <c r="G417" s="822">
        <f t="shared" si="1030"/>
        <v>3966</v>
      </c>
      <c r="H417" s="822">
        <f t="shared" si="1030"/>
        <v>3966</v>
      </c>
      <c r="I417" s="1034">
        <f t="shared" si="1030"/>
        <v>3994</v>
      </c>
      <c r="J417" s="475">
        <f t="shared" si="1030"/>
        <v>4041</v>
      </c>
      <c r="K417" s="475">
        <f t="shared" si="1030"/>
        <v>4080</v>
      </c>
      <c r="L417" s="822">
        <f>L416+L415+L397+L379</f>
        <v>4115</v>
      </c>
      <c r="M417" s="822">
        <f>M416+M415+M397+M379</f>
        <v>4115</v>
      </c>
      <c r="N417" s="1034">
        <f t="shared" si="1030"/>
        <v>4155</v>
      </c>
      <c r="O417" s="475">
        <f t="shared" si="1030"/>
        <v>4202</v>
      </c>
      <c r="P417" s="475">
        <f t="shared" si="1030"/>
        <v>4265</v>
      </c>
      <c r="Q417" s="822">
        <f t="shared" si="1030"/>
        <v>4322</v>
      </c>
      <c r="R417" s="476">
        <f t="shared" si="1030"/>
        <v>4322</v>
      </c>
      <c r="S417" s="475">
        <f t="shared" ref="S417:AN417" si="1031">S416+S415+S397+S379</f>
        <v>4362</v>
      </c>
      <c r="T417" s="475">
        <f t="shared" si="1031"/>
        <v>4441.586484752288</v>
      </c>
      <c r="U417" s="475">
        <f t="shared" si="1031"/>
        <v>4525</v>
      </c>
      <c r="V417" s="822">
        <f t="shared" si="1031"/>
        <v>4610</v>
      </c>
      <c r="W417" s="476">
        <f t="shared" si="1031"/>
        <v>4610</v>
      </c>
      <c r="X417" s="475">
        <f t="shared" si="1031"/>
        <v>4661</v>
      </c>
      <c r="Y417" s="475">
        <f t="shared" si="1031"/>
        <v>4727</v>
      </c>
      <c r="Z417" s="475">
        <f t="shared" si="1031"/>
        <v>4820</v>
      </c>
      <c r="AA417" s="475">
        <f t="shared" si="1031"/>
        <v>4922</v>
      </c>
      <c r="AB417" s="476">
        <f t="shared" si="1031"/>
        <v>4922</v>
      </c>
      <c r="AC417" s="3668">
        <f>AC356+AC285+AC214+AC143+AC72</f>
        <v>4982</v>
      </c>
      <c r="AD417" s="3668">
        <f>AD356+AD285+AD214+AD143+AD72</f>
        <v>5079</v>
      </c>
      <c r="AE417" s="475">
        <f t="shared" si="1031"/>
        <v>5168</v>
      </c>
      <c r="AF417" s="822">
        <f t="shared" si="1031"/>
        <v>5284</v>
      </c>
      <c r="AG417" s="476">
        <f t="shared" si="1031"/>
        <v>5284</v>
      </c>
      <c r="AH417" s="475">
        <f t="shared" si="1031"/>
        <v>5346.4460000000008</v>
      </c>
      <c r="AI417" s="475">
        <f t="shared" si="1031"/>
        <v>5440.5615684999993</v>
      </c>
      <c r="AJ417" s="475">
        <f t="shared" ref="AJ417:AL417" si="1032">AJ416+AJ415+AJ397+AJ379</f>
        <v>5538.5266210600003</v>
      </c>
      <c r="AK417" s="822">
        <f t="shared" si="1032"/>
        <v>5657.5759047362253</v>
      </c>
      <c r="AL417" s="476">
        <f t="shared" si="1032"/>
        <v>5657.5759047362253</v>
      </c>
      <c r="AM417" s="476">
        <f t="shared" si="1031"/>
        <v>6018.8721097222406</v>
      </c>
      <c r="AN417" s="476">
        <f t="shared" si="1031"/>
        <v>6338.2534630346954</v>
      </c>
    </row>
    <row r="418" spans="1:40">
      <c r="A418" s="478" t="s">
        <v>598</v>
      </c>
      <c r="B418" s="1035"/>
      <c r="C418" s="480">
        <f>C417-B417</f>
        <v>134</v>
      </c>
      <c r="D418" s="1035"/>
      <c r="E418" s="479"/>
      <c r="F418" s="479"/>
      <c r="G418" s="1040"/>
      <c r="H418" s="1040">
        <f t="shared" ref="H418:R418" si="1033">H417-C417</f>
        <v>123</v>
      </c>
      <c r="I418" s="1035">
        <f t="shared" si="1033"/>
        <v>128</v>
      </c>
      <c r="J418" s="479">
        <f t="shared" si="1033"/>
        <v>144</v>
      </c>
      <c r="K418" s="479">
        <f t="shared" si="1033"/>
        <v>156</v>
      </c>
      <c r="L418" s="1040">
        <f t="shared" si="1033"/>
        <v>149</v>
      </c>
      <c r="M418" s="1040">
        <f>M417-H417</f>
        <v>149</v>
      </c>
      <c r="N418" s="1035">
        <f t="shared" si="1033"/>
        <v>161</v>
      </c>
      <c r="O418" s="479">
        <f t="shared" si="1033"/>
        <v>161</v>
      </c>
      <c r="P418" s="479">
        <f t="shared" si="1033"/>
        <v>185</v>
      </c>
      <c r="Q418" s="479">
        <f t="shared" si="1033"/>
        <v>207</v>
      </c>
      <c r="R418" s="480">
        <f t="shared" si="1033"/>
        <v>207</v>
      </c>
      <c r="S418" s="479">
        <f t="shared" ref="S418:AB418" si="1034">S417-N417</f>
        <v>207</v>
      </c>
      <c r="T418" s="479">
        <f t="shared" si="1034"/>
        <v>239.58648475228802</v>
      </c>
      <c r="U418" s="479">
        <f t="shared" si="1034"/>
        <v>260</v>
      </c>
      <c r="V418" s="479">
        <f t="shared" si="1034"/>
        <v>288</v>
      </c>
      <c r="W418" s="480">
        <f t="shared" si="1034"/>
        <v>288</v>
      </c>
      <c r="X418" s="479">
        <f t="shared" si="1034"/>
        <v>299</v>
      </c>
      <c r="Y418" s="479">
        <f t="shared" si="1034"/>
        <v>285.41351524771198</v>
      </c>
      <c r="Z418" s="479">
        <f t="shared" si="1034"/>
        <v>295</v>
      </c>
      <c r="AA418" s="479">
        <f t="shared" si="1034"/>
        <v>312</v>
      </c>
      <c r="AB418" s="480">
        <f t="shared" si="1034"/>
        <v>312</v>
      </c>
      <c r="AC418" s="479">
        <f>AC417-X417</f>
        <v>321</v>
      </c>
      <c r="AD418" s="479">
        <f>AD417-Y417</f>
        <v>352</v>
      </c>
      <c r="AE418" s="479">
        <f>AE417-Z417</f>
        <v>348</v>
      </c>
      <c r="AF418" s="479">
        <f>AF417-AA417</f>
        <v>362</v>
      </c>
      <c r="AG418" s="480">
        <f>AG417-AB417</f>
        <v>362</v>
      </c>
      <c r="AH418" s="479">
        <f t="shared" ref="AH418:AI418" si="1035">AH417-AC417</f>
        <v>364.44600000000082</v>
      </c>
      <c r="AI418" s="479">
        <f t="shared" si="1035"/>
        <v>361.56156849999934</v>
      </c>
      <c r="AJ418" s="479">
        <f>AJ417-AE417</f>
        <v>370.52662106000025</v>
      </c>
      <c r="AK418" s="479">
        <f>AK417-AF417</f>
        <v>373.57590473622531</v>
      </c>
      <c r="AL418" s="480">
        <f>AL417-AG417</f>
        <v>373.57590473622531</v>
      </c>
      <c r="AM418" s="480">
        <f>AM417-AL417</f>
        <v>361.29620498601525</v>
      </c>
      <c r="AN418" s="480">
        <f>AN417-AM417</f>
        <v>319.38135331245485</v>
      </c>
    </row>
    <row r="419" spans="1:40">
      <c r="A419" s="477" t="s">
        <v>1423</v>
      </c>
      <c r="B419" s="1036"/>
      <c r="C419" s="445">
        <f>C418/B417</f>
        <v>3.6128336478835267E-2</v>
      </c>
      <c r="D419" s="1036"/>
      <c r="E419" s="437"/>
      <c r="F419" s="437"/>
      <c r="G419" s="589"/>
      <c r="H419" s="589">
        <f t="shared" ref="H419:R419" si="1036">H418/C417</f>
        <v>3.200624512099922E-2</v>
      </c>
      <c r="I419" s="1036">
        <f t="shared" si="1036"/>
        <v>3.3109156751163993E-2</v>
      </c>
      <c r="J419" s="437">
        <f t="shared" si="1036"/>
        <v>3.695150115473441E-2</v>
      </c>
      <c r="K419" s="437">
        <f t="shared" si="1036"/>
        <v>3.9755351681957186E-2</v>
      </c>
      <c r="L419" s="589">
        <f t="shared" si="1036"/>
        <v>3.7569339384770549E-2</v>
      </c>
      <c r="M419" s="589">
        <f>M418/H417</f>
        <v>3.7569339384770549E-2</v>
      </c>
      <c r="N419" s="1036">
        <f t="shared" si="1036"/>
        <v>4.031046569854782E-2</v>
      </c>
      <c r="O419" s="481">
        <f t="shared" si="1036"/>
        <v>3.9841623360554315E-2</v>
      </c>
      <c r="P419" s="481">
        <f t="shared" si="1036"/>
        <v>4.5343137254901959E-2</v>
      </c>
      <c r="Q419" s="481">
        <f t="shared" si="1036"/>
        <v>5.0303766707168893E-2</v>
      </c>
      <c r="R419" s="445">
        <f t="shared" si="1036"/>
        <v>5.0303766707168893E-2</v>
      </c>
      <c r="S419" s="481">
        <f t="shared" ref="S419:AB419" si="1037">S418/N417</f>
        <v>4.9819494584837545E-2</v>
      </c>
      <c r="T419" s="481">
        <f t="shared" si="1037"/>
        <v>5.7017250060039985E-2</v>
      </c>
      <c r="U419" s="481">
        <f t="shared" si="1037"/>
        <v>6.096131301289566E-2</v>
      </c>
      <c r="V419" s="481">
        <f t="shared" si="1037"/>
        <v>6.6635816751503929E-2</v>
      </c>
      <c r="W419" s="445">
        <f t="shared" si="1037"/>
        <v>6.6635816751503929E-2</v>
      </c>
      <c r="X419" s="481">
        <f t="shared" si="1037"/>
        <v>6.8546538285190278E-2</v>
      </c>
      <c r="Y419" s="481">
        <f t="shared" si="1037"/>
        <v>6.4259362330896908E-2</v>
      </c>
      <c r="Z419" s="481">
        <f t="shared" si="1037"/>
        <v>6.5193370165745862E-2</v>
      </c>
      <c r="AA419" s="481">
        <f t="shared" si="1037"/>
        <v>6.767895878524946E-2</v>
      </c>
      <c r="AB419" s="445">
        <f t="shared" si="1037"/>
        <v>6.767895878524946E-2</v>
      </c>
      <c r="AC419" s="481">
        <f>AC418/X417</f>
        <v>6.8869341343059429E-2</v>
      </c>
      <c r="AD419" s="481">
        <f>AD418/Y417</f>
        <v>7.4465834567378889E-2</v>
      </c>
      <c r="AE419" s="481">
        <f>AE418/Z417</f>
        <v>7.2199170124481321E-2</v>
      </c>
      <c r="AF419" s="481">
        <f>AF418/AA417</f>
        <v>7.3547338480292559E-2</v>
      </c>
      <c r="AG419" s="445">
        <f>AG418/AB417</f>
        <v>7.3547338480292559E-2</v>
      </c>
      <c r="AH419" s="481">
        <f t="shared" ref="AH419:AI419" si="1038">AH418/AC417</f>
        <v>7.3152549177037493E-2</v>
      </c>
      <c r="AI419" s="481">
        <f t="shared" si="1038"/>
        <v>7.1187550403622624E-2</v>
      </c>
      <c r="AJ419" s="481">
        <f>AJ418/AE417</f>
        <v>7.1696327604489213E-2</v>
      </c>
      <c r="AK419" s="481">
        <f>AK418/AF417</f>
        <v>7.0699452069686849E-2</v>
      </c>
      <c r="AL419" s="445">
        <f>AL418/AG417</f>
        <v>7.0699452069686849E-2</v>
      </c>
      <c r="AM419" s="445">
        <f>AM418/AL417</f>
        <v>6.3860602326794594E-2</v>
      </c>
      <c r="AN419" s="445">
        <f>AN418/AM417</f>
        <v>5.3063322743900881E-2</v>
      </c>
    </row>
    <row r="420" spans="1:40">
      <c r="A420" s="3773"/>
      <c r="B420" s="405"/>
      <c r="C420" s="405"/>
      <c r="D420" s="405"/>
      <c r="E420" s="405"/>
      <c r="F420" s="405"/>
      <c r="G420" s="405"/>
      <c r="H420" s="405"/>
      <c r="I420" s="405"/>
      <c r="J420" s="405"/>
      <c r="K420" s="405"/>
      <c r="L420" s="405"/>
      <c r="M420" s="405"/>
      <c r="N420" s="405"/>
      <c r="O420" s="405"/>
      <c r="P420" s="405"/>
      <c r="Q420" s="405"/>
      <c r="R420" s="405"/>
      <c r="S420" s="405"/>
      <c r="T420" s="405"/>
      <c r="U420" s="405"/>
      <c r="V420" s="405"/>
      <c r="W420" s="405"/>
      <c r="X420" s="405"/>
      <c r="Y420" s="405"/>
      <c r="Z420" s="405"/>
      <c r="AA420" s="405"/>
      <c r="AB420" s="405"/>
      <c r="AC420" s="3774"/>
      <c r="AD420" s="3774"/>
      <c r="AE420" s="3774"/>
      <c r="AF420" s="3774"/>
      <c r="AG420" s="3774"/>
      <c r="AH420" s="3774"/>
      <c r="AI420" s="3774"/>
      <c r="AJ420" s="3774"/>
      <c r="AK420" s="3774"/>
      <c r="AL420" s="3774"/>
      <c r="AM420" s="3774"/>
      <c r="AN420" s="3774"/>
    </row>
    <row r="421" spans="1:40">
      <c r="A421" s="204"/>
      <c r="B421" s="483"/>
      <c r="C421" s="483"/>
      <c r="D421" s="483"/>
      <c r="E421" s="483"/>
      <c r="F421" s="483"/>
      <c r="G421" s="483"/>
      <c r="H421" s="483"/>
      <c r="I421" s="483"/>
      <c r="J421" s="483"/>
      <c r="K421" s="483"/>
      <c r="L421" s="483"/>
      <c r="M421" s="483"/>
      <c r="N421" s="483"/>
      <c r="O421" s="483"/>
      <c r="P421" s="483"/>
      <c r="Q421" s="483"/>
      <c r="R421" s="483"/>
      <c r="S421" s="483"/>
      <c r="T421" s="483"/>
      <c r="U421" s="483"/>
      <c r="V421" s="483"/>
      <c r="W421" s="483"/>
      <c r="X421" s="483"/>
      <c r="Y421" s="483"/>
      <c r="Z421" s="483"/>
      <c r="AA421" s="483"/>
      <c r="AB421" s="483"/>
      <c r="AC421" s="483"/>
      <c r="AD421" s="483"/>
      <c r="AE421" s="483"/>
      <c r="AF421" s="483"/>
      <c r="AG421" s="483"/>
      <c r="AH421" s="483"/>
      <c r="AI421" s="483"/>
      <c r="AJ421" s="483"/>
      <c r="AK421" s="483"/>
      <c r="AL421" s="483"/>
      <c r="AM421" s="483"/>
      <c r="AN421" s="483"/>
    </row>
    <row r="422" spans="1:40" s="775" customFormat="1">
      <c r="A422" s="461" t="s">
        <v>1409</v>
      </c>
      <c r="B422" s="774" t="str">
        <f>+Hilton!E$5</f>
        <v>2010</v>
      </c>
      <c r="C422" s="774" t="str">
        <f>+Hilton!F$5</f>
        <v>2011</v>
      </c>
      <c r="D422" s="773" t="str">
        <f>+Hilton!G$5</f>
        <v>1Q12</v>
      </c>
      <c r="E422" s="773" t="str">
        <f>+Hilton!H$5</f>
        <v>2Q12</v>
      </c>
      <c r="F422" s="773" t="str">
        <f>+Hilton!I$5</f>
        <v>3Q12</v>
      </c>
      <c r="G422" s="773" t="str">
        <f>+Hilton!J$5</f>
        <v>4Q12</v>
      </c>
      <c r="H422" s="774">
        <f>+Hilton!K$5</f>
        <v>2012</v>
      </c>
      <c r="I422" s="773" t="str">
        <f>+Hilton!L$5</f>
        <v>1Q13</v>
      </c>
      <c r="J422" s="773" t="str">
        <f>+Hilton!M$5</f>
        <v>2Q13</v>
      </c>
      <c r="K422" s="773" t="str">
        <f>+Hilton!N$5</f>
        <v>3Q13</v>
      </c>
      <c r="L422" s="773" t="str">
        <f>+Hilton!O$5</f>
        <v>4Q13</v>
      </c>
      <c r="M422" s="774">
        <f>+Hilton!P$5</f>
        <v>2013</v>
      </c>
      <c r="N422" s="773" t="str">
        <f>+Hilton!Q$5</f>
        <v>1Q14</v>
      </c>
      <c r="O422" s="773" t="str">
        <f>+Hilton!R$5</f>
        <v>2Q14</v>
      </c>
      <c r="P422" s="773" t="str">
        <f>+Hilton!S$5</f>
        <v>3Q14</v>
      </c>
      <c r="Q422" s="773" t="str">
        <f>+Hilton!T$5</f>
        <v>4Q14</v>
      </c>
      <c r="R422" s="774">
        <f>+Hilton!U$5</f>
        <v>2014</v>
      </c>
      <c r="S422" s="773" t="str">
        <f>+Hilton!V$5</f>
        <v>1Q15</v>
      </c>
      <c r="T422" s="773" t="str">
        <f>+Hilton!W$5</f>
        <v>2Q15</v>
      </c>
      <c r="U422" s="773" t="str">
        <f>+Hilton!X$5</f>
        <v>3Q15</v>
      </c>
      <c r="V422" s="773" t="str">
        <f>+Hilton!Y$5</f>
        <v>4Q15</v>
      </c>
      <c r="W422" s="774">
        <f>+Hilton!Z$5</f>
        <v>2015</v>
      </c>
      <c r="X422" s="773" t="str">
        <f>+Hilton!AA$5</f>
        <v>1Q16</v>
      </c>
      <c r="Y422" s="773" t="str">
        <f>+Hilton!AB$5</f>
        <v>2Q16</v>
      </c>
      <c r="Z422" s="773" t="str">
        <f>+Hilton!AC$5</f>
        <v>3Q16</v>
      </c>
      <c r="AA422" s="773" t="str">
        <f>+Hilton!AD$5</f>
        <v>4Q16</v>
      </c>
      <c r="AB422" s="774">
        <f>+Hilton!AE$5</f>
        <v>2016</v>
      </c>
      <c r="AC422" s="773" t="str">
        <f>+Hilton!AF$5</f>
        <v>1Q17</v>
      </c>
      <c r="AD422" s="773" t="str">
        <f>+Hilton!AG$5</f>
        <v>2Q17</v>
      </c>
      <c r="AE422" s="773" t="str">
        <f>+Hilton!AH$5</f>
        <v>3Q17</v>
      </c>
      <c r="AF422" s="773" t="str">
        <f>+Hilton!AI$5</f>
        <v>4Q17A</v>
      </c>
      <c r="AG422" s="774" t="str">
        <f>+Hilton!AJ$5</f>
        <v>2017A</v>
      </c>
      <c r="AH422" s="773" t="str">
        <f>+Hilton!AK$5</f>
        <v>1Q18E</v>
      </c>
      <c r="AI422" s="773" t="str">
        <f>+Hilton!AL$5</f>
        <v>2Q18E</v>
      </c>
      <c r="AJ422" s="773" t="str">
        <f>+Hilton!AM$5</f>
        <v>3Q18E</v>
      </c>
      <c r="AK422" s="773" t="str">
        <f>+Hilton!AN$5</f>
        <v>4Q18E</v>
      </c>
      <c r="AL422" s="774" t="str">
        <f>+Hilton!AO$5</f>
        <v>2018E</v>
      </c>
      <c r="AM422" s="774" t="str">
        <f>+Hilton!AP$5</f>
        <v>2019E</v>
      </c>
      <c r="AN422" s="774" t="str">
        <f>+Hilton!AQ$5</f>
        <v>2020E</v>
      </c>
    </row>
    <row r="423" spans="1:40" s="130" customFormat="1">
      <c r="A423" s="140"/>
      <c r="B423" s="397"/>
      <c r="C423" s="397"/>
      <c r="D423" s="203"/>
      <c r="E423" s="203"/>
      <c r="F423" s="203"/>
      <c r="G423" s="203"/>
      <c r="H423" s="397"/>
      <c r="I423" s="203"/>
      <c r="J423" s="203"/>
      <c r="K423" s="203"/>
      <c r="L423" s="203"/>
      <c r="M423" s="397"/>
      <c r="N423" s="203"/>
      <c r="O423" s="203"/>
      <c r="P423" s="203"/>
      <c r="Q423" s="203"/>
      <c r="R423" s="397"/>
      <c r="S423" s="1038"/>
      <c r="T423" s="203"/>
      <c r="U423" s="203"/>
      <c r="V423" s="572"/>
      <c r="W423" s="397"/>
      <c r="X423" s="1038"/>
      <c r="Y423" s="203"/>
      <c r="Z423" s="203"/>
      <c r="AA423" s="203"/>
      <c r="AB423" s="397"/>
      <c r="AC423" s="203"/>
      <c r="AD423" s="203"/>
      <c r="AE423" s="203"/>
      <c r="AF423" s="572"/>
      <c r="AG423" s="397"/>
      <c r="AH423" s="203"/>
      <c r="AI423" s="203"/>
      <c r="AJ423" s="203"/>
      <c r="AK423" s="572"/>
      <c r="AL423" s="397"/>
      <c r="AM423" s="397"/>
      <c r="AN423" s="397"/>
    </row>
    <row r="424" spans="1:40">
      <c r="A424" s="141" t="s">
        <v>1589</v>
      </c>
      <c r="B424" s="138"/>
      <c r="C424" s="138"/>
      <c r="D424" s="130"/>
      <c r="E424" s="130"/>
      <c r="F424" s="130"/>
      <c r="G424" s="130"/>
      <c r="H424" s="138"/>
      <c r="I424" s="130"/>
      <c r="J424" s="130"/>
      <c r="K424" s="130"/>
      <c r="L424" s="130"/>
      <c r="M424" s="138"/>
      <c r="N424" s="130"/>
      <c r="O424" s="130"/>
      <c r="P424" s="130"/>
      <c r="Q424" s="130"/>
      <c r="R424" s="138"/>
      <c r="S424" s="394"/>
      <c r="T424" s="135"/>
      <c r="U424" s="135"/>
      <c r="V424" s="452"/>
      <c r="W424" s="138"/>
      <c r="X424" s="394"/>
      <c r="Y424" s="135"/>
      <c r="Z424" s="135"/>
      <c r="AA424" s="135"/>
      <c r="AB424" s="138"/>
      <c r="AC424" s="135"/>
      <c r="AD424" s="135"/>
      <c r="AE424" s="135"/>
      <c r="AF424" s="452"/>
      <c r="AG424" s="138"/>
      <c r="AH424" s="135"/>
      <c r="AI424" s="135"/>
      <c r="AJ424" s="135"/>
      <c r="AK424" s="452"/>
      <c r="AL424" s="138"/>
      <c r="AM424" s="138"/>
      <c r="AN424" s="138"/>
    </row>
    <row r="425" spans="1:40">
      <c r="A425" s="130" t="s">
        <v>2272</v>
      </c>
      <c r="B425" s="1030">
        <v>1413</v>
      </c>
      <c r="C425" s="508">
        <v>1413</v>
      </c>
      <c r="D425" s="1030">
        <v>1601</v>
      </c>
      <c r="E425" s="912">
        <v>1601</v>
      </c>
      <c r="F425" s="912">
        <v>1601</v>
      </c>
      <c r="G425" s="1041">
        <v>1601</v>
      </c>
      <c r="H425" s="820">
        <f>G425</f>
        <v>1601</v>
      </c>
      <c r="I425" s="1030">
        <v>1601</v>
      </c>
      <c r="J425" s="912">
        <v>1601</v>
      </c>
      <c r="K425" s="912">
        <v>1601</v>
      </c>
      <c r="L425" s="1041">
        <v>1601</v>
      </c>
      <c r="M425" s="820">
        <f>L425</f>
        <v>1601</v>
      </c>
      <c r="N425" s="1030">
        <v>1601</v>
      </c>
      <c r="O425" s="912">
        <f>N425</f>
        <v>1601</v>
      </c>
      <c r="P425" s="912">
        <v>1602</v>
      </c>
      <c r="Q425" s="1041">
        <v>1602</v>
      </c>
      <c r="R425" s="820">
        <f>Q425</f>
        <v>1602</v>
      </c>
      <c r="S425" s="1030">
        <v>1148</v>
      </c>
      <c r="T425" s="912">
        <v>1148</v>
      </c>
      <c r="U425" s="912">
        <v>1148</v>
      </c>
      <c r="V425" s="912">
        <v>1148</v>
      </c>
      <c r="W425" s="398">
        <f>+V425</f>
        <v>1148</v>
      </c>
      <c r="X425" s="2791">
        <v>1148</v>
      </c>
      <c r="Y425" s="2791">
        <v>1174</v>
      </c>
      <c r="Z425" s="2791">
        <v>1174</v>
      </c>
      <c r="AA425" s="2791">
        <v>1174</v>
      </c>
      <c r="AB425" s="398">
        <f>+AA425</f>
        <v>1174</v>
      </c>
      <c r="AC425" s="3879">
        <f>+AA425-'Owned Hotels Spinoff'!$H$32</f>
        <v>215</v>
      </c>
      <c r="AD425" s="1715">
        <f t="shared" ref="AD425:AD437" si="1039">+AC425</f>
        <v>215</v>
      </c>
      <c r="AE425" s="3665">
        <v>215</v>
      </c>
      <c r="AF425" s="3665">
        <v>215</v>
      </c>
      <c r="AG425" s="1716">
        <f t="shared" ref="AF425:AG437" si="1040">+AF425</f>
        <v>215</v>
      </c>
      <c r="AH425" s="1715">
        <f t="shared" ref="AH425:AH437" si="1041">+AG425</f>
        <v>215</v>
      </c>
      <c r="AI425" s="1715">
        <f t="shared" ref="AI425:AI437" si="1042">+AH425</f>
        <v>215</v>
      </c>
      <c r="AJ425" s="1715">
        <f t="shared" ref="AJ425:AJ437" si="1043">+AI425</f>
        <v>215</v>
      </c>
      <c r="AK425" s="1714">
        <f t="shared" ref="AK425:AK437" si="1044">+AJ425</f>
        <v>215</v>
      </c>
      <c r="AL425" s="1716">
        <f t="shared" ref="AL425:AL427" si="1045">+AK425</f>
        <v>215</v>
      </c>
      <c r="AM425" s="1716">
        <f t="shared" ref="AM425:AN437" si="1046">AL425</f>
        <v>215</v>
      </c>
      <c r="AN425" s="1716">
        <f t="shared" si="1046"/>
        <v>215</v>
      </c>
    </row>
    <row r="426" spans="1:40">
      <c r="A426" s="130" t="s">
        <v>2273</v>
      </c>
      <c r="B426" s="1030">
        <v>0</v>
      </c>
      <c r="C426" s="508">
        <v>0</v>
      </c>
      <c r="D426" s="1030">
        <v>0</v>
      </c>
      <c r="E426" s="912">
        <v>0</v>
      </c>
      <c r="F426" s="912">
        <v>0</v>
      </c>
      <c r="G426" s="1041">
        <v>0</v>
      </c>
      <c r="H426" s="820">
        <f t="shared" ref="H426:H437" si="1047">G426</f>
        <v>0</v>
      </c>
      <c r="I426" s="1030">
        <v>0</v>
      </c>
      <c r="J426" s="912">
        <v>0</v>
      </c>
      <c r="K426" s="912">
        <v>0</v>
      </c>
      <c r="L426" s="1041">
        <v>0</v>
      </c>
      <c r="M426" s="820">
        <f t="shared" ref="M426:M437" si="1048">L426</f>
        <v>0</v>
      </c>
      <c r="N426" s="1030">
        <v>0</v>
      </c>
      <c r="O426" s="912">
        <v>0</v>
      </c>
      <c r="P426" s="912">
        <v>0</v>
      </c>
      <c r="Q426" s="1041">
        <v>0</v>
      </c>
      <c r="R426" s="820">
        <f>Q426</f>
        <v>0</v>
      </c>
      <c r="S426" s="1030">
        <v>0</v>
      </c>
      <c r="T426" s="912">
        <v>0</v>
      </c>
      <c r="U426" s="912">
        <v>0</v>
      </c>
      <c r="V426" s="912">
        <v>0</v>
      </c>
      <c r="W426" s="398">
        <f>+V426</f>
        <v>0</v>
      </c>
      <c r="X426" s="2791">
        <f>+W426</f>
        <v>0</v>
      </c>
      <c r="Y426" s="2791">
        <v>0</v>
      </c>
      <c r="Z426" s="2791">
        <v>0</v>
      </c>
      <c r="AA426" s="2791">
        <v>0</v>
      </c>
      <c r="AB426" s="398">
        <f>+AA426</f>
        <v>0</v>
      </c>
      <c r="AC426" s="3879">
        <f>+AA426</f>
        <v>0</v>
      </c>
      <c r="AD426" s="1715">
        <f t="shared" si="1039"/>
        <v>0</v>
      </c>
      <c r="AE426" s="3665">
        <v>0</v>
      </c>
      <c r="AF426" s="1714">
        <f t="shared" si="1040"/>
        <v>0</v>
      </c>
      <c r="AG426" s="1716">
        <f t="shared" si="1040"/>
        <v>0</v>
      </c>
      <c r="AH426" s="1715">
        <f t="shared" si="1041"/>
        <v>0</v>
      </c>
      <c r="AI426" s="1715">
        <f t="shared" si="1042"/>
        <v>0</v>
      </c>
      <c r="AJ426" s="1715">
        <f t="shared" si="1043"/>
        <v>0</v>
      </c>
      <c r="AK426" s="1714">
        <f t="shared" si="1044"/>
        <v>0</v>
      </c>
      <c r="AL426" s="1716">
        <f t="shared" si="1045"/>
        <v>0</v>
      </c>
      <c r="AM426" s="1716">
        <f t="shared" si="1046"/>
        <v>0</v>
      </c>
      <c r="AN426" s="1716">
        <f t="shared" si="1046"/>
        <v>0</v>
      </c>
    </row>
    <row r="427" spans="1:40">
      <c r="A427" s="1828" t="s">
        <v>3022</v>
      </c>
      <c r="B427" s="1030"/>
      <c r="C427" s="508"/>
      <c r="D427" s="1030"/>
      <c r="E427" s="912"/>
      <c r="F427" s="912"/>
      <c r="G427" s="1041"/>
      <c r="H427" s="820"/>
      <c r="I427" s="1030"/>
      <c r="J427" s="912"/>
      <c r="K427" s="912"/>
      <c r="L427" s="1041"/>
      <c r="M427" s="820"/>
      <c r="N427" s="1030"/>
      <c r="O427" s="912"/>
      <c r="P427" s="912"/>
      <c r="Q427" s="1041"/>
      <c r="R427" s="820"/>
      <c r="S427" s="1030"/>
      <c r="T427" s="912"/>
      <c r="U427" s="912"/>
      <c r="V427" s="912"/>
      <c r="W427" s="398"/>
      <c r="X427" s="2791"/>
      <c r="Y427" s="2791"/>
      <c r="Z427" s="2791"/>
      <c r="AA427" s="2791">
        <v>0</v>
      </c>
      <c r="AB427" s="398">
        <f>+AA427</f>
        <v>0</v>
      </c>
      <c r="AC427" s="3879">
        <f>+AB427</f>
        <v>0</v>
      </c>
      <c r="AD427" s="1715">
        <f t="shared" si="1039"/>
        <v>0</v>
      </c>
      <c r="AE427" s="3665">
        <v>0</v>
      </c>
      <c r="AF427" s="1714">
        <f t="shared" si="1040"/>
        <v>0</v>
      </c>
      <c r="AG427" s="1716">
        <f t="shared" si="1040"/>
        <v>0</v>
      </c>
      <c r="AH427" s="1715">
        <f t="shared" si="1041"/>
        <v>0</v>
      </c>
      <c r="AI427" s="1715">
        <f t="shared" si="1042"/>
        <v>0</v>
      </c>
      <c r="AJ427" s="1715">
        <f t="shared" si="1043"/>
        <v>0</v>
      </c>
      <c r="AK427" s="1714">
        <f t="shared" si="1044"/>
        <v>0</v>
      </c>
      <c r="AL427" s="1716">
        <f t="shared" si="1045"/>
        <v>0</v>
      </c>
      <c r="AM427" s="1716">
        <f t="shared" si="1046"/>
        <v>0</v>
      </c>
      <c r="AN427" s="1716">
        <f t="shared" si="1046"/>
        <v>0</v>
      </c>
    </row>
    <row r="428" spans="1:40">
      <c r="A428" s="130" t="s">
        <v>2280</v>
      </c>
      <c r="B428" s="1030">
        <v>21086</v>
      </c>
      <c r="C428" s="508">
        <v>21088</v>
      </c>
      <c r="D428" s="1030">
        <v>21088</v>
      </c>
      <c r="E428" s="912">
        <v>21088</v>
      </c>
      <c r="F428" s="912">
        <v>21099</v>
      </c>
      <c r="G428" s="1041">
        <v>21100</v>
      </c>
      <c r="H428" s="820">
        <f t="shared" si="1047"/>
        <v>21100</v>
      </c>
      <c r="I428" s="1030">
        <v>21100</v>
      </c>
      <c r="J428" s="912">
        <v>21096</v>
      </c>
      <c r="K428" s="912">
        <v>21096</v>
      </c>
      <c r="L428" s="1041">
        <v>21096</v>
      </c>
      <c r="M428" s="820">
        <f t="shared" si="1048"/>
        <v>21096</v>
      </c>
      <c r="N428" s="1030">
        <v>21096</v>
      </c>
      <c r="O428" s="912">
        <v>21107</v>
      </c>
      <c r="P428" s="912">
        <v>21110</v>
      </c>
      <c r="Q428" s="1041">
        <v>21110</v>
      </c>
      <c r="R428" s="820">
        <f>Q428</f>
        <v>21110</v>
      </c>
      <c r="S428" s="1030">
        <v>23139</v>
      </c>
      <c r="T428" s="912">
        <v>23142</v>
      </c>
      <c r="U428" s="912">
        <v>23142</v>
      </c>
      <c r="V428" s="912">
        <v>23143</v>
      </c>
      <c r="W428" s="1716">
        <f>V428</f>
        <v>23143</v>
      </c>
      <c r="X428" s="2791">
        <v>23090</v>
      </c>
      <c r="Y428" s="2791">
        <v>23089</v>
      </c>
      <c r="Z428" s="2791">
        <v>23087</v>
      </c>
      <c r="AA428" s="2791">
        <v>23089</v>
      </c>
      <c r="AB428" s="1716">
        <f>AA428</f>
        <v>23089</v>
      </c>
      <c r="AC428" s="3879">
        <f>AB428-'Owned Hotels Spinoff'!$D$32</f>
        <v>2</v>
      </c>
      <c r="AD428" s="1715">
        <f t="shared" si="1039"/>
        <v>2</v>
      </c>
      <c r="AE428" s="3665">
        <v>0</v>
      </c>
      <c r="AF428" s="1714">
        <f t="shared" si="1040"/>
        <v>0</v>
      </c>
      <c r="AG428" s="1716">
        <f>AF428</f>
        <v>0</v>
      </c>
      <c r="AH428" s="1715">
        <f t="shared" si="1041"/>
        <v>0</v>
      </c>
      <c r="AI428" s="1715">
        <f t="shared" si="1042"/>
        <v>0</v>
      </c>
      <c r="AJ428" s="1715">
        <f t="shared" si="1043"/>
        <v>0</v>
      </c>
      <c r="AK428" s="1714">
        <f t="shared" si="1044"/>
        <v>0</v>
      </c>
      <c r="AL428" s="1716">
        <f>AK428</f>
        <v>0</v>
      </c>
      <c r="AM428" s="1716">
        <f t="shared" si="1046"/>
        <v>0</v>
      </c>
      <c r="AN428" s="1716">
        <f t="shared" si="1046"/>
        <v>0</v>
      </c>
    </row>
    <row r="429" spans="1:40">
      <c r="A429" s="1828" t="s">
        <v>2323</v>
      </c>
      <c r="B429" s="1030"/>
      <c r="C429" s="508"/>
      <c r="D429" s="1030"/>
      <c r="E429" s="912"/>
      <c r="F429" s="912"/>
      <c r="G429" s="1041"/>
      <c r="H429" s="820"/>
      <c r="I429" s="1030"/>
      <c r="J429" s="912"/>
      <c r="K429" s="912"/>
      <c r="L429" s="1041"/>
      <c r="M429" s="820"/>
      <c r="N429" s="1030"/>
      <c r="O429" s="912"/>
      <c r="P429" s="912"/>
      <c r="Q429" s="1041"/>
      <c r="R429" s="820"/>
      <c r="S429" s="1030"/>
      <c r="T429" s="912">
        <v>224</v>
      </c>
      <c r="U429" s="912">
        <v>224</v>
      </c>
      <c r="V429" s="912">
        <v>224</v>
      </c>
      <c r="W429" s="1716">
        <f>V429</f>
        <v>224</v>
      </c>
      <c r="X429" s="2791">
        <v>224</v>
      </c>
      <c r="Y429" s="2791">
        <v>224</v>
      </c>
      <c r="Z429" s="2791">
        <v>224</v>
      </c>
      <c r="AA429" s="2791">
        <v>224</v>
      </c>
      <c r="AB429" s="1716">
        <f>AA429</f>
        <v>224</v>
      </c>
      <c r="AC429" s="3879">
        <f>+AA429-'Owned Hotels Spinoff'!H23</f>
        <v>0</v>
      </c>
      <c r="AD429" s="1715">
        <f t="shared" si="1039"/>
        <v>0</v>
      </c>
      <c r="AE429" s="3665">
        <f t="shared" ref="AE429:AE437" si="1049">+AD429</f>
        <v>0</v>
      </c>
      <c r="AF429" s="1714">
        <f t="shared" si="1040"/>
        <v>0</v>
      </c>
      <c r="AG429" s="1716">
        <f>AF429</f>
        <v>0</v>
      </c>
      <c r="AH429" s="1715">
        <f t="shared" si="1041"/>
        <v>0</v>
      </c>
      <c r="AI429" s="1715">
        <f t="shared" si="1042"/>
        <v>0</v>
      </c>
      <c r="AJ429" s="1715">
        <f t="shared" si="1043"/>
        <v>0</v>
      </c>
      <c r="AK429" s="1714">
        <f t="shared" si="1044"/>
        <v>0</v>
      </c>
      <c r="AL429" s="1716">
        <f>AK429</f>
        <v>0</v>
      </c>
      <c r="AM429" s="1716">
        <f>AL429</f>
        <v>0</v>
      </c>
      <c r="AN429" s="1716">
        <f>AM429</f>
        <v>0</v>
      </c>
    </row>
    <row r="430" spans="1:40">
      <c r="A430" s="130" t="s">
        <v>2274</v>
      </c>
      <c r="B430" s="1030">
        <v>4860</v>
      </c>
      <c r="C430" s="508">
        <v>4702</v>
      </c>
      <c r="D430" s="1030">
        <v>4702</v>
      </c>
      <c r="E430" s="912">
        <v>4700</v>
      </c>
      <c r="F430" s="912">
        <v>4700</v>
      </c>
      <c r="G430" s="1041">
        <v>4700</v>
      </c>
      <c r="H430" s="820">
        <f t="shared" si="1047"/>
        <v>4700</v>
      </c>
      <c r="I430" s="1030">
        <v>4700</v>
      </c>
      <c r="J430" s="912">
        <v>4700</v>
      </c>
      <c r="K430" s="912">
        <v>4456</v>
      </c>
      <c r="L430" s="1041">
        <v>4456</v>
      </c>
      <c r="M430" s="820">
        <f t="shared" si="1048"/>
        <v>4456</v>
      </c>
      <c r="N430" s="1030">
        <v>4456</v>
      </c>
      <c r="O430" s="912">
        <f>N430</f>
        <v>4456</v>
      </c>
      <c r="P430" s="912">
        <v>4268</v>
      </c>
      <c r="Q430" s="1041">
        <v>4268</v>
      </c>
      <c r="R430" s="820">
        <f t="shared" ref="R430:R437" si="1050">Q430</f>
        <v>4268</v>
      </c>
      <c r="S430" s="1030">
        <f>+Q430</f>
        <v>4268</v>
      </c>
      <c r="T430" s="912">
        <v>4268</v>
      </c>
      <c r="U430" s="912">
        <v>4268</v>
      </c>
      <c r="V430" s="912">
        <v>4264</v>
      </c>
      <c r="W430" s="1716">
        <f>V430</f>
        <v>4264</v>
      </c>
      <c r="X430" s="2791">
        <v>4264</v>
      </c>
      <c r="Y430" s="2791">
        <v>4264</v>
      </c>
      <c r="Z430" s="2791">
        <v>4264</v>
      </c>
      <c r="AA430" s="2791">
        <v>4093</v>
      </c>
      <c r="AB430" s="1716">
        <f>AA430</f>
        <v>4093</v>
      </c>
      <c r="AC430" s="3879">
        <f>+AA430-'Owned Hotels Spinoff'!H17</f>
        <v>0</v>
      </c>
      <c r="AD430" s="1715">
        <f t="shared" si="1039"/>
        <v>0</v>
      </c>
      <c r="AE430" s="3665">
        <f t="shared" si="1049"/>
        <v>0</v>
      </c>
      <c r="AF430" s="1714">
        <f t="shared" si="1040"/>
        <v>0</v>
      </c>
      <c r="AG430" s="1716">
        <f>AF430</f>
        <v>0</v>
      </c>
      <c r="AH430" s="1715">
        <f t="shared" si="1041"/>
        <v>0</v>
      </c>
      <c r="AI430" s="1715">
        <f t="shared" si="1042"/>
        <v>0</v>
      </c>
      <c r="AJ430" s="1715">
        <f t="shared" si="1043"/>
        <v>0</v>
      </c>
      <c r="AK430" s="1714">
        <f t="shared" si="1044"/>
        <v>0</v>
      </c>
      <c r="AL430" s="1716">
        <f>AK430</f>
        <v>0</v>
      </c>
      <c r="AM430" s="1716">
        <f t="shared" si="1046"/>
        <v>0</v>
      </c>
      <c r="AN430" s="1716">
        <f t="shared" si="1046"/>
        <v>0</v>
      </c>
    </row>
    <row r="431" spans="1:40">
      <c r="A431" s="130" t="s">
        <v>2279</v>
      </c>
      <c r="B431" s="1030">
        <v>4541</v>
      </c>
      <c r="C431" s="508">
        <v>4541</v>
      </c>
      <c r="D431" s="1030">
        <v>4541</v>
      </c>
      <c r="E431" s="912">
        <v>4541</v>
      </c>
      <c r="F431" s="912">
        <v>4561</v>
      </c>
      <c r="G431" s="1041">
        <v>4561</v>
      </c>
      <c r="H431" s="820">
        <f t="shared" si="1047"/>
        <v>4561</v>
      </c>
      <c r="I431" s="1030">
        <v>4561</v>
      </c>
      <c r="J431" s="912">
        <v>4561</v>
      </c>
      <c r="K431" s="912">
        <v>4561</v>
      </c>
      <c r="L431" s="1041">
        <v>4561</v>
      </c>
      <c r="M431" s="820">
        <f t="shared" si="1048"/>
        <v>4561</v>
      </c>
      <c r="N431" s="1030">
        <v>4240</v>
      </c>
      <c r="O431" s="912">
        <v>3747</v>
      </c>
      <c r="P431" s="912">
        <v>2523</v>
      </c>
      <c r="Q431" s="1041">
        <v>2523</v>
      </c>
      <c r="R431" s="820">
        <f t="shared" si="1050"/>
        <v>2523</v>
      </c>
      <c r="S431" s="1030">
        <f>+Q431</f>
        <v>2523</v>
      </c>
      <c r="T431" s="912">
        <v>2523</v>
      </c>
      <c r="U431" s="912">
        <v>2523</v>
      </c>
      <c r="V431" s="912">
        <v>2523</v>
      </c>
      <c r="W431" s="1716">
        <f>V431</f>
        <v>2523</v>
      </c>
      <c r="X431" s="2791">
        <v>2523</v>
      </c>
      <c r="Y431" s="2791">
        <v>2402</v>
      </c>
      <c r="Z431" s="2791">
        <v>2402</v>
      </c>
      <c r="AA431" s="2791">
        <v>2402</v>
      </c>
      <c r="AB431" s="1716">
        <f>AA431</f>
        <v>2402</v>
      </c>
      <c r="AC431" s="3879">
        <f>AB431-'Owned Hotels Spinoff'!L17</f>
        <v>0</v>
      </c>
      <c r="AD431" s="1715">
        <f t="shared" si="1039"/>
        <v>0</v>
      </c>
      <c r="AE431" s="3665">
        <f t="shared" si="1049"/>
        <v>0</v>
      </c>
      <c r="AF431" s="1714">
        <f t="shared" si="1040"/>
        <v>0</v>
      </c>
      <c r="AG431" s="1716">
        <f>AF431</f>
        <v>0</v>
      </c>
      <c r="AH431" s="1715">
        <f t="shared" si="1041"/>
        <v>0</v>
      </c>
      <c r="AI431" s="1715">
        <f t="shared" si="1042"/>
        <v>0</v>
      </c>
      <c r="AJ431" s="1715">
        <f t="shared" si="1043"/>
        <v>0</v>
      </c>
      <c r="AK431" s="1714">
        <f t="shared" si="1044"/>
        <v>0</v>
      </c>
      <c r="AL431" s="1716">
        <f>AK431</f>
        <v>0</v>
      </c>
      <c r="AM431" s="1716">
        <f t="shared" si="1046"/>
        <v>0</v>
      </c>
      <c r="AN431" s="1716">
        <f t="shared" si="1046"/>
        <v>0</v>
      </c>
    </row>
    <row r="432" spans="1:40">
      <c r="A432" s="130" t="s">
        <v>2275</v>
      </c>
      <c r="B432" s="1030">
        <v>290</v>
      </c>
      <c r="C432" s="508">
        <v>290</v>
      </c>
      <c r="D432" s="1030">
        <v>290</v>
      </c>
      <c r="E432" s="912">
        <v>290</v>
      </c>
      <c r="F432" s="912">
        <v>290</v>
      </c>
      <c r="G432" s="1041">
        <v>290</v>
      </c>
      <c r="H432" s="820">
        <f t="shared" si="1047"/>
        <v>290</v>
      </c>
      <c r="I432" s="1030">
        <v>290</v>
      </c>
      <c r="J432" s="912">
        <v>290</v>
      </c>
      <c r="K432" s="912">
        <v>290</v>
      </c>
      <c r="L432" s="1041">
        <v>290</v>
      </c>
      <c r="M432" s="820">
        <f t="shared" si="1048"/>
        <v>290</v>
      </c>
      <c r="N432" s="1030">
        <v>290</v>
      </c>
      <c r="O432" s="912">
        <f t="shared" ref="O432:Q433" si="1051">N432</f>
        <v>290</v>
      </c>
      <c r="P432" s="912">
        <f t="shared" si="1051"/>
        <v>290</v>
      </c>
      <c r="Q432" s="1041">
        <f t="shared" si="1051"/>
        <v>290</v>
      </c>
      <c r="R432" s="820">
        <f t="shared" si="1050"/>
        <v>290</v>
      </c>
      <c r="S432" s="1030">
        <f>+Q432</f>
        <v>290</v>
      </c>
      <c r="T432" s="912">
        <v>290</v>
      </c>
      <c r="U432" s="912">
        <v>290</v>
      </c>
      <c r="V432" s="912">
        <v>290</v>
      </c>
      <c r="W432" s="398">
        <f>+V432</f>
        <v>290</v>
      </c>
      <c r="X432" s="2791">
        <v>290</v>
      </c>
      <c r="Y432" s="2791">
        <v>290</v>
      </c>
      <c r="Z432" s="2791">
        <v>290</v>
      </c>
      <c r="AA432" s="2791">
        <v>290</v>
      </c>
      <c r="AB432" s="398">
        <f>+AA432</f>
        <v>290</v>
      </c>
      <c r="AC432" s="3879">
        <f>+AA432-'Owned Hotels Spinoff'!L33</f>
        <v>0</v>
      </c>
      <c r="AD432" s="1715">
        <f t="shared" si="1039"/>
        <v>0</v>
      </c>
      <c r="AE432" s="3665">
        <f t="shared" si="1049"/>
        <v>0</v>
      </c>
      <c r="AF432" s="1714">
        <f t="shared" si="1040"/>
        <v>0</v>
      </c>
      <c r="AG432" s="1716">
        <f t="shared" si="1040"/>
        <v>0</v>
      </c>
      <c r="AH432" s="1715">
        <f t="shared" si="1041"/>
        <v>0</v>
      </c>
      <c r="AI432" s="1715">
        <f t="shared" si="1042"/>
        <v>0</v>
      </c>
      <c r="AJ432" s="1715">
        <f t="shared" si="1043"/>
        <v>0</v>
      </c>
      <c r="AK432" s="1714">
        <f t="shared" si="1044"/>
        <v>0</v>
      </c>
      <c r="AL432" s="1716">
        <f t="shared" ref="AL432:AL437" si="1052">+AK432</f>
        <v>0</v>
      </c>
      <c r="AM432" s="1716">
        <f t="shared" si="1046"/>
        <v>0</v>
      </c>
      <c r="AN432" s="1716">
        <f t="shared" si="1046"/>
        <v>0</v>
      </c>
    </row>
    <row r="433" spans="1:40">
      <c r="A433" s="130" t="s">
        <v>2277</v>
      </c>
      <c r="B433" s="1030">
        <v>130</v>
      </c>
      <c r="C433" s="508">
        <v>130</v>
      </c>
      <c r="D433" s="1030">
        <v>130</v>
      </c>
      <c r="E433" s="912">
        <v>130</v>
      </c>
      <c r="F433" s="912">
        <v>130</v>
      </c>
      <c r="G433" s="1041">
        <v>130</v>
      </c>
      <c r="H433" s="820">
        <f t="shared" si="1047"/>
        <v>130</v>
      </c>
      <c r="I433" s="1030">
        <v>130</v>
      </c>
      <c r="J433" s="912">
        <v>130</v>
      </c>
      <c r="K433" s="912">
        <v>130</v>
      </c>
      <c r="L433" s="1041">
        <v>130</v>
      </c>
      <c r="M433" s="820">
        <f t="shared" si="1048"/>
        <v>130</v>
      </c>
      <c r="N433" s="1030">
        <v>130</v>
      </c>
      <c r="O433" s="912">
        <f t="shared" si="1051"/>
        <v>130</v>
      </c>
      <c r="P433" s="912">
        <f t="shared" si="1051"/>
        <v>130</v>
      </c>
      <c r="Q433" s="1041">
        <f t="shared" si="1051"/>
        <v>130</v>
      </c>
      <c r="R433" s="820">
        <f t="shared" si="1050"/>
        <v>130</v>
      </c>
      <c r="S433" s="1030">
        <f>+Q433</f>
        <v>130</v>
      </c>
      <c r="T433" s="912">
        <v>130</v>
      </c>
      <c r="U433" s="912">
        <v>130</v>
      </c>
      <c r="V433" s="912">
        <v>130</v>
      </c>
      <c r="W433" s="398">
        <f>+V433</f>
        <v>130</v>
      </c>
      <c r="X433" s="2791">
        <v>130</v>
      </c>
      <c r="Y433" s="2791">
        <v>130</v>
      </c>
      <c r="Z433" s="2791">
        <v>130</v>
      </c>
      <c r="AA433" s="2791">
        <v>130</v>
      </c>
      <c r="AB433" s="398">
        <f>+AA433</f>
        <v>130</v>
      </c>
      <c r="AC433" s="3879">
        <f>+AA433-'Owned Hotels Spinoff'!L25</f>
        <v>0</v>
      </c>
      <c r="AD433" s="1715">
        <f t="shared" si="1039"/>
        <v>0</v>
      </c>
      <c r="AE433" s="3665">
        <f t="shared" si="1049"/>
        <v>0</v>
      </c>
      <c r="AF433" s="1714">
        <f t="shared" si="1040"/>
        <v>0</v>
      </c>
      <c r="AG433" s="1716">
        <f t="shared" si="1040"/>
        <v>0</v>
      </c>
      <c r="AH433" s="1715">
        <f t="shared" si="1041"/>
        <v>0</v>
      </c>
      <c r="AI433" s="1715">
        <f t="shared" si="1042"/>
        <v>0</v>
      </c>
      <c r="AJ433" s="1715">
        <f t="shared" si="1043"/>
        <v>0</v>
      </c>
      <c r="AK433" s="1714">
        <f t="shared" si="1044"/>
        <v>0</v>
      </c>
      <c r="AL433" s="1716">
        <f t="shared" si="1052"/>
        <v>0</v>
      </c>
      <c r="AM433" s="1716">
        <f t="shared" si="1046"/>
        <v>0</v>
      </c>
      <c r="AN433" s="1716">
        <f t="shared" si="1046"/>
        <v>0</v>
      </c>
    </row>
    <row r="434" spans="1:40">
      <c r="A434" s="130" t="s">
        <v>2278</v>
      </c>
      <c r="B434" s="1030">
        <v>0</v>
      </c>
      <c r="C434" s="508">
        <v>0</v>
      </c>
      <c r="D434" s="1030">
        <v>0</v>
      </c>
      <c r="E434" s="912">
        <v>0</v>
      </c>
      <c r="F434" s="912">
        <v>0</v>
      </c>
      <c r="G434" s="1041">
        <v>0</v>
      </c>
      <c r="H434" s="820">
        <f t="shared" si="1047"/>
        <v>0</v>
      </c>
      <c r="I434" s="1030">
        <v>0</v>
      </c>
      <c r="J434" s="912">
        <v>0</v>
      </c>
      <c r="K434" s="912">
        <v>0</v>
      </c>
      <c r="L434" s="1041">
        <v>0</v>
      </c>
      <c r="M434" s="820">
        <f t="shared" si="1048"/>
        <v>0</v>
      </c>
      <c r="N434" s="1030">
        <v>0</v>
      </c>
      <c r="O434" s="912">
        <v>0</v>
      </c>
      <c r="P434" s="912">
        <v>0</v>
      </c>
      <c r="Q434" s="1041">
        <v>0</v>
      </c>
      <c r="R434" s="820">
        <f t="shared" si="1050"/>
        <v>0</v>
      </c>
      <c r="S434" s="1030">
        <v>0</v>
      </c>
      <c r="T434" s="912">
        <v>0</v>
      </c>
      <c r="U434" s="912">
        <v>0</v>
      </c>
      <c r="V434" s="912">
        <v>0</v>
      </c>
      <c r="W434" s="398">
        <f>+V434</f>
        <v>0</v>
      </c>
      <c r="X434" s="2791">
        <v>0</v>
      </c>
      <c r="Y434" s="2791">
        <v>0</v>
      </c>
      <c r="Z434" s="2791">
        <v>0</v>
      </c>
      <c r="AA434" s="2791">
        <v>0</v>
      </c>
      <c r="AB434" s="398">
        <f>+AA434</f>
        <v>0</v>
      </c>
      <c r="AC434" s="3879">
        <f>+AA434</f>
        <v>0</v>
      </c>
      <c r="AD434" s="1715">
        <f t="shared" si="1039"/>
        <v>0</v>
      </c>
      <c r="AE434" s="3665">
        <f t="shared" si="1049"/>
        <v>0</v>
      </c>
      <c r="AF434" s="1714">
        <f t="shared" si="1040"/>
        <v>0</v>
      </c>
      <c r="AG434" s="1714">
        <f t="shared" si="1040"/>
        <v>0</v>
      </c>
      <c r="AH434" s="1715">
        <f t="shared" si="1041"/>
        <v>0</v>
      </c>
      <c r="AI434" s="1715">
        <f t="shared" si="1042"/>
        <v>0</v>
      </c>
      <c r="AJ434" s="1715">
        <f t="shared" si="1043"/>
        <v>0</v>
      </c>
      <c r="AK434" s="1714">
        <f t="shared" si="1044"/>
        <v>0</v>
      </c>
      <c r="AL434" s="1714">
        <f t="shared" si="1052"/>
        <v>0</v>
      </c>
      <c r="AM434" s="1714">
        <f t="shared" si="1046"/>
        <v>0</v>
      </c>
      <c r="AN434" s="1714">
        <f t="shared" si="1046"/>
        <v>0</v>
      </c>
    </row>
    <row r="435" spans="1:40">
      <c r="A435" s="130" t="str">
        <f>$A$90</f>
        <v>Tru by Hilton</v>
      </c>
      <c r="B435" s="1030"/>
      <c r="C435" s="508"/>
      <c r="D435" s="1030"/>
      <c r="E435" s="912"/>
      <c r="F435" s="912"/>
      <c r="G435" s="1041"/>
      <c r="H435" s="820"/>
      <c r="I435" s="1030"/>
      <c r="J435" s="912"/>
      <c r="K435" s="912"/>
      <c r="L435" s="1041"/>
      <c r="M435" s="820"/>
      <c r="N435" s="1030"/>
      <c r="O435" s="912"/>
      <c r="P435" s="912"/>
      <c r="Q435" s="1041"/>
      <c r="R435" s="820"/>
      <c r="S435" s="1030"/>
      <c r="T435" s="912"/>
      <c r="U435" s="912"/>
      <c r="V435" s="912"/>
      <c r="W435" s="398"/>
      <c r="X435" s="2791"/>
      <c r="Y435" s="2791"/>
      <c r="Z435" s="2791"/>
      <c r="AA435" s="2791"/>
      <c r="AB435" s="398"/>
      <c r="AC435" s="3879">
        <f t="shared" ref="AC435:AC436" si="1053">+AA435</f>
        <v>0</v>
      </c>
      <c r="AD435" s="1715">
        <f t="shared" ref="AD435:AD436" si="1054">+AC435</f>
        <v>0</v>
      </c>
      <c r="AE435" s="3665">
        <f t="shared" ref="AE435:AE436" si="1055">+AD435</f>
        <v>0</v>
      </c>
      <c r="AF435" s="1714">
        <f t="shared" ref="AF435:AF436" si="1056">+AE435</f>
        <v>0</v>
      </c>
      <c r="AG435" s="1714">
        <f t="shared" ref="AG435:AG436" si="1057">+AF435</f>
        <v>0</v>
      </c>
      <c r="AH435" s="1715">
        <f t="shared" si="1041"/>
        <v>0</v>
      </c>
      <c r="AI435" s="1715">
        <f t="shared" si="1042"/>
        <v>0</v>
      </c>
      <c r="AJ435" s="1715">
        <f t="shared" si="1043"/>
        <v>0</v>
      </c>
      <c r="AK435" s="1714">
        <f t="shared" si="1044"/>
        <v>0</v>
      </c>
      <c r="AL435" s="1714">
        <f t="shared" si="1052"/>
        <v>0</v>
      </c>
      <c r="AM435" s="1714">
        <f t="shared" ref="AM435:AM436" si="1058">AL435</f>
        <v>0</v>
      </c>
      <c r="AN435" s="1714">
        <f t="shared" ref="AN435:AN436" si="1059">AM435</f>
        <v>0</v>
      </c>
    </row>
    <row r="436" spans="1:40">
      <c r="A436" s="130" t="str">
        <f>$A$91</f>
        <v>Tapestry Collection by Hilton</v>
      </c>
      <c r="B436" s="1030"/>
      <c r="C436" s="508"/>
      <c r="D436" s="1030"/>
      <c r="E436" s="912"/>
      <c r="F436" s="912"/>
      <c r="G436" s="1041"/>
      <c r="H436" s="820"/>
      <c r="I436" s="1030"/>
      <c r="J436" s="912"/>
      <c r="K436" s="912"/>
      <c r="L436" s="1041"/>
      <c r="M436" s="820"/>
      <c r="N436" s="1030"/>
      <c r="O436" s="912"/>
      <c r="P436" s="912"/>
      <c r="Q436" s="1041"/>
      <c r="R436" s="820"/>
      <c r="S436" s="1030"/>
      <c r="T436" s="912"/>
      <c r="U436" s="912"/>
      <c r="V436" s="912"/>
      <c r="W436" s="398"/>
      <c r="X436" s="2791"/>
      <c r="Y436" s="2791"/>
      <c r="Z436" s="2791"/>
      <c r="AA436" s="2791"/>
      <c r="AB436" s="398"/>
      <c r="AC436" s="3879">
        <f t="shared" si="1053"/>
        <v>0</v>
      </c>
      <c r="AD436" s="1715">
        <f t="shared" si="1054"/>
        <v>0</v>
      </c>
      <c r="AE436" s="3665">
        <f t="shared" si="1055"/>
        <v>0</v>
      </c>
      <c r="AF436" s="1714">
        <f t="shared" si="1056"/>
        <v>0</v>
      </c>
      <c r="AG436" s="1714">
        <f t="shared" si="1057"/>
        <v>0</v>
      </c>
      <c r="AH436" s="1715">
        <f t="shared" si="1041"/>
        <v>0</v>
      </c>
      <c r="AI436" s="1715">
        <f t="shared" si="1042"/>
        <v>0</v>
      </c>
      <c r="AJ436" s="1715">
        <f t="shared" si="1043"/>
        <v>0</v>
      </c>
      <c r="AK436" s="1714">
        <f t="shared" si="1044"/>
        <v>0</v>
      </c>
      <c r="AL436" s="1714">
        <f t="shared" si="1052"/>
        <v>0</v>
      </c>
      <c r="AM436" s="1714">
        <f t="shared" si="1058"/>
        <v>0</v>
      </c>
      <c r="AN436" s="1714">
        <f t="shared" si="1059"/>
        <v>0</v>
      </c>
    </row>
    <row r="437" spans="1:40" s="5" customFormat="1">
      <c r="A437" s="402" t="s">
        <v>2276</v>
      </c>
      <c r="B437" s="1031">
        <v>0</v>
      </c>
      <c r="C437" s="1029">
        <v>0</v>
      </c>
      <c r="D437" s="1031">
        <v>0</v>
      </c>
      <c r="E437" s="1039">
        <v>0</v>
      </c>
      <c r="F437" s="1039">
        <v>0</v>
      </c>
      <c r="G437" s="1042">
        <v>0</v>
      </c>
      <c r="H437" s="700">
        <f t="shared" si="1047"/>
        <v>0</v>
      </c>
      <c r="I437" s="1031">
        <v>0</v>
      </c>
      <c r="J437" s="1039">
        <v>0</v>
      </c>
      <c r="K437" s="1039">
        <v>0</v>
      </c>
      <c r="L437" s="1042">
        <v>0</v>
      </c>
      <c r="M437" s="700">
        <f t="shared" si="1048"/>
        <v>0</v>
      </c>
      <c r="N437" s="1031">
        <v>0</v>
      </c>
      <c r="O437" s="1039">
        <v>0</v>
      </c>
      <c r="P437" s="1039">
        <v>0</v>
      </c>
      <c r="Q437" s="1042">
        <v>0</v>
      </c>
      <c r="R437" s="700">
        <f t="shared" si="1050"/>
        <v>0</v>
      </c>
      <c r="S437" s="1031">
        <v>0</v>
      </c>
      <c r="T437" s="1039">
        <v>0</v>
      </c>
      <c r="U437" s="1039">
        <v>0</v>
      </c>
      <c r="V437" s="1039">
        <v>0</v>
      </c>
      <c r="W437" s="403">
        <f>+V437</f>
        <v>0</v>
      </c>
      <c r="X437" s="2794">
        <v>0</v>
      </c>
      <c r="Y437" s="2794">
        <v>0</v>
      </c>
      <c r="Z437" s="2794">
        <v>0</v>
      </c>
      <c r="AA437" s="2794">
        <v>0</v>
      </c>
      <c r="AB437" s="403">
        <f>+AA437</f>
        <v>0</v>
      </c>
      <c r="AC437" s="3880">
        <f>+AA437</f>
        <v>0</v>
      </c>
      <c r="AD437" s="615">
        <f t="shared" si="1039"/>
        <v>0</v>
      </c>
      <c r="AE437" s="4005">
        <f t="shared" si="1049"/>
        <v>0</v>
      </c>
      <c r="AF437" s="700">
        <f t="shared" si="1040"/>
        <v>0</v>
      </c>
      <c r="AG437" s="700">
        <f t="shared" si="1040"/>
        <v>0</v>
      </c>
      <c r="AH437" s="615">
        <f t="shared" si="1041"/>
        <v>0</v>
      </c>
      <c r="AI437" s="615">
        <f t="shared" si="1042"/>
        <v>0</v>
      </c>
      <c r="AJ437" s="615">
        <f t="shared" si="1043"/>
        <v>0</v>
      </c>
      <c r="AK437" s="700">
        <f t="shared" si="1044"/>
        <v>0</v>
      </c>
      <c r="AL437" s="700">
        <f t="shared" si="1052"/>
        <v>0</v>
      </c>
      <c r="AM437" s="700">
        <f t="shared" si="1046"/>
        <v>0</v>
      </c>
      <c r="AN437" s="700">
        <f t="shared" si="1046"/>
        <v>0</v>
      </c>
    </row>
    <row r="438" spans="1:40">
      <c r="A438" s="482" t="s">
        <v>1687</v>
      </c>
      <c r="B438" s="1032">
        <f t="shared" ref="B438:R438" si="1060">SUM(B425:B437)</f>
        <v>32320</v>
      </c>
      <c r="C438" s="400">
        <f t="shared" si="1060"/>
        <v>32164</v>
      </c>
      <c r="D438" s="1032">
        <f t="shared" si="1060"/>
        <v>32352</v>
      </c>
      <c r="E438" s="405">
        <f t="shared" si="1060"/>
        <v>32350</v>
      </c>
      <c r="F438" s="405">
        <f t="shared" si="1060"/>
        <v>32381</v>
      </c>
      <c r="G438" s="821">
        <f t="shared" si="1060"/>
        <v>32382</v>
      </c>
      <c r="H438" s="821">
        <f t="shared" si="1060"/>
        <v>32382</v>
      </c>
      <c r="I438" s="1032">
        <f t="shared" si="1060"/>
        <v>32382</v>
      </c>
      <c r="J438" s="405">
        <f t="shared" si="1060"/>
        <v>32378</v>
      </c>
      <c r="K438" s="405">
        <f t="shared" si="1060"/>
        <v>32134</v>
      </c>
      <c r="L438" s="821">
        <f t="shared" si="1060"/>
        <v>32134</v>
      </c>
      <c r="M438" s="821">
        <f t="shared" si="1060"/>
        <v>32134</v>
      </c>
      <c r="N438" s="1032">
        <f t="shared" si="1060"/>
        <v>31813</v>
      </c>
      <c r="O438" s="399">
        <f t="shared" si="1060"/>
        <v>31331</v>
      </c>
      <c r="P438" s="399">
        <f t="shared" si="1060"/>
        <v>29923</v>
      </c>
      <c r="Q438" s="821">
        <f t="shared" si="1060"/>
        <v>29923</v>
      </c>
      <c r="R438" s="821">
        <f t="shared" si="1060"/>
        <v>29923</v>
      </c>
      <c r="S438" s="1032">
        <f t="shared" ref="S438:AB438" si="1061">SUM(S425:S437)</f>
        <v>31498</v>
      </c>
      <c r="T438" s="405">
        <f t="shared" si="1061"/>
        <v>31725</v>
      </c>
      <c r="U438" s="405">
        <f>SUM(U425:U437)</f>
        <v>31725</v>
      </c>
      <c r="V438" s="405">
        <f>SUM(V425:V437)</f>
        <v>31722</v>
      </c>
      <c r="W438" s="400">
        <f t="shared" si="1061"/>
        <v>31722</v>
      </c>
      <c r="X438" s="399">
        <f t="shared" si="1061"/>
        <v>31669</v>
      </c>
      <c r="Y438" s="399">
        <f>SUM(Y425:Y437)</f>
        <v>31573</v>
      </c>
      <c r="Z438" s="399">
        <f>SUM(Z425:Z437)</f>
        <v>31571</v>
      </c>
      <c r="AA438" s="399">
        <f>SUM(AA425:AA437)</f>
        <v>31402</v>
      </c>
      <c r="AB438" s="400">
        <f t="shared" si="1061"/>
        <v>31402</v>
      </c>
      <c r="AC438" s="399">
        <f t="shared" ref="AC438:AN438" si="1062">SUM(AC425:AC437)</f>
        <v>217</v>
      </c>
      <c r="AD438" s="399">
        <f t="shared" si="1062"/>
        <v>217</v>
      </c>
      <c r="AE438" s="399">
        <f t="shared" si="1062"/>
        <v>215</v>
      </c>
      <c r="AF438" s="399">
        <f t="shared" si="1062"/>
        <v>215</v>
      </c>
      <c r="AG438" s="400">
        <f t="shared" si="1062"/>
        <v>215</v>
      </c>
      <c r="AH438" s="399">
        <f t="shared" si="1062"/>
        <v>215</v>
      </c>
      <c r="AI438" s="399">
        <f t="shared" si="1062"/>
        <v>215</v>
      </c>
      <c r="AJ438" s="399">
        <f t="shared" ref="AJ438:AL438" si="1063">SUM(AJ425:AJ437)</f>
        <v>215</v>
      </c>
      <c r="AK438" s="821">
        <f t="shared" si="1063"/>
        <v>215</v>
      </c>
      <c r="AL438" s="400">
        <f t="shared" si="1063"/>
        <v>215</v>
      </c>
      <c r="AM438" s="821">
        <f t="shared" si="1062"/>
        <v>215</v>
      </c>
      <c r="AN438" s="821">
        <f t="shared" si="1062"/>
        <v>215</v>
      </c>
    </row>
    <row r="439" spans="1:40">
      <c r="A439" s="130"/>
      <c r="B439" s="1033"/>
      <c r="C439" s="398"/>
      <c r="D439" s="1033"/>
      <c r="E439" s="406"/>
      <c r="F439" s="406"/>
      <c r="G439" s="820"/>
      <c r="H439" s="820"/>
      <c r="I439" s="1033"/>
      <c r="J439" s="406"/>
      <c r="K439" s="406"/>
      <c r="L439" s="820"/>
      <c r="M439" s="820"/>
      <c r="N439" s="401"/>
      <c r="O439" s="401"/>
      <c r="P439" s="401"/>
      <c r="Q439" s="820"/>
      <c r="R439" s="398"/>
      <c r="S439" s="1033"/>
      <c r="T439" s="406"/>
      <c r="U439" s="406"/>
      <c r="V439" s="406"/>
      <c r="W439" s="398"/>
      <c r="X439" s="406"/>
      <c r="Y439" s="406"/>
      <c r="Z439" s="406"/>
      <c r="AA439" s="406"/>
      <c r="AB439" s="398"/>
      <c r="AC439" s="406"/>
      <c r="AD439" s="406"/>
      <c r="AE439" s="406"/>
      <c r="AF439" s="820"/>
      <c r="AG439" s="820"/>
      <c r="AH439" s="406"/>
      <c r="AI439" s="406"/>
      <c r="AJ439" s="406"/>
      <c r="AK439" s="820"/>
      <c r="AL439" s="820"/>
      <c r="AM439" s="820"/>
      <c r="AN439" s="820"/>
    </row>
    <row r="440" spans="1:40">
      <c r="A440" s="295" t="s">
        <v>1283</v>
      </c>
      <c r="B440" s="1033"/>
      <c r="C440" s="398"/>
      <c r="D440" s="1033"/>
      <c r="E440" s="406"/>
      <c r="F440" s="406"/>
      <c r="G440" s="820"/>
      <c r="H440" s="820"/>
      <c r="I440" s="1033"/>
      <c r="J440" s="406"/>
      <c r="K440" s="406"/>
      <c r="L440" s="820"/>
      <c r="M440" s="820"/>
      <c r="N440" s="401"/>
      <c r="O440" s="401"/>
      <c r="P440" s="401"/>
      <c r="Q440" s="820"/>
      <c r="R440" s="398"/>
      <c r="S440" s="1033"/>
      <c r="T440" s="406"/>
      <c r="U440" s="406"/>
      <c r="V440" s="406"/>
      <c r="W440" s="398"/>
      <c r="X440" s="406"/>
      <c r="Y440" s="406"/>
      <c r="Z440" s="406"/>
      <c r="AA440" s="406"/>
      <c r="AB440" s="398"/>
      <c r="AC440" s="406"/>
      <c r="AD440" s="406"/>
      <c r="AE440" s="406"/>
      <c r="AF440" s="820"/>
      <c r="AG440" s="820"/>
      <c r="AH440" s="406"/>
      <c r="AI440" s="406"/>
      <c r="AJ440" s="406"/>
      <c r="AK440" s="820"/>
      <c r="AL440" s="820"/>
      <c r="AM440" s="820"/>
      <c r="AN440" s="820"/>
    </row>
    <row r="441" spans="1:40">
      <c r="A441" s="130" t="str">
        <f>A$9</f>
        <v>Waldorf Astoria Hotels &amp; Resorts (Luxury)</v>
      </c>
      <c r="B441" s="1030">
        <v>4314</v>
      </c>
      <c r="C441" s="508">
        <v>4314</v>
      </c>
      <c r="D441" s="1030">
        <v>4314</v>
      </c>
      <c r="E441" s="912">
        <v>4314</v>
      </c>
      <c r="F441" s="912">
        <v>4772</v>
      </c>
      <c r="G441" s="1041">
        <v>4772</v>
      </c>
      <c r="H441" s="820">
        <f t="shared" ref="H441:H453" si="1064">G441</f>
        <v>4772</v>
      </c>
      <c r="I441" s="1030">
        <v>4770</v>
      </c>
      <c r="J441" s="912">
        <v>4770</v>
      </c>
      <c r="K441" s="912">
        <v>5816</v>
      </c>
      <c r="L441" s="1041">
        <v>5691</v>
      </c>
      <c r="M441" s="820">
        <f t="shared" ref="M441:M453" si="1065">L441</f>
        <v>5691</v>
      </c>
      <c r="N441" s="1030">
        <v>5798</v>
      </c>
      <c r="O441" s="912">
        <v>5798</v>
      </c>
      <c r="P441" s="912">
        <v>5324</v>
      </c>
      <c r="Q441" s="1041">
        <v>5324</v>
      </c>
      <c r="R441" s="820">
        <f t="shared" ref="R441:R453" si="1066">Q441</f>
        <v>5324</v>
      </c>
      <c r="S441" s="1030">
        <v>5778</v>
      </c>
      <c r="T441" s="912">
        <v>5555</v>
      </c>
      <c r="U441" s="912">
        <v>5555</v>
      </c>
      <c r="V441" s="912">
        <v>5523</v>
      </c>
      <c r="W441" s="398">
        <f t="shared" ref="W441:W453" si="1067">V441</f>
        <v>5523</v>
      </c>
      <c r="X441" s="2792">
        <v>5535</v>
      </c>
      <c r="Y441" s="2792">
        <v>5420</v>
      </c>
      <c r="Z441" s="2792">
        <v>5409</v>
      </c>
      <c r="AA441" s="2792">
        <v>5403</v>
      </c>
      <c r="AB441" s="398">
        <f t="shared" ref="AB441:AB453" si="1068">AA441</f>
        <v>5403</v>
      </c>
      <c r="AC441" s="401">
        <f>AA441*(1+AC$871)+'Owned Hotels Spinoff'!H32-1400</f>
        <v>4999.820999999999</v>
      </c>
      <c r="AD441" s="401">
        <f t="shared" ref="AD441:AD449" si="1069">AC441*(1+AD$871)</f>
        <v>5034.8197469999986</v>
      </c>
      <c r="AE441" s="3666">
        <v>5451</v>
      </c>
      <c r="AF441" s="3666">
        <v>5451</v>
      </c>
      <c r="AG441" s="398">
        <f t="shared" ref="AG441:AG453" si="1070">AF441</f>
        <v>5451</v>
      </c>
      <c r="AH441" s="401">
        <f t="shared" ref="AH441:AH442" si="1071">AG441*(1+AH$871)</f>
        <v>5505.51</v>
      </c>
      <c r="AI441" s="401">
        <f t="shared" ref="AI441:AI442" si="1072">AH441*(1+AI$871)</f>
        <v>5560.5651000000007</v>
      </c>
      <c r="AJ441" s="401">
        <f t="shared" ref="AJ441:AJ442" si="1073">AI441*(1+AJ$871)</f>
        <v>5613.3904684500012</v>
      </c>
      <c r="AK441" s="820">
        <f t="shared" ref="AK441:AK442" si="1074">AJ441*(1+AK$871)</f>
        <v>5669.5243731345008</v>
      </c>
      <c r="AL441" s="820">
        <f t="shared" ref="AL441:AL442" si="1075">AK441</f>
        <v>5669.5243731345008</v>
      </c>
      <c r="AM441" s="398">
        <f t="shared" ref="AM441:AN442" si="1076">AL441*(1+AM$870)</f>
        <v>5896.305348059881</v>
      </c>
      <c r="AN441" s="398">
        <f t="shared" si="1076"/>
        <v>6014.2314550210785</v>
      </c>
    </row>
    <row r="442" spans="1:40">
      <c r="A442" s="130" t="str">
        <f>A$10</f>
        <v>Conrad Hotels &amp; Resorts (Luxury)</v>
      </c>
      <c r="B442" s="1030">
        <v>801</v>
      </c>
      <c r="C442" s="508">
        <v>860</v>
      </c>
      <c r="D442" s="1030">
        <v>1323</v>
      </c>
      <c r="E442" s="912">
        <v>1334</v>
      </c>
      <c r="F442" s="912">
        <v>1334</v>
      </c>
      <c r="G442" s="1041">
        <v>1334</v>
      </c>
      <c r="H442" s="820">
        <f t="shared" si="1064"/>
        <v>1334</v>
      </c>
      <c r="I442" s="1030">
        <v>1334</v>
      </c>
      <c r="J442" s="912">
        <v>1334</v>
      </c>
      <c r="K442" s="912">
        <v>1335</v>
      </c>
      <c r="L442" s="1041">
        <v>1335</v>
      </c>
      <c r="M442" s="820">
        <f t="shared" si="1065"/>
        <v>1335</v>
      </c>
      <c r="N442" s="1030">
        <v>1335</v>
      </c>
      <c r="O442" s="912">
        <v>1335</v>
      </c>
      <c r="P442" s="912">
        <v>1335</v>
      </c>
      <c r="Q442" s="1041">
        <v>1335</v>
      </c>
      <c r="R442" s="820">
        <f t="shared" si="1066"/>
        <v>1335</v>
      </c>
      <c r="S442" s="1030">
        <v>1337</v>
      </c>
      <c r="T442" s="912">
        <v>1341</v>
      </c>
      <c r="U442" s="912">
        <v>1029</v>
      </c>
      <c r="V442" s="912">
        <v>1029</v>
      </c>
      <c r="W442" s="398">
        <f t="shared" si="1067"/>
        <v>1029</v>
      </c>
      <c r="X442" s="2792">
        <v>1029</v>
      </c>
      <c r="Y442" s="2792">
        <v>1029</v>
      </c>
      <c r="Z442" s="2792">
        <v>1029</v>
      </c>
      <c r="AA442" s="2792">
        <v>1316</v>
      </c>
      <c r="AB442" s="398">
        <f t="shared" si="1068"/>
        <v>1316</v>
      </c>
      <c r="AC442" s="401">
        <f>AA442*(1+AC$871)</f>
        <v>1325.2119999999998</v>
      </c>
      <c r="AD442" s="401">
        <f t="shared" si="1069"/>
        <v>1334.4884839999995</v>
      </c>
      <c r="AE442" s="3666">
        <v>1287</v>
      </c>
      <c r="AF442" s="3666">
        <v>1287</v>
      </c>
      <c r="AG442" s="398">
        <f t="shared" si="1070"/>
        <v>1287</v>
      </c>
      <c r="AH442" s="401">
        <f t="shared" si="1071"/>
        <v>1299.8700000000001</v>
      </c>
      <c r="AI442" s="401">
        <f t="shared" si="1072"/>
        <v>1312.8687000000002</v>
      </c>
      <c r="AJ442" s="401">
        <f t="shared" si="1073"/>
        <v>1325.3409526500002</v>
      </c>
      <c r="AK442" s="820">
        <f t="shared" si="1074"/>
        <v>1338.5943621765002</v>
      </c>
      <c r="AL442" s="820">
        <f t="shared" si="1075"/>
        <v>1338.5943621765002</v>
      </c>
      <c r="AM442" s="398">
        <f t="shared" si="1076"/>
        <v>1392.1381366635603</v>
      </c>
      <c r="AN442" s="398">
        <f t="shared" si="1076"/>
        <v>1419.9808993968315</v>
      </c>
    </row>
    <row r="443" spans="1:40">
      <c r="A443" s="1828" t="s">
        <v>3022</v>
      </c>
      <c r="B443" s="1030"/>
      <c r="C443" s="508"/>
      <c r="D443" s="1030"/>
      <c r="E443" s="912"/>
      <c r="F443" s="912"/>
      <c r="G443" s="1041"/>
      <c r="H443" s="820"/>
      <c r="I443" s="1030"/>
      <c r="J443" s="912"/>
      <c r="K443" s="912"/>
      <c r="L443" s="1041"/>
      <c r="M443" s="820"/>
      <c r="N443" s="1030"/>
      <c r="O443" s="912"/>
      <c r="P443" s="912"/>
      <c r="Q443" s="1041"/>
      <c r="R443" s="820"/>
      <c r="S443" s="1030"/>
      <c r="T443" s="912"/>
      <c r="U443" s="912"/>
      <c r="V443" s="912"/>
      <c r="W443" s="398"/>
      <c r="X443" s="2791"/>
      <c r="Y443" s="2791"/>
      <c r="Z443" s="2791"/>
      <c r="AA443" s="2791">
        <v>0</v>
      </c>
      <c r="AB443" s="398">
        <f t="shared" ref="AB443:AG443" si="1077">+AA443</f>
        <v>0</v>
      </c>
      <c r="AC443" s="2944">
        <f t="shared" si="1077"/>
        <v>0</v>
      </c>
      <c r="AD443" s="406">
        <f t="shared" si="1077"/>
        <v>0</v>
      </c>
      <c r="AE443" s="3665">
        <f t="shared" si="1077"/>
        <v>0</v>
      </c>
      <c r="AF443" s="406">
        <f t="shared" si="1077"/>
        <v>0</v>
      </c>
      <c r="AG443" s="398">
        <f t="shared" si="1077"/>
        <v>0</v>
      </c>
      <c r="AH443" s="406">
        <f t="shared" ref="AH443" si="1078">+AG443</f>
        <v>0</v>
      </c>
      <c r="AI443" s="406">
        <f t="shared" ref="AI443" si="1079">+AH443</f>
        <v>0</v>
      </c>
      <c r="AJ443" s="406">
        <f t="shared" ref="AJ443" si="1080">+AI443</f>
        <v>0</v>
      </c>
      <c r="AK443" s="820">
        <f t="shared" ref="AK443" si="1081">+AJ443</f>
        <v>0</v>
      </c>
      <c r="AL443" s="398">
        <f t="shared" ref="AL443" si="1082">+AK443</f>
        <v>0</v>
      </c>
      <c r="AM443" s="398">
        <f>AL443</f>
        <v>0</v>
      </c>
      <c r="AN443" s="398">
        <f>AM443</f>
        <v>0</v>
      </c>
    </row>
    <row r="444" spans="1:40">
      <c r="A444" s="130" t="str">
        <f>A$12</f>
        <v>Hilton Hotels &amp; Resorts (Upper Up)</v>
      </c>
      <c r="B444" s="1030">
        <v>24351</v>
      </c>
      <c r="C444" s="508">
        <v>23696</v>
      </c>
      <c r="D444" s="1030">
        <v>24707</v>
      </c>
      <c r="E444" s="912">
        <v>24707</v>
      </c>
      <c r="F444" s="912">
        <v>24707</v>
      </c>
      <c r="G444" s="1041">
        <v>25239</v>
      </c>
      <c r="H444" s="820">
        <f t="shared" si="1064"/>
        <v>25239</v>
      </c>
      <c r="I444" s="1030">
        <v>25239</v>
      </c>
      <c r="J444" s="912">
        <v>25235</v>
      </c>
      <c r="K444" s="912">
        <v>25235</v>
      </c>
      <c r="L444" s="1041">
        <v>24939</v>
      </c>
      <c r="M444" s="820">
        <f t="shared" si="1065"/>
        <v>24939</v>
      </c>
      <c r="N444" s="1030">
        <v>24939</v>
      </c>
      <c r="O444" s="912">
        <v>24659</v>
      </c>
      <c r="P444" s="912">
        <v>24959</v>
      </c>
      <c r="Q444" s="1041">
        <v>24833</v>
      </c>
      <c r="R444" s="820">
        <f t="shared" si="1066"/>
        <v>24833</v>
      </c>
      <c r="S444" s="1030">
        <v>23416</v>
      </c>
      <c r="T444" s="912">
        <v>23416</v>
      </c>
      <c r="U444" s="912">
        <v>23416</v>
      </c>
      <c r="V444" s="912">
        <v>24042</v>
      </c>
      <c r="W444" s="398">
        <f t="shared" si="1067"/>
        <v>24042</v>
      </c>
      <c r="X444" s="2792">
        <v>23723</v>
      </c>
      <c r="Y444" s="2792">
        <v>24097</v>
      </c>
      <c r="Z444" s="2792">
        <v>24094</v>
      </c>
      <c r="AA444" s="2792">
        <v>23895</v>
      </c>
      <c r="AB444" s="398">
        <f t="shared" si="1068"/>
        <v>23895</v>
      </c>
      <c r="AC444" s="2939">
        <f>AA444*(1+AC$874)+'Owned Hotels Spinoff'!$D$32</f>
        <v>47149.264999999999</v>
      </c>
      <c r="AD444" s="401">
        <f t="shared" si="1069"/>
        <v>47479.309854999992</v>
      </c>
      <c r="AE444" s="3666">
        <v>47555</v>
      </c>
      <c r="AF444" s="3666">
        <v>48048</v>
      </c>
      <c r="AG444" s="398">
        <f t="shared" si="1070"/>
        <v>48048</v>
      </c>
      <c r="AH444" s="401">
        <f t="shared" ref="AH444:AI444" si="1083">AG444*(1+AH$874)</f>
        <v>48768.719999999994</v>
      </c>
      <c r="AI444" s="401">
        <f t="shared" si="1083"/>
        <v>49456.358951999995</v>
      </c>
      <c r="AJ444" s="401">
        <f>AI444*(1+AJ$874)</f>
        <v>49950.922541519998</v>
      </c>
      <c r="AK444" s="820">
        <f>AJ444*(1+AK$874)</f>
        <v>50450.431766935195</v>
      </c>
      <c r="AL444" s="820">
        <f t="shared" ref="AL444:AL453" si="1084">AK444</f>
        <v>50450.431766935195</v>
      </c>
      <c r="AM444" s="398">
        <f>AL444*(1+AM$873)</f>
        <v>52972.953355281956</v>
      </c>
      <c r="AN444" s="398">
        <f>AM444*(1+AN$873)</f>
        <v>54562.141955940417</v>
      </c>
    </row>
    <row r="445" spans="1:40">
      <c r="A445" s="130" t="str">
        <f>A29</f>
        <v xml:space="preserve">Curio - A Collection by Hilton </v>
      </c>
      <c r="B445" s="1030"/>
      <c r="C445" s="508"/>
      <c r="D445" s="1030"/>
      <c r="E445" s="912"/>
      <c r="F445" s="912"/>
      <c r="G445" s="1041"/>
      <c r="H445" s="820">
        <v>0</v>
      </c>
      <c r="I445" s="1030">
        <v>0</v>
      </c>
      <c r="J445" s="912">
        <v>0</v>
      </c>
      <c r="K445" s="912">
        <v>0</v>
      </c>
      <c r="L445" s="1041">
        <v>0</v>
      </c>
      <c r="M445" s="820">
        <v>0</v>
      </c>
      <c r="N445" s="912">
        <v>0</v>
      </c>
      <c r="O445" s="912">
        <v>0</v>
      </c>
      <c r="P445" s="912">
        <v>0</v>
      </c>
      <c r="Q445" s="1041">
        <v>998</v>
      </c>
      <c r="R445" s="820">
        <f>Q445</f>
        <v>998</v>
      </c>
      <c r="S445" s="1030">
        <v>998</v>
      </c>
      <c r="T445" s="912">
        <v>998</v>
      </c>
      <c r="U445" s="912">
        <v>998</v>
      </c>
      <c r="V445" s="912">
        <v>998</v>
      </c>
      <c r="W445" s="398">
        <f t="shared" si="1067"/>
        <v>998</v>
      </c>
      <c r="X445" s="2792">
        <v>998</v>
      </c>
      <c r="Y445" s="2792">
        <v>998</v>
      </c>
      <c r="Z445" s="2792">
        <v>998</v>
      </c>
      <c r="AA445" s="2792">
        <v>1000</v>
      </c>
      <c r="AB445" s="398">
        <f t="shared" si="1068"/>
        <v>1000</v>
      </c>
      <c r="AC445" s="2939">
        <f>AA445+'Owned Hotels Spinoff'!$H$23</f>
        <v>1224</v>
      </c>
      <c r="AD445" s="401">
        <f t="shared" si="1069"/>
        <v>1232.568</v>
      </c>
      <c r="AE445" s="3666">
        <v>1981</v>
      </c>
      <c r="AF445" s="3666">
        <v>1981</v>
      </c>
      <c r="AG445" s="398">
        <f t="shared" si="1070"/>
        <v>1981</v>
      </c>
      <c r="AH445" s="401">
        <f t="shared" ref="AH445:AI445" si="1085">AG445</f>
        <v>1981</v>
      </c>
      <c r="AI445" s="401">
        <f t="shared" si="1085"/>
        <v>1981</v>
      </c>
      <c r="AJ445" s="401">
        <f>AI445</f>
        <v>1981</v>
      </c>
      <c r="AK445" s="820">
        <f>AJ445</f>
        <v>1981</v>
      </c>
      <c r="AL445" s="820">
        <f t="shared" si="1084"/>
        <v>1981</v>
      </c>
      <c r="AM445" s="398">
        <f>AL445</f>
        <v>1981</v>
      </c>
      <c r="AN445" s="398">
        <f>AM445</f>
        <v>1981</v>
      </c>
    </row>
    <row r="446" spans="1:40">
      <c r="A446" s="130" t="str">
        <f>A$14</f>
        <v>DoubleTree by Hilton (Upscale)</v>
      </c>
      <c r="B446" s="1030">
        <v>7907</v>
      </c>
      <c r="C446" s="508">
        <v>7771</v>
      </c>
      <c r="D446" s="1030">
        <v>7771</v>
      </c>
      <c r="E446" s="912">
        <v>7208</v>
      </c>
      <c r="F446" s="912">
        <v>7208</v>
      </c>
      <c r="G446" s="1041">
        <v>7220</v>
      </c>
      <c r="H446" s="820">
        <f t="shared" si="1064"/>
        <v>7220</v>
      </c>
      <c r="I446" s="1030">
        <v>7766</v>
      </c>
      <c r="J446" s="912">
        <v>8033</v>
      </c>
      <c r="K446" s="912">
        <v>8204</v>
      </c>
      <c r="L446" s="1041">
        <v>8204</v>
      </c>
      <c r="M446" s="820">
        <f t="shared" si="1065"/>
        <v>8204</v>
      </c>
      <c r="N446" s="1030">
        <v>8205</v>
      </c>
      <c r="O446" s="912">
        <v>8057</v>
      </c>
      <c r="P446" s="912">
        <v>8245</v>
      </c>
      <c r="Q446" s="1041">
        <v>8521</v>
      </c>
      <c r="R446" s="820">
        <f t="shared" si="1066"/>
        <v>8521</v>
      </c>
      <c r="S446" s="1030">
        <v>8521</v>
      </c>
      <c r="T446" s="912">
        <v>8521</v>
      </c>
      <c r="U446" s="912">
        <v>8259</v>
      </c>
      <c r="V446" s="912">
        <v>8276</v>
      </c>
      <c r="W446" s="398">
        <f t="shared" si="1067"/>
        <v>8276</v>
      </c>
      <c r="X446" s="2792">
        <v>7946</v>
      </c>
      <c r="Y446" s="2792">
        <v>7690</v>
      </c>
      <c r="Z446" s="2792">
        <v>8141</v>
      </c>
      <c r="AA446" s="2792">
        <v>8140</v>
      </c>
      <c r="AB446" s="398">
        <f t="shared" si="1068"/>
        <v>8140</v>
      </c>
      <c r="AC446" s="2939">
        <f>AA446*(1+AC$874)+'Owned Hotels Spinoff'!$H$17</f>
        <v>12289.98</v>
      </c>
      <c r="AD446" s="401">
        <f t="shared" si="1069"/>
        <v>12376.009859999998</v>
      </c>
      <c r="AE446" s="3666">
        <v>12246</v>
      </c>
      <c r="AF446" s="3666">
        <v>12240</v>
      </c>
      <c r="AG446" s="398">
        <f t="shared" si="1070"/>
        <v>12240</v>
      </c>
      <c r="AH446" s="401">
        <f t="shared" ref="AH446:AI446" si="1086">AG446*(1+AH$874)</f>
        <v>12423.599999999999</v>
      </c>
      <c r="AI446" s="401">
        <f t="shared" si="1086"/>
        <v>12598.772759999998</v>
      </c>
      <c r="AJ446" s="401">
        <f>AI446*(1+AJ$874)</f>
        <v>12724.760487599999</v>
      </c>
      <c r="AK446" s="820">
        <f>AJ446*(1+AK$874)</f>
        <v>12852.008092475999</v>
      </c>
      <c r="AL446" s="820">
        <f t="shared" si="1084"/>
        <v>12852.008092475999</v>
      </c>
      <c r="AM446" s="398">
        <f t="shared" ref="AM446:AN447" si="1087">AL446*(1+AM$873)</f>
        <v>13494.6084970998</v>
      </c>
      <c r="AN446" s="398">
        <f t="shared" si="1087"/>
        <v>13899.446752012795</v>
      </c>
    </row>
    <row r="447" spans="1:40">
      <c r="A447" s="130" t="str">
        <f>A$15</f>
        <v>Embassy Suites Hotels (Upper Up)</v>
      </c>
      <c r="B447" s="1030">
        <v>14874</v>
      </c>
      <c r="C447" s="508">
        <v>12771</v>
      </c>
      <c r="D447" s="1030">
        <v>12771</v>
      </c>
      <c r="E447" s="912">
        <v>12301</v>
      </c>
      <c r="F447" s="912">
        <v>12079</v>
      </c>
      <c r="G447" s="1041">
        <v>11163</v>
      </c>
      <c r="H447" s="820">
        <f t="shared" si="1064"/>
        <v>11163</v>
      </c>
      <c r="I447" s="1030">
        <v>10672</v>
      </c>
      <c r="J447" s="912">
        <v>10672</v>
      </c>
      <c r="K447" s="912">
        <v>10450</v>
      </c>
      <c r="L447" s="1041">
        <v>10323</v>
      </c>
      <c r="M447" s="820">
        <f t="shared" si="1065"/>
        <v>10323</v>
      </c>
      <c r="N447" s="1030">
        <v>10194</v>
      </c>
      <c r="O447" s="912">
        <v>10115</v>
      </c>
      <c r="P447" s="912">
        <v>11118</v>
      </c>
      <c r="Q447" s="1041">
        <v>11118</v>
      </c>
      <c r="R447" s="820">
        <f t="shared" si="1066"/>
        <v>11118</v>
      </c>
      <c r="S447" s="1030">
        <v>10647</v>
      </c>
      <c r="T447" s="912">
        <v>9415</v>
      </c>
      <c r="U447" s="912">
        <v>9154</v>
      </c>
      <c r="V447" s="912">
        <v>9154</v>
      </c>
      <c r="W447" s="398">
        <f t="shared" si="1067"/>
        <v>9154</v>
      </c>
      <c r="X447" s="2792">
        <v>9154</v>
      </c>
      <c r="Y447" s="2792">
        <v>8931</v>
      </c>
      <c r="Z447" s="2792">
        <v>8931</v>
      </c>
      <c r="AA447" s="2792">
        <v>8935</v>
      </c>
      <c r="AB447" s="398">
        <f t="shared" si="1068"/>
        <v>8935</v>
      </c>
      <c r="AC447" s="2939">
        <f>AA447*(1+AC$874)+'Owned Hotels Spinoff'!$L$17</f>
        <v>11399.544999999998</v>
      </c>
      <c r="AD447" s="401">
        <f t="shared" si="1069"/>
        <v>11479.341814999998</v>
      </c>
      <c r="AE447" s="3666">
        <v>11568</v>
      </c>
      <c r="AF447" s="3666">
        <v>11568</v>
      </c>
      <c r="AG447" s="398">
        <f t="shared" si="1070"/>
        <v>11568</v>
      </c>
      <c r="AH447" s="401">
        <f t="shared" ref="AH447:AI447" si="1088">AG447*(1+AH$874)</f>
        <v>11741.519999999999</v>
      </c>
      <c r="AI447" s="401">
        <f t="shared" si="1088"/>
        <v>11907.075431999998</v>
      </c>
      <c r="AJ447" s="401">
        <f>AI447*(1+AJ$874)</f>
        <v>12026.146186319998</v>
      </c>
      <c r="AK447" s="820">
        <f>AJ447*(1+AK$874)</f>
        <v>12146.407648183198</v>
      </c>
      <c r="AL447" s="820">
        <f t="shared" si="1084"/>
        <v>12146.407648183198</v>
      </c>
      <c r="AM447" s="820">
        <f t="shared" si="1087"/>
        <v>12753.728030592358</v>
      </c>
      <c r="AN447" s="398">
        <f t="shared" si="1087"/>
        <v>13136.339871510128</v>
      </c>
    </row>
    <row r="448" spans="1:40">
      <c r="A448" s="130" t="str">
        <f>A$16</f>
        <v>Hilton Garden Inn (Upscale)</v>
      </c>
      <c r="B448" s="1030">
        <v>1377</v>
      </c>
      <c r="C448" s="508">
        <v>1377</v>
      </c>
      <c r="D448" s="1030">
        <v>1377</v>
      </c>
      <c r="E448" s="912">
        <v>1377</v>
      </c>
      <c r="F448" s="912">
        <v>1135</v>
      </c>
      <c r="G448" s="1041">
        <v>1135</v>
      </c>
      <c r="H448" s="820">
        <f t="shared" si="1064"/>
        <v>1135</v>
      </c>
      <c r="I448" s="1030">
        <v>1002</v>
      </c>
      <c r="J448" s="912">
        <v>635</v>
      </c>
      <c r="K448" s="912">
        <v>635</v>
      </c>
      <c r="L448" s="1041">
        <v>635</v>
      </c>
      <c r="M448" s="820">
        <f t="shared" si="1065"/>
        <v>635</v>
      </c>
      <c r="N448" s="1030">
        <v>635</v>
      </c>
      <c r="O448" s="912">
        <v>635</v>
      </c>
      <c r="P448" s="912">
        <v>635</v>
      </c>
      <c r="Q448" s="1041">
        <v>246</v>
      </c>
      <c r="R448" s="820">
        <f t="shared" si="1066"/>
        <v>246</v>
      </c>
      <c r="S448" s="1030">
        <v>586</v>
      </c>
      <c r="T448" s="912">
        <v>430</v>
      </c>
      <c r="U448" s="912">
        <v>430</v>
      </c>
      <c r="V448" s="912">
        <v>430</v>
      </c>
      <c r="W448" s="398">
        <f t="shared" si="1067"/>
        <v>430</v>
      </c>
      <c r="X448" s="2792">
        <v>430</v>
      </c>
      <c r="Y448" s="2792">
        <v>430</v>
      </c>
      <c r="Z448" s="2792">
        <v>430</v>
      </c>
      <c r="AA448" s="2792">
        <v>430</v>
      </c>
      <c r="AB448" s="398">
        <f t="shared" si="1068"/>
        <v>430</v>
      </c>
      <c r="AC448" s="2939">
        <f>AA448*(1+AC$877)+'Owned Hotels Spinoff'!$L$33</f>
        <v>728.6</v>
      </c>
      <c r="AD448" s="401">
        <f t="shared" si="1069"/>
        <v>733.7002</v>
      </c>
      <c r="AE448" s="3666">
        <v>430</v>
      </c>
      <c r="AF448" s="3666">
        <v>430</v>
      </c>
      <c r="AG448" s="398">
        <f t="shared" si="1070"/>
        <v>430</v>
      </c>
      <c r="AH448" s="401">
        <f t="shared" ref="AH448:AH453" si="1089">AG448*(1+AH$877)</f>
        <v>438.6</v>
      </c>
      <c r="AI448" s="401">
        <f t="shared" ref="AI448:AI453" si="1090">AH448*(1+AI$877)</f>
        <v>447.37200000000001</v>
      </c>
      <c r="AJ448" s="401">
        <f t="shared" ref="AJ448:AJ452" si="1091">AI448*(1+AJ$877)</f>
        <v>455.20101000000005</v>
      </c>
      <c r="AK448" s="820">
        <f t="shared" ref="AK448:AK452" si="1092">AJ448*(1+AK$877)</f>
        <v>463.1670276750001</v>
      </c>
      <c r="AL448" s="820">
        <f t="shared" si="1084"/>
        <v>463.1670276750001</v>
      </c>
      <c r="AM448" s="820">
        <f t="shared" ref="AM448:AN450" si="1093">AL448*(1+AM$876)</f>
        <v>495.58871961225015</v>
      </c>
      <c r="AN448" s="398">
        <f t="shared" si="1093"/>
        <v>520.36815559286265</v>
      </c>
    </row>
    <row r="449" spans="1:40">
      <c r="A449" s="130" t="str">
        <f>A$17</f>
        <v>Hampton Inn (Upper Mid)</v>
      </c>
      <c r="B449" s="1030">
        <v>4070</v>
      </c>
      <c r="C449" s="508">
        <v>3981</v>
      </c>
      <c r="D449" s="1030">
        <v>3981</v>
      </c>
      <c r="E449" s="912">
        <v>3981</v>
      </c>
      <c r="F449" s="912">
        <v>3981</v>
      </c>
      <c r="G449" s="1041">
        <v>3981</v>
      </c>
      <c r="H449" s="820">
        <f t="shared" si="1064"/>
        <v>3981</v>
      </c>
      <c r="I449" s="1030">
        <v>6691</v>
      </c>
      <c r="J449" s="912">
        <v>6428</v>
      </c>
      <c r="K449" s="912">
        <v>6556</v>
      </c>
      <c r="L449" s="1041">
        <v>6238</v>
      </c>
      <c r="M449" s="820">
        <f t="shared" si="1065"/>
        <v>6238</v>
      </c>
      <c r="N449" s="1030">
        <v>6238</v>
      </c>
      <c r="O449" s="912">
        <v>6238</v>
      </c>
      <c r="P449" s="912">
        <v>6238</v>
      </c>
      <c r="Q449" s="1041">
        <v>6238</v>
      </c>
      <c r="R449" s="820">
        <f t="shared" si="1066"/>
        <v>6238</v>
      </c>
      <c r="S449" s="1030">
        <v>6178</v>
      </c>
      <c r="T449" s="912">
        <v>6178</v>
      </c>
      <c r="U449" s="912">
        <v>6178</v>
      </c>
      <c r="V449" s="912">
        <v>6178</v>
      </c>
      <c r="W449" s="398">
        <f t="shared" si="1067"/>
        <v>6178</v>
      </c>
      <c r="X449" s="2792">
        <v>6178</v>
      </c>
      <c r="Y449" s="2792">
        <v>6070</v>
      </c>
      <c r="Z449" s="2792">
        <v>6070</v>
      </c>
      <c r="AA449" s="2792">
        <v>5992</v>
      </c>
      <c r="AB449" s="398">
        <f t="shared" si="1068"/>
        <v>5992</v>
      </c>
      <c r="AC449" s="2939">
        <f>AA449*(1+AC$877)+'Owned Hotels Spinoff'!$L$25</f>
        <v>6241.84</v>
      </c>
      <c r="AD449" s="401">
        <f t="shared" si="1069"/>
        <v>6285.5328799999997</v>
      </c>
      <c r="AE449" s="3666">
        <v>6048</v>
      </c>
      <c r="AF449" s="3666">
        <v>5806</v>
      </c>
      <c r="AG449" s="398">
        <f t="shared" si="1070"/>
        <v>5806</v>
      </c>
      <c r="AH449" s="401">
        <f t="shared" si="1089"/>
        <v>5922.12</v>
      </c>
      <c r="AI449" s="401">
        <f t="shared" si="1090"/>
        <v>6040.5623999999998</v>
      </c>
      <c r="AJ449" s="401">
        <f t="shared" si="1091"/>
        <v>6146.272242</v>
      </c>
      <c r="AK449" s="820">
        <f>AJ449*(1+AK$877)</f>
        <v>6253.8320062350003</v>
      </c>
      <c r="AL449" s="820">
        <f t="shared" si="1084"/>
        <v>6253.8320062350003</v>
      </c>
      <c r="AM449" s="820">
        <f t="shared" si="1093"/>
        <v>6691.6002466714508</v>
      </c>
      <c r="AN449" s="398">
        <f t="shared" si="1093"/>
        <v>7026.1802590050238</v>
      </c>
    </row>
    <row r="450" spans="1:40">
      <c r="A450" s="130" t="s">
        <v>1408</v>
      </c>
      <c r="B450" s="1030">
        <v>0</v>
      </c>
      <c r="C450" s="508">
        <v>0</v>
      </c>
      <c r="D450" s="1030">
        <v>0</v>
      </c>
      <c r="E450" s="912">
        <v>0</v>
      </c>
      <c r="F450" s="912">
        <v>0</v>
      </c>
      <c r="G450" s="1041">
        <v>0</v>
      </c>
      <c r="H450" s="820">
        <f t="shared" si="1064"/>
        <v>0</v>
      </c>
      <c r="I450" s="1030">
        <v>0</v>
      </c>
      <c r="J450" s="912">
        <v>0</v>
      </c>
      <c r="K450" s="912">
        <v>0</v>
      </c>
      <c r="L450" s="1041">
        <v>0</v>
      </c>
      <c r="M450" s="820">
        <f t="shared" si="1065"/>
        <v>0</v>
      </c>
      <c r="N450" s="1030">
        <v>0</v>
      </c>
      <c r="O450" s="912">
        <v>0</v>
      </c>
      <c r="P450" s="912">
        <v>0</v>
      </c>
      <c r="Q450" s="1041">
        <v>0</v>
      </c>
      <c r="R450" s="820">
        <f t="shared" si="1066"/>
        <v>0</v>
      </c>
      <c r="S450" s="1030">
        <v>0</v>
      </c>
      <c r="T450" s="912">
        <v>0</v>
      </c>
      <c r="U450" s="912">
        <v>0</v>
      </c>
      <c r="V450" s="912">
        <v>0</v>
      </c>
      <c r="W450" s="398">
        <f t="shared" si="1067"/>
        <v>0</v>
      </c>
      <c r="X450" s="2792">
        <v>0</v>
      </c>
      <c r="Y450" s="2792">
        <v>0</v>
      </c>
      <c r="Z450" s="2792">
        <v>0</v>
      </c>
      <c r="AA450" s="2792">
        <v>0</v>
      </c>
      <c r="AB450" s="398">
        <f t="shared" si="1068"/>
        <v>0</v>
      </c>
      <c r="AC450" s="401">
        <f>AA450*(1+AC$877)</f>
        <v>0</v>
      </c>
      <c r="AD450" s="401">
        <f>AB450*(1+AD$877)</f>
        <v>0</v>
      </c>
      <c r="AE450" s="3666">
        <v>0</v>
      </c>
      <c r="AF450" s="406">
        <f t="shared" ref="AF450" si="1094">AE450*(1+AF$877)</f>
        <v>0</v>
      </c>
      <c r="AG450" s="398">
        <f t="shared" si="1070"/>
        <v>0</v>
      </c>
      <c r="AH450" s="401">
        <f t="shared" si="1089"/>
        <v>0</v>
      </c>
      <c r="AI450" s="401">
        <f t="shared" si="1090"/>
        <v>0</v>
      </c>
      <c r="AJ450" s="401">
        <f t="shared" si="1091"/>
        <v>0</v>
      </c>
      <c r="AK450" s="820">
        <f t="shared" si="1092"/>
        <v>0</v>
      </c>
      <c r="AL450" s="820">
        <f t="shared" si="1084"/>
        <v>0</v>
      </c>
      <c r="AM450" s="820">
        <f t="shared" si="1093"/>
        <v>0</v>
      </c>
      <c r="AN450" s="820">
        <f t="shared" si="1093"/>
        <v>0</v>
      </c>
    </row>
    <row r="451" spans="1:40">
      <c r="A451" s="130" t="str">
        <f>$A$90</f>
        <v>Tru by Hilton</v>
      </c>
      <c r="B451" s="1030"/>
      <c r="C451" s="508"/>
      <c r="D451" s="1030"/>
      <c r="E451" s="912"/>
      <c r="F451" s="912"/>
      <c r="G451" s="1041"/>
      <c r="H451" s="820"/>
      <c r="I451" s="1030"/>
      <c r="J451" s="912"/>
      <c r="K451" s="912"/>
      <c r="L451" s="1041"/>
      <c r="M451" s="820"/>
      <c r="N451" s="1030"/>
      <c r="O451" s="912"/>
      <c r="P451" s="912"/>
      <c r="Q451" s="1041"/>
      <c r="R451" s="820"/>
      <c r="S451" s="1030"/>
      <c r="T451" s="912"/>
      <c r="U451" s="912"/>
      <c r="V451" s="912"/>
      <c r="W451" s="398"/>
      <c r="X451" s="2791"/>
      <c r="Y451" s="2791"/>
      <c r="Z451" s="2791"/>
      <c r="AA451" s="2791"/>
      <c r="AB451" s="398"/>
      <c r="AC451" s="401">
        <f t="shared" ref="AC451:AC452" si="1095">AA451*(1+AC$877)</f>
        <v>0</v>
      </c>
      <c r="AD451" s="401">
        <f t="shared" ref="AD451:AD452" si="1096">AB451*(1+AD$877)</f>
        <v>0</v>
      </c>
      <c r="AE451" s="3666">
        <v>0</v>
      </c>
      <c r="AF451" s="406">
        <f t="shared" ref="AF451" si="1097">AE451*(1+AF$877)</f>
        <v>0</v>
      </c>
      <c r="AG451" s="398">
        <f t="shared" ref="AG451:AG452" si="1098">AF451</f>
        <v>0</v>
      </c>
      <c r="AH451" s="401">
        <f t="shared" si="1089"/>
        <v>0</v>
      </c>
      <c r="AI451" s="401">
        <f t="shared" si="1090"/>
        <v>0</v>
      </c>
      <c r="AJ451" s="401">
        <f t="shared" si="1091"/>
        <v>0</v>
      </c>
      <c r="AK451" s="820">
        <f t="shared" si="1092"/>
        <v>0</v>
      </c>
      <c r="AL451" s="820">
        <f t="shared" si="1084"/>
        <v>0</v>
      </c>
      <c r="AM451" s="820">
        <f t="shared" ref="AM451:AN451" si="1099">AL451*(1+AM$876)</f>
        <v>0</v>
      </c>
      <c r="AN451" s="820">
        <f t="shared" si="1099"/>
        <v>0</v>
      </c>
    </row>
    <row r="452" spans="1:40">
      <c r="A452" s="130" t="str">
        <f>$A$91</f>
        <v>Tapestry Collection by Hilton</v>
      </c>
      <c r="B452" s="1030"/>
      <c r="C452" s="508"/>
      <c r="D452" s="1030"/>
      <c r="E452" s="912"/>
      <c r="F452" s="912"/>
      <c r="G452" s="1041"/>
      <c r="H452" s="820"/>
      <c r="I452" s="1030"/>
      <c r="J452" s="912"/>
      <c r="K452" s="912"/>
      <c r="L452" s="1041"/>
      <c r="M452" s="820"/>
      <c r="N452" s="1030"/>
      <c r="O452" s="912"/>
      <c r="P452" s="912"/>
      <c r="Q452" s="1041"/>
      <c r="R452" s="820"/>
      <c r="S452" s="1030"/>
      <c r="T452" s="912"/>
      <c r="U452" s="912"/>
      <c r="V452" s="912"/>
      <c r="W452" s="398"/>
      <c r="X452" s="2791"/>
      <c r="Y452" s="2791"/>
      <c r="Z452" s="2791"/>
      <c r="AA452" s="2791"/>
      <c r="AB452" s="398"/>
      <c r="AC452" s="401">
        <f t="shared" si="1095"/>
        <v>0</v>
      </c>
      <c r="AD452" s="401">
        <f t="shared" si="1096"/>
        <v>0</v>
      </c>
      <c r="AE452" s="3666">
        <v>0</v>
      </c>
      <c r="AF452" s="406">
        <f t="shared" ref="AF452" si="1100">AE452*(1+AF$877)</f>
        <v>0</v>
      </c>
      <c r="AG452" s="398">
        <f t="shared" si="1098"/>
        <v>0</v>
      </c>
      <c r="AH452" s="401">
        <f t="shared" si="1089"/>
        <v>0</v>
      </c>
      <c r="AI452" s="401">
        <f t="shared" si="1090"/>
        <v>0</v>
      </c>
      <c r="AJ452" s="401">
        <f t="shared" si="1091"/>
        <v>0</v>
      </c>
      <c r="AK452" s="820">
        <f t="shared" si="1092"/>
        <v>0</v>
      </c>
      <c r="AL452" s="820">
        <f t="shared" si="1084"/>
        <v>0</v>
      </c>
      <c r="AM452" s="820">
        <f t="shared" ref="AM452:AN452" si="1101">AL452*(1+AM$876)</f>
        <v>0</v>
      </c>
      <c r="AN452" s="820">
        <f t="shared" si="1101"/>
        <v>0</v>
      </c>
    </row>
    <row r="453" spans="1:40" s="5" customFormat="1">
      <c r="A453" s="402" t="str">
        <f>A$21</f>
        <v>Homewood Suites by Hilton (Upscale)</v>
      </c>
      <c r="B453" s="1031">
        <v>5054</v>
      </c>
      <c r="C453" s="1029">
        <v>4963</v>
      </c>
      <c r="D453" s="1031">
        <v>4963</v>
      </c>
      <c r="E453" s="1039">
        <v>4392</v>
      </c>
      <c r="F453" s="1039">
        <v>3932</v>
      </c>
      <c r="G453" s="1042">
        <v>3932</v>
      </c>
      <c r="H453" s="700">
        <f t="shared" si="1064"/>
        <v>3932</v>
      </c>
      <c r="I453" s="1031">
        <v>4500</v>
      </c>
      <c r="J453" s="1039">
        <v>4242</v>
      </c>
      <c r="K453" s="1039">
        <v>4342</v>
      </c>
      <c r="L453" s="1042">
        <v>4342</v>
      </c>
      <c r="M453" s="700">
        <f t="shared" si="1065"/>
        <v>4342</v>
      </c>
      <c r="N453" s="1031">
        <v>4267</v>
      </c>
      <c r="O453" s="1039">
        <v>4267</v>
      </c>
      <c r="P453" s="1039">
        <v>3652</v>
      </c>
      <c r="Q453" s="1042">
        <v>3173</v>
      </c>
      <c r="R453" s="700">
        <f t="shared" si="1066"/>
        <v>3173</v>
      </c>
      <c r="S453" s="1031">
        <v>2921</v>
      </c>
      <c r="T453" s="1039">
        <v>2921</v>
      </c>
      <c r="U453" s="1039">
        <v>2687</v>
      </c>
      <c r="V453" s="1039">
        <v>2687</v>
      </c>
      <c r="W453" s="403">
        <f t="shared" si="1067"/>
        <v>2687</v>
      </c>
      <c r="X453" s="2794">
        <v>2687</v>
      </c>
      <c r="Y453" s="2794">
        <v>2687</v>
      </c>
      <c r="Z453" s="2794">
        <v>2687</v>
      </c>
      <c r="AA453" s="2794">
        <v>2687</v>
      </c>
      <c r="AB453" s="403">
        <f t="shared" si="1068"/>
        <v>2687</v>
      </c>
      <c r="AC453" s="615">
        <f>AA453*(1+AC$877)</f>
        <v>2740.7400000000002</v>
      </c>
      <c r="AD453" s="615">
        <f>AC453*(1+AD$877)</f>
        <v>2795.5548000000003</v>
      </c>
      <c r="AE453" s="4005">
        <v>2240</v>
      </c>
      <c r="AF453" s="4005">
        <v>2241</v>
      </c>
      <c r="AG453" s="403">
        <f t="shared" si="1070"/>
        <v>2241</v>
      </c>
      <c r="AH453" s="615">
        <f t="shared" si="1089"/>
        <v>2285.8200000000002</v>
      </c>
      <c r="AI453" s="615">
        <f t="shared" si="1090"/>
        <v>2331.5364000000004</v>
      </c>
      <c r="AJ453" s="615">
        <f>AI453*(1+AJ$877)</f>
        <v>2372.3382870000005</v>
      </c>
      <c r="AK453" s="700">
        <f>AJ453*(1+AK$877)</f>
        <v>2413.8542070225008</v>
      </c>
      <c r="AL453" s="700">
        <f t="shared" si="1084"/>
        <v>2413.8542070225008</v>
      </c>
      <c r="AM453" s="700">
        <f>AL453*(1+AM$876)</f>
        <v>2582.8240015140759</v>
      </c>
      <c r="AN453" s="700">
        <f>AM453*(1+AN$876)</f>
        <v>2711.96520158978</v>
      </c>
    </row>
    <row r="454" spans="1:40">
      <c r="A454" s="482" t="s">
        <v>1687</v>
      </c>
      <c r="B454" s="1032">
        <f t="shared" ref="B454:AN454" si="1102">SUM(B441:B453)</f>
        <v>62748</v>
      </c>
      <c r="C454" s="400">
        <f t="shared" si="1102"/>
        <v>59733</v>
      </c>
      <c r="D454" s="1032">
        <f t="shared" si="1102"/>
        <v>61207</v>
      </c>
      <c r="E454" s="405">
        <f t="shared" si="1102"/>
        <v>59614</v>
      </c>
      <c r="F454" s="405">
        <f t="shared" si="1102"/>
        <v>59148</v>
      </c>
      <c r="G454" s="821">
        <f t="shared" si="1102"/>
        <v>58776</v>
      </c>
      <c r="H454" s="821">
        <f t="shared" si="1102"/>
        <v>58776</v>
      </c>
      <c r="I454" s="1032">
        <f t="shared" si="1102"/>
        <v>61974</v>
      </c>
      <c r="J454" s="405">
        <f t="shared" si="1102"/>
        <v>61349</v>
      </c>
      <c r="K454" s="405">
        <f t="shared" si="1102"/>
        <v>62573</v>
      </c>
      <c r="L454" s="821">
        <f t="shared" si="1102"/>
        <v>61707</v>
      </c>
      <c r="M454" s="821">
        <f t="shared" si="1102"/>
        <v>61707</v>
      </c>
      <c r="N454" s="1032">
        <f t="shared" si="1102"/>
        <v>61611</v>
      </c>
      <c r="O454" s="399">
        <f t="shared" si="1102"/>
        <v>61104</v>
      </c>
      <c r="P454" s="399">
        <f t="shared" si="1102"/>
        <v>61506</v>
      </c>
      <c r="Q454" s="821">
        <f t="shared" si="1102"/>
        <v>61786</v>
      </c>
      <c r="R454" s="821">
        <f t="shared" si="1102"/>
        <v>61786</v>
      </c>
      <c r="S454" s="1032">
        <f t="shared" si="1102"/>
        <v>60382</v>
      </c>
      <c r="T454" s="405">
        <f t="shared" si="1102"/>
        <v>58775</v>
      </c>
      <c r="U454" s="405">
        <f>SUM(U441:U453)</f>
        <v>57706</v>
      </c>
      <c r="V454" s="405">
        <f>SUM(V441:V453)</f>
        <v>58317</v>
      </c>
      <c r="W454" s="400">
        <f t="shared" si="1102"/>
        <v>58317</v>
      </c>
      <c r="X454" s="399">
        <f t="shared" ref="X454:AI454" si="1103">SUM(X441:X453)</f>
        <v>57680</v>
      </c>
      <c r="Y454" s="399">
        <f t="shared" si="1103"/>
        <v>57352</v>
      </c>
      <c r="Z454" s="399">
        <f>SUM(Z441:Z453)</f>
        <v>57789</v>
      </c>
      <c r="AA454" s="399">
        <f>SUM(AA441:AA453)</f>
        <v>57798</v>
      </c>
      <c r="AB454" s="400">
        <f t="shared" si="1103"/>
        <v>57798</v>
      </c>
      <c r="AC454" s="399">
        <f t="shared" si="1103"/>
        <v>88099.002999999997</v>
      </c>
      <c r="AD454" s="399">
        <f t="shared" si="1103"/>
        <v>88751.325640999989</v>
      </c>
      <c r="AE454" s="399">
        <f t="shared" si="1103"/>
        <v>88806</v>
      </c>
      <c r="AF454" s="821">
        <f t="shared" si="1103"/>
        <v>89052</v>
      </c>
      <c r="AG454" s="400">
        <f t="shared" si="1103"/>
        <v>89052</v>
      </c>
      <c r="AH454" s="399">
        <f t="shared" si="1103"/>
        <v>90366.76</v>
      </c>
      <c r="AI454" s="399">
        <f t="shared" si="1103"/>
        <v>91636.11174399998</v>
      </c>
      <c r="AJ454" s="399">
        <f t="shared" ref="AJ454:AL454" si="1104">SUM(AJ441:AJ453)</f>
        <v>92595.372175540004</v>
      </c>
      <c r="AK454" s="821">
        <f t="shared" si="1104"/>
        <v>93568.819483837884</v>
      </c>
      <c r="AL454" s="400">
        <f t="shared" si="1104"/>
        <v>93568.819483837884</v>
      </c>
      <c r="AM454" s="821">
        <f t="shared" si="1102"/>
        <v>98260.746335495351</v>
      </c>
      <c r="AN454" s="821">
        <f t="shared" si="1102"/>
        <v>101271.65455006891</v>
      </c>
    </row>
    <row r="455" spans="1:40">
      <c r="A455" s="130"/>
      <c r="B455" s="1033"/>
      <c r="C455" s="398"/>
      <c r="D455" s="1033"/>
      <c r="E455" s="406"/>
      <c r="F455" s="406"/>
      <c r="G455" s="820"/>
      <c r="H455" s="820"/>
      <c r="I455" s="1033"/>
      <c r="J455" s="406"/>
      <c r="K455" s="406"/>
      <c r="L455" s="820"/>
      <c r="M455" s="820"/>
      <c r="N455" s="401"/>
      <c r="O455" s="401"/>
      <c r="P455" s="401"/>
      <c r="Q455" s="820"/>
      <c r="R455" s="820"/>
      <c r="S455" s="1033"/>
      <c r="T455" s="406"/>
      <c r="U455" s="406"/>
      <c r="V455" s="406"/>
      <c r="W455" s="455"/>
      <c r="X455" s="406"/>
      <c r="Y455" s="406"/>
      <c r="Z455" s="406"/>
      <c r="AA455" s="406"/>
      <c r="AB455" s="455"/>
      <c r="AC455" s="406"/>
      <c r="AD455" s="406"/>
      <c r="AE455" s="406"/>
      <c r="AF455" s="820"/>
      <c r="AG455" s="655"/>
      <c r="AH455" s="406"/>
      <c r="AI455" s="406"/>
      <c r="AJ455" s="406"/>
      <c r="AK455" s="820"/>
      <c r="AL455" s="655"/>
      <c r="AM455" s="820"/>
      <c r="AN455" s="820"/>
    </row>
    <row r="456" spans="1:40">
      <c r="A456" s="295" t="s">
        <v>1284</v>
      </c>
      <c r="B456" s="1033"/>
      <c r="C456" s="398"/>
      <c r="D456" s="1033"/>
      <c r="E456" s="406"/>
      <c r="F456" s="406"/>
      <c r="G456" s="820"/>
      <c r="H456" s="820"/>
      <c r="I456" s="1033"/>
      <c r="J456" s="406"/>
      <c r="K456" s="406"/>
      <c r="L456" s="820"/>
      <c r="M456" s="820"/>
      <c r="N456" s="401"/>
      <c r="O456" s="401"/>
      <c r="P456" s="401"/>
      <c r="Q456" s="820"/>
      <c r="R456" s="820"/>
      <c r="S456" s="1033"/>
      <c r="T456" s="406"/>
      <c r="U456" s="406"/>
      <c r="V456" s="406"/>
      <c r="W456" s="398"/>
      <c r="X456" s="406"/>
      <c r="Y456" s="406"/>
      <c r="Z456" s="406"/>
      <c r="AA456" s="406"/>
      <c r="AB456" s="398"/>
      <c r="AC456" s="406"/>
      <c r="AD456" s="406"/>
      <c r="AE456" s="406"/>
      <c r="AF456" s="820"/>
      <c r="AG456" s="820"/>
      <c r="AH456" s="406"/>
      <c r="AI456" s="406"/>
      <c r="AJ456" s="406"/>
      <c r="AK456" s="820"/>
      <c r="AL456" s="820"/>
      <c r="AM456" s="820"/>
      <c r="AN456" s="820"/>
    </row>
    <row r="457" spans="1:40">
      <c r="A457" s="130" t="str">
        <f>A$9</f>
        <v>Waldorf Astoria Hotels &amp; Resorts (Luxury)</v>
      </c>
      <c r="B457" s="1030">
        <v>1508</v>
      </c>
      <c r="C457" s="508">
        <v>1508</v>
      </c>
      <c r="D457" s="1030">
        <v>1508</v>
      </c>
      <c r="E457" s="912">
        <v>1508</v>
      </c>
      <c r="F457" s="912">
        <v>1047</v>
      </c>
      <c r="G457" s="1041">
        <v>1047</v>
      </c>
      <c r="H457" s="820">
        <f t="shared" ref="H457:H469" si="1105">G457</f>
        <v>1047</v>
      </c>
      <c r="I457" s="1030">
        <v>1047</v>
      </c>
      <c r="J457" s="912">
        <v>1047</v>
      </c>
      <c r="K457" s="912">
        <v>0</v>
      </c>
      <c r="L457" s="1041">
        <v>0</v>
      </c>
      <c r="M457" s="820">
        <f t="shared" ref="M457:M469" si="1106">L457</f>
        <v>0</v>
      </c>
      <c r="N457" s="1030">
        <v>0</v>
      </c>
      <c r="O457" s="912">
        <v>0</v>
      </c>
      <c r="P457" s="912">
        <v>0</v>
      </c>
      <c r="Q457" s="1041">
        <v>0</v>
      </c>
      <c r="R457" s="820">
        <f t="shared" ref="R457:R469" si="1107">Q457</f>
        <v>0</v>
      </c>
      <c r="S457" s="1030">
        <v>0</v>
      </c>
      <c r="T457" s="912">
        <v>0</v>
      </c>
      <c r="U457" s="912">
        <v>0</v>
      </c>
      <c r="V457" s="912">
        <v>0</v>
      </c>
      <c r="W457" s="398">
        <f t="shared" ref="W457:W469" si="1108">V457</f>
        <v>0</v>
      </c>
      <c r="X457" s="2792">
        <v>0</v>
      </c>
      <c r="Y457" s="2792">
        <v>0</v>
      </c>
      <c r="Z457" s="2792">
        <v>0</v>
      </c>
      <c r="AA457" s="2792">
        <v>0</v>
      </c>
      <c r="AB457" s="398">
        <f t="shared" ref="AB457:AB469" si="1109">AA457</f>
        <v>0</v>
      </c>
      <c r="AC457" s="401">
        <f>AA457*(1+AC$900)</f>
        <v>0</v>
      </c>
      <c r="AD457" s="401">
        <f t="shared" ref="AD457:AF458" si="1110">AC457*(1+AD$900)</f>
        <v>0</v>
      </c>
      <c r="AE457" s="3666">
        <v>0</v>
      </c>
      <c r="AF457" s="820">
        <f t="shared" si="1110"/>
        <v>0</v>
      </c>
      <c r="AG457" s="820">
        <f t="shared" ref="AG457:AG469" si="1111">AF457</f>
        <v>0</v>
      </c>
      <c r="AH457" s="401">
        <f t="shared" ref="AH457:AH458" si="1112">AG457*(1+AH$900)</f>
        <v>0</v>
      </c>
      <c r="AI457" s="401">
        <f t="shared" ref="AI457:AI458" si="1113">AH457*(1+AI$900)</f>
        <v>0</v>
      </c>
      <c r="AJ457" s="401">
        <f t="shared" ref="AJ457:AJ458" si="1114">AI457*(1+AJ$900)</f>
        <v>0</v>
      </c>
      <c r="AK457" s="820">
        <f t="shared" ref="AK457:AK458" si="1115">AJ457*(1+AK$900)</f>
        <v>0</v>
      </c>
      <c r="AL457" s="820">
        <f t="shared" ref="AL457:AL458" si="1116">AK457</f>
        <v>0</v>
      </c>
      <c r="AM457" s="820">
        <f t="shared" ref="AM457:AN458" si="1117">AL457*(1+AM$899)</f>
        <v>0</v>
      </c>
      <c r="AN457" s="398">
        <f t="shared" si="1117"/>
        <v>0</v>
      </c>
    </row>
    <row r="458" spans="1:40">
      <c r="A458" s="130" t="str">
        <f>A$10</f>
        <v>Conrad Hotels &amp; Resorts (Luxury)</v>
      </c>
      <c r="B458" s="1030">
        <v>0</v>
      </c>
      <c r="C458" s="508">
        <v>0</v>
      </c>
      <c r="D458" s="1030">
        <v>0</v>
      </c>
      <c r="E458" s="912">
        <v>0</v>
      </c>
      <c r="F458" s="912">
        <v>0</v>
      </c>
      <c r="G458" s="1041">
        <v>0</v>
      </c>
      <c r="H458" s="820">
        <f t="shared" si="1105"/>
        <v>0</v>
      </c>
      <c r="I458" s="1030">
        <v>0</v>
      </c>
      <c r="J458" s="912">
        <v>0</v>
      </c>
      <c r="K458" s="912">
        <v>0</v>
      </c>
      <c r="L458" s="1041">
        <v>0</v>
      </c>
      <c r="M458" s="820">
        <f t="shared" si="1106"/>
        <v>0</v>
      </c>
      <c r="N458" s="1030">
        <v>0</v>
      </c>
      <c r="O458" s="912">
        <v>0</v>
      </c>
      <c r="P458" s="912">
        <v>0</v>
      </c>
      <c r="Q458" s="1041">
        <v>0</v>
      </c>
      <c r="R458" s="820">
        <f t="shared" si="1107"/>
        <v>0</v>
      </c>
      <c r="S458" s="1030">
        <v>0</v>
      </c>
      <c r="T458" s="912">
        <v>0</v>
      </c>
      <c r="U458" s="912">
        <v>0</v>
      </c>
      <c r="V458" s="912">
        <v>0</v>
      </c>
      <c r="W458" s="398">
        <f t="shared" si="1108"/>
        <v>0</v>
      </c>
      <c r="X458" s="2792">
        <v>0</v>
      </c>
      <c r="Y458" s="2792">
        <v>0</v>
      </c>
      <c r="Z458" s="2792">
        <v>0</v>
      </c>
      <c r="AA458" s="2792">
        <v>0</v>
      </c>
      <c r="AB458" s="398">
        <f t="shared" si="1109"/>
        <v>0</v>
      </c>
      <c r="AC458" s="401">
        <f>AA458*(1+AC$900)</f>
        <v>0</v>
      </c>
      <c r="AD458" s="401">
        <f t="shared" si="1110"/>
        <v>0</v>
      </c>
      <c r="AE458" s="3666">
        <v>319</v>
      </c>
      <c r="AF458" s="3666">
        <v>319</v>
      </c>
      <c r="AG458" s="398">
        <f t="shared" si="1111"/>
        <v>319</v>
      </c>
      <c r="AH458" s="401">
        <f t="shared" si="1112"/>
        <v>319</v>
      </c>
      <c r="AI458" s="401">
        <f t="shared" si="1113"/>
        <v>319</v>
      </c>
      <c r="AJ458" s="401">
        <f t="shared" si="1114"/>
        <v>319</v>
      </c>
      <c r="AK458" s="820">
        <f t="shared" si="1115"/>
        <v>319</v>
      </c>
      <c r="AL458" s="820">
        <f t="shared" si="1116"/>
        <v>319</v>
      </c>
      <c r="AM458" s="820">
        <f t="shared" si="1117"/>
        <v>319</v>
      </c>
      <c r="AN458" s="398">
        <f t="shared" si="1117"/>
        <v>319</v>
      </c>
    </row>
    <row r="459" spans="1:40">
      <c r="A459" s="1828" t="s">
        <v>3022</v>
      </c>
      <c r="B459" s="1030"/>
      <c r="C459" s="508"/>
      <c r="D459" s="1030"/>
      <c r="E459" s="912"/>
      <c r="F459" s="912"/>
      <c r="G459" s="1041"/>
      <c r="H459" s="820"/>
      <c r="I459" s="1030"/>
      <c r="J459" s="912"/>
      <c r="K459" s="912"/>
      <c r="L459" s="1041"/>
      <c r="M459" s="820"/>
      <c r="N459" s="1030"/>
      <c r="O459" s="912"/>
      <c r="P459" s="912"/>
      <c r="Q459" s="1041"/>
      <c r="R459" s="820"/>
      <c r="S459" s="1030"/>
      <c r="T459" s="912"/>
      <c r="U459" s="912"/>
      <c r="V459" s="912"/>
      <c r="W459" s="398"/>
      <c r="X459" s="2791"/>
      <c r="Y459" s="2791"/>
      <c r="Z459" s="2791"/>
      <c r="AA459" s="2791">
        <v>0</v>
      </c>
      <c r="AB459" s="398">
        <f t="shared" ref="AB459:AG459" si="1118">+AA459</f>
        <v>0</v>
      </c>
      <c r="AC459" s="2944">
        <f t="shared" si="1118"/>
        <v>0</v>
      </c>
      <c r="AD459" s="406">
        <f t="shared" si="1118"/>
        <v>0</v>
      </c>
      <c r="AE459" s="3665">
        <v>0</v>
      </c>
      <c r="AF459" s="406">
        <f t="shared" si="1118"/>
        <v>0</v>
      </c>
      <c r="AG459" s="398">
        <f t="shared" si="1118"/>
        <v>0</v>
      </c>
      <c r="AH459" s="406">
        <f t="shared" ref="AH459" si="1119">+AG459</f>
        <v>0</v>
      </c>
      <c r="AI459" s="406">
        <f t="shared" ref="AI459" si="1120">+AH459</f>
        <v>0</v>
      </c>
      <c r="AJ459" s="406">
        <f t="shared" ref="AJ459" si="1121">+AI459</f>
        <v>0</v>
      </c>
      <c r="AK459" s="820">
        <f t="shared" ref="AK459" si="1122">+AJ459</f>
        <v>0</v>
      </c>
      <c r="AL459" s="398">
        <f t="shared" ref="AL459" si="1123">+AK459</f>
        <v>0</v>
      </c>
      <c r="AM459" s="398">
        <f>AL459</f>
        <v>0</v>
      </c>
      <c r="AN459" s="398">
        <f>AM459</f>
        <v>0</v>
      </c>
    </row>
    <row r="460" spans="1:40">
      <c r="A460" s="130" t="str">
        <f>A$12</f>
        <v>Hilton Hotels &amp; Resorts (Upper Up)</v>
      </c>
      <c r="B460" s="1030">
        <v>59109</v>
      </c>
      <c r="C460" s="508">
        <v>58904</v>
      </c>
      <c r="D460" s="1030">
        <v>55236</v>
      </c>
      <c r="E460" s="912">
        <v>55027</v>
      </c>
      <c r="F460" s="912">
        <v>54737</v>
      </c>
      <c r="G460" s="1041">
        <v>53522</v>
      </c>
      <c r="H460" s="820">
        <f t="shared" si="1105"/>
        <v>53522</v>
      </c>
      <c r="I460" s="1030">
        <v>53519</v>
      </c>
      <c r="J460" s="912">
        <v>53877</v>
      </c>
      <c r="K460" s="912">
        <v>53877</v>
      </c>
      <c r="L460" s="1041">
        <v>54083</v>
      </c>
      <c r="M460" s="820">
        <f t="shared" si="1106"/>
        <v>54083</v>
      </c>
      <c r="N460" s="1030">
        <v>53595</v>
      </c>
      <c r="O460" s="912">
        <v>52932</v>
      </c>
      <c r="P460" s="912">
        <v>52826</v>
      </c>
      <c r="Q460" s="1041">
        <v>52624</v>
      </c>
      <c r="R460" s="820">
        <f t="shared" si="1107"/>
        <v>52624</v>
      </c>
      <c r="S460" s="1030">
        <v>52993</v>
      </c>
      <c r="T460" s="912">
        <v>52665</v>
      </c>
      <c r="U460" s="912">
        <v>52676</v>
      </c>
      <c r="V460" s="912">
        <v>52622</v>
      </c>
      <c r="W460" s="398">
        <f t="shared" si="1108"/>
        <v>52622</v>
      </c>
      <c r="X460" s="2792">
        <v>53350</v>
      </c>
      <c r="Y460" s="2792">
        <v>53623</v>
      </c>
      <c r="Z460" s="2792">
        <v>53647</v>
      </c>
      <c r="AA460" s="2792">
        <v>54032</v>
      </c>
      <c r="AB460" s="398">
        <f t="shared" si="1109"/>
        <v>54032</v>
      </c>
      <c r="AC460" s="401">
        <f>AA460*(1+AC$903)</f>
        <v>54680.383999999998</v>
      </c>
      <c r="AD460" s="401">
        <f>AC460*(1+AD$903)</f>
        <v>55336.548607999997</v>
      </c>
      <c r="AE460" s="3666">
        <v>54339</v>
      </c>
      <c r="AF460" s="3666">
        <v>54319</v>
      </c>
      <c r="AG460" s="398">
        <f t="shared" si="1111"/>
        <v>54319</v>
      </c>
      <c r="AH460" s="401">
        <f t="shared" ref="AH460:AH463" si="1124">AG460*(1+AH$903)</f>
        <v>54862.19</v>
      </c>
      <c r="AI460" s="401">
        <f t="shared" ref="AI460:AI463" si="1125">AH460*(1+AI$903)</f>
        <v>55602.829565000007</v>
      </c>
      <c r="AJ460" s="401">
        <f t="shared" ref="AJ460:AJ463" si="1126">AI460*(1+AJ$903)</f>
        <v>56436.872008475002</v>
      </c>
      <c r="AK460" s="820">
        <f t="shared" ref="AK460:AK463" si="1127">AJ460*(1+AK$903)</f>
        <v>57283.425088602118</v>
      </c>
      <c r="AL460" s="820">
        <f t="shared" ref="AL460" si="1128">AK460</f>
        <v>57283.425088602118</v>
      </c>
      <c r="AM460" s="398">
        <f t="shared" ref="AM460:AN463" si="1129">AL460*(1+AM$902)</f>
        <v>60434.013468475234</v>
      </c>
      <c r="AN460" s="398">
        <f t="shared" si="1129"/>
        <v>62851.374007214246</v>
      </c>
    </row>
    <row r="461" spans="1:40">
      <c r="A461" s="1828" t="s">
        <v>2323</v>
      </c>
      <c r="B461" s="1030"/>
      <c r="C461" s="508"/>
      <c r="D461" s="1030"/>
      <c r="E461" s="912"/>
      <c r="F461" s="912"/>
      <c r="G461" s="1041"/>
      <c r="H461" s="820"/>
      <c r="I461" s="1030"/>
      <c r="J461" s="912"/>
      <c r="K461" s="912"/>
      <c r="L461" s="1041"/>
      <c r="M461" s="820"/>
      <c r="N461" s="1030"/>
      <c r="O461" s="912"/>
      <c r="P461" s="912">
        <v>1811</v>
      </c>
      <c r="Q461" s="1041">
        <v>2172</v>
      </c>
      <c r="R461" s="820">
        <f>Q461</f>
        <v>2172</v>
      </c>
      <c r="S461" s="1030">
        <v>2172</v>
      </c>
      <c r="T461" s="912">
        <v>2527</v>
      </c>
      <c r="U461" s="912">
        <v>2813</v>
      </c>
      <c r="V461" s="912">
        <v>2679</v>
      </c>
      <c r="W461" s="398">
        <f>V461</f>
        <v>2679</v>
      </c>
      <c r="X461" s="2792">
        <v>3179</v>
      </c>
      <c r="Y461" s="2792">
        <v>3741</v>
      </c>
      <c r="Z461" s="2792">
        <v>4395</v>
      </c>
      <c r="AA461" s="2792">
        <v>4921</v>
      </c>
      <c r="AB461" s="398">
        <f>AA461</f>
        <v>4921</v>
      </c>
      <c r="AC461" s="401">
        <f>AA461*(1+AC$903)</f>
        <v>4980.0519999999997</v>
      </c>
      <c r="AD461" s="401">
        <f t="shared" ref="AD461:AD463" si="1130">AC461*(1+AD$903)</f>
        <v>5039.8126240000001</v>
      </c>
      <c r="AE461" s="3666">
        <v>5661</v>
      </c>
      <c r="AF461" s="3666">
        <v>5694</v>
      </c>
      <c r="AG461" s="398">
        <f>AF461</f>
        <v>5694</v>
      </c>
      <c r="AH461" s="401">
        <f t="shared" si="1124"/>
        <v>5750.94</v>
      </c>
      <c r="AI461" s="401">
        <f t="shared" si="1125"/>
        <v>5828.5776900000001</v>
      </c>
      <c r="AJ461" s="401">
        <f t="shared" si="1126"/>
        <v>5916.0063553499995</v>
      </c>
      <c r="AK461" s="820">
        <f t="shared" si="1127"/>
        <v>6004.7464506802489</v>
      </c>
      <c r="AL461" s="820">
        <f>AK461</f>
        <v>6004.7464506802489</v>
      </c>
      <c r="AM461" s="398">
        <f t="shared" si="1129"/>
        <v>6335.0075054676627</v>
      </c>
      <c r="AN461" s="398">
        <f t="shared" si="1129"/>
        <v>6588.4078056863691</v>
      </c>
    </row>
    <row r="462" spans="1:40">
      <c r="A462" s="130" t="str">
        <f>A$14</f>
        <v>DoubleTree by Hilton (Upscale)</v>
      </c>
      <c r="B462" s="1030">
        <v>41700</v>
      </c>
      <c r="C462" s="508">
        <v>45773</v>
      </c>
      <c r="D462" s="1030">
        <v>48171</v>
      </c>
      <c r="E462" s="912">
        <v>49664</v>
      </c>
      <c r="F462" s="912">
        <v>50753</v>
      </c>
      <c r="G462" s="1041">
        <v>52856</v>
      </c>
      <c r="H462" s="820">
        <f t="shared" si="1105"/>
        <v>52856</v>
      </c>
      <c r="I462" s="1030">
        <v>55472</v>
      </c>
      <c r="J462" s="912">
        <v>57023</v>
      </c>
      <c r="K462" s="912">
        <v>58254</v>
      </c>
      <c r="L462" s="1041">
        <v>58329</v>
      </c>
      <c r="M462" s="820">
        <f t="shared" si="1106"/>
        <v>58329</v>
      </c>
      <c r="N462" s="1030">
        <v>59200</v>
      </c>
      <c r="O462" s="912">
        <v>59754</v>
      </c>
      <c r="P462" s="912">
        <v>60507</v>
      </c>
      <c r="Q462" s="1041">
        <v>61109</v>
      </c>
      <c r="R462" s="820">
        <f t="shared" si="1107"/>
        <v>61109</v>
      </c>
      <c r="S462" s="1030">
        <v>61949</v>
      </c>
      <c r="T462" s="912">
        <v>63602</v>
      </c>
      <c r="U462" s="912">
        <v>64873</v>
      </c>
      <c r="V462" s="912">
        <v>65848</v>
      </c>
      <c r="W462" s="398">
        <f t="shared" si="1108"/>
        <v>65848</v>
      </c>
      <c r="X462" s="2792">
        <v>66409</v>
      </c>
      <c r="Y462" s="2792">
        <v>67074</v>
      </c>
      <c r="Z462" s="2792">
        <v>67473</v>
      </c>
      <c r="AA462" s="2792">
        <v>68840</v>
      </c>
      <c r="AB462" s="398">
        <f t="shared" si="1109"/>
        <v>68840</v>
      </c>
      <c r="AC462" s="401">
        <f>AA462*(1+AC$903)</f>
        <v>69666.080000000002</v>
      </c>
      <c r="AD462" s="401">
        <f t="shared" si="1130"/>
        <v>70502.072960000005</v>
      </c>
      <c r="AE462" s="3666">
        <v>71224</v>
      </c>
      <c r="AF462" s="3666">
        <v>71450</v>
      </c>
      <c r="AG462" s="398">
        <f t="shared" si="1111"/>
        <v>71450</v>
      </c>
      <c r="AH462" s="401">
        <f t="shared" si="1124"/>
        <v>72164.5</v>
      </c>
      <c r="AI462" s="401">
        <f t="shared" si="1125"/>
        <v>73138.720750000008</v>
      </c>
      <c r="AJ462" s="401">
        <f t="shared" si="1126"/>
        <v>74235.801561250002</v>
      </c>
      <c r="AK462" s="820">
        <f t="shared" si="1127"/>
        <v>75349.338584668745</v>
      </c>
      <c r="AL462" s="820">
        <f t="shared" ref="AL462:AL469" si="1131">AK462</f>
        <v>75349.338584668745</v>
      </c>
      <c r="AM462" s="398">
        <f t="shared" si="1129"/>
        <v>79493.552206825523</v>
      </c>
      <c r="AN462" s="398">
        <f t="shared" si="1129"/>
        <v>82673.294295098545</v>
      </c>
    </row>
    <row r="463" spans="1:40">
      <c r="A463" s="130" t="str">
        <f>A$15</f>
        <v>Embassy Suites Hotels (Upper Up)</v>
      </c>
      <c r="B463" s="1030">
        <v>29673</v>
      </c>
      <c r="C463" s="508">
        <v>31528</v>
      </c>
      <c r="D463" s="1030">
        <v>31722</v>
      </c>
      <c r="E463" s="912">
        <v>32121</v>
      </c>
      <c r="F463" s="912">
        <v>32643</v>
      </c>
      <c r="G463" s="1041">
        <v>33125</v>
      </c>
      <c r="H463" s="820">
        <f t="shared" si="1105"/>
        <v>33125</v>
      </c>
      <c r="I463" s="1030">
        <v>33378</v>
      </c>
      <c r="J463" s="912">
        <v>34021</v>
      </c>
      <c r="K463" s="912">
        <v>34463</v>
      </c>
      <c r="L463" s="1041">
        <v>34740</v>
      </c>
      <c r="M463" s="820">
        <f t="shared" si="1106"/>
        <v>34740</v>
      </c>
      <c r="N463" s="1030">
        <v>35609</v>
      </c>
      <c r="O463" s="912">
        <v>36185</v>
      </c>
      <c r="P463" s="912">
        <v>36406</v>
      </c>
      <c r="Q463" s="1041">
        <v>36576</v>
      </c>
      <c r="R463" s="820">
        <f t="shared" si="1107"/>
        <v>36576</v>
      </c>
      <c r="S463" s="1030">
        <v>37545</v>
      </c>
      <c r="T463" s="912">
        <v>38992</v>
      </c>
      <c r="U463" s="912">
        <v>39283</v>
      </c>
      <c r="V463" s="912">
        <v>39702</v>
      </c>
      <c r="W463" s="398">
        <f t="shared" si="1108"/>
        <v>39702</v>
      </c>
      <c r="X463" s="2792">
        <v>40265</v>
      </c>
      <c r="Y463" s="2792">
        <v>40384</v>
      </c>
      <c r="Z463" s="2792">
        <v>41292</v>
      </c>
      <c r="AA463" s="2792">
        <v>41296</v>
      </c>
      <c r="AB463" s="398">
        <f t="shared" si="1109"/>
        <v>41296</v>
      </c>
      <c r="AC463" s="401">
        <f>AA463*(1+AC$903)</f>
        <v>41791.552000000003</v>
      </c>
      <c r="AD463" s="401">
        <f t="shared" si="1130"/>
        <v>42293.050624000003</v>
      </c>
      <c r="AE463" s="3666">
        <v>42164</v>
      </c>
      <c r="AF463" s="3666">
        <v>43659</v>
      </c>
      <c r="AG463" s="398">
        <f t="shared" si="1111"/>
        <v>43659</v>
      </c>
      <c r="AH463" s="401">
        <f t="shared" si="1124"/>
        <v>44095.590000000004</v>
      </c>
      <c r="AI463" s="401">
        <f t="shared" si="1125"/>
        <v>44690.880465000009</v>
      </c>
      <c r="AJ463" s="401">
        <f t="shared" si="1126"/>
        <v>45361.243671975004</v>
      </c>
      <c r="AK463" s="820">
        <f t="shared" si="1127"/>
        <v>46041.662327054626</v>
      </c>
      <c r="AL463" s="820">
        <f t="shared" si="1131"/>
        <v>46041.662327054626</v>
      </c>
      <c r="AM463" s="398">
        <f t="shared" si="1129"/>
        <v>48573.953755042625</v>
      </c>
      <c r="AN463" s="398">
        <f t="shared" si="1129"/>
        <v>50516.911905244335</v>
      </c>
    </row>
    <row r="464" spans="1:40">
      <c r="A464" s="130" t="str">
        <f>A$16</f>
        <v>Hilton Garden Inn (Upscale)</v>
      </c>
      <c r="B464" s="1030">
        <v>62817</v>
      </c>
      <c r="C464" s="508">
        <v>65167</v>
      </c>
      <c r="D464" s="1030">
        <v>65202</v>
      </c>
      <c r="E464" s="912">
        <v>65373</v>
      </c>
      <c r="F464" s="912">
        <v>65910</v>
      </c>
      <c r="G464" s="1041">
        <v>67166</v>
      </c>
      <c r="H464" s="820">
        <f t="shared" si="1105"/>
        <v>67166</v>
      </c>
      <c r="I464" s="1030">
        <v>67846</v>
      </c>
      <c r="J464" s="912">
        <v>68579</v>
      </c>
      <c r="K464" s="912">
        <v>68998</v>
      </c>
      <c r="L464" s="1041">
        <v>69607</v>
      </c>
      <c r="M464" s="820">
        <f t="shared" si="1106"/>
        <v>69607</v>
      </c>
      <c r="N464" s="1030">
        <v>70480</v>
      </c>
      <c r="O464" s="912">
        <v>71651</v>
      </c>
      <c r="P464" s="912">
        <v>72512</v>
      </c>
      <c r="Q464" s="1041">
        <v>73988</v>
      </c>
      <c r="R464" s="820">
        <f t="shared" si="1107"/>
        <v>73988</v>
      </c>
      <c r="S464" s="1030">
        <v>74537</v>
      </c>
      <c r="T464" s="912">
        <v>75841</v>
      </c>
      <c r="U464" s="912">
        <v>77218</v>
      </c>
      <c r="V464" s="912">
        <v>77887</v>
      </c>
      <c r="W464" s="398">
        <f t="shared" si="1108"/>
        <v>77887</v>
      </c>
      <c r="X464" s="2792">
        <v>79026</v>
      </c>
      <c r="Y464" s="2792">
        <v>80796</v>
      </c>
      <c r="Z464" s="2792">
        <v>81881</v>
      </c>
      <c r="AA464" s="2792">
        <v>82497</v>
      </c>
      <c r="AB464" s="398">
        <f t="shared" si="1109"/>
        <v>82497</v>
      </c>
      <c r="AC464" s="401">
        <f>AA464*(1+AC$906)</f>
        <v>83489.934271823935</v>
      </c>
      <c r="AD464" s="401">
        <f t="shared" ref="AD464:AD466" si="1132">AC464*(1+AD$906)</f>
        <v>85602.014317862326</v>
      </c>
      <c r="AE464" s="3666">
        <v>85977</v>
      </c>
      <c r="AF464" s="3666">
        <v>87739</v>
      </c>
      <c r="AG464" s="398">
        <f t="shared" si="1111"/>
        <v>87739</v>
      </c>
      <c r="AH464" s="401">
        <f t="shared" ref="AH464:AH469" si="1133">AG464*(1+AH$906)</f>
        <v>88791.868000000002</v>
      </c>
      <c r="AI464" s="401">
        <f t="shared" ref="AI464:AI469" si="1134">AH464*(1+AI$906)</f>
        <v>90567.705360000007</v>
      </c>
      <c r="AJ464" s="401">
        <f t="shared" ref="AJ464:AJ468" si="1135">AI464*(1+AJ$906)</f>
        <v>92379.059467200015</v>
      </c>
      <c r="AK464" s="820">
        <f t="shared" ref="AK464:AK468" si="1136">AJ464*(1+AK$906)</f>
        <v>94688.535953880011</v>
      </c>
      <c r="AL464" s="820">
        <f t="shared" si="1131"/>
        <v>94688.535953880011</v>
      </c>
      <c r="AM464" s="398">
        <f t="shared" ref="AM464:AN466" si="1137">AL464*(1+AM$905)</f>
        <v>101316.73347065161</v>
      </c>
      <c r="AN464" s="398">
        <f t="shared" si="1137"/>
        <v>107395.73747889072</v>
      </c>
    </row>
    <row r="465" spans="1:41">
      <c r="A465" s="130" t="str">
        <f>A$17</f>
        <v>Hampton Inn (Upper Mid)</v>
      </c>
      <c r="B465" s="1030">
        <v>166687</v>
      </c>
      <c r="C465" s="508">
        <v>169409</v>
      </c>
      <c r="D465" s="1030">
        <v>170084</v>
      </c>
      <c r="E465" s="912">
        <v>171009</v>
      </c>
      <c r="F465" s="912">
        <v>171686</v>
      </c>
      <c r="G465" s="1041">
        <v>172621</v>
      </c>
      <c r="H465" s="820">
        <f t="shared" si="1105"/>
        <v>172621</v>
      </c>
      <c r="I465" s="1030">
        <v>170238</v>
      </c>
      <c r="J465" s="912">
        <v>171873</v>
      </c>
      <c r="K465" s="912">
        <v>172707</v>
      </c>
      <c r="L465" s="1041">
        <v>173677</v>
      </c>
      <c r="M465" s="820">
        <f t="shared" si="1106"/>
        <v>173677</v>
      </c>
      <c r="N465" s="1030">
        <v>174183</v>
      </c>
      <c r="O465" s="912">
        <v>175811</v>
      </c>
      <c r="P465" s="912">
        <v>178690</v>
      </c>
      <c r="Q465" s="1041">
        <v>179532</v>
      </c>
      <c r="R465" s="820">
        <f t="shared" si="1107"/>
        <v>179532</v>
      </c>
      <c r="S465" s="1030">
        <v>180973</v>
      </c>
      <c r="T465" s="912">
        <v>183251</v>
      </c>
      <c r="U465" s="912">
        <v>185178</v>
      </c>
      <c r="V465" s="912">
        <v>186943</v>
      </c>
      <c r="W465" s="398">
        <f t="shared" si="1108"/>
        <v>186943</v>
      </c>
      <c r="X465" s="2792">
        <v>188129</v>
      </c>
      <c r="Y465" s="2792">
        <v>190220</v>
      </c>
      <c r="Z465" s="2792">
        <v>192360</v>
      </c>
      <c r="AA465" s="2792">
        <v>196579</v>
      </c>
      <c r="AB465" s="398">
        <f t="shared" si="1109"/>
        <v>196579</v>
      </c>
      <c r="AC465" s="401">
        <f>AA465*(1+AC$906)</f>
        <v>198945.02574906818</v>
      </c>
      <c r="AD465" s="401">
        <f t="shared" si="1132"/>
        <v>203977.82189159677</v>
      </c>
      <c r="AE465" s="3666">
        <v>202593</v>
      </c>
      <c r="AF465" s="3666">
        <v>204936</v>
      </c>
      <c r="AG465" s="398">
        <f t="shared" si="1111"/>
        <v>204936</v>
      </c>
      <c r="AH465" s="401">
        <f t="shared" si="1133"/>
        <v>207395.23199999999</v>
      </c>
      <c r="AI465" s="401">
        <f t="shared" si="1134"/>
        <v>211543.13663999998</v>
      </c>
      <c r="AJ465" s="401">
        <f t="shared" si="1135"/>
        <v>215773.9993728</v>
      </c>
      <c r="AK465" s="820">
        <f t="shared" si="1136"/>
        <v>221168.34935711997</v>
      </c>
      <c r="AL465" s="820">
        <f t="shared" si="1131"/>
        <v>221168.34935711997</v>
      </c>
      <c r="AM465" s="398">
        <f t="shared" si="1137"/>
        <v>236650.13381211838</v>
      </c>
      <c r="AN465" s="398">
        <f t="shared" si="1137"/>
        <v>250849.14184084549</v>
      </c>
    </row>
    <row r="466" spans="1:41">
      <c r="A466" s="130" t="s">
        <v>1408</v>
      </c>
      <c r="B466" s="1030">
        <v>0</v>
      </c>
      <c r="C466" s="508">
        <v>749</v>
      </c>
      <c r="D466" s="1030">
        <v>749</v>
      </c>
      <c r="E466" s="912">
        <v>1073</v>
      </c>
      <c r="F466" s="912">
        <v>1243</v>
      </c>
      <c r="G466" s="1041">
        <v>1365</v>
      </c>
      <c r="H466" s="820">
        <f t="shared" si="1105"/>
        <v>1365</v>
      </c>
      <c r="I466" s="1030">
        <v>1754</v>
      </c>
      <c r="J466" s="912">
        <v>1873</v>
      </c>
      <c r="K466" s="912">
        <v>2423</v>
      </c>
      <c r="L466" s="1041">
        <v>2831</v>
      </c>
      <c r="M466" s="820">
        <f t="shared" si="1106"/>
        <v>2831</v>
      </c>
      <c r="N466" s="1030">
        <v>3122</v>
      </c>
      <c r="O466" s="912">
        <v>3534</v>
      </c>
      <c r="P466" s="912">
        <v>4132</v>
      </c>
      <c r="Q466" s="1041">
        <v>4502</v>
      </c>
      <c r="R466" s="820">
        <f t="shared" si="1107"/>
        <v>4502</v>
      </c>
      <c r="S466" s="1030">
        <v>4791</v>
      </c>
      <c r="T466" s="912">
        <v>5759</v>
      </c>
      <c r="U466" s="912">
        <v>6843</v>
      </c>
      <c r="V466" s="912">
        <v>7376</v>
      </c>
      <c r="W466" s="398">
        <f t="shared" si="1108"/>
        <v>7376</v>
      </c>
      <c r="X466" s="2792">
        <v>8326</v>
      </c>
      <c r="Y466" s="2792">
        <v>9250</v>
      </c>
      <c r="Z466" s="2792">
        <v>11572</v>
      </c>
      <c r="AA466" s="2792">
        <v>13032</v>
      </c>
      <c r="AB466" s="398">
        <f t="shared" si="1109"/>
        <v>13032</v>
      </c>
      <c r="AC466" s="401">
        <f>AA466*(1+AC$906)</f>
        <v>13188.853212000553</v>
      </c>
      <c r="AD466" s="401">
        <f t="shared" si="1132"/>
        <v>13522.497188872105</v>
      </c>
      <c r="AE466" s="3666">
        <v>18139</v>
      </c>
      <c r="AF466" s="3666">
        <v>20698</v>
      </c>
      <c r="AG466" s="398">
        <f t="shared" si="1111"/>
        <v>20698</v>
      </c>
      <c r="AH466" s="401">
        <f t="shared" si="1133"/>
        <v>20946.376</v>
      </c>
      <c r="AI466" s="401">
        <f t="shared" si="1134"/>
        <v>21365.303520000001</v>
      </c>
      <c r="AJ466" s="401">
        <f t="shared" si="1135"/>
        <v>21792.609590400003</v>
      </c>
      <c r="AK466" s="820">
        <f t="shared" si="1136"/>
        <v>22337.424830160002</v>
      </c>
      <c r="AL466" s="820">
        <f t="shared" si="1131"/>
        <v>22337.424830160002</v>
      </c>
      <c r="AM466" s="820">
        <f t="shared" si="1137"/>
        <v>23901.044568271205</v>
      </c>
      <c r="AN466" s="820">
        <f t="shared" si="1137"/>
        <v>25335.107242367478</v>
      </c>
    </row>
    <row r="467" spans="1:41">
      <c r="A467" s="130" t="str">
        <f>$A$90</f>
        <v>Tru by Hilton</v>
      </c>
      <c r="B467" s="1030"/>
      <c r="C467" s="508"/>
      <c r="D467" s="1030"/>
      <c r="E467" s="912"/>
      <c r="F467" s="912"/>
      <c r="G467" s="1041"/>
      <c r="H467" s="820"/>
      <c r="I467" s="1030"/>
      <c r="J467" s="912"/>
      <c r="K467" s="912"/>
      <c r="L467" s="1041"/>
      <c r="M467" s="820"/>
      <c r="N467" s="1030"/>
      <c r="O467" s="912"/>
      <c r="P467" s="912"/>
      <c r="Q467" s="1041"/>
      <c r="R467" s="820"/>
      <c r="S467" s="1030"/>
      <c r="T467" s="912"/>
      <c r="U467" s="912"/>
      <c r="V467" s="912"/>
      <c r="W467" s="398"/>
      <c r="X467" s="2791"/>
      <c r="Y467" s="2791"/>
      <c r="Z467" s="2791"/>
      <c r="AA467" s="2791"/>
      <c r="AB467" s="398"/>
      <c r="AC467" s="401">
        <f t="shared" ref="AC467:AC468" si="1138">AA467*(1+AC$906)</f>
        <v>0</v>
      </c>
      <c r="AD467" s="401">
        <f t="shared" ref="AD467" si="1139">AC467*(1+AD$906)</f>
        <v>0</v>
      </c>
      <c r="AE467" s="3666">
        <v>457</v>
      </c>
      <c r="AF467" s="3666">
        <v>911</v>
      </c>
      <c r="AG467" s="398">
        <f t="shared" ref="AG467:AG468" si="1140">AF467</f>
        <v>911</v>
      </c>
      <c r="AH467" s="401">
        <f t="shared" si="1133"/>
        <v>921.93200000000002</v>
      </c>
      <c r="AI467" s="401">
        <f t="shared" si="1134"/>
        <v>940.37063999999998</v>
      </c>
      <c r="AJ467" s="401">
        <f t="shared" si="1135"/>
        <v>959.17805280000005</v>
      </c>
      <c r="AK467" s="820">
        <f t="shared" si="1136"/>
        <v>983.15750412</v>
      </c>
      <c r="AL467" s="820">
        <f t="shared" si="1131"/>
        <v>983.15750412</v>
      </c>
      <c r="AM467" s="820">
        <f t="shared" ref="AM467:AN467" si="1141">AL467*(1+AM$905)</f>
        <v>1051.9785294084002</v>
      </c>
      <c r="AN467" s="820">
        <f t="shared" si="1141"/>
        <v>1115.0972411729042</v>
      </c>
    </row>
    <row r="468" spans="1:41">
      <c r="A468" s="130" t="str">
        <f>$A$91</f>
        <v>Tapestry Collection by Hilton</v>
      </c>
      <c r="B468" s="1030"/>
      <c r="C468" s="508"/>
      <c r="D468" s="1030"/>
      <c r="E468" s="912"/>
      <c r="F468" s="912"/>
      <c r="G468" s="1041"/>
      <c r="H468" s="820"/>
      <c r="I468" s="1030"/>
      <c r="J468" s="912"/>
      <c r="K468" s="912"/>
      <c r="L468" s="1041"/>
      <c r="M468" s="820"/>
      <c r="N468" s="1030"/>
      <c r="O468" s="912"/>
      <c r="P468" s="912"/>
      <c r="Q468" s="1041"/>
      <c r="R468" s="820"/>
      <c r="S468" s="1030"/>
      <c r="T468" s="912"/>
      <c r="U468" s="912"/>
      <c r="V468" s="912"/>
      <c r="W468" s="398"/>
      <c r="X468" s="2791"/>
      <c r="Y468" s="2791"/>
      <c r="Z468" s="2791"/>
      <c r="AA468" s="2791"/>
      <c r="AB468" s="398"/>
      <c r="AC468" s="401">
        <f t="shared" si="1138"/>
        <v>0</v>
      </c>
      <c r="AD468" s="401">
        <f t="shared" ref="AD468" si="1142">AC468*(1+AD$906)</f>
        <v>0</v>
      </c>
      <c r="AE468" s="3666">
        <v>58</v>
      </c>
      <c r="AF468" s="3666">
        <v>467</v>
      </c>
      <c r="AG468" s="398">
        <f t="shared" si="1140"/>
        <v>467</v>
      </c>
      <c r="AH468" s="401">
        <f t="shared" si="1133"/>
        <v>472.60399999999998</v>
      </c>
      <c r="AI468" s="401">
        <f t="shared" si="1134"/>
        <v>482.05608000000001</v>
      </c>
      <c r="AJ468" s="401">
        <f t="shared" si="1135"/>
        <v>491.69720160000003</v>
      </c>
      <c r="AK468" s="820">
        <f t="shared" si="1136"/>
        <v>503.98963163999997</v>
      </c>
      <c r="AL468" s="820">
        <f t="shared" si="1131"/>
        <v>503.98963163999997</v>
      </c>
      <c r="AM468" s="820">
        <f t="shared" ref="AM468:AN468" si="1143">AL468*(1+AM$905)</f>
        <v>539.26890585479998</v>
      </c>
      <c r="AN468" s="820">
        <f t="shared" si="1143"/>
        <v>571.62504020608799</v>
      </c>
    </row>
    <row r="469" spans="1:41" s="5" customFormat="1" collapsed="1">
      <c r="A469" s="402" t="str">
        <f>A$21</f>
        <v>Homewood Suites by Hilton (Upscale)</v>
      </c>
      <c r="B469" s="1031">
        <v>27342</v>
      </c>
      <c r="C469" s="1029">
        <v>27956</v>
      </c>
      <c r="D469" s="1031">
        <v>28054</v>
      </c>
      <c r="E469" s="1039">
        <v>28961</v>
      </c>
      <c r="F469" s="1039">
        <v>29613</v>
      </c>
      <c r="G469" s="1042">
        <v>29818</v>
      </c>
      <c r="H469" s="700">
        <f t="shared" si="1105"/>
        <v>29818</v>
      </c>
      <c r="I469" s="1031">
        <v>29781</v>
      </c>
      <c r="J469" s="1039">
        <v>30432</v>
      </c>
      <c r="K469" s="1039">
        <v>30725</v>
      </c>
      <c r="L469" s="1042">
        <v>31266</v>
      </c>
      <c r="M469" s="700">
        <f t="shared" si="1106"/>
        <v>31266</v>
      </c>
      <c r="N469" s="1031">
        <v>31641</v>
      </c>
      <c r="O469" s="1039">
        <v>32473</v>
      </c>
      <c r="P469" s="1039">
        <v>33912</v>
      </c>
      <c r="Q469" s="1042">
        <v>34960</v>
      </c>
      <c r="R469" s="700">
        <f t="shared" si="1107"/>
        <v>34960</v>
      </c>
      <c r="S469" s="1031">
        <v>35809</v>
      </c>
      <c r="T469" s="1039">
        <v>36458</v>
      </c>
      <c r="U469" s="1039">
        <v>37479</v>
      </c>
      <c r="V469" s="1039">
        <v>38791</v>
      </c>
      <c r="W469" s="403">
        <f t="shared" si="1108"/>
        <v>38791</v>
      </c>
      <c r="X469" s="2794">
        <v>39615</v>
      </c>
      <c r="Y469" s="2794">
        <v>40211</v>
      </c>
      <c r="Z469" s="2794">
        <v>41401</v>
      </c>
      <c r="AA469" s="2794">
        <v>42377</v>
      </c>
      <c r="AB469" s="403">
        <f t="shared" si="1109"/>
        <v>42377</v>
      </c>
      <c r="AC469" s="615">
        <f>AA469*(1+AC$906)</f>
        <v>42887.049767107688</v>
      </c>
      <c r="AD469" s="615">
        <f>AC469*(1+AD$906)</f>
        <v>43971.981535668594</v>
      </c>
      <c r="AE469" s="4005">
        <v>45600</v>
      </c>
      <c r="AF469" s="4005">
        <v>46786</v>
      </c>
      <c r="AG469" s="403">
        <f t="shared" si="1111"/>
        <v>46786</v>
      </c>
      <c r="AH469" s="615">
        <f t="shared" si="1133"/>
        <v>47347.432000000001</v>
      </c>
      <c r="AI469" s="615">
        <f t="shared" si="1134"/>
        <v>48294.380640000003</v>
      </c>
      <c r="AJ469" s="615">
        <f>AI469*(1+AJ$906)</f>
        <v>49260.2682528</v>
      </c>
      <c r="AK469" s="700">
        <f>AJ469*(1+AK$906)</f>
        <v>50491.774959119997</v>
      </c>
      <c r="AL469" s="700">
        <f t="shared" si="1131"/>
        <v>50491.774959119997</v>
      </c>
      <c r="AM469" s="700">
        <f>AL469*(1+AM$905)</f>
        <v>54026.199206258403</v>
      </c>
      <c r="AN469" s="700">
        <f>AM469*(1+AN$905)</f>
        <v>57267.771158633914</v>
      </c>
      <c r="AO469" s="402"/>
    </row>
    <row r="470" spans="1:41">
      <c r="A470" s="482" t="s">
        <v>1687</v>
      </c>
      <c r="B470" s="1032">
        <f t="shared" ref="B470:AN470" si="1144">SUM(B457:B469)</f>
        <v>388836</v>
      </c>
      <c r="C470" s="400">
        <f t="shared" si="1144"/>
        <v>400994</v>
      </c>
      <c r="D470" s="1032">
        <f t="shared" si="1144"/>
        <v>400726</v>
      </c>
      <c r="E470" s="405">
        <f t="shared" si="1144"/>
        <v>404736</v>
      </c>
      <c r="F470" s="405">
        <f t="shared" si="1144"/>
        <v>407632</v>
      </c>
      <c r="G470" s="821">
        <f t="shared" si="1144"/>
        <v>411520</v>
      </c>
      <c r="H470" s="821">
        <f t="shared" si="1144"/>
        <v>411520</v>
      </c>
      <c r="I470" s="1032">
        <f t="shared" si="1144"/>
        <v>413035</v>
      </c>
      <c r="J470" s="405">
        <f t="shared" si="1144"/>
        <v>418725</v>
      </c>
      <c r="K470" s="405">
        <f t="shared" si="1144"/>
        <v>421447</v>
      </c>
      <c r="L470" s="821">
        <f t="shared" si="1144"/>
        <v>424533</v>
      </c>
      <c r="M470" s="821">
        <f t="shared" si="1144"/>
        <v>424533</v>
      </c>
      <c r="N470" s="1032">
        <f t="shared" si="1144"/>
        <v>427830</v>
      </c>
      <c r="O470" s="399">
        <f t="shared" si="1144"/>
        <v>432340</v>
      </c>
      <c r="P470" s="399">
        <f t="shared" si="1144"/>
        <v>440796</v>
      </c>
      <c r="Q470" s="821">
        <f>SUM(Q457:Q469)</f>
        <v>445463</v>
      </c>
      <c r="R470" s="821">
        <f t="shared" si="1144"/>
        <v>445463</v>
      </c>
      <c r="S470" s="1032">
        <f t="shared" si="1144"/>
        <v>450769</v>
      </c>
      <c r="T470" s="405">
        <f t="shared" si="1144"/>
        <v>459095</v>
      </c>
      <c r="U470" s="405">
        <f>SUM(U457:U469)</f>
        <v>466363</v>
      </c>
      <c r="V470" s="405">
        <f>SUM(V457:V469)</f>
        <v>471848</v>
      </c>
      <c r="W470" s="400">
        <f t="shared" si="1144"/>
        <v>471848</v>
      </c>
      <c r="X470" s="399">
        <f t="shared" ref="X470:AI470" si="1145">SUM(X457:X469)</f>
        <v>478299</v>
      </c>
      <c r="Y470" s="399">
        <f t="shared" si="1145"/>
        <v>485299</v>
      </c>
      <c r="Z470" s="399">
        <f>SUM(Z457:Z469)</f>
        <v>494021</v>
      </c>
      <c r="AA470" s="399">
        <f>SUM(AA457:AA469)</f>
        <v>503574</v>
      </c>
      <c r="AB470" s="400">
        <f t="shared" si="1145"/>
        <v>503574</v>
      </c>
      <c r="AC470" s="399">
        <f t="shared" si="1145"/>
        <v>509628.93100000039</v>
      </c>
      <c r="AD470" s="399">
        <f t="shared" si="1145"/>
        <v>520245.79974999977</v>
      </c>
      <c r="AE470" s="399">
        <f t="shared" si="1145"/>
        <v>526531</v>
      </c>
      <c r="AF470" s="821">
        <f t="shared" si="1145"/>
        <v>536978</v>
      </c>
      <c r="AG470" s="400">
        <f t="shared" si="1145"/>
        <v>536978</v>
      </c>
      <c r="AH470" s="399">
        <f t="shared" si="1145"/>
        <v>543067.66399999987</v>
      </c>
      <c r="AI470" s="399">
        <f t="shared" si="1145"/>
        <v>552772.96135</v>
      </c>
      <c r="AJ470" s="399">
        <f t="shared" ref="AJ470:AL470" si="1146">SUM(AJ457:AJ469)</f>
        <v>562925.73553465004</v>
      </c>
      <c r="AK470" s="821">
        <f t="shared" si="1146"/>
        <v>575171.40468704572</v>
      </c>
      <c r="AL470" s="400">
        <f t="shared" si="1146"/>
        <v>575171.40468704572</v>
      </c>
      <c r="AM470" s="821">
        <f t="shared" si="1144"/>
        <v>612640.88542837393</v>
      </c>
      <c r="AN470" s="821">
        <f t="shared" si="1144"/>
        <v>645483.46801536006</v>
      </c>
      <c r="AO470" s="130"/>
    </row>
    <row r="471" spans="1:41">
      <c r="A471" s="130"/>
      <c r="B471" s="1033"/>
      <c r="C471" s="398"/>
      <c r="D471" s="1033"/>
      <c r="E471" s="406"/>
      <c r="F471" s="406"/>
      <c r="G471" s="820"/>
      <c r="H471" s="820"/>
      <c r="I471" s="1033"/>
      <c r="J471" s="406"/>
      <c r="K471" s="406"/>
      <c r="L471" s="820"/>
      <c r="M471" s="820"/>
      <c r="N471" s="401"/>
      <c r="O471" s="401"/>
      <c r="P471" s="401"/>
      <c r="Q471" s="820"/>
      <c r="R471" s="398"/>
      <c r="S471" s="401"/>
      <c r="T471" s="401"/>
      <c r="U471" s="401"/>
      <c r="V471" s="406"/>
      <c r="W471" s="398"/>
      <c r="X471" s="401"/>
      <c r="Y471" s="401"/>
      <c r="Z471" s="401"/>
      <c r="AA471" s="401"/>
      <c r="AB471" s="398"/>
      <c r="AC471" s="3543"/>
      <c r="AD471" s="3543"/>
      <c r="AE471" s="3543"/>
      <c r="AF471" s="3543"/>
      <c r="AG471" s="398"/>
      <c r="AH471" s="3543"/>
      <c r="AI471" s="3543"/>
      <c r="AJ471" s="3543"/>
      <c r="AK471" s="3543"/>
      <c r="AL471" s="398"/>
      <c r="AM471" s="820"/>
      <c r="AN471" s="820"/>
    </row>
    <row r="472" spans="1:41">
      <c r="A472" s="295" t="s">
        <v>1396</v>
      </c>
      <c r="B472" s="1033"/>
      <c r="C472" s="398"/>
      <c r="D472" s="1033"/>
      <c r="E472" s="406"/>
      <c r="F472" s="406"/>
      <c r="G472" s="820"/>
      <c r="H472" s="820"/>
      <c r="I472" s="1033"/>
      <c r="J472" s="406"/>
      <c r="K472" s="406"/>
      <c r="L472" s="820"/>
      <c r="M472" s="820"/>
      <c r="N472" s="401"/>
      <c r="O472" s="401"/>
      <c r="P472" s="401"/>
      <c r="Q472" s="820"/>
      <c r="R472" s="398"/>
      <c r="S472" s="401"/>
      <c r="T472" s="401"/>
      <c r="U472" s="401"/>
      <c r="V472" s="820"/>
      <c r="W472" s="398"/>
      <c r="X472" s="401"/>
      <c r="Y472" s="401"/>
      <c r="Z472" s="401"/>
      <c r="AA472" s="401"/>
      <c r="AB472" s="398"/>
      <c r="AC472" s="401"/>
      <c r="AD472" s="401"/>
      <c r="AE472" s="401"/>
      <c r="AF472" s="820"/>
      <c r="AG472" s="398"/>
      <c r="AH472" s="401"/>
      <c r="AI472" s="401"/>
      <c r="AJ472" s="401"/>
      <c r="AK472" s="820"/>
      <c r="AL472" s="398"/>
      <c r="AM472" s="820"/>
      <c r="AN472" s="820"/>
    </row>
    <row r="473" spans="1:41">
      <c r="A473" s="130" t="str">
        <f>A$9</f>
        <v>Waldorf Astoria Hotels &amp; Resorts (Luxury)</v>
      </c>
      <c r="B473" s="1033">
        <f>B457+B441+B425</f>
        <v>7235</v>
      </c>
      <c r="C473" s="398">
        <f>C457+C441+C425</f>
        <v>7235</v>
      </c>
      <c r="D473" s="1033">
        <f>D457+D441+D425</f>
        <v>7423</v>
      </c>
      <c r="E473" s="406">
        <f t="shared" ref="E473:S473" si="1147">E457+E441+E425</f>
        <v>7423</v>
      </c>
      <c r="F473" s="406">
        <f t="shared" si="1147"/>
        <v>7420</v>
      </c>
      <c r="G473" s="820">
        <f t="shared" si="1147"/>
        <v>7420</v>
      </c>
      <c r="H473" s="820">
        <f t="shared" si="1147"/>
        <v>7420</v>
      </c>
      <c r="I473" s="1033">
        <f t="shared" si="1147"/>
        <v>7418</v>
      </c>
      <c r="J473" s="406">
        <f t="shared" si="1147"/>
        <v>7418</v>
      </c>
      <c r="K473" s="406">
        <f t="shared" si="1147"/>
        <v>7417</v>
      </c>
      <c r="L473" s="820">
        <f t="shared" ref="L473:N474" si="1148">L457+L441+L425</f>
        <v>7292</v>
      </c>
      <c r="M473" s="820">
        <f t="shared" si="1148"/>
        <v>7292</v>
      </c>
      <c r="N473" s="1033">
        <f t="shared" si="1148"/>
        <v>7399</v>
      </c>
      <c r="O473" s="401">
        <f t="shared" si="1147"/>
        <v>7399</v>
      </c>
      <c r="P473" s="401">
        <f t="shared" si="1147"/>
        <v>6926</v>
      </c>
      <c r="Q473" s="820">
        <f t="shared" si="1147"/>
        <v>6926</v>
      </c>
      <c r="R473" s="398">
        <f t="shared" si="1147"/>
        <v>6926</v>
      </c>
      <c r="S473" s="401">
        <f t="shared" si="1147"/>
        <v>6926</v>
      </c>
      <c r="T473" s="401">
        <f t="shared" ref="T473:AN473" si="1149">T457+T441+T425</f>
        <v>6703</v>
      </c>
      <c r="U473" s="401">
        <f t="shared" si="1149"/>
        <v>6703</v>
      </c>
      <c r="V473" s="820">
        <f t="shared" si="1149"/>
        <v>6671</v>
      </c>
      <c r="W473" s="398">
        <f t="shared" si="1149"/>
        <v>6671</v>
      </c>
      <c r="X473" s="401">
        <f t="shared" si="1149"/>
        <v>6683</v>
      </c>
      <c r="Y473" s="401">
        <f t="shared" si="1149"/>
        <v>6594</v>
      </c>
      <c r="Z473" s="401">
        <f t="shared" si="1149"/>
        <v>6583</v>
      </c>
      <c r="AA473" s="401">
        <f t="shared" si="1149"/>
        <v>6577</v>
      </c>
      <c r="AB473" s="398">
        <f t="shared" si="1149"/>
        <v>6577</v>
      </c>
      <c r="AC473" s="3666">
        <v>6478</v>
      </c>
      <c r="AD473" s="3666">
        <v>5670</v>
      </c>
      <c r="AE473" s="401">
        <f t="shared" si="1149"/>
        <v>5666</v>
      </c>
      <c r="AF473" s="820">
        <f t="shared" si="1149"/>
        <v>5666</v>
      </c>
      <c r="AG473" s="398">
        <f t="shared" si="1149"/>
        <v>5666</v>
      </c>
      <c r="AH473" s="401">
        <f t="shared" si="1149"/>
        <v>5720.51</v>
      </c>
      <c r="AI473" s="401">
        <f t="shared" si="1149"/>
        <v>5775.5651000000007</v>
      </c>
      <c r="AJ473" s="401">
        <f t="shared" ref="AJ473:AL473" si="1150">AJ457+AJ441+AJ425</f>
        <v>5828.3904684500012</v>
      </c>
      <c r="AK473" s="820">
        <f t="shared" si="1150"/>
        <v>5884.5243731345008</v>
      </c>
      <c r="AL473" s="398">
        <f t="shared" si="1150"/>
        <v>5884.5243731345008</v>
      </c>
      <c r="AM473" s="398">
        <f t="shared" si="1149"/>
        <v>6111.305348059881</v>
      </c>
      <c r="AN473" s="398">
        <f t="shared" si="1149"/>
        <v>6229.2314550210785</v>
      </c>
    </row>
    <row r="474" spans="1:41">
      <c r="A474" s="130" t="str">
        <f>A$10</f>
        <v>Conrad Hotels &amp; Resorts (Luxury)</v>
      </c>
      <c r="B474" s="1033">
        <f>B458+B442+B426</f>
        <v>801</v>
      </c>
      <c r="C474" s="398">
        <f>C458+C442+C426</f>
        <v>860</v>
      </c>
      <c r="D474" s="1033">
        <f t="shared" ref="D474:S474" si="1151">D458+D442+D426</f>
        <v>1323</v>
      </c>
      <c r="E474" s="406">
        <f t="shared" si="1151"/>
        <v>1334</v>
      </c>
      <c r="F474" s="406">
        <f t="shared" si="1151"/>
        <v>1334</v>
      </c>
      <c r="G474" s="820">
        <f t="shared" si="1151"/>
        <v>1334</v>
      </c>
      <c r="H474" s="820">
        <f t="shared" si="1151"/>
        <v>1334</v>
      </c>
      <c r="I474" s="1033">
        <f t="shared" si="1151"/>
        <v>1334</v>
      </c>
      <c r="J474" s="406">
        <f t="shared" si="1151"/>
        <v>1334</v>
      </c>
      <c r="K474" s="406">
        <f t="shared" si="1151"/>
        <v>1335</v>
      </c>
      <c r="L474" s="820">
        <f t="shared" si="1148"/>
        <v>1335</v>
      </c>
      <c r="M474" s="820">
        <f t="shared" si="1148"/>
        <v>1335</v>
      </c>
      <c r="N474" s="1033">
        <f t="shared" si="1148"/>
        <v>1335</v>
      </c>
      <c r="O474" s="401">
        <f t="shared" si="1151"/>
        <v>1335</v>
      </c>
      <c r="P474" s="401">
        <f t="shared" si="1151"/>
        <v>1335</v>
      </c>
      <c r="Q474" s="820">
        <f t="shared" si="1151"/>
        <v>1335</v>
      </c>
      <c r="R474" s="398">
        <f t="shared" si="1151"/>
        <v>1335</v>
      </c>
      <c r="S474" s="401">
        <f t="shared" si="1151"/>
        <v>1337</v>
      </c>
      <c r="T474" s="401">
        <f t="shared" ref="T474:AN474" si="1152">T458+T442+T426</f>
        <v>1341</v>
      </c>
      <c r="U474" s="401">
        <f t="shared" si="1152"/>
        <v>1029</v>
      </c>
      <c r="V474" s="820">
        <f t="shared" si="1152"/>
        <v>1029</v>
      </c>
      <c r="W474" s="398">
        <f t="shared" si="1152"/>
        <v>1029</v>
      </c>
      <c r="X474" s="401">
        <f t="shared" si="1152"/>
        <v>1029</v>
      </c>
      <c r="Y474" s="401">
        <f t="shared" si="1152"/>
        <v>1029</v>
      </c>
      <c r="Z474" s="401">
        <f t="shared" si="1152"/>
        <v>1029</v>
      </c>
      <c r="AA474" s="401">
        <f t="shared" si="1152"/>
        <v>1316</v>
      </c>
      <c r="AB474" s="398">
        <f t="shared" si="1152"/>
        <v>1316</v>
      </c>
      <c r="AC474" s="3666">
        <v>1316</v>
      </c>
      <c r="AD474" s="3666">
        <v>1316</v>
      </c>
      <c r="AE474" s="401">
        <f t="shared" si="1152"/>
        <v>1606</v>
      </c>
      <c r="AF474" s="820">
        <f t="shared" si="1152"/>
        <v>1606</v>
      </c>
      <c r="AG474" s="398">
        <f t="shared" si="1152"/>
        <v>1606</v>
      </c>
      <c r="AH474" s="401">
        <f t="shared" si="1152"/>
        <v>1618.8700000000001</v>
      </c>
      <c r="AI474" s="401">
        <f t="shared" si="1152"/>
        <v>1631.8687000000002</v>
      </c>
      <c r="AJ474" s="401">
        <f t="shared" ref="AJ474:AL474" si="1153">AJ458+AJ442+AJ426</f>
        <v>1644.3409526500002</v>
      </c>
      <c r="AK474" s="820">
        <f t="shared" si="1153"/>
        <v>1657.5943621765002</v>
      </c>
      <c r="AL474" s="398">
        <f t="shared" si="1153"/>
        <v>1657.5943621765002</v>
      </c>
      <c r="AM474" s="398">
        <f t="shared" si="1152"/>
        <v>1711.1381366635603</v>
      </c>
      <c r="AN474" s="398">
        <f t="shared" si="1152"/>
        <v>1738.9808993968315</v>
      </c>
    </row>
    <row r="475" spans="1:41">
      <c r="A475" s="1828" t="s">
        <v>3022</v>
      </c>
      <c r="B475" s="1033"/>
      <c r="C475" s="398"/>
      <c r="D475" s="1033"/>
      <c r="E475" s="406"/>
      <c r="F475" s="406"/>
      <c r="G475" s="820"/>
      <c r="H475" s="820"/>
      <c r="I475" s="1033"/>
      <c r="J475" s="406"/>
      <c r="K475" s="406"/>
      <c r="L475" s="820"/>
      <c r="M475" s="820"/>
      <c r="N475" s="1033"/>
      <c r="O475" s="401"/>
      <c r="P475" s="401"/>
      <c r="Q475" s="820"/>
      <c r="R475" s="398"/>
      <c r="S475" s="401"/>
      <c r="T475" s="401"/>
      <c r="U475" s="401"/>
      <c r="V475" s="820"/>
      <c r="W475" s="398"/>
      <c r="X475" s="401"/>
      <c r="Y475" s="401"/>
      <c r="Z475" s="401"/>
      <c r="AA475" s="401">
        <f t="shared" ref="AA475:AN475" si="1154">AA459+AA443+AA427</f>
        <v>0</v>
      </c>
      <c r="AB475" s="398">
        <f t="shared" si="1154"/>
        <v>0</v>
      </c>
      <c r="AC475" s="3666">
        <v>0</v>
      </c>
      <c r="AD475" s="3666">
        <v>0</v>
      </c>
      <c r="AE475" s="401">
        <f t="shared" si="1154"/>
        <v>0</v>
      </c>
      <c r="AF475" s="820">
        <f t="shared" si="1154"/>
        <v>0</v>
      </c>
      <c r="AG475" s="398">
        <f t="shared" si="1154"/>
        <v>0</v>
      </c>
      <c r="AH475" s="401">
        <f t="shared" si="1154"/>
        <v>0</v>
      </c>
      <c r="AI475" s="401">
        <f t="shared" si="1154"/>
        <v>0</v>
      </c>
      <c r="AJ475" s="401">
        <f t="shared" ref="AJ475:AL475" si="1155">AJ459+AJ443+AJ427</f>
        <v>0</v>
      </c>
      <c r="AK475" s="820">
        <f t="shared" si="1155"/>
        <v>0</v>
      </c>
      <c r="AL475" s="398">
        <f t="shared" si="1155"/>
        <v>0</v>
      </c>
      <c r="AM475" s="398">
        <f t="shared" si="1154"/>
        <v>0</v>
      </c>
      <c r="AN475" s="398">
        <f t="shared" si="1154"/>
        <v>0</v>
      </c>
    </row>
    <row r="476" spans="1:41">
      <c r="A476" s="130" t="str">
        <f>A$12</f>
        <v>Hilton Hotels &amp; Resorts (Upper Up)</v>
      </c>
      <c r="B476" s="1033">
        <f t="shared" ref="B476:Z476" si="1156">B460+B444+B428</f>
        <v>104546</v>
      </c>
      <c r="C476" s="398">
        <f t="shared" si="1156"/>
        <v>103688</v>
      </c>
      <c r="D476" s="1033">
        <f t="shared" si="1156"/>
        <v>101031</v>
      </c>
      <c r="E476" s="406">
        <f t="shared" si="1156"/>
        <v>100822</v>
      </c>
      <c r="F476" s="406">
        <f t="shared" si="1156"/>
        <v>100543</v>
      </c>
      <c r="G476" s="820">
        <f t="shared" si="1156"/>
        <v>99861</v>
      </c>
      <c r="H476" s="820">
        <f t="shared" si="1156"/>
        <v>99861</v>
      </c>
      <c r="I476" s="1033">
        <f t="shared" si="1156"/>
        <v>99858</v>
      </c>
      <c r="J476" s="406">
        <f t="shared" si="1156"/>
        <v>100208</v>
      </c>
      <c r="K476" s="406">
        <f t="shared" si="1156"/>
        <v>100208</v>
      </c>
      <c r="L476" s="820">
        <f t="shared" si="1156"/>
        <v>100118</v>
      </c>
      <c r="M476" s="820">
        <f t="shared" si="1156"/>
        <v>100118</v>
      </c>
      <c r="N476" s="1033">
        <f t="shared" si="1156"/>
        <v>99630</v>
      </c>
      <c r="O476" s="401">
        <f t="shared" si="1156"/>
        <v>98698</v>
      </c>
      <c r="P476" s="401">
        <f t="shared" si="1156"/>
        <v>98895</v>
      </c>
      <c r="Q476" s="820">
        <f t="shared" si="1156"/>
        <v>98567</v>
      </c>
      <c r="R476" s="398">
        <f t="shared" si="1156"/>
        <v>98567</v>
      </c>
      <c r="S476" s="401">
        <f t="shared" si="1156"/>
        <v>99548</v>
      </c>
      <c r="T476" s="401">
        <f t="shared" si="1156"/>
        <v>99223</v>
      </c>
      <c r="U476" s="401">
        <f t="shared" si="1156"/>
        <v>99234</v>
      </c>
      <c r="V476" s="820">
        <f t="shared" si="1156"/>
        <v>99807</v>
      </c>
      <c r="W476" s="398">
        <f t="shared" si="1156"/>
        <v>99807</v>
      </c>
      <c r="X476" s="401">
        <f t="shared" si="1156"/>
        <v>100163</v>
      </c>
      <c r="Y476" s="401">
        <f t="shared" si="1156"/>
        <v>100809</v>
      </c>
      <c r="Z476" s="401">
        <f t="shared" si="1156"/>
        <v>100828</v>
      </c>
      <c r="AA476" s="401">
        <f t="shared" ref="AA476:AN476" si="1157">AA460+AA444+AA428</f>
        <v>101016</v>
      </c>
      <c r="AB476" s="398">
        <f t="shared" si="1157"/>
        <v>101016</v>
      </c>
      <c r="AC476" s="3666">
        <v>101356</v>
      </c>
      <c r="AD476" s="3666">
        <v>101366</v>
      </c>
      <c r="AE476" s="401">
        <f t="shared" si="1157"/>
        <v>101894</v>
      </c>
      <c r="AF476" s="820">
        <f t="shared" si="1157"/>
        <v>102367</v>
      </c>
      <c r="AG476" s="398">
        <f t="shared" si="1157"/>
        <v>102367</v>
      </c>
      <c r="AH476" s="401">
        <f t="shared" si="1157"/>
        <v>103630.91</v>
      </c>
      <c r="AI476" s="401">
        <f t="shared" si="1157"/>
        <v>105059.188517</v>
      </c>
      <c r="AJ476" s="401">
        <f t="shared" ref="AJ476:AL476" si="1158">AJ460+AJ444+AJ428</f>
        <v>106387.794549995</v>
      </c>
      <c r="AK476" s="820">
        <f t="shared" si="1158"/>
        <v>107733.85685553731</v>
      </c>
      <c r="AL476" s="398">
        <f t="shared" si="1158"/>
        <v>107733.85685553731</v>
      </c>
      <c r="AM476" s="398">
        <f t="shared" si="1157"/>
        <v>113406.96682375719</v>
      </c>
      <c r="AN476" s="398">
        <f t="shared" si="1157"/>
        <v>117413.51596315467</v>
      </c>
    </row>
    <row r="477" spans="1:41">
      <c r="A477" s="1828" t="s">
        <v>2323</v>
      </c>
      <c r="B477" s="1033"/>
      <c r="C477" s="398"/>
      <c r="D477" s="1033"/>
      <c r="E477" s="406"/>
      <c r="F477" s="406"/>
      <c r="G477" s="820"/>
      <c r="H477" s="820"/>
      <c r="I477" s="1033"/>
      <c r="J477" s="406"/>
      <c r="K477" s="406"/>
      <c r="L477" s="820"/>
      <c r="M477" s="820"/>
      <c r="N477" s="1033"/>
      <c r="O477" s="401"/>
      <c r="P477" s="401">
        <f t="shared" ref="P477:Z477" si="1159">P461+P445+P429</f>
        <v>1811</v>
      </c>
      <c r="Q477" s="820">
        <f t="shared" si="1159"/>
        <v>3170</v>
      </c>
      <c r="R477" s="398">
        <f t="shared" si="1159"/>
        <v>3170</v>
      </c>
      <c r="S477" s="401">
        <f t="shared" si="1159"/>
        <v>3170</v>
      </c>
      <c r="T477" s="401">
        <f t="shared" si="1159"/>
        <v>3749</v>
      </c>
      <c r="U477" s="401">
        <f t="shared" si="1159"/>
        <v>4035</v>
      </c>
      <c r="V477" s="820">
        <f t="shared" si="1159"/>
        <v>3901</v>
      </c>
      <c r="W477" s="398">
        <f t="shared" si="1159"/>
        <v>3901</v>
      </c>
      <c r="X477" s="401">
        <f t="shared" si="1159"/>
        <v>4401</v>
      </c>
      <c r="Y477" s="401">
        <f t="shared" si="1159"/>
        <v>4963</v>
      </c>
      <c r="Z477" s="401">
        <f t="shared" si="1159"/>
        <v>5617</v>
      </c>
      <c r="AA477" s="401">
        <f t="shared" ref="AA477:AN477" si="1160">AA461+AA445+AA429</f>
        <v>6145</v>
      </c>
      <c r="AB477" s="398">
        <f t="shared" si="1160"/>
        <v>6145</v>
      </c>
      <c r="AC477" s="3666">
        <v>6427</v>
      </c>
      <c r="AD477" s="3666">
        <v>6935</v>
      </c>
      <c r="AE477" s="401">
        <f t="shared" si="1160"/>
        <v>7642</v>
      </c>
      <c r="AF477" s="820">
        <f t="shared" si="1160"/>
        <v>7675</v>
      </c>
      <c r="AG477" s="398">
        <f t="shared" si="1160"/>
        <v>7675</v>
      </c>
      <c r="AH477" s="401">
        <f t="shared" si="1160"/>
        <v>7731.94</v>
      </c>
      <c r="AI477" s="401">
        <f t="shared" si="1160"/>
        <v>7809.5776900000001</v>
      </c>
      <c r="AJ477" s="401">
        <f t="shared" ref="AJ477:AL477" si="1161">AJ461+AJ445+AJ429</f>
        <v>7897.0063553499995</v>
      </c>
      <c r="AK477" s="820">
        <f t="shared" si="1161"/>
        <v>7985.7464506802489</v>
      </c>
      <c r="AL477" s="398">
        <f t="shared" si="1161"/>
        <v>7985.7464506802489</v>
      </c>
      <c r="AM477" s="398">
        <f t="shared" si="1160"/>
        <v>8316.0075054676636</v>
      </c>
      <c r="AN477" s="398">
        <f t="shared" si="1160"/>
        <v>8569.4078056863691</v>
      </c>
    </row>
    <row r="478" spans="1:41">
      <c r="A478" s="130" t="str">
        <f>A$14</f>
        <v>DoubleTree by Hilton (Upscale)</v>
      </c>
      <c r="B478" s="1033">
        <f t="shared" ref="B478:C482" si="1162">B462+B446+B430</f>
        <v>54467</v>
      </c>
      <c r="C478" s="398">
        <f t="shared" si="1162"/>
        <v>58246</v>
      </c>
      <c r="D478" s="1033">
        <f t="shared" ref="D478:S478" si="1163">D462+D446+D430</f>
        <v>60644</v>
      </c>
      <c r="E478" s="406">
        <f t="shared" si="1163"/>
        <v>61572</v>
      </c>
      <c r="F478" s="406">
        <f t="shared" si="1163"/>
        <v>62661</v>
      </c>
      <c r="G478" s="820">
        <f t="shared" si="1163"/>
        <v>64776</v>
      </c>
      <c r="H478" s="820">
        <f t="shared" si="1163"/>
        <v>64776</v>
      </c>
      <c r="I478" s="1033">
        <f t="shared" si="1163"/>
        <v>67938</v>
      </c>
      <c r="J478" s="406">
        <f t="shared" si="1163"/>
        <v>69756</v>
      </c>
      <c r="K478" s="406">
        <f t="shared" si="1163"/>
        <v>70914</v>
      </c>
      <c r="L478" s="820">
        <f t="shared" ref="L478:N482" si="1164">L462+L446+L430</f>
        <v>70989</v>
      </c>
      <c r="M478" s="820">
        <f t="shared" si="1164"/>
        <v>70989</v>
      </c>
      <c r="N478" s="1033">
        <f t="shared" si="1164"/>
        <v>71861</v>
      </c>
      <c r="O478" s="401">
        <f t="shared" si="1163"/>
        <v>72267</v>
      </c>
      <c r="P478" s="401">
        <f t="shared" si="1163"/>
        <v>73020</v>
      </c>
      <c r="Q478" s="820">
        <f t="shared" si="1163"/>
        <v>73898</v>
      </c>
      <c r="R478" s="398">
        <f t="shared" si="1163"/>
        <v>73898</v>
      </c>
      <c r="S478" s="401">
        <f t="shared" si="1163"/>
        <v>74738</v>
      </c>
      <c r="T478" s="401">
        <f t="shared" ref="T478:Z482" si="1165">T462+T446+T430</f>
        <v>76391</v>
      </c>
      <c r="U478" s="401">
        <f t="shared" si="1165"/>
        <v>77400</v>
      </c>
      <c r="V478" s="820">
        <f t="shared" si="1165"/>
        <v>78388</v>
      </c>
      <c r="W478" s="398">
        <f t="shared" si="1165"/>
        <v>78388</v>
      </c>
      <c r="X478" s="401">
        <f t="shared" si="1165"/>
        <v>78619</v>
      </c>
      <c r="Y478" s="401">
        <f t="shared" si="1165"/>
        <v>79028</v>
      </c>
      <c r="Z478" s="401">
        <f t="shared" si="1165"/>
        <v>79878</v>
      </c>
      <c r="AA478" s="401">
        <f t="shared" ref="AA478:AN478" si="1166">AA462+AA446+AA430</f>
        <v>81073</v>
      </c>
      <c r="AB478" s="398">
        <f t="shared" si="1166"/>
        <v>81073</v>
      </c>
      <c r="AC478" s="3666">
        <v>82298</v>
      </c>
      <c r="AD478" s="3666">
        <v>82336</v>
      </c>
      <c r="AE478" s="401">
        <f t="shared" si="1166"/>
        <v>83470</v>
      </c>
      <c r="AF478" s="820">
        <f t="shared" si="1166"/>
        <v>83690</v>
      </c>
      <c r="AG478" s="398">
        <f t="shared" si="1166"/>
        <v>83690</v>
      </c>
      <c r="AH478" s="401">
        <f t="shared" si="1166"/>
        <v>84588.1</v>
      </c>
      <c r="AI478" s="401">
        <f t="shared" si="1166"/>
        <v>85737.49351</v>
      </c>
      <c r="AJ478" s="401">
        <f t="shared" ref="AJ478:AL478" si="1167">AJ462+AJ446+AJ430</f>
        <v>86960.562048849999</v>
      </c>
      <c r="AK478" s="820">
        <f t="shared" si="1167"/>
        <v>88201.346677144742</v>
      </c>
      <c r="AL478" s="398">
        <f t="shared" si="1167"/>
        <v>88201.346677144742</v>
      </c>
      <c r="AM478" s="398">
        <f t="shared" si="1166"/>
        <v>92988.160703925329</v>
      </c>
      <c r="AN478" s="398">
        <f t="shared" si="1166"/>
        <v>96572.74104711134</v>
      </c>
    </row>
    <row r="479" spans="1:41">
      <c r="A479" s="130" t="str">
        <f>A$15</f>
        <v>Embassy Suites Hotels (Upper Up)</v>
      </c>
      <c r="B479" s="1033">
        <f t="shared" si="1162"/>
        <v>49088</v>
      </c>
      <c r="C479" s="398">
        <f t="shared" si="1162"/>
        <v>48840</v>
      </c>
      <c r="D479" s="1033">
        <f t="shared" ref="D479:S479" si="1168">D463+D447+D431</f>
        <v>49034</v>
      </c>
      <c r="E479" s="406">
        <f t="shared" si="1168"/>
        <v>48963</v>
      </c>
      <c r="F479" s="406">
        <f t="shared" si="1168"/>
        <v>49283</v>
      </c>
      <c r="G479" s="820">
        <f t="shared" si="1168"/>
        <v>48849</v>
      </c>
      <c r="H479" s="820">
        <f t="shared" si="1168"/>
        <v>48849</v>
      </c>
      <c r="I479" s="1033">
        <f t="shared" si="1168"/>
        <v>48611</v>
      </c>
      <c r="J479" s="406">
        <f t="shared" si="1168"/>
        <v>49254</v>
      </c>
      <c r="K479" s="406">
        <f t="shared" si="1168"/>
        <v>49474</v>
      </c>
      <c r="L479" s="820">
        <f t="shared" si="1164"/>
        <v>49624</v>
      </c>
      <c r="M479" s="820">
        <f t="shared" si="1164"/>
        <v>49624</v>
      </c>
      <c r="N479" s="1033">
        <f t="shared" si="1164"/>
        <v>50043</v>
      </c>
      <c r="O479" s="401">
        <f t="shared" si="1168"/>
        <v>50047</v>
      </c>
      <c r="P479" s="401">
        <f t="shared" si="1168"/>
        <v>50047</v>
      </c>
      <c r="Q479" s="820">
        <f t="shared" si="1168"/>
        <v>50217</v>
      </c>
      <c r="R479" s="398">
        <f t="shared" si="1168"/>
        <v>50217</v>
      </c>
      <c r="S479" s="401">
        <f t="shared" si="1168"/>
        <v>50715</v>
      </c>
      <c r="T479" s="401">
        <f t="shared" si="1165"/>
        <v>50930</v>
      </c>
      <c r="U479" s="401">
        <f t="shared" si="1165"/>
        <v>50960</v>
      </c>
      <c r="V479" s="820">
        <f t="shared" si="1165"/>
        <v>51379</v>
      </c>
      <c r="W479" s="398">
        <f t="shared" si="1165"/>
        <v>51379</v>
      </c>
      <c r="X479" s="401">
        <f t="shared" si="1165"/>
        <v>51942</v>
      </c>
      <c r="Y479" s="401">
        <f t="shared" si="1165"/>
        <v>51717</v>
      </c>
      <c r="Z479" s="401">
        <f t="shared" si="1165"/>
        <v>52625</v>
      </c>
      <c r="AA479" s="401">
        <f t="shared" ref="AA479:AN479" si="1169">AA463+AA447+AA431</f>
        <v>52633</v>
      </c>
      <c r="AB479" s="398">
        <f t="shared" si="1169"/>
        <v>52633</v>
      </c>
      <c r="AC479" s="3666">
        <v>53050</v>
      </c>
      <c r="AD479" s="3666">
        <v>53207</v>
      </c>
      <c r="AE479" s="401">
        <f t="shared" si="1169"/>
        <v>53732</v>
      </c>
      <c r="AF479" s="820">
        <f t="shared" si="1169"/>
        <v>55227</v>
      </c>
      <c r="AG479" s="398">
        <f t="shared" si="1169"/>
        <v>55227</v>
      </c>
      <c r="AH479" s="401">
        <f t="shared" si="1169"/>
        <v>55837.11</v>
      </c>
      <c r="AI479" s="401">
        <f t="shared" si="1169"/>
        <v>56597.955897000007</v>
      </c>
      <c r="AJ479" s="401">
        <f t="shared" ref="AJ479:AL479" si="1170">AJ463+AJ447+AJ431</f>
        <v>57387.389858295006</v>
      </c>
      <c r="AK479" s="820">
        <f t="shared" si="1170"/>
        <v>58188.069975237828</v>
      </c>
      <c r="AL479" s="398">
        <f t="shared" si="1170"/>
        <v>58188.069975237828</v>
      </c>
      <c r="AM479" s="398">
        <f t="shared" si="1169"/>
        <v>61327.681785634981</v>
      </c>
      <c r="AN479" s="398">
        <f t="shared" si="1169"/>
        <v>63653.251776754463</v>
      </c>
    </row>
    <row r="480" spans="1:41">
      <c r="A480" s="130" t="str">
        <f>A$16</f>
        <v>Hilton Garden Inn (Upscale)</v>
      </c>
      <c r="B480" s="1033">
        <f t="shared" si="1162"/>
        <v>64484</v>
      </c>
      <c r="C480" s="398">
        <f t="shared" si="1162"/>
        <v>66834</v>
      </c>
      <c r="D480" s="1033">
        <f t="shared" ref="D480:S480" si="1171">D464+D448+D432</f>
        <v>66869</v>
      </c>
      <c r="E480" s="406">
        <f t="shared" si="1171"/>
        <v>67040</v>
      </c>
      <c r="F480" s="406">
        <f t="shared" si="1171"/>
        <v>67335</v>
      </c>
      <c r="G480" s="820">
        <f t="shared" si="1171"/>
        <v>68591</v>
      </c>
      <c r="H480" s="820">
        <f t="shared" si="1171"/>
        <v>68591</v>
      </c>
      <c r="I480" s="1033">
        <f t="shared" si="1171"/>
        <v>69138</v>
      </c>
      <c r="J480" s="406">
        <f t="shared" si="1171"/>
        <v>69504</v>
      </c>
      <c r="K480" s="406">
        <f t="shared" si="1171"/>
        <v>69923</v>
      </c>
      <c r="L480" s="820">
        <f t="shared" si="1164"/>
        <v>70532</v>
      </c>
      <c r="M480" s="820">
        <f t="shared" si="1164"/>
        <v>70532</v>
      </c>
      <c r="N480" s="1033">
        <f t="shared" si="1164"/>
        <v>71405</v>
      </c>
      <c r="O480" s="401">
        <f t="shared" si="1171"/>
        <v>72576</v>
      </c>
      <c r="P480" s="401">
        <f t="shared" si="1171"/>
        <v>73437</v>
      </c>
      <c r="Q480" s="820">
        <f t="shared" si="1171"/>
        <v>74524</v>
      </c>
      <c r="R480" s="398">
        <f t="shared" si="1171"/>
        <v>74524</v>
      </c>
      <c r="S480" s="401">
        <f t="shared" si="1171"/>
        <v>75413</v>
      </c>
      <c r="T480" s="401">
        <f t="shared" si="1165"/>
        <v>76561</v>
      </c>
      <c r="U480" s="401">
        <f t="shared" si="1165"/>
        <v>77938</v>
      </c>
      <c r="V480" s="820">
        <f t="shared" si="1165"/>
        <v>78607</v>
      </c>
      <c r="W480" s="398">
        <f t="shared" si="1165"/>
        <v>78607</v>
      </c>
      <c r="X480" s="401">
        <f t="shared" si="1165"/>
        <v>79746</v>
      </c>
      <c r="Y480" s="401">
        <f t="shared" si="1165"/>
        <v>81516</v>
      </c>
      <c r="Z480" s="401">
        <f t="shared" si="1165"/>
        <v>82601</v>
      </c>
      <c r="AA480" s="401">
        <f t="shared" ref="AA480:AN480" si="1172">AA464+AA448+AA432</f>
        <v>83217</v>
      </c>
      <c r="AB480" s="398">
        <f t="shared" si="1172"/>
        <v>83217</v>
      </c>
      <c r="AC480" s="3666">
        <v>84165</v>
      </c>
      <c r="AD480" s="3666">
        <v>85253</v>
      </c>
      <c r="AE480" s="401">
        <f t="shared" si="1172"/>
        <v>86407</v>
      </c>
      <c r="AF480" s="820">
        <f t="shared" si="1172"/>
        <v>88169</v>
      </c>
      <c r="AG480" s="398">
        <f t="shared" si="1172"/>
        <v>88169</v>
      </c>
      <c r="AH480" s="401">
        <f t="shared" si="1172"/>
        <v>89230.468000000008</v>
      </c>
      <c r="AI480" s="401">
        <f t="shared" si="1172"/>
        <v>91015.07736000001</v>
      </c>
      <c r="AJ480" s="401">
        <f t="shared" ref="AJ480:AL480" si="1173">AJ464+AJ448+AJ432</f>
        <v>92834.26047720002</v>
      </c>
      <c r="AK480" s="820">
        <f t="shared" si="1173"/>
        <v>95151.702981555005</v>
      </c>
      <c r="AL480" s="398">
        <f t="shared" si="1173"/>
        <v>95151.702981555005</v>
      </c>
      <c r="AM480" s="398">
        <f t="shared" si="1172"/>
        <v>101812.32219026386</v>
      </c>
      <c r="AN480" s="398">
        <f t="shared" si="1172"/>
        <v>107916.10563448358</v>
      </c>
    </row>
    <row r="481" spans="1:40">
      <c r="A481" s="130" t="str">
        <f>A$17</f>
        <v>Hampton Inn (Upper Mid)</v>
      </c>
      <c r="B481" s="1033">
        <f t="shared" si="1162"/>
        <v>170887</v>
      </c>
      <c r="C481" s="398">
        <f t="shared" si="1162"/>
        <v>173520</v>
      </c>
      <c r="D481" s="1033">
        <f t="shared" ref="D481:S481" si="1174">D465+D449+D433</f>
        <v>174195</v>
      </c>
      <c r="E481" s="406">
        <f t="shared" si="1174"/>
        <v>175120</v>
      </c>
      <c r="F481" s="406">
        <f t="shared" si="1174"/>
        <v>175797</v>
      </c>
      <c r="G481" s="820">
        <f t="shared" si="1174"/>
        <v>176732</v>
      </c>
      <c r="H481" s="820">
        <f t="shared" si="1174"/>
        <v>176732</v>
      </c>
      <c r="I481" s="1033">
        <f t="shared" si="1174"/>
        <v>177059</v>
      </c>
      <c r="J481" s="406">
        <f t="shared" si="1174"/>
        <v>178431</v>
      </c>
      <c r="K481" s="406">
        <f t="shared" si="1174"/>
        <v>179393</v>
      </c>
      <c r="L481" s="820">
        <f t="shared" si="1164"/>
        <v>180045</v>
      </c>
      <c r="M481" s="820">
        <f t="shared" si="1164"/>
        <v>180045</v>
      </c>
      <c r="N481" s="1033">
        <f t="shared" si="1164"/>
        <v>180551</v>
      </c>
      <c r="O481" s="401">
        <f t="shared" si="1174"/>
        <v>182179</v>
      </c>
      <c r="P481" s="401">
        <f t="shared" si="1174"/>
        <v>185058</v>
      </c>
      <c r="Q481" s="820">
        <f t="shared" si="1174"/>
        <v>185900</v>
      </c>
      <c r="R481" s="398">
        <f t="shared" si="1174"/>
        <v>185900</v>
      </c>
      <c r="S481" s="401">
        <f t="shared" si="1174"/>
        <v>187281</v>
      </c>
      <c r="T481" s="401">
        <f t="shared" si="1165"/>
        <v>189559</v>
      </c>
      <c r="U481" s="401">
        <f t="shared" si="1165"/>
        <v>191486</v>
      </c>
      <c r="V481" s="820">
        <f t="shared" si="1165"/>
        <v>193251</v>
      </c>
      <c r="W481" s="398">
        <f t="shared" si="1165"/>
        <v>193251</v>
      </c>
      <c r="X481" s="401">
        <f t="shared" si="1165"/>
        <v>194437</v>
      </c>
      <c r="Y481" s="401">
        <f t="shared" si="1165"/>
        <v>196420</v>
      </c>
      <c r="Z481" s="401">
        <f t="shared" si="1165"/>
        <v>198560</v>
      </c>
      <c r="AA481" s="401">
        <f t="shared" ref="AA481:AN481" si="1175">AA465+AA449+AA433</f>
        <v>202701</v>
      </c>
      <c r="AB481" s="398">
        <f t="shared" si="1175"/>
        <v>202701</v>
      </c>
      <c r="AC481" s="3666">
        <v>203863</v>
      </c>
      <c r="AD481" s="3666">
        <v>206956</v>
      </c>
      <c r="AE481" s="401">
        <f t="shared" si="1175"/>
        <v>208641</v>
      </c>
      <c r="AF481" s="820">
        <f t="shared" si="1175"/>
        <v>210742</v>
      </c>
      <c r="AG481" s="398">
        <f t="shared" si="1175"/>
        <v>210742</v>
      </c>
      <c r="AH481" s="401">
        <f t="shared" si="1175"/>
        <v>213317.35199999998</v>
      </c>
      <c r="AI481" s="401">
        <f t="shared" si="1175"/>
        <v>217583.69903999998</v>
      </c>
      <c r="AJ481" s="401">
        <f t="shared" ref="AJ481:AL481" si="1176">AJ465+AJ449+AJ433</f>
        <v>221920.2716148</v>
      </c>
      <c r="AK481" s="820">
        <f t="shared" si="1176"/>
        <v>227422.18136335496</v>
      </c>
      <c r="AL481" s="398">
        <f t="shared" si="1176"/>
        <v>227422.18136335496</v>
      </c>
      <c r="AM481" s="398">
        <f t="shared" si="1175"/>
        <v>243341.73405878982</v>
      </c>
      <c r="AN481" s="398">
        <f t="shared" si="1175"/>
        <v>257875.32209985051</v>
      </c>
    </row>
    <row r="482" spans="1:40">
      <c r="A482" s="130" t="str">
        <f>A$18</f>
        <v>Home2 Suites by Hilton (Upper Mid)</v>
      </c>
      <c r="B482" s="1033">
        <f t="shared" si="1162"/>
        <v>0</v>
      </c>
      <c r="C482" s="398">
        <f t="shared" si="1162"/>
        <v>749</v>
      </c>
      <c r="D482" s="1033">
        <f t="shared" ref="D482:S482" si="1177">D466+D450+D434</f>
        <v>749</v>
      </c>
      <c r="E482" s="406">
        <f t="shared" si="1177"/>
        <v>1073</v>
      </c>
      <c r="F482" s="406">
        <f t="shared" si="1177"/>
        <v>1243</v>
      </c>
      <c r="G482" s="820">
        <f t="shared" si="1177"/>
        <v>1365</v>
      </c>
      <c r="H482" s="820">
        <f t="shared" si="1177"/>
        <v>1365</v>
      </c>
      <c r="I482" s="1033">
        <f t="shared" si="1177"/>
        <v>1754</v>
      </c>
      <c r="J482" s="406">
        <f t="shared" si="1177"/>
        <v>1873</v>
      </c>
      <c r="K482" s="406">
        <f t="shared" si="1177"/>
        <v>2423</v>
      </c>
      <c r="L482" s="820">
        <f t="shared" si="1164"/>
        <v>2831</v>
      </c>
      <c r="M482" s="820">
        <f t="shared" si="1164"/>
        <v>2831</v>
      </c>
      <c r="N482" s="1033">
        <f t="shared" si="1164"/>
        <v>3122</v>
      </c>
      <c r="O482" s="401">
        <f t="shared" si="1177"/>
        <v>3534</v>
      </c>
      <c r="P482" s="401">
        <f t="shared" si="1177"/>
        <v>4132</v>
      </c>
      <c r="Q482" s="820">
        <f t="shared" si="1177"/>
        <v>4502</v>
      </c>
      <c r="R482" s="398">
        <f t="shared" si="1177"/>
        <v>4502</v>
      </c>
      <c r="S482" s="401">
        <f t="shared" si="1177"/>
        <v>4791</v>
      </c>
      <c r="T482" s="401">
        <f t="shared" si="1165"/>
        <v>5759</v>
      </c>
      <c r="U482" s="401">
        <f t="shared" si="1165"/>
        <v>6843</v>
      </c>
      <c r="V482" s="820">
        <f t="shared" si="1165"/>
        <v>7376</v>
      </c>
      <c r="W482" s="398">
        <f t="shared" si="1165"/>
        <v>7376</v>
      </c>
      <c r="X482" s="401">
        <f t="shared" si="1165"/>
        <v>8326</v>
      </c>
      <c r="Y482" s="401">
        <f t="shared" si="1165"/>
        <v>9250</v>
      </c>
      <c r="Z482" s="401">
        <f t="shared" si="1165"/>
        <v>11572</v>
      </c>
      <c r="AA482" s="401">
        <f t="shared" ref="AA482:AN482" si="1178">AA466+AA450+AA434</f>
        <v>13032</v>
      </c>
      <c r="AB482" s="398">
        <f t="shared" si="1178"/>
        <v>13032</v>
      </c>
      <c r="AC482" s="3666">
        <v>14379</v>
      </c>
      <c r="AD482" s="3666">
        <v>16054</v>
      </c>
      <c r="AE482" s="401">
        <f t="shared" si="1178"/>
        <v>18139</v>
      </c>
      <c r="AF482" s="820">
        <f t="shared" si="1178"/>
        <v>20698</v>
      </c>
      <c r="AG482" s="398">
        <f t="shared" si="1178"/>
        <v>20698</v>
      </c>
      <c r="AH482" s="401">
        <f t="shared" si="1178"/>
        <v>20946.376</v>
      </c>
      <c r="AI482" s="401">
        <f t="shared" si="1178"/>
        <v>21365.303520000001</v>
      </c>
      <c r="AJ482" s="401">
        <f t="shared" ref="AJ482:AL482" si="1179">AJ466+AJ450+AJ434</f>
        <v>21792.609590400003</v>
      </c>
      <c r="AK482" s="820">
        <f t="shared" si="1179"/>
        <v>22337.424830160002</v>
      </c>
      <c r="AL482" s="398">
        <f t="shared" si="1179"/>
        <v>22337.424830160002</v>
      </c>
      <c r="AM482" s="398">
        <f t="shared" si="1178"/>
        <v>23901.044568271205</v>
      </c>
      <c r="AN482" s="398">
        <f t="shared" si="1178"/>
        <v>25335.107242367478</v>
      </c>
    </row>
    <row r="483" spans="1:40">
      <c r="A483" s="130" t="str">
        <f>$A$90</f>
        <v>Tru by Hilton</v>
      </c>
      <c r="B483" s="1030"/>
      <c r="C483" s="508"/>
      <c r="D483" s="1030"/>
      <c r="E483" s="912"/>
      <c r="F483" s="912"/>
      <c r="G483" s="1041"/>
      <c r="H483" s="820"/>
      <c r="I483" s="1030"/>
      <c r="J483" s="912"/>
      <c r="K483" s="912"/>
      <c r="L483" s="1041"/>
      <c r="M483" s="820"/>
      <c r="N483" s="1030"/>
      <c r="O483" s="912"/>
      <c r="P483" s="912"/>
      <c r="Q483" s="1041"/>
      <c r="R483" s="820"/>
      <c r="S483" s="1030"/>
      <c r="T483" s="912"/>
      <c r="U483" s="912"/>
      <c r="V483" s="912"/>
      <c r="W483" s="398"/>
      <c r="X483" s="2791"/>
      <c r="Y483" s="2791"/>
      <c r="Z483" s="2791"/>
      <c r="AA483" s="2791"/>
      <c r="AB483" s="398"/>
      <c r="AC483" s="406"/>
      <c r="AD483" s="3665">
        <v>288</v>
      </c>
      <c r="AE483" s="401">
        <f t="shared" ref="AE483:AN483" si="1180">AE467+AE451+AE435</f>
        <v>457</v>
      </c>
      <c r="AF483" s="820">
        <f t="shared" si="1180"/>
        <v>911</v>
      </c>
      <c r="AG483" s="398">
        <f t="shared" si="1180"/>
        <v>911</v>
      </c>
      <c r="AH483" s="401">
        <f t="shared" si="1180"/>
        <v>921.93200000000002</v>
      </c>
      <c r="AI483" s="401">
        <f t="shared" si="1180"/>
        <v>940.37063999999998</v>
      </c>
      <c r="AJ483" s="401">
        <f t="shared" ref="AJ483:AL483" si="1181">AJ467+AJ451+AJ435</f>
        <v>959.17805280000005</v>
      </c>
      <c r="AK483" s="820">
        <f t="shared" si="1181"/>
        <v>983.15750412</v>
      </c>
      <c r="AL483" s="398">
        <f t="shared" si="1181"/>
        <v>983.15750412</v>
      </c>
      <c r="AM483" s="398">
        <f t="shared" si="1180"/>
        <v>1051.9785294084002</v>
      </c>
      <c r="AN483" s="398">
        <f t="shared" si="1180"/>
        <v>1115.0972411729042</v>
      </c>
    </row>
    <row r="484" spans="1:40">
      <c r="A484" s="130" t="str">
        <f>$A$91</f>
        <v>Tapestry Collection by Hilton</v>
      </c>
      <c r="B484" s="1030"/>
      <c r="C484" s="508"/>
      <c r="D484" s="1030"/>
      <c r="E484" s="912"/>
      <c r="F484" s="912"/>
      <c r="G484" s="1041"/>
      <c r="H484" s="820"/>
      <c r="I484" s="1030"/>
      <c r="J484" s="912"/>
      <c r="K484" s="912"/>
      <c r="L484" s="1041"/>
      <c r="M484" s="820"/>
      <c r="N484" s="1030"/>
      <c r="O484" s="912"/>
      <c r="P484" s="912"/>
      <c r="Q484" s="1041"/>
      <c r="R484" s="820"/>
      <c r="S484" s="1030"/>
      <c r="T484" s="912"/>
      <c r="U484" s="912"/>
      <c r="V484" s="912"/>
      <c r="W484" s="398"/>
      <c r="X484" s="2791"/>
      <c r="Y484" s="2791"/>
      <c r="Z484" s="2791"/>
      <c r="AA484" s="2791"/>
      <c r="AB484" s="398"/>
      <c r="AC484" s="406"/>
      <c r="AD484" s="3665">
        <v>58</v>
      </c>
      <c r="AE484" s="401">
        <f t="shared" ref="AE484:AN484" si="1182">AE468+AE452+AE436</f>
        <v>58</v>
      </c>
      <c r="AF484" s="820">
        <f t="shared" si="1182"/>
        <v>467</v>
      </c>
      <c r="AG484" s="398">
        <f t="shared" si="1182"/>
        <v>467</v>
      </c>
      <c r="AH484" s="401">
        <f t="shared" si="1182"/>
        <v>472.60399999999998</v>
      </c>
      <c r="AI484" s="401">
        <f t="shared" si="1182"/>
        <v>482.05608000000001</v>
      </c>
      <c r="AJ484" s="401">
        <f t="shared" ref="AJ484:AL484" si="1183">AJ468+AJ452+AJ436</f>
        <v>491.69720160000003</v>
      </c>
      <c r="AK484" s="820">
        <f t="shared" si="1183"/>
        <v>503.98963163999997</v>
      </c>
      <c r="AL484" s="398">
        <f t="shared" si="1183"/>
        <v>503.98963163999997</v>
      </c>
      <c r="AM484" s="398">
        <f t="shared" si="1182"/>
        <v>539.26890585479998</v>
      </c>
      <c r="AN484" s="398">
        <f t="shared" si="1182"/>
        <v>571.62504020608799</v>
      </c>
    </row>
    <row r="485" spans="1:40" s="5" customFormat="1">
      <c r="A485" s="1828" t="str">
        <f>A$21</f>
        <v>Homewood Suites by Hilton (Upscale)</v>
      </c>
      <c r="B485" s="1033">
        <f t="shared" ref="B485:S485" si="1184">B469+B453+B437</f>
        <v>32396</v>
      </c>
      <c r="C485" s="398">
        <f t="shared" si="1184"/>
        <v>32919</v>
      </c>
      <c r="D485" s="1033">
        <f t="shared" si="1184"/>
        <v>33017</v>
      </c>
      <c r="E485" s="406">
        <f t="shared" si="1184"/>
        <v>33353</v>
      </c>
      <c r="F485" s="406">
        <f t="shared" si="1184"/>
        <v>33545</v>
      </c>
      <c r="G485" s="820">
        <f t="shared" si="1184"/>
        <v>33750</v>
      </c>
      <c r="H485" s="820">
        <f t="shared" si="1184"/>
        <v>33750</v>
      </c>
      <c r="I485" s="1033">
        <f t="shared" si="1184"/>
        <v>34281</v>
      </c>
      <c r="J485" s="406">
        <f t="shared" si="1184"/>
        <v>34674</v>
      </c>
      <c r="K485" s="406">
        <f t="shared" si="1184"/>
        <v>35067</v>
      </c>
      <c r="L485" s="820">
        <f t="shared" ref="L485:N485" si="1185">L469+L453+L437</f>
        <v>35608</v>
      </c>
      <c r="M485" s="820">
        <f t="shared" si="1185"/>
        <v>35608</v>
      </c>
      <c r="N485" s="1033">
        <f t="shared" si="1185"/>
        <v>35908</v>
      </c>
      <c r="O485" s="401">
        <f t="shared" si="1184"/>
        <v>36740</v>
      </c>
      <c r="P485" s="401">
        <f t="shared" si="1184"/>
        <v>37564</v>
      </c>
      <c r="Q485" s="820">
        <f t="shared" si="1184"/>
        <v>38133</v>
      </c>
      <c r="R485" s="398">
        <f t="shared" si="1184"/>
        <v>38133</v>
      </c>
      <c r="S485" s="401">
        <f t="shared" si="1184"/>
        <v>38730</v>
      </c>
      <c r="T485" s="401">
        <f t="shared" ref="T485:Z485" si="1186">T469+T453+T437</f>
        <v>39379</v>
      </c>
      <c r="U485" s="401">
        <f t="shared" si="1186"/>
        <v>40166</v>
      </c>
      <c r="V485" s="820">
        <f t="shared" si="1186"/>
        <v>41478</v>
      </c>
      <c r="W485" s="398">
        <f t="shared" si="1186"/>
        <v>41478</v>
      </c>
      <c r="X485" s="401">
        <f t="shared" si="1186"/>
        <v>42302</v>
      </c>
      <c r="Y485" s="401">
        <f t="shared" si="1186"/>
        <v>42898</v>
      </c>
      <c r="Z485" s="401">
        <f t="shared" si="1186"/>
        <v>44088</v>
      </c>
      <c r="AA485" s="401">
        <f t="shared" ref="AA485:AN485" si="1187">AA469+AA453+AA437</f>
        <v>45064</v>
      </c>
      <c r="AB485" s="398">
        <f t="shared" si="1187"/>
        <v>45064</v>
      </c>
      <c r="AC485" s="3666">
        <v>46037</v>
      </c>
      <c r="AD485" s="3666">
        <v>47213</v>
      </c>
      <c r="AE485" s="401">
        <f t="shared" si="1187"/>
        <v>47840</v>
      </c>
      <c r="AF485" s="820">
        <f t="shared" si="1187"/>
        <v>49027</v>
      </c>
      <c r="AG485" s="398">
        <f t="shared" si="1187"/>
        <v>49027</v>
      </c>
      <c r="AH485" s="401">
        <f t="shared" si="1187"/>
        <v>49633.252</v>
      </c>
      <c r="AI485" s="401">
        <f t="shared" si="1187"/>
        <v>50625.91704</v>
      </c>
      <c r="AJ485" s="401">
        <f t="shared" ref="AJ485:AL485" si="1188">AJ469+AJ453+AJ437</f>
        <v>51632.606539799999</v>
      </c>
      <c r="AK485" s="820">
        <f t="shared" si="1188"/>
        <v>52905.629166142498</v>
      </c>
      <c r="AL485" s="398">
        <f t="shared" si="1188"/>
        <v>52905.629166142498</v>
      </c>
      <c r="AM485" s="398">
        <f t="shared" si="1187"/>
        <v>56609.02320777248</v>
      </c>
      <c r="AN485" s="398">
        <f t="shared" si="1187"/>
        <v>59979.736360223695</v>
      </c>
    </row>
    <row r="486" spans="1:40" s="5" customFormat="1">
      <c r="A486" s="130" t="s">
        <v>1407</v>
      </c>
      <c r="B486" s="1033"/>
      <c r="C486" s="398"/>
      <c r="D486" s="1033"/>
      <c r="E486" s="406"/>
      <c r="F486" s="406"/>
      <c r="G486" s="820"/>
      <c r="H486" s="820"/>
      <c r="I486" s="1033"/>
      <c r="J486" s="406"/>
      <c r="K486" s="406"/>
      <c r="L486" s="820"/>
      <c r="M486" s="820"/>
      <c r="N486" s="1033"/>
      <c r="O486" s="401"/>
      <c r="P486" s="401"/>
      <c r="Q486" s="820"/>
      <c r="R486" s="398"/>
      <c r="S486" s="401"/>
      <c r="T486" s="401"/>
      <c r="U486" s="401"/>
      <c r="V486" s="820"/>
      <c r="W486" s="398"/>
      <c r="X486" s="401"/>
      <c r="Y486" s="401"/>
      <c r="Z486" s="401"/>
      <c r="AA486" s="401"/>
      <c r="AB486" s="398"/>
      <c r="AC486" s="3666">
        <v>905</v>
      </c>
      <c r="AD486" s="3666">
        <v>1155</v>
      </c>
      <c r="AE486" s="3666">
        <f>888+760</f>
        <v>1648</v>
      </c>
      <c r="AF486" s="3666">
        <v>1759</v>
      </c>
      <c r="AG486" s="398">
        <f>AF486</f>
        <v>1759</v>
      </c>
      <c r="AH486" s="401">
        <f t="shared" ref="AH486:AH487" si="1189">AG486</f>
        <v>1759</v>
      </c>
      <c r="AI486" s="401">
        <f t="shared" ref="AI486:AI487" si="1190">AH486</f>
        <v>1759</v>
      </c>
      <c r="AJ486" s="401">
        <f t="shared" ref="AJ486:AJ487" si="1191">AI486</f>
        <v>1759</v>
      </c>
      <c r="AK486" s="401">
        <f t="shared" ref="AK486:AK487" si="1192">AJ486</f>
        <v>1759</v>
      </c>
      <c r="AL486" s="398">
        <f>AK486</f>
        <v>1759</v>
      </c>
      <c r="AM486" s="398">
        <f t="shared" ref="AM486:AN486" si="1193">AL486</f>
        <v>1759</v>
      </c>
      <c r="AN486" s="398">
        <f t="shared" si="1193"/>
        <v>1759</v>
      </c>
    </row>
    <row r="487" spans="1:40" s="5" customFormat="1">
      <c r="A487" s="402" t="s">
        <v>1394</v>
      </c>
      <c r="B487" s="1033"/>
      <c r="C487" s="398"/>
      <c r="D487" s="1033"/>
      <c r="E487" s="406"/>
      <c r="F487" s="406"/>
      <c r="G487" s="820"/>
      <c r="H487" s="820"/>
      <c r="I487" s="1033"/>
      <c r="J487" s="406"/>
      <c r="K487" s="406"/>
      <c r="L487" s="820"/>
      <c r="M487" s="820"/>
      <c r="N487" s="1033"/>
      <c r="O487" s="401"/>
      <c r="P487" s="401"/>
      <c r="Q487" s="820"/>
      <c r="R487" s="398"/>
      <c r="S487" s="401"/>
      <c r="T487" s="401"/>
      <c r="U487" s="401"/>
      <c r="V487" s="820"/>
      <c r="W487" s="398"/>
      <c r="X487" s="401"/>
      <c r="Y487" s="401"/>
      <c r="Z487" s="401"/>
      <c r="AA487" s="401"/>
      <c r="AB487" s="398"/>
      <c r="AC487" s="3666">
        <v>7840</v>
      </c>
      <c r="AD487" s="3666">
        <v>7856</v>
      </c>
      <c r="AE487" s="3666">
        <v>8101</v>
      </c>
      <c r="AF487" s="3666">
        <v>8101</v>
      </c>
      <c r="AG487" s="398">
        <f>AF487</f>
        <v>8101</v>
      </c>
      <c r="AH487" s="401">
        <f t="shared" si="1189"/>
        <v>8101</v>
      </c>
      <c r="AI487" s="401">
        <f t="shared" si="1190"/>
        <v>8101</v>
      </c>
      <c r="AJ487" s="401">
        <f t="shared" si="1191"/>
        <v>8101</v>
      </c>
      <c r="AK487" s="401">
        <f t="shared" si="1192"/>
        <v>8101</v>
      </c>
      <c r="AL487" s="398">
        <f>AK487</f>
        <v>8101</v>
      </c>
      <c r="AM487" s="398">
        <f t="shared" ref="AM487:AN487" si="1194">AL487</f>
        <v>8101</v>
      </c>
      <c r="AN487" s="398">
        <f t="shared" si="1194"/>
        <v>8101</v>
      </c>
    </row>
    <row r="488" spans="1:40">
      <c r="A488" s="202" t="s">
        <v>1410</v>
      </c>
      <c r="B488" s="1034">
        <f t="shared" ref="B488:R488" si="1195">SUM(B473:B485)</f>
        <v>483904</v>
      </c>
      <c r="C488" s="476">
        <f t="shared" si="1195"/>
        <v>492891</v>
      </c>
      <c r="D488" s="1034">
        <f t="shared" si="1195"/>
        <v>494285</v>
      </c>
      <c r="E488" s="475">
        <f t="shared" si="1195"/>
        <v>496700</v>
      </c>
      <c r="F488" s="475">
        <f t="shared" si="1195"/>
        <v>499161</v>
      </c>
      <c r="G488" s="822">
        <f t="shared" si="1195"/>
        <v>502678</v>
      </c>
      <c r="H488" s="822">
        <f t="shared" si="1195"/>
        <v>502678</v>
      </c>
      <c r="I488" s="1034">
        <f t="shared" si="1195"/>
        <v>507391</v>
      </c>
      <c r="J488" s="475">
        <f t="shared" si="1195"/>
        <v>512452</v>
      </c>
      <c r="K488" s="475">
        <f t="shared" si="1195"/>
        <v>516154</v>
      </c>
      <c r="L488" s="822">
        <f>SUM(L473:L485)</f>
        <v>518374</v>
      </c>
      <c r="M488" s="822">
        <f>SUM(M473:M485)</f>
        <v>518374</v>
      </c>
      <c r="N488" s="1034">
        <f t="shared" si="1195"/>
        <v>521254</v>
      </c>
      <c r="O488" s="475">
        <f t="shared" si="1195"/>
        <v>524775</v>
      </c>
      <c r="P488" s="475">
        <f t="shared" si="1195"/>
        <v>532225</v>
      </c>
      <c r="Q488" s="822">
        <f t="shared" si="1195"/>
        <v>537172</v>
      </c>
      <c r="R488" s="476">
        <f t="shared" si="1195"/>
        <v>537172</v>
      </c>
      <c r="S488" s="475">
        <f t="shared" ref="S488:AB488" si="1196">SUM(S473:S485)</f>
        <v>542649</v>
      </c>
      <c r="T488" s="475">
        <f t="shared" si="1196"/>
        <v>549595</v>
      </c>
      <c r="U488" s="475">
        <f t="shared" si="1196"/>
        <v>555794</v>
      </c>
      <c r="V488" s="822">
        <f t="shared" si="1196"/>
        <v>561887</v>
      </c>
      <c r="W488" s="476">
        <f t="shared" si="1196"/>
        <v>561887</v>
      </c>
      <c r="X488" s="475">
        <f t="shared" si="1196"/>
        <v>567648</v>
      </c>
      <c r="Y488" s="475">
        <f t="shared" si="1196"/>
        <v>574224</v>
      </c>
      <c r="Z488" s="475">
        <f t="shared" si="1196"/>
        <v>583381</v>
      </c>
      <c r="AA488" s="475">
        <f t="shared" si="1196"/>
        <v>592774</v>
      </c>
      <c r="AB488" s="476">
        <f t="shared" si="1196"/>
        <v>592774</v>
      </c>
      <c r="AC488" s="475">
        <f t="shared" ref="AC488:AN488" si="1197">SUM(AC473:AC487)</f>
        <v>608114</v>
      </c>
      <c r="AD488" s="475">
        <f t="shared" si="1197"/>
        <v>615663</v>
      </c>
      <c r="AE488" s="475">
        <f t="shared" si="1197"/>
        <v>625301</v>
      </c>
      <c r="AF488" s="475">
        <f t="shared" si="1197"/>
        <v>636105</v>
      </c>
      <c r="AG488" s="476">
        <f t="shared" si="1197"/>
        <v>636105</v>
      </c>
      <c r="AH488" s="475">
        <f t="shared" si="1197"/>
        <v>643509.42400000012</v>
      </c>
      <c r="AI488" s="475">
        <f t="shared" si="1197"/>
        <v>654484.07309399988</v>
      </c>
      <c r="AJ488" s="475">
        <f t="shared" ref="AJ488:AL488" si="1198">SUM(AJ473:AJ487)</f>
        <v>665596.10771018988</v>
      </c>
      <c r="AK488" s="475">
        <f t="shared" si="1198"/>
        <v>678815.22417088365</v>
      </c>
      <c r="AL488" s="476">
        <f t="shared" si="1198"/>
        <v>678815.22417088365</v>
      </c>
      <c r="AM488" s="476">
        <f t="shared" si="1197"/>
        <v>720976.63176386931</v>
      </c>
      <c r="AN488" s="476">
        <f t="shared" si="1197"/>
        <v>756830.12256542908</v>
      </c>
    </row>
    <row r="489" spans="1:40">
      <c r="A489" s="478" t="s">
        <v>598</v>
      </c>
      <c r="B489" s="1035"/>
      <c r="C489" s="480">
        <f>C488-B488</f>
        <v>8987</v>
      </c>
      <c r="D489" s="1035"/>
      <c r="E489" s="479"/>
      <c r="F489" s="479"/>
      <c r="G489" s="1040"/>
      <c r="H489" s="1040">
        <f t="shared" ref="H489:R489" si="1199">H488-C488</f>
        <v>9787</v>
      </c>
      <c r="I489" s="1035">
        <f t="shared" si="1199"/>
        <v>13106</v>
      </c>
      <c r="J489" s="479">
        <f t="shared" si="1199"/>
        <v>15752</v>
      </c>
      <c r="K489" s="479">
        <f t="shared" si="1199"/>
        <v>16993</v>
      </c>
      <c r="L489" s="1040">
        <f t="shared" si="1199"/>
        <v>15696</v>
      </c>
      <c r="M489" s="1040">
        <f>M488-H488</f>
        <v>15696</v>
      </c>
      <c r="N489" s="1035">
        <f t="shared" si="1199"/>
        <v>13863</v>
      </c>
      <c r="O489" s="479">
        <f t="shared" si="1199"/>
        <v>12323</v>
      </c>
      <c r="P489" s="479">
        <f t="shared" si="1199"/>
        <v>16071</v>
      </c>
      <c r="Q489" s="479">
        <f t="shared" si="1199"/>
        <v>18798</v>
      </c>
      <c r="R489" s="480">
        <f t="shared" si="1199"/>
        <v>18798</v>
      </c>
      <c r="S489" s="479">
        <f t="shared" ref="S489:AB489" si="1200">S488-N488</f>
        <v>21395</v>
      </c>
      <c r="T489" s="479">
        <f t="shared" si="1200"/>
        <v>24820</v>
      </c>
      <c r="U489" s="479">
        <f t="shared" si="1200"/>
        <v>23569</v>
      </c>
      <c r="V489" s="479">
        <f t="shared" si="1200"/>
        <v>24715</v>
      </c>
      <c r="W489" s="480">
        <f t="shared" si="1200"/>
        <v>24715</v>
      </c>
      <c r="X489" s="479">
        <f t="shared" si="1200"/>
        <v>24999</v>
      </c>
      <c r="Y489" s="479">
        <f t="shared" si="1200"/>
        <v>24629</v>
      </c>
      <c r="Z489" s="479">
        <f t="shared" si="1200"/>
        <v>27587</v>
      </c>
      <c r="AA489" s="479">
        <f t="shared" si="1200"/>
        <v>30887</v>
      </c>
      <c r="AB489" s="480">
        <f t="shared" si="1200"/>
        <v>30887</v>
      </c>
      <c r="AC489" s="479">
        <f>AC488-X488</f>
        <v>40466</v>
      </c>
      <c r="AD489" s="479">
        <f>AD488-Y488</f>
        <v>41439</v>
      </c>
      <c r="AE489" s="479">
        <f>AE488-Z488</f>
        <v>41920</v>
      </c>
      <c r="AF489" s="479">
        <f>AF488-AA488</f>
        <v>43331</v>
      </c>
      <c r="AG489" s="480">
        <f>AG488-AB488</f>
        <v>43331</v>
      </c>
      <c r="AH489" s="479">
        <f t="shared" ref="AH489:AI489" si="1201">AH488-AC488</f>
        <v>35395.424000000115</v>
      </c>
      <c r="AI489" s="479">
        <f t="shared" si="1201"/>
        <v>38821.073093999876</v>
      </c>
      <c r="AJ489" s="479">
        <f>AJ488-AE488</f>
        <v>40295.107710189885</v>
      </c>
      <c r="AK489" s="479">
        <f>AK488-AF488</f>
        <v>42710.224170883652</v>
      </c>
      <c r="AL489" s="480">
        <f>AL488-AG488</f>
        <v>42710.224170883652</v>
      </c>
      <c r="AM489" s="480">
        <f>AM488-AL488</f>
        <v>42161.407592985663</v>
      </c>
      <c r="AN489" s="480">
        <f>AN488-AM488</f>
        <v>35853.490801559761</v>
      </c>
    </row>
    <row r="490" spans="1:40">
      <c r="A490" s="477" t="s">
        <v>1423</v>
      </c>
      <c r="B490" s="1036"/>
      <c r="C490" s="445">
        <f>C489/B488</f>
        <v>1.8571865493982279E-2</v>
      </c>
      <c r="D490" s="1036"/>
      <c r="E490" s="437"/>
      <c r="F490" s="437"/>
      <c r="G490" s="589"/>
      <c r="H490" s="589">
        <f t="shared" ref="H490:R490" si="1202">H489/C488</f>
        <v>1.9856317116766182E-2</v>
      </c>
      <c r="I490" s="1036">
        <f t="shared" si="1202"/>
        <v>2.6515067218305228E-2</v>
      </c>
      <c r="J490" s="437">
        <f t="shared" si="1202"/>
        <v>3.1713307831689151E-2</v>
      </c>
      <c r="K490" s="437">
        <f t="shared" si="1202"/>
        <v>3.4043124362680581E-2</v>
      </c>
      <c r="L490" s="589">
        <f t="shared" si="1202"/>
        <v>3.1224760184452076E-2</v>
      </c>
      <c r="M490" s="589">
        <f>M489/H488</f>
        <v>3.1224760184452076E-2</v>
      </c>
      <c r="N490" s="1036">
        <f t="shared" si="1202"/>
        <v>2.7322124357743831E-2</v>
      </c>
      <c r="O490" s="481">
        <f t="shared" si="1202"/>
        <v>2.4047130267810447E-2</v>
      </c>
      <c r="P490" s="481">
        <f t="shared" si="1202"/>
        <v>3.1136056293276811E-2</v>
      </c>
      <c r="Q490" s="481">
        <f t="shared" si="1202"/>
        <v>3.6263392839918668E-2</v>
      </c>
      <c r="R490" s="445">
        <f t="shared" si="1202"/>
        <v>3.6263392839918668E-2</v>
      </c>
      <c r="S490" s="481">
        <f t="shared" ref="S490:AB490" si="1203">S489/N488</f>
        <v>4.1045248573632051E-2</v>
      </c>
      <c r="T490" s="481">
        <f t="shared" si="1203"/>
        <v>4.729646038778524E-2</v>
      </c>
      <c r="U490" s="481">
        <f t="shared" si="1203"/>
        <v>4.4283902484851333E-2</v>
      </c>
      <c r="V490" s="481">
        <f t="shared" si="1203"/>
        <v>4.6009471826528564E-2</v>
      </c>
      <c r="W490" s="445">
        <f t="shared" si="1203"/>
        <v>4.6009471826528564E-2</v>
      </c>
      <c r="X490" s="481">
        <f t="shared" si="1203"/>
        <v>4.6068453088460498E-2</v>
      </c>
      <c r="Y490" s="481">
        <f t="shared" si="1203"/>
        <v>4.4812998662651586E-2</v>
      </c>
      <c r="Z490" s="481">
        <f t="shared" si="1203"/>
        <v>4.9635296530729012E-2</v>
      </c>
      <c r="AA490" s="481">
        <f t="shared" si="1203"/>
        <v>5.4970127445553997E-2</v>
      </c>
      <c r="AB490" s="445">
        <f t="shared" si="1203"/>
        <v>5.4970127445553997E-2</v>
      </c>
      <c r="AC490" s="481">
        <f>AC489/X488</f>
        <v>7.1287135689723211E-2</v>
      </c>
      <c r="AD490" s="481">
        <f>AD489/Y488</f>
        <v>7.2165217754743799E-2</v>
      </c>
      <c r="AE490" s="481">
        <f>AE489/Z488</f>
        <v>7.1856985400621548E-2</v>
      </c>
      <c r="AF490" s="481">
        <f>AF489/AA488</f>
        <v>7.3098685165003868E-2</v>
      </c>
      <c r="AG490" s="445">
        <f>AG489/AB488</f>
        <v>7.3098685165003868E-2</v>
      </c>
      <c r="AH490" s="481">
        <f t="shared" ref="AH490:AI490" si="1204">AH489/AC488</f>
        <v>5.8205244411409895E-2</v>
      </c>
      <c r="AI490" s="481">
        <f t="shared" si="1204"/>
        <v>6.3055718946891201E-2</v>
      </c>
      <c r="AJ490" s="481">
        <f>AJ489/AE488</f>
        <v>6.444113748449129E-2</v>
      </c>
      <c r="AK490" s="481">
        <f>AK489/AF488</f>
        <v>6.7143355532315652E-2</v>
      </c>
      <c r="AL490" s="445">
        <f>AL489/AG488</f>
        <v>6.7143355532315652E-2</v>
      </c>
      <c r="AM490" s="445">
        <f>AM489/AL488</f>
        <v>6.2110285821126529E-2</v>
      </c>
      <c r="AN490" s="445">
        <f>AN489/AM488</f>
        <v>4.9729060862685935E-2</v>
      </c>
    </row>
    <row r="491" spans="1:40">
      <c r="A491" s="3773"/>
      <c r="B491" s="405"/>
      <c r="C491" s="405"/>
      <c r="D491" s="405"/>
      <c r="E491" s="405"/>
      <c r="F491" s="405"/>
      <c r="G491" s="405"/>
      <c r="H491" s="405"/>
      <c r="I491" s="405"/>
      <c r="J491" s="405"/>
      <c r="K491" s="405"/>
      <c r="L491" s="405"/>
      <c r="M491" s="405"/>
      <c r="N491" s="405"/>
      <c r="O491" s="405"/>
      <c r="P491" s="405"/>
      <c r="Q491" s="405"/>
      <c r="R491" s="405"/>
      <c r="S491" s="405"/>
      <c r="T491" s="405"/>
      <c r="U491" s="405"/>
      <c r="V491" s="405"/>
      <c r="W491" s="405"/>
      <c r="X491" s="405"/>
      <c r="Y491" s="405"/>
      <c r="Z491" s="405"/>
      <c r="AA491" s="405"/>
      <c r="AB491" s="405"/>
      <c r="AC491" s="3774"/>
      <c r="AD491" s="3774"/>
      <c r="AE491" s="3774"/>
      <c r="AF491" s="3774"/>
      <c r="AG491" s="3774"/>
      <c r="AH491" s="3774"/>
      <c r="AI491" s="3774"/>
      <c r="AJ491" s="3774"/>
      <c r="AK491" s="3774"/>
      <c r="AL491" s="3774"/>
      <c r="AM491" s="3774"/>
      <c r="AN491" s="3774"/>
    </row>
    <row r="492" spans="1:40">
      <c r="A492" s="130"/>
      <c r="B492" s="406"/>
      <c r="C492" s="398"/>
      <c r="D492" s="1033"/>
      <c r="E492" s="406"/>
      <c r="F492" s="406"/>
      <c r="G492" s="820"/>
      <c r="H492" s="406"/>
      <c r="I492" s="1033"/>
      <c r="J492" s="406"/>
      <c r="K492" s="406"/>
      <c r="L492" s="820"/>
      <c r="M492" s="406"/>
      <c r="N492" s="401"/>
      <c r="O492" s="401"/>
      <c r="P492" s="401"/>
      <c r="Q492" s="820"/>
      <c r="R492" s="406"/>
      <c r="S492" s="406"/>
      <c r="T492" s="406"/>
      <c r="U492" s="406"/>
      <c r="V492" s="406"/>
      <c r="W492" s="406"/>
      <c r="X492" s="406"/>
      <c r="Y492" s="406"/>
      <c r="Z492" s="406"/>
      <c r="AA492" s="406"/>
      <c r="AB492" s="406"/>
      <c r="AC492" s="406"/>
      <c r="AD492" s="406"/>
      <c r="AE492" s="406"/>
      <c r="AF492" s="406"/>
      <c r="AG492" s="406"/>
      <c r="AH492" s="406"/>
      <c r="AI492" s="406"/>
      <c r="AJ492" s="406"/>
      <c r="AK492" s="406"/>
      <c r="AL492" s="406"/>
      <c r="AM492" s="406"/>
      <c r="AN492" s="406"/>
    </row>
    <row r="493" spans="1:40" s="775" customFormat="1">
      <c r="A493" s="461" t="s">
        <v>1411</v>
      </c>
      <c r="B493" s="1037" t="str">
        <f>+Hilton!E$5</f>
        <v>2010</v>
      </c>
      <c r="C493" s="774" t="str">
        <f>+Hilton!F$5</f>
        <v>2011</v>
      </c>
      <c r="D493" s="1037" t="str">
        <f>+Hilton!G$5</f>
        <v>1Q12</v>
      </c>
      <c r="E493" s="773" t="str">
        <f>+Hilton!H$5</f>
        <v>2Q12</v>
      </c>
      <c r="F493" s="773" t="str">
        <f>+Hilton!I$5</f>
        <v>3Q12</v>
      </c>
      <c r="G493" s="776" t="str">
        <f>+Hilton!J$5</f>
        <v>4Q12</v>
      </c>
      <c r="H493" s="776">
        <f>+Hilton!K$5</f>
        <v>2012</v>
      </c>
      <c r="I493" s="1037" t="str">
        <f>+Hilton!L$5</f>
        <v>1Q13</v>
      </c>
      <c r="J493" s="773" t="str">
        <f>+Hilton!M$5</f>
        <v>2Q13</v>
      </c>
      <c r="K493" s="773" t="str">
        <f>+Hilton!N$5</f>
        <v>3Q13</v>
      </c>
      <c r="L493" s="776" t="str">
        <f>+Hilton!O$5</f>
        <v>4Q13</v>
      </c>
      <c r="M493" s="776">
        <f>+Hilton!P$5</f>
        <v>2013</v>
      </c>
      <c r="N493" s="773" t="str">
        <f>+Hilton!Q$5</f>
        <v>1Q14</v>
      </c>
      <c r="O493" s="773" t="str">
        <f>+Hilton!R$5</f>
        <v>2Q14</v>
      </c>
      <c r="P493" s="773" t="str">
        <f>+Hilton!S$5</f>
        <v>3Q14</v>
      </c>
      <c r="Q493" s="776" t="str">
        <f>+Hilton!T$5</f>
        <v>4Q14</v>
      </c>
      <c r="R493" s="774">
        <f>+Hilton!U$5</f>
        <v>2014</v>
      </c>
      <c r="S493" s="773" t="str">
        <f>+Hilton!V$5</f>
        <v>1Q15</v>
      </c>
      <c r="T493" s="773" t="str">
        <f>+Hilton!W$5</f>
        <v>2Q15</v>
      </c>
      <c r="U493" s="773" t="str">
        <f>+Hilton!X$5</f>
        <v>3Q15</v>
      </c>
      <c r="V493" s="776" t="str">
        <f>+Hilton!Y$5</f>
        <v>4Q15</v>
      </c>
      <c r="W493" s="774">
        <f>+Hilton!Z$5</f>
        <v>2015</v>
      </c>
      <c r="X493" s="773" t="str">
        <f>+Hilton!AA$5</f>
        <v>1Q16</v>
      </c>
      <c r="Y493" s="773" t="str">
        <f>+Hilton!AB$5</f>
        <v>2Q16</v>
      </c>
      <c r="Z493" s="773" t="str">
        <f>+Hilton!AC$5</f>
        <v>3Q16</v>
      </c>
      <c r="AA493" s="773" t="str">
        <f>+Hilton!AD$5</f>
        <v>4Q16</v>
      </c>
      <c r="AB493" s="774">
        <f>+Hilton!AE$5</f>
        <v>2016</v>
      </c>
      <c r="AC493" s="773" t="str">
        <f>+Hilton!AF$5</f>
        <v>1Q17</v>
      </c>
      <c r="AD493" s="773" t="str">
        <f>+Hilton!AG$5</f>
        <v>2Q17</v>
      </c>
      <c r="AE493" s="773" t="str">
        <f>+Hilton!AH$5</f>
        <v>3Q17</v>
      </c>
      <c r="AF493" s="776" t="str">
        <f>+Hilton!AI$5</f>
        <v>4Q17A</v>
      </c>
      <c r="AG493" s="774" t="str">
        <f>+Hilton!AJ$5</f>
        <v>2017A</v>
      </c>
      <c r="AH493" s="773" t="str">
        <f>+Hilton!AK$5</f>
        <v>1Q18E</v>
      </c>
      <c r="AI493" s="773" t="str">
        <f>+Hilton!AL$5</f>
        <v>2Q18E</v>
      </c>
      <c r="AJ493" s="773" t="str">
        <f>+Hilton!AM$5</f>
        <v>3Q18E</v>
      </c>
      <c r="AK493" s="776" t="str">
        <f>+Hilton!AN$5</f>
        <v>4Q18E</v>
      </c>
      <c r="AL493" s="774" t="str">
        <f>+Hilton!AO$5</f>
        <v>2018E</v>
      </c>
      <c r="AM493" s="774" t="str">
        <f>+Hilton!AP$5</f>
        <v>2019E</v>
      </c>
      <c r="AN493" s="774" t="str">
        <f>+Hilton!AQ$5</f>
        <v>2020E</v>
      </c>
    </row>
    <row r="494" spans="1:40" s="130" customFormat="1">
      <c r="A494" s="140"/>
      <c r="B494" s="1038"/>
      <c r="C494" s="397"/>
      <c r="D494" s="1038"/>
      <c r="E494" s="203"/>
      <c r="F494" s="203"/>
      <c r="G494" s="572"/>
      <c r="H494" s="572"/>
      <c r="I494" s="1038"/>
      <c r="J494" s="203"/>
      <c r="K494" s="203"/>
      <c r="L494" s="572"/>
      <c r="M494" s="572"/>
      <c r="N494" s="203"/>
      <c r="O494" s="203"/>
      <c r="P494" s="203"/>
      <c r="Q494" s="572"/>
      <c r="R494" s="397"/>
      <c r="S494" s="1038"/>
      <c r="T494" s="203"/>
      <c r="U494" s="203"/>
      <c r="V494" s="572"/>
      <c r="W494" s="397"/>
      <c r="X494" s="1038"/>
      <c r="Y494" s="203"/>
      <c r="Z494" s="203"/>
      <c r="AA494" s="203"/>
      <c r="AB494" s="397"/>
      <c r="AC494" s="203"/>
      <c r="AD494" s="203"/>
      <c r="AE494" s="203"/>
      <c r="AF494" s="572"/>
      <c r="AG494" s="397"/>
      <c r="AH494" s="203"/>
      <c r="AI494" s="203"/>
      <c r="AJ494" s="203"/>
      <c r="AK494" s="572"/>
      <c r="AL494" s="397"/>
      <c r="AM494" s="397"/>
      <c r="AN494" s="397"/>
    </row>
    <row r="495" spans="1:40">
      <c r="A495" s="141" t="s">
        <v>1589</v>
      </c>
      <c r="B495" s="394"/>
      <c r="C495" s="138"/>
      <c r="D495" s="394"/>
      <c r="E495" s="135"/>
      <c r="F495" s="135"/>
      <c r="G495" s="452"/>
      <c r="H495" s="452"/>
      <c r="I495" s="394"/>
      <c r="J495" s="135"/>
      <c r="K495" s="135"/>
      <c r="L495" s="452"/>
      <c r="M495" s="452"/>
      <c r="N495" s="130"/>
      <c r="O495" s="130"/>
      <c r="P495" s="130"/>
      <c r="Q495" s="452"/>
      <c r="R495" s="138"/>
      <c r="S495" s="394"/>
      <c r="T495" s="135"/>
      <c r="U495" s="135"/>
      <c r="V495" s="452"/>
      <c r="W495" s="138"/>
      <c r="X495" s="394"/>
      <c r="Y495" s="135"/>
      <c r="Z495" s="135"/>
      <c r="AA495" s="135"/>
      <c r="AB495" s="138"/>
      <c r="AC495" s="135"/>
      <c r="AD495" s="135"/>
      <c r="AE495" s="135"/>
      <c r="AF495" s="452"/>
      <c r="AG495" s="138"/>
      <c r="AH495" s="135"/>
      <c r="AI495" s="135"/>
      <c r="AJ495" s="135"/>
      <c r="AK495" s="452"/>
      <c r="AL495" s="138"/>
      <c r="AM495" s="138"/>
      <c r="AN495" s="138"/>
    </row>
    <row r="496" spans="1:40">
      <c r="A496" s="130" t="s">
        <v>2272</v>
      </c>
      <c r="B496" s="1030">
        <v>0</v>
      </c>
      <c r="C496" s="508">
        <v>0</v>
      </c>
      <c r="D496" s="1030">
        <v>0</v>
      </c>
      <c r="E496" s="912">
        <v>0</v>
      </c>
      <c r="F496" s="912">
        <v>0</v>
      </c>
      <c r="G496" s="1041">
        <v>0</v>
      </c>
      <c r="H496" s="820">
        <f t="shared" ref="H496:H508" si="1205">G496</f>
        <v>0</v>
      </c>
      <c r="I496" s="1030">
        <v>0</v>
      </c>
      <c r="J496" s="912">
        <v>0</v>
      </c>
      <c r="K496" s="912">
        <v>0</v>
      </c>
      <c r="L496" s="1041">
        <v>0</v>
      </c>
      <c r="M496" s="820">
        <f t="shared" ref="M496:M508" si="1206">L496</f>
        <v>0</v>
      </c>
      <c r="N496" s="1030">
        <v>0</v>
      </c>
      <c r="O496" s="912">
        <v>0</v>
      </c>
      <c r="P496" s="912">
        <v>0</v>
      </c>
      <c r="Q496" s="1041">
        <v>0</v>
      </c>
      <c r="R496" s="820">
        <f t="shared" ref="R496:R508" si="1207">Q496</f>
        <v>0</v>
      </c>
      <c r="S496" s="1030">
        <v>0</v>
      </c>
      <c r="T496" s="912">
        <v>0</v>
      </c>
      <c r="U496" s="912">
        <v>0</v>
      </c>
      <c r="V496" s="912">
        <v>0</v>
      </c>
      <c r="W496" s="398">
        <f>V496</f>
        <v>0</v>
      </c>
      <c r="X496" s="2792">
        <v>0</v>
      </c>
      <c r="Y496" s="2792">
        <v>0</v>
      </c>
      <c r="Z496" s="2792">
        <v>0</v>
      </c>
      <c r="AA496" s="2792">
        <v>0</v>
      </c>
      <c r="AB496" s="398">
        <f>AA496</f>
        <v>0</v>
      </c>
      <c r="AC496" s="401">
        <f t="shared" ref="AC496:AC508" si="1208">AA496</f>
        <v>0</v>
      </c>
      <c r="AD496" s="401">
        <f t="shared" ref="AD496:AD508" si="1209">AC496</f>
        <v>0</v>
      </c>
      <c r="AE496" s="3666">
        <v>0</v>
      </c>
      <c r="AF496" s="820">
        <f t="shared" ref="AF496:AG508" si="1210">AE496</f>
        <v>0</v>
      </c>
      <c r="AG496" s="820">
        <f t="shared" si="1210"/>
        <v>0</v>
      </c>
      <c r="AH496" s="401">
        <f t="shared" ref="AH496:AH497" si="1211">AG496</f>
        <v>0</v>
      </c>
      <c r="AI496" s="401">
        <f t="shared" ref="AI496:AI497" si="1212">AH496</f>
        <v>0</v>
      </c>
      <c r="AJ496" s="401">
        <f t="shared" ref="AJ496:AJ497" si="1213">AI496</f>
        <v>0</v>
      </c>
      <c r="AK496" s="820">
        <f t="shared" ref="AK496:AK497" si="1214">AJ496</f>
        <v>0</v>
      </c>
      <c r="AL496" s="820">
        <f t="shared" ref="AL496:AL497" si="1215">AK496</f>
        <v>0</v>
      </c>
      <c r="AM496" s="398">
        <f t="shared" ref="AM496:AN508" si="1216">AL496</f>
        <v>0</v>
      </c>
      <c r="AN496" s="398">
        <f t="shared" si="1216"/>
        <v>0</v>
      </c>
    </row>
    <row r="497" spans="1:40">
      <c r="A497" s="130" t="s">
        <v>2273</v>
      </c>
      <c r="B497" s="1030">
        <v>0</v>
      </c>
      <c r="C497" s="508">
        <v>0</v>
      </c>
      <c r="D497" s="1030">
        <v>0</v>
      </c>
      <c r="E497" s="912">
        <v>0</v>
      </c>
      <c r="F497" s="912">
        <v>0</v>
      </c>
      <c r="G497" s="1041">
        <v>0</v>
      </c>
      <c r="H497" s="820">
        <f t="shared" si="1205"/>
        <v>0</v>
      </c>
      <c r="I497" s="1030">
        <v>0</v>
      </c>
      <c r="J497" s="912">
        <v>0</v>
      </c>
      <c r="K497" s="912">
        <v>0</v>
      </c>
      <c r="L497" s="1041">
        <v>0</v>
      </c>
      <c r="M497" s="820">
        <f t="shared" si="1206"/>
        <v>0</v>
      </c>
      <c r="N497" s="1030">
        <v>0</v>
      </c>
      <c r="O497" s="912">
        <v>0</v>
      </c>
      <c r="P497" s="912">
        <v>0</v>
      </c>
      <c r="Q497" s="1041">
        <v>0</v>
      </c>
      <c r="R497" s="820">
        <f t="shared" si="1207"/>
        <v>0</v>
      </c>
      <c r="S497" s="1030">
        <v>0</v>
      </c>
      <c r="T497" s="912">
        <v>0</v>
      </c>
      <c r="U497" s="912">
        <v>0</v>
      </c>
      <c r="V497" s="912">
        <v>0</v>
      </c>
      <c r="W497" s="398">
        <f>V497</f>
        <v>0</v>
      </c>
      <c r="X497" s="2792">
        <v>0</v>
      </c>
      <c r="Y497" s="2792">
        <v>0</v>
      </c>
      <c r="Z497" s="2792">
        <v>0</v>
      </c>
      <c r="AA497" s="2792">
        <v>0</v>
      </c>
      <c r="AB497" s="398">
        <f>AA497</f>
        <v>0</v>
      </c>
      <c r="AC497" s="401">
        <f t="shared" si="1208"/>
        <v>0</v>
      </c>
      <c r="AD497" s="401">
        <f t="shared" si="1209"/>
        <v>0</v>
      </c>
      <c r="AE497" s="3666">
        <v>0</v>
      </c>
      <c r="AF497" s="820">
        <f t="shared" si="1210"/>
        <v>0</v>
      </c>
      <c r="AG497" s="820">
        <f t="shared" si="1210"/>
        <v>0</v>
      </c>
      <c r="AH497" s="401">
        <f t="shared" si="1211"/>
        <v>0</v>
      </c>
      <c r="AI497" s="401">
        <f t="shared" si="1212"/>
        <v>0</v>
      </c>
      <c r="AJ497" s="401">
        <f t="shared" si="1213"/>
        <v>0</v>
      </c>
      <c r="AK497" s="820">
        <f t="shared" si="1214"/>
        <v>0</v>
      </c>
      <c r="AL497" s="820">
        <f t="shared" si="1215"/>
        <v>0</v>
      </c>
      <c r="AM497" s="398">
        <f t="shared" si="1216"/>
        <v>0</v>
      </c>
      <c r="AN497" s="398">
        <f t="shared" si="1216"/>
        <v>0</v>
      </c>
    </row>
    <row r="498" spans="1:40">
      <c r="A498" s="1828" t="s">
        <v>3022</v>
      </c>
      <c r="B498" s="1030"/>
      <c r="C498" s="508"/>
      <c r="D498" s="1030"/>
      <c r="E498" s="912"/>
      <c r="F498" s="912"/>
      <c r="G498" s="1041"/>
      <c r="H498" s="820"/>
      <c r="I498" s="1030"/>
      <c r="J498" s="912"/>
      <c r="K498" s="912"/>
      <c r="L498" s="1041"/>
      <c r="M498" s="820"/>
      <c r="N498" s="1030"/>
      <c r="O498" s="912"/>
      <c r="P498" s="912"/>
      <c r="Q498" s="1041"/>
      <c r="R498" s="820"/>
      <c r="S498" s="1030"/>
      <c r="T498" s="912"/>
      <c r="U498" s="912"/>
      <c r="V498" s="912"/>
      <c r="W498" s="398"/>
      <c r="X498" s="2791"/>
      <c r="Y498" s="2791"/>
      <c r="Z498" s="2791"/>
      <c r="AA498" s="2791">
        <v>0</v>
      </c>
      <c r="AB498" s="398">
        <f t="shared" ref="AB498:AG498" si="1217">+AA498</f>
        <v>0</v>
      </c>
      <c r="AC498" s="2944">
        <f t="shared" si="1217"/>
        <v>0</v>
      </c>
      <c r="AD498" s="406">
        <f t="shared" si="1217"/>
        <v>0</v>
      </c>
      <c r="AE498" s="3665">
        <v>0</v>
      </c>
      <c r="AF498" s="820">
        <f t="shared" si="1217"/>
        <v>0</v>
      </c>
      <c r="AG498" s="398">
        <f t="shared" si="1217"/>
        <v>0</v>
      </c>
      <c r="AH498" s="406">
        <f t="shared" ref="AH498" si="1218">+AG498</f>
        <v>0</v>
      </c>
      <c r="AI498" s="406">
        <f t="shared" ref="AI498" si="1219">+AH498</f>
        <v>0</v>
      </c>
      <c r="AJ498" s="406">
        <f t="shared" ref="AJ498" si="1220">+AI498</f>
        <v>0</v>
      </c>
      <c r="AK498" s="820">
        <f t="shared" ref="AK498" si="1221">+AJ498</f>
        <v>0</v>
      </c>
      <c r="AL498" s="398">
        <f t="shared" ref="AL498" si="1222">+AK498</f>
        <v>0</v>
      </c>
      <c r="AM498" s="398">
        <f t="shared" si="1216"/>
        <v>0</v>
      </c>
      <c r="AN498" s="398">
        <f t="shared" si="1216"/>
        <v>0</v>
      </c>
    </row>
    <row r="499" spans="1:40">
      <c r="A499" s="130" t="s">
        <v>2280</v>
      </c>
      <c r="B499" s="1030">
        <v>1815</v>
      </c>
      <c r="C499" s="508">
        <v>1815</v>
      </c>
      <c r="D499" s="1030">
        <v>1815</v>
      </c>
      <c r="E499" s="912">
        <v>1815</v>
      </c>
      <c r="F499" s="912">
        <v>1815</v>
      </c>
      <c r="G499" s="1041">
        <v>1815</v>
      </c>
      <c r="H499" s="820">
        <f t="shared" si="1205"/>
        <v>1815</v>
      </c>
      <c r="I499" s="1030">
        <v>1815</v>
      </c>
      <c r="J499" s="912">
        <v>1836</v>
      </c>
      <c r="K499" s="912">
        <v>1836</v>
      </c>
      <c r="L499" s="1041">
        <v>1836</v>
      </c>
      <c r="M499" s="820">
        <f t="shared" si="1206"/>
        <v>1836</v>
      </c>
      <c r="N499" s="1030">
        <v>1836</v>
      </c>
      <c r="O499" s="912">
        <f>N499</f>
        <v>1836</v>
      </c>
      <c r="P499" s="912">
        <f>O499</f>
        <v>1836</v>
      </c>
      <c r="Q499" s="1041">
        <f>P499</f>
        <v>1836</v>
      </c>
      <c r="R499" s="820">
        <f t="shared" si="1207"/>
        <v>1836</v>
      </c>
      <c r="S499" s="1030">
        <f>R499</f>
        <v>1836</v>
      </c>
      <c r="T499" s="912">
        <v>1836</v>
      </c>
      <c r="U499" s="912">
        <v>1836</v>
      </c>
      <c r="V499" s="912">
        <v>1836</v>
      </c>
      <c r="W499" s="398">
        <f>V499</f>
        <v>1836</v>
      </c>
      <c r="X499" s="2792">
        <v>1668</v>
      </c>
      <c r="Y499" s="2792">
        <v>1668</v>
      </c>
      <c r="Z499" s="2792">
        <v>1668</v>
      </c>
      <c r="AA499" s="2792">
        <v>1668</v>
      </c>
      <c r="AB499" s="398">
        <f t="shared" ref="AB499:AB508" si="1223">AA499</f>
        <v>1668</v>
      </c>
      <c r="AC499" s="2939">
        <f>AA499-'Owned Hotels Spinoff'!$D$45</f>
        <v>418</v>
      </c>
      <c r="AD499" s="401">
        <f t="shared" ref="AD499" si="1224">AC499</f>
        <v>418</v>
      </c>
      <c r="AE499" s="3666">
        <v>405</v>
      </c>
      <c r="AF499" s="3666">
        <v>405</v>
      </c>
      <c r="AG499" s="398">
        <f t="shared" si="1210"/>
        <v>405</v>
      </c>
      <c r="AH499" s="401">
        <f t="shared" ref="AH499:AH508" si="1225">AG499</f>
        <v>405</v>
      </c>
      <c r="AI499" s="401">
        <f t="shared" ref="AI499:AI508" si="1226">AH499</f>
        <v>405</v>
      </c>
      <c r="AJ499" s="401">
        <f t="shared" ref="AJ499:AJ508" si="1227">AI499</f>
        <v>405</v>
      </c>
      <c r="AK499" s="820">
        <f t="shared" ref="AK499:AK508" si="1228">AJ499</f>
        <v>405</v>
      </c>
      <c r="AL499" s="820">
        <f t="shared" ref="AL499" si="1229">AK499</f>
        <v>405</v>
      </c>
      <c r="AM499" s="398">
        <f t="shared" si="1216"/>
        <v>405</v>
      </c>
      <c r="AN499" s="398">
        <f t="shared" si="1216"/>
        <v>405</v>
      </c>
    </row>
    <row r="500" spans="1:40">
      <c r="A500" s="1828" t="s">
        <v>2323</v>
      </c>
      <c r="B500" s="1030"/>
      <c r="C500" s="508"/>
      <c r="D500" s="1030"/>
      <c r="E500" s="912"/>
      <c r="F500" s="912"/>
      <c r="G500" s="1041"/>
      <c r="H500" s="820"/>
      <c r="I500" s="1030"/>
      <c r="J500" s="912"/>
      <c r="K500" s="912"/>
      <c r="L500" s="1041"/>
      <c r="M500" s="820"/>
      <c r="N500" s="1030"/>
      <c r="O500" s="912"/>
      <c r="P500" s="912"/>
      <c r="Q500" s="1041"/>
      <c r="R500" s="820"/>
      <c r="S500" s="1030">
        <v>0</v>
      </c>
      <c r="T500" s="912">
        <v>0</v>
      </c>
      <c r="U500" s="912">
        <v>0</v>
      </c>
      <c r="V500" s="912">
        <v>0</v>
      </c>
      <c r="W500" s="398">
        <f>V500</f>
        <v>0</v>
      </c>
      <c r="X500" s="2792">
        <v>0</v>
      </c>
      <c r="Y500" s="2792">
        <v>0</v>
      </c>
      <c r="Z500" s="2792">
        <v>0</v>
      </c>
      <c r="AA500" s="2792">
        <v>0</v>
      </c>
      <c r="AB500" s="398">
        <f t="shared" si="1223"/>
        <v>0</v>
      </c>
      <c r="AC500" s="401">
        <f t="shared" si="1208"/>
        <v>0</v>
      </c>
      <c r="AD500" s="401">
        <f t="shared" si="1209"/>
        <v>0</v>
      </c>
      <c r="AE500" s="3666">
        <v>0</v>
      </c>
      <c r="AF500" s="820">
        <f t="shared" si="1210"/>
        <v>0</v>
      </c>
      <c r="AG500" s="820">
        <f>AF500</f>
        <v>0</v>
      </c>
      <c r="AH500" s="401">
        <f t="shared" si="1225"/>
        <v>0</v>
      </c>
      <c r="AI500" s="401">
        <f t="shared" si="1226"/>
        <v>0</v>
      </c>
      <c r="AJ500" s="401">
        <f t="shared" si="1227"/>
        <v>0</v>
      </c>
      <c r="AK500" s="820">
        <f t="shared" si="1228"/>
        <v>0</v>
      </c>
      <c r="AL500" s="820">
        <f>AK500</f>
        <v>0</v>
      </c>
      <c r="AM500" s="398">
        <f>AL500</f>
        <v>0</v>
      </c>
      <c r="AN500" s="398">
        <f>AM500</f>
        <v>0</v>
      </c>
    </row>
    <row r="501" spans="1:40">
      <c r="A501" s="130" t="s">
        <v>2274</v>
      </c>
      <c r="B501" s="1030">
        <v>0</v>
      </c>
      <c r="C501" s="508">
        <v>0</v>
      </c>
      <c r="D501" s="1030">
        <v>0</v>
      </c>
      <c r="E501" s="912">
        <v>0</v>
      </c>
      <c r="F501" s="912">
        <v>0</v>
      </c>
      <c r="G501" s="1041">
        <v>0</v>
      </c>
      <c r="H501" s="820">
        <f t="shared" si="1205"/>
        <v>0</v>
      </c>
      <c r="I501" s="1030">
        <v>0</v>
      </c>
      <c r="J501" s="912">
        <v>0</v>
      </c>
      <c r="K501" s="912">
        <v>0</v>
      </c>
      <c r="L501" s="1041">
        <v>0</v>
      </c>
      <c r="M501" s="820">
        <f t="shared" si="1206"/>
        <v>0</v>
      </c>
      <c r="N501" s="1030">
        <v>0</v>
      </c>
      <c r="O501" s="912">
        <v>0</v>
      </c>
      <c r="P501" s="912">
        <v>0</v>
      </c>
      <c r="Q501" s="1041">
        <v>0</v>
      </c>
      <c r="R501" s="820">
        <f t="shared" si="1207"/>
        <v>0</v>
      </c>
      <c r="S501" s="1030">
        <v>0</v>
      </c>
      <c r="T501" s="912">
        <v>0</v>
      </c>
      <c r="U501" s="912">
        <v>0</v>
      </c>
      <c r="V501" s="912">
        <v>0</v>
      </c>
      <c r="W501" s="398">
        <f t="shared" ref="W501:W508" si="1230">V501</f>
        <v>0</v>
      </c>
      <c r="X501" s="2792">
        <v>0</v>
      </c>
      <c r="Y501" s="2792">
        <v>0</v>
      </c>
      <c r="Z501" s="2792">
        <v>0</v>
      </c>
      <c r="AA501" s="2792">
        <v>0</v>
      </c>
      <c r="AB501" s="398">
        <f t="shared" si="1223"/>
        <v>0</v>
      </c>
      <c r="AC501" s="401">
        <f t="shared" si="1208"/>
        <v>0</v>
      </c>
      <c r="AD501" s="401">
        <f t="shared" si="1209"/>
        <v>0</v>
      </c>
      <c r="AE501" s="3666">
        <v>0</v>
      </c>
      <c r="AF501" s="820">
        <f t="shared" si="1210"/>
        <v>0</v>
      </c>
      <c r="AG501" s="820">
        <f t="shared" si="1210"/>
        <v>0</v>
      </c>
      <c r="AH501" s="401">
        <f t="shared" si="1225"/>
        <v>0</v>
      </c>
      <c r="AI501" s="401">
        <f t="shared" si="1226"/>
        <v>0</v>
      </c>
      <c r="AJ501" s="401">
        <f t="shared" si="1227"/>
        <v>0</v>
      </c>
      <c r="AK501" s="820">
        <f t="shared" si="1228"/>
        <v>0</v>
      </c>
      <c r="AL501" s="820">
        <f t="shared" ref="AL501:AL508" si="1231">AK501</f>
        <v>0</v>
      </c>
      <c r="AM501" s="398">
        <f t="shared" si="1216"/>
        <v>0</v>
      </c>
      <c r="AN501" s="398">
        <f t="shared" si="1216"/>
        <v>0</v>
      </c>
    </row>
    <row r="502" spans="1:40">
      <c r="A502" s="130" t="s">
        <v>2279</v>
      </c>
      <c r="B502" s="1030">
        <v>0</v>
      </c>
      <c r="C502" s="508">
        <v>0</v>
      </c>
      <c r="D502" s="1030">
        <v>0</v>
      </c>
      <c r="E502" s="912">
        <v>0</v>
      </c>
      <c r="F502" s="912">
        <v>0</v>
      </c>
      <c r="G502" s="1041">
        <v>0</v>
      </c>
      <c r="H502" s="820">
        <f t="shared" si="1205"/>
        <v>0</v>
      </c>
      <c r="I502" s="1030">
        <v>0</v>
      </c>
      <c r="J502" s="912">
        <v>0</v>
      </c>
      <c r="K502" s="912">
        <v>0</v>
      </c>
      <c r="L502" s="1041">
        <v>0</v>
      </c>
      <c r="M502" s="820">
        <f t="shared" si="1206"/>
        <v>0</v>
      </c>
      <c r="N502" s="1030">
        <v>0</v>
      </c>
      <c r="O502" s="912">
        <v>0</v>
      </c>
      <c r="P502" s="912">
        <v>0</v>
      </c>
      <c r="Q502" s="1041">
        <v>0</v>
      </c>
      <c r="R502" s="820">
        <f t="shared" si="1207"/>
        <v>0</v>
      </c>
      <c r="S502" s="1030">
        <v>0</v>
      </c>
      <c r="T502" s="912">
        <v>0</v>
      </c>
      <c r="U502" s="912">
        <v>0</v>
      </c>
      <c r="V502" s="912">
        <v>0</v>
      </c>
      <c r="W502" s="398">
        <f t="shared" si="1230"/>
        <v>0</v>
      </c>
      <c r="X502" s="2792">
        <v>0</v>
      </c>
      <c r="Y502" s="2792">
        <v>0</v>
      </c>
      <c r="Z502" s="2792">
        <v>0</v>
      </c>
      <c r="AA502" s="2792">
        <v>0</v>
      </c>
      <c r="AB502" s="398">
        <f t="shared" si="1223"/>
        <v>0</v>
      </c>
      <c r="AC502" s="401">
        <f t="shared" si="1208"/>
        <v>0</v>
      </c>
      <c r="AD502" s="401">
        <f t="shared" si="1209"/>
        <v>0</v>
      </c>
      <c r="AE502" s="3666">
        <v>0</v>
      </c>
      <c r="AF502" s="820">
        <f t="shared" si="1210"/>
        <v>0</v>
      </c>
      <c r="AG502" s="820">
        <f t="shared" si="1210"/>
        <v>0</v>
      </c>
      <c r="AH502" s="401">
        <f t="shared" si="1225"/>
        <v>0</v>
      </c>
      <c r="AI502" s="401">
        <f t="shared" si="1226"/>
        <v>0</v>
      </c>
      <c r="AJ502" s="401">
        <f t="shared" si="1227"/>
        <v>0</v>
      </c>
      <c r="AK502" s="820">
        <f t="shared" si="1228"/>
        <v>0</v>
      </c>
      <c r="AL502" s="820">
        <f t="shared" si="1231"/>
        <v>0</v>
      </c>
      <c r="AM502" s="398">
        <f t="shared" si="1216"/>
        <v>0</v>
      </c>
      <c r="AN502" s="398">
        <f t="shared" si="1216"/>
        <v>0</v>
      </c>
    </row>
    <row r="503" spans="1:40">
      <c r="A503" s="130" t="s">
        <v>2275</v>
      </c>
      <c r="B503" s="1030">
        <v>0</v>
      </c>
      <c r="C503" s="508">
        <v>0</v>
      </c>
      <c r="D503" s="1030">
        <v>0</v>
      </c>
      <c r="E503" s="912">
        <v>0</v>
      </c>
      <c r="F503" s="912">
        <v>0</v>
      </c>
      <c r="G503" s="1041">
        <v>0</v>
      </c>
      <c r="H503" s="820">
        <f t="shared" si="1205"/>
        <v>0</v>
      </c>
      <c r="I503" s="1030">
        <v>0</v>
      </c>
      <c r="J503" s="912">
        <v>0</v>
      </c>
      <c r="K503" s="912">
        <v>0</v>
      </c>
      <c r="L503" s="1041">
        <v>0</v>
      </c>
      <c r="M503" s="820">
        <f t="shared" si="1206"/>
        <v>0</v>
      </c>
      <c r="N503" s="1030">
        <v>0</v>
      </c>
      <c r="O503" s="912">
        <v>0</v>
      </c>
      <c r="P503" s="912">
        <v>0</v>
      </c>
      <c r="Q503" s="1041">
        <v>0</v>
      </c>
      <c r="R503" s="820">
        <f t="shared" si="1207"/>
        <v>0</v>
      </c>
      <c r="S503" s="1030">
        <v>0</v>
      </c>
      <c r="T503" s="912">
        <v>0</v>
      </c>
      <c r="U503" s="912">
        <v>0</v>
      </c>
      <c r="V503" s="912">
        <v>0</v>
      </c>
      <c r="W503" s="398">
        <f t="shared" si="1230"/>
        <v>0</v>
      </c>
      <c r="X503" s="2792">
        <v>0</v>
      </c>
      <c r="Y503" s="2792">
        <v>0</v>
      </c>
      <c r="Z503" s="2792">
        <v>0</v>
      </c>
      <c r="AA503" s="2792">
        <v>0</v>
      </c>
      <c r="AB503" s="398">
        <f t="shared" si="1223"/>
        <v>0</v>
      </c>
      <c r="AC503" s="401">
        <f t="shared" si="1208"/>
        <v>0</v>
      </c>
      <c r="AD503" s="401">
        <f t="shared" si="1209"/>
        <v>0</v>
      </c>
      <c r="AE503" s="3666">
        <v>0</v>
      </c>
      <c r="AF503" s="820">
        <f t="shared" si="1210"/>
        <v>0</v>
      </c>
      <c r="AG503" s="820">
        <f t="shared" si="1210"/>
        <v>0</v>
      </c>
      <c r="AH503" s="401">
        <f t="shared" si="1225"/>
        <v>0</v>
      </c>
      <c r="AI503" s="401">
        <f t="shared" si="1226"/>
        <v>0</v>
      </c>
      <c r="AJ503" s="401">
        <f t="shared" si="1227"/>
        <v>0</v>
      </c>
      <c r="AK503" s="820">
        <f t="shared" si="1228"/>
        <v>0</v>
      </c>
      <c r="AL503" s="820">
        <f t="shared" si="1231"/>
        <v>0</v>
      </c>
      <c r="AM503" s="398">
        <f t="shared" si="1216"/>
        <v>0</v>
      </c>
      <c r="AN503" s="398">
        <f t="shared" si="1216"/>
        <v>0</v>
      </c>
    </row>
    <row r="504" spans="1:40">
      <c r="A504" s="130" t="s">
        <v>2277</v>
      </c>
      <c r="B504" s="1030">
        <v>0</v>
      </c>
      <c r="C504" s="508">
        <v>0</v>
      </c>
      <c r="D504" s="1030">
        <v>0</v>
      </c>
      <c r="E504" s="912">
        <v>0</v>
      </c>
      <c r="F504" s="912">
        <v>0</v>
      </c>
      <c r="G504" s="1041">
        <v>0</v>
      </c>
      <c r="H504" s="820">
        <f t="shared" si="1205"/>
        <v>0</v>
      </c>
      <c r="I504" s="1030">
        <v>0</v>
      </c>
      <c r="J504" s="912">
        <v>0</v>
      </c>
      <c r="K504" s="912">
        <v>0</v>
      </c>
      <c r="L504" s="1041">
        <v>0</v>
      </c>
      <c r="M504" s="820">
        <f t="shared" si="1206"/>
        <v>0</v>
      </c>
      <c r="N504" s="1030">
        <v>0</v>
      </c>
      <c r="O504" s="912">
        <v>0</v>
      </c>
      <c r="P504" s="912">
        <v>0</v>
      </c>
      <c r="Q504" s="1041">
        <v>0</v>
      </c>
      <c r="R504" s="820">
        <f t="shared" si="1207"/>
        <v>0</v>
      </c>
      <c r="S504" s="1030">
        <v>0</v>
      </c>
      <c r="T504" s="912">
        <v>0</v>
      </c>
      <c r="U504" s="912">
        <v>0</v>
      </c>
      <c r="V504" s="912">
        <v>0</v>
      </c>
      <c r="W504" s="398">
        <f t="shared" si="1230"/>
        <v>0</v>
      </c>
      <c r="X504" s="2792">
        <v>0</v>
      </c>
      <c r="Y504" s="2792">
        <v>0</v>
      </c>
      <c r="Z504" s="2792">
        <v>0</v>
      </c>
      <c r="AA504" s="2792">
        <v>0</v>
      </c>
      <c r="AB504" s="398">
        <f t="shared" si="1223"/>
        <v>0</v>
      </c>
      <c r="AC504" s="401">
        <f t="shared" si="1208"/>
        <v>0</v>
      </c>
      <c r="AD504" s="401">
        <f t="shared" si="1209"/>
        <v>0</v>
      </c>
      <c r="AE504" s="3666">
        <v>0</v>
      </c>
      <c r="AF504" s="820">
        <f t="shared" si="1210"/>
        <v>0</v>
      </c>
      <c r="AG504" s="820">
        <f t="shared" si="1210"/>
        <v>0</v>
      </c>
      <c r="AH504" s="401">
        <f t="shared" si="1225"/>
        <v>0</v>
      </c>
      <c r="AI504" s="401">
        <f t="shared" si="1226"/>
        <v>0</v>
      </c>
      <c r="AJ504" s="401">
        <f t="shared" si="1227"/>
        <v>0</v>
      </c>
      <c r="AK504" s="820">
        <f t="shared" si="1228"/>
        <v>0</v>
      </c>
      <c r="AL504" s="820">
        <f t="shared" si="1231"/>
        <v>0</v>
      </c>
      <c r="AM504" s="398">
        <f t="shared" si="1216"/>
        <v>0</v>
      </c>
      <c r="AN504" s="398">
        <f t="shared" si="1216"/>
        <v>0</v>
      </c>
    </row>
    <row r="505" spans="1:40">
      <c r="A505" s="130" t="s">
        <v>2278</v>
      </c>
      <c r="B505" s="1030">
        <v>0</v>
      </c>
      <c r="C505" s="508">
        <v>0</v>
      </c>
      <c r="D505" s="1030">
        <v>0</v>
      </c>
      <c r="E505" s="912">
        <v>0</v>
      </c>
      <c r="F505" s="912">
        <v>0</v>
      </c>
      <c r="G505" s="1041">
        <v>0</v>
      </c>
      <c r="H505" s="820">
        <f t="shared" si="1205"/>
        <v>0</v>
      </c>
      <c r="I505" s="1030">
        <v>0</v>
      </c>
      <c r="J505" s="912">
        <v>0</v>
      </c>
      <c r="K505" s="912">
        <v>0</v>
      </c>
      <c r="L505" s="1041">
        <v>0</v>
      </c>
      <c r="M505" s="820">
        <f t="shared" si="1206"/>
        <v>0</v>
      </c>
      <c r="N505" s="1030">
        <v>0</v>
      </c>
      <c r="O505" s="912">
        <v>0</v>
      </c>
      <c r="P505" s="912">
        <v>0</v>
      </c>
      <c r="Q505" s="1041">
        <v>0</v>
      </c>
      <c r="R505" s="820">
        <f t="shared" si="1207"/>
        <v>0</v>
      </c>
      <c r="S505" s="1030">
        <v>0</v>
      </c>
      <c r="T505" s="912">
        <v>0</v>
      </c>
      <c r="U505" s="912">
        <v>0</v>
      </c>
      <c r="V505" s="912">
        <v>0</v>
      </c>
      <c r="W505" s="398">
        <f t="shared" si="1230"/>
        <v>0</v>
      </c>
      <c r="X505" s="2792">
        <v>0</v>
      </c>
      <c r="Y505" s="2792">
        <v>0</v>
      </c>
      <c r="Z505" s="2792">
        <v>0</v>
      </c>
      <c r="AA505" s="2792">
        <v>0</v>
      </c>
      <c r="AB505" s="398">
        <f t="shared" si="1223"/>
        <v>0</v>
      </c>
      <c r="AC505" s="401">
        <f t="shared" si="1208"/>
        <v>0</v>
      </c>
      <c r="AD505" s="401">
        <f t="shared" si="1209"/>
        <v>0</v>
      </c>
      <c r="AE505" s="3666">
        <v>0</v>
      </c>
      <c r="AF505" s="820">
        <f t="shared" si="1210"/>
        <v>0</v>
      </c>
      <c r="AG505" s="820">
        <f t="shared" si="1210"/>
        <v>0</v>
      </c>
      <c r="AH505" s="401">
        <f t="shared" si="1225"/>
        <v>0</v>
      </c>
      <c r="AI505" s="401">
        <f t="shared" si="1226"/>
        <v>0</v>
      </c>
      <c r="AJ505" s="401">
        <f t="shared" si="1227"/>
        <v>0</v>
      </c>
      <c r="AK505" s="820">
        <f t="shared" si="1228"/>
        <v>0</v>
      </c>
      <c r="AL505" s="820">
        <f t="shared" si="1231"/>
        <v>0</v>
      </c>
      <c r="AM505" s="820">
        <f t="shared" si="1216"/>
        <v>0</v>
      </c>
      <c r="AN505" s="820">
        <f t="shared" si="1216"/>
        <v>0</v>
      </c>
    </row>
    <row r="506" spans="1:40">
      <c r="A506" s="130" t="str">
        <f>$A$90</f>
        <v>Tru by Hilton</v>
      </c>
      <c r="B506" s="1030">
        <v>0</v>
      </c>
      <c r="C506" s="508">
        <v>0</v>
      </c>
      <c r="D506" s="1030">
        <v>0</v>
      </c>
      <c r="E506" s="912">
        <v>0</v>
      </c>
      <c r="F506" s="912">
        <v>0</v>
      </c>
      <c r="G506" s="1041">
        <v>0</v>
      </c>
      <c r="H506" s="820">
        <f t="shared" ref="H506:H507" si="1232">G506</f>
        <v>0</v>
      </c>
      <c r="I506" s="1030">
        <v>0</v>
      </c>
      <c r="J506" s="912">
        <v>0</v>
      </c>
      <c r="K506" s="912">
        <v>0</v>
      </c>
      <c r="L506" s="1041">
        <v>0</v>
      </c>
      <c r="M506" s="820">
        <f t="shared" ref="M506:M507" si="1233">L506</f>
        <v>0</v>
      </c>
      <c r="N506" s="1030">
        <v>0</v>
      </c>
      <c r="O506" s="912">
        <v>0</v>
      </c>
      <c r="P506" s="912">
        <v>0</v>
      </c>
      <c r="Q506" s="1041">
        <v>0</v>
      </c>
      <c r="R506" s="820">
        <f t="shared" ref="R506:R507" si="1234">Q506</f>
        <v>0</v>
      </c>
      <c r="S506" s="1030">
        <v>0</v>
      </c>
      <c r="T506" s="912">
        <v>0</v>
      </c>
      <c r="U506" s="912">
        <v>0</v>
      </c>
      <c r="V506" s="912">
        <v>0</v>
      </c>
      <c r="W506" s="398">
        <f t="shared" ref="W506:W507" si="1235">V506</f>
        <v>0</v>
      </c>
      <c r="X506" s="2792">
        <v>0</v>
      </c>
      <c r="Y506" s="2792">
        <v>0</v>
      </c>
      <c r="Z506" s="2792">
        <v>0</v>
      </c>
      <c r="AA506" s="2792">
        <v>0</v>
      </c>
      <c r="AB506" s="398">
        <f t="shared" ref="AB506:AB507" si="1236">AA506</f>
        <v>0</v>
      </c>
      <c r="AC506" s="401">
        <f t="shared" ref="AC506:AC507" si="1237">AA506</f>
        <v>0</v>
      </c>
      <c r="AD506" s="401">
        <f t="shared" ref="AD506:AD507" si="1238">AC506</f>
        <v>0</v>
      </c>
      <c r="AE506" s="3666">
        <v>0</v>
      </c>
      <c r="AF506" s="820">
        <f t="shared" ref="AF506:AF507" si="1239">AE506</f>
        <v>0</v>
      </c>
      <c r="AG506" s="820">
        <f t="shared" ref="AG506:AG507" si="1240">AF506</f>
        <v>0</v>
      </c>
      <c r="AH506" s="401">
        <f t="shared" si="1225"/>
        <v>0</v>
      </c>
      <c r="AI506" s="401">
        <f t="shared" si="1226"/>
        <v>0</v>
      </c>
      <c r="AJ506" s="401">
        <f t="shared" si="1227"/>
        <v>0</v>
      </c>
      <c r="AK506" s="820">
        <f t="shared" si="1228"/>
        <v>0</v>
      </c>
      <c r="AL506" s="820">
        <f t="shared" si="1231"/>
        <v>0</v>
      </c>
      <c r="AM506" s="820">
        <f t="shared" ref="AM506:AM507" si="1241">AL506</f>
        <v>0</v>
      </c>
      <c r="AN506" s="820">
        <f t="shared" ref="AN506:AN507" si="1242">AM506</f>
        <v>0</v>
      </c>
    </row>
    <row r="507" spans="1:40">
      <c r="A507" s="130" t="str">
        <f>$A$91</f>
        <v>Tapestry Collection by Hilton</v>
      </c>
      <c r="B507" s="1030">
        <v>0</v>
      </c>
      <c r="C507" s="508">
        <v>0</v>
      </c>
      <c r="D507" s="1030">
        <v>0</v>
      </c>
      <c r="E507" s="912">
        <v>0</v>
      </c>
      <c r="F507" s="912">
        <v>0</v>
      </c>
      <c r="G507" s="1041">
        <v>0</v>
      </c>
      <c r="H507" s="820">
        <f t="shared" si="1232"/>
        <v>0</v>
      </c>
      <c r="I507" s="1030">
        <v>0</v>
      </c>
      <c r="J507" s="912">
        <v>0</v>
      </c>
      <c r="K507" s="912">
        <v>0</v>
      </c>
      <c r="L507" s="1041">
        <v>0</v>
      </c>
      <c r="M507" s="820">
        <f t="shared" si="1233"/>
        <v>0</v>
      </c>
      <c r="N507" s="1030">
        <v>0</v>
      </c>
      <c r="O507" s="912">
        <v>0</v>
      </c>
      <c r="P507" s="912">
        <v>0</v>
      </c>
      <c r="Q507" s="1041">
        <v>0</v>
      </c>
      <c r="R507" s="820">
        <f t="shared" si="1234"/>
        <v>0</v>
      </c>
      <c r="S507" s="1030">
        <v>0</v>
      </c>
      <c r="T507" s="912">
        <v>0</v>
      </c>
      <c r="U507" s="912">
        <v>0</v>
      </c>
      <c r="V507" s="912">
        <v>0</v>
      </c>
      <c r="W507" s="398">
        <f t="shared" si="1235"/>
        <v>0</v>
      </c>
      <c r="X507" s="2792">
        <v>0</v>
      </c>
      <c r="Y507" s="2792">
        <v>0</v>
      </c>
      <c r="Z507" s="2792">
        <v>0</v>
      </c>
      <c r="AA507" s="2792">
        <v>0</v>
      </c>
      <c r="AB507" s="398">
        <f t="shared" si="1236"/>
        <v>0</v>
      </c>
      <c r="AC507" s="401">
        <f t="shared" si="1237"/>
        <v>0</v>
      </c>
      <c r="AD507" s="401">
        <f t="shared" si="1238"/>
        <v>0</v>
      </c>
      <c r="AE507" s="3666">
        <v>0</v>
      </c>
      <c r="AF507" s="820">
        <f t="shared" si="1239"/>
        <v>0</v>
      </c>
      <c r="AG507" s="820">
        <f t="shared" si="1240"/>
        <v>0</v>
      </c>
      <c r="AH507" s="401">
        <f t="shared" si="1225"/>
        <v>0</v>
      </c>
      <c r="AI507" s="401">
        <f t="shared" si="1226"/>
        <v>0</v>
      </c>
      <c r="AJ507" s="401">
        <f t="shared" si="1227"/>
        <v>0</v>
      </c>
      <c r="AK507" s="820">
        <f t="shared" si="1228"/>
        <v>0</v>
      </c>
      <c r="AL507" s="820">
        <f t="shared" si="1231"/>
        <v>0</v>
      </c>
      <c r="AM507" s="820">
        <f t="shared" si="1241"/>
        <v>0</v>
      </c>
      <c r="AN507" s="820">
        <f t="shared" si="1242"/>
        <v>0</v>
      </c>
    </row>
    <row r="508" spans="1:40" s="5" customFormat="1">
      <c r="A508" s="402" t="s">
        <v>2276</v>
      </c>
      <c r="B508" s="1031">
        <v>0</v>
      </c>
      <c r="C508" s="1029">
        <v>0</v>
      </c>
      <c r="D508" s="1031">
        <v>0</v>
      </c>
      <c r="E508" s="1039">
        <v>0</v>
      </c>
      <c r="F508" s="1039">
        <v>0</v>
      </c>
      <c r="G508" s="1042">
        <v>0</v>
      </c>
      <c r="H508" s="700">
        <f t="shared" si="1205"/>
        <v>0</v>
      </c>
      <c r="I508" s="1031">
        <v>0</v>
      </c>
      <c r="J508" s="1039">
        <v>0</v>
      </c>
      <c r="K508" s="1039">
        <v>0</v>
      </c>
      <c r="L508" s="1042">
        <v>0</v>
      </c>
      <c r="M508" s="700">
        <f t="shared" si="1206"/>
        <v>0</v>
      </c>
      <c r="N508" s="1031">
        <v>0</v>
      </c>
      <c r="O508" s="1039">
        <v>0</v>
      </c>
      <c r="P508" s="1039">
        <v>0</v>
      </c>
      <c r="Q508" s="1042">
        <v>0</v>
      </c>
      <c r="R508" s="700">
        <f t="shared" si="1207"/>
        <v>0</v>
      </c>
      <c r="S508" s="1031">
        <v>0</v>
      </c>
      <c r="T508" s="1039">
        <v>0</v>
      </c>
      <c r="U508" s="1039">
        <v>0</v>
      </c>
      <c r="V508" s="1039">
        <v>0</v>
      </c>
      <c r="W508" s="403">
        <f t="shared" si="1230"/>
        <v>0</v>
      </c>
      <c r="X508" s="2794">
        <v>0</v>
      </c>
      <c r="Y508" s="2794">
        <v>0</v>
      </c>
      <c r="Z508" s="2794">
        <v>0</v>
      </c>
      <c r="AA508" s="2794">
        <v>0</v>
      </c>
      <c r="AB508" s="403">
        <f t="shared" si="1223"/>
        <v>0</v>
      </c>
      <c r="AC508" s="615">
        <f t="shared" si="1208"/>
        <v>0</v>
      </c>
      <c r="AD508" s="615">
        <f t="shared" si="1209"/>
        <v>0</v>
      </c>
      <c r="AE508" s="4005">
        <v>0</v>
      </c>
      <c r="AF508" s="700">
        <f t="shared" si="1210"/>
        <v>0</v>
      </c>
      <c r="AG508" s="700">
        <f t="shared" si="1210"/>
        <v>0</v>
      </c>
      <c r="AH508" s="615">
        <f t="shared" si="1225"/>
        <v>0</v>
      </c>
      <c r="AI508" s="615">
        <f t="shared" si="1226"/>
        <v>0</v>
      </c>
      <c r="AJ508" s="615">
        <f t="shared" si="1227"/>
        <v>0</v>
      </c>
      <c r="AK508" s="700">
        <f t="shared" si="1228"/>
        <v>0</v>
      </c>
      <c r="AL508" s="700">
        <f t="shared" si="1231"/>
        <v>0</v>
      </c>
      <c r="AM508" s="700">
        <f t="shared" si="1216"/>
        <v>0</v>
      </c>
      <c r="AN508" s="700">
        <f t="shared" si="1216"/>
        <v>0</v>
      </c>
    </row>
    <row r="509" spans="1:40">
      <c r="A509" s="482" t="s">
        <v>1687</v>
      </c>
      <c r="B509" s="1032">
        <f t="shared" ref="B509:AN509" si="1243">SUM(B496:B508)</f>
        <v>1815</v>
      </c>
      <c r="C509" s="400">
        <f t="shared" si="1243"/>
        <v>1815</v>
      </c>
      <c r="D509" s="1032">
        <f t="shared" si="1243"/>
        <v>1815</v>
      </c>
      <c r="E509" s="405">
        <f t="shared" si="1243"/>
        <v>1815</v>
      </c>
      <c r="F509" s="405">
        <f t="shared" si="1243"/>
        <v>1815</v>
      </c>
      <c r="G509" s="821">
        <f t="shared" si="1243"/>
        <v>1815</v>
      </c>
      <c r="H509" s="821">
        <f t="shared" si="1243"/>
        <v>1815</v>
      </c>
      <c r="I509" s="1032">
        <f t="shared" si="1243"/>
        <v>1815</v>
      </c>
      <c r="J509" s="405">
        <f t="shared" si="1243"/>
        <v>1836</v>
      </c>
      <c r="K509" s="405">
        <f t="shared" si="1243"/>
        <v>1836</v>
      </c>
      <c r="L509" s="821">
        <f t="shared" si="1243"/>
        <v>1836</v>
      </c>
      <c r="M509" s="821">
        <f t="shared" si="1243"/>
        <v>1836</v>
      </c>
      <c r="N509" s="1032">
        <f t="shared" si="1243"/>
        <v>1836</v>
      </c>
      <c r="O509" s="399">
        <f t="shared" si="1243"/>
        <v>1836</v>
      </c>
      <c r="P509" s="399">
        <f t="shared" si="1243"/>
        <v>1836</v>
      </c>
      <c r="Q509" s="821">
        <f t="shared" si="1243"/>
        <v>1836</v>
      </c>
      <c r="R509" s="821">
        <f t="shared" si="1243"/>
        <v>1836</v>
      </c>
      <c r="S509" s="1032">
        <f t="shared" si="1243"/>
        <v>1836</v>
      </c>
      <c r="T509" s="405">
        <f t="shared" si="1243"/>
        <v>1836</v>
      </c>
      <c r="U509" s="405">
        <f t="shared" si="1243"/>
        <v>1836</v>
      </c>
      <c r="V509" s="405">
        <f t="shared" si="1243"/>
        <v>1836</v>
      </c>
      <c r="W509" s="400">
        <f t="shared" si="1243"/>
        <v>1836</v>
      </c>
      <c r="X509" s="399">
        <f t="shared" si="1243"/>
        <v>1668</v>
      </c>
      <c r="Y509" s="399">
        <f t="shared" si="1243"/>
        <v>1668</v>
      </c>
      <c r="Z509" s="399">
        <f t="shared" si="1243"/>
        <v>1668</v>
      </c>
      <c r="AA509" s="399">
        <f t="shared" si="1243"/>
        <v>1668</v>
      </c>
      <c r="AB509" s="400">
        <f t="shared" si="1243"/>
        <v>1668</v>
      </c>
      <c r="AC509" s="399">
        <f t="shared" si="1243"/>
        <v>418</v>
      </c>
      <c r="AD509" s="399">
        <f t="shared" si="1243"/>
        <v>418</v>
      </c>
      <c r="AE509" s="399">
        <f t="shared" si="1243"/>
        <v>405</v>
      </c>
      <c r="AF509" s="821">
        <f t="shared" si="1243"/>
        <v>405</v>
      </c>
      <c r="AG509" s="400">
        <f t="shared" si="1243"/>
        <v>405</v>
      </c>
      <c r="AH509" s="399">
        <f t="shared" si="1243"/>
        <v>405</v>
      </c>
      <c r="AI509" s="399">
        <f t="shared" si="1243"/>
        <v>405</v>
      </c>
      <c r="AJ509" s="399">
        <f t="shared" ref="AJ509:AL509" si="1244">SUM(AJ496:AJ508)</f>
        <v>405</v>
      </c>
      <c r="AK509" s="821">
        <f t="shared" si="1244"/>
        <v>405</v>
      </c>
      <c r="AL509" s="400">
        <f t="shared" si="1244"/>
        <v>405</v>
      </c>
      <c r="AM509" s="821">
        <f t="shared" si="1243"/>
        <v>405</v>
      </c>
      <c r="AN509" s="821">
        <f t="shared" si="1243"/>
        <v>405</v>
      </c>
    </row>
    <row r="510" spans="1:40">
      <c r="A510" s="130"/>
      <c r="B510" s="1033"/>
      <c r="C510" s="398"/>
      <c r="D510" s="1033"/>
      <c r="E510" s="406"/>
      <c r="F510" s="406"/>
      <c r="G510" s="820"/>
      <c r="H510" s="820"/>
      <c r="I510" s="1033"/>
      <c r="J510" s="406"/>
      <c r="K510" s="406"/>
      <c r="L510" s="820"/>
      <c r="M510" s="820"/>
      <c r="N510" s="401"/>
      <c r="O510" s="401"/>
      <c r="P510" s="401"/>
      <c r="Q510" s="820"/>
      <c r="R510" s="820"/>
      <c r="S510" s="1033"/>
      <c r="T510" s="406"/>
      <c r="U510" s="406"/>
      <c r="V510" s="406"/>
      <c r="W510" s="398"/>
      <c r="X510" s="401"/>
      <c r="Y510" s="401"/>
      <c r="Z510" s="401"/>
      <c r="AA510" s="401"/>
      <c r="AB510" s="398"/>
      <c r="AC510" s="401"/>
      <c r="AD510" s="401"/>
      <c r="AE510" s="401"/>
      <c r="AF510" s="820"/>
      <c r="AG510" s="398"/>
      <c r="AH510" s="401"/>
      <c r="AI510" s="401"/>
      <c r="AJ510" s="401"/>
      <c r="AK510" s="820"/>
      <c r="AL510" s="398"/>
      <c r="AM510" s="820"/>
      <c r="AN510" s="820"/>
    </row>
    <row r="511" spans="1:40">
      <c r="A511" s="295" t="s">
        <v>1283</v>
      </c>
      <c r="B511" s="1033"/>
      <c r="C511" s="398"/>
      <c r="D511" s="1033"/>
      <c r="E511" s="406"/>
      <c r="F511" s="406"/>
      <c r="G511" s="820"/>
      <c r="H511" s="820"/>
      <c r="I511" s="1033"/>
      <c r="J511" s="406"/>
      <c r="K511" s="406"/>
      <c r="L511" s="820"/>
      <c r="M511" s="820"/>
      <c r="N511" s="401"/>
      <c r="O511" s="401"/>
      <c r="P511" s="401"/>
      <c r="Q511" s="820"/>
      <c r="R511" s="820"/>
      <c r="S511" s="1033"/>
      <c r="T511" s="406"/>
      <c r="U511" s="406"/>
      <c r="V511" s="406"/>
      <c r="W511" s="398"/>
      <c r="X511" s="401"/>
      <c r="Y511" s="401"/>
      <c r="Z511" s="401"/>
      <c r="AA511" s="401"/>
      <c r="AB511" s="398"/>
      <c r="AC511" s="401"/>
      <c r="AD511" s="401"/>
      <c r="AE511" s="401"/>
      <c r="AF511" s="820"/>
      <c r="AG511" s="398"/>
      <c r="AH511" s="401"/>
      <c r="AI511" s="401"/>
      <c r="AJ511" s="401"/>
      <c r="AK511" s="820"/>
      <c r="AL511" s="398"/>
      <c r="AM511" s="820"/>
      <c r="AN511" s="820"/>
    </row>
    <row r="512" spans="1:40">
      <c r="A512" s="130" t="str">
        <f>A$9</f>
        <v>Waldorf Astoria Hotels &amp; Resorts (Luxury)</v>
      </c>
      <c r="B512" s="1030">
        <v>386</v>
      </c>
      <c r="C512" s="508">
        <v>0</v>
      </c>
      <c r="D512" s="1030">
        <v>0</v>
      </c>
      <c r="E512" s="912">
        <v>0</v>
      </c>
      <c r="F512" s="912">
        <v>0</v>
      </c>
      <c r="G512" s="1041">
        <v>0</v>
      </c>
      <c r="H512" s="820">
        <f t="shared" ref="H512:H524" si="1245">G512</f>
        <v>0</v>
      </c>
      <c r="I512" s="1030">
        <v>248</v>
      </c>
      <c r="J512" s="912">
        <v>248</v>
      </c>
      <c r="K512" s="912">
        <v>248</v>
      </c>
      <c r="L512" s="1041">
        <v>248</v>
      </c>
      <c r="M512" s="820">
        <f t="shared" ref="M512:M524" si="1246">L512</f>
        <v>248</v>
      </c>
      <c r="N512" s="1030">
        <v>248</v>
      </c>
      <c r="O512" s="912">
        <v>248</v>
      </c>
      <c r="P512" s="912">
        <v>248</v>
      </c>
      <c r="Q512" s="1041">
        <v>248</v>
      </c>
      <c r="R512" s="820">
        <f t="shared" ref="R512:R524" si="1247">Q512</f>
        <v>248</v>
      </c>
      <c r="S512" s="1030">
        <v>153</v>
      </c>
      <c r="T512" s="912">
        <v>153</v>
      </c>
      <c r="U512" s="912">
        <v>153</v>
      </c>
      <c r="V512" s="912">
        <v>153</v>
      </c>
      <c r="W512" s="398">
        <f t="shared" ref="W512:W524" si="1248">V512</f>
        <v>153</v>
      </c>
      <c r="X512" s="2792">
        <v>153</v>
      </c>
      <c r="Y512" s="2792">
        <v>146</v>
      </c>
      <c r="Z512" s="2792">
        <v>144</v>
      </c>
      <c r="AA512" s="2792">
        <v>142</v>
      </c>
      <c r="AB512" s="398">
        <f t="shared" ref="AB512:AB524" si="1249">AA512</f>
        <v>142</v>
      </c>
      <c r="AC512" s="401">
        <f>AA512*(1+AC$884)</f>
        <v>143.41999999999999</v>
      </c>
      <c r="AD512" s="401">
        <f t="shared" ref="AD512:AD513" si="1250">AC512*(1+AD$884)</f>
        <v>144.82970640551434</v>
      </c>
      <c r="AE512" s="3666">
        <v>142</v>
      </c>
      <c r="AF512" s="3666">
        <v>142</v>
      </c>
      <c r="AG512" s="398">
        <f t="shared" ref="AG512:AG524" si="1251">AF512</f>
        <v>142</v>
      </c>
      <c r="AH512" s="401">
        <f t="shared" ref="AH512:AH513" si="1252">AG512*(1+AH$884)</f>
        <v>144.13</v>
      </c>
      <c r="AI512" s="401">
        <f t="shared" ref="AI512:AI513" si="1253">AH512*(1+AI$884)</f>
        <v>146.29194999999999</v>
      </c>
      <c r="AJ512" s="401">
        <f t="shared" ref="AJ512:AJ513" si="1254">AI512*(1+AJ$884)</f>
        <v>148.48632924999998</v>
      </c>
      <c r="AK512" s="820">
        <f t="shared" ref="AK512:AK513" si="1255">AJ512*(1+AK$884)</f>
        <v>150.71362418874998</v>
      </c>
      <c r="AL512" s="820">
        <f t="shared" ref="AL512:AL513" si="1256">AK512</f>
        <v>150.71362418874998</v>
      </c>
      <c r="AM512" s="398">
        <f t="shared" ref="AM512:AN513" si="1257">AL512*(1+AM$883)</f>
        <v>157.49573727724371</v>
      </c>
      <c r="AN512" s="398">
        <f t="shared" si="1257"/>
        <v>162.22060939556101</v>
      </c>
    </row>
    <row r="513" spans="1:40">
      <c r="A513" s="130" t="str">
        <f>A$10</f>
        <v>Conrad Hotels &amp; Resorts (Luxury)</v>
      </c>
      <c r="B513" s="1030">
        <v>570</v>
      </c>
      <c r="C513" s="508">
        <v>570</v>
      </c>
      <c r="D513" s="1030">
        <v>570</v>
      </c>
      <c r="E513" s="912">
        <v>570</v>
      </c>
      <c r="F513" s="912">
        <v>570</v>
      </c>
      <c r="G513" s="1041">
        <v>570</v>
      </c>
      <c r="H513" s="820">
        <f t="shared" si="1245"/>
        <v>570</v>
      </c>
      <c r="I513" s="1030">
        <v>570</v>
      </c>
      <c r="J513" s="912">
        <v>570</v>
      </c>
      <c r="K513" s="912">
        <v>0</v>
      </c>
      <c r="L513" s="1041">
        <v>0</v>
      </c>
      <c r="M513" s="820">
        <f t="shared" si="1246"/>
        <v>0</v>
      </c>
      <c r="N513" s="1030">
        <v>0</v>
      </c>
      <c r="O513" s="912">
        <v>0</v>
      </c>
      <c r="P513" s="912">
        <v>0</v>
      </c>
      <c r="Q513" s="1041">
        <v>0</v>
      </c>
      <c r="R513" s="820">
        <f t="shared" si="1247"/>
        <v>0</v>
      </c>
      <c r="S513" s="1030">
        <v>0</v>
      </c>
      <c r="T513" s="912">
        <v>0</v>
      </c>
      <c r="U513" s="912">
        <v>0</v>
      </c>
      <c r="V513" s="912">
        <v>0</v>
      </c>
      <c r="W513" s="398">
        <f t="shared" si="1248"/>
        <v>0</v>
      </c>
      <c r="X513" s="2792">
        <v>0</v>
      </c>
      <c r="Y513" s="2792">
        <v>0</v>
      </c>
      <c r="Z513" s="2792">
        <v>0</v>
      </c>
      <c r="AA513" s="2792">
        <v>0</v>
      </c>
      <c r="AB513" s="398">
        <f t="shared" si="1249"/>
        <v>0</v>
      </c>
      <c r="AC513" s="401">
        <f>AA513*(1+AC$884)</f>
        <v>0</v>
      </c>
      <c r="AD513" s="401">
        <f t="shared" si="1250"/>
        <v>0</v>
      </c>
      <c r="AE513" s="3666">
        <v>134</v>
      </c>
      <c r="AF513" s="3666">
        <v>402</v>
      </c>
      <c r="AG513" s="398">
        <f t="shared" si="1251"/>
        <v>402</v>
      </c>
      <c r="AH513" s="401">
        <f t="shared" si="1252"/>
        <v>408.03</v>
      </c>
      <c r="AI513" s="401">
        <f t="shared" si="1253"/>
        <v>414.15044999999992</v>
      </c>
      <c r="AJ513" s="401">
        <f t="shared" si="1254"/>
        <v>420.36270674999986</v>
      </c>
      <c r="AK513" s="820">
        <f t="shared" si="1255"/>
        <v>426.66814735124984</v>
      </c>
      <c r="AL513" s="820">
        <f t="shared" si="1256"/>
        <v>426.66814735124984</v>
      </c>
      <c r="AM513" s="398">
        <f t="shared" si="1257"/>
        <v>445.86821398205603</v>
      </c>
      <c r="AN513" s="398">
        <f t="shared" si="1257"/>
        <v>459.24426040151775</v>
      </c>
    </row>
    <row r="514" spans="1:40">
      <c r="A514" s="1828" t="s">
        <v>3022</v>
      </c>
      <c r="B514" s="1030"/>
      <c r="C514" s="508"/>
      <c r="D514" s="1030"/>
      <c r="E514" s="912"/>
      <c r="F514" s="912"/>
      <c r="G514" s="1041"/>
      <c r="H514" s="820"/>
      <c r="I514" s="1030"/>
      <c r="J514" s="912"/>
      <c r="K514" s="912"/>
      <c r="L514" s="1041"/>
      <c r="M514" s="820"/>
      <c r="N514" s="1030"/>
      <c r="O514" s="912"/>
      <c r="P514" s="912"/>
      <c r="Q514" s="1041"/>
      <c r="R514" s="820"/>
      <c r="S514" s="1030"/>
      <c r="T514" s="912"/>
      <c r="U514" s="912"/>
      <c r="V514" s="912"/>
      <c r="W514" s="398"/>
      <c r="X514" s="2791"/>
      <c r="Y514" s="2791"/>
      <c r="Z514" s="2791"/>
      <c r="AA514" s="2791">
        <v>0</v>
      </c>
      <c r="AB514" s="398">
        <f t="shared" ref="AB514:AG514" si="1258">+AA514</f>
        <v>0</v>
      </c>
      <c r="AC514" s="2944">
        <f t="shared" si="1258"/>
        <v>0</v>
      </c>
      <c r="AD514" s="406">
        <f t="shared" si="1258"/>
        <v>0</v>
      </c>
      <c r="AE514" s="3665">
        <f t="shared" si="1258"/>
        <v>0</v>
      </c>
      <c r="AF514" s="406">
        <f t="shared" si="1258"/>
        <v>0</v>
      </c>
      <c r="AG514" s="398">
        <f t="shared" si="1258"/>
        <v>0</v>
      </c>
      <c r="AH514" s="406">
        <f t="shared" ref="AH514" si="1259">+AG514</f>
        <v>0</v>
      </c>
      <c r="AI514" s="406">
        <f t="shared" ref="AI514" si="1260">+AH514</f>
        <v>0</v>
      </c>
      <c r="AJ514" s="406">
        <f t="shared" ref="AJ514" si="1261">+AI514</f>
        <v>0</v>
      </c>
      <c r="AK514" s="820">
        <f t="shared" ref="AK514" si="1262">+AJ514</f>
        <v>0</v>
      </c>
      <c r="AL514" s="398">
        <f t="shared" ref="AL514" si="1263">+AK514</f>
        <v>0</v>
      </c>
      <c r="AM514" s="398">
        <f>AL514</f>
        <v>0</v>
      </c>
      <c r="AN514" s="398">
        <f>AM514</f>
        <v>0</v>
      </c>
    </row>
    <row r="515" spans="1:40">
      <c r="A515" s="130" t="str">
        <f>A$12</f>
        <v>Hilton Hotels &amp; Resorts (Upper Up)</v>
      </c>
      <c r="B515" s="1030">
        <v>5868</v>
      </c>
      <c r="C515" s="508">
        <v>6072</v>
      </c>
      <c r="D515" s="1030">
        <v>6072</v>
      </c>
      <c r="E515" s="912">
        <v>6072</v>
      </c>
      <c r="F515" s="912">
        <v>6561</v>
      </c>
      <c r="G515" s="1041">
        <v>6768</v>
      </c>
      <c r="H515" s="820">
        <f t="shared" si="1245"/>
        <v>6768</v>
      </c>
      <c r="I515" s="1030">
        <v>6768</v>
      </c>
      <c r="J515" s="912">
        <v>6768</v>
      </c>
      <c r="K515" s="912">
        <v>7339</v>
      </c>
      <c r="L515" s="1041">
        <v>7339</v>
      </c>
      <c r="M515" s="820">
        <f t="shared" si="1246"/>
        <v>7339</v>
      </c>
      <c r="N515" s="1030">
        <v>7599</v>
      </c>
      <c r="O515" s="912">
        <v>7599</v>
      </c>
      <c r="P515" s="912">
        <v>7946</v>
      </c>
      <c r="Q515" s="1041">
        <v>7585</v>
      </c>
      <c r="R515" s="820">
        <f t="shared" si="1247"/>
        <v>7585</v>
      </c>
      <c r="S515" s="1030">
        <v>7266</v>
      </c>
      <c r="T515" s="912">
        <v>7687</v>
      </c>
      <c r="U515" s="912">
        <v>7656</v>
      </c>
      <c r="V515" s="912">
        <v>7656</v>
      </c>
      <c r="W515" s="398">
        <f t="shared" si="1248"/>
        <v>7656</v>
      </c>
      <c r="X515" s="2792">
        <v>7428</v>
      </c>
      <c r="Y515" s="2792">
        <v>7428</v>
      </c>
      <c r="Z515" s="2792">
        <v>7428</v>
      </c>
      <c r="AA515" s="2792">
        <v>7432</v>
      </c>
      <c r="AB515" s="398">
        <f t="shared" si="1249"/>
        <v>7432</v>
      </c>
      <c r="AC515" s="2939">
        <f>AA515*(1+AC$884)+'Owned Hotels Spinoff'!$D$45</f>
        <v>8756.32</v>
      </c>
      <c r="AD515" s="401">
        <f t="shared" ref="AD515:AF521" si="1264">AC515*(1+AD$884)</f>
        <v>8842.3877757128248</v>
      </c>
      <c r="AE515" s="3666">
        <v>9235</v>
      </c>
      <c r="AF515" s="3666">
        <v>9235</v>
      </c>
      <c r="AG515" s="398">
        <f t="shared" si="1251"/>
        <v>9235</v>
      </c>
      <c r="AH515" s="401">
        <f t="shared" ref="AH515:AH524" si="1265">AG515*(1+AH$884)</f>
        <v>9373.5249999999996</v>
      </c>
      <c r="AI515" s="401">
        <f t="shared" ref="AI515:AI524" si="1266">AH515*(1+AI$884)</f>
        <v>9514.1278749999983</v>
      </c>
      <c r="AJ515" s="401">
        <f t="shared" ref="AJ515:AJ523" si="1267">AI515*(1+AJ$884)</f>
        <v>9656.8397931249965</v>
      </c>
      <c r="AK515" s="820">
        <f t="shared" ref="AK515:AK523" si="1268">AJ515*(1+AK$884)</f>
        <v>9801.6923900218699</v>
      </c>
      <c r="AL515" s="820">
        <f t="shared" ref="AL515" si="1269">AK515</f>
        <v>9801.6923900218699</v>
      </c>
      <c r="AM515" s="398">
        <f t="shared" ref="AM515:AN521" si="1270">AL515*(1+AM$883)</f>
        <v>10242.768547572854</v>
      </c>
      <c r="AN515" s="398">
        <f t="shared" si="1270"/>
        <v>10550.05160400004</v>
      </c>
    </row>
    <row r="516" spans="1:40">
      <c r="A516" s="130" t="str">
        <f>A$13</f>
        <v xml:space="preserve">Curio - A Collection by Hilton </v>
      </c>
      <c r="B516" s="1030"/>
      <c r="C516" s="508"/>
      <c r="D516" s="1030"/>
      <c r="E516" s="912"/>
      <c r="F516" s="912"/>
      <c r="G516" s="1041"/>
      <c r="H516" s="820"/>
      <c r="I516" s="1030"/>
      <c r="J516" s="912"/>
      <c r="K516" s="912"/>
      <c r="L516" s="1041"/>
      <c r="M516" s="820"/>
      <c r="N516" s="1030"/>
      <c r="O516" s="912"/>
      <c r="P516" s="912"/>
      <c r="Q516" s="1041"/>
      <c r="R516" s="820"/>
      <c r="S516" s="1030">
        <v>0</v>
      </c>
      <c r="T516" s="912">
        <v>0</v>
      </c>
      <c r="U516" s="912">
        <v>0</v>
      </c>
      <c r="V516" s="912">
        <v>0</v>
      </c>
      <c r="W516" s="398">
        <f>V516</f>
        <v>0</v>
      </c>
      <c r="X516" s="2792">
        <v>0</v>
      </c>
      <c r="Y516" s="2792">
        <v>0</v>
      </c>
      <c r="Z516" s="2792">
        <v>0</v>
      </c>
      <c r="AA516" s="2792">
        <v>0</v>
      </c>
      <c r="AB516" s="398">
        <f>AA516</f>
        <v>0</v>
      </c>
      <c r="AC516" s="401">
        <f t="shared" ref="AC516:AC524" si="1271">AA516*(1+AC$884)</f>
        <v>0</v>
      </c>
      <c r="AD516" s="401">
        <f t="shared" ref="AD516:AD521" si="1272">AC516*(1+AD$884)</f>
        <v>0</v>
      </c>
      <c r="AE516" s="3666">
        <v>0</v>
      </c>
      <c r="AF516" s="406">
        <f t="shared" si="1264"/>
        <v>0</v>
      </c>
      <c r="AG516" s="398">
        <f>AF516</f>
        <v>0</v>
      </c>
      <c r="AH516" s="401">
        <f t="shared" si="1265"/>
        <v>0</v>
      </c>
      <c r="AI516" s="401">
        <f t="shared" si="1266"/>
        <v>0</v>
      </c>
      <c r="AJ516" s="401">
        <f t="shared" si="1267"/>
        <v>0</v>
      </c>
      <c r="AK516" s="820">
        <f t="shared" si="1268"/>
        <v>0</v>
      </c>
      <c r="AL516" s="820">
        <f>AK516</f>
        <v>0</v>
      </c>
      <c r="AM516" s="398">
        <f t="shared" si="1270"/>
        <v>0</v>
      </c>
      <c r="AN516" s="398">
        <f t="shared" si="1270"/>
        <v>0</v>
      </c>
    </row>
    <row r="517" spans="1:40">
      <c r="A517" s="130" t="str">
        <f>A$14</f>
        <v>DoubleTree by Hilton (Upscale)</v>
      </c>
      <c r="B517" s="1030">
        <v>537</v>
      </c>
      <c r="C517" s="508">
        <v>537</v>
      </c>
      <c r="D517" s="1030">
        <v>637</v>
      </c>
      <c r="E517" s="912">
        <v>637</v>
      </c>
      <c r="F517" s="912">
        <v>637</v>
      </c>
      <c r="G517" s="1041">
        <v>737</v>
      </c>
      <c r="H517" s="820">
        <f t="shared" si="1245"/>
        <v>737</v>
      </c>
      <c r="I517" s="1030">
        <v>737</v>
      </c>
      <c r="J517" s="912">
        <v>737</v>
      </c>
      <c r="K517" s="912">
        <v>637</v>
      </c>
      <c r="L517" s="1041">
        <v>637</v>
      </c>
      <c r="M517" s="820">
        <f t="shared" si="1246"/>
        <v>637</v>
      </c>
      <c r="N517" s="1030">
        <v>637</v>
      </c>
      <c r="O517" s="912">
        <v>637</v>
      </c>
      <c r="P517" s="912">
        <v>637</v>
      </c>
      <c r="Q517" s="1041">
        <v>637</v>
      </c>
      <c r="R517" s="820">
        <f t="shared" si="1247"/>
        <v>637</v>
      </c>
      <c r="S517" s="1030">
        <v>637</v>
      </c>
      <c r="T517" s="912">
        <v>637</v>
      </c>
      <c r="U517" s="912">
        <v>637</v>
      </c>
      <c r="V517" s="912">
        <v>785</v>
      </c>
      <c r="W517" s="398">
        <f t="shared" si="1248"/>
        <v>785</v>
      </c>
      <c r="X517" s="2792">
        <v>785</v>
      </c>
      <c r="Y517" s="2792">
        <v>1011</v>
      </c>
      <c r="Z517" s="2792">
        <v>863</v>
      </c>
      <c r="AA517" s="2792">
        <v>1035</v>
      </c>
      <c r="AB517" s="398">
        <f t="shared" si="1249"/>
        <v>1035</v>
      </c>
      <c r="AC517" s="401">
        <f t="shared" si="1271"/>
        <v>1045.3499999999999</v>
      </c>
      <c r="AD517" s="401">
        <f t="shared" si="1272"/>
        <v>1055.6249727444178</v>
      </c>
      <c r="AE517" s="3666">
        <v>1035</v>
      </c>
      <c r="AF517" s="3666">
        <v>809</v>
      </c>
      <c r="AG517" s="398">
        <f t="shared" si="1251"/>
        <v>809</v>
      </c>
      <c r="AH517" s="401">
        <f t="shared" si="1265"/>
        <v>821.13499999999988</v>
      </c>
      <c r="AI517" s="401">
        <f t="shared" si="1266"/>
        <v>833.45202499999982</v>
      </c>
      <c r="AJ517" s="401">
        <f t="shared" si="1267"/>
        <v>845.95380537499977</v>
      </c>
      <c r="AK517" s="820">
        <f t="shared" si="1268"/>
        <v>858.64311245562465</v>
      </c>
      <c r="AL517" s="820">
        <f t="shared" ref="AL517:AL524" si="1273">AK517</f>
        <v>858.64311245562465</v>
      </c>
      <c r="AM517" s="398">
        <f t="shared" si="1270"/>
        <v>897.28205251612769</v>
      </c>
      <c r="AN517" s="398">
        <f t="shared" si="1270"/>
        <v>924.20051409161158</v>
      </c>
    </row>
    <row r="518" spans="1:40">
      <c r="A518" s="130" t="str">
        <f>A$15</f>
        <v>Embassy Suites Hotels (Upper Up)</v>
      </c>
      <c r="B518" s="1030">
        <v>473</v>
      </c>
      <c r="C518" s="508">
        <v>473</v>
      </c>
      <c r="D518" s="1030">
        <v>473</v>
      </c>
      <c r="E518" s="912">
        <v>473</v>
      </c>
      <c r="F518" s="912">
        <v>473</v>
      </c>
      <c r="G518" s="1041">
        <v>473</v>
      </c>
      <c r="H518" s="820">
        <f t="shared" si="1245"/>
        <v>473</v>
      </c>
      <c r="I518" s="1030">
        <v>473</v>
      </c>
      <c r="J518" s="912">
        <v>473</v>
      </c>
      <c r="K518" s="912">
        <v>473</v>
      </c>
      <c r="L518" s="1041">
        <v>473</v>
      </c>
      <c r="M518" s="820">
        <f t="shared" si="1246"/>
        <v>473</v>
      </c>
      <c r="N518" s="1030">
        <v>473</v>
      </c>
      <c r="O518" s="912">
        <v>653</v>
      </c>
      <c r="P518" s="912">
        <v>653</v>
      </c>
      <c r="Q518" s="1041">
        <v>653</v>
      </c>
      <c r="R518" s="820">
        <f t="shared" si="1247"/>
        <v>653</v>
      </c>
      <c r="S518" s="1030">
        <v>653</v>
      </c>
      <c r="T518" s="912">
        <v>623</v>
      </c>
      <c r="U518" s="912">
        <v>623</v>
      </c>
      <c r="V518" s="912">
        <v>623</v>
      </c>
      <c r="W518" s="398">
        <f t="shared" si="1248"/>
        <v>623</v>
      </c>
      <c r="X518" s="2792">
        <v>623</v>
      </c>
      <c r="Y518" s="2792">
        <v>623</v>
      </c>
      <c r="Z518" s="2792">
        <v>634</v>
      </c>
      <c r="AA518" s="2792">
        <v>634</v>
      </c>
      <c r="AB518" s="398">
        <f t="shared" si="1249"/>
        <v>634</v>
      </c>
      <c r="AC518" s="401">
        <f t="shared" si="1271"/>
        <v>640.34</v>
      </c>
      <c r="AD518" s="401">
        <f t="shared" si="1272"/>
        <v>646.63404127532465</v>
      </c>
      <c r="AE518" s="3666">
        <v>667</v>
      </c>
      <c r="AF518" s="3666">
        <v>667</v>
      </c>
      <c r="AG518" s="398">
        <f t="shared" si="1251"/>
        <v>667</v>
      </c>
      <c r="AH518" s="401">
        <f t="shared" si="1265"/>
        <v>677.00499999999988</v>
      </c>
      <c r="AI518" s="401">
        <f t="shared" si="1266"/>
        <v>687.16007499999978</v>
      </c>
      <c r="AJ518" s="401">
        <f t="shared" si="1267"/>
        <v>697.46747612499973</v>
      </c>
      <c r="AK518" s="820">
        <f t="shared" si="1268"/>
        <v>707.92948826687461</v>
      </c>
      <c r="AL518" s="820">
        <f t="shared" si="1273"/>
        <v>707.92948826687461</v>
      </c>
      <c r="AM518" s="398">
        <f t="shared" si="1270"/>
        <v>739.78631523888396</v>
      </c>
      <c r="AN518" s="398">
        <f t="shared" si="1270"/>
        <v>761.97990469605054</v>
      </c>
    </row>
    <row r="519" spans="1:40">
      <c r="A519" s="130" t="str">
        <f>A$16</f>
        <v>Hilton Garden Inn (Upscale)</v>
      </c>
      <c r="B519" s="1030">
        <v>169</v>
      </c>
      <c r="C519" s="508">
        <v>480</v>
      </c>
      <c r="D519" s="1030">
        <v>480</v>
      </c>
      <c r="E519" s="912">
        <v>480</v>
      </c>
      <c r="F519" s="912">
        <v>480</v>
      </c>
      <c r="G519" s="1041">
        <v>685</v>
      </c>
      <c r="H519" s="820">
        <f t="shared" si="1245"/>
        <v>685</v>
      </c>
      <c r="I519" s="1030">
        <v>685</v>
      </c>
      <c r="J519" s="912">
        <v>685</v>
      </c>
      <c r="K519" s="912">
        <v>685</v>
      </c>
      <c r="L519" s="1041">
        <v>685</v>
      </c>
      <c r="M519" s="820">
        <f t="shared" si="1246"/>
        <v>685</v>
      </c>
      <c r="N519" s="1030">
        <v>685</v>
      </c>
      <c r="O519" s="912">
        <v>685</v>
      </c>
      <c r="P519" s="912">
        <v>808</v>
      </c>
      <c r="Q519" s="1041">
        <v>808</v>
      </c>
      <c r="R519" s="820">
        <f t="shared" si="1247"/>
        <v>808</v>
      </c>
      <c r="S519" s="1030">
        <v>639</v>
      </c>
      <c r="T519" s="912">
        <v>639</v>
      </c>
      <c r="U519" s="912">
        <v>639</v>
      </c>
      <c r="V519" s="912">
        <v>948</v>
      </c>
      <c r="W519" s="398">
        <f t="shared" si="1248"/>
        <v>948</v>
      </c>
      <c r="X519" s="2792">
        <v>1071</v>
      </c>
      <c r="Y519" s="2792">
        <v>1071</v>
      </c>
      <c r="Z519" s="2792">
        <v>1071</v>
      </c>
      <c r="AA519" s="2792">
        <v>1071</v>
      </c>
      <c r="AB519" s="398">
        <f t="shared" si="1249"/>
        <v>1071</v>
      </c>
      <c r="AC519" s="401">
        <f t="shared" si="1271"/>
        <v>1081.71</v>
      </c>
      <c r="AD519" s="401">
        <f t="shared" si="1272"/>
        <v>1092.3423631007456</v>
      </c>
      <c r="AE519" s="3666">
        <v>930</v>
      </c>
      <c r="AF519" s="3666">
        <v>1084</v>
      </c>
      <c r="AG519" s="398">
        <f t="shared" si="1251"/>
        <v>1084</v>
      </c>
      <c r="AH519" s="401">
        <f t="shared" si="1265"/>
        <v>1100.26</v>
      </c>
      <c r="AI519" s="401">
        <f t="shared" si="1266"/>
        <v>1116.7638999999999</v>
      </c>
      <c r="AJ519" s="401">
        <f t="shared" si="1267"/>
        <v>1133.5153584999998</v>
      </c>
      <c r="AK519" s="820">
        <f t="shared" si="1268"/>
        <v>1150.5180888774996</v>
      </c>
      <c r="AL519" s="820">
        <f t="shared" si="1273"/>
        <v>1150.5180888774996</v>
      </c>
      <c r="AM519" s="398">
        <f t="shared" si="1270"/>
        <v>1202.2914028769869</v>
      </c>
      <c r="AN519" s="398">
        <f t="shared" si="1270"/>
        <v>1238.3601449632965</v>
      </c>
    </row>
    <row r="520" spans="1:40">
      <c r="A520" s="130" t="str">
        <f>A$17</f>
        <v>Hampton Inn (Upper Mid)</v>
      </c>
      <c r="B520" s="1030">
        <v>108</v>
      </c>
      <c r="C520" s="508">
        <v>309</v>
      </c>
      <c r="D520" s="1030">
        <v>429</v>
      </c>
      <c r="E520" s="912">
        <v>429</v>
      </c>
      <c r="F520" s="912">
        <v>429</v>
      </c>
      <c r="G520" s="1041">
        <v>519</v>
      </c>
      <c r="H520" s="820">
        <f t="shared" si="1245"/>
        <v>519</v>
      </c>
      <c r="I520" s="1030">
        <v>519</v>
      </c>
      <c r="J520" s="912">
        <v>519</v>
      </c>
      <c r="K520" s="912">
        <v>594</v>
      </c>
      <c r="L520" s="1041">
        <v>729</v>
      </c>
      <c r="M520" s="820">
        <f t="shared" si="1246"/>
        <v>729</v>
      </c>
      <c r="N520" s="1030">
        <v>729</v>
      </c>
      <c r="O520" s="912">
        <v>729</v>
      </c>
      <c r="P520" s="912">
        <v>837</v>
      </c>
      <c r="Q520" s="1041">
        <v>837</v>
      </c>
      <c r="R520" s="820">
        <f t="shared" si="1247"/>
        <v>837</v>
      </c>
      <c r="S520" s="1030">
        <v>935</v>
      </c>
      <c r="T520" s="912">
        <v>935</v>
      </c>
      <c r="U520" s="912">
        <v>1290</v>
      </c>
      <c r="V520" s="912">
        <v>1416</v>
      </c>
      <c r="W520" s="398">
        <f t="shared" si="1248"/>
        <v>1416</v>
      </c>
      <c r="X520" s="2792">
        <v>1416</v>
      </c>
      <c r="Y520" s="2792">
        <v>1416</v>
      </c>
      <c r="Z520" s="2792">
        <v>1416</v>
      </c>
      <c r="AA520" s="2792">
        <v>1420</v>
      </c>
      <c r="AB520" s="398">
        <f t="shared" si="1249"/>
        <v>1420</v>
      </c>
      <c r="AC520" s="401">
        <f t="shared" si="1271"/>
        <v>1434.2</v>
      </c>
      <c r="AD520" s="401">
        <f t="shared" si="1272"/>
        <v>1448.2970640551437</v>
      </c>
      <c r="AE520" s="3666">
        <v>1678</v>
      </c>
      <c r="AF520" s="3666">
        <v>1677</v>
      </c>
      <c r="AG520" s="398">
        <f t="shared" si="1251"/>
        <v>1677</v>
      </c>
      <c r="AH520" s="401">
        <f t="shared" si="1265"/>
        <v>1702.1549999999997</v>
      </c>
      <c r="AI520" s="401">
        <f t="shared" si="1266"/>
        <v>1727.6873249999996</v>
      </c>
      <c r="AJ520" s="401">
        <f t="shared" si="1267"/>
        <v>1753.6026348749995</v>
      </c>
      <c r="AK520" s="820">
        <f t="shared" si="1268"/>
        <v>1779.9066743981243</v>
      </c>
      <c r="AL520" s="820">
        <f t="shared" si="1273"/>
        <v>1779.9066743981243</v>
      </c>
      <c r="AM520" s="398">
        <f t="shared" si="1270"/>
        <v>1860.0024747460398</v>
      </c>
      <c r="AN520" s="398">
        <f t="shared" si="1270"/>
        <v>1915.802548988421</v>
      </c>
    </row>
    <row r="521" spans="1:40">
      <c r="A521" s="130" t="s">
        <v>1408</v>
      </c>
      <c r="B521" s="1030">
        <v>0</v>
      </c>
      <c r="C521" s="508">
        <v>0</v>
      </c>
      <c r="D521" s="1030">
        <v>0</v>
      </c>
      <c r="E521" s="912">
        <v>0</v>
      </c>
      <c r="F521" s="912">
        <v>0</v>
      </c>
      <c r="G521" s="1041">
        <v>0</v>
      </c>
      <c r="H521" s="820">
        <f t="shared" si="1245"/>
        <v>0</v>
      </c>
      <c r="I521" s="1030">
        <v>0</v>
      </c>
      <c r="J521" s="912">
        <v>0</v>
      </c>
      <c r="K521" s="912">
        <v>0</v>
      </c>
      <c r="L521" s="1041">
        <v>97</v>
      </c>
      <c r="M521" s="820">
        <f t="shared" si="1246"/>
        <v>97</v>
      </c>
      <c r="N521" s="1030">
        <v>97</v>
      </c>
      <c r="O521" s="912">
        <v>97</v>
      </c>
      <c r="P521" s="912">
        <v>97</v>
      </c>
      <c r="Q521" s="1041">
        <v>97</v>
      </c>
      <c r="R521" s="820">
        <f t="shared" si="1247"/>
        <v>97</v>
      </c>
      <c r="S521" s="1030">
        <v>97</v>
      </c>
      <c r="T521" s="912">
        <v>97</v>
      </c>
      <c r="U521" s="912">
        <v>97</v>
      </c>
      <c r="V521" s="912">
        <v>97</v>
      </c>
      <c r="W521" s="398">
        <f t="shared" si="1248"/>
        <v>97</v>
      </c>
      <c r="X521" s="2792">
        <v>97</v>
      </c>
      <c r="Y521" s="2792">
        <v>97</v>
      </c>
      <c r="Z521" s="2792">
        <v>0</v>
      </c>
      <c r="AA521" s="2792">
        <v>0</v>
      </c>
      <c r="AB521" s="398">
        <f t="shared" si="1249"/>
        <v>0</v>
      </c>
      <c r="AC521" s="401">
        <f t="shared" si="1271"/>
        <v>0</v>
      </c>
      <c r="AD521" s="401">
        <f t="shared" si="1272"/>
        <v>0</v>
      </c>
      <c r="AE521" s="3666">
        <v>0</v>
      </c>
      <c r="AF521" s="406">
        <f t="shared" si="1264"/>
        <v>0</v>
      </c>
      <c r="AG521" s="398">
        <f t="shared" si="1251"/>
        <v>0</v>
      </c>
      <c r="AH521" s="401">
        <f t="shared" si="1265"/>
        <v>0</v>
      </c>
      <c r="AI521" s="401">
        <f t="shared" si="1266"/>
        <v>0</v>
      </c>
      <c r="AJ521" s="401">
        <f t="shared" si="1267"/>
        <v>0</v>
      </c>
      <c r="AK521" s="820">
        <f t="shared" si="1268"/>
        <v>0</v>
      </c>
      <c r="AL521" s="820">
        <f t="shared" si="1273"/>
        <v>0</v>
      </c>
      <c r="AM521" s="820">
        <f t="shared" si="1270"/>
        <v>0</v>
      </c>
      <c r="AN521" s="820">
        <f t="shared" si="1270"/>
        <v>0</v>
      </c>
    </row>
    <row r="522" spans="1:40">
      <c r="A522" s="130" t="str">
        <f>$A$90</f>
        <v>Tru by Hilton</v>
      </c>
      <c r="B522" s="1030"/>
      <c r="C522" s="508"/>
      <c r="D522" s="1030"/>
      <c r="E522" s="912"/>
      <c r="F522" s="912"/>
      <c r="G522" s="1041"/>
      <c r="H522" s="820"/>
      <c r="I522" s="1030"/>
      <c r="J522" s="912"/>
      <c r="K522" s="912"/>
      <c r="L522" s="1041"/>
      <c r="M522" s="820"/>
      <c r="N522" s="1030"/>
      <c r="O522" s="912"/>
      <c r="P522" s="912"/>
      <c r="Q522" s="1041"/>
      <c r="R522" s="820"/>
      <c r="S522" s="1030"/>
      <c r="T522" s="912"/>
      <c r="U522" s="912"/>
      <c r="V522" s="912"/>
      <c r="W522" s="398"/>
      <c r="X522" s="2791"/>
      <c r="Y522" s="2791"/>
      <c r="Z522" s="2791"/>
      <c r="AA522" s="2791"/>
      <c r="AB522" s="398"/>
      <c r="AC522" s="401">
        <f t="shared" si="1271"/>
        <v>0</v>
      </c>
      <c r="AD522" s="401">
        <f t="shared" ref="AD522:AF522" si="1274">AC522*(1+AD$884)</f>
        <v>0</v>
      </c>
      <c r="AE522" s="3666">
        <v>0</v>
      </c>
      <c r="AF522" s="406">
        <f t="shared" si="1274"/>
        <v>0</v>
      </c>
      <c r="AG522" s="398">
        <f t="shared" ref="AG522:AG523" si="1275">AF522</f>
        <v>0</v>
      </c>
      <c r="AH522" s="401">
        <f t="shared" si="1265"/>
        <v>0</v>
      </c>
      <c r="AI522" s="401">
        <f t="shared" si="1266"/>
        <v>0</v>
      </c>
      <c r="AJ522" s="401">
        <f t="shared" si="1267"/>
        <v>0</v>
      </c>
      <c r="AK522" s="820">
        <f t="shared" si="1268"/>
        <v>0</v>
      </c>
      <c r="AL522" s="820">
        <f t="shared" si="1273"/>
        <v>0</v>
      </c>
      <c r="AM522" s="820">
        <f t="shared" ref="AM522:AN522" si="1276">AL522*(1+AM$883)</f>
        <v>0</v>
      </c>
      <c r="AN522" s="820">
        <f t="shared" si="1276"/>
        <v>0</v>
      </c>
    </row>
    <row r="523" spans="1:40">
      <c r="A523" s="130" t="str">
        <f>$A$91</f>
        <v>Tapestry Collection by Hilton</v>
      </c>
      <c r="B523" s="1030"/>
      <c r="C523" s="508"/>
      <c r="D523" s="1030"/>
      <c r="E523" s="912"/>
      <c r="F523" s="912"/>
      <c r="G523" s="1041"/>
      <c r="H523" s="820"/>
      <c r="I523" s="1030"/>
      <c r="J523" s="912"/>
      <c r="K523" s="912"/>
      <c r="L523" s="1041"/>
      <c r="M523" s="820"/>
      <c r="N523" s="1030"/>
      <c r="O523" s="912"/>
      <c r="P523" s="912"/>
      <c r="Q523" s="1041"/>
      <c r="R523" s="820"/>
      <c r="S523" s="1030"/>
      <c r="T523" s="912"/>
      <c r="U523" s="912"/>
      <c r="V523" s="912"/>
      <c r="W523" s="398"/>
      <c r="X523" s="2791"/>
      <c r="Y523" s="2791"/>
      <c r="Z523" s="2791"/>
      <c r="AA523" s="2791"/>
      <c r="AB523" s="398"/>
      <c r="AC523" s="401">
        <f t="shared" si="1271"/>
        <v>0</v>
      </c>
      <c r="AD523" s="401">
        <f t="shared" ref="AD523:AF523" si="1277">AC523*(1+AD$884)</f>
        <v>0</v>
      </c>
      <c r="AE523" s="3666">
        <v>0</v>
      </c>
      <c r="AF523" s="406">
        <f t="shared" si="1277"/>
        <v>0</v>
      </c>
      <c r="AG523" s="398">
        <f t="shared" si="1275"/>
        <v>0</v>
      </c>
      <c r="AH523" s="401">
        <f t="shared" si="1265"/>
        <v>0</v>
      </c>
      <c r="AI523" s="401">
        <f t="shared" si="1266"/>
        <v>0</v>
      </c>
      <c r="AJ523" s="401">
        <f t="shared" si="1267"/>
        <v>0</v>
      </c>
      <c r="AK523" s="820">
        <f t="shared" si="1268"/>
        <v>0</v>
      </c>
      <c r="AL523" s="820">
        <f t="shared" si="1273"/>
        <v>0</v>
      </c>
      <c r="AM523" s="820">
        <f t="shared" ref="AM523:AN523" si="1278">AL523*(1+AM$883)</f>
        <v>0</v>
      </c>
      <c r="AN523" s="820">
        <f t="shared" si="1278"/>
        <v>0</v>
      </c>
    </row>
    <row r="524" spans="1:40" s="5" customFormat="1">
      <c r="A524" s="402" t="str">
        <f>A$21</f>
        <v>Homewood Suites by Hilton (Upscale)</v>
      </c>
      <c r="B524" s="1031">
        <v>102</v>
      </c>
      <c r="C524" s="1029">
        <v>102</v>
      </c>
      <c r="D524" s="1031">
        <v>102</v>
      </c>
      <c r="E524" s="1039">
        <v>102</v>
      </c>
      <c r="F524" s="1039">
        <v>102</v>
      </c>
      <c r="G524" s="1042">
        <v>102</v>
      </c>
      <c r="H524" s="700">
        <f t="shared" si="1245"/>
        <v>102</v>
      </c>
      <c r="I524" s="1031">
        <v>102</v>
      </c>
      <c r="J524" s="1039">
        <v>102</v>
      </c>
      <c r="K524" s="1039">
        <v>102</v>
      </c>
      <c r="L524" s="1042">
        <v>102</v>
      </c>
      <c r="M524" s="700">
        <f t="shared" si="1246"/>
        <v>102</v>
      </c>
      <c r="N524" s="1031">
        <v>102</v>
      </c>
      <c r="O524" s="1039">
        <v>224</v>
      </c>
      <c r="P524" s="1039">
        <v>224</v>
      </c>
      <c r="Q524" s="1042">
        <v>224</v>
      </c>
      <c r="R524" s="700">
        <f t="shared" si="1247"/>
        <v>224</v>
      </c>
      <c r="S524" s="1031">
        <v>224</v>
      </c>
      <c r="T524" s="1039">
        <v>224</v>
      </c>
      <c r="U524" s="1039">
        <v>224</v>
      </c>
      <c r="V524" s="1039">
        <v>224</v>
      </c>
      <c r="W524" s="403">
        <f t="shared" si="1248"/>
        <v>224</v>
      </c>
      <c r="X524" s="2794">
        <v>224</v>
      </c>
      <c r="Y524" s="2794">
        <v>224</v>
      </c>
      <c r="Z524" s="2794">
        <v>321</v>
      </c>
      <c r="AA524" s="2794">
        <v>219</v>
      </c>
      <c r="AB524" s="403">
        <f t="shared" si="1249"/>
        <v>219</v>
      </c>
      <c r="AC524" s="615">
        <f t="shared" si="1271"/>
        <v>221.19</v>
      </c>
      <c r="AD524" s="615">
        <f>AC524*(1+AD$884)</f>
        <v>223.36412466765947</v>
      </c>
      <c r="AE524" s="4005">
        <v>219</v>
      </c>
      <c r="AF524" s="4005">
        <v>358</v>
      </c>
      <c r="AG524" s="403">
        <f t="shared" si="1251"/>
        <v>358</v>
      </c>
      <c r="AH524" s="615">
        <f t="shared" si="1265"/>
        <v>363.36999999999995</v>
      </c>
      <c r="AI524" s="615">
        <f t="shared" si="1266"/>
        <v>368.82054999999991</v>
      </c>
      <c r="AJ524" s="615">
        <f>AI524*(1+AJ$884)</f>
        <v>374.35285824999988</v>
      </c>
      <c r="AK524" s="700">
        <f>AJ524*(1+AK$884)</f>
        <v>379.96815112374986</v>
      </c>
      <c r="AL524" s="700">
        <f t="shared" si="1273"/>
        <v>379.96815112374986</v>
      </c>
      <c r="AM524" s="700">
        <f>AL524*(1+AM$883)</f>
        <v>397.0667179243186</v>
      </c>
      <c r="AN524" s="700">
        <f>AM524*(1+AN$883)</f>
        <v>408.97871946204816</v>
      </c>
    </row>
    <row r="525" spans="1:40">
      <c r="A525" s="482" t="s">
        <v>1687</v>
      </c>
      <c r="B525" s="1032">
        <f t="shared" ref="B525:R525" si="1279">SUM(B512:B524)</f>
        <v>8213</v>
      </c>
      <c r="C525" s="400">
        <f t="shared" si="1279"/>
        <v>8543</v>
      </c>
      <c r="D525" s="1032">
        <f t="shared" si="1279"/>
        <v>8763</v>
      </c>
      <c r="E525" s="405">
        <f t="shared" si="1279"/>
        <v>8763</v>
      </c>
      <c r="F525" s="405">
        <f t="shared" si="1279"/>
        <v>9252</v>
      </c>
      <c r="G525" s="821">
        <f t="shared" si="1279"/>
        <v>9854</v>
      </c>
      <c r="H525" s="821">
        <f t="shared" si="1279"/>
        <v>9854</v>
      </c>
      <c r="I525" s="1032">
        <f t="shared" si="1279"/>
        <v>10102</v>
      </c>
      <c r="J525" s="405">
        <f t="shared" si="1279"/>
        <v>10102</v>
      </c>
      <c r="K525" s="405">
        <f t="shared" si="1279"/>
        <v>10078</v>
      </c>
      <c r="L525" s="821">
        <f t="shared" si="1279"/>
        <v>10310</v>
      </c>
      <c r="M525" s="821">
        <f t="shared" si="1279"/>
        <v>10310</v>
      </c>
      <c r="N525" s="1032">
        <f t="shared" si="1279"/>
        <v>10570</v>
      </c>
      <c r="O525" s="399">
        <f t="shared" si="1279"/>
        <v>10872</v>
      </c>
      <c r="P525" s="399">
        <f t="shared" si="1279"/>
        <v>11450</v>
      </c>
      <c r="Q525" s="821">
        <f t="shared" si="1279"/>
        <v>11089</v>
      </c>
      <c r="R525" s="821">
        <f t="shared" si="1279"/>
        <v>11089</v>
      </c>
      <c r="S525" s="1032">
        <f t="shared" ref="S525:AB525" si="1280">SUM(S512:S524)</f>
        <v>10604</v>
      </c>
      <c r="T525" s="405">
        <f t="shared" si="1280"/>
        <v>10995</v>
      </c>
      <c r="U525" s="405">
        <f>SUM(U512:U524)</f>
        <v>11319</v>
      </c>
      <c r="V525" s="405">
        <f>SUM(V512:V524)</f>
        <v>11902</v>
      </c>
      <c r="W525" s="400">
        <f t="shared" si="1280"/>
        <v>11902</v>
      </c>
      <c r="X525" s="399">
        <f t="shared" si="1280"/>
        <v>11797</v>
      </c>
      <c r="Y525" s="399">
        <f>SUM(Y512:Y524)</f>
        <v>12016</v>
      </c>
      <c r="Z525" s="399">
        <f>SUM(Z512:Z524)</f>
        <v>11877</v>
      </c>
      <c r="AA525" s="399">
        <f>SUM(AA512:AA524)</f>
        <v>11953</v>
      </c>
      <c r="AB525" s="400">
        <f t="shared" si="1280"/>
        <v>11953</v>
      </c>
      <c r="AC525" s="399">
        <f t="shared" ref="AC525:AN525" si="1281">SUM(AC512:AC524)</f>
        <v>13322.53</v>
      </c>
      <c r="AD525" s="399">
        <f t="shared" si="1281"/>
        <v>13453.480047961631</v>
      </c>
      <c r="AE525" s="399">
        <f t="shared" si="1281"/>
        <v>14040</v>
      </c>
      <c r="AF525" s="821">
        <f t="shared" si="1281"/>
        <v>14374</v>
      </c>
      <c r="AG525" s="400">
        <f t="shared" si="1281"/>
        <v>14374</v>
      </c>
      <c r="AH525" s="399">
        <f t="shared" si="1281"/>
        <v>14589.609999999999</v>
      </c>
      <c r="AI525" s="399">
        <f t="shared" si="1281"/>
        <v>14808.454149999998</v>
      </c>
      <c r="AJ525" s="399">
        <f t="shared" ref="AJ525:AL525" si="1282">SUM(AJ512:AJ524)</f>
        <v>15030.580962249996</v>
      </c>
      <c r="AK525" s="821">
        <f t="shared" si="1282"/>
        <v>15256.039676683742</v>
      </c>
      <c r="AL525" s="400">
        <f t="shared" si="1282"/>
        <v>15256.039676683742</v>
      </c>
      <c r="AM525" s="821">
        <f t="shared" si="1281"/>
        <v>15942.56146213451</v>
      </c>
      <c r="AN525" s="821">
        <f t="shared" si="1281"/>
        <v>16420.838305998546</v>
      </c>
    </row>
    <row r="526" spans="1:40">
      <c r="A526" s="130"/>
      <c r="B526" s="1033"/>
      <c r="C526" s="398"/>
      <c r="D526" s="1033"/>
      <c r="E526" s="406"/>
      <c r="F526" s="406"/>
      <c r="G526" s="820"/>
      <c r="H526" s="820"/>
      <c r="I526" s="1033"/>
      <c r="J526" s="406"/>
      <c r="K526" s="406"/>
      <c r="L526" s="820"/>
      <c r="M526" s="820"/>
      <c r="N526" s="401"/>
      <c r="O526" s="401"/>
      <c r="P526" s="401"/>
      <c r="Q526" s="820"/>
      <c r="R526" s="820"/>
      <c r="S526" s="1033"/>
      <c r="T526" s="406"/>
      <c r="U526" s="406"/>
      <c r="V526" s="406"/>
      <c r="W526" s="398"/>
      <c r="X526" s="401"/>
      <c r="Y526" s="401"/>
      <c r="Z526" s="401"/>
      <c r="AA526" s="401"/>
      <c r="AB526" s="398"/>
      <c r="AC526" s="401"/>
      <c r="AD526" s="401"/>
      <c r="AE526" s="401"/>
      <c r="AF526" s="820"/>
      <c r="AG526" s="398"/>
      <c r="AH526" s="401"/>
      <c r="AI526" s="401"/>
      <c r="AJ526" s="401"/>
      <c r="AK526" s="820"/>
      <c r="AL526" s="398"/>
      <c r="AM526" s="820"/>
      <c r="AN526" s="820"/>
    </row>
    <row r="527" spans="1:40">
      <c r="A527" s="295" t="s">
        <v>1284</v>
      </c>
      <c r="B527" s="1033"/>
      <c r="C527" s="398"/>
      <c r="D527" s="1033"/>
      <c r="E527" s="406"/>
      <c r="F527" s="406"/>
      <c r="G527" s="820"/>
      <c r="H527" s="820"/>
      <c r="I527" s="1033"/>
      <c r="J527" s="406"/>
      <c r="K527" s="406"/>
      <c r="L527" s="820"/>
      <c r="M527" s="820"/>
      <c r="N527" s="401"/>
      <c r="O527" s="401"/>
      <c r="P527" s="401"/>
      <c r="Q527" s="820"/>
      <c r="R527" s="820"/>
      <c r="S527" s="1033"/>
      <c r="T527" s="406"/>
      <c r="U527" s="406"/>
      <c r="V527" s="406"/>
      <c r="W527" s="398"/>
      <c r="X527" s="401"/>
      <c r="Y527" s="401"/>
      <c r="Z527" s="401"/>
      <c r="AA527" s="401"/>
      <c r="AB527" s="398"/>
      <c r="AC527" s="401"/>
      <c r="AD527" s="401"/>
      <c r="AE527" s="401"/>
      <c r="AF527" s="820"/>
      <c r="AG527" s="398"/>
      <c r="AH527" s="401"/>
      <c r="AI527" s="401"/>
      <c r="AJ527" s="401"/>
      <c r="AK527" s="820"/>
      <c r="AL527" s="398"/>
      <c r="AM527" s="820"/>
      <c r="AN527" s="820"/>
    </row>
    <row r="528" spans="1:40">
      <c r="A528" s="130" t="str">
        <f>A$9</f>
        <v>Waldorf Astoria Hotels &amp; Resorts (Luxury)</v>
      </c>
      <c r="B528" s="1030">
        <v>984</v>
      </c>
      <c r="C528" s="508">
        <v>984</v>
      </c>
      <c r="D528" s="1030">
        <v>984</v>
      </c>
      <c r="E528" s="912">
        <v>984</v>
      </c>
      <c r="F528" s="912">
        <v>984</v>
      </c>
      <c r="G528" s="1041">
        <v>984</v>
      </c>
      <c r="H528" s="820">
        <f t="shared" ref="H528:H540" si="1283">G528</f>
        <v>984</v>
      </c>
      <c r="I528" s="1030">
        <v>984</v>
      </c>
      <c r="J528" s="912">
        <v>984</v>
      </c>
      <c r="K528" s="912">
        <v>984</v>
      </c>
      <c r="L528" s="1041">
        <v>984</v>
      </c>
      <c r="M528" s="820">
        <f t="shared" ref="M528:M540" si="1284">L528</f>
        <v>984</v>
      </c>
      <c r="N528" s="1030">
        <v>984</v>
      </c>
      <c r="O528" s="912">
        <v>984</v>
      </c>
      <c r="P528" s="912">
        <v>984</v>
      </c>
      <c r="Q528" s="1041">
        <v>984</v>
      </c>
      <c r="R528" s="820">
        <f t="shared" ref="R528:R540" si="1285">Q528</f>
        <v>984</v>
      </c>
      <c r="S528" s="1030">
        <v>984</v>
      </c>
      <c r="T528" s="912">
        <v>984</v>
      </c>
      <c r="U528" s="912">
        <v>984</v>
      </c>
      <c r="V528" s="912">
        <v>984</v>
      </c>
      <c r="W528" s="398">
        <f t="shared" ref="W528:W540" si="1286">V528</f>
        <v>984</v>
      </c>
      <c r="X528" s="2792">
        <v>984</v>
      </c>
      <c r="Y528" s="2792">
        <v>984</v>
      </c>
      <c r="Z528" s="2792">
        <v>984</v>
      </c>
      <c r="AA528" s="2792">
        <v>984</v>
      </c>
      <c r="AB528" s="398">
        <f t="shared" ref="AB528:AB540" si="1287">AA528</f>
        <v>984</v>
      </c>
      <c r="AC528" s="401">
        <f>AA528*(1+AC$913)</f>
        <v>998.75999999999988</v>
      </c>
      <c r="AD528" s="401">
        <f>AC528*(1+AD$913)</f>
        <v>1023.7289999999998</v>
      </c>
      <c r="AE528" s="3666">
        <v>984</v>
      </c>
      <c r="AF528" s="3666">
        <v>984</v>
      </c>
      <c r="AG528" s="398">
        <f t="shared" ref="AG528:AG540" si="1288">AF528</f>
        <v>984</v>
      </c>
      <c r="AH528" s="401">
        <f t="shared" ref="AH528:AH529" si="1289">AG528*(1+AH$913)</f>
        <v>993.84</v>
      </c>
      <c r="AI528" s="401">
        <f t="shared" ref="AI528:AI529" si="1290">AH528*(1+AI$913)</f>
        <v>1003.7784</v>
      </c>
      <c r="AJ528" s="401">
        <f t="shared" ref="AJ528:AJ529" si="1291">AI528*(1+AJ$913)</f>
        <v>1018.835076</v>
      </c>
      <c r="AK528" s="820">
        <f t="shared" ref="AK528:AK529" si="1292">AJ528*(1+AK$913)</f>
        <v>1034.1176021399999</v>
      </c>
      <c r="AL528" s="820">
        <f t="shared" ref="AL528:AL529" si="1293">AK528</f>
        <v>1034.1176021399999</v>
      </c>
      <c r="AM528" s="398">
        <f t="shared" ref="AM528:AN529" si="1294">AL528*(1+AM$912)</f>
        <v>1096.1646582684</v>
      </c>
      <c r="AN528" s="398">
        <f t="shared" si="1294"/>
        <v>1150.9728911818199</v>
      </c>
    </row>
    <row r="529" spans="1:40">
      <c r="A529" s="130" t="str">
        <f>A$10</f>
        <v>Conrad Hotels &amp; Resorts (Luxury)</v>
      </c>
      <c r="B529" s="1030">
        <v>302</v>
      </c>
      <c r="C529" s="508">
        <v>302</v>
      </c>
      <c r="D529" s="1030">
        <v>302</v>
      </c>
      <c r="E529" s="912">
        <v>302</v>
      </c>
      <c r="F529" s="912">
        <v>302</v>
      </c>
      <c r="G529" s="1041">
        <v>302</v>
      </c>
      <c r="H529" s="820">
        <f t="shared" si="1283"/>
        <v>302</v>
      </c>
      <c r="I529" s="1030">
        <v>302</v>
      </c>
      <c r="J529" s="912">
        <v>294</v>
      </c>
      <c r="K529" s="912">
        <v>294</v>
      </c>
      <c r="L529" s="1041">
        <v>294</v>
      </c>
      <c r="M529" s="820">
        <f t="shared" si="1284"/>
        <v>294</v>
      </c>
      <c r="N529" s="1030">
        <v>294</v>
      </c>
      <c r="O529" s="912">
        <v>294</v>
      </c>
      <c r="P529" s="912">
        <v>294</v>
      </c>
      <c r="Q529" s="1041">
        <v>294</v>
      </c>
      <c r="R529" s="820">
        <f t="shared" si="1285"/>
        <v>294</v>
      </c>
      <c r="S529" s="1030">
        <v>294</v>
      </c>
      <c r="T529" s="912">
        <v>294</v>
      </c>
      <c r="U529" s="912">
        <v>294</v>
      </c>
      <c r="V529" s="912">
        <v>294</v>
      </c>
      <c r="W529" s="398">
        <f t="shared" si="1286"/>
        <v>294</v>
      </c>
      <c r="X529" s="2792">
        <v>294</v>
      </c>
      <c r="Y529" s="2792">
        <v>294</v>
      </c>
      <c r="Z529" s="2792">
        <v>294</v>
      </c>
      <c r="AA529" s="2792">
        <v>294</v>
      </c>
      <c r="AB529" s="398">
        <f t="shared" si="1287"/>
        <v>294</v>
      </c>
      <c r="AC529" s="401">
        <f>AA529*(1+AC$913)</f>
        <v>298.40999999999997</v>
      </c>
      <c r="AD529" s="401">
        <f t="shared" ref="AD529" si="1295">AC529*(1+AD$913)</f>
        <v>305.87024999999994</v>
      </c>
      <c r="AE529" s="3666">
        <v>294</v>
      </c>
      <c r="AF529" s="3666">
        <v>294</v>
      </c>
      <c r="AG529" s="398">
        <f t="shared" si="1288"/>
        <v>294</v>
      </c>
      <c r="AH529" s="401">
        <f t="shared" si="1289"/>
        <v>296.94</v>
      </c>
      <c r="AI529" s="401">
        <f t="shared" si="1290"/>
        <v>299.90940000000001</v>
      </c>
      <c r="AJ529" s="401">
        <f t="shared" si="1291"/>
        <v>304.40804099999997</v>
      </c>
      <c r="AK529" s="820">
        <f t="shared" si="1292"/>
        <v>308.97416161499996</v>
      </c>
      <c r="AL529" s="820">
        <f t="shared" si="1293"/>
        <v>308.97416161499996</v>
      </c>
      <c r="AM529" s="398">
        <f t="shared" si="1294"/>
        <v>327.51261131189995</v>
      </c>
      <c r="AN529" s="398">
        <f t="shared" si="1294"/>
        <v>343.88824187749498</v>
      </c>
    </row>
    <row r="530" spans="1:40">
      <c r="A530" s="1828" t="s">
        <v>3022</v>
      </c>
      <c r="B530" s="1030"/>
      <c r="C530" s="508"/>
      <c r="D530" s="1030"/>
      <c r="E530" s="912"/>
      <c r="F530" s="912"/>
      <c r="G530" s="1041"/>
      <c r="H530" s="820"/>
      <c r="I530" s="1030"/>
      <c r="J530" s="912"/>
      <c r="K530" s="912"/>
      <c r="L530" s="1041"/>
      <c r="M530" s="820"/>
      <c r="N530" s="1030"/>
      <c r="O530" s="912"/>
      <c r="P530" s="912"/>
      <c r="Q530" s="1041"/>
      <c r="R530" s="820"/>
      <c r="S530" s="1030"/>
      <c r="T530" s="912"/>
      <c r="U530" s="912"/>
      <c r="V530" s="912"/>
      <c r="W530" s="398"/>
      <c r="X530" s="2791"/>
      <c r="Y530" s="2791"/>
      <c r="Z530" s="2791"/>
      <c r="AA530" s="2791">
        <v>0</v>
      </c>
      <c r="AB530" s="398">
        <f t="shared" ref="AB530:AG530" si="1296">+AA530</f>
        <v>0</v>
      </c>
      <c r="AC530" s="2944">
        <f t="shared" si="1296"/>
        <v>0</v>
      </c>
      <c r="AD530" s="406">
        <f t="shared" si="1296"/>
        <v>0</v>
      </c>
      <c r="AE530" s="3665">
        <v>0</v>
      </c>
      <c r="AF530" s="3666">
        <v>175</v>
      </c>
      <c r="AG530" s="398">
        <f t="shared" si="1296"/>
        <v>175</v>
      </c>
      <c r="AH530" s="406">
        <f t="shared" ref="AH530" si="1297">+AG530</f>
        <v>175</v>
      </c>
      <c r="AI530" s="406">
        <f t="shared" ref="AI530" si="1298">+AH530</f>
        <v>175</v>
      </c>
      <c r="AJ530" s="406">
        <f t="shared" ref="AJ530" si="1299">+AI530</f>
        <v>175</v>
      </c>
      <c r="AK530" s="820">
        <f t="shared" ref="AK530" si="1300">+AJ530</f>
        <v>175</v>
      </c>
      <c r="AL530" s="398">
        <f t="shared" ref="AL530" si="1301">+AK530</f>
        <v>175</v>
      </c>
      <c r="AM530" s="398">
        <f>AL530</f>
        <v>175</v>
      </c>
      <c r="AN530" s="398">
        <f>AM530</f>
        <v>175</v>
      </c>
    </row>
    <row r="531" spans="1:40">
      <c r="A531" s="130" t="str">
        <f>A$12</f>
        <v>Hilton Hotels &amp; Resorts (Upper Up)</v>
      </c>
      <c r="B531" s="1030">
        <v>6063</v>
      </c>
      <c r="C531" s="508">
        <v>6023</v>
      </c>
      <c r="D531" s="1030">
        <v>6023</v>
      </c>
      <c r="E531" s="912">
        <v>6023</v>
      </c>
      <c r="F531" s="912">
        <v>5534</v>
      </c>
      <c r="G531" s="1041">
        <v>5792</v>
      </c>
      <c r="H531" s="820">
        <f t="shared" si="1283"/>
        <v>5792</v>
      </c>
      <c r="I531" s="1030">
        <v>5792</v>
      </c>
      <c r="J531" s="912">
        <v>5791</v>
      </c>
      <c r="K531" s="912">
        <v>5791</v>
      </c>
      <c r="L531" s="1041">
        <v>5487</v>
      </c>
      <c r="M531" s="820">
        <f t="shared" si="1284"/>
        <v>5487</v>
      </c>
      <c r="N531" s="1030">
        <v>5489</v>
      </c>
      <c r="O531" s="912">
        <v>5489</v>
      </c>
      <c r="P531" s="912">
        <v>5490</v>
      </c>
      <c r="Q531" s="1041">
        <v>5500</v>
      </c>
      <c r="R531" s="820">
        <f t="shared" si="1285"/>
        <v>5500</v>
      </c>
      <c r="S531" s="1030">
        <v>5910</v>
      </c>
      <c r="T531" s="912">
        <v>5889</v>
      </c>
      <c r="U531" s="912">
        <v>6276</v>
      </c>
      <c r="V531" s="912">
        <v>5994</v>
      </c>
      <c r="W531" s="398">
        <f t="shared" si="1286"/>
        <v>5994</v>
      </c>
      <c r="X531" s="2792">
        <v>6015</v>
      </c>
      <c r="Y531" s="2792">
        <v>6015</v>
      </c>
      <c r="Z531" s="2792">
        <v>5810</v>
      </c>
      <c r="AA531" s="2792">
        <v>5810</v>
      </c>
      <c r="AB531" s="398">
        <f t="shared" si="1287"/>
        <v>5810</v>
      </c>
      <c r="AC531" s="401">
        <f>AA531*(1+AC$913)</f>
        <v>5897.15</v>
      </c>
      <c r="AD531" s="401">
        <f>AC531*(1+AD$913)</f>
        <v>6044.5787499999988</v>
      </c>
      <c r="AE531" s="3666">
        <v>5469</v>
      </c>
      <c r="AF531" s="3666">
        <v>5469</v>
      </c>
      <c r="AG531" s="398">
        <f t="shared" si="1288"/>
        <v>5469</v>
      </c>
      <c r="AH531" s="401">
        <f t="shared" ref="AH531:AI531" si="1302">AG531*(1+AH$913)</f>
        <v>5523.69</v>
      </c>
      <c r="AI531" s="401">
        <f t="shared" si="1302"/>
        <v>5578.9268999999995</v>
      </c>
      <c r="AJ531" s="401">
        <f>AI531*(1+AJ$913)</f>
        <v>5662.6108034999988</v>
      </c>
      <c r="AK531" s="820">
        <f>AJ531*(1+AK$913)</f>
        <v>5747.5499655524982</v>
      </c>
      <c r="AL531" s="820">
        <f t="shared" ref="AL531:AL540" si="1303">AK531</f>
        <v>5747.5499655524982</v>
      </c>
      <c r="AM531" s="398">
        <f>AL531*(1+AM$912)</f>
        <v>6092.4029634856488</v>
      </c>
      <c r="AN531" s="398">
        <f>AM531*(1+AN$912)</f>
        <v>6397.0231116599316</v>
      </c>
    </row>
    <row r="532" spans="1:40">
      <c r="A532" s="130" t="str">
        <f>A$13</f>
        <v xml:space="preserve">Curio - A Collection by Hilton </v>
      </c>
      <c r="B532" s="1030"/>
      <c r="C532" s="508"/>
      <c r="D532" s="1030"/>
      <c r="E532" s="912"/>
      <c r="F532" s="912"/>
      <c r="G532" s="1041"/>
      <c r="H532" s="820"/>
      <c r="I532" s="1030"/>
      <c r="J532" s="912"/>
      <c r="K532" s="912"/>
      <c r="L532" s="1041"/>
      <c r="M532" s="820"/>
      <c r="N532" s="1030"/>
      <c r="O532" s="912"/>
      <c r="P532" s="912"/>
      <c r="Q532" s="1041"/>
      <c r="R532" s="820"/>
      <c r="S532" s="1030">
        <v>0</v>
      </c>
      <c r="T532" s="912">
        <v>0</v>
      </c>
      <c r="U532" s="912">
        <v>525</v>
      </c>
      <c r="V532" s="912">
        <v>525</v>
      </c>
      <c r="W532" s="398">
        <f t="shared" si="1286"/>
        <v>525</v>
      </c>
      <c r="X532" s="2792">
        <v>525</v>
      </c>
      <c r="Y532" s="2792">
        <v>525</v>
      </c>
      <c r="Z532" s="2792">
        <v>525</v>
      </c>
      <c r="AA532" s="2792">
        <v>585</v>
      </c>
      <c r="AB532" s="398">
        <f t="shared" si="1287"/>
        <v>585</v>
      </c>
      <c r="AC532" s="401">
        <f>AA532*(1+AC$884)</f>
        <v>590.85</v>
      </c>
      <c r="AD532" s="401">
        <f>AC532*(1+AD$913)</f>
        <v>605.62124999999992</v>
      </c>
      <c r="AE532" s="3666">
        <v>973</v>
      </c>
      <c r="AF532" s="3666">
        <v>1271</v>
      </c>
      <c r="AG532" s="398">
        <f t="shared" si="1288"/>
        <v>1271</v>
      </c>
      <c r="AH532" s="401">
        <f t="shared" ref="AH532:AI532" si="1304">AG532*(1+AH$884)</f>
        <v>1290.0649999999998</v>
      </c>
      <c r="AI532" s="401">
        <f t="shared" si="1304"/>
        <v>1309.4159749999997</v>
      </c>
      <c r="AJ532" s="401">
        <f>AI532*(1+AJ$884)</f>
        <v>1329.0572146249995</v>
      </c>
      <c r="AK532" s="820">
        <f>AJ532*(1+AK$884)</f>
        <v>1348.9930728443744</v>
      </c>
      <c r="AL532" s="820">
        <f t="shared" si="1303"/>
        <v>1348.9930728443744</v>
      </c>
      <c r="AM532" s="398">
        <f>AL532*(1+AM$883)</f>
        <v>1409.6977611223713</v>
      </c>
      <c r="AN532" s="398">
        <f>AM532*(1+AN$883)</f>
        <v>1451.9886939560424</v>
      </c>
    </row>
    <row r="533" spans="1:40">
      <c r="A533" s="130" t="str">
        <f>A$14</f>
        <v>DoubleTree by Hilton (Upscale)</v>
      </c>
      <c r="B533" s="1030">
        <v>1116</v>
      </c>
      <c r="C533" s="508">
        <v>1429</v>
      </c>
      <c r="D533" s="1030">
        <v>1454</v>
      </c>
      <c r="E533" s="912">
        <v>1454</v>
      </c>
      <c r="F533" s="912">
        <v>1454</v>
      </c>
      <c r="G533" s="1041">
        <v>1550</v>
      </c>
      <c r="H533" s="820">
        <f t="shared" si="1283"/>
        <v>1550</v>
      </c>
      <c r="I533" s="1030">
        <v>1550</v>
      </c>
      <c r="J533" s="912">
        <v>1550</v>
      </c>
      <c r="K533" s="912">
        <v>1217</v>
      </c>
      <c r="L533" s="1041">
        <v>2063</v>
      </c>
      <c r="M533" s="820">
        <f t="shared" si="1284"/>
        <v>2063</v>
      </c>
      <c r="N533" s="1030">
        <v>2301</v>
      </c>
      <c r="O533" s="912">
        <v>2301</v>
      </c>
      <c r="P533" s="912">
        <v>2301</v>
      </c>
      <c r="Q533" s="1041">
        <v>2421</v>
      </c>
      <c r="R533" s="820">
        <f t="shared" si="1285"/>
        <v>2421</v>
      </c>
      <c r="S533" s="1030">
        <v>2421</v>
      </c>
      <c r="T533" s="912">
        <v>2647</v>
      </c>
      <c r="U533" s="912">
        <v>2828</v>
      </c>
      <c r="V533" s="912">
        <v>3283</v>
      </c>
      <c r="W533" s="398">
        <f t="shared" si="1286"/>
        <v>3283</v>
      </c>
      <c r="X533" s="2792">
        <v>3275</v>
      </c>
      <c r="Y533" s="2792">
        <v>3275</v>
      </c>
      <c r="Z533" s="2792">
        <v>3275</v>
      </c>
      <c r="AA533" s="2792">
        <v>3365</v>
      </c>
      <c r="AB533" s="398">
        <f t="shared" si="1287"/>
        <v>3365</v>
      </c>
      <c r="AC533" s="401">
        <f>AA533*(1+AC$913)</f>
        <v>3415.4749999999995</v>
      </c>
      <c r="AD533" s="401">
        <f t="shared" ref="AD533:AD537" si="1305">AC533*(1+AD$913)</f>
        <v>3500.8618749999991</v>
      </c>
      <c r="AE533" s="3666">
        <v>3833</v>
      </c>
      <c r="AF533" s="3666">
        <v>4351</v>
      </c>
      <c r="AG533" s="398">
        <f t="shared" si="1288"/>
        <v>4351</v>
      </c>
      <c r="AH533" s="401">
        <f t="shared" ref="AH533:AH540" si="1306">AG533*(1+AH$913)</f>
        <v>4394.51</v>
      </c>
      <c r="AI533" s="401">
        <f t="shared" ref="AI533:AI540" si="1307">AH533*(1+AI$913)</f>
        <v>4438.4551000000001</v>
      </c>
      <c r="AJ533" s="401">
        <f t="shared" ref="AJ533:AJ539" si="1308">AI533*(1+AJ$913)</f>
        <v>4505.0319264999998</v>
      </c>
      <c r="AK533" s="820">
        <f t="shared" ref="AK533:AK539" si="1309">AJ533*(1+AK$913)</f>
        <v>4572.607405397499</v>
      </c>
      <c r="AL533" s="820">
        <f t="shared" si="1303"/>
        <v>4572.607405397499</v>
      </c>
      <c r="AM533" s="398">
        <f t="shared" ref="AM533:AN537" si="1310">AL533*(1+AM$912)</f>
        <v>4846.9638497213491</v>
      </c>
      <c r="AN533" s="398">
        <f t="shared" si="1310"/>
        <v>5089.3120422074171</v>
      </c>
    </row>
    <row r="534" spans="1:40">
      <c r="A534" s="130" t="str">
        <f>A$15</f>
        <v>Embassy Suites Hotels (Upper Up)</v>
      </c>
      <c r="B534" s="1030">
        <v>1554</v>
      </c>
      <c r="C534" s="508">
        <v>1554</v>
      </c>
      <c r="D534" s="1030">
        <v>1554</v>
      </c>
      <c r="E534" s="912">
        <v>1554</v>
      </c>
      <c r="F534" s="912">
        <v>1395</v>
      </c>
      <c r="G534" s="1041">
        <v>1270</v>
      </c>
      <c r="H534" s="820">
        <f t="shared" si="1283"/>
        <v>1270</v>
      </c>
      <c r="I534" s="1030">
        <v>1270</v>
      </c>
      <c r="J534" s="912">
        <v>1270</v>
      </c>
      <c r="K534" s="912">
        <v>1270</v>
      </c>
      <c r="L534" s="1041">
        <v>1270</v>
      </c>
      <c r="M534" s="820">
        <f t="shared" si="1284"/>
        <v>1270</v>
      </c>
      <c r="N534" s="1030">
        <v>1270</v>
      </c>
      <c r="O534" s="912">
        <v>1270</v>
      </c>
      <c r="P534" s="912">
        <v>1270</v>
      </c>
      <c r="Q534" s="1041">
        <v>1270</v>
      </c>
      <c r="R534" s="820">
        <f t="shared" si="1285"/>
        <v>1270</v>
      </c>
      <c r="S534" s="1030">
        <v>1282</v>
      </c>
      <c r="T534" s="912">
        <v>1282</v>
      </c>
      <c r="U534" s="912">
        <v>1282</v>
      </c>
      <c r="V534" s="912">
        <v>1282</v>
      </c>
      <c r="W534" s="398">
        <f t="shared" si="1286"/>
        <v>1282</v>
      </c>
      <c r="X534" s="2792">
        <v>1282</v>
      </c>
      <c r="Y534" s="2792">
        <v>1282</v>
      </c>
      <c r="Z534" s="2792">
        <v>1282</v>
      </c>
      <c r="AA534" s="2792">
        <v>1322</v>
      </c>
      <c r="AB534" s="398">
        <f t="shared" si="1287"/>
        <v>1322</v>
      </c>
      <c r="AC534" s="401">
        <f>AA534*(1+AC$913)</f>
        <v>1341.83</v>
      </c>
      <c r="AD534" s="401">
        <f t="shared" si="1305"/>
        <v>1375.3757499999997</v>
      </c>
      <c r="AE534" s="3666">
        <v>1322</v>
      </c>
      <c r="AF534" s="3666">
        <v>1322</v>
      </c>
      <c r="AG534" s="398">
        <f t="shared" si="1288"/>
        <v>1322</v>
      </c>
      <c r="AH534" s="401">
        <f t="shared" si="1306"/>
        <v>1335.22</v>
      </c>
      <c r="AI534" s="401">
        <f t="shared" si="1307"/>
        <v>1348.5722000000001</v>
      </c>
      <c r="AJ534" s="401">
        <f t="shared" si="1308"/>
        <v>1368.8007829999999</v>
      </c>
      <c r="AK534" s="820">
        <f t="shared" si="1309"/>
        <v>1389.3327947449998</v>
      </c>
      <c r="AL534" s="820">
        <f t="shared" si="1303"/>
        <v>1389.3327947449998</v>
      </c>
      <c r="AM534" s="398">
        <f t="shared" si="1310"/>
        <v>1472.6927624296998</v>
      </c>
      <c r="AN534" s="398">
        <f t="shared" si="1310"/>
        <v>1546.3274005511848</v>
      </c>
    </row>
    <row r="535" spans="1:40">
      <c r="A535" s="130" t="str">
        <f>A$16</f>
        <v>Hilton Garden Inn (Upscale)</v>
      </c>
      <c r="B535" s="1030">
        <v>3108</v>
      </c>
      <c r="C535" s="508">
        <v>3405</v>
      </c>
      <c r="D535" s="1030">
        <v>3405</v>
      </c>
      <c r="E535" s="912">
        <v>3575</v>
      </c>
      <c r="F535" s="912">
        <v>3575</v>
      </c>
      <c r="G535" s="1041">
        <v>3575</v>
      </c>
      <c r="H535" s="820">
        <f t="shared" si="1283"/>
        <v>3575</v>
      </c>
      <c r="I535" s="1030">
        <v>3575</v>
      </c>
      <c r="J535" s="912">
        <v>3575</v>
      </c>
      <c r="K535" s="912">
        <v>3575</v>
      </c>
      <c r="L535" s="1041">
        <v>3575</v>
      </c>
      <c r="M535" s="820">
        <f t="shared" si="1284"/>
        <v>3575</v>
      </c>
      <c r="N535" s="1030">
        <v>3683</v>
      </c>
      <c r="O535" s="912">
        <v>3683</v>
      </c>
      <c r="P535" s="912">
        <v>3683</v>
      </c>
      <c r="Q535" s="1041">
        <v>3683</v>
      </c>
      <c r="R535" s="820">
        <f t="shared" si="1285"/>
        <v>3683</v>
      </c>
      <c r="S535" s="1030">
        <v>3852</v>
      </c>
      <c r="T535" s="912">
        <v>3967</v>
      </c>
      <c r="U535" s="912">
        <v>4210</v>
      </c>
      <c r="V535" s="912">
        <v>4371</v>
      </c>
      <c r="W535" s="398">
        <f t="shared" si="1286"/>
        <v>4371</v>
      </c>
      <c r="X535" s="2792">
        <v>4491</v>
      </c>
      <c r="Y535" s="2792">
        <v>4491</v>
      </c>
      <c r="Z535" s="2792">
        <v>4491</v>
      </c>
      <c r="AA535" s="2792">
        <v>4954</v>
      </c>
      <c r="AB535" s="398">
        <f t="shared" si="1287"/>
        <v>4954</v>
      </c>
      <c r="AC535" s="401">
        <f>AA535*(1+AC$913)</f>
        <v>5028.3099999999995</v>
      </c>
      <c r="AD535" s="401">
        <f t="shared" si="1305"/>
        <v>5154.0177499999991</v>
      </c>
      <c r="AE535" s="3666">
        <v>5594</v>
      </c>
      <c r="AF535" s="3666">
        <v>5594</v>
      </c>
      <c r="AG535" s="398">
        <f t="shared" si="1288"/>
        <v>5594</v>
      </c>
      <c r="AH535" s="401">
        <f t="shared" si="1306"/>
        <v>5649.94</v>
      </c>
      <c r="AI535" s="401">
        <f t="shared" si="1307"/>
        <v>5706.4393999999993</v>
      </c>
      <c r="AJ535" s="401">
        <f t="shared" si="1308"/>
        <v>5792.0359909999988</v>
      </c>
      <c r="AK535" s="820">
        <f t="shared" si="1309"/>
        <v>5878.9165308649981</v>
      </c>
      <c r="AL535" s="820">
        <f t="shared" si="1303"/>
        <v>5878.9165308649981</v>
      </c>
      <c r="AM535" s="398">
        <f t="shared" si="1310"/>
        <v>6231.6515227168984</v>
      </c>
      <c r="AN535" s="398">
        <f t="shared" si="1310"/>
        <v>6543.234098852744</v>
      </c>
    </row>
    <row r="536" spans="1:40">
      <c r="A536" s="130" t="str">
        <f>A$17</f>
        <v>Hampton Inn (Upper Mid)</v>
      </c>
      <c r="B536" s="1030">
        <v>6188</v>
      </c>
      <c r="C536" s="508">
        <v>6011</v>
      </c>
      <c r="D536" s="1030">
        <v>6011</v>
      </c>
      <c r="E536" s="912">
        <v>6139</v>
      </c>
      <c r="F536" s="912">
        <v>6282</v>
      </c>
      <c r="G536" s="1041">
        <v>6374</v>
      </c>
      <c r="H536" s="820">
        <f t="shared" si="1283"/>
        <v>6374</v>
      </c>
      <c r="I536" s="1030">
        <v>6634</v>
      </c>
      <c r="J536" s="912">
        <v>6642</v>
      </c>
      <c r="K536" s="912">
        <v>6642</v>
      </c>
      <c r="L536" s="1041">
        <v>6536</v>
      </c>
      <c r="M536" s="820">
        <f t="shared" si="1284"/>
        <v>6536</v>
      </c>
      <c r="N536" s="1030">
        <v>6536</v>
      </c>
      <c r="O536" s="912">
        <v>6821</v>
      </c>
      <c r="P536" s="912">
        <v>7021</v>
      </c>
      <c r="Q536" s="1041">
        <v>7404</v>
      </c>
      <c r="R536" s="820">
        <f t="shared" si="1285"/>
        <v>7404</v>
      </c>
      <c r="S536" s="1030">
        <v>7884</v>
      </c>
      <c r="T536" s="912">
        <v>8542</v>
      </c>
      <c r="U536" s="912">
        <v>8642</v>
      </c>
      <c r="V536" s="912">
        <v>9164</v>
      </c>
      <c r="W536" s="398">
        <f t="shared" si="1286"/>
        <v>9164</v>
      </c>
      <c r="X536" s="2792">
        <v>9382</v>
      </c>
      <c r="Y536" s="2792">
        <v>9601</v>
      </c>
      <c r="Z536" s="2792">
        <v>10055</v>
      </c>
      <c r="AA536" s="2792">
        <v>10210</v>
      </c>
      <c r="AB536" s="398">
        <f t="shared" si="1287"/>
        <v>10210</v>
      </c>
      <c r="AC536" s="401">
        <f>AA536*(1+AC$913)</f>
        <v>10363.15</v>
      </c>
      <c r="AD536" s="401">
        <f t="shared" si="1305"/>
        <v>10622.228749999998</v>
      </c>
      <c r="AE536" s="3666">
        <v>10252</v>
      </c>
      <c r="AF536" s="3666">
        <v>10651</v>
      </c>
      <c r="AG536" s="398">
        <f t="shared" si="1288"/>
        <v>10651</v>
      </c>
      <c r="AH536" s="401">
        <f t="shared" si="1306"/>
        <v>10757.51</v>
      </c>
      <c r="AI536" s="401">
        <f t="shared" si="1307"/>
        <v>10865.0851</v>
      </c>
      <c r="AJ536" s="401">
        <f t="shared" si="1308"/>
        <v>11028.0613765</v>
      </c>
      <c r="AK536" s="820">
        <f t="shared" si="1309"/>
        <v>11193.482297147499</v>
      </c>
      <c r="AL536" s="820">
        <f t="shared" si="1303"/>
        <v>11193.482297147499</v>
      </c>
      <c r="AM536" s="398">
        <f t="shared" si="1310"/>
        <v>11865.091234976349</v>
      </c>
      <c r="AN536" s="398">
        <f t="shared" si="1310"/>
        <v>12458.345796725167</v>
      </c>
    </row>
    <row r="537" spans="1:40">
      <c r="A537" s="130" t="s">
        <v>1408</v>
      </c>
      <c r="B537" s="1030">
        <v>0</v>
      </c>
      <c r="C537" s="508">
        <v>0</v>
      </c>
      <c r="D537" s="1030">
        <v>0</v>
      </c>
      <c r="E537" s="912">
        <v>0</v>
      </c>
      <c r="F537" s="912">
        <v>0</v>
      </c>
      <c r="G537" s="1041">
        <v>0</v>
      </c>
      <c r="H537" s="820">
        <f t="shared" si="1283"/>
        <v>0</v>
      </c>
      <c r="I537" s="1030">
        <v>0</v>
      </c>
      <c r="J537" s="912">
        <v>0</v>
      </c>
      <c r="K537" s="912">
        <v>0</v>
      </c>
      <c r="L537" s="1041">
        <v>0</v>
      </c>
      <c r="M537" s="820">
        <f t="shared" si="1284"/>
        <v>0</v>
      </c>
      <c r="N537" s="1030">
        <v>0</v>
      </c>
      <c r="O537" s="912">
        <v>0</v>
      </c>
      <c r="P537" s="912">
        <v>127</v>
      </c>
      <c r="Q537" s="1041">
        <v>127</v>
      </c>
      <c r="R537" s="820">
        <f t="shared" si="1285"/>
        <v>127</v>
      </c>
      <c r="S537" s="1030">
        <v>127</v>
      </c>
      <c r="T537" s="912">
        <v>127</v>
      </c>
      <c r="U537" s="912">
        <v>127</v>
      </c>
      <c r="V537" s="912">
        <v>127</v>
      </c>
      <c r="W537" s="398">
        <f t="shared" si="1286"/>
        <v>127</v>
      </c>
      <c r="X537" s="2792">
        <v>227</v>
      </c>
      <c r="Y537" s="2792">
        <v>227</v>
      </c>
      <c r="Z537" s="2792">
        <v>317</v>
      </c>
      <c r="AA537" s="2792">
        <v>317</v>
      </c>
      <c r="AB537" s="398">
        <f t="shared" si="1287"/>
        <v>317</v>
      </c>
      <c r="AC537" s="401">
        <f>AA537*(1+AC$913)</f>
        <v>321.755</v>
      </c>
      <c r="AD537" s="401">
        <f t="shared" si="1305"/>
        <v>329.79887499999995</v>
      </c>
      <c r="AE537" s="3666">
        <v>317</v>
      </c>
      <c r="AF537" s="3666">
        <v>317</v>
      </c>
      <c r="AG537" s="398">
        <f t="shared" si="1288"/>
        <v>317</v>
      </c>
      <c r="AH537" s="401">
        <f t="shared" si="1306"/>
        <v>320.17</v>
      </c>
      <c r="AI537" s="401">
        <f t="shared" si="1307"/>
        <v>323.37170000000003</v>
      </c>
      <c r="AJ537" s="401">
        <f t="shared" si="1308"/>
        <v>328.22227550000002</v>
      </c>
      <c r="AK537" s="820">
        <f t="shared" si="1309"/>
        <v>333.1456096325</v>
      </c>
      <c r="AL537" s="820">
        <f t="shared" si="1303"/>
        <v>333.1456096325</v>
      </c>
      <c r="AM537" s="820">
        <f t="shared" si="1310"/>
        <v>353.13434621045002</v>
      </c>
      <c r="AN537" s="820">
        <f t="shared" si="1310"/>
        <v>370.79106352097256</v>
      </c>
    </row>
    <row r="538" spans="1:40">
      <c r="A538" s="130" t="str">
        <f>$A$90</f>
        <v>Tru by Hilton</v>
      </c>
      <c r="B538" s="1030"/>
      <c r="C538" s="508"/>
      <c r="D538" s="1030"/>
      <c r="E538" s="912"/>
      <c r="F538" s="912"/>
      <c r="G538" s="1041"/>
      <c r="H538" s="820"/>
      <c r="I538" s="1030"/>
      <c r="J538" s="912"/>
      <c r="K538" s="912"/>
      <c r="L538" s="1041"/>
      <c r="M538" s="820"/>
      <c r="N538" s="1030"/>
      <c r="O538" s="912"/>
      <c r="P538" s="912"/>
      <c r="Q538" s="1041"/>
      <c r="R538" s="820"/>
      <c r="S538" s="1030"/>
      <c r="T538" s="912"/>
      <c r="U538" s="912"/>
      <c r="V538" s="912"/>
      <c r="W538" s="398"/>
      <c r="X538" s="2791"/>
      <c r="Y538" s="2791"/>
      <c r="Z538" s="2791"/>
      <c r="AA538" s="2791"/>
      <c r="AB538" s="398"/>
      <c r="AC538" s="401">
        <f t="shared" ref="AC538:AC539" si="1311">AA538*(1+AC$913)</f>
        <v>0</v>
      </c>
      <c r="AD538" s="401">
        <f t="shared" ref="AD538:AF538" si="1312">AC538*(1+AD$913)</f>
        <v>0</v>
      </c>
      <c r="AE538" s="3666">
        <v>0</v>
      </c>
      <c r="AF538" s="406">
        <f t="shared" si="1312"/>
        <v>0</v>
      </c>
      <c r="AG538" s="398">
        <f t="shared" ref="AG538:AG539" si="1313">AF538</f>
        <v>0</v>
      </c>
      <c r="AH538" s="401">
        <f t="shared" si="1306"/>
        <v>0</v>
      </c>
      <c r="AI538" s="401">
        <f t="shared" si="1307"/>
        <v>0</v>
      </c>
      <c r="AJ538" s="401">
        <f t="shared" si="1308"/>
        <v>0</v>
      </c>
      <c r="AK538" s="820">
        <f t="shared" si="1309"/>
        <v>0</v>
      </c>
      <c r="AL538" s="820">
        <f t="shared" si="1303"/>
        <v>0</v>
      </c>
      <c r="AM538" s="820">
        <f t="shared" ref="AM538:AN538" si="1314">AL538*(1+AM$912)</f>
        <v>0</v>
      </c>
      <c r="AN538" s="820">
        <f t="shared" si="1314"/>
        <v>0</v>
      </c>
    </row>
    <row r="539" spans="1:40">
      <c r="A539" s="130" t="str">
        <f>$A$91</f>
        <v>Tapestry Collection by Hilton</v>
      </c>
      <c r="B539" s="1030"/>
      <c r="C539" s="508"/>
      <c r="D539" s="1030"/>
      <c r="E539" s="912"/>
      <c r="F539" s="912"/>
      <c r="G539" s="1041"/>
      <c r="H539" s="820"/>
      <c r="I539" s="1030"/>
      <c r="J539" s="912"/>
      <c r="K539" s="912"/>
      <c r="L539" s="1041"/>
      <c r="M539" s="820"/>
      <c r="N539" s="1030"/>
      <c r="O539" s="912"/>
      <c r="P539" s="912"/>
      <c r="Q539" s="1041"/>
      <c r="R539" s="820"/>
      <c r="S539" s="1030"/>
      <c r="T539" s="912"/>
      <c r="U539" s="912"/>
      <c r="V539" s="912"/>
      <c r="W539" s="398"/>
      <c r="X539" s="2791"/>
      <c r="Y539" s="2791"/>
      <c r="Z539" s="2791"/>
      <c r="AA539" s="2791"/>
      <c r="AB539" s="398"/>
      <c r="AC539" s="401">
        <f t="shared" si="1311"/>
        <v>0</v>
      </c>
      <c r="AD539" s="401">
        <f t="shared" ref="AD539:AF539" si="1315">AC539*(1+AD$913)</f>
        <v>0</v>
      </c>
      <c r="AE539" s="3666">
        <v>0</v>
      </c>
      <c r="AF539" s="406">
        <f t="shared" si="1315"/>
        <v>0</v>
      </c>
      <c r="AG539" s="398">
        <f t="shared" si="1313"/>
        <v>0</v>
      </c>
      <c r="AH539" s="401">
        <f t="shared" si="1306"/>
        <v>0</v>
      </c>
      <c r="AI539" s="401">
        <f t="shared" si="1307"/>
        <v>0</v>
      </c>
      <c r="AJ539" s="401">
        <f t="shared" si="1308"/>
        <v>0</v>
      </c>
      <c r="AK539" s="820">
        <f t="shared" si="1309"/>
        <v>0</v>
      </c>
      <c r="AL539" s="820">
        <f t="shared" si="1303"/>
        <v>0</v>
      </c>
      <c r="AM539" s="820">
        <f t="shared" ref="AM539:AN539" si="1316">AL539*(1+AM$912)</f>
        <v>0</v>
      </c>
      <c r="AN539" s="820">
        <f t="shared" si="1316"/>
        <v>0</v>
      </c>
    </row>
    <row r="540" spans="1:40" s="5" customFormat="1" collapsed="1">
      <c r="A540" s="402" t="str">
        <f>A$21</f>
        <v>Homewood Suites by Hilton (Upscale)</v>
      </c>
      <c r="B540" s="1031">
        <v>928</v>
      </c>
      <c r="C540" s="1029">
        <v>1067</v>
      </c>
      <c r="D540" s="1031">
        <v>1067</v>
      </c>
      <c r="E540" s="1039">
        <v>1067</v>
      </c>
      <c r="F540" s="1039">
        <v>1067</v>
      </c>
      <c r="G540" s="1042">
        <v>1067</v>
      </c>
      <c r="H540" s="700">
        <f t="shared" si="1283"/>
        <v>1067</v>
      </c>
      <c r="I540" s="1031">
        <v>1067</v>
      </c>
      <c r="J540" s="1039">
        <v>1067</v>
      </c>
      <c r="K540" s="1039">
        <v>1068</v>
      </c>
      <c r="L540" s="1042">
        <v>1068</v>
      </c>
      <c r="M540" s="700">
        <f t="shared" si="1284"/>
        <v>1068</v>
      </c>
      <c r="N540" s="1031">
        <v>1363</v>
      </c>
      <c r="O540" s="1039">
        <v>1602</v>
      </c>
      <c r="P540" s="1039">
        <v>1699</v>
      </c>
      <c r="Q540" s="1042">
        <v>1699</v>
      </c>
      <c r="R540" s="700">
        <f t="shared" si="1285"/>
        <v>1699</v>
      </c>
      <c r="S540" s="1031">
        <v>1699</v>
      </c>
      <c r="T540" s="1039">
        <v>1699</v>
      </c>
      <c r="U540" s="1039">
        <v>1699</v>
      </c>
      <c r="V540" s="1039">
        <v>1699</v>
      </c>
      <c r="W540" s="403">
        <f t="shared" si="1286"/>
        <v>1699</v>
      </c>
      <c r="X540" s="2794">
        <v>1699</v>
      </c>
      <c r="Y540" s="2794">
        <v>1699</v>
      </c>
      <c r="Z540" s="2794">
        <v>1699</v>
      </c>
      <c r="AA540" s="2794">
        <v>1821</v>
      </c>
      <c r="AB540" s="403">
        <f t="shared" si="1287"/>
        <v>1821</v>
      </c>
      <c r="AC540" s="615">
        <f>AA540*(1+AC$913)</f>
        <v>1848.3149999999998</v>
      </c>
      <c r="AD540" s="615">
        <f>AC540*(1+AD$913)</f>
        <v>1894.5228749999997</v>
      </c>
      <c r="AE540" s="4005">
        <v>1920</v>
      </c>
      <c r="AF540" s="4005">
        <v>1920</v>
      </c>
      <c r="AG540" s="403">
        <f t="shared" si="1288"/>
        <v>1920</v>
      </c>
      <c r="AH540" s="615">
        <f t="shared" si="1306"/>
        <v>1939.2</v>
      </c>
      <c r="AI540" s="615">
        <f t="shared" si="1307"/>
        <v>1958.5920000000001</v>
      </c>
      <c r="AJ540" s="615">
        <f>AI540*(1+AJ$913)</f>
        <v>1987.9708799999999</v>
      </c>
      <c r="AK540" s="700">
        <f>AJ540*(1+AK$913)</f>
        <v>2017.7904431999996</v>
      </c>
      <c r="AL540" s="700">
        <f t="shared" si="1303"/>
        <v>2017.7904431999996</v>
      </c>
      <c r="AM540" s="700">
        <f>AL540*(1+AM$912)</f>
        <v>2138.8578697919997</v>
      </c>
      <c r="AN540" s="700">
        <f>AM540*(1+AN$912)</f>
        <v>2245.8007632815998</v>
      </c>
    </row>
    <row r="541" spans="1:40">
      <c r="A541" s="482" t="s">
        <v>1687</v>
      </c>
      <c r="B541" s="1032">
        <f t="shared" ref="B541:R541" si="1317">SUM(B528:B540)</f>
        <v>20243</v>
      </c>
      <c r="C541" s="400">
        <f t="shared" si="1317"/>
        <v>20775</v>
      </c>
      <c r="D541" s="1032">
        <f t="shared" si="1317"/>
        <v>20800</v>
      </c>
      <c r="E541" s="405">
        <f t="shared" si="1317"/>
        <v>21098</v>
      </c>
      <c r="F541" s="405">
        <f t="shared" si="1317"/>
        <v>20593</v>
      </c>
      <c r="G541" s="821">
        <f t="shared" si="1317"/>
        <v>20914</v>
      </c>
      <c r="H541" s="821">
        <f t="shared" si="1317"/>
        <v>20914</v>
      </c>
      <c r="I541" s="1032">
        <f t="shared" si="1317"/>
        <v>21174</v>
      </c>
      <c r="J541" s="405">
        <f t="shared" si="1317"/>
        <v>21173</v>
      </c>
      <c r="K541" s="405">
        <f t="shared" si="1317"/>
        <v>20841</v>
      </c>
      <c r="L541" s="821">
        <f t="shared" si="1317"/>
        <v>21277</v>
      </c>
      <c r="M541" s="821">
        <f t="shared" si="1317"/>
        <v>21277</v>
      </c>
      <c r="N541" s="1032">
        <f t="shared" si="1317"/>
        <v>21920</v>
      </c>
      <c r="O541" s="399">
        <f t="shared" si="1317"/>
        <v>22444</v>
      </c>
      <c r="P541" s="399">
        <f t="shared" si="1317"/>
        <v>22869</v>
      </c>
      <c r="Q541" s="399">
        <f t="shared" si="1317"/>
        <v>23382</v>
      </c>
      <c r="R541" s="400">
        <f t="shared" si="1317"/>
        <v>23382</v>
      </c>
      <c r="S541" s="1032">
        <f t="shared" ref="S541:AB541" si="1318">SUM(S528:S540)</f>
        <v>24453</v>
      </c>
      <c r="T541" s="405">
        <f t="shared" si="1318"/>
        <v>25431</v>
      </c>
      <c r="U541" s="405">
        <f>SUM(U528:U540)</f>
        <v>26867</v>
      </c>
      <c r="V541" s="405">
        <f>SUM(V528:V540)</f>
        <v>27723</v>
      </c>
      <c r="W541" s="400">
        <f t="shared" si="1318"/>
        <v>27723</v>
      </c>
      <c r="X541" s="399">
        <f t="shared" si="1318"/>
        <v>28174</v>
      </c>
      <c r="Y541" s="399">
        <f>SUM(Y528:Y540)</f>
        <v>28393</v>
      </c>
      <c r="Z541" s="399">
        <f>SUM(Z528:Z540)</f>
        <v>28732</v>
      </c>
      <c r="AA541" s="399">
        <f>SUM(AA528:AA540)</f>
        <v>29662</v>
      </c>
      <c r="AB541" s="400">
        <f t="shared" si="1318"/>
        <v>29662</v>
      </c>
      <c r="AC541" s="399">
        <f>SUM(AC528:AC540)</f>
        <v>30104.004999999997</v>
      </c>
      <c r="AD541" s="399">
        <f t="shared" ref="AD541:AN541" si="1319">SUM(AD528:AD540)</f>
        <v>30856.605124999995</v>
      </c>
      <c r="AE541" s="399">
        <f t="shared" si="1319"/>
        <v>30958</v>
      </c>
      <c r="AF541" s="821">
        <f t="shared" si="1319"/>
        <v>32348</v>
      </c>
      <c r="AG541" s="400">
        <f t="shared" si="1319"/>
        <v>32348</v>
      </c>
      <c r="AH541" s="399">
        <f t="shared" si="1319"/>
        <v>32676.084999999995</v>
      </c>
      <c r="AI541" s="399">
        <f t="shared" si="1319"/>
        <v>33007.546174999996</v>
      </c>
      <c r="AJ541" s="399">
        <f t="shared" ref="AJ541:AL541" si="1320">SUM(AJ528:AJ540)</f>
        <v>33500.034367624998</v>
      </c>
      <c r="AK541" s="821">
        <f t="shared" si="1320"/>
        <v>33999.909883139364</v>
      </c>
      <c r="AL541" s="400">
        <f t="shared" si="1320"/>
        <v>33999.909883139364</v>
      </c>
      <c r="AM541" s="821">
        <f t="shared" si="1319"/>
        <v>36009.169580035064</v>
      </c>
      <c r="AN541" s="821">
        <f t="shared" si="1319"/>
        <v>37772.684103814376</v>
      </c>
    </row>
    <row r="542" spans="1:40">
      <c r="A542" s="130"/>
      <c r="B542" s="1033"/>
      <c r="C542" s="398"/>
      <c r="D542" s="1033"/>
      <c r="E542" s="406"/>
      <c r="F542" s="406"/>
      <c r="G542" s="820"/>
      <c r="H542" s="820"/>
      <c r="I542" s="1033"/>
      <c r="J542" s="406"/>
      <c r="K542" s="406"/>
      <c r="L542" s="820"/>
      <c r="M542" s="820"/>
      <c r="N542" s="401"/>
      <c r="O542" s="401"/>
      <c r="P542" s="401"/>
      <c r="Q542" s="820"/>
      <c r="R542" s="398"/>
      <c r="S542" s="401"/>
      <c r="T542" s="401"/>
      <c r="U542" s="401"/>
      <c r="V542" s="406"/>
      <c r="W542" s="398"/>
      <c r="X542" s="401"/>
      <c r="Y542" s="401"/>
      <c r="Z542" s="401"/>
      <c r="AA542" s="401"/>
      <c r="AB542" s="398"/>
      <c r="AC542" s="401"/>
      <c r="AD542" s="401"/>
      <c r="AE542" s="401"/>
      <c r="AF542" s="820"/>
      <c r="AG542" s="398"/>
      <c r="AH542" s="401"/>
      <c r="AI542" s="401"/>
      <c r="AJ542" s="401"/>
      <c r="AK542" s="820"/>
      <c r="AL542" s="398"/>
      <c r="AM542" s="820"/>
      <c r="AN542" s="820"/>
    </row>
    <row r="543" spans="1:40">
      <c r="A543" s="295" t="s">
        <v>1399</v>
      </c>
      <c r="B543" s="1033"/>
      <c r="C543" s="398"/>
      <c r="D543" s="1033"/>
      <c r="E543" s="406"/>
      <c r="F543" s="406"/>
      <c r="G543" s="820"/>
      <c r="H543" s="820"/>
      <c r="I543" s="1033"/>
      <c r="J543" s="406"/>
      <c r="K543" s="406"/>
      <c r="L543" s="820"/>
      <c r="M543" s="820"/>
      <c r="N543" s="401"/>
      <c r="O543" s="401"/>
      <c r="P543" s="401"/>
      <c r="Q543" s="820"/>
      <c r="R543" s="398"/>
      <c r="S543" s="401"/>
      <c r="T543" s="401"/>
      <c r="U543" s="401"/>
      <c r="V543" s="406"/>
      <c r="W543" s="398"/>
      <c r="X543" s="401"/>
      <c r="Y543" s="401"/>
      <c r="Z543" s="401"/>
      <c r="AA543" s="401"/>
      <c r="AB543" s="398"/>
      <c r="AC543" s="401"/>
      <c r="AD543" s="401"/>
      <c r="AE543" s="401"/>
      <c r="AF543" s="820"/>
      <c r="AG543" s="398"/>
      <c r="AH543" s="401"/>
      <c r="AI543" s="401"/>
      <c r="AJ543" s="401"/>
      <c r="AK543" s="820"/>
      <c r="AL543" s="398"/>
      <c r="AM543" s="820"/>
      <c r="AN543" s="820"/>
    </row>
    <row r="544" spans="1:40">
      <c r="A544" s="130" t="str">
        <f>A$9</f>
        <v>Waldorf Astoria Hotels &amp; Resorts (Luxury)</v>
      </c>
      <c r="B544" s="1033">
        <f t="shared" ref="B544:AB544" si="1321">B528+B512+B496</f>
        <v>1370</v>
      </c>
      <c r="C544" s="398">
        <f t="shared" si="1321"/>
        <v>984</v>
      </c>
      <c r="D544" s="1033">
        <f t="shared" si="1321"/>
        <v>984</v>
      </c>
      <c r="E544" s="406">
        <f t="shared" si="1321"/>
        <v>984</v>
      </c>
      <c r="F544" s="406">
        <f t="shared" si="1321"/>
        <v>984</v>
      </c>
      <c r="G544" s="820">
        <f t="shared" si="1321"/>
        <v>984</v>
      </c>
      <c r="H544" s="820">
        <f t="shared" si="1321"/>
        <v>984</v>
      </c>
      <c r="I544" s="1033">
        <f t="shared" si="1321"/>
        <v>1232</v>
      </c>
      <c r="J544" s="406">
        <f t="shared" si="1321"/>
        <v>1232</v>
      </c>
      <c r="K544" s="406">
        <f t="shared" si="1321"/>
        <v>1232</v>
      </c>
      <c r="L544" s="820">
        <f t="shared" si="1321"/>
        <v>1232</v>
      </c>
      <c r="M544" s="820">
        <f t="shared" si="1321"/>
        <v>1232</v>
      </c>
      <c r="N544" s="1033">
        <f t="shared" si="1321"/>
        <v>1232</v>
      </c>
      <c r="O544" s="401">
        <f t="shared" si="1321"/>
        <v>1232</v>
      </c>
      <c r="P544" s="401">
        <f t="shared" si="1321"/>
        <v>1232</v>
      </c>
      <c r="Q544" s="820">
        <f t="shared" si="1321"/>
        <v>1232</v>
      </c>
      <c r="R544" s="398">
        <f t="shared" si="1321"/>
        <v>1232</v>
      </c>
      <c r="S544" s="401">
        <f t="shared" si="1321"/>
        <v>1137</v>
      </c>
      <c r="T544" s="401">
        <f t="shared" si="1321"/>
        <v>1137</v>
      </c>
      <c r="U544" s="401">
        <f t="shared" si="1321"/>
        <v>1137</v>
      </c>
      <c r="V544" s="820">
        <f t="shared" si="1321"/>
        <v>1137</v>
      </c>
      <c r="W544" s="398">
        <f t="shared" si="1321"/>
        <v>1137</v>
      </c>
      <c r="X544" s="401">
        <f t="shared" si="1321"/>
        <v>1137</v>
      </c>
      <c r="Y544" s="401">
        <f t="shared" si="1321"/>
        <v>1130</v>
      </c>
      <c r="Z544" s="401">
        <f t="shared" si="1321"/>
        <v>1128</v>
      </c>
      <c r="AA544" s="401">
        <f t="shared" si="1321"/>
        <v>1126</v>
      </c>
      <c r="AB544" s="398">
        <f t="shared" si="1321"/>
        <v>1126</v>
      </c>
      <c r="AC544" s="3666">
        <v>1126</v>
      </c>
      <c r="AD544" s="3666">
        <v>1126</v>
      </c>
      <c r="AE544" s="401">
        <f t="shared" ref="AE544:AN553" si="1322">AE528+AE512+AE496</f>
        <v>1126</v>
      </c>
      <c r="AF544" s="820">
        <f t="shared" si="1322"/>
        <v>1126</v>
      </c>
      <c r="AG544" s="398">
        <f t="shared" si="1322"/>
        <v>1126</v>
      </c>
      <c r="AH544" s="401">
        <f t="shared" si="1322"/>
        <v>1137.97</v>
      </c>
      <c r="AI544" s="401">
        <f t="shared" si="1322"/>
        <v>1150.07035</v>
      </c>
      <c r="AJ544" s="401">
        <f t="shared" ref="AJ544:AL544" si="1323">AJ528+AJ512+AJ496</f>
        <v>1167.32140525</v>
      </c>
      <c r="AK544" s="820">
        <f t="shared" si="1323"/>
        <v>1184.8312263287498</v>
      </c>
      <c r="AL544" s="398">
        <f t="shared" si="1323"/>
        <v>1184.8312263287498</v>
      </c>
      <c r="AM544" s="398">
        <f t="shared" si="1322"/>
        <v>1253.6603955456437</v>
      </c>
      <c r="AN544" s="398">
        <f t="shared" si="1322"/>
        <v>1313.193500577381</v>
      </c>
    </row>
    <row r="545" spans="1:40">
      <c r="A545" s="130" t="str">
        <f>A$10</f>
        <v>Conrad Hotels &amp; Resorts (Luxury)</v>
      </c>
      <c r="B545" s="1033">
        <f t="shared" ref="B545:AB545" si="1324">B529+B513+B497</f>
        <v>872</v>
      </c>
      <c r="C545" s="398">
        <f t="shared" si="1324"/>
        <v>872</v>
      </c>
      <c r="D545" s="1033">
        <f t="shared" si="1324"/>
        <v>872</v>
      </c>
      <c r="E545" s="406">
        <f t="shared" si="1324"/>
        <v>872</v>
      </c>
      <c r="F545" s="406">
        <f t="shared" si="1324"/>
        <v>872</v>
      </c>
      <c r="G545" s="820">
        <f t="shared" si="1324"/>
        <v>872</v>
      </c>
      <c r="H545" s="820">
        <f t="shared" si="1324"/>
        <v>872</v>
      </c>
      <c r="I545" s="1033">
        <f t="shared" si="1324"/>
        <v>872</v>
      </c>
      <c r="J545" s="406">
        <f t="shared" si="1324"/>
        <v>864</v>
      </c>
      <c r="K545" s="406">
        <f t="shared" si="1324"/>
        <v>294</v>
      </c>
      <c r="L545" s="820">
        <f t="shared" si="1324"/>
        <v>294</v>
      </c>
      <c r="M545" s="820">
        <f t="shared" si="1324"/>
        <v>294</v>
      </c>
      <c r="N545" s="1033">
        <f t="shared" si="1324"/>
        <v>294</v>
      </c>
      <c r="O545" s="401">
        <f t="shared" si="1324"/>
        <v>294</v>
      </c>
      <c r="P545" s="401">
        <f t="shared" si="1324"/>
        <v>294</v>
      </c>
      <c r="Q545" s="820">
        <f t="shared" si="1324"/>
        <v>294</v>
      </c>
      <c r="R545" s="398">
        <f t="shared" si="1324"/>
        <v>294</v>
      </c>
      <c r="S545" s="401">
        <f t="shared" si="1324"/>
        <v>294</v>
      </c>
      <c r="T545" s="401">
        <f t="shared" si="1324"/>
        <v>294</v>
      </c>
      <c r="U545" s="401">
        <f t="shared" si="1324"/>
        <v>294</v>
      </c>
      <c r="V545" s="820">
        <f t="shared" si="1324"/>
        <v>294</v>
      </c>
      <c r="W545" s="398">
        <f t="shared" si="1324"/>
        <v>294</v>
      </c>
      <c r="X545" s="401">
        <f t="shared" si="1324"/>
        <v>294</v>
      </c>
      <c r="Y545" s="401">
        <f t="shared" si="1324"/>
        <v>294</v>
      </c>
      <c r="Z545" s="401">
        <f t="shared" si="1324"/>
        <v>294</v>
      </c>
      <c r="AA545" s="401">
        <f t="shared" si="1324"/>
        <v>294</v>
      </c>
      <c r="AB545" s="398">
        <f t="shared" si="1324"/>
        <v>294</v>
      </c>
      <c r="AC545" s="3666">
        <v>294</v>
      </c>
      <c r="AD545" s="3666">
        <v>428</v>
      </c>
      <c r="AE545" s="401">
        <f t="shared" si="1322"/>
        <v>428</v>
      </c>
      <c r="AF545" s="820">
        <f t="shared" si="1322"/>
        <v>696</v>
      </c>
      <c r="AG545" s="398">
        <f t="shared" si="1322"/>
        <v>696</v>
      </c>
      <c r="AH545" s="401">
        <f t="shared" si="1322"/>
        <v>704.97</v>
      </c>
      <c r="AI545" s="401">
        <f t="shared" si="1322"/>
        <v>714.05984999999987</v>
      </c>
      <c r="AJ545" s="401">
        <f t="shared" ref="AJ545:AL545" si="1325">AJ529+AJ513+AJ497</f>
        <v>724.77074774999983</v>
      </c>
      <c r="AK545" s="820">
        <f t="shared" si="1325"/>
        <v>735.64230896624986</v>
      </c>
      <c r="AL545" s="398">
        <f t="shared" si="1325"/>
        <v>735.64230896624986</v>
      </c>
      <c r="AM545" s="398">
        <f t="shared" si="1322"/>
        <v>773.38082529395592</v>
      </c>
      <c r="AN545" s="398">
        <f t="shared" si="1322"/>
        <v>803.13250227901267</v>
      </c>
    </row>
    <row r="546" spans="1:40">
      <c r="A546" s="1828" t="s">
        <v>3022</v>
      </c>
      <c r="B546" s="1033"/>
      <c r="C546" s="398"/>
      <c r="D546" s="1033"/>
      <c r="E546" s="406"/>
      <c r="F546" s="406"/>
      <c r="G546" s="820"/>
      <c r="H546" s="820"/>
      <c r="I546" s="1033"/>
      <c r="J546" s="406"/>
      <c r="K546" s="406"/>
      <c r="L546" s="820"/>
      <c r="M546" s="820"/>
      <c r="N546" s="1033"/>
      <c r="O546" s="401"/>
      <c r="P546" s="401"/>
      <c r="Q546" s="820"/>
      <c r="R546" s="398"/>
      <c r="S546" s="401"/>
      <c r="T546" s="401"/>
      <c r="U546" s="401"/>
      <c r="V546" s="820"/>
      <c r="W546" s="398"/>
      <c r="X546" s="401"/>
      <c r="Y546" s="401"/>
      <c r="Z546" s="401"/>
      <c r="AA546" s="401">
        <f t="shared" ref="AA546:AB553" si="1326">AA530+AA514+AA498</f>
        <v>0</v>
      </c>
      <c r="AB546" s="398">
        <f t="shared" si="1326"/>
        <v>0</v>
      </c>
      <c r="AC546" s="3666">
        <v>0</v>
      </c>
      <c r="AD546" s="3666">
        <v>0</v>
      </c>
      <c r="AE546" s="401">
        <f t="shared" si="1322"/>
        <v>0</v>
      </c>
      <c r="AF546" s="820">
        <f t="shared" si="1322"/>
        <v>175</v>
      </c>
      <c r="AG546" s="398">
        <f t="shared" si="1322"/>
        <v>175</v>
      </c>
      <c r="AH546" s="401">
        <f t="shared" si="1322"/>
        <v>175</v>
      </c>
      <c r="AI546" s="401">
        <f t="shared" si="1322"/>
        <v>175</v>
      </c>
      <c r="AJ546" s="401">
        <f t="shared" ref="AJ546:AL546" si="1327">AJ530+AJ514+AJ498</f>
        <v>175</v>
      </c>
      <c r="AK546" s="820">
        <f t="shared" si="1327"/>
        <v>175</v>
      </c>
      <c r="AL546" s="398">
        <f t="shared" si="1327"/>
        <v>175</v>
      </c>
      <c r="AM546" s="398">
        <f t="shared" si="1322"/>
        <v>175</v>
      </c>
      <c r="AN546" s="398">
        <f t="shared" si="1322"/>
        <v>175</v>
      </c>
    </row>
    <row r="547" spans="1:40">
      <c r="A547" s="130" t="str">
        <f>A$12</f>
        <v>Hilton Hotels &amp; Resorts (Upper Up)</v>
      </c>
      <c r="B547" s="1033">
        <f t="shared" ref="B547:Z547" si="1328">B531+B515+B499</f>
        <v>13746</v>
      </c>
      <c r="C547" s="398">
        <f t="shared" si="1328"/>
        <v>13910</v>
      </c>
      <c r="D547" s="1033">
        <f t="shared" si="1328"/>
        <v>13910</v>
      </c>
      <c r="E547" s="406">
        <f t="shared" si="1328"/>
        <v>13910</v>
      </c>
      <c r="F547" s="406">
        <f t="shared" si="1328"/>
        <v>13910</v>
      </c>
      <c r="G547" s="820">
        <f t="shared" si="1328"/>
        <v>14375</v>
      </c>
      <c r="H547" s="820">
        <f t="shared" si="1328"/>
        <v>14375</v>
      </c>
      <c r="I547" s="1033">
        <f t="shared" si="1328"/>
        <v>14375</v>
      </c>
      <c r="J547" s="406">
        <f t="shared" si="1328"/>
        <v>14395</v>
      </c>
      <c r="K547" s="406">
        <f t="shared" si="1328"/>
        <v>14966</v>
      </c>
      <c r="L547" s="820">
        <f t="shared" si="1328"/>
        <v>14662</v>
      </c>
      <c r="M547" s="820">
        <f t="shared" si="1328"/>
        <v>14662</v>
      </c>
      <c r="N547" s="1033">
        <f t="shared" si="1328"/>
        <v>14924</v>
      </c>
      <c r="O547" s="401">
        <f t="shared" si="1328"/>
        <v>14924</v>
      </c>
      <c r="P547" s="401">
        <f t="shared" si="1328"/>
        <v>15272</v>
      </c>
      <c r="Q547" s="820">
        <f t="shared" si="1328"/>
        <v>14921</v>
      </c>
      <c r="R547" s="398">
        <f t="shared" si="1328"/>
        <v>14921</v>
      </c>
      <c r="S547" s="401">
        <f t="shared" si="1328"/>
        <v>15012</v>
      </c>
      <c r="T547" s="401">
        <f t="shared" si="1328"/>
        <v>15412</v>
      </c>
      <c r="U547" s="401">
        <f t="shared" si="1328"/>
        <v>15768</v>
      </c>
      <c r="V547" s="820">
        <f t="shared" si="1328"/>
        <v>15486</v>
      </c>
      <c r="W547" s="398">
        <f t="shared" si="1328"/>
        <v>15486</v>
      </c>
      <c r="X547" s="401">
        <f t="shared" si="1328"/>
        <v>15111</v>
      </c>
      <c r="Y547" s="401">
        <f t="shared" si="1328"/>
        <v>15111</v>
      </c>
      <c r="Z547" s="401">
        <f t="shared" si="1328"/>
        <v>14906</v>
      </c>
      <c r="AA547" s="401">
        <f t="shared" si="1326"/>
        <v>14910</v>
      </c>
      <c r="AB547" s="398">
        <f t="shared" si="1326"/>
        <v>14910</v>
      </c>
      <c r="AC547" s="3666">
        <v>14527</v>
      </c>
      <c r="AD547" s="3666">
        <v>15121</v>
      </c>
      <c r="AE547" s="401">
        <f t="shared" si="1322"/>
        <v>15109</v>
      </c>
      <c r="AF547" s="820">
        <f t="shared" si="1322"/>
        <v>15109</v>
      </c>
      <c r="AG547" s="398">
        <f t="shared" si="1322"/>
        <v>15109</v>
      </c>
      <c r="AH547" s="401">
        <f t="shared" si="1322"/>
        <v>15302.215</v>
      </c>
      <c r="AI547" s="401">
        <f t="shared" si="1322"/>
        <v>15498.054774999997</v>
      </c>
      <c r="AJ547" s="401">
        <f t="shared" ref="AJ547:AL547" si="1329">AJ531+AJ515+AJ499</f>
        <v>15724.450596624996</v>
      </c>
      <c r="AK547" s="820">
        <f t="shared" si="1329"/>
        <v>15954.242355574368</v>
      </c>
      <c r="AL547" s="398">
        <f t="shared" si="1329"/>
        <v>15954.242355574368</v>
      </c>
      <c r="AM547" s="398">
        <f t="shared" si="1322"/>
        <v>16740.171511058503</v>
      </c>
      <c r="AN547" s="398">
        <f t="shared" si="1322"/>
        <v>17352.074715659972</v>
      </c>
    </row>
    <row r="548" spans="1:40">
      <c r="A548" s="130" t="str">
        <f>A$13</f>
        <v xml:space="preserve">Curio - A Collection by Hilton </v>
      </c>
      <c r="B548" s="1033"/>
      <c r="C548" s="398"/>
      <c r="D548" s="1033"/>
      <c r="E548" s="406"/>
      <c r="F548" s="406"/>
      <c r="G548" s="820"/>
      <c r="H548" s="820"/>
      <c r="I548" s="1033"/>
      <c r="J548" s="406"/>
      <c r="K548" s="406"/>
      <c r="L548" s="820"/>
      <c r="M548" s="820"/>
      <c r="N548" s="1033"/>
      <c r="O548" s="401"/>
      <c r="P548" s="401"/>
      <c r="Q548" s="820"/>
      <c r="R548" s="398"/>
      <c r="S548" s="401">
        <f t="shared" ref="S548:Z553" si="1330">S532+S516+S500</f>
        <v>0</v>
      </c>
      <c r="T548" s="401">
        <f t="shared" si="1330"/>
        <v>0</v>
      </c>
      <c r="U548" s="401">
        <f t="shared" si="1330"/>
        <v>525</v>
      </c>
      <c r="V548" s="820">
        <f t="shared" si="1330"/>
        <v>525</v>
      </c>
      <c r="W548" s="398">
        <f t="shared" si="1330"/>
        <v>525</v>
      </c>
      <c r="X548" s="401">
        <f t="shared" si="1330"/>
        <v>525</v>
      </c>
      <c r="Y548" s="401">
        <f t="shared" si="1330"/>
        <v>525</v>
      </c>
      <c r="Z548" s="401">
        <f t="shared" si="1330"/>
        <v>525</v>
      </c>
      <c r="AA548" s="401">
        <f t="shared" si="1326"/>
        <v>585</v>
      </c>
      <c r="AB548" s="398">
        <f t="shared" si="1326"/>
        <v>585</v>
      </c>
      <c r="AC548" s="3666">
        <v>973</v>
      </c>
      <c r="AD548" s="3666">
        <v>973</v>
      </c>
      <c r="AE548" s="401">
        <f t="shared" si="1322"/>
        <v>973</v>
      </c>
      <c r="AF548" s="820">
        <f t="shared" si="1322"/>
        <v>1271</v>
      </c>
      <c r="AG548" s="398">
        <f t="shared" si="1322"/>
        <v>1271</v>
      </c>
      <c r="AH548" s="401">
        <f t="shared" si="1322"/>
        <v>1290.0649999999998</v>
      </c>
      <c r="AI548" s="401">
        <f t="shared" si="1322"/>
        <v>1309.4159749999997</v>
      </c>
      <c r="AJ548" s="401">
        <f t="shared" ref="AJ548:AL548" si="1331">AJ532+AJ516+AJ500</f>
        <v>1329.0572146249995</v>
      </c>
      <c r="AK548" s="820">
        <f t="shared" si="1331"/>
        <v>1348.9930728443744</v>
      </c>
      <c r="AL548" s="398">
        <f t="shared" si="1331"/>
        <v>1348.9930728443744</v>
      </c>
      <c r="AM548" s="398">
        <f t="shared" si="1322"/>
        <v>1409.6977611223713</v>
      </c>
      <c r="AN548" s="398">
        <f t="shared" si="1322"/>
        <v>1451.9886939560424</v>
      </c>
    </row>
    <row r="549" spans="1:40">
      <c r="A549" s="130" t="str">
        <f>A$14</f>
        <v>DoubleTree by Hilton (Upscale)</v>
      </c>
      <c r="B549" s="1033">
        <f t="shared" ref="B549:R549" si="1332">B533+B517+B501</f>
        <v>1653</v>
      </c>
      <c r="C549" s="398">
        <f t="shared" si="1332"/>
        <v>1966</v>
      </c>
      <c r="D549" s="1033">
        <f t="shared" si="1332"/>
        <v>2091</v>
      </c>
      <c r="E549" s="406">
        <f t="shared" si="1332"/>
        <v>2091</v>
      </c>
      <c r="F549" s="406">
        <f t="shared" si="1332"/>
        <v>2091</v>
      </c>
      <c r="G549" s="820">
        <f t="shared" si="1332"/>
        <v>2287</v>
      </c>
      <c r="H549" s="820">
        <f t="shared" si="1332"/>
        <v>2287</v>
      </c>
      <c r="I549" s="1033">
        <f t="shared" si="1332"/>
        <v>2287</v>
      </c>
      <c r="J549" s="406">
        <f t="shared" si="1332"/>
        <v>2287</v>
      </c>
      <c r="K549" s="406">
        <f t="shared" si="1332"/>
        <v>1854</v>
      </c>
      <c r="L549" s="820">
        <f t="shared" si="1332"/>
        <v>2700</v>
      </c>
      <c r="M549" s="820">
        <f t="shared" si="1332"/>
        <v>2700</v>
      </c>
      <c r="N549" s="1033">
        <f t="shared" si="1332"/>
        <v>2938</v>
      </c>
      <c r="O549" s="401">
        <f t="shared" si="1332"/>
        <v>2938</v>
      </c>
      <c r="P549" s="401">
        <f t="shared" si="1332"/>
        <v>2938</v>
      </c>
      <c r="Q549" s="820">
        <f t="shared" si="1332"/>
        <v>3058</v>
      </c>
      <c r="R549" s="398">
        <f t="shared" si="1332"/>
        <v>3058</v>
      </c>
      <c r="S549" s="401">
        <f t="shared" si="1330"/>
        <v>3058</v>
      </c>
      <c r="T549" s="401">
        <f t="shared" si="1330"/>
        <v>3284</v>
      </c>
      <c r="U549" s="401">
        <f t="shared" si="1330"/>
        <v>3465</v>
      </c>
      <c r="V549" s="820">
        <f t="shared" si="1330"/>
        <v>4068</v>
      </c>
      <c r="W549" s="398">
        <f t="shared" si="1330"/>
        <v>4068</v>
      </c>
      <c r="X549" s="401">
        <f t="shared" si="1330"/>
        <v>4060</v>
      </c>
      <c r="Y549" s="401">
        <f t="shared" si="1330"/>
        <v>4286</v>
      </c>
      <c r="Z549" s="401">
        <f t="shared" si="1330"/>
        <v>4138</v>
      </c>
      <c r="AA549" s="401">
        <f t="shared" si="1326"/>
        <v>4400</v>
      </c>
      <c r="AB549" s="398">
        <f t="shared" si="1326"/>
        <v>4400</v>
      </c>
      <c r="AC549" s="3666">
        <v>4400</v>
      </c>
      <c r="AD549" s="3666">
        <v>4400</v>
      </c>
      <c r="AE549" s="401">
        <f t="shared" si="1322"/>
        <v>4868</v>
      </c>
      <c r="AF549" s="820">
        <f t="shared" si="1322"/>
        <v>5160</v>
      </c>
      <c r="AG549" s="398">
        <f t="shared" si="1322"/>
        <v>5160</v>
      </c>
      <c r="AH549" s="401">
        <f t="shared" si="1322"/>
        <v>5215.6450000000004</v>
      </c>
      <c r="AI549" s="401">
        <f t="shared" si="1322"/>
        <v>5271.9071249999997</v>
      </c>
      <c r="AJ549" s="401">
        <f t="shared" ref="AJ549:AL549" si="1333">AJ533+AJ517+AJ501</f>
        <v>5350.9857318750001</v>
      </c>
      <c r="AK549" s="820">
        <f t="shared" si="1333"/>
        <v>5431.2505178531237</v>
      </c>
      <c r="AL549" s="398">
        <f t="shared" si="1333"/>
        <v>5431.2505178531237</v>
      </c>
      <c r="AM549" s="398">
        <f t="shared" si="1322"/>
        <v>5744.2459022374769</v>
      </c>
      <c r="AN549" s="398">
        <f t="shared" si="1322"/>
        <v>6013.5125562990288</v>
      </c>
    </row>
    <row r="550" spans="1:40">
      <c r="A550" s="130" t="str">
        <f>A$15</f>
        <v>Embassy Suites Hotels (Upper Up)</v>
      </c>
      <c r="B550" s="1033">
        <f t="shared" ref="B550:R550" si="1334">B534+B518+B502</f>
        <v>2027</v>
      </c>
      <c r="C550" s="398">
        <f t="shared" si="1334"/>
        <v>2027</v>
      </c>
      <c r="D550" s="1033">
        <f t="shared" si="1334"/>
        <v>2027</v>
      </c>
      <c r="E550" s="406">
        <f t="shared" si="1334"/>
        <v>2027</v>
      </c>
      <c r="F550" s="406">
        <f t="shared" si="1334"/>
        <v>1868</v>
      </c>
      <c r="G550" s="820">
        <f t="shared" si="1334"/>
        <v>1743</v>
      </c>
      <c r="H550" s="820">
        <f t="shared" si="1334"/>
        <v>1743</v>
      </c>
      <c r="I550" s="1033">
        <f t="shared" si="1334"/>
        <v>1743</v>
      </c>
      <c r="J550" s="406">
        <f t="shared" si="1334"/>
        <v>1743</v>
      </c>
      <c r="K550" s="406">
        <f t="shared" si="1334"/>
        <v>1743</v>
      </c>
      <c r="L550" s="820">
        <f t="shared" si="1334"/>
        <v>1743</v>
      </c>
      <c r="M550" s="820">
        <f t="shared" si="1334"/>
        <v>1743</v>
      </c>
      <c r="N550" s="1033">
        <f t="shared" si="1334"/>
        <v>1743</v>
      </c>
      <c r="O550" s="401">
        <f t="shared" si="1334"/>
        <v>1923</v>
      </c>
      <c r="P550" s="401">
        <f t="shared" si="1334"/>
        <v>1923</v>
      </c>
      <c r="Q550" s="820">
        <f t="shared" si="1334"/>
        <v>1923</v>
      </c>
      <c r="R550" s="398">
        <f t="shared" si="1334"/>
        <v>1923</v>
      </c>
      <c r="S550" s="401">
        <f t="shared" si="1330"/>
        <v>1935</v>
      </c>
      <c r="T550" s="401">
        <f t="shared" si="1330"/>
        <v>1905</v>
      </c>
      <c r="U550" s="401">
        <f t="shared" si="1330"/>
        <v>1905</v>
      </c>
      <c r="V550" s="820">
        <f t="shared" si="1330"/>
        <v>1905</v>
      </c>
      <c r="W550" s="398">
        <f t="shared" si="1330"/>
        <v>1905</v>
      </c>
      <c r="X550" s="401">
        <f t="shared" si="1330"/>
        <v>1905</v>
      </c>
      <c r="Y550" s="401">
        <f t="shared" si="1330"/>
        <v>1905</v>
      </c>
      <c r="Z550" s="401">
        <f t="shared" si="1330"/>
        <v>1916</v>
      </c>
      <c r="AA550" s="401">
        <f t="shared" si="1326"/>
        <v>1956</v>
      </c>
      <c r="AB550" s="398">
        <f t="shared" si="1326"/>
        <v>1956</v>
      </c>
      <c r="AC550" s="3666">
        <v>1986</v>
      </c>
      <c r="AD550" s="3666">
        <v>1989</v>
      </c>
      <c r="AE550" s="401">
        <f t="shared" si="1322"/>
        <v>1989</v>
      </c>
      <c r="AF550" s="820">
        <f t="shared" si="1322"/>
        <v>1989</v>
      </c>
      <c r="AG550" s="398">
        <f t="shared" si="1322"/>
        <v>1989</v>
      </c>
      <c r="AH550" s="401">
        <f t="shared" si="1322"/>
        <v>2012.2249999999999</v>
      </c>
      <c r="AI550" s="401">
        <f t="shared" si="1322"/>
        <v>2035.7322749999998</v>
      </c>
      <c r="AJ550" s="401">
        <f t="shared" ref="AJ550:AL550" si="1335">AJ534+AJ518+AJ502</f>
        <v>2066.2682591249995</v>
      </c>
      <c r="AK550" s="820">
        <f t="shared" si="1335"/>
        <v>2097.2622830118744</v>
      </c>
      <c r="AL550" s="398">
        <f t="shared" si="1335"/>
        <v>2097.2622830118744</v>
      </c>
      <c r="AM550" s="398">
        <f t="shared" si="1322"/>
        <v>2212.4790776685836</v>
      </c>
      <c r="AN550" s="398">
        <f t="shared" si="1322"/>
        <v>2308.3073052472355</v>
      </c>
    </row>
    <row r="551" spans="1:40">
      <c r="A551" s="130" t="str">
        <f>A$16</f>
        <v>Hilton Garden Inn (Upscale)</v>
      </c>
      <c r="B551" s="1033">
        <f t="shared" ref="B551:R551" si="1336">B535+B519+B503</f>
        <v>3277</v>
      </c>
      <c r="C551" s="398">
        <f t="shared" si="1336"/>
        <v>3885</v>
      </c>
      <c r="D551" s="1033">
        <f t="shared" si="1336"/>
        <v>3885</v>
      </c>
      <c r="E551" s="406">
        <f t="shared" si="1336"/>
        <v>4055</v>
      </c>
      <c r="F551" s="406">
        <f t="shared" si="1336"/>
        <v>4055</v>
      </c>
      <c r="G551" s="820">
        <f t="shared" si="1336"/>
        <v>4260</v>
      </c>
      <c r="H551" s="820">
        <f t="shared" si="1336"/>
        <v>4260</v>
      </c>
      <c r="I551" s="1033">
        <f t="shared" si="1336"/>
        <v>4260</v>
      </c>
      <c r="J551" s="406">
        <f t="shared" si="1336"/>
        <v>4260</v>
      </c>
      <c r="K551" s="406">
        <f t="shared" si="1336"/>
        <v>4260</v>
      </c>
      <c r="L551" s="820">
        <f t="shared" si="1336"/>
        <v>4260</v>
      </c>
      <c r="M551" s="820">
        <f t="shared" si="1336"/>
        <v>4260</v>
      </c>
      <c r="N551" s="1033">
        <f t="shared" si="1336"/>
        <v>4368</v>
      </c>
      <c r="O551" s="401">
        <f t="shared" si="1336"/>
        <v>4368</v>
      </c>
      <c r="P551" s="401">
        <f t="shared" si="1336"/>
        <v>4491</v>
      </c>
      <c r="Q551" s="820">
        <f t="shared" si="1336"/>
        <v>4491</v>
      </c>
      <c r="R551" s="398">
        <f t="shared" si="1336"/>
        <v>4491</v>
      </c>
      <c r="S551" s="401">
        <f t="shared" si="1330"/>
        <v>4491</v>
      </c>
      <c r="T551" s="401">
        <f t="shared" si="1330"/>
        <v>4606</v>
      </c>
      <c r="U551" s="401">
        <f t="shared" si="1330"/>
        <v>4849</v>
      </c>
      <c r="V551" s="820">
        <f t="shared" si="1330"/>
        <v>5319</v>
      </c>
      <c r="W551" s="398">
        <f t="shared" si="1330"/>
        <v>5319</v>
      </c>
      <c r="X551" s="401">
        <f t="shared" si="1330"/>
        <v>5562</v>
      </c>
      <c r="Y551" s="401">
        <f t="shared" si="1330"/>
        <v>5562</v>
      </c>
      <c r="Z551" s="401">
        <f t="shared" si="1330"/>
        <v>5562</v>
      </c>
      <c r="AA551" s="401">
        <f t="shared" si="1326"/>
        <v>6025</v>
      </c>
      <c r="AB551" s="398">
        <f t="shared" si="1326"/>
        <v>6025</v>
      </c>
      <c r="AC551" s="3666">
        <v>6025</v>
      </c>
      <c r="AD551" s="3666">
        <v>6248</v>
      </c>
      <c r="AE551" s="401">
        <f t="shared" si="1322"/>
        <v>6524</v>
      </c>
      <c r="AF551" s="820">
        <f t="shared" si="1322"/>
        <v>6678</v>
      </c>
      <c r="AG551" s="398">
        <f t="shared" si="1322"/>
        <v>6678</v>
      </c>
      <c r="AH551" s="401">
        <f t="shared" si="1322"/>
        <v>6750.2</v>
      </c>
      <c r="AI551" s="401">
        <f t="shared" si="1322"/>
        <v>6823.2032999999992</v>
      </c>
      <c r="AJ551" s="401">
        <f t="shared" ref="AJ551:AL551" si="1337">AJ535+AJ519+AJ503</f>
        <v>6925.5513494999987</v>
      </c>
      <c r="AK551" s="820">
        <f t="shared" si="1337"/>
        <v>7029.4346197424975</v>
      </c>
      <c r="AL551" s="398">
        <f t="shared" si="1337"/>
        <v>7029.4346197424975</v>
      </c>
      <c r="AM551" s="398">
        <f t="shared" si="1322"/>
        <v>7433.9429255938849</v>
      </c>
      <c r="AN551" s="398">
        <f t="shared" si="1322"/>
        <v>7781.59424381604</v>
      </c>
    </row>
    <row r="552" spans="1:40">
      <c r="A552" s="130" t="str">
        <f>A$17</f>
        <v>Hampton Inn (Upper Mid)</v>
      </c>
      <c r="B552" s="1033">
        <f t="shared" ref="B552:R552" si="1338">B536+B520+B504</f>
        <v>6296</v>
      </c>
      <c r="C552" s="398">
        <f t="shared" si="1338"/>
        <v>6320</v>
      </c>
      <c r="D552" s="1033">
        <f t="shared" si="1338"/>
        <v>6440</v>
      </c>
      <c r="E552" s="406">
        <f t="shared" si="1338"/>
        <v>6568</v>
      </c>
      <c r="F552" s="406">
        <f t="shared" si="1338"/>
        <v>6711</v>
      </c>
      <c r="G552" s="820">
        <f t="shared" si="1338"/>
        <v>6893</v>
      </c>
      <c r="H552" s="820">
        <f t="shared" si="1338"/>
        <v>6893</v>
      </c>
      <c r="I552" s="1033">
        <f t="shared" si="1338"/>
        <v>7153</v>
      </c>
      <c r="J552" s="406">
        <f t="shared" si="1338"/>
        <v>7161</v>
      </c>
      <c r="K552" s="406">
        <f t="shared" si="1338"/>
        <v>7236</v>
      </c>
      <c r="L552" s="820">
        <f t="shared" si="1338"/>
        <v>7265</v>
      </c>
      <c r="M552" s="820">
        <f t="shared" si="1338"/>
        <v>7265</v>
      </c>
      <c r="N552" s="1033">
        <f t="shared" si="1338"/>
        <v>7265</v>
      </c>
      <c r="O552" s="401">
        <f t="shared" si="1338"/>
        <v>7550</v>
      </c>
      <c r="P552" s="401">
        <f t="shared" si="1338"/>
        <v>7858</v>
      </c>
      <c r="Q552" s="820">
        <f t="shared" si="1338"/>
        <v>8241</v>
      </c>
      <c r="R552" s="398">
        <f t="shared" si="1338"/>
        <v>8241</v>
      </c>
      <c r="S552" s="401">
        <f t="shared" si="1330"/>
        <v>8819</v>
      </c>
      <c r="T552" s="401">
        <f t="shared" si="1330"/>
        <v>9477</v>
      </c>
      <c r="U552" s="401">
        <f t="shared" si="1330"/>
        <v>9932</v>
      </c>
      <c r="V552" s="820">
        <f t="shared" si="1330"/>
        <v>10580</v>
      </c>
      <c r="W552" s="398">
        <f t="shared" si="1330"/>
        <v>10580</v>
      </c>
      <c r="X552" s="401">
        <f t="shared" si="1330"/>
        <v>10798</v>
      </c>
      <c r="Y552" s="401">
        <f t="shared" si="1330"/>
        <v>11017</v>
      </c>
      <c r="Z552" s="401">
        <f t="shared" si="1330"/>
        <v>11471</v>
      </c>
      <c r="AA552" s="401">
        <f t="shared" si="1326"/>
        <v>11630</v>
      </c>
      <c r="AB552" s="398">
        <f t="shared" si="1326"/>
        <v>11630</v>
      </c>
      <c r="AC552" s="3666">
        <v>11689</v>
      </c>
      <c r="AD552" s="3666">
        <v>11693</v>
      </c>
      <c r="AE552" s="401">
        <f t="shared" si="1322"/>
        <v>11930</v>
      </c>
      <c r="AF552" s="820">
        <f t="shared" si="1322"/>
        <v>12328</v>
      </c>
      <c r="AG552" s="398">
        <f t="shared" si="1322"/>
        <v>12328</v>
      </c>
      <c r="AH552" s="401">
        <f t="shared" si="1322"/>
        <v>12459.665000000001</v>
      </c>
      <c r="AI552" s="401">
        <f t="shared" si="1322"/>
        <v>12592.772424999999</v>
      </c>
      <c r="AJ552" s="401">
        <f t="shared" ref="AJ552:AL552" si="1339">AJ536+AJ520+AJ504</f>
        <v>12781.664011375</v>
      </c>
      <c r="AK552" s="820">
        <f t="shared" si="1339"/>
        <v>12973.388971545623</v>
      </c>
      <c r="AL552" s="398">
        <f t="shared" si="1339"/>
        <v>12973.388971545623</v>
      </c>
      <c r="AM552" s="398">
        <f t="shared" si="1322"/>
        <v>13725.093709722389</v>
      </c>
      <c r="AN552" s="398">
        <f t="shared" si="1322"/>
        <v>14374.148345713587</v>
      </c>
    </row>
    <row r="553" spans="1:40">
      <c r="A553" s="130" t="str">
        <f>A$18</f>
        <v>Home2 Suites by Hilton (Upper Mid)</v>
      </c>
      <c r="B553" s="1033">
        <f t="shared" ref="B553:R553" si="1340">B537+B521+B505</f>
        <v>0</v>
      </c>
      <c r="C553" s="398">
        <f t="shared" si="1340"/>
        <v>0</v>
      </c>
      <c r="D553" s="1033">
        <f t="shared" si="1340"/>
        <v>0</v>
      </c>
      <c r="E553" s="406">
        <f t="shared" si="1340"/>
        <v>0</v>
      </c>
      <c r="F553" s="406">
        <f t="shared" si="1340"/>
        <v>0</v>
      </c>
      <c r="G553" s="820">
        <f t="shared" si="1340"/>
        <v>0</v>
      </c>
      <c r="H553" s="820">
        <f t="shared" si="1340"/>
        <v>0</v>
      </c>
      <c r="I553" s="1033">
        <f t="shared" si="1340"/>
        <v>0</v>
      </c>
      <c r="J553" s="406">
        <f t="shared" si="1340"/>
        <v>0</v>
      </c>
      <c r="K553" s="406">
        <f t="shared" si="1340"/>
        <v>0</v>
      </c>
      <c r="L553" s="820">
        <f t="shared" si="1340"/>
        <v>97</v>
      </c>
      <c r="M553" s="820">
        <f t="shared" si="1340"/>
        <v>97</v>
      </c>
      <c r="N553" s="1033">
        <f t="shared" si="1340"/>
        <v>97</v>
      </c>
      <c r="O553" s="401">
        <f t="shared" si="1340"/>
        <v>97</v>
      </c>
      <c r="P553" s="401">
        <f t="shared" si="1340"/>
        <v>224</v>
      </c>
      <c r="Q553" s="820">
        <f t="shared" si="1340"/>
        <v>224</v>
      </c>
      <c r="R553" s="398">
        <f t="shared" si="1340"/>
        <v>224</v>
      </c>
      <c r="S553" s="401">
        <f t="shared" si="1330"/>
        <v>224</v>
      </c>
      <c r="T553" s="401">
        <f t="shared" si="1330"/>
        <v>224</v>
      </c>
      <c r="U553" s="401">
        <f t="shared" si="1330"/>
        <v>224</v>
      </c>
      <c r="V553" s="820">
        <f t="shared" si="1330"/>
        <v>224</v>
      </c>
      <c r="W553" s="398">
        <f t="shared" si="1330"/>
        <v>224</v>
      </c>
      <c r="X553" s="401">
        <f t="shared" si="1330"/>
        <v>324</v>
      </c>
      <c r="Y553" s="401">
        <f t="shared" si="1330"/>
        <v>324</v>
      </c>
      <c r="Z553" s="401">
        <f t="shared" si="1330"/>
        <v>317</v>
      </c>
      <c r="AA553" s="401">
        <f t="shared" si="1326"/>
        <v>317</v>
      </c>
      <c r="AB553" s="398">
        <f t="shared" si="1326"/>
        <v>317</v>
      </c>
      <c r="AC553" s="3666">
        <v>317</v>
      </c>
      <c r="AD553" s="3666">
        <v>317</v>
      </c>
      <c r="AE553" s="401">
        <f t="shared" si="1322"/>
        <v>317</v>
      </c>
      <c r="AF553" s="820">
        <f t="shared" si="1322"/>
        <v>317</v>
      </c>
      <c r="AG553" s="398">
        <f t="shared" si="1322"/>
        <v>317</v>
      </c>
      <c r="AH553" s="401">
        <f t="shared" si="1322"/>
        <v>320.17</v>
      </c>
      <c r="AI553" s="401">
        <f t="shared" si="1322"/>
        <v>323.37170000000003</v>
      </c>
      <c r="AJ553" s="401">
        <f t="shared" ref="AJ553:AL553" si="1341">AJ537+AJ521+AJ505</f>
        <v>328.22227550000002</v>
      </c>
      <c r="AK553" s="820">
        <f t="shared" si="1341"/>
        <v>333.1456096325</v>
      </c>
      <c r="AL553" s="398">
        <f t="shared" si="1341"/>
        <v>333.1456096325</v>
      </c>
      <c r="AM553" s="398">
        <f t="shared" si="1322"/>
        <v>353.13434621045002</v>
      </c>
      <c r="AN553" s="398">
        <f t="shared" si="1322"/>
        <v>370.79106352097256</v>
      </c>
    </row>
    <row r="554" spans="1:40">
      <c r="A554" s="130" t="str">
        <f>$A$90</f>
        <v>Tru by Hilton</v>
      </c>
      <c r="B554" s="1030"/>
      <c r="C554" s="508"/>
      <c r="D554" s="1030"/>
      <c r="E554" s="912"/>
      <c r="F554" s="912"/>
      <c r="G554" s="1041"/>
      <c r="H554" s="820"/>
      <c r="I554" s="1030"/>
      <c r="J554" s="912"/>
      <c r="K554" s="912"/>
      <c r="L554" s="1041"/>
      <c r="M554" s="820"/>
      <c r="N554" s="1030"/>
      <c r="O554" s="912"/>
      <c r="P554" s="912"/>
      <c r="Q554" s="1041"/>
      <c r="R554" s="820"/>
      <c r="S554" s="1030"/>
      <c r="T554" s="912"/>
      <c r="U554" s="912"/>
      <c r="V554" s="912"/>
      <c r="W554" s="398"/>
      <c r="X554" s="2791"/>
      <c r="Y554" s="2791"/>
      <c r="Z554" s="2791"/>
      <c r="AA554" s="2791"/>
      <c r="AB554" s="398"/>
      <c r="AC554" s="3665">
        <v>0</v>
      </c>
      <c r="AD554" s="3665">
        <v>0</v>
      </c>
      <c r="AE554" s="401">
        <f t="shared" ref="AE554:AN555" si="1342">AE538+AE522+AE506</f>
        <v>0</v>
      </c>
      <c r="AF554" s="820">
        <f t="shared" si="1342"/>
        <v>0</v>
      </c>
      <c r="AG554" s="398">
        <f t="shared" si="1342"/>
        <v>0</v>
      </c>
      <c r="AH554" s="401">
        <f t="shared" si="1342"/>
        <v>0</v>
      </c>
      <c r="AI554" s="401">
        <f t="shared" si="1342"/>
        <v>0</v>
      </c>
      <c r="AJ554" s="401">
        <f t="shared" ref="AJ554:AL554" si="1343">AJ538+AJ522+AJ506</f>
        <v>0</v>
      </c>
      <c r="AK554" s="820">
        <f t="shared" si="1343"/>
        <v>0</v>
      </c>
      <c r="AL554" s="398">
        <f t="shared" si="1343"/>
        <v>0</v>
      </c>
      <c r="AM554" s="398">
        <f t="shared" si="1342"/>
        <v>0</v>
      </c>
      <c r="AN554" s="398">
        <f t="shared" si="1342"/>
        <v>0</v>
      </c>
    </row>
    <row r="555" spans="1:40">
      <c r="A555" s="130" t="str">
        <f>$A$91</f>
        <v>Tapestry Collection by Hilton</v>
      </c>
      <c r="B555" s="1030"/>
      <c r="C555" s="508"/>
      <c r="D555" s="1030"/>
      <c r="E555" s="912"/>
      <c r="F555" s="912"/>
      <c r="G555" s="1041"/>
      <c r="H555" s="820"/>
      <c r="I555" s="1030"/>
      <c r="J555" s="912"/>
      <c r="K555" s="912"/>
      <c r="L555" s="1041"/>
      <c r="M555" s="820"/>
      <c r="N555" s="1030"/>
      <c r="O555" s="912"/>
      <c r="P555" s="912"/>
      <c r="Q555" s="1041"/>
      <c r="R555" s="820"/>
      <c r="S555" s="1030"/>
      <c r="T555" s="912"/>
      <c r="U555" s="912"/>
      <c r="V555" s="912"/>
      <c r="W555" s="398"/>
      <c r="X555" s="2791"/>
      <c r="Y555" s="2791"/>
      <c r="Z555" s="2791"/>
      <c r="AA555" s="2791"/>
      <c r="AB555" s="398"/>
      <c r="AC555" s="3665">
        <v>0</v>
      </c>
      <c r="AD555" s="3665">
        <v>0</v>
      </c>
      <c r="AE555" s="401">
        <f t="shared" si="1342"/>
        <v>0</v>
      </c>
      <c r="AF555" s="820">
        <f t="shared" si="1342"/>
        <v>0</v>
      </c>
      <c r="AG555" s="398">
        <f t="shared" si="1342"/>
        <v>0</v>
      </c>
      <c r="AH555" s="401">
        <f t="shared" si="1342"/>
        <v>0</v>
      </c>
      <c r="AI555" s="401">
        <f t="shared" si="1342"/>
        <v>0</v>
      </c>
      <c r="AJ555" s="401">
        <f t="shared" ref="AJ555:AL555" si="1344">AJ539+AJ523+AJ507</f>
        <v>0</v>
      </c>
      <c r="AK555" s="820">
        <f t="shared" si="1344"/>
        <v>0</v>
      </c>
      <c r="AL555" s="398">
        <f t="shared" si="1344"/>
        <v>0</v>
      </c>
      <c r="AM555" s="398">
        <f t="shared" si="1342"/>
        <v>0</v>
      </c>
      <c r="AN555" s="398">
        <f t="shared" si="1342"/>
        <v>0</v>
      </c>
    </row>
    <row r="556" spans="1:40" s="5" customFormat="1">
      <c r="A556" s="1828" t="str">
        <f>A$21</f>
        <v>Homewood Suites by Hilton (Upscale)</v>
      </c>
      <c r="B556" s="1033">
        <f t="shared" ref="B556:R556" si="1345">B540+B524+B508</f>
        <v>1030</v>
      </c>
      <c r="C556" s="398">
        <f t="shared" si="1345"/>
        <v>1169</v>
      </c>
      <c r="D556" s="1033">
        <f t="shared" si="1345"/>
        <v>1169</v>
      </c>
      <c r="E556" s="406">
        <f t="shared" si="1345"/>
        <v>1169</v>
      </c>
      <c r="F556" s="406">
        <f t="shared" si="1345"/>
        <v>1169</v>
      </c>
      <c r="G556" s="820">
        <f t="shared" si="1345"/>
        <v>1169</v>
      </c>
      <c r="H556" s="820">
        <f t="shared" si="1345"/>
        <v>1169</v>
      </c>
      <c r="I556" s="1033">
        <f t="shared" si="1345"/>
        <v>1169</v>
      </c>
      <c r="J556" s="406">
        <f t="shared" si="1345"/>
        <v>1169</v>
      </c>
      <c r="K556" s="406">
        <f t="shared" si="1345"/>
        <v>1170</v>
      </c>
      <c r="L556" s="820">
        <f t="shared" si="1345"/>
        <v>1170</v>
      </c>
      <c r="M556" s="820">
        <f t="shared" si="1345"/>
        <v>1170</v>
      </c>
      <c r="N556" s="1033">
        <f t="shared" si="1345"/>
        <v>1465</v>
      </c>
      <c r="O556" s="401">
        <f t="shared" si="1345"/>
        <v>1826</v>
      </c>
      <c r="P556" s="401">
        <f t="shared" si="1345"/>
        <v>1923</v>
      </c>
      <c r="Q556" s="820">
        <f t="shared" si="1345"/>
        <v>1923</v>
      </c>
      <c r="R556" s="398">
        <f t="shared" si="1345"/>
        <v>1923</v>
      </c>
      <c r="S556" s="401">
        <f t="shared" ref="S556:Z556" si="1346">S540+S524+S508</f>
        <v>1923</v>
      </c>
      <c r="T556" s="401">
        <f t="shared" si="1346"/>
        <v>1923</v>
      </c>
      <c r="U556" s="401">
        <f t="shared" si="1346"/>
        <v>1923</v>
      </c>
      <c r="V556" s="820">
        <f t="shared" si="1346"/>
        <v>1923</v>
      </c>
      <c r="W556" s="398">
        <f t="shared" si="1346"/>
        <v>1923</v>
      </c>
      <c r="X556" s="401">
        <f t="shared" si="1346"/>
        <v>1923</v>
      </c>
      <c r="Y556" s="401">
        <f t="shared" si="1346"/>
        <v>1923</v>
      </c>
      <c r="Z556" s="401">
        <f t="shared" si="1346"/>
        <v>2020</v>
      </c>
      <c r="AA556" s="401">
        <f t="shared" ref="AA556:AB556" si="1347">AA540+AA524+AA508</f>
        <v>2040</v>
      </c>
      <c r="AB556" s="398">
        <f t="shared" si="1347"/>
        <v>2040</v>
      </c>
      <c r="AC556" s="3666">
        <v>2039</v>
      </c>
      <c r="AD556" s="3666">
        <v>2139</v>
      </c>
      <c r="AE556" s="401">
        <f t="shared" ref="AE556:AN556" si="1348">AE540+AE524+AE508</f>
        <v>2139</v>
      </c>
      <c r="AF556" s="820">
        <f t="shared" si="1348"/>
        <v>2278</v>
      </c>
      <c r="AG556" s="398">
        <f t="shared" si="1348"/>
        <v>2278</v>
      </c>
      <c r="AH556" s="401">
        <f t="shared" si="1348"/>
        <v>2302.5700000000002</v>
      </c>
      <c r="AI556" s="401">
        <f t="shared" si="1348"/>
        <v>2327.41255</v>
      </c>
      <c r="AJ556" s="401">
        <f t="shared" ref="AJ556:AL556" si="1349">AJ540+AJ524+AJ508</f>
        <v>2362.3237382499997</v>
      </c>
      <c r="AK556" s="820">
        <f t="shared" si="1349"/>
        <v>2397.7585943237495</v>
      </c>
      <c r="AL556" s="398">
        <f t="shared" si="1349"/>
        <v>2397.7585943237495</v>
      </c>
      <c r="AM556" s="398">
        <f t="shared" si="1348"/>
        <v>2535.9245877163185</v>
      </c>
      <c r="AN556" s="398">
        <f t="shared" si="1348"/>
        <v>2654.7794827436478</v>
      </c>
    </row>
    <row r="557" spans="1:40" s="5" customFormat="1">
      <c r="A557" s="130" t="s">
        <v>1407</v>
      </c>
      <c r="B557" s="1033"/>
      <c r="C557" s="398"/>
      <c r="D557" s="1033"/>
      <c r="E557" s="406"/>
      <c r="F557" s="406"/>
      <c r="G557" s="820"/>
      <c r="H557" s="820"/>
      <c r="I557" s="1033"/>
      <c r="J557" s="406"/>
      <c r="K557" s="406"/>
      <c r="L557" s="820"/>
      <c r="M557" s="820"/>
      <c r="N557" s="1033"/>
      <c r="O557" s="401"/>
      <c r="P557" s="401"/>
      <c r="Q557" s="820"/>
      <c r="R557" s="398"/>
      <c r="S557" s="401"/>
      <c r="T557" s="401"/>
      <c r="U557" s="401"/>
      <c r="V557" s="820"/>
      <c r="W557" s="398"/>
      <c r="X557" s="401"/>
      <c r="Y557" s="401"/>
      <c r="Z557" s="401"/>
      <c r="AA557" s="401"/>
      <c r="AB557" s="398"/>
      <c r="AC557" s="3666">
        <v>0</v>
      </c>
      <c r="AD557" s="3666">
        <f>AC557</f>
        <v>0</v>
      </c>
      <c r="AE557" s="401">
        <f t="shared" ref="AE557:AF557" si="1350">AD557</f>
        <v>0</v>
      </c>
      <c r="AF557" s="401">
        <f t="shared" si="1350"/>
        <v>0</v>
      </c>
      <c r="AG557" s="398">
        <f>AF557</f>
        <v>0</v>
      </c>
      <c r="AH557" s="401">
        <f t="shared" ref="AH557:AH558" si="1351">AG557</f>
        <v>0</v>
      </c>
      <c r="AI557" s="401">
        <f t="shared" ref="AI557:AI558" si="1352">AH557</f>
        <v>0</v>
      </c>
      <c r="AJ557" s="401">
        <f t="shared" ref="AJ557:AJ558" si="1353">AI557</f>
        <v>0</v>
      </c>
      <c r="AK557" s="401">
        <f t="shared" ref="AK557:AK558" si="1354">AJ557</f>
        <v>0</v>
      </c>
      <c r="AL557" s="398">
        <f>AK557</f>
        <v>0</v>
      </c>
      <c r="AM557" s="398">
        <f t="shared" ref="AM557:AN557" si="1355">AL557</f>
        <v>0</v>
      </c>
      <c r="AN557" s="398">
        <f t="shared" si="1355"/>
        <v>0</v>
      </c>
    </row>
    <row r="558" spans="1:40" s="5" customFormat="1">
      <c r="A558" s="402" t="s">
        <v>1394</v>
      </c>
      <c r="B558" s="1033"/>
      <c r="C558" s="398"/>
      <c r="D558" s="1033"/>
      <c r="E558" s="406"/>
      <c r="F558" s="406"/>
      <c r="G558" s="820"/>
      <c r="H558" s="820"/>
      <c r="I558" s="1033"/>
      <c r="J558" s="406"/>
      <c r="K558" s="406"/>
      <c r="L558" s="820"/>
      <c r="M558" s="820"/>
      <c r="N558" s="1033"/>
      <c r="O558" s="401"/>
      <c r="P558" s="401"/>
      <c r="Q558" s="820"/>
      <c r="R558" s="398"/>
      <c r="S558" s="401"/>
      <c r="T558" s="401"/>
      <c r="U558" s="401"/>
      <c r="V558" s="820"/>
      <c r="W558" s="398"/>
      <c r="X558" s="401"/>
      <c r="Y558" s="401"/>
      <c r="Z558" s="401"/>
      <c r="AA558" s="401"/>
      <c r="AB558" s="398"/>
      <c r="AC558" s="3666">
        <v>0</v>
      </c>
      <c r="AD558" s="3666">
        <f>AC558</f>
        <v>0</v>
      </c>
      <c r="AE558" s="401">
        <f t="shared" ref="AE558:AF558" si="1356">AD558</f>
        <v>0</v>
      </c>
      <c r="AF558" s="401">
        <f t="shared" si="1356"/>
        <v>0</v>
      </c>
      <c r="AG558" s="398">
        <f>AF558</f>
        <v>0</v>
      </c>
      <c r="AH558" s="401">
        <f t="shared" si="1351"/>
        <v>0</v>
      </c>
      <c r="AI558" s="401">
        <f t="shared" si="1352"/>
        <v>0</v>
      </c>
      <c r="AJ558" s="401">
        <f t="shared" si="1353"/>
        <v>0</v>
      </c>
      <c r="AK558" s="401">
        <f t="shared" si="1354"/>
        <v>0</v>
      </c>
      <c r="AL558" s="398">
        <f>AK558</f>
        <v>0</v>
      </c>
      <c r="AM558" s="398">
        <f t="shared" ref="AM558:AN558" si="1357">AL558</f>
        <v>0</v>
      </c>
      <c r="AN558" s="398">
        <f t="shared" si="1357"/>
        <v>0</v>
      </c>
    </row>
    <row r="559" spans="1:40">
      <c r="A559" s="202" t="s">
        <v>1412</v>
      </c>
      <c r="B559" s="1034">
        <f t="shared" ref="B559:R559" si="1358">SUM(B544:B556)</f>
        <v>30271</v>
      </c>
      <c r="C559" s="476">
        <f t="shared" si="1358"/>
        <v>31133</v>
      </c>
      <c r="D559" s="1034">
        <f t="shared" si="1358"/>
        <v>31378</v>
      </c>
      <c r="E559" s="475">
        <f t="shared" si="1358"/>
        <v>31676</v>
      </c>
      <c r="F559" s="475">
        <f t="shared" si="1358"/>
        <v>31660</v>
      </c>
      <c r="G559" s="822">
        <f t="shared" si="1358"/>
        <v>32583</v>
      </c>
      <c r="H559" s="822">
        <f t="shared" si="1358"/>
        <v>32583</v>
      </c>
      <c r="I559" s="1034">
        <f t="shared" si="1358"/>
        <v>33091</v>
      </c>
      <c r="J559" s="475">
        <f t="shared" si="1358"/>
        <v>33111</v>
      </c>
      <c r="K559" s="475">
        <f t="shared" si="1358"/>
        <v>32755</v>
      </c>
      <c r="L559" s="822">
        <f>SUM(L544:L556)</f>
        <v>33423</v>
      </c>
      <c r="M559" s="822">
        <f>SUM(M544:M556)</f>
        <v>33423</v>
      </c>
      <c r="N559" s="1034">
        <f t="shared" si="1358"/>
        <v>34326</v>
      </c>
      <c r="O559" s="475">
        <f t="shared" si="1358"/>
        <v>35152</v>
      </c>
      <c r="P559" s="475">
        <f t="shared" si="1358"/>
        <v>36155</v>
      </c>
      <c r="Q559" s="822">
        <f t="shared" si="1358"/>
        <v>36307</v>
      </c>
      <c r="R559" s="476">
        <f t="shared" si="1358"/>
        <v>36307</v>
      </c>
      <c r="S559" s="475">
        <f t="shared" ref="S559:AB559" si="1359">SUM(S544:S556)</f>
        <v>36893</v>
      </c>
      <c r="T559" s="475">
        <f t="shared" si="1359"/>
        <v>38262</v>
      </c>
      <c r="U559" s="475">
        <f t="shared" si="1359"/>
        <v>40022</v>
      </c>
      <c r="V559" s="822">
        <f t="shared" si="1359"/>
        <v>41461</v>
      </c>
      <c r="W559" s="476">
        <f t="shared" si="1359"/>
        <v>41461</v>
      </c>
      <c r="X559" s="475">
        <f t="shared" si="1359"/>
        <v>41639</v>
      </c>
      <c r="Y559" s="475">
        <f t="shared" si="1359"/>
        <v>42077</v>
      </c>
      <c r="Z559" s="475">
        <f t="shared" si="1359"/>
        <v>42277</v>
      </c>
      <c r="AA559" s="475">
        <f t="shared" si="1359"/>
        <v>43283</v>
      </c>
      <c r="AB559" s="476">
        <f t="shared" si="1359"/>
        <v>43283</v>
      </c>
      <c r="AC559" s="475">
        <f t="shared" ref="AC559:AN559" si="1360">SUM(AC544:AC558)</f>
        <v>43376</v>
      </c>
      <c r="AD559" s="475">
        <f t="shared" si="1360"/>
        <v>44434</v>
      </c>
      <c r="AE559" s="475">
        <f t="shared" si="1360"/>
        <v>45403</v>
      </c>
      <c r="AF559" s="475">
        <f t="shared" si="1360"/>
        <v>47127</v>
      </c>
      <c r="AG559" s="476">
        <f t="shared" si="1360"/>
        <v>47127</v>
      </c>
      <c r="AH559" s="475">
        <f t="shared" si="1360"/>
        <v>47670.695</v>
      </c>
      <c r="AI559" s="475">
        <f t="shared" si="1360"/>
        <v>48221.000324999994</v>
      </c>
      <c r="AJ559" s="475">
        <f t="shared" ref="AJ559:AL559" si="1361">SUM(AJ544:AJ558)</f>
        <v>48935.615329874992</v>
      </c>
      <c r="AK559" s="475">
        <f t="shared" si="1361"/>
        <v>49660.949559823115</v>
      </c>
      <c r="AL559" s="476">
        <f t="shared" si="1361"/>
        <v>49660.949559823115</v>
      </c>
      <c r="AM559" s="476">
        <f t="shared" si="1360"/>
        <v>52356.731042169573</v>
      </c>
      <c r="AN559" s="476">
        <f t="shared" si="1360"/>
        <v>54598.522409812911</v>
      </c>
    </row>
    <row r="560" spans="1:40">
      <c r="A560" s="478" t="s">
        <v>598</v>
      </c>
      <c r="B560" s="1035"/>
      <c r="C560" s="480">
        <f>C559-B559</f>
        <v>862</v>
      </c>
      <c r="D560" s="1035"/>
      <c r="E560" s="479"/>
      <c r="F560" s="479"/>
      <c r="G560" s="1040"/>
      <c r="H560" s="1040">
        <f t="shared" ref="H560:R560" si="1362">H559-C559</f>
        <v>1450</v>
      </c>
      <c r="I560" s="1035">
        <f t="shared" si="1362"/>
        <v>1713</v>
      </c>
      <c r="J560" s="479">
        <f t="shared" si="1362"/>
        <v>1435</v>
      </c>
      <c r="K560" s="479">
        <f t="shared" si="1362"/>
        <v>1095</v>
      </c>
      <c r="L560" s="1040">
        <f t="shared" si="1362"/>
        <v>840</v>
      </c>
      <c r="M560" s="1040">
        <f>M559-H559</f>
        <v>840</v>
      </c>
      <c r="N560" s="1035">
        <f t="shared" si="1362"/>
        <v>1235</v>
      </c>
      <c r="O560" s="479">
        <f t="shared" si="1362"/>
        <v>2041</v>
      </c>
      <c r="P560" s="479">
        <f t="shared" si="1362"/>
        <v>3400</v>
      </c>
      <c r="Q560" s="479">
        <f t="shared" si="1362"/>
        <v>2884</v>
      </c>
      <c r="R560" s="480">
        <f t="shared" si="1362"/>
        <v>2884</v>
      </c>
      <c r="S560" s="479">
        <f t="shared" ref="S560:AB560" si="1363">S559-N559</f>
        <v>2567</v>
      </c>
      <c r="T560" s="479">
        <f t="shared" si="1363"/>
        <v>3110</v>
      </c>
      <c r="U560" s="479">
        <f t="shared" si="1363"/>
        <v>3867</v>
      </c>
      <c r="V560" s="479">
        <f t="shared" si="1363"/>
        <v>5154</v>
      </c>
      <c r="W560" s="480">
        <f t="shared" si="1363"/>
        <v>5154</v>
      </c>
      <c r="X560" s="479">
        <f t="shared" si="1363"/>
        <v>4746</v>
      </c>
      <c r="Y560" s="479">
        <f t="shared" si="1363"/>
        <v>3815</v>
      </c>
      <c r="Z560" s="479">
        <f t="shared" si="1363"/>
        <v>2255</v>
      </c>
      <c r="AA560" s="479">
        <f t="shared" si="1363"/>
        <v>1822</v>
      </c>
      <c r="AB560" s="480">
        <f t="shared" si="1363"/>
        <v>1822</v>
      </c>
      <c r="AC560" s="479">
        <f>AC559-X559</f>
        <v>1737</v>
      </c>
      <c r="AD560" s="479">
        <f>AD559-Y559</f>
        <v>2357</v>
      </c>
      <c r="AE560" s="479">
        <f>AE559-Z559</f>
        <v>3126</v>
      </c>
      <c r="AF560" s="479">
        <f>AF559-AA559</f>
        <v>3844</v>
      </c>
      <c r="AG560" s="480">
        <f>AG559-AB559</f>
        <v>3844</v>
      </c>
      <c r="AH560" s="479">
        <f t="shared" ref="AH560:AI560" si="1364">AH559-AC559</f>
        <v>4294.6949999999997</v>
      </c>
      <c r="AI560" s="479">
        <f t="shared" si="1364"/>
        <v>3787.0003249999936</v>
      </c>
      <c r="AJ560" s="479">
        <f>AJ559-AE559</f>
        <v>3532.6153298749923</v>
      </c>
      <c r="AK560" s="479">
        <f>AK559-AF559</f>
        <v>2533.9495598231151</v>
      </c>
      <c r="AL560" s="480">
        <f>AL559-AG559</f>
        <v>2533.9495598231151</v>
      </c>
      <c r="AM560" s="480">
        <f>AM559-AL559</f>
        <v>2695.7814823464578</v>
      </c>
      <c r="AN560" s="480">
        <f>AN559-AM559</f>
        <v>2241.7913676433382</v>
      </c>
    </row>
    <row r="561" spans="1:40">
      <c r="A561" s="477" t="s">
        <v>1423</v>
      </c>
      <c r="B561" s="1036"/>
      <c r="C561" s="445">
        <f>C560/B559</f>
        <v>2.8476099236893395E-2</v>
      </c>
      <c r="D561" s="1036"/>
      <c r="E561" s="437"/>
      <c r="F561" s="437"/>
      <c r="G561" s="589"/>
      <c r="H561" s="589">
        <f t="shared" ref="H561:R561" si="1365">H560/C559</f>
        <v>4.6574374457970642E-2</v>
      </c>
      <c r="I561" s="1036">
        <f t="shared" si="1365"/>
        <v>5.4592389572311814E-2</v>
      </c>
      <c r="J561" s="437">
        <f t="shared" si="1365"/>
        <v>4.5302437176411164E-2</v>
      </c>
      <c r="K561" s="437">
        <f t="shared" si="1365"/>
        <v>3.4586228679722046E-2</v>
      </c>
      <c r="L561" s="589">
        <f t="shared" si="1365"/>
        <v>2.5780314888131848E-2</v>
      </c>
      <c r="M561" s="589">
        <f>M560/H559</f>
        <v>2.5780314888131848E-2</v>
      </c>
      <c r="N561" s="1036">
        <f t="shared" si="1365"/>
        <v>3.7321326040313074E-2</v>
      </c>
      <c r="O561" s="481">
        <f t="shared" si="1365"/>
        <v>6.164114644680016E-2</v>
      </c>
      <c r="P561" s="481">
        <f t="shared" si="1365"/>
        <v>0.10380094642039384</v>
      </c>
      <c r="Q561" s="481">
        <f t="shared" si="1365"/>
        <v>8.6287885587768898E-2</v>
      </c>
      <c r="R561" s="445">
        <f t="shared" si="1365"/>
        <v>8.6287885587768898E-2</v>
      </c>
      <c r="S561" s="481">
        <f t="shared" ref="S561:AB561" si="1366">S560/N559</f>
        <v>7.4782963351395448E-2</v>
      </c>
      <c r="T561" s="481">
        <f t="shared" si="1366"/>
        <v>8.8472917614929453E-2</v>
      </c>
      <c r="U561" s="481">
        <f t="shared" si="1366"/>
        <v>0.10695616097358594</v>
      </c>
      <c r="V561" s="481">
        <f t="shared" si="1366"/>
        <v>0.14195609662048642</v>
      </c>
      <c r="W561" s="445">
        <f t="shared" si="1366"/>
        <v>0.14195609662048642</v>
      </c>
      <c r="X561" s="481">
        <f t="shared" si="1366"/>
        <v>0.12864228986528609</v>
      </c>
      <c r="Y561" s="481">
        <f t="shared" si="1366"/>
        <v>9.9707281375777529E-2</v>
      </c>
      <c r="Z561" s="481">
        <f t="shared" si="1366"/>
        <v>5.6344010794063266E-2</v>
      </c>
      <c r="AA561" s="481">
        <f t="shared" si="1366"/>
        <v>4.3944912086056775E-2</v>
      </c>
      <c r="AB561" s="445">
        <f t="shared" si="1366"/>
        <v>4.3944912086056775E-2</v>
      </c>
      <c r="AC561" s="481">
        <f>AC560/X559</f>
        <v>4.1715699224284926E-2</v>
      </c>
      <c r="AD561" s="481">
        <f>AD560/Y559</f>
        <v>5.6016350975592363E-2</v>
      </c>
      <c r="AE561" s="481">
        <f>AE560/Z559</f>
        <v>7.3940913499065689E-2</v>
      </c>
      <c r="AF561" s="481">
        <f>AF560/AA559</f>
        <v>8.8810849525217755E-2</v>
      </c>
      <c r="AG561" s="445">
        <f>AG560/AB559</f>
        <v>8.8810849525217755E-2</v>
      </c>
      <c r="AH561" s="481">
        <f t="shared" ref="AH561:AI561" si="1367">AH560/AC559</f>
        <v>9.9010858539284388E-2</v>
      </c>
      <c r="AI561" s="481">
        <f t="shared" si="1367"/>
        <v>8.5227535783408956E-2</v>
      </c>
      <c r="AJ561" s="481">
        <f>AJ560/AE559</f>
        <v>7.7805768999295033E-2</v>
      </c>
      <c r="AK561" s="481">
        <f>AK560/AF559</f>
        <v>5.3768530986973817E-2</v>
      </c>
      <c r="AL561" s="445">
        <f>AL560/AG559</f>
        <v>5.3768530986973817E-2</v>
      </c>
      <c r="AM561" s="445">
        <f>AM560/AL559</f>
        <v>5.4283728084962131E-2</v>
      </c>
      <c r="AN561" s="445">
        <f>AN560/AM559</f>
        <v>4.2817634390461407E-2</v>
      </c>
    </row>
    <row r="562" spans="1:40">
      <c r="A562" s="130"/>
      <c r="B562" s="406"/>
      <c r="C562" s="398"/>
      <c r="D562" s="1033"/>
      <c r="E562" s="406"/>
      <c r="F562" s="406"/>
      <c r="G562" s="820"/>
      <c r="H562" s="406"/>
      <c r="I562" s="1033"/>
      <c r="J562" s="406"/>
      <c r="K562" s="406"/>
      <c r="L562" s="820"/>
      <c r="M562" s="406"/>
      <c r="N562" s="401"/>
      <c r="O562" s="401"/>
      <c r="P562" s="401"/>
      <c r="Q562" s="820"/>
      <c r="R562" s="406"/>
      <c r="S562" s="406"/>
      <c r="T562" s="406"/>
      <c r="U562" s="406"/>
      <c r="V562" s="406"/>
      <c r="W562" s="406"/>
      <c r="X562" s="406"/>
      <c r="Y562" s="406"/>
      <c r="Z562" s="406"/>
      <c r="AA562" s="406"/>
      <c r="AB562" s="406"/>
      <c r="AC562" s="406"/>
      <c r="AD562" s="406"/>
      <c r="AE562" s="406"/>
      <c r="AF562" s="406"/>
      <c r="AG562" s="406"/>
      <c r="AH562" s="406"/>
      <c r="AI562" s="406"/>
      <c r="AJ562" s="406"/>
      <c r="AK562" s="406"/>
      <c r="AL562" s="406"/>
      <c r="AM562" s="406"/>
      <c r="AN562" s="406"/>
    </row>
    <row r="563" spans="1:40">
      <c r="A563" s="130"/>
      <c r="B563" s="406"/>
      <c r="C563" s="398"/>
      <c r="D563" s="1033"/>
      <c r="E563" s="406"/>
      <c r="F563" s="406"/>
      <c r="G563" s="820"/>
      <c r="H563" s="406"/>
      <c r="I563" s="1033"/>
      <c r="J563" s="406"/>
      <c r="K563" s="406"/>
      <c r="L563" s="820"/>
      <c r="M563" s="406"/>
      <c r="N563" s="401"/>
      <c r="O563" s="401"/>
      <c r="P563" s="401"/>
      <c r="Q563" s="820"/>
      <c r="R563" s="406"/>
      <c r="S563" s="406"/>
      <c r="T563" s="406"/>
      <c r="U563" s="406"/>
      <c r="V563" s="406"/>
      <c r="W563" s="406"/>
      <c r="X563" s="406"/>
      <c r="Y563" s="406"/>
      <c r="Z563" s="406"/>
      <c r="AA563" s="406"/>
      <c r="AB563" s="406"/>
      <c r="AC563" s="406"/>
      <c r="AD563" s="406"/>
      <c r="AE563" s="406"/>
      <c r="AF563" s="406"/>
      <c r="AG563" s="406"/>
      <c r="AH563" s="406"/>
      <c r="AI563" s="406"/>
      <c r="AJ563" s="406"/>
      <c r="AK563" s="406"/>
      <c r="AL563" s="406"/>
      <c r="AM563" s="406"/>
      <c r="AN563" s="406"/>
    </row>
    <row r="564" spans="1:40" s="775" customFormat="1">
      <c r="A564" s="461" t="s">
        <v>1267</v>
      </c>
      <c r="B564" s="1037" t="str">
        <f>+Hilton!E$5</f>
        <v>2010</v>
      </c>
      <c r="C564" s="774" t="str">
        <f>+Hilton!F$5</f>
        <v>2011</v>
      </c>
      <c r="D564" s="1037" t="str">
        <f>+Hilton!G$5</f>
        <v>1Q12</v>
      </c>
      <c r="E564" s="773" t="str">
        <f>+Hilton!H$5</f>
        <v>2Q12</v>
      </c>
      <c r="F564" s="773" t="str">
        <f>+Hilton!I$5</f>
        <v>3Q12</v>
      </c>
      <c r="G564" s="776" t="str">
        <f>+Hilton!J$5</f>
        <v>4Q12</v>
      </c>
      <c r="H564" s="776">
        <f>+Hilton!K$5</f>
        <v>2012</v>
      </c>
      <c r="I564" s="1037" t="str">
        <f>+Hilton!L$5</f>
        <v>1Q13</v>
      </c>
      <c r="J564" s="773" t="str">
        <f>+Hilton!M$5</f>
        <v>2Q13</v>
      </c>
      <c r="K564" s="773" t="str">
        <f>+Hilton!N$5</f>
        <v>3Q13</v>
      </c>
      <c r="L564" s="776" t="str">
        <f>+Hilton!O$5</f>
        <v>4Q13</v>
      </c>
      <c r="M564" s="776">
        <f>+Hilton!P$5</f>
        <v>2013</v>
      </c>
      <c r="N564" s="773" t="str">
        <f>+Hilton!Q$5</f>
        <v>1Q14</v>
      </c>
      <c r="O564" s="773" t="str">
        <f>+Hilton!R$5</f>
        <v>2Q14</v>
      </c>
      <c r="P564" s="773" t="str">
        <f>+Hilton!S$5</f>
        <v>3Q14</v>
      </c>
      <c r="Q564" s="776" t="str">
        <f>+Hilton!T$5</f>
        <v>4Q14</v>
      </c>
      <c r="R564" s="774">
        <f>+Hilton!U$5</f>
        <v>2014</v>
      </c>
      <c r="S564" s="773" t="str">
        <f>+Hilton!V$5</f>
        <v>1Q15</v>
      </c>
      <c r="T564" s="773" t="str">
        <f>+Hilton!W$5</f>
        <v>2Q15</v>
      </c>
      <c r="U564" s="773" t="str">
        <f>+Hilton!X$5</f>
        <v>3Q15</v>
      </c>
      <c r="V564" s="776" t="str">
        <f>+Hilton!Y$5</f>
        <v>4Q15</v>
      </c>
      <c r="W564" s="774">
        <f>+Hilton!Z$5</f>
        <v>2015</v>
      </c>
      <c r="X564" s="773" t="str">
        <f>+Hilton!AA$5</f>
        <v>1Q16</v>
      </c>
      <c r="Y564" s="773" t="str">
        <f>+Hilton!AB$5</f>
        <v>2Q16</v>
      </c>
      <c r="Z564" s="773" t="str">
        <f>+Hilton!AC$5</f>
        <v>3Q16</v>
      </c>
      <c r="AA564" s="773" t="str">
        <f>+Hilton!AD$5</f>
        <v>4Q16</v>
      </c>
      <c r="AB564" s="774">
        <f>+Hilton!AE$5</f>
        <v>2016</v>
      </c>
      <c r="AC564" s="773" t="str">
        <f>+Hilton!AF$5</f>
        <v>1Q17</v>
      </c>
      <c r="AD564" s="773" t="str">
        <f>+Hilton!AG$5</f>
        <v>2Q17</v>
      </c>
      <c r="AE564" s="773" t="str">
        <f>+Hilton!AH$5</f>
        <v>3Q17</v>
      </c>
      <c r="AF564" s="776" t="str">
        <f>+Hilton!AI$5</f>
        <v>4Q17A</v>
      </c>
      <c r="AG564" s="774" t="str">
        <f>+Hilton!AJ$5</f>
        <v>2017A</v>
      </c>
      <c r="AH564" s="773" t="str">
        <f>+Hilton!AK$5</f>
        <v>1Q18E</v>
      </c>
      <c r="AI564" s="773" t="str">
        <f>+Hilton!AL$5</f>
        <v>2Q18E</v>
      </c>
      <c r="AJ564" s="773" t="str">
        <f>+Hilton!AM$5</f>
        <v>3Q18E</v>
      </c>
      <c r="AK564" s="776" t="str">
        <f>+Hilton!AN$5</f>
        <v>4Q18E</v>
      </c>
      <c r="AL564" s="774" t="str">
        <f>+Hilton!AO$5</f>
        <v>2018E</v>
      </c>
      <c r="AM564" s="774" t="str">
        <f>+Hilton!AP$5</f>
        <v>2019E</v>
      </c>
      <c r="AN564" s="774" t="str">
        <f>+Hilton!AQ$5</f>
        <v>2020E</v>
      </c>
    </row>
    <row r="565" spans="1:40" s="130" customFormat="1">
      <c r="A565" s="140"/>
      <c r="B565" s="1038"/>
      <c r="C565" s="397"/>
      <c r="D565" s="1038"/>
      <c r="E565" s="203"/>
      <c r="F565" s="203"/>
      <c r="G565" s="572"/>
      <c r="H565" s="572"/>
      <c r="I565" s="1038"/>
      <c r="J565" s="203"/>
      <c r="K565" s="203"/>
      <c r="L565" s="572"/>
      <c r="M565" s="572"/>
      <c r="N565" s="203"/>
      <c r="O565" s="203"/>
      <c r="P565" s="203"/>
      <c r="Q565" s="572"/>
      <c r="R565" s="397"/>
      <c r="S565" s="1038"/>
      <c r="T565" s="203"/>
      <c r="U565" s="203"/>
      <c r="V565" s="572"/>
      <c r="W565" s="397"/>
      <c r="X565" s="1038"/>
      <c r="Y565" s="203"/>
      <c r="Z565" s="203"/>
      <c r="AA565" s="203"/>
      <c r="AB565" s="397"/>
      <c r="AC565" s="203"/>
      <c r="AD565" s="203"/>
      <c r="AE565" s="203"/>
      <c r="AF565" s="572"/>
      <c r="AG565" s="397"/>
      <c r="AH565" s="203"/>
      <c r="AI565" s="203"/>
      <c r="AJ565" s="203"/>
      <c r="AK565" s="572"/>
      <c r="AL565" s="397"/>
      <c r="AM565" s="397"/>
      <c r="AN565" s="397"/>
    </row>
    <row r="566" spans="1:40">
      <c r="A566" s="141" t="s">
        <v>1589</v>
      </c>
      <c r="B566" s="394"/>
      <c r="C566" s="138"/>
      <c r="D566" s="394"/>
      <c r="E566" s="135"/>
      <c r="F566" s="135"/>
      <c r="G566" s="452"/>
      <c r="H566" s="452"/>
      <c r="I566" s="394"/>
      <c r="J566" s="135"/>
      <c r="K566" s="135"/>
      <c r="L566" s="452"/>
      <c r="M566" s="452"/>
      <c r="N566" s="130"/>
      <c r="O566" s="130"/>
      <c r="P566" s="130"/>
      <c r="Q566" s="452"/>
      <c r="R566" s="138"/>
      <c r="S566" s="394"/>
      <c r="T566" s="135"/>
      <c r="U566" s="135"/>
      <c r="V566" s="135"/>
      <c r="W566" s="138"/>
      <c r="X566" s="394"/>
      <c r="Y566" s="135"/>
      <c r="Z566" s="135"/>
      <c r="AA566" s="135"/>
      <c r="AB566" s="138"/>
      <c r="AC566" s="135"/>
      <c r="AD566" s="135"/>
      <c r="AE566" s="135"/>
      <c r="AF566" s="452"/>
      <c r="AG566" s="138"/>
      <c r="AH566" s="135"/>
      <c r="AI566" s="135"/>
      <c r="AJ566" s="135"/>
      <c r="AK566" s="452"/>
      <c r="AL566" s="138"/>
      <c r="AM566" s="138"/>
      <c r="AN566" s="138"/>
    </row>
    <row r="567" spans="1:40">
      <c r="A567" s="130" t="s">
        <v>2272</v>
      </c>
      <c r="B567" s="1030">
        <v>370</v>
      </c>
      <c r="C567" s="508">
        <v>370</v>
      </c>
      <c r="D567" s="1030">
        <v>370</v>
      </c>
      <c r="E567" s="912">
        <v>370</v>
      </c>
      <c r="F567" s="912">
        <v>370</v>
      </c>
      <c r="G567" s="1041">
        <v>370</v>
      </c>
      <c r="H567" s="820">
        <f>G567</f>
        <v>370</v>
      </c>
      <c r="I567" s="1030">
        <v>370</v>
      </c>
      <c r="J567" s="912">
        <v>370</v>
      </c>
      <c r="K567" s="912">
        <v>370</v>
      </c>
      <c r="L567" s="1041">
        <v>370</v>
      </c>
      <c r="M567" s="820">
        <f>L567</f>
        <v>370</v>
      </c>
      <c r="N567" s="1030">
        <v>370</v>
      </c>
      <c r="O567" s="912">
        <v>463</v>
      </c>
      <c r="P567" s="912">
        <v>463</v>
      </c>
      <c r="Q567" s="1041">
        <v>463</v>
      </c>
      <c r="R567" s="820">
        <f t="shared" ref="R567:R579" si="1368">Q567</f>
        <v>463</v>
      </c>
      <c r="S567" s="1030">
        <v>463</v>
      </c>
      <c r="T567" s="912">
        <v>463</v>
      </c>
      <c r="U567" s="912">
        <v>463</v>
      </c>
      <c r="V567" s="912">
        <v>463</v>
      </c>
      <c r="W567" s="398">
        <f>V567</f>
        <v>463</v>
      </c>
      <c r="X567" s="2792">
        <v>463</v>
      </c>
      <c r="Y567" s="2792">
        <v>463</v>
      </c>
      <c r="Z567" s="2792">
        <v>463</v>
      </c>
      <c r="AA567" s="2792">
        <v>463</v>
      </c>
      <c r="AB567" s="398">
        <f>AA567</f>
        <v>463</v>
      </c>
      <c r="AC567" s="3881">
        <f t="shared" ref="AC567:AC579" si="1369">AB567</f>
        <v>463</v>
      </c>
      <c r="AD567" s="401">
        <f t="shared" ref="AD567:AD579" si="1370">AC567</f>
        <v>463</v>
      </c>
      <c r="AE567" s="3666">
        <v>463</v>
      </c>
      <c r="AF567" s="3666">
        <v>463</v>
      </c>
      <c r="AG567" s="398">
        <f t="shared" ref="AF567:AG579" si="1371">AF567</f>
        <v>463</v>
      </c>
      <c r="AH567" s="401">
        <f t="shared" ref="AH567:AH568" si="1372">AG567</f>
        <v>463</v>
      </c>
      <c r="AI567" s="401">
        <f t="shared" ref="AI567:AI568" si="1373">AH567</f>
        <v>463</v>
      </c>
      <c r="AJ567" s="401">
        <f t="shared" ref="AJ567:AJ568" si="1374">AI567</f>
        <v>463</v>
      </c>
      <c r="AK567" s="820">
        <f t="shared" ref="AK567:AK568" si="1375">AJ567</f>
        <v>463</v>
      </c>
      <c r="AL567" s="820">
        <f t="shared" ref="AL567:AL568" si="1376">AK567</f>
        <v>463</v>
      </c>
      <c r="AM567" s="398">
        <f t="shared" ref="AM567:AN579" si="1377">AL567</f>
        <v>463</v>
      </c>
      <c r="AN567" s="398">
        <f t="shared" si="1377"/>
        <v>463</v>
      </c>
    </row>
    <row r="568" spans="1:40">
      <c r="A568" s="130" t="s">
        <v>2273</v>
      </c>
      <c r="B568" s="1030">
        <v>781</v>
      </c>
      <c r="C568" s="508">
        <v>782</v>
      </c>
      <c r="D568" s="1030">
        <v>781</v>
      </c>
      <c r="E568" s="912">
        <v>781</v>
      </c>
      <c r="F568" s="912">
        <v>781</v>
      </c>
      <c r="G568" s="1041">
        <v>781</v>
      </c>
      <c r="H568" s="820">
        <f t="shared" ref="H568:H579" si="1378">G568</f>
        <v>781</v>
      </c>
      <c r="I568" s="1030">
        <v>778</v>
      </c>
      <c r="J568" s="912">
        <v>778</v>
      </c>
      <c r="K568" s="912">
        <v>778</v>
      </c>
      <c r="L568" s="1041">
        <v>191</v>
      </c>
      <c r="M568" s="820">
        <f t="shared" ref="M568:M579" si="1379">L568</f>
        <v>191</v>
      </c>
      <c r="N568" s="1030">
        <v>191</v>
      </c>
      <c r="O568" s="912">
        <v>191</v>
      </c>
      <c r="P568" s="912">
        <v>191</v>
      </c>
      <c r="Q568" s="1041">
        <v>191</v>
      </c>
      <c r="R568" s="820">
        <f t="shared" si="1368"/>
        <v>191</v>
      </c>
      <c r="S568" s="1030">
        <v>191</v>
      </c>
      <c r="T568" s="912">
        <v>191</v>
      </c>
      <c r="U568" s="912">
        <v>191</v>
      </c>
      <c r="V568" s="912">
        <v>191</v>
      </c>
      <c r="W568" s="398">
        <f>V568</f>
        <v>191</v>
      </c>
      <c r="X568" s="2792">
        <v>191</v>
      </c>
      <c r="Y568" s="2792">
        <v>191</v>
      </c>
      <c r="Z568" s="2792">
        <v>191</v>
      </c>
      <c r="AA568" s="2792">
        <v>192</v>
      </c>
      <c r="AB568" s="398">
        <f>AA568</f>
        <v>192</v>
      </c>
      <c r="AC568" s="3881">
        <f>AB568-'Owned Hotels Spinoff'!$D$70</f>
        <v>1</v>
      </c>
      <c r="AD568" s="401">
        <f t="shared" si="1370"/>
        <v>1</v>
      </c>
      <c r="AE568" s="3666">
        <v>0</v>
      </c>
      <c r="AF568" s="406">
        <f t="shared" si="1371"/>
        <v>0</v>
      </c>
      <c r="AG568" s="398">
        <f t="shared" si="1371"/>
        <v>0</v>
      </c>
      <c r="AH568" s="401">
        <f t="shared" si="1372"/>
        <v>0</v>
      </c>
      <c r="AI568" s="401">
        <f t="shared" si="1373"/>
        <v>0</v>
      </c>
      <c r="AJ568" s="401">
        <f t="shared" si="1374"/>
        <v>0</v>
      </c>
      <c r="AK568" s="820">
        <f t="shared" si="1375"/>
        <v>0</v>
      </c>
      <c r="AL568" s="820">
        <f t="shared" si="1376"/>
        <v>0</v>
      </c>
      <c r="AM568" s="398">
        <f t="shared" si="1377"/>
        <v>0</v>
      </c>
      <c r="AN568" s="398">
        <f t="shared" si="1377"/>
        <v>0</v>
      </c>
    </row>
    <row r="569" spans="1:40">
      <c r="A569" s="1828" t="s">
        <v>3022</v>
      </c>
      <c r="B569" s="1030"/>
      <c r="C569" s="508"/>
      <c r="D569" s="1030"/>
      <c r="E569" s="912"/>
      <c r="F569" s="912"/>
      <c r="G569" s="1041"/>
      <c r="H569" s="820"/>
      <c r="I569" s="1030"/>
      <c r="J569" s="912"/>
      <c r="K569" s="912"/>
      <c r="L569" s="1041"/>
      <c r="M569" s="820"/>
      <c r="N569" s="1030"/>
      <c r="O569" s="912"/>
      <c r="P569" s="912"/>
      <c r="Q569" s="1041"/>
      <c r="R569" s="820"/>
      <c r="S569" s="1030"/>
      <c r="T569" s="912"/>
      <c r="U569" s="912"/>
      <c r="V569" s="912"/>
      <c r="W569" s="398"/>
      <c r="X569" s="2791"/>
      <c r="Y569" s="2791"/>
      <c r="Z569" s="2791"/>
      <c r="AA569" s="2791">
        <v>0</v>
      </c>
      <c r="AB569" s="398">
        <f t="shared" ref="AB569:AG569" si="1380">+AA569</f>
        <v>0</v>
      </c>
      <c r="AC569" s="3879">
        <f t="shared" si="1380"/>
        <v>0</v>
      </c>
      <c r="AD569" s="406">
        <f t="shared" si="1380"/>
        <v>0</v>
      </c>
      <c r="AE569" s="3665">
        <v>0</v>
      </c>
      <c r="AF569" s="406">
        <f t="shared" si="1380"/>
        <v>0</v>
      </c>
      <c r="AG569" s="398">
        <f t="shared" si="1380"/>
        <v>0</v>
      </c>
      <c r="AH569" s="406">
        <f t="shared" ref="AH569" si="1381">+AG569</f>
        <v>0</v>
      </c>
      <c r="AI569" s="406">
        <f t="shared" ref="AI569" si="1382">+AH569</f>
        <v>0</v>
      </c>
      <c r="AJ569" s="406">
        <f t="shared" ref="AJ569" si="1383">+AI569</f>
        <v>0</v>
      </c>
      <c r="AK569" s="820">
        <f t="shared" ref="AK569" si="1384">+AJ569</f>
        <v>0</v>
      </c>
      <c r="AL569" s="398">
        <f t="shared" ref="AL569" si="1385">+AK569</f>
        <v>0</v>
      </c>
      <c r="AM569" s="398">
        <f t="shared" si="1377"/>
        <v>0</v>
      </c>
      <c r="AN569" s="398">
        <f t="shared" si="1377"/>
        <v>0</v>
      </c>
    </row>
    <row r="570" spans="1:40">
      <c r="A570" s="130" t="s">
        <v>2280</v>
      </c>
      <c r="B570" s="1030">
        <v>19817</v>
      </c>
      <c r="C570" s="508">
        <v>19838</v>
      </c>
      <c r="D570" s="1030">
        <v>19821</v>
      </c>
      <c r="E570" s="912">
        <v>19823</v>
      </c>
      <c r="F570" s="912">
        <v>19823</v>
      </c>
      <c r="G570" s="1041">
        <v>19823</v>
      </c>
      <c r="H570" s="820">
        <f t="shared" si="1378"/>
        <v>19823</v>
      </c>
      <c r="I570" s="1030">
        <v>19379</v>
      </c>
      <c r="J570" s="912">
        <v>19015</v>
      </c>
      <c r="K570" s="912">
        <v>19008</v>
      </c>
      <c r="L570" s="1041">
        <v>19014</v>
      </c>
      <c r="M570" s="820">
        <f t="shared" si="1379"/>
        <v>19014</v>
      </c>
      <c r="N570" s="1030">
        <v>19046</v>
      </c>
      <c r="O570" s="912">
        <v>18922</v>
      </c>
      <c r="P570" s="912">
        <v>18803</v>
      </c>
      <c r="Q570" s="1041">
        <v>18425</v>
      </c>
      <c r="R570" s="820">
        <f t="shared" si="1368"/>
        <v>18425</v>
      </c>
      <c r="S570" s="1030">
        <v>18423</v>
      </c>
      <c r="T570" s="912">
        <v>18423</v>
      </c>
      <c r="U570" s="912">
        <v>18204</v>
      </c>
      <c r="V570" s="912">
        <v>17927</v>
      </c>
      <c r="W570" s="398">
        <f>V570</f>
        <v>17927</v>
      </c>
      <c r="X570" s="2792">
        <v>17925</v>
      </c>
      <c r="Y570" s="2792">
        <v>17691</v>
      </c>
      <c r="Z570" s="2792">
        <v>17691</v>
      </c>
      <c r="AA570" s="2792">
        <v>17695</v>
      </c>
      <c r="AB570" s="398">
        <f t="shared" ref="AB570:AB579" si="1386">AA570</f>
        <v>17695</v>
      </c>
      <c r="AC570" s="3881">
        <f>AB570-'Owned Hotels Spinoff'!$D$64</f>
        <v>15230</v>
      </c>
      <c r="AD570" s="3881">
        <f>AC570+36</f>
        <v>15266</v>
      </c>
      <c r="AE570" s="3666">
        <v>14933</v>
      </c>
      <c r="AF570" s="3666">
        <v>14935</v>
      </c>
      <c r="AG570" s="398">
        <f t="shared" si="1371"/>
        <v>14935</v>
      </c>
      <c r="AH570" s="401">
        <f t="shared" ref="AH570:AH578" si="1387">AG570</f>
        <v>14935</v>
      </c>
      <c r="AI570" s="401">
        <f t="shared" ref="AI570:AI578" si="1388">AH570</f>
        <v>14935</v>
      </c>
      <c r="AJ570" s="401">
        <f t="shared" ref="AJ570:AJ578" si="1389">AI570</f>
        <v>14935</v>
      </c>
      <c r="AK570" s="820">
        <f t="shared" ref="AK570:AK578" si="1390">AJ570</f>
        <v>14935</v>
      </c>
      <c r="AL570" s="820">
        <f t="shared" ref="AL570" si="1391">AK570</f>
        <v>14935</v>
      </c>
      <c r="AM570" s="398">
        <f t="shared" si="1377"/>
        <v>14935</v>
      </c>
      <c r="AN570" s="398">
        <f t="shared" si="1377"/>
        <v>14935</v>
      </c>
    </row>
    <row r="571" spans="1:40">
      <c r="A571" s="130" t="str">
        <f>A$13</f>
        <v xml:space="preserve">Curio - A Collection by Hilton </v>
      </c>
      <c r="B571" s="1030"/>
      <c r="C571" s="508"/>
      <c r="D571" s="1030"/>
      <c r="E571" s="912"/>
      <c r="F571" s="912"/>
      <c r="G571" s="1041"/>
      <c r="H571" s="820"/>
      <c r="I571" s="1030"/>
      <c r="J571" s="912"/>
      <c r="K571" s="912"/>
      <c r="L571" s="1041"/>
      <c r="M571" s="820"/>
      <c r="N571" s="1030"/>
      <c r="O571" s="912"/>
      <c r="P571" s="912"/>
      <c r="Q571" s="1041"/>
      <c r="R571" s="820"/>
      <c r="S571" s="1030">
        <f>R571</f>
        <v>0</v>
      </c>
      <c r="T571" s="912">
        <v>0</v>
      </c>
      <c r="U571" s="912">
        <v>0</v>
      </c>
      <c r="V571" s="912">
        <v>0</v>
      </c>
      <c r="W571" s="398">
        <f>V571</f>
        <v>0</v>
      </c>
      <c r="X571" s="2792">
        <v>0</v>
      </c>
      <c r="Y571" s="2792">
        <v>0</v>
      </c>
      <c r="Z571" s="2792">
        <v>0</v>
      </c>
      <c r="AA571" s="2792">
        <v>0</v>
      </c>
      <c r="AB571" s="398">
        <f t="shared" si="1386"/>
        <v>0</v>
      </c>
      <c r="AC571" s="3881">
        <f t="shared" si="1369"/>
        <v>0</v>
      </c>
      <c r="AD571" s="401">
        <f t="shared" si="1370"/>
        <v>0</v>
      </c>
      <c r="AE571" s="3666">
        <v>0</v>
      </c>
      <c r="AF571" s="820">
        <f t="shared" si="1371"/>
        <v>0</v>
      </c>
      <c r="AG571" s="820">
        <f>AF571</f>
        <v>0</v>
      </c>
      <c r="AH571" s="401">
        <f t="shared" si="1387"/>
        <v>0</v>
      </c>
      <c r="AI571" s="401">
        <f t="shared" si="1388"/>
        <v>0</v>
      </c>
      <c r="AJ571" s="401">
        <f t="shared" si="1389"/>
        <v>0</v>
      </c>
      <c r="AK571" s="820">
        <f t="shared" si="1390"/>
        <v>0</v>
      </c>
      <c r="AL571" s="820">
        <f>AK571</f>
        <v>0</v>
      </c>
      <c r="AM571" s="398">
        <f>AL571</f>
        <v>0</v>
      </c>
      <c r="AN571" s="398">
        <f>AM571</f>
        <v>0</v>
      </c>
    </row>
    <row r="572" spans="1:40">
      <c r="A572" s="130" t="s">
        <v>2274</v>
      </c>
      <c r="B572" s="1030">
        <v>0</v>
      </c>
      <c r="C572" s="508">
        <v>0</v>
      </c>
      <c r="D572" s="1030">
        <v>0</v>
      </c>
      <c r="E572" s="912">
        <v>0</v>
      </c>
      <c r="F572" s="912">
        <v>0</v>
      </c>
      <c r="G572" s="1041">
        <v>0</v>
      </c>
      <c r="H572" s="820">
        <f t="shared" si="1378"/>
        <v>0</v>
      </c>
      <c r="I572" s="1030">
        <v>0</v>
      </c>
      <c r="J572" s="912">
        <v>0</v>
      </c>
      <c r="K572" s="912">
        <v>0</v>
      </c>
      <c r="L572" s="1041">
        <v>0</v>
      </c>
      <c r="M572" s="820">
        <f t="shared" si="1379"/>
        <v>0</v>
      </c>
      <c r="N572" s="1030">
        <v>0</v>
      </c>
      <c r="O572" s="912">
        <f t="shared" ref="O572:S579" si="1392">N572</f>
        <v>0</v>
      </c>
      <c r="P572" s="912">
        <f t="shared" si="1392"/>
        <v>0</v>
      </c>
      <c r="Q572" s="1041">
        <f t="shared" si="1392"/>
        <v>0</v>
      </c>
      <c r="R572" s="820">
        <f t="shared" si="1368"/>
        <v>0</v>
      </c>
      <c r="S572" s="1030">
        <f t="shared" si="1392"/>
        <v>0</v>
      </c>
      <c r="T572" s="912">
        <v>0</v>
      </c>
      <c r="U572" s="912">
        <v>0</v>
      </c>
      <c r="V572" s="912">
        <v>0</v>
      </c>
      <c r="W572" s="398">
        <f t="shared" ref="W572:W579" si="1393">V572</f>
        <v>0</v>
      </c>
      <c r="X572" s="2792">
        <v>0</v>
      </c>
      <c r="Y572" s="2792">
        <v>0</v>
      </c>
      <c r="Z572" s="2792">
        <v>0</v>
      </c>
      <c r="AA572" s="2792">
        <v>0</v>
      </c>
      <c r="AB572" s="398">
        <f t="shared" si="1386"/>
        <v>0</v>
      </c>
      <c r="AC572" s="3881">
        <f t="shared" si="1369"/>
        <v>0</v>
      </c>
      <c r="AD572" s="401">
        <f t="shared" si="1370"/>
        <v>0</v>
      </c>
      <c r="AE572" s="3666">
        <v>0</v>
      </c>
      <c r="AF572" s="820">
        <f t="shared" si="1371"/>
        <v>0</v>
      </c>
      <c r="AG572" s="820">
        <f t="shared" si="1371"/>
        <v>0</v>
      </c>
      <c r="AH572" s="401">
        <f t="shared" si="1387"/>
        <v>0</v>
      </c>
      <c r="AI572" s="401">
        <f t="shared" si="1388"/>
        <v>0</v>
      </c>
      <c r="AJ572" s="401">
        <f t="shared" si="1389"/>
        <v>0</v>
      </c>
      <c r="AK572" s="820">
        <f t="shared" si="1390"/>
        <v>0</v>
      </c>
      <c r="AL572" s="820">
        <f t="shared" ref="AL572:AL578" si="1394">AK572</f>
        <v>0</v>
      </c>
      <c r="AM572" s="398">
        <f t="shared" si="1377"/>
        <v>0</v>
      </c>
      <c r="AN572" s="398">
        <f t="shared" si="1377"/>
        <v>0</v>
      </c>
    </row>
    <row r="573" spans="1:40">
      <c r="A573" s="130" t="s">
        <v>2279</v>
      </c>
      <c r="B573" s="1030">
        <v>0</v>
      </c>
      <c r="C573" s="508">
        <v>0</v>
      </c>
      <c r="D573" s="1030">
        <v>0</v>
      </c>
      <c r="E573" s="912">
        <v>0</v>
      </c>
      <c r="F573" s="912">
        <v>0</v>
      </c>
      <c r="G573" s="1041">
        <v>0</v>
      </c>
      <c r="H573" s="820">
        <f t="shared" si="1378"/>
        <v>0</v>
      </c>
      <c r="I573" s="1030">
        <v>0</v>
      </c>
      <c r="J573" s="912">
        <v>0</v>
      </c>
      <c r="K573" s="912">
        <v>0</v>
      </c>
      <c r="L573" s="1041">
        <v>0</v>
      </c>
      <c r="M573" s="820">
        <f t="shared" si="1379"/>
        <v>0</v>
      </c>
      <c r="N573" s="1030">
        <v>0</v>
      </c>
      <c r="O573" s="912">
        <f t="shared" si="1392"/>
        <v>0</v>
      </c>
      <c r="P573" s="912">
        <f t="shared" si="1392"/>
        <v>0</v>
      </c>
      <c r="Q573" s="1041">
        <f t="shared" si="1392"/>
        <v>0</v>
      </c>
      <c r="R573" s="820">
        <f t="shared" si="1368"/>
        <v>0</v>
      </c>
      <c r="S573" s="1030">
        <f t="shared" si="1392"/>
        <v>0</v>
      </c>
      <c r="T573" s="912">
        <v>0</v>
      </c>
      <c r="U573" s="912">
        <v>0</v>
      </c>
      <c r="V573" s="912">
        <v>0</v>
      </c>
      <c r="W573" s="398">
        <f t="shared" si="1393"/>
        <v>0</v>
      </c>
      <c r="X573" s="2792">
        <v>0</v>
      </c>
      <c r="Y573" s="2792">
        <v>0</v>
      </c>
      <c r="Z573" s="2792">
        <v>0</v>
      </c>
      <c r="AA573" s="2792">
        <v>0</v>
      </c>
      <c r="AB573" s="398">
        <f t="shared" si="1386"/>
        <v>0</v>
      </c>
      <c r="AC573" s="3881">
        <f t="shared" si="1369"/>
        <v>0</v>
      </c>
      <c r="AD573" s="401">
        <f t="shared" si="1370"/>
        <v>0</v>
      </c>
      <c r="AE573" s="3666">
        <v>0</v>
      </c>
      <c r="AF573" s="820">
        <f t="shared" si="1371"/>
        <v>0</v>
      </c>
      <c r="AG573" s="820">
        <f t="shared" si="1371"/>
        <v>0</v>
      </c>
      <c r="AH573" s="401">
        <f t="shared" si="1387"/>
        <v>0</v>
      </c>
      <c r="AI573" s="401">
        <f t="shared" si="1388"/>
        <v>0</v>
      </c>
      <c r="AJ573" s="401">
        <f t="shared" si="1389"/>
        <v>0</v>
      </c>
      <c r="AK573" s="820">
        <f t="shared" si="1390"/>
        <v>0</v>
      </c>
      <c r="AL573" s="820">
        <f t="shared" si="1394"/>
        <v>0</v>
      </c>
      <c r="AM573" s="398">
        <f t="shared" si="1377"/>
        <v>0</v>
      </c>
      <c r="AN573" s="398">
        <f t="shared" si="1377"/>
        <v>0</v>
      </c>
    </row>
    <row r="574" spans="1:40">
      <c r="A574" s="130" t="s">
        <v>2275</v>
      </c>
      <c r="B574" s="1030">
        <v>0</v>
      </c>
      <c r="C574" s="508">
        <v>0</v>
      </c>
      <c r="D574" s="1030">
        <v>0</v>
      </c>
      <c r="E574" s="912">
        <v>0</v>
      </c>
      <c r="F574" s="912">
        <v>0</v>
      </c>
      <c r="G574" s="1041">
        <v>0</v>
      </c>
      <c r="H574" s="820">
        <f t="shared" si="1378"/>
        <v>0</v>
      </c>
      <c r="I574" s="1030">
        <v>0</v>
      </c>
      <c r="J574" s="912">
        <v>0</v>
      </c>
      <c r="K574" s="912">
        <v>0</v>
      </c>
      <c r="L574" s="1041">
        <v>0</v>
      </c>
      <c r="M574" s="820">
        <f t="shared" si="1379"/>
        <v>0</v>
      </c>
      <c r="N574" s="1030">
        <v>0</v>
      </c>
      <c r="O574" s="912">
        <f t="shared" si="1392"/>
        <v>0</v>
      </c>
      <c r="P574" s="912">
        <f t="shared" si="1392"/>
        <v>0</v>
      </c>
      <c r="Q574" s="1041">
        <f t="shared" si="1392"/>
        <v>0</v>
      </c>
      <c r="R574" s="820">
        <f t="shared" si="1368"/>
        <v>0</v>
      </c>
      <c r="S574" s="1030">
        <f t="shared" si="1392"/>
        <v>0</v>
      </c>
      <c r="T574" s="912">
        <v>0</v>
      </c>
      <c r="U574" s="912">
        <v>0</v>
      </c>
      <c r="V574" s="912">
        <v>0</v>
      </c>
      <c r="W574" s="398">
        <f t="shared" si="1393"/>
        <v>0</v>
      </c>
      <c r="X574" s="2792">
        <v>0</v>
      </c>
      <c r="Y574" s="2792">
        <v>0</v>
      </c>
      <c r="Z574" s="2792">
        <v>0</v>
      </c>
      <c r="AA574" s="2792">
        <v>0</v>
      </c>
      <c r="AB574" s="398">
        <f t="shared" si="1386"/>
        <v>0</v>
      </c>
      <c r="AC574" s="3881">
        <f t="shared" si="1369"/>
        <v>0</v>
      </c>
      <c r="AD574" s="401">
        <f t="shared" si="1370"/>
        <v>0</v>
      </c>
      <c r="AE574" s="3666">
        <v>0</v>
      </c>
      <c r="AF574" s="820">
        <f t="shared" si="1371"/>
        <v>0</v>
      </c>
      <c r="AG574" s="820">
        <f t="shared" si="1371"/>
        <v>0</v>
      </c>
      <c r="AH574" s="401">
        <f t="shared" si="1387"/>
        <v>0</v>
      </c>
      <c r="AI574" s="401">
        <f t="shared" si="1388"/>
        <v>0</v>
      </c>
      <c r="AJ574" s="401">
        <f t="shared" si="1389"/>
        <v>0</v>
      </c>
      <c r="AK574" s="820">
        <f t="shared" si="1390"/>
        <v>0</v>
      </c>
      <c r="AL574" s="820">
        <f t="shared" si="1394"/>
        <v>0</v>
      </c>
      <c r="AM574" s="398">
        <f t="shared" si="1377"/>
        <v>0</v>
      </c>
      <c r="AN574" s="398">
        <f t="shared" si="1377"/>
        <v>0</v>
      </c>
    </row>
    <row r="575" spans="1:40">
      <c r="A575" s="130" t="s">
        <v>2277</v>
      </c>
      <c r="B575" s="1030">
        <v>0</v>
      </c>
      <c r="C575" s="508">
        <v>0</v>
      </c>
      <c r="D575" s="1030">
        <v>0</v>
      </c>
      <c r="E575" s="912">
        <v>0</v>
      </c>
      <c r="F575" s="912">
        <v>0</v>
      </c>
      <c r="G575" s="1041">
        <v>0</v>
      </c>
      <c r="H575" s="820">
        <f t="shared" si="1378"/>
        <v>0</v>
      </c>
      <c r="I575" s="1030">
        <v>0</v>
      </c>
      <c r="J575" s="912">
        <v>0</v>
      </c>
      <c r="K575" s="912">
        <v>0</v>
      </c>
      <c r="L575" s="1041">
        <v>0</v>
      </c>
      <c r="M575" s="820">
        <f t="shared" si="1379"/>
        <v>0</v>
      </c>
      <c r="N575" s="1030">
        <v>0</v>
      </c>
      <c r="O575" s="912">
        <f t="shared" si="1392"/>
        <v>0</v>
      </c>
      <c r="P575" s="912">
        <f t="shared" si="1392"/>
        <v>0</v>
      </c>
      <c r="Q575" s="1041">
        <f t="shared" si="1392"/>
        <v>0</v>
      </c>
      <c r="R575" s="820">
        <f t="shared" si="1368"/>
        <v>0</v>
      </c>
      <c r="S575" s="1030">
        <f t="shared" si="1392"/>
        <v>0</v>
      </c>
      <c r="T575" s="912">
        <v>0</v>
      </c>
      <c r="U575" s="912">
        <v>0</v>
      </c>
      <c r="V575" s="912">
        <v>0</v>
      </c>
      <c r="W575" s="398">
        <f t="shared" si="1393"/>
        <v>0</v>
      </c>
      <c r="X575" s="2792">
        <v>0</v>
      </c>
      <c r="Y575" s="2792">
        <v>0</v>
      </c>
      <c r="Z575" s="2792">
        <v>0</v>
      </c>
      <c r="AA575" s="2792">
        <v>0</v>
      </c>
      <c r="AB575" s="398">
        <f t="shared" si="1386"/>
        <v>0</v>
      </c>
      <c r="AC575" s="3881">
        <f t="shared" si="1369"/>
        <v>0</v>
      </c>
      <c r="AD575" s="401">
        <f t="shared" si="1370"/>
        <v>0</v>
      </c>
      <c r="AE575" s="3666">
        <v>0</v>
      </c>
      <c r="AF575" s="820">
        <f t="shared" si="1371"/>
        <v>0</v>
      </c>
      <c r="AG575" s="820">
        <f t="shared" si="1371"/>
        <v>0</v>
      </c>
      <c r="AH575" s="401">
        <f t="shared" si="1387"/>
        <v>0</v>
      </c>
      <c r="AI575" s="401">
        <f t="shared" si="1388"/>
        <v>0</v>
      </c>
      <c r="AJ575" s="401">
        <f t="shared" si="1389"/>
        <v>0</v>
      </c>
      <c r="AK575" s="820">
        <f t="shared" si="1390"/>
        <v>0</v>
      </c>
      <c r="AL575" s="820">
        <f t="shared" si="1394"/>
        <v>0</v>
      </c>
      <c r="AM575" s="398">
        <f t="shared" si="1377"/>
        <v>0</v>
      </c>
      <c r="AN575" s="398">
        <f t="shared" si="1377"/>
        <v>0</v>
      </c>
    </row>
    <row r="576" spans="1:40">
      <c r="A576" s="130" t="s">
        <v>2278</v>
      </c>
      <c r="B576" s="1030">
        <v>0</v>
      </c>
      <c r="C576" s="508">
        <v>0</v>
      </c>
      <c r="D576" s="1030">
        <v>0</v>
      </c>
      <c r="E576" s="912">
        <v>0</v>
      </c>
      <c r="F576" s="912">
        <v>0</v>
      </c>
      <c r="G576" s="1041">
        <v>0</v>
      </c>
      <c r="H576" s="820">
        <f t="shared" si="1378"/>
        <v>0</v>
      </c>
      <c r="I576" s="1030">
        <v>0</v>
      </c>
      <c r="J576" s="912">
        <v>0</v>
      </c>
      <c r="K576" s="912">
        <v>0</v>
      </c>
      <c r="L576" s="1041">
        <v>0</v>
      </c>
      <c r="M576" s="820">
        <f t="shared" si="1379"/>
        <v>0</v>
      </c>
      <c r="N576" s="1030">
        <v>0</v>
      </c>
      <c r="O576" s="912">
        <f t="shared" si="1392"/>
        <v>0</v>
      </c>
      <c r="P576" s="912">
        <f t="shared" si="1392"/>
        <v>0</v>
      </c>
      <c r="Q576" s="1041">
        <f t="shared" si="1392"/>
        <v>0</v>
      </c>
      <c r="R576" s="820">
        <f t="shared" si="1368"/>
        <v>0</v>
      </c>
      <c r="S576" s="1030">
        <f t="shared" si="1392"/>
        <v>0</v>
      </c>
      <c r="T576" s="912">
        <v>0</v>
      </c>
      <c r="U576" s="912">
        <v>0</v>
      </c>
      <c r="V576" s="912">
        <v>0</v>
      </c>
      <c r="W576" s="398">
        <f t="shared" si="1393"/>
        <v>0</v>
      </c>
      <c r="X576" s="2792">
        <v>0</v>
      </c>
      <c r="Y576" s="2792">
        <v>0</v>
      </c>
      <c r="Z576" s="2792">
        <v>0</v>
      </c>
      <c r="AA576" s="2792">
        <v>0</v>
      </c>
      <c r="AB576" s="398">
        <f t="shared" si="1386"/>
        <v>0</v>
      </c>
      <c r="AC576" s="3881">
        <f t="shared" si="1369"/>
        <v>0</v>
      </c>
      <c r="AD576" s="401">
        <f t="shared" si="1370"/>
        <v>0</v>
      </c>
      <c r="AE576" s="3666">
        <v>0</v>
      </c>
      <c r="AF576" s="820">
        <f t="shared" si="1371"/>
        <v>0</v>
      </c>
      <c r="AG576" s="820">
        <f t="shared" si="1371"/>
        <v>0</v>
      </c>
      <c r="AH576" s="401">
        <f t="shared" si="1387"/>
        <v>0</v>
      </c>
      <c r="AI576" s="401">
        <f t="shared" si="1388"/>
        <v>0</v>
      </c>
      <c r="AJ576" s="401">
        <f t="shared" si="1389"/>
        <v>0</v>
      </c>
      <c r="AK576" s="820">
        <f t="shared" si="1390"/>
        <v>0</v>
      </c>
      <c r="AL576" s="820">
        <f t="shared" si="1394"/>
        <v>0</v>
      </c>
      <c r="AM576" s="820">
        <f t="shared" si="1377"/>
        <v>0</v>
      </c>
      <c r="AN576" s="820">
        <f t="shared" si="1377"/>
        <v>0</v>
      </c>
    </row>
    <row r="577" spans="1:40">
      <c r="A577" s="130" t="str">
        <f>$A$90</f>
        <v>Tru by Hilton</v>
      </c>
      <c r="B577" s="1030"/>
      <c r="C577" s="508"/>
      <c r="D577" s="1030"/>
      <c r="E577" s="912"/>
      <c r="F577" s="912"/>
      <c r="G577" s="1041"/>
      <c r="H577" s="820"/>
      <c r="I577" s="1030"/>
      <c r="J577" s="912"/>
      <c r="K577" s="912"/>
      <c r="L577" s="1041"/>
      <c r="M577" s="820"/>
      <c r="N577" s="1030"/>
      <c r="O577" s="912"/>
      <c r="P577" s="912"/>
      <c r="Q577" s="1041"/>
      <c r="R577" s="820"/>
      <c r="S577" s="1030"/>
      <c r="T577" s="912"/>
      <c r="U577" s="912"/>
      <c r="V577" s="912"/>
      <c r="W577" s="398"/>
      <c r="X577" s="2791"/>
      <c r="Y577" s="2791"/>
      <c r="Z577" s="2791"/>
      <c r="AA577" s="2791"/>
      <c r="AB577" s="398"/>
      <c r="AC577" s="3879"/>
      <c r="AD577" s="406"/>
      <c r="AE577" s="3665">
        <v>0</v>
      </c>
      <c r="AF577" s="820">
        <f t="shared" si="1371"/>
        <v>0</v>
      </c>
      <c r="AG577" s="820">
        <f t="shared" si="1371"/>
        <v>0</v>
      </c>
      <c r="AH577" s="406">
        <f t="shared" si="1387"/>
        <v>0</v>
      </c>
      <c r="AI577" s="406">
        <f t="shared" si="1388"/>
        <v>0</v>
      </c>
      <c r="AJ577" s="406">
        <f t="shared" si="1389"/>
        <v>0</v>
      </c>
      <c r="AK577" s="820">
        <f t="shared" si="1390"/>
        <v>0</v>
      </c>
      <c r="AL577" s="820">
        <f t="shared" si="1394"/>
        <v>0</v>
      </c>
      <c r="AM577" s="398">
        <f t="shared" si="1377"/>
        <v>0</v>
      </c>
      <c r="AN577" s="398">
        <f t="shared" si="1377"/>
        <v>0</v>
      </c>
    </row>
    <row r="578" spans="1:40">
      <c r="A578" s="130" t="str">
        <f>$A$91</f>
        <v>Tapestry Collection by Hilton</v>
      </c>
      <c r="B578" s="1030"/>
      <c r="C578" s="508"/>
      <c r="D578" s="1030"/>
      <c r="E578" s="912"/>
      <c r="F578" s="912"/>
      <c r="G578" s="1041"/>
      <c r="H578" s="820"/>
      <c r="I578" s="1030"/>
      <c r="J578" s="912"/>
      <c r="K578" s="912"/>
      <c r="L578" s="1041"/>
      <c r="M578" s="820"/>
      <c r="N578" s="1030"/>
      <c r="O578" s="912"/>
      <c r="P578" s="912"/>
      <c r="Q578" s="1041"/>
      <c r="R578" s="820"/>
      <c r="S578" s="1030"/>
      <c r="T578" s="912"/>
      <c r="U578" s="912"/>
      <c r="V578" s="912"/>
      <c r="W578" s="398"/>
      <c r="X578" s="2791"/>
      <c r="Y578" s="2791"/>
      <c r="Z578" s="2791"/>
      <c r="AA578" s="2791"/>
      <c r="AB578" s="398"/>
      <c r="AC578" s="3879"/>
      <c r="AD578" s="406"/>
      <c r="AE578" s="3665">
        <v>0</v>
      </c>
      <c r="AF578" s="820">
        <f t="shared" si="1371"/>
        <v>0</v>
      </c>
      <c r="AG578" s="820">
        <f t="shared" si="1371"/>
        <v>0</v>
      </c>
      <c r="AH578" s="406">
        <f t="shared" si="1387"/>
        <v>0</v>
      </c>
      <c r="AI578" s="406">
        <f t="shared" si="1388"/>
        <v>0</v>
      </c>
      <c r="AJ578" s="406">
        <f t="shared" si="1389"/>
        <v>0</v>
      </c>
      <c r="AK578" s="820">
        <f t="shared" si="1390"/>
        <v>0</v>
      </c>
      <c r="AL578" s="820">
        <f t="shared" si="1394"/>
        <v>0</v>
      </c>
      <c r="AM578" s="398">
        <f t="shared" si="1377"/>
        <v>0</v>
      </c>
      <c r="AN578" s="398">
        <f t="shared" si="1377"/>
        <v>0</v>
      </c>
    </row>
    <row r="579" spans="1:40" s="5" customFormat="1">
      <c r="A579" s="402" t="s">
        <v>2276</v>
      </c>
      <c r="B579" s="1031">
        <v>0</v>
      </c>
      <c r="C579" s="1029">
        <v>0</v>
      </c>
      <c r="D579" s="1031">
        <v>0</v>
      </c>
      <c r="E579" s="1039">
        <v>0</v>
      </c>
      <c r="F579" s="1039">
        <v>0</v>
      </c>
      <c r="G579" s="1042">
        <v>0</v>
      </c>
      <c r="H579" s="700">
        <f t="shared" si="1378"/>
        <v>0</v>
      </c>
      <c r="I579" s="1031">
        <v>0</v>
      </c>
      <c r="J579" s="1039">
        <v>0</v>
      </c>
      <c r="K579" s="1039">
        <v>0</v>
      </c>
      <c r="L579" s="1042">
        <v>0</v>
      </c>
      <c r="M579" s="700">
        <f t="shared" si="1379"/>
        <v>0</v>
      </c>
      <c r="N579" s="1031">
        <v>0</v>
      </c>
      <c r="O579" s="1039">
        <f t="shared" si="1392"/>
        <v>0</v>
      </c>
      <c r="P579" s="1039">
        <f t="shared" si="1392"/>
        <v>0</v>
      </c>
      <c r="Q579" s="1042">
        <f t="shared" si="1392"/>
        <v>0</v>
      </c>
      <c r="R579" s="700">
        <f t="shared" si="1368"/>
        <v>0</v>
      </c>
      <c r="S579" s="1031">
        <f t="shared" si="1392"/>
        <v>0</v>
      </c>
      <c r="T579" s="1039">
        <v>0</v>
      </c>
      <c r="U579" s="1039">
        <v>0</v>
      </c>
      <c r="V579" s="1039">
        <v>0</v>
      </c>
      <c r="W579" s="403">
        <f t="shared" si="1393"/>
        <v>0</v>
      </c>
      <c r="X579" s="2794">
        <v>0</v>
      </c>
      <c r="Y579" s="2794">
        <v>0</v>
      </c>
      <c r="Z579" s="2794">
        <v>0</v>
      </c>
      <c r="AA579" s="2794">
        <v>0</v>
      </c>
      <c r="AB579" s="403">
        <f t="shared" si="1386"/>
        <v>0</v>
      </c>
      <c r="AC579" s="3880">
        <f t="shared" si="1369"/>
        <v>0</v>
      </c>
      <c r="AD579" s="615">
        <f t="shared" si="1370"/>
        <v>0</v>
      </c>
      <c r="AE579" s="4005">
        <v>0</v>
      </c>
      <c r="AF579" s="700">
        <f t="shared" si="1371"/>
        <v>0</v>
      </c>
      <c r="AG579" s="700">
        <f t="shared" si="1371"/>
        <v>0</v>
      </c>
      <c r="AH579" s="615">
        <f t="shared" ref="AH579" si="1395">AG579</f>
        <v>0</v>
      </c>
      <c r="AI579" s="615">
        <f t="shared" ref="AI579" si="1396">AH579</f>
        <v>0</v>
      </c>
      <c r="AJ579" s="615">
        <f t="shared" ref="AJ579" si="1397">AI579</f>
        <v>0</v>
      </c>
      <c r="AK579" s="700">
        <f t="shared" ref="AK579" si="1398">AJ579</f>
        <v>0</v>
      </c>
      <c r="AL579" s="700">
        <f t="shared" ref="AL579" si="1399">AK579</f>
        <v>0</v>
      </c>
      <c r="AM579" s="700">
        <f t="shared" si="1377"/>
        <v>0</v>
      </c>
      <c r="AN579" s="700">
        <f t="shared" si="1377"/>
        <v>0</v>
      </c>
    </row>
    <row r="580" spans="1:40">
      <c r="A580" s="482" t="s">
        <v>1687</v>
      </c>
      <c r="B580" s="1032">
        <f t="shared" ref="B580:R580" si="1400">SUM(B567:B579)</f>
        <v>20968</v>
      </c>
      <c r="C580" s="400">
        <f t="shared" si="1400"/>
        <v>20990</v>
      </c>
      <c r="D580" s="1032">
        <f t="shared" si="1400"/>
        <v>20972</v>
      </c>
      <c r="E580" s="405">
        <f t="shared" si="1400"/>
        <v>20974</v>
      </c>
      <c r="F580" s="405">
        <f t="shared" si="1400"/>
        <v>20974</v>
      </c>
      <c r="G580" s="821">
        <f t="shared" si="1400"/>
        <v>20974</v>
      </c>
      <c r="H580" s="821">
        <f t="shared" si="1400"/>
        <v>20974</v>
      </c>
      <c r="I580" s="1032">
        <f t="shared" si="1400"/>
        <v>20527</v>
      </c>
      <c r="J580" s="405">
        <f t="shared" si="1400"/>
        <v>20163</v>
      </c>
      <c r="K580" s="405">
        <f t="shared" si="1400"/>
        <v>20156</v>
      </c>
      <c r="L580" s="821">
        <f t="shared" si="1400"/>
        <v>19575</v>
      </c>
      <c r="M580" s="821">
        <f t="shared" si="1400"/>
        <v>19575</v>
      </c>
      <c r="N580" s="1032">
        <f t="shared" si="1400"/>
        <v>19607</v>
      </c>
      <c r="O580" s="405">
        <f t="shared" si="1400"/>
        <v>19576</v>
      </c>
      <c r="P580" s="405">
        <f t="shared" si="1400"/>
        <v>19457</v>
      </c>
      <c r="Q580" s="821">
        <f t="shared" si="1400"/>
        <v>19079</v>
      </c>
      <c r="R580" s="821">
        <f t="shared" si="1400"/>
        <v>19079</v>
      </c>
      <c r="S580" s="1032">
        <f t="shared" ref="S580:AB580" si="1401">SUM(S567:S579)</f>
        <v>19077</v>
      </c>
      <c r="T580" s="405">
        <f t="shared" si="1401"/>
        <v>19077</v>
      </c>
      <c r="U580" s="405">
        <f>SUM(U567:U579)</f>
        <v>18858</v>
      </c>
      <c r="V580" s="405">
        <f>SUM(V567:V579)</f>
        <v>18581</v>
      </c>
      <c r="W580" s="400">
        <f t="shared" si="1401"/>
        <v>18581</v>
      </c>
      <c r="X580" s="399">
        <f t="shared" si="1401"/>
        <v>18579</v>
      </c>
      <c r="Y580" s="399">
        <f>SUM(Y567:Y579)</f>
        <v>18345</v>
      </c>
      <c r="Z580" s="399">
        <f>SUM(Z567:Z579)</f>
        <v>18345</v>
      </c>
      <c r="AA580" s="399">
        <f>SUM(AA567:AA579)</f>
        <v>18350</v>
      </c>
      <c r="AB580" s="400">
        <f t="shared" si="1401"/>
        <v>18350</v>
      </c>
      <c r="AC580" s="399">
        <f t="shared" ref="AC580:AN580" si="1402">SUM(AC567:AC579)</f>
        <v>15694</v>
      </c>
      <c r="AD580" s="399">
        <f t="shared" si="1402"/>
        <v>15730</v>
      </c>
      <c r="AE580" s="399">
        <f t="shared" si="1402"/>
        <v>15396</v>
      </c>
      <c r="AF580" s="821">
        <f t="shared" si="1402"/>
        <v>15398</v>
      </c>
      <c r="AG580" s="400">
        <f t="shared" si="1402"/>
        <v>15398</v>
      </c>
      <c r="AH580" s="399">
        <f t="shared" si="1402"/>
        <v>15398</v>
      </c>
      <c r="AI580" s="399">
        <f t="shared" si="1402"/>
        <v>15398</v>
      </c>
      <c r="AJ580" s="399">
        <f t="shared" ref="AJ580:AL580" si="1403">SUM(AJ567:AJ579)</f>
        <v>15398</v>
      </c>
      <c r="AK580" s="821">
        <f t="shared" si="1403"/>
        <v>15398</v>
      </c>
      <c r="AL580" s="400">
        <f t="shared" si="1403"/>
        <v>15398</v>
      </c>
      <c r="AM580" s="821">
        <f t="shared" si="1402"/>
        <v>15398</v>
      </c>
      <c r="AN580" s="821">
        <f t="shared" si="1402"/>
        <v>15398</v>
      </c>
    </row>
    <row r="581" spans="1:40">
      <c r="A581" s="130"/>
      <c r="B581" s="1033"/>
      <c r="C581" s="398"/>
      <c r="D581" s="1033"/>
      <c r="E581" s="406"/>
      <c r="F581" s="406"/>
      <c r="G581" s="820"/>
      <c r="H581" s="820"/>
      <c r="I581" s="1033"/>
      <c r="J581" s="406"/>
      <c r="K581" s="406"/>
      <c r="L581" s="820"/>
      <c r="M581" s="820"/>
      <c r="N581" s="401"/>
      <c r="O581" s="406"/>
      <c r="P581" s="406"/>
      <c r="Q581" s="820"/>
      <c r="R581" s="820"/>
      <c r="S581" s="1033"/>
      <c r="T581" s="406"/>
      <c r="U581" s="406"/>
      <c r="V581" s="406"/>
      <c r="W581" s="398"/>
      <c r="X581" s="401"/>
      <c r="Y581" s="401"/>
      <c r="Z581" s="401"/>
      <c r="AA581" s="401"/>
      <c r="AB581" s="398"/>
      <c r="AC581" s="401"/>
      <c r="AD581" s="401"/>
      <c r="AE581" s="401"/>
      <c r="AF581" s="820"/>
      <c r="AG581" s="398"/>
      <c r="AH581" s="401"/>
      <c r="AI581" s="401"/>
      <c r="AJ581" s="401"/>
      <c r="AK581" s="820"/>
      <c r="AL581" s="398"/>
      <c r="AM581" s="820"/>
      <c r="AN581" s="820"/>
    </row>
    <row r="582" spans="1:40">
      <c r="A582" s="295" t="s">
        <v>1283</v>
      </c>
      <c r="B582" s="1033"/>
      <c r="C582" s="398"/>
      <c r="D582" s="1033"/>
      <c r="E582" s="406"/>
      <c r="F582" s="406"/>
      <c r="G582" s="820"/>
      <c r="H582" s="820"/>
      <c r="I582" s="1033"/>
      <c r="J582" s="406"/>
      <c r="K582" s="406"/>
      <c r="L582" s="820"/>
      <c r="M582" s="820"/>
      <c r="N582" s="401"/>
      <c r="O582" s="406"/>
      <c r="P582" s="406"/>
      <c r="Q582" s="820"/>
      <c r="R582" s="820"/>
      <c r="S582" s="1033"/>
      <c r="T582" s="406"/>
      <c r="U582" s="406"/>
      <c r="V582" s="406"/>
      <c r="W582" s="398"/>
      <c r="X582" s="401"/>
      <c r="Y582" s="401"/>
      <c r="Z582" s="401"/>
      <c r="AA582" s="401"/>
      <c r="AB582" s="398"/>
      <c r="AC582" s="401"/>
      <c r="AD582" s="401"/>
      <c r="AE582" s="401"/>
      <c r="AF582" s="820"/>
      <c r="AG582" s="398"/>
      <c r="AH582" s="401"/>
      <c r="AI582" s="401"/>
      <c r="AJ582" s="401"/>
      <c r="AK582" s="820"/>
      <c r="AL582" s="398"/>
      <c r="AM582" s="820"/>
      <c r="AN582" s="820"/>
    </row>
    <row r="583" spans="1:40">
      <c r="A583" s="130" t="str">
        <f>A$9</f>
        <v>Waldorf Astoria Hotels &amp; Resorts (Luxury)</v>
      </c>
      <c r="B583" s="1030">
        <v>332</v>
      </c>
      <c r="C583" s="508">
        <v>336</v>
      </c>
      <c r="D583" s="1030">
        <v>336</v>
      </c>
      <c r="E583" s="912">
        <v>336</v>
      </c>
      <c r="F583" s="912">
        <v>577</v>
      </c>
      <c r="G583" s="1041">
        <v>809</v>
      </c>
      <c r="H583" s="820">
        <f>G583</f>
        <v>809</v>
      </c>
      <c r="I583" s="1030">
        <v>672</v>
      </c>
      <c r="J583" s="912">
        <v>672</v>
      </c>
      <c r="K583" s="912">
        <v>672</v>
      </c>
      <c r="L583" s="1041">
        <v>672</v>
      </c>
      <c r="M583" s="820">
        <f>L583</f>
        <v>672</v>
      </c>
      <c r="N583" s="1030">
        <v>672</v>
      </c>
      <c r="O583" s="912">
        <v>898</v>
      </c>
      <c r="P583" s="912">
        <v>898</v>
      </c>
      <c r="Q583" s="1041">
        <v>898</v>
      </c>
      <c r="R583" s="820">
        <f t="shared" ref="R583:R595" si="1404">Q583</f>
        <v>898</v>
      </c>
      <c r="S583" s="1030">
        <v>898</v>
      </c>
      <c r="T583" s="912">
        <v>898</v>
      </c>
      <c r="U583" s="912">
        <v>898</v>
      </c>
      <c r="V583" s="912">
        <v>898</v>
      </c>
      <c r="W583" s="398">
        <f t="shared" ref="W583:W595" si="1405">V583</f>
        <v>898</v>
      </c>
      <c r="X583" s="2792">
        <v>898</v>
      </c>
      <c r="Y583" s="2792">
        <v>898</v>
      </c>
      <c r="Z583" s="2792">
        <v>898</v>
      </c>
      <c r="AA583" s="2792">
        <v>898</v>
      </c>
      <c r="AB583" s="398">
        <f t="shared" ref="AB583:AB595" si="1406">AA583</f>
        <v>898</v>
      </c>
      <c r="AC583" s="401">
        <f t="shared" ref="AC583:AD584" si="1407">AB583*(1+AC$884)</f>
        <v>906.98</v>
      </c>
      <c r="AD583" s="401">
        <f t="shared" si="1407"/>
        <v>915.89490388839363</v>
      </c>
      <c r="AE583" s="3666">
        <v>898</v>
      </c>
      <c r="AF583" s="3666">
        <v>898</v>
      </c>
      <c r="AG583" s="398">
        <f t="shared" ref="AG583:AG595" si="1408">AF583</f>
        <v>898</v>
      </c>
      <c r="AH583" s="401">
        <f t="shared" ref="AH583:AH584" si="1409">AG583*(1+AH$884)</f>
        <v>911.46999999999991</v>
      </c>
      <c r="AI583" s="401">
        <f t="shared" ref="AI583:AI584" si="1410">AH583*(1+AI$884)</f>
        <v>925.14204999999981</v>
      </c>
      <c r="AJ583" s="401">
        <f t="shared" ref="AJ583:AJ584" si="1411">AI583*(1+AJ$884)</f>
        <v>939.01918074999969</v>
      </c>
      <c r="AK583" s="820">
        <f t="shared" ref="AK583:AK584" si="1412">AJ583*(1+AK$884)</f>
        <v>953.10446846124955</v>
      </c>
      <c r="AL583" s="820">
        <f t="shared" ref="AL583:AL584" si="1413">AK583</f>
        <v>953.10446846124955</v>
      </c>
      <c r="AM583" s="398">
        <f t="shared" ref="AM583:AN584" si="1414">AL583*(1+AM$883)</f>
        <v>995.99416954200569</v>
      </c>
      <c r="AN583" s="398">
        <f t="shared" si="1414"/>
        <v>1025.8739946282658</v>
      </c>
    </row>
    <row r="584" spans="1:40">
      <c r="A584" s="130" t="str">
        <f>A$10</f>
        <v>Conrad Hotels &amp; Resorts (Luxury)</v>
      </c>
      <c r="B584" s="1030">
        <v>269</v>
      </c>
      <c r="C584" s="508">
        <v>269</v>
      </c>
      <c r="D584" s="1030">
        <v>269</v>
      </c>
      <c r="E584" s="912">
        <v>269</v>
      </c>
      <c r="F584" s="912">
        <v>423</v>
      </c>
      <c r="G584" s="1041">
        <v>154</v>
      </c>
      <c r="H584" s="820">
        <f t="shared" ref="H584:H595" si="1415">G584</f>
        <v>154</v>
      </c>
      <c r="I584" s="1030">
        <v>154</v>
      </c>
      <c r="J584" s="912">
        <v>154</v>
      </c>
      <c r="K584" s="912">
        <v>154</v>
      </c>
      <c r="L584" s="1041">
        <v>741</v>
      </c>
      <c r="M584" s="820">
        <f t="shared" ref="M584:M595" si="1416">L584</f>
        <v>741</v>
      </c>
      <c r="N584" s="1030">
        <v>741</v>
      </c>
      <c r="O584" s="912">
        <v>705</v>
      </c>
      <c r="P584" s="912">
        <v>705</v>
      </c>
      <c r="Q584" s="1041">
        <v>705</v>
      </c>
      <c r="R584" s="820">
        <f t="shared" si="1404"/>
        <v>705</v>
      </c>
      <c r="S584" s="1030">
        <v>705</v>
      </c>
      <c r="T584" s="912">
        <v>707</v>
      </c>
      <c r="U584" s="912">
        <v>707</v>
      </c>
      <c r="V584" s="912">
        <v>707</v>
      </c>
      <c r="W584" s="398">
        <f t="shared" si="1405"/>
        <v>707</v>
      </c>
      <c r="X584" s="2792">
        <v>707</v>
      </c>
      <c r="Y584" s="2792">
        <v>707</v>
      </c>
      <c r="Z584" s="2792">
        <v>707</v>
      </c>
      <c r="AA584" s="2792">
        <v>707</v>
      </c>
      <c r="AB584" s="398">
        <f t="shared" si="1406"/>
        <v>707</v>
      </c>
      <c r="AC584" s="401">
        <f t="shared" si="1407"/>
        <v>714.07</v>
      </c>
      <c r="AD584" s="401">
        <f t="shared" si="1407"/>
        <v>721.08874949787787</v>
      </c>
      <c r="AE584" s="3666">
        <v>899</v>
      </c>
      <c r="AF584" s="3666">
        <v>1155</v>
      </c>
      <c r="AG584" s="398">
        <f t="shared" si="1408"/>
        <v>1155</v>
      </c>
      <c r="AH584" s="401">
        <f t="shared" si="1409"/>
        <v>1172.3249999999998</v>
      </c>
      <c r="AI584" s="401">
        <f t="shared" si="1410"/>
        <v>1189.9098749999996</v>
      </c>
      <c r="AJ584" s="401">
        <f t="shared" si="1411"/>
        <v>1207.7585231249996</v>
      </c>
      <c r="AK584" s="820">
        <f t="shared" si="1412"/>
        <v>1225.8749009718745</v>
      </c>
      <c r="AL584" s="820">
        <f t="shared" si="1413"/>
        <v>1225.8749009718745</v>
      </c>
      <c r="AM584" s="398">
        <f t="shared" si="1414"/>
        <v>1281.0392715156088</v>
      </c>
      <c r="AN584" s="398">
        <f t="shared" si="1414"/>
        <v>1319.4704496610771</v>
      </c>
    </row>
    <row r="585" spans="1:40">
      <c r="A585" s="1828" t="s">
        <v>3022</v>
      </c>
      <c r="B585" s="1030"/>
      <c r="C585" s="508"/>
      <c r="D585" s="1030"/>
      <c r="E585" s="912"/>
      <c r="F585" s="912"/>
      <c r="G585" s="1041"/>
      <c r="H585" s="820"/>
      <c r="I585" s="1030"/>
      <c r="J585" s="912"/>
      <c r="K585" s="912"/>
      <c r="L585" s="1041"/>
      <c r="M585" s="820"/>
      <c r="N585" s="1030"/>
      <c r="O585" s="912"/>
      <c r="P585" s="912"/>
      <c r="Q585" s="1041"/>
      <c r="R585" s="820"/>
      <c r="S585" s="1030"/>
      <c r="T585" s="912"/>
      <c r="U585" s="912"/>
      <c r="V585" s="912"/>
      <c r="W585" s="398"/>
      <c r="X585" s="2791"/>
      <c r="Y585" s="2791"/>
      <c r="Z585" s="2791"/>
      <c r="AA585" s="2791">
        <v>0</v>
      </c>
      <c r="AB585" s="398">
        <f t="shared" ref="AB585:AG585" si="1417">+AA585</f>
        <v>0</v>
      </c>
      <c r="AC585" s="2944">
        <f t="shared" si="1417"/>
        <v>0</v>
      </c>
      <c r="AD585" s="406">
        <f t="shared" si="1417"/>
        <v>0</v>
      </c>
      <c r="AE585" s="3665">
        <v>0</v>
      </c>
      <c r="AF585" s="406">
        <f t="shared" si="1417"/>
        <v>0</v>
      </c>
      <c r="AG585" s="398">
        <f t="shared" si="1417"/>
        <v>0</v>
      </c>
      <c r="AH585" s="406">
        <f t="shared" ref="AH585" si="1418">+AG585</f>
        <v>0</v>
      </c>
      <c r="AI585" s="406">
        <f t="shared" ref="AI585" si="1419">+AH585</f>
        <v>0</v>
      </c>
      <c r="AJ585" s="406">
        <f t="shared" ref="AJ585" si="1420">+AI585</f>
        <v>0</v>
      </c>
      <c r="AK585" s="820">
        <f t="shared" ref="AK585" si="1421">+AJ585</f>
        <v>0</v>
      </c>
      <c r="AL585" s="398">
        <f t="shared" ref="AL585" si="1422">+AK585</f>
        <v>0</v>
      </c>
      <c r="AM585" s="398">
        <f>AL585</f>
        <v>0</v>
      </c>
      <c r="AN585" s="398">
        <f>AM585</f>
        <v>0</v>
      </c>
    </row>
    <row r="586" spans="1:40">
      <c r="A586" s="130" t="str">
        <f>A$12</f>
        <v>Hilton Hotels &amp; Resorts (Upper Up)</v>
      </c>
      <c r="B586" s="1030">
        <v>16196</v>
      </c>
      <c r="C586" s="508">
        <v>15887</v>
      </c>
      <c r="D586" s="1030">
        <v>15884</v>
      </c>
      <c r="E586" s="912">
        <v>15877</v>
      </c>
      <c r="F586" s="912">
        <v>15666</v>
      </c>
      <c r="G586" s="1041">
        <v>16560</v>
      </c>
      <c r="H586" s="820">
        <f t="shared" si="1415"/>
        <v>16560</v>
      </c>
      <c r="I586" s="1030">
        <v>16694</v>
      </c>
      <c r="J586" s="912">
        <v>15802</v>
      </c>
      <c r="K586" s="912">
        <v>15798</v>
      </c>
      <c r="L586" s="1041">
        <v>15798</v>
      </c>
      <c r="M586" s="820">
        <f t="shared" si="1416"/>
        <v>15798</v>
      </c>
      <c r="N586" s="1030">
        <v>16988</v>
      </c>
      <c r="O586" s="912">
        <v>16993</v>
      </c>
      <c r="P586" s="912">
        <v>16991</v>
      </c>
      <c r="Q586" s="1041">
        <v>15909</v>
      </c>
      <c r="R586" s="820">
        <f t="shared" si="1404"/>
        <v>15909</v>
      </c>
      <c r="S586" s="1030">
        <v>15978</v>
      </c>
      <c r="T586" s="912">
        <v>15847</v>
      </c>
      <c r="U586" s="912">
        <v>15847</v>
      </c>
      <c r="V586" s="912">
        <v>16650</v>
      </c>
      <c r="W586" s="398">
        <f t="shared" si="1405"/>
        <v>16650</v>
      </c>
      <c r="X586" s="2792">
        <v>15197</v>
      </c>
      <c r="Y586" s="2792">
        <v>14907</v>
      </c>
      <c r="Z586" s="2792">
        <v>14910</v>
      </c>
      <c r="AA586" s="2792">
        <v>14912</v>
      </c>
      <c r="AB586" s="398">
        <f t="shared" si="1406"/>
        <v>14912</v>
      </c>
      <c r="AC586" s="2939">
        <f>AB586*(1+AC$884)+'Owned Hotels Spinoff'!$D$64</f>
        <v>17526.120000000003</v>
      </c>
      <c r="AD586" s="401">
        <f>AC586*(1+AD$884)</f>
        <v>17698.388049280529</v>
      </c>
      <c r="AE586" s="3666">
        <v>16595</v>
      </c>
      <c r="AF586" s="3666">
        <v>16359</v>
      </c>
      <c r="AG586" s="398">
        <f t="shared" si="1408"/>
        <v>16359</v>
      </c>
      <c r="AH586" s="401">
        <f t="shared" ref="AH586:AI586" si="1423">AG586*(1+AH$884)</f>
        <v>16604.384999999998</v>
      </c>
      <c r="AI586" s="401">
        <f t="shared" si="1423"/>
        <v>16853.450774999998</v>
      </c>
      <c r="AJ586" s="401">
        <f>AI586*(1+AJ$884)</f>
        <v>17106.252536624997</v>
      </c>
      <c r="AK586" s="820">
        <f>AJ586*(1+AK$884)</f>
        <v>17362.84632467437</v>
      </c>
      <c r="AL586" s="820">
        <f t="shared" ref="AL586:AL595" si="1424">AK586</f>
        <v>17362.84632467437</v>
      </c>
      <c r="AM586" s="398">
        <f>AL586*(1+AM$883)</f>
        <v>18144.174409284715</v>
      </c>
      <c r="AN586" s="398">
        <f>AM586*(1+AN$883)</f>
        <v>18688.499641563256</v>
      </c>
    </row>
    <row r="587" spans="1:40">
      <c r="A587" s="130" t="str">
        <f>A$13</f>
        <v xml:space="preserve">Curio - A Collection by Hilton </v>
      </c>
      <c r="B587" s="1030"/>
      <c r="C587" s="508"/>
      <c r="D587" s="1030"/>
      <c r="E587" s="912"/>
      <c r="F587" s="912"/>
      <c r="G587" s="1041"/>
      <c r="H587" s="820"/>
      <c r="I587" s="1030"/>
      <c r="J587" s="912"/>
      <c r="K587" s="912"/>
      <c r="L587" s="1041"/>
      <c r="M587" s="820"/>
      <c r="N587" s="1030"/>
      <c r="O587" s="912"/>
      <c r="P587" s="912"/>
      <c r="Q587" s="1041"/>
      <c r="R587" s="820"/>
      <c r="S587" s="1030">
        <f>R587</f>
        <v>0</v>
      </c>
      <c r="T587" s="912">
        <v>0</v>
      </c>
      <c r="U587" s="912">
        <v>0</v>
      </c>
      <c r="V587" s="912">
        <v>0</v>
      </c>
      <c r="W587" s="398">
        <f t="shared" si="1405"/>
        <v>0</v>
      </c>
      <c r="X587" s="2792">
        <v>0</v>
      </c>
      <c r="Y587" s="2792">
        <v>0</v>
      </c>
      <c r="Z587" s="2792">
        <v>0</v>
      </c>
      <c r="AA587" s="2792">
        <v>0</v>
      </c>
      <c r="AB587" s="398">
        <f t="shared" si="1406"/>
        <v>0</v>
      </c>
      <c r="AC587" s="401">
        <f>AB587</f>
        <v>0</v>
      </c>
      <c r="AD587" s="401">
        <f>AC587</f>
        <v>0</v>
      </c>
      <c r="AE587" s="3666">
        <v>187</v>
      </c>
      <c r="AF587" s="3666">
        <v>189</v>
      </c>
      <c r="AG587" s="398">
        <f t="shared" si="1408"/>
        <v>189</v>
      </c>
      <c r="AH587" s="401">
        <f t="shared" ref="AH587:AI587" si="1425">AG587</f>
        <v>189</v>
      </c>
      <c r="AI587" s="401">
        <f t="shared" si="1425"/>
        <v>189</v>
      </c>
      <c r="AJ587" s="401">
        <f>AI587</f>
        <v>189</v>
      </c>
      <c r="AK587" s="820">
        <f>AJ587</f>
        <v>189</v>
      </c>
      <c r="AL587" s="820">
        <f t="shared" si="1424"/>
        <v>189</v>
      </c>
      <c r="AM587" s="398">
        <f>AL587</f>
        <v>189</v>
      </c>
      <c r="AN587" s="398">
        <f>AM587</f>
        <v>189</v>
      </c>
    </row>
    <row r="588" spans="1:40">
      <c r="A588" s="130" t="str">
        <f>A$14</f>
        <v>DoubleTree by Hilton (Upscale)</v>
      </c>
      <c r="B588" s="1030">
        <v>325</v>
      </c>
      <c r="C588" s="508">
        <v>2260</v>
      </c>
      <c r="D588" s="1030">
        <v>2878</v>
      </c>
      <c r="E588" s="912">
        <v>2878</v>
      </c>
      <c r="F588" s="912">
        <v>2683</v>
      </c>
      <c r="G588" s="1041">
        <v>2835</v>
      </c>
      <c r="H588" s="820">
        <f t="shared" si="1415"/>
        <v>2835</v>
      </c>
      <c r="I588" s="1030">
        <v>2835</v>
      </c>
      <c r="J588" s="912">
        <v>2834</v>
      </c>
      <c r="K588" s="912">
        <v>3335</v>
      </c>
      <c r="L588" s="1041">
        <v>3474</v>
      </c>
      <c r="M588" s="820">
        <f t="shared" si="1416"/>
        <v>3474</v>
      </c>
      <c r="N588" s="1030">
        <v>3474</v>
      </c>
      <c r="O588" s="912">
        <v>3676</v>
      </c>
      <c r="P588" s="912">
        <v>3676</v>
      </c>
      <c r="Q588" s="1041">
        <v>3848</v>
      </c>
      <c r="R588" s="820">
        <f t="shared" si="1404"/>
        <v>3848</v>
      </c>
      <c r="S588" s="1030">
        <v>3848</v>
      </c>
      <c r="T588" s="912">
        <v>3608</v>
      </c>
      <c r="U588" s="912">
        <v>3456</v>
      </c>
      <c r="V588" s="912">
        <v>3456</v>
      </c>
      <c r="W588" s="398">
        <f t="shared" si="1405"/>
        <v>3456</v>
      </c>
      <c r="X588" s="2792">
        <v>3456</v>
      </c>
      <c r="Y588" s="2792">
        <v>3456</v>
      </c>
      <c r="Z588" s="2792">
        <v>3649</v>
      </c>
      <c r="AA588" s="2792">
        <v>3348</v>
      </c>
      <c r="AB588" s="398">
        <f t="shared" si="1406"/>
        <v>3348</v>
      </c>
      <c r="AC588" s="401">
        <f t="shared" ref="AC588:AF592" si="1426">AB588*(1+AC$884)</f>
        <v>3381.48</v>
      </c>
      <c r="AD588" s="401">
        <f t="shared" si="1426"/>
        <v>3414.717303138465</v>
      </c>
      <c r="AE588" s="3666">
        <v>2899</v>
      </c>
      <c r="AF588" s="3666">
        <v>2915</v>
      </c>
      <c r="AG588" s="398">
        <f t="shared" si="1408"/>
        <v>2915</v>
      </c>
      <c r="AH588" s="401">
        <f t="shared" ref="AH588:AH595" si="1427">AG588*(1+AH$884)</f>
        <v>2958.7249999999999</v>
      </c>
      <c r="AI588" s="401">
        <f t="shared" ref="AI588:AI595" si="1428">AH588*(1+AI$884)</f>
        <v>3003.1058749999997</v>
      </c>
      <c r="AJ588" s="401">
        <f t="shared" ref="AJ588:AJ594" si="1429">AI588*(1+AJ$884)</f>
        <v>3048.1524631249995</v>
      </c>
      <c r="AK588" s="820">
        <f t="shared" ref="AK588:AK594" si="1430">AJ588*(1+AK$884)</f>
        <v>3093.8747500718741</v>
      </c>
      <c r="AL588" s="820">
        <f t="shared" si="1424"/>
        <v>3093.8747500718741</v>
      </c>
      <c r="AM588" s="398">
        <f t="shared" ref="AM588:AN592" si="1431">AL588*(1+AM$883)</f>
        <v>3233.0991138251084</v>
      </c>
      <c r="AN588" s="398">
        <f t="shared" si="1431"/>
        <v>3330.0920872398615</v>
      </c>
    </row>
    <row r="589" spans="1:40">
      <c r="A589" s="130" t="str">
        <f>A$15</f>
        <v>Embassy Suites Hotels (Upper Up)</v>
      </c>
      <c r="B589" s="1030">
        <v>0</v>
      </c>
      <c r="C589" s="508">
        <v>0</v>
      </c>
      <c r="D589" s="1030">
        <v>0</v>
      </c>
      <c r="E589" s="912">
        <v>0</v>
      </c>
      <c r="F589" s="912">
        <v>0</v>
      </c>
      <c r="G589" s="1041">
        <v>0</v>
      </c>
      <c r="H589" s="820">
        <f t="shared" si="1415"/>
        <v>0</v>
      </c>
      <c r="I589" s="1030">
        <v>0</v>
      </c>
      <c r="J589" s="912">
        <v>0</v>
      </c>
      <c r="K589" s="912">
        <v>0</v>
      </c>
      <c r="L589" s="1041">
        <v>0</v>
      </c>
      <c r="M589" s="820">
        <f t="shared" si="1416"/>
        <v>0</v>
      </c>
      <c r="N589" s="1030">
        <v>0</v>
      </c>
      <c r="O589" s="912">
        <v>0</v>
      </c>
      <c r="P589" s="912">
        <v>0</v>
      </c>
      <c r="Q589" s="1041">
        <v>0</v>
      </c>
      <c r="R589" s="820">
        <f t="shared" si="1404"/>
        <v>0</v>
      </c>
      <c r="S589" s="1030">
        <v>0</v>
      </c>
      <c r="T589" s="912">
        <v>0</v>
      </c>
      <c r="U589" s="912">
        <v>0</v>
      </c>
      <c r="V589" s="912">
        <v>0</v>
      </c>
      <c r="W589" s="398">
        <f t="shared" si="1405"/>
        <v>0</v>
      </c>
      <c r="X589" s="2792">
        <v>0</v>
      </c>
      <c r="Y589" s="2792">
        <v>0</v>
      </c>
      <c r="Z589" s="2792">
        <v>0</v>
      </c>
      <c r="AA589" s="2792">
        <v>0</v>
      </c>
      <c r="AB589" s="398">
        <f t="shared" si="1406"/>
        <v>0</v>
      </c>
      <c r="AC589" s="401">
        <f t="shared" si="1426"/>
        <v>0</v>
      </c>
      <c r="AD589" s="401">
        <f t="shared" si="1426"/>
        <v>0</v>
      </c>
      <c r="AE589" s="3666">
        <v>0</v>
      </c>
      <c r="AF589" s="406">
        <f t="shared" si="1426"/>
        <v>0</v>
      </c>
      <c r="AG589" s="398">
        <f t="shared" si="1408"/>
        <v>0</v>
      </c>
      <c r="AH589" s="401">
        <f t="shared" si="1427"/>
        <v>0</v>
      </c>
      <c r="AI589" s="401">
        <f t="shared" si="1428"/>
        <v>0</v>
      </c>
      <c r="AJ589" s="401">
        <f t="shared" si="1429"/>
        <v>0</v>
      </c>
      <c r="AK589" s="820">
        <f t="shared" si="1430"/>
        <v>0</v>
      </c>
      <c r="AL589" s="820">
        <f t="shared" si="1424"/>
        <v>0</v>
      </c>
      <c r="AM589" s="398">
        <f t="shared" si="1431"/>
        <v>0</v>
      </c>
      <c r="AN589" s="398">
        <f t="shared" si="1431"/>
        <v>0</v>
      </c>
    </row>
    <row r="590" spans="1:40">
      <c r="A590" s="130" t="str">
        <f>A$16</f>
        <v>Hilton Garden Inn (Upscale)</v>
      </c>
      <c r="B590" s="1030">
        <v>888</v>
      </c>
      <c r="C590" s="508">
        <v>1874</v>
      </c>
      <c r="D590" s="1030">
        <v>2112</v>
      </c>
      <c r="E590" s="912">
        <v>2443</v>
      </c>
      <c r="F590" s="912">
        <v>2616</v>
      </c>
      <c r="G590" s="1041">
        <v>2762</v>
      </c>
      <c r="H590" s="820">
        <f t="shared" si="1415"/>
        <v>2762</v>
      </c>
      <c r="I590" s="1030">
        <v>2902</v>
      </c>
      <c r="J590" s="912">
        <v>2620</v>
      </c>
      <c r="K590" s="912">
        <v>2620</v>
      </c>
      <c r="L590" s="1041">
        <v>2620</v>
      </c>
      <c r="M590" s="820">
        <f t="shared" si="1416"/>
        <v>2620</v>
      </c>
      <c r="N590" s="1030">
        <v>3225</v>
      </c>
      <c r="O590" s="912">
        <v>3474</v>
      </c>
      <c r="P590" s="912">
        <v>3474</v>
      </c>
      <c r="Q590" s="1041">
        <v>3292</v>
      </c>
      <c r="R590" s="820">
        <f t="shared" si="1404"/>
        <v>3292</v>
      </c>
      <c r="S590" s="1030">
        <v>3509</v>
      </c>
      <c r="T590" s="912">
        <v>2940</v>
      </c>
      <c r="U590" s="912">
        <v>3130</v>
      </c>
      <c r="V590" s="912">
        <v>3306</v>
      </c>
      <c r="W590" s="398">
        <f t="shared" si="1405"/>
        <v>3306</v>
      </c>
      <c r="X590" s="2792">
        <v>3306</v>
      </c>
      <c r="Y590" s="2792">
        <v>3306</v>
      </c>
      <c r="Z590" s="2792">
        <v>3306</v>
      </c>
      <c r="AA590" s="2792">
        <v>3578</v>
      </c>
      <c r="AB590" s="398">
        <f t="shared" si="1406"/>
        <v>3578</v>
      </c>
      <c r="AC590" s="401">
        <f t="shared" si="1426"/>
        <v>3613.78</v>
      </c>
      <c r="AD590" s="401">
        <f t="shared" si="1426"/>
        <v>3649.3006304150026</v>
      </c>
      <c r="AE590" s="3666">
        <v>3870</v>
      </c>
      <c r="AF590" s="3666">
        <v>3870</v>
      </c>
      <c r="AG590" s="398">
        <f t="shared" si="1408"/>
        <v>3870</v>
      </c>
      <c r="AH590" s="401">
        <f t="shared" si="1427"/>
        <v>3928.0499999999997</v>
      </c>
      <c r="AI590" s="401">
        <f t="shared" si="1428"/>
        <v>3986.9707499999995</v>
      </c>
      <c r="AJ590" s="401">
        <f t="shared" si="1429"/>
        <v>4046.775311249999</v>
      </c>
      <c r="AK590" s="820">
        <f t="shared" si="1430"/>
        <v>4107.4769409187484</v>
      </c>
      <c r="AL590" s="820">
        <f t="shared" si="1424"/>
        <v>4107.4769409187484</v>
      </c>
      <c r="AM590" s="398">
        <f t="shared" si="1431"/>
        <v>4292.3134032600919</v>
      </c>
      <c r="AN590" s="398">
        <f t="shared" si="1431"/>
        <v>4421.0828053578953</v>
      </c>
    </row>
    <row r="591" spans="1:40">
      <c r="A591" s="130" t="str">
        <f>A$17</f>
        <v>Hampton Inn (Upper Mid)</v>
      </c>
      <c r="B591" s="1030">
        <v>241</v>
      </c>
      <c r="C591" s="508">
        <v>241</v>
      </c>
      <c r="D591" s="1030">
        <v>241</v>
      </c>
      <c r="E591" s="912">
        <v>241</v>
      </c>
      <c r="F591" s="912">
        <v>327</v>
      </c>
      <c r="G591" s="1041">
        <v>274</v>
      </c>
      <c r="H591" s="820">
        <f t="shared" si="1415"/>
        <v>274</v>
      </c>
      <c r="I591" s="1030">
        <v>274</v>
      </c>
      <c r="J591" s="912">
        <v>383</v>
      </c>
      <c r="K591" s="912">
        <v>492</v>
      </c>
      <c r="L591" s="1041">
        <v>492</v>
      </c>
      <c r="M591" s="820">
        <f t="shared" si="1416"/>
        <v>492</v>
      </c>
      <c r="N591" s="1030">
        <v>532</v>
      </c>
      <c r="O591" s="912">
        <v>974</v>
      </c>
      <c r="P591" s="912">
        <v>974</v>
      </c>
      <c r="Q591" s="1041">
        <v>1091</v>
      </c>
      <c r="R591" s="820">
        <f t="shared" si="1404"/>
        <v>1091</v>
      </c>
      <c r="S591" s="1030">
        <v>1091</v>
      </c>
      <c r="T591" s="912">
        <v>1211</v>
      </c>
      <c r="U591" s="912">
        <v>1211</v>
      </c>
      <c r="V591" s="912">
        <v>1537</v>
      </c>
      <c r="W591" s="398">
        <f t="shared" si="1405"/>
        <v>1537</v>
      </c>
      <c r="X591" s="2792">
        <v>1537</v>
      </c>
      <c r="Y591" s="2792">
        <v>1928</v>
      </c>
      <c r="Z591" s="2792">
        <v>2090</v>
      </c>
      <c r="AA591" s="2792">
        <v>2090</v>
      </c>
      <c r="AB591" s="398">
        <f t="shared" si="1406"/>
        <v>2090</v>
      </c>
      <c r="AC591" s="401">
        <f t="shared" si="1426"/>
        <v>2110.9</v>
      </c>
      <c r="AD591" s="401">
        <f t="shared" si="1426"/>
        <v>2131.6484956867957</v>
      </c>
      <c r="AE591" s="3666">
        <v>2291</v>
      </c>
      <c r="AF591" s="3666">
        <v>2439</v>
      </c>
      <c r="AG591" s="398">
        <f t="shared" si="1408"/>
        <v>2439</v>
      </c>
      <c r="AH591" s="401">
        <f t="shared" si="1427"/>
        <v>2475.5849999999996</v>
      </c>
      <c r="AI591" s="401">
        <f t="shared" si="1428"/>
        <v>2512.7187749999994</v>
      </c>
      <c r="AJ591" s="401">
        <f t="shared" si="1429"/>
        <v>2550.4095566249989</v>
      </c>
      <c r="AK591" s="820">
        <f t="shared" si="1430"/>
        <v>2588.6656999743736</v>
      </c>
      <c r="AL591" s="820">
        <f t="shared" si="1424"/>
        <v>2588.6656999743736</v>
      </c>
      <c r="AM591" s="398">
        <f t="shared" si="1431"/>
        <v>2705.1556564732205</v>
      </c>
      <c r="AN591" s="398">
        <f t="shared" si="1431"/>
        <v>2786.3103261674173</v>
      </c>
    </row>
    <row r="592" spans="1:40">
      <c r="A592" s="130" t="s">
        <v>1408</v>
      </c>
      <c r="B592" s="1030">
        <v>0</v>
      </c>
      <c r="C592" s="508">
        <v>0</v>
      </c>
      <c r="D592" s="1030">
        <v>0</v>
      </c>
      <c r="E592" s="912">
        <v>0</v>
      </c>
      <c r="F592" s="912">
        <v>0</v>
      </c>
      <c r="G592" s="1041">
        <v>0</v>
      </c>
      <c r="H592" s="820">
        <f t="shared" si="1415"/>
        <v>0</v>
      </c>
      <c r="I592" s="1030">
        <v>0</v>
      </c>
      <c r="J592" s="912">
        <v>0</v>
      </c>
      <c r="K592" s="912">
        <v>0</v>
      </c>
      <c r="L592" s="1041">
        <v>0</v>
      </c>
      <c r="M592" s="820">
        <f t="shared" si="1416"/>
        <v>0</v>
      </c>
      <c r="N592" s="1030">
        <v>0</v>
      </c>
      <c r="O592" s="912">
        <v>0</v>
      </c>
      <c r="P592" s="912">
        <v>0</v>
      </c>
      <c r="Q592" s="1041">
        <v>0</v>
      </c>
      <c r="R592" s="820">
        <f t="shared" si="1404"/>
        <v>0</v>
      </c>
      <c r="S592" s="1030">
        <v>0</v>
      </c>
      <c r="T592" s="912">
        <v>0</v>
      </c>
      <c r="U592" s="912">
        <v>0</v>
      </c>
      <c r="V592" s="912">
        <v>0</v>
      </c>
      <c r="W592" s="398">
        <f t="shared" si="1405"/>
        <v>0</v>
      </c>
      <c r="X592" s="2792">
        <v>0</v>
      </c>
      <c r="Y592" s="2792">
        <v>0</v>
      </c>
      <c r="Z592" s="2792">
        <v>0</v>
      </c>
      <c r="AA592" s="2792">
        <v>0</v>
      </c>
      <c r="AB592" s="398">
        <f t="shared" si="1406"/>
        <v>0</v>
      </c>
      <c r="AC592" s="401">
        <f t="shared" si="1426"/>
        <v>0</v>
      </c>
      <c r="AD592" s="401">
        <f t="shared" si="1426"/>
        <v>0</v>
      </c>
      <c r="AE592" s="3666">
        <v>0</v>
      </c>
      <c r="AF592" s="820">
        <f t="shared" si="1426"/>
        <v>0</v>
      </c>
      <c r="AG592" s="820">
        <f t="shared" si="1408"/>
        <v>0</v>
      </c>
      <c r="AH592" s="401">
        <f t="shared" si="1427"/>
        <v>0</v>
      </c>
      <c r="AI592" s="401">
        <f t="shared" si="1428"/>
        <v>0</v>
      </c>
      <c r="AJ592" s="401">
        <f t="shared" si="1429"/>
        <v>0</v>
      </c>
      <c r="AK592" s="820">
        <f t="shared" si="1430"/>
        <v>0</v>
      </c>
      <c r="AL592" s="820">
        <f t="shared" si="1424"/>
        <v>0</v>
      </c>
      <c r="AM592" s="820">
        <f t="shared" si="1431"/>
        <v>0</v>
      </c>
      <c r="AN592" s="820">
        <f t="shared" si="1431"/>
        <v>0</v>
      </c>
    </row>
    <row r="593" spans="1:40">
      <c r="A593" s="130" t="str">
        <f>$A$90</f>
        <v>Tru by Hilton</v>
      </c>
      <c r="B593" s="1030"/>
      <c r="C593" s="508"/>
      <c r="D593" s="1030"/>
      <c r="E593" s="912"/>
      <c r="F593" s="912"/>
      <c r="G593" s="1041"/>
      <c r="H593" s="820"/>
      <c r="I593" s="1030"/>
      <c r="J593" s="912"/>
      <c r="K593" s="912"/>
      <c r="L593" s="1041"/>
      <c r="M593" s="820"/>
      <c r="N593" s="1030"/>
      <c r="O593" s="912"/>
      <c r="P593" s="912"/>
      <c r="Q593" s="1041"/>
      <c r="R593" s="820"/>
      <c r="S593" s="1030"/>
      <c r="T593" s="912"/>
      <c r="U593" s="912"/>
      <c r="V593" s="912"/>
      <c r="W593" s="398"/>
      <c r="X593" s="2791"/>
      <c r="Y593" s="2791"/>
      <c r="Z593" s="2791"/>
      <c r="AA593" s="2791"/>
      <c r="AB593" s="398"/>
      <c r="AC593" s="401">
        <f t="shared" ref="AC593:AF593" si="1432">AB593*(1+AC$884)</f>
        <v>0</v>
      </c>
      <c r="AD593" s="401">
        <f t="shared" si="1432"/>
        <v>0</v>
      </c>
      <c r="AE593" s="3666">
        <v>0</v>
      </c>
      <c r="AF593" s="820">
        <f t="shared" si="1432"/>
        <v>0</v>
      </c>
      <c r="AG593" s="820">
        <f t="shared" ref="AG593:AG594" si="1433">AF593</f>
        <v>0</v>
      </c>
      <c r="AH593" s="401">
        <f t="shared" si="1427"/>
        <v>0</v>
      </c>
      <c r="AI593" s="401">
        <f t="shared" si="1428"/>
        <v>0</v>
      </c>
      <c r="AJ593" s="401">
        <f t="shared" si="1429"/>
        <v>0</v>
      </c>
      <c r="AK593" s="820">
        <f t="shared" si="1430"/>
        <v>0</v>
      </c>
      <c r="AL593" s="820">
        <f t="shared" si="1424"/>
        <v>0</v>
      </c>
      <c r="AM593" s="820">
        <f t="shared" ref="AM593:AN593" si="1434">AL593*(1+AM$883)</f>
        <v>0</v>
      </c>
      <c r="AN593" s="820">
        <f t="shared" si="1434"/>
        <v>0</v>
      </c>
    </row>
    <row r="594" spans="1:40">
      <c r="A594" s="130" t="str">
        <f>$A$91</f>
        <v>Tapestry Collection by Hilton</v>
      </c>
      <c r="B594" s="1030"/>
      <c r="C594" s="508"/>
      <c r="D594" s="1030"/>
      <c r="E594" s="912"/>
      <c r="F594" s="912"/>
      <c r="G594" s="1041"/>
      <c r="H594" s="820"/>
      <c r="I594" s="1030"/>
      <c r="J594" s="912"/>
      <c r="K594" s="912"/>
      <c r="L594" s="1041"/>
      <c r="M594" s="820"/>
      <c r="N594" s="1030"/>
      <c r="O594" s="912"/>
      <c r="P594" s="912"/>
      <c r="Q594" s="1041"/>
      <c r="R594" s="820"/>
      <c r="S594" s="1030"/>
      <c r="T594" s="912"/>
      <c r="U594" s="912"/>
      <c r="V594" s="912"/>
      <c r="W594" s="398"/>
      <c r="X594" s="2791"/>
      <c r="Y594" s="2791"/>
      <c r="Z594" s="2791"/>
      <c r="AA594" s="2791"/>
      <c r="AB594" s="398"/>
      <c r="AC594" s="401">
        <f t="shared" ref="AC594:AF594" si="1435">AB594*(1+AC$884)</f>
        <v>0</v>
      </c>
      <c r="AD594" s="401">
        <f t="shared" si="1435"/>
        <v>0</v>
      </c>
      <c r="AE594" s="3666">
        <v>0</v>
      </c>
      <c r="AF594" s="820">
        <f t="shared" si="1435"/>
        <v>0</v>
      </c>
      <c r="AG594" s="820">
        <f t="shared" si="1433"/>
        <v>0</v>
      </c>
      <c r="AH594" s="401">
        <f t="shared" si="1427"/>
        <v>0</v>
      </c>
      <c r="AI594" s="401">
        <f t="shared" si="1428"/>
        <v>0</v>
      </c>
      <c r="AJ594" s="401">
        <f t="shared" si="1429"/>
        <v>0</v>
      </c>
      <c r="AK594" s="820">
        <f t="shared" si="1430"/>
        <v>0</v>
      </c>
      <c r="AL594" s="820">
        <f t="shared" si="1424"/>
        <v>0</v>
      </c>
      <c r="AM594" s="820">
        <f t="shared" ref="AM594:AN594" si="1436">AL594*(1+AM$883)</f>
        <v>0</v>
      </c>
      <c r="AN594" s="820">
        <f t="shared" si="1436"/>
        <v>0</v>
      </c>
    </row>
    <row r="595" spans="1:40" s="5" customFormat="1">
      <c r="A595" s="402" t="str">
        <f>A$21</f>
        <v>Homewood Suites by Hilton (Upscale)</v>
      </c>
      <c r="B595" s="1031">
        <v>0</v>
      </c>
      <c r="C595" s="1029">
        <v>0</v>
      </c>
      <c r="D595" s="1031">
        <v>0</v>
      </c>
      <c r="E595" s="1039">
        <v>0</v>
      </c>
      <c r="F595" s="1039">
        <v>0</v>
      </c>
      <c r="G595" s="1042">
        <v>0</v>
      </c>
      <c r="H595" s="700">
        <f t="shared" si="1415"/>
        <v>0</v>
      </c>
      <c r="I595" s="1031">
        <v>0</v>
      </c>
      <c r="J595" s="1039">
        <v>0</v>
      </c>
      <c r="K595" s="1039">
        <v>0</v>
      </c>
      <c r="L595" s="1042">
        <v>0</v>
      </c>
      <c r="M595" s="700">
        <f t="shared" si="1416"/>
        <v>0</v>
      </c>
      <c r="N595" s="1031">
        <v>0</v>
      </c>
      <c r="O595" s="1039">
        <v>0</v>
      </c>
      <c r="P595" s="1039">
        <v>0</v>
      </c>
      <c r="Q595" s="1042">
        <v>0</v>
      </c>
      <c r="R595" s="700">
        <f t="shared" si="1404"/>
        <v>0</v>
      </c>
      <c r="S595" s="1031">
        <v>0</v>
      </c>
      <c r="T595" s="1039">
        <v>0</v>
      </c>
      <c r="U595" s="1039">
        <v>0</v>
      </c>
      <c r="V595" s="1039">
        <v>0</v>
      </c>
      <c r="W595" s="403">
        <f t="shared" si="1405"/>
        <v>0</v>
      </c>
      <c r="X595" s="2794">
        <v>0</v>
      </c>
      <c r="Y595" s="2794">
        <v>0</v>
      </c>
      <c r="Z595" s="2794">
        <v>0</v>
      </c>
      <c r="AA595" s="2794">
        <v>0</v>
      </c>
      <c r="AB595" s="403">
        <f t="shared" si="1406"/>
        <v>0</v>
      </c>
      <c r="AC595" s="615">
        <f>AB595*(1+AC$884)</f>
        <v>0</v>
      </c>
      <c r="AD595" s="615">
        <f>AC595*(1+AD$884)</f>
        <v>0</v>
      </c>
      <c r="AE595" s="4005">
        <v>0</v>
      </c>
      <c r="AF595" s="700">
        <f>AE595*(1+AF$884)</f>
        <v>0</v>
      </c>
      <c r="AG595" s="700">
        <f t="shared" si="1408"/>
        <v>0</v>
      </c>
      <c r="AH595" s="615">
        <f t="shared" si="1427"/>
        <v>0</v>
      </c>
      <c r="AI595" s="615">
        <f t="shared" si="1428"/>
        <v>0</v>
      </c>
      <c r="AJ595" s="615">
        <f>AI595*(1+AJ$884)</f>
        <v>0</v>
      </c>
      <c r="AK595" s="700">
        <f>AJ595*(1+AK$884)</f>
        <v>0</v>
      </c>
      <c r="AL595" s="700">
        <f t="shared" si="1424"/>
        <v>0</v>
      </c>
      <c r="AM595" s="700">
        <f>AL595*(1+AM$883)</f>
        <v>0</v>
      </c>
      <c r="AN595" s="700">
        <f>AM595*(1+AN$883)</f>
        <v>0</v>
      </c>
    </row>
    <row r="596" spans="1:40">
      <c r="A596" s="482" t="s">
        <v>1687</v>
      </c>
      <c r="B596" s="1032">
        <f t="shared" ref="B596:R596" si="1437">SUM(B583:B595)</f>
        <v>18251</v>
      </c>
      <c r="C596" s="400">
        <f t="shared" si="1437"/>
        <v>20867</v>
      </c>
      <c r="D596" s="1032">
        <f t="shared" si="1437"/>
        <v>21720</v>
      </c>
      <c r="E596" s="405">
        <f t="shared" si="1437"/>
        <v>22044</v>
      </c>
      <c r="F596" s="405">
        <f t="shared" si="1437"/>
        <v>22292</v>
      </c>
      <c r="G596" s="821">
        <f t="shared" si="1437"/>
        <v>23394</v>
      </c>
      <c r="H596" s="821">
        <f t="shared" si="1437"/>
        <v>23394</v>
      </c>
      <c r="I596" s="1032">
        <f t="shared" si="1437"/>
        <v>23531</v>
      </c>
      <c r="J596" s="405">
        <f t="shared" si="1437"/>
        <v>22465</v>
      </c>
      <c r="K596" s="405">
        <f t="shared" si="1437"/>
        <v>23071</v>
      </c>
      <c r="L596" s="821">
        <f t="shared" si="1437"/>
        <v>23797</v>
      </c>
      <c r="M596" s="821">
        <f t="shared" si="1437"/>
        <v>23797</v>
      </c>
      <c r="N596" s="1032">
        <f t="shared" si="1437"/>
        <v>25632</v>
      </c>
      <c r="O596" s="405">
        <f t="shared" si="1437"/>
        <v>26720</v>
      </c>
      <c r="P596" s="405">
        <f t="shared" si="1437"/>
        <v>26718</v>
      </c>
      <c r="Q596" s="821">
        <f t="shared" si="1437"/>
        <v>25743</v>
      </c>
      <c r="R596" s="821">
        <f t="shared" si="1437"/>
        <v>25743</v>
      </c>
      <c r="S596" s="1032">
        <f t="shared" ref="S596:AB596" si="1438">SUM(S583:S595)</f>
        <v>26029</v>
      </c>
      <c r="T596" s="405">
        <f t="shared" si="1438"/>
        <v>25211</v>
      </c>
      <c r="U596" s="405">
        <f>SUM(U583:U595)</f>
        <v>25249</v>
      </c>
      <c r="V596" s="405">
        <f>SUM(V583:V595)</f>
        <v>26554</v>
      </c>
      <c r="W596" s="400">
        <f t="shared" si="1438"/>
        <v>26554</v>
      </c>
      <c r="X596" s="399">
        <f t="shared" si="1438"/>
        <v>25101</v>
      </c>
      <c r="Y596" s="399">
        <f>SUM(Y583:Y595)</f>
        <v>25202</v>
      </c>
      <c r="Z596" s="399">
        <f>SUM(Z583:Z595)</f>
        <v>25560</v>
      </c>
      <c r="AA596" s="399">
        <f>SUM(AA583:AA595)</f>
        <v>25533</v>
      </c>
      <c r="AB596" s="400">
        <f t="shared" si="1438"/>
        <v>25533</v>
      </c>
      <c r="AC596" s="399">
        <f t="shared" ref="AC596:AN596" si="1439">SUM(AC583:AC595)</f>
        <v>28253.33</v>
      </c>
      <c r="AD596" s="399">
        <f t="shared" si="1439"/>
        <v>28531.038131907069</v>
      </c>
      <c r="AE596" s="399">
        <f t="shared" si="1439"/>
        <v>27639</v>
      </c>
      <c r="AF596" s="821">
        <f t="shared" si="1439"/>
        <v>27825</v>
      </c>
      <c r="AG596" s="400">
        <f t="shared" si="1439"/>
        <v>27825</v>
      </c>
      <c r="AH596" s="399">
        <f t="shared" si="1439"/>
        <v>28239.539999999994</v>
      </c>
      <c r="AI596" s="399">
        <f t="shared" si="1439"/>
        <v>28660.2981</v>
      </c>
      <c r="AJ596" s="399">
        <f t="shared" ref="AJ596:AL596" si="1440">SUM(AJ583:AJ595)</f>
        <v>29087.367571499995</v>
      </c>
      <c r="AK596" s="821">
        <f t="shared" si="1440"/>
        <v>29520.843085072491</v>
      </c>
      <c r="AL596" s="400">
        <f t="shared" si="1440"/>
        <v>29520.843085072491</v>
      </c>
      <c r="AM596" s="821">
        <f t="shared" si="1439"/>
        <v>30840.776023900751</v>
      </c>
      <c r="AN596" s="821">
        <f t="shared" si="1439"/>
        <v>31760.329304617771</v>
      </c>
    </row>
    <row r="597" spans="1:40">
      <c r="A597" s="130"/>
      <c r="B597" s="1033"/>
      <c r="C597" s="398"/>
      <c r="D597" s="1033"/>
      <c r="E597" s="406"/>
      <c r="F597" s="406"/>
      <c r="G597" s="820"/>
      <c r="H597" s="820"/>
      <c r="I597" s="1033"/>
      <c r="J597" s="406"/>
      <c r="K597" s="406"/>
      <c r="L597" s="820"/>
      <c r="M597" s="820"/>
      <c r="N597" s="401"/>
      <c r="O597" s="406"/>
      <c r="P597" s="406"/>
      <c r="Q597" s="820"/>
      <c r="R597" s="820"/>
      <c r="S597" s="1033"/>
      <c r="T597" s="406"/>
      <c r="U597" s="406"/>
      <c r="V597" s="406"/>
      <c r="W597" s="398"/>
      <c r="X597" s="401"/>
      <c r="Y597" s="401"/>
      <c r="Z597" s="401"/>
      <c r="AA597" s="401"/>
      <c r="AB597" s="398"/>
      <c r="AC597" s="401"/>
      <c r="AD597" s="401"/>
      <c r="AE597" s="401"/>
      <c r="AF597" s="820"/>
      <c r="AG597" s="398"/>
      <c r="AH597" s="401"/>
      <c r="AI597" s="401"/>
      <c r="AJ597" s="401"/>
      <c r="AK597" s="820"/>
      <c r="AL597" s="398"/>
      <c r="AM597" s="820"/>
      <c r="AN597" s="820"/>
    </row>
    <row r="598" spans="1:40">
      <c r="A598" s="295" t="s">
        <v>1284</v>
      </c>
      <c r="B598" s="1033"/>
      <c r="C598" s="398"/>
      <c r="D598" s="1033"/>
      <c r="E598" s="406"/>
      <c r="F598" s="406"/>
      <c r="G598" s="820"/>
      <c r="H598" s="820"/>
      <c r="I598" s="1033"/>
      <c r="J598" s="406"/>
      <c r="K598" s="406"/>
      <c r="L598" s="820"/>
      <c r="M598" s="820"/>
      <c r="N598" s="401"/>
      <c r="O598" s="406"/>
      <c r="P598" s="406"/>
      <c r="Q598" s="820"/>
      <c r="R598" s="820"/>
      <c r="S598" s="1033"/>
      <c r="T598" s="406"/>
      <c r="U598" s="406"/>
      <c r="V598" s="406"/>
      <c r="W598" s="398"/>
      <c r="X598" s="401"/>
      <c r="Y598" s="401"/>
      <c r="Z598" s="401"/>
      <c r="AA598" s="401"/>
      <c r="AB598" s="398"/>
      <c r="AC598" s="401"/>
      <c r="AD598" s="401"/>
      <c r="AE598" s="401"/>
      <c r="AF598" s="820"/>
      <c r="AG598" s="398"/>
      <c r="AH598" s="401"/>
      <c r="AI598" s="401"/>
      <c r="AJ598" s="401"/>
      <c r="AK598" s="820"/>
      <c r="AL598" s="398"/>
      <c r="AM598" s="820"/>
      <c r="AN598" s="820"/>
    </row>
    <row r="599" spans="1:40">
      <c r="A599" s="130" t="str">
        <f>A$9</f>
        <v>Waldorf Astoria Hotels &amp; Resorts (Luxury)</v>
      </c>
      <c r="B599" s="1030">
        <v>64</v>
      </c>
      <c r="C599" s="508">
        <v>0</v>
      </c>
      <c r="D599" s="1030">
        <v>0</v>
      </c>
      <c r="E599" s="912">
        <v>0</v>
      </c>
      <c r="F599" s="912">
        <v>0</v>
      </c>
      <c r="G599" s="1041">
        <v>0</v>
      </c>
      <c r="H599" s="820">
        <f>G599</f>
        <v>0</v>
      </c>
      <c r="I599" s="1030">
        <v>0</v>
      </c>
      <c r="J599" s="912">
        <v>0</v>
      </c>
      <c r="K599" s="912">
        <v>0</v>
      </c>
      <c r="L599" s="1041">
        <v>0</v>
      </c>
      <c r="M599" s="820">
        <f>L599</f>
        <v>0</v>
      </c>
      <c r="N599" s="1030">
        <v>0</v>
      </c>
      <c r="O599" s="912">
        <v>0</v>
      </c>
      <c r="P599" s="912">
        <v>0</v>
      </c>
      <c r="Q599" s="1041">
        <v>0</v>
      </c>
      <c r="R599" s="820">
        <f t="shared" ref="R599:R611" si="1441">Q599</f>
        <v>0</v>
      </c>
      <c r="S599" s="1030">
        <v>0</v>
      </c>
      <c r="T599" s="912">
        <v>0</v>
      </c>
      <c r="U599" s="912">
        <v>0</v>
      </c>
      <c r="V599" s="912">
        <v>0</v>
      </c>
      <c r="W599" s="398">
        <f t="shared" ref="W599:W611" si="1442">V599</f>
        <v>0</v>
      </c>
      <c r="X599" s="2792">
        <v>0</v>
      </c>
      <c r="Y599" s="2792">
        <v>0</v>
      </c>
      <c r="Z599" s="2792">
        <v>0</v>
      </c>
      <c r="AA599" s="2792">
        <v>0</v>
      </c>
      <c r="AB599" s="398">
        <f t="shared" ref="AB599:AB611" si="1443">AA599</f>
        <v>0</v>
      </c>
      <c r="AC599" s="401">
        <f t="shared" ref="AC599:AF601" si="1444">AB599*(1+AC$913)</f>
        <v>0</v>
      </c>
      <c r="AD599" s="401">
        <f t="shared" si="1444"/>
        <v>0</v>
      </c>
      <c r="AE599" s="3666">
        <v>0</v>
      </c>
      <c r="AF599" s="820">
        <f t="shared" si="1444"/>
        <v>0</v>
      </c>
      <c r="AG599" s="820">
        <f t="shared" ref="AG599:AG611" si="1445">AF599</f>
        <v>0</v>
      </c>
      <c r="AH599" s="401">
        <f t="shared" ref="AH599:AH600" si="1446">AG599*(1+AH$913)</f>
        <v>0</v>
      </c>
      <c r="AI599" s="401">
        <f t="shared" ref="AI599:AI600" si="1447">AH599*(1+AI$913)</f>
        <v>0</v>
      </c>
      <c r="AJ599" s="401">
        <f t="shared" ref="AJ599:AJ600" si="1448">AI599*(1+AJ$913)</f>
        <v>0</v>
      </c>
      <c r="AK599" s="820">
        <f t="shared" ref="AK599:AK600" si="1449">AJ599*(1+AK$913)</f>
        <v>0</v>
      </c>
      <c r="AL599" s="820">
        <f t="shared" ref="AL599:AL600" si="1450">AK599</f>
        <v>0</v>
      </c>
      <c r="AM599" s="398">
        <f t="shared" ref="AM599:AN600" si="1451">AL599*(1+AM$912)</f>
        <v>0</v>
      </c>
      <c r="AN599" s="398">
        <f t="shared" si="1451"/>
        <v>0</v>
      </c>
    </row>
    <row r="600" spans="1:40">
      <c r="A600" s="130" t="str">
        <f>A$10</f>
        <v>Conrad Hotels &amp; Resorts (Luxury)</v>
      </c>
      <c r="B600" s="1030">
        <v>0</v>
      </c>
      <c r="C600" s="508">
        <v>0</v>
      </c>
      <c r="D600" s="1030">
        <v>0</v>
      </c>
      <c r="E600" s="912">
        <v>0</v>
      </c>
      <c r="F600" s="912">
        <v>0</v>
      </c>
      <c r="G600" s="1041">
        <v>0</v>
      </c>
      <c r="H600" s="820">
        <f t="shared" ref="H600:H611" si="1452">G600</f>
        <v>0</v>
      </c>
      <c r="I600" s="1030">
        <v>0</v>
      </c>
      <c r="J600" s="912">
        <v>0</v>
      </c>
      <c r="K600" s="912">
        <v>0</v>
      </c>
      <c r="L600" s="1041">
        <v>0</v>
      </c>
      <c r="M600" s="820">
        <f t="shared" ref="M600:M611" si="1453">L600</f>
        <v>0</v>
      </c>
      <c r="N600" s="1030">
        <v>0</v>
      </c>
      <c r="O600" s="912">
        <v>0</v>
      </c>
      <c r="P600" s="912">
        <v>256</v>
      </c>
      <c r="Q600" s="1041">
        <v>256</v>
      </c>
      <c r="R600" s="820">
        <f t="shared" si="1441"/>
        <v>256</v>
      </c>
      <c r="S600" s="1030">
        <v>256</v>
      </c>
      <c r="T600" s="912">
        <v>256</v>
      </c>
      <c r="U600" s="912">
        <v>256</v>
      </c>
      <c r="V600" s="912">
        <v>256</v>
      </c>
      <c r="W600" s="398">
        <f t="shared" si="1442"/>
        <v>256</v>
      </c>
      <c r="X600" s="2792">
        <v>256</v>
      </c>
      <c r="Y600" s="2792">
        <v>256</v>
      </c>
      <c r="Z600" s="2792">
        <v>256</v>
      </c>
      <c r="AA600" s="2792">
        <v>256</v>
      </c>
      <c r="AB600" s="398">
        <f t="shared" si="1443"/>
        <v>256</v>
      </c>
      <c r="AC600" s="401">
        <f t="shared" si="1444"/>
        <v>259.83999999999997</v>
      </c>
      <c r="AD600" s="401">
        <f t="shared" si="1444"/>
        <v>266.33599999999996</v>
      </c>
      <c r="AE600" s="3666">
        <v>256</v>
      </c>
      <c r="AF600" s="3666">
        <v>0</v>
      </c>
      <c r="AG600" s="398">
        <f t="shared" si="1445"/>
        <v>0</v>
      </c>
      <c r="AH600" s="401">
        <f t="shared" si="1446"/>
        <v>0</v>
      </c>
      <c r="AI600" s="401">
        <f t="shared" si="1447"/>
        <v>0</v>
      </c>
      <c r="AJ600" s="401">
        <f t="shared" si="1448"/>
        <v>0</v>
      </c>
      <c r="AK600" s="820">
        <f t="shared" si="1449"/>
        <v>0</v>
      </c>
      <c r="AL600" s="820">
        <f t="shared" si="1450"/>
        <v>0</v>
      </c>
      <c r="AM600" s="398">
        <f t="shared" si="1451"/>
        <v>0</v>
      </c>
      <c r="AN600" s="398">
        <f t="shared" si="1451"/>
        <v>0</v>
      </c>
    </row>
    <row r="601" spans="1:40">
      <c r="A601" s="1828" t="s">
        <v>3022</v>
      </c>
      <c r="B601" s="1030"/>
      <c r="C601" s="508"/>
      <c r="D601" s="1030"/>
      <c r="E601" s="912"/>
      <c r="F601" s="912"/>
      <c r="G601" s="1041"/>
      <c r="H601" s="820"/>
      <c r="I601" s="1030"/>
      <c r="J601" s="912"/>
      <c r="K601" s="912"/>
      <c r="L601" s="1041"/>
      <c r="M601" s="820"/>
      <c r="N601" s="1030"/>
      <c r="O601" s="912"/>
      <c r="P601" s="912"/>
      <c r="Q601" s="1041"/>
      <c r="R601" s="820"/>
      <c r="S601" s="1030"/>
      <c r="T601" s="912"/>
      <c r="U601" s="912"/>
      <c r="V601" s="912"/>
      <c r="W601" s="398"/>
      <c r="X601" s="2791"/>
      <c r="Y601" s="2791"/>
      <c r="Z601" s="2791"/>
      <c r="AA601" s="2791">
        <v>112</v>
      </c>
      <c r="AB601" s="398">
        <f t="shared" ref="AB601:AG601" si="1454">+AA601</f>
        <v>112</v>
      </c>
      <c r="AC601" s="2944">
        <f t="shared" si="1454"/>
        <v>112</v>
      </c>
      <c r="AD601" s="401">
        <f t="shared" si="1444"/>
        <v>114.79999999999998</v>
      </c>
      <c r="AE601" s="3665">
        <v>112</v>
      </c>
      <c r="AF601" s="3665">
        <v>112</v>
      </c>
      <c r="AG601" s="398">
        <f t="shared" si="1454"/>
        <v>112</v>
      </c>
      <c r="AH601" s="406">
        <f t="shared" ref="AH601" si="1455">+AG601</f>
        <v>112</v>
      </c>
      <c r="AI601" s="406">
        <f t="shared" ref="AI601" si="1456">+AH601</f>
        <v>112</v>
      </c>
      <c r="AJ601" s="406">
        <f t="shared" ref="AJ601" si="1457">+AI601</f>
        <v>112</v>
      </c>
      <c r="AK601" s="820">
        <f t="shared" ref="AK601" si="1458">+AJ601</f>
        <v>112</v>
      </c>
      <c r="AL601" s="398">
        <f t="shared" ref="AL601" si="1459">+AK601</f>
        <v>112</v>
      </c>
      <c r="AM601" s="398">
        <f>AL601</f>
        <v>112</v>
      </c>
      <c r="AN601" s="398">
        <f>AM601</f>
        <v>112</v>
      </c>
    </row>
    <row r="602" spans="1:40">
      <c r="A602" s="130" t="str">
        <f>A$12</f>
        <v>Hilton Hotels &amp; Resorts (Upper Up)</v>
      </c>
      <c r="B602" s="1030">
        <v>4184</v>
      </c>
      <c r="C602" s="508">
        <v>5250</v>
      </c>
      <c r="D602" s="1030">
        <v>5128</v>
      </c>
      <c r="E602" s="912">
        <v>5315</v>
      </c>
      <c r="F602" s="912">
        <v>5315</v>
      </c>
      <c r="G602" s="1041">
        <v>4421</v>
      </c>
      <c r="H602" s="820">
        <f t="shared" si="1452"/>
        <v>4421</v>
      </c>
      <c r="I602" s="1030">
        <v>4419</v>
      </c>
      <c r="J602" s="912">
        <v>5309</v>
      </c>
      <c r="K602" s="912">
        <v>5309</v>
      </c>
      <c r="L602" s="1041">
        <v>5309</v>
      </c>
      <c r="M602" s="820">
        <f t="shared" si="1453"/>
        <v>5309</v>
      </c>
      <c r="N602" s="1030">
        <v>5309</v>
      </c>
      <c r="O602" s="912">
        <v>5237</v>
      </c>
      <c r="P602" s="912">
        <v>5557</v>
      </c>
      <c r="Q602" s="1041">
        <v>7568</v>
      </c>
      <c r="R602" s="820">
        <f t="shared" si="1441"/>
        <v>7568</v>
      </c>
      <c r="S602" s="1030">
        <v>7448</v>
      </c>
      <c r="T602" s="912">
        <v>7587</v>
      </c>
      <c r="U602" s="912">
        <v>7587</v>
      </c>
      <c r="V602" s="912">
        <v>7879</v>
      </c>
      <c r="W602" s="398">
        <f t="shared" si="1442"/>
        <v>7879</v>
      </c>
      <c r="X602" s="2792">
        <v>9190</v>
      </c>
      <c r="Y602" s="2792">
        <v>9429</v>
      </c>
      <c r="Z602" s="2792">
        <v>9822</v>
      </c>
      <c r="AA602" s="2792">
        <v>8510</v>
      </c>
      <c r="AB602" s="398">
        <f t="shared" si="1443"/>
        <v>8510</v>
      </c>
      <c r="AC602" s="401">
        <f>AB602*(1+AC$913)</f>
        <v>8637.65</v>
      </c>
      <c r="AD602" s="401">
        <f>AC602*(1+AD$913)</f>
        <v>8853.5912499999995</v>
      </c>
      <c r="AE602" s="3666">
        <v>8609</v>
      </c>
      <c r="AF602" s="3666">
        <v>9430</v>
      </c>
      <c r="AG602" s="398">
        <f t="shared" si="1445"/>
        <v>9430</v>
      </c>
      <c r="AH602" s="401">
        <f t="shared" ref="AH602:AI602" si="1460">AG602*(1+AH$913)</f>
        <v>9524.2999999999993</v>
      </c>
      <c r="AI602" s="401">
        <f t="shared" si="1460"/>
        <v>9619.5429999999997</v>
      </c>
      <c r="AJ602" s="401">
        <f>AI602*(1+AJ$913)</f>
        <v>9763.8361449999993</v>
      </c>
      <c r="AK602" s="820">
        <f>AJ602*(1+AK$913)</f>
        <v>9910.2936871749989</v>
      </c>
      <c r="AL602" s="820">
        <f t="shared" ref="AL602:AL611" si="1461">AK602</f>
        <v>9910.2936871749989</v>
      </c>
      <c r="AM602" s="398">
        <f>AL602*(1+AM$912)</f>
        <v>10504.911308405499</v>
      </c>
      <c r="AN602" s="398">
        <f>AM602*(1+AN$912)</f>
        <v>11030.156873825774</v>
      </c>
    </row>
    <row r="603" spans="1:40">
      <c r="A603" s="130" t="str">
        <f>A$13</f>
        <v xml:space="preserve">Curio - A Collection by Hilton </v>
      </c>
      <c r="B603" s="1030"/>
      <c r="C603" s="508"/>
      <c r="D603" s="1030"/>
      <c r="E603" s="912"/>
      <c r="F603" s="912"/>
      <c r="G603" s="1041"/>
      <c r="H603" s="820"/>
      <c r="I603" s="1030"/>
      <c r="J603" s="912"/>
      <c r="K603" s="912"/>
      <c r="L603" s="1041"/>
      <c r="M603" s="820"/>
      <c r="N603" s="1030"/>
      <c r="O603" s="912"/>
      <c r="P603" s="912"/>
      <c r="Q603" s="1041"/>
      <c r="R603" s="820"/>
      <c r="S603" s="1030">
        <f>R603</f>
        <v>0</v>
      </c>
      <c r="T603" s="912">
        <v>0</v>
      </c>
      <c r="U603" s="912">
        <v>278</v>
      </c>
      <c r="V603" s="912">
        <v>278</v>
      </c>
      <c r="W603" s="398">
        <f t="shared" si="1442"/>
        <v>278</v>
      </c>
      <c r="X603" s="2792">
        <v>278</v>
      </c>
      <c r="Y603" s="2792">
        <v>278</v>
      </c>
      <c r="Z603" s="2792">
        <v>311</v>
      </c>
      <c r="AA603" s="2792">
        <v>311</v>
      </c>
      <c r="AB603" s="398">
        <f t="shared" si="1443"/>
        <v>311</v>
      </c>
      <c r="AC603" s="401">
        <f>AB603</f>
        <v>311</v>
      </c>
      <c r="AD603" s="401">
        <f>AC603</f>
        <v>311</v>
      </c>
      <c r="AE603" s="3666">
        <v>633</v>
      </c>
      <c r="AF603" s="3666">
        <v>764</v>
      </c>
      <c r="AG603" s="398">
        <f t="shared" si="1445"/>
        <v>764</v>
      </c>
      <c r="AH603" s="401">
        <f t="shared" ref="AH603:AI603" si="1462">AG603</f>
        <v>764</v>
      </c>
      <c r="AI603" s="401">
        <f t="shared" si="1462"/>
        <v>764</v>
      </c>
      <c r="AJ603" s="401">
        <f>AI603</f>
        <v>764</v>
      </c>
      <c r="AK603" s="820">
        <f>AJ603</f>
        <v>764</v>
      </c>
      <c r="AL603" s="820">
        <f t="shared" si="1461"/>
        <v>764</v>
      </c>
      <c r="AM603" s="398">
        <f>AL603</f>
        <v>764</v>
      </c>
      <c r="AN603" s="398">
        <f>AM603</f>
        <v>764</v>
      </c>
    </row>
    <row r="604" spans="1:40">
      <c r="A604" s="130" t="str">
        <f>A$14</f>
        <v>DoubleTree by Hilton (Upscale)</v>
      </c>
      <c r="B604" s="1030">
        <v>2217</v>
      </c>
      <c r="C604" s="508">
        <v>3593</v>
      </c>
      <c r="D604" s="1030">
        <v>3819</v>
      </c>
      <c r="E604" s="912">
        <v>3816</v>
      </c>
      <c r="F604" s="912">
        <v>4260</v>
      </c>
      <c r="G604" s="1041">
        <v>4592</v>
      </c>
      <c r="H604" s="820">
        <f t="shared" si="1452"/>
        <v>4592</v>
      </c>
      <c r="I604" s="1030">
        <v>4817</v>
      </c>
      <c r="J604" s="912">
        <v>5485</v>
      </c>
      <c r="K604" s="912">
        <v>5914</v>
      </c>
      <c r="L604" s="1041">
        <v>5523</v>
      </c>
      <c r="M604" s="820">
        <f t="shared" si="1453"/>
        <v>5523</v>
      </c>
      <c r="N604" s="1030">
        <v>5661</v>
      </c>
      <c r="O604" s="912">
        <v>6308</v>
      </c>
      <c r="P604" s="912">
        <v>6950</v>
      </c>
      <c r="Q604" s="1041">
        <v>7161</v>
      </c>
      <c r="R604" s="820">
        <f t="shared" si="1441"/>
        <v>7161</v>
      </c>
      <c r="S604" s="1030">
        <v>7267</v>
      </c>
      <c r="T604" s="912">
        <v>8073</v>
      </c>
      <c r="U604" s="912">
        <v>9161</v>
      </c>
      <c r="V604" s="912">
        <v>9665</v>
      </c>
      <c r="W604" s="398">
        <f t="shared" si="1442"/>
        <v>9665</v>
      </c>
      <c r="X604" s="2792">
        <v>10203</v>
      </c>
      <c r="Y604" s="2792">
        <v>10590</v>
      </c>
      <c r="Z604" s="2792">
        <v>10964</v>
      </c>
      <c r="AA604" s="2792">
        <v>12512</v>
      </c>
      <c r="AB604" s="398">
        <f t="shared" si="1443"/>
        <v>12512</v>
      </c>
      <c r="AC604" s="401">
        <f t="shared" ref="AC604:AF608" si="1463">AB604*(1+AC$913)</f>
        <v>12699.679999999998</v>
      </c>
      <c r="AD604" s="401">
        <f t="shared" si="1463"/>
        <v>13017.171999999997</v>
      </c>
      <c r="AE604" s="3666">
        <v>13635</v>
      </c>
      <c r="AF604" s="3666">
        <v>13984</v>
      </c>
      <c r="AG604" s="398">
        <f t="shared" si="1445"/>
        <v>13984</v>
      </c>
      <c r="AH604" s="401">
        <f t="shared" ref="AH604:AH611" si="1464">AG604*(1+AH$913)</f>
        <v>14123.84</v>
      </c>
      <c r="AI604" s="401">
        <f t="shared" ref="AI604:AI611" si="1465">AH604*(1+AI$913)</f>
        <v>14265.0784</v>
      </c>
      <c r="AJ604" s="401">
        <f t="shared" ref="AJ604:AJ610" si="1466">AI604*(1+AJ$913)</f>
        <v>14479.054575999999</v>
      </c>
      <c r="AK604" s="820">
        <f t="shared" ref="AK604:AK610" si="1467">AJ604*(1+AK$913)</f>
        <v>14696.240394639997</v>
      </c>
      <c r="AL604" s="820">
        <f t="shared" si="1461"/>
        <v>14696.240394639997</v>
      </c>
      <c r="AM604" s="398">
        <f t="shared" ref="AM604:AN608" si="1468">AL604*(1+AM$912)</f>
        <v>15578.014818318397</v>
      </c>
      <c r="AN604" s="398">
        <f t="shared" si="1468"/>
        <v>16356.915559234318</v>
      </c>
    </row>
    <row r="605" spans="1:40">
      <c r="A605" s="130" t="str">
        <f>A$15</f>
        <v>Embassy Suites Hotels (Upper Up)</v>
      </c>
      <c r="B605" s="1030">
        <v>0</v>
      </c>
      <c r="C605" s="508">
        <v>0</v>
      </c>
      <c r="D605" s="1030">
        <v>0</v>
      </c>
      <c r="E605" s="912">
        <v>0</v>
      </c>
      <c r="F605" s="912">
        <v>0</v>
      </c>
      <c r="G605" s="1041">
        <v>0</v>
      </c>
      <c r="H605" s="820">
        <f t="shared" si="1452"/>
        <v>0</v>
      </c>
      <c r="I605" s="1030">
        <v>0</v>
      </c>
      <c r="J605" s="912">
        <v>0</v>
      </c>
      <c r="K605" s="912">
        <v>0</v>
      </c>
      <c r="L605" s="1041">
        <v>0</v>
      </c>
      <c r="M605" s="820">
        <f t="shared" si="1453"/>
        <v>0</v>
      </c>
      <c r="N605" s="1030">
        <v>0</v>
      </c>
      <c r="O605" s="912">
        <v>0</v>
      </c>
      <c r="P605" s="912">
        <v>0</v>
      </c>
      <c r="Q605" s="1041">
        <v>0</v>
      </c>
      <c r="R605" s="820">
        <f t="shared" si="1441"/>
        <v>0</v>
      </c>
      <c r="S605" s="1030">
        <v>0</v>
      </c>
      <c r="T605" s="912">
        <v>0</v>
      </c>
      <c r="U605" s="912">
        <v>0</v>
      </c>
      <c r="V605" s="912">
        <v>0</v>
      </c>
      <c r="W605" s="398">
        <f t="shared" si="1442"/>
        <v>0</v>
      </c>
      <c r="X605" s="2792">
        <v>0</v>
      </c>
      <c r="Y605" s="2792">
        <v>0</v>
      </c>
      <c r="Z605" s="2792">
        <v>0</v>
      </c>
      <c r="AA605" s="2792">
        <v>0</v>
      </c>
      <c r="AB605" s="398">
        <f t="shared" si="1443"/>
        <v>0</v>
      </c>
      <c r="AC605" s="401">
        <f t="shared" si="1463"/>
        <v>0</v>
      </c>
      <c r="AD605" s="401">
        <f t="shared" si="1463"/>
        <v>0</v>
      </c>
      <c r="AE605" s="3666">
        <v>0</v>
      </c>
      <c r="AF605" s="406">
        <f t="shared" si="1463"/>
        <v>0</v>
      </c>
      <c r="AG605" s="398">
        <f t="shared" si="1445"/>
        <v>0</v>
      </c>
      <c r="AH605" s="401">
        <f t="shared" si="1464"/>
        <v>0</v>
      </c>
      <c r="AI605" s="401">
        <f t="shared" si="1465"/>
        <v>0</v>
      </c>
      <c r="AJ605" s="401">
        <f t="shared" si="1466"/>
        <v>0</v>
      </c>
      <c r="AK605" s="820">
        <f t="shared" si="1467"/>
        <v>0</v>
      </c>
      <c r="AL605" s="820">
        <f t="shared" si="1461"/>
        <v>0</v>
      </c>
      <c r="AM605" s="398">
        <f t="shared" si="1468"/>
        <v>0</v>
      </c>
      <c r="AN605" s="398">
        <f t="shared" si="1468"/>
        <v>0</v>
      </c>
    </row>
    <row r="606" spans="1:40">
      <c r="A606" s="130" t="str">
        <f>A$16</f>
        <v>Hilton Garden Inn (Upscale)</v>
      </c>
      <c r="B606" s="1030">
        <v>1229</v>
      </c>
      <c r="C606" s="508">
        <v>1055</v>
      </c>
      <c r="D606" s="1030">
        <v>903</v>
      </c>
      <c r="E606" s="912">
        <v>996</v>
      </c>
      <c r="F606" s="912">
        <v>1097</v>
      </c>
      <c r="G606" s="1041">
        <v>1097</v>
      </c>
      <c r="H606" s="820">
        <f t="shared" si="1452"/>
        <v>1097</v>
      </c>
      <c r="I606" s="1030">
        <v>1304</v>
      </c>
      <c r="J606" s="912">
        <v>1751</v>
      </c>
      <c r="K606" s="912">
        <v>1751</v>
      </c>
      <c r="L606" s="1041">
        <v>1751</v>
      </c>
      <c r="M606" s="820">
        <f t="shared" si="1453"/>
        <v>1751</v>
      </c>
      <c r="N606" s="1030">
        <v>1751</v>
      </c>
      <c r="O606" s="912">
        <v>1751</v>
      </c>
      <c r="P606" s="912">
        <v>1885</v>
      </c>
      <c r="Q606" s="1041">
        <v>2688</v>
      </c>
      <c r="R606" s="820">
        <f t="shared" si="1441"/>
        <v>2688</v>
      </c>
      <c r="S606" s="1030">
        <v>2688</v>
      </c>
      <c r="T606" s="912">
        <v>3902</v>
      </c>
      <c r="U606" s="912">
        <v>4168</v>
      </c>
      <c r="V606" s="912">
        <v>4453</v>
      </c>
      <c r="W606" s="398">
        <f t="shared" si="1442"/>
        <v>4453</v>
      </c>
      <c r="X606" s="2792">
        <v>4453</v>
      </c>
      <c r="Y606" s="2792">
        <v>5006</v>
      </c>
      <c r="Z606" s="2792">
        <v>5275</v>
      </c>
      <c r="AA606" s="2792">
        <v>5270</v>
      </c>
      <c r="AB606" s="398">
        <f t="shared" si="1443"/>
        <v>5270</v>
      </c>
      <c r="AC606" s="401">
        <f t="shared" si="1463"/>
        <v>5349.0499999999993</v>
      </c>
      <c r="AD606" s="401">
        <f t="shared" si="1463"/>
        <v>5482.776249999999</v>
      </c>
      <c r="AE606" s="3666">
        <v>5906</v>
      </c>
      <c r="AF606" s="3666">
        <v>6230</v>
      </c>
      <c r="AG606" s="398">
        <f t="shared" si="1445"/>
        <v>6230</v>
      </c>
      <c r="AH606" s="401">
        <f t="shared" si="1464"/>
        <v>6292.3</v>
      </c>
      <c r="AI606" s="401">
        <f t="shared" si="1465"/>
        <v>6355.223</v>
      </c>
      <c r="AJ606" s="401">
        <f t="shared" si="1466"/>
        <v>6450.5513449999989</v>
      </c>
      <c r="AK606" s="820">
        <f t="shared" si="1467"/>
        <v>6547.3096151749987</v>
      </c>
      <c r="AL606" s="820">
        <f t="shared" si="1461"/>
        <v>6547.3096151749987</v>
      </c>
      <c r="AM606" s="398">
        <f t="shared" si="1468"/>
        <v>6940.1481920854994</v>
      </c>
      <c r="AN606" s="398">
        <f t="shared" si="1468"/>
        <v>7287.1556016897748</v>
      </c>
    </row>
    <row r="607" spans="1:40">
      <c r="A607" s="130" t="str">
        <f>A$17</f>
        <v>Hampton Inn (Upper Mid)</v>
      </c>
      <c r="B607" s="1030">
        <v>857</v>
      </c>
      <c r="C607" s="508">
        <v>934</v>
      </c>
      <c r="D607" s="1030">
        <v>1158</v>
      </c>
      <c r="E607" s="912">
        <v>1550</v>
      </c>
      <c r="F607" s="912">
        <v>1550</v>
      </c>
      <c r="G607" s="1041">
        <v>1669</v>
      </c>
      <c r="H607" s="820">
        <f t="shared" si="1452"/>
        <v>1669</v>
      </c>
      <c r="I607" s="1030">
        <v>1669</v>
      </c>
      <c r="J607" s="912">
        <v>2224</v>
      </c>
      <c r="K607" s="912">
        <v>2488</v>
      </c>
      <c r="L607" s="1041">
        <v>2761</v>
      </c>
      <c r="M607" s="820">
        <f t="shared" si="1453"/>
        <v>2761</v>
      </c>
      <c r="N607" s="1030">
        <v>3530</v>
      </c>
      <c r="O607" s="912">
        <v>3530</v>
      </c>
      <c r="P607" s="912">
        <v>3530</v>
      </c>
      <c r="Q607" s="1041">
        <v>3610</v>
      </c>
      <c r="R607" s="820">
        <f t="shared" si="1441"/>
        <v>3610</v>
      </c>
      <c r="S607" s="1030">
        <v>3770</v>
      </c>
      <c r="T607" s="912">
        <v>4091</v>
      </c>
      <c r="U607" s="912">
        <v>4437</v>
      </c>
      <c r="V607" s="912">
        <v>4630</v>
      </c>
      <c r="W607" s="398">
        <f t="shared" si="1442"/>
        <v>4630</v>
      </c>
      <c r="X607" s="2792">
        <v>4716</v>
      </c>
      <c r="Y607" s="2792">
        <v>4879</v>
      </c>
      <c r="Z607" s="2792">
        <v>5027</v>
      </c>
      <c r="AA607" s="2792">
        <v>5108</v>
      </c>
      <c r="AB607" s="398">
        <f t="shared" si="1443"/>
        <v>5108</v>
      </c>
      <c r="AC607" s="401">
        <f t="shared" si="1463"/>
        <v>5184.62</v>
      </c>
      <c r="AD607" s="401">
        <f t="shared" si="1463"/>
        <v>5314.2354999999998</v>
      </c>
      <c r="AE607" s="3666">
        <v>7631</v>
      </c>
      <c r="AF607" s="3666">
        <v>8016</v>
      </c>
      <c r="AG607" s="398">
        <f t="shared" si="1445"/>
        <v>8016</v>
      </c>
      <c r="AH607" s="401">
        <f t="shared" si="1464"/>
        <v>8096.16</v>
      </c>
      <c r="AI607" s="401">
        <f t="shared" si="1465"/>
        <v>8177.1215999999995</v>
      </c>
      <c r="AJ607" s="401">
        <f t="shared" si="1466"/>
        <v>8299.7784239999983</v>
      </c>
      <c r="AK607" s="820">
        <f t="shared" si="1467"/>
        <v>8424.2751003599969</v>
      </c>
      <c r="AL607" s="820">
        <f t="shared" si="1461"/>
        <v>8424.2751003599969</v>
      </c>
      <c r="AM607" s="398">
        <f t="shared" si="1468"/>
        <v>8929.7316063815979</v>
      </c>
      <c r="AN607" s="398">
        <f t="shared" si="1468"/>
        <v>9376.2181867006784</v>
      </c>
    </row>
    <row r="608" spans="1:40">
      <c r="A608" s="130" t="s">
        <v>1408</v>
      </c>
      <c r="B608" s="1030">
        <v>0</v>
      </c>
      <c r="C608" s="508">
        <v>0</v>
      </c>
      <c r="D608" s="1030">
        <v>0</v>
      </c>
      <c r="E608" s="912">
        <v>0</v>
      </c>
      <c r="F608" s="912">
        <v>0</v>
      </c>
      <c r="G608" s="1041">
        <v>0</v>
      </c>
      <c r="H608" s="820">
        <f t="shared" si="1452"/>
        <v>0</v>
      </c>
      <c r="I608" s="1030">
        <v>0</v>
      </c>
      <c r="J608" s="912">
        <v>0</v>
      </c>
      <c r="K608" s="912">
        <v>0</v>
      </c>
      <c r="L608" s="1041">
        <v>0</v>
      </c>
      <c r="M608" s="820">
        <f t="shared" si="1453"/>
        <v>0</v>
      </c>
      <c r="N608" s="1030">
        <v>0</v>
      </c>
      <c r="O608" s="912">
        <v>0</v>
      </c>
      <c r="P608" s="912">
        <v>0</v>
      </c>
      <c r="Q608" s="1041">
        <v>0</v>
      </c>
      <c r="R608" s="820">
        <f t="shared" si="1441"/>
        <v>0</v>
      </c>
      <c r="S608" s="1030">
        <v>0</v>
      </c>
      <c r="T608" s="912">
        <v>0</v>
      </c>
      <c r="U608" s="912">
        <v>0</v>
      </c>
      <c r="V608" s="912">
        <v>0</v>
      </c>
      <c r="W608" s="398">
        <f t="shared" si="1442"/>
        <v>0</v>
      </c>
      <c r="X608" s="2792">
        <v>0</v>
      </c>
      <c r="Y608" s="2792">
        <v>0</v>
      </c>
      <c r="Z608" s="2792">
        <v>0</v>
      </c>
      <c r="AA608" s="2792">
        <v>0</v>
      </c>
      <c r="AB608" s="398">
        <f t="shared" si="1443"/>
        <v>0</v>
      </c>
      <c r="AC608" s="401">
        <f t="shared" si="1463"/>
        <v>0</v>
      </c>
      <c r="AD608" s="401">
        <f t="shared" si="1463"/>
        <v>0</v>
      </c>
      <c r="AE608" s="3666">
        <f t="shared" si="1463"/>
        <v>0</v>
      </c>
      <c r="AF608" s="820">
        <f t="shared" si="1463"/>
        <v>0</v>
      </c>
      <c r="AG608" s="820">
        <f t="shared" si="1445"/>
        <v>0</v>
      </c>
      <c r="AH608" s="401">
        <f t="shared" si="1464"/>
        <v>0</v>
      </c>
      <c r="AI608" s="401">
        <f t="shared" si="1465"/>
        <v>0</v>
      </c>
      <c r="AJ608" s="401">
        <f t="shared" si="1466"/>
        <v>0</v>
      </c>
      <c r="AK608" s="820">
        <f t="shared" si="1467"/>
        <v>0</v>
      </c>
      <c r="AL608" s="820">
        <f t="shared" si="1461"/>
        <v>0</v>
      </c>
      <c r="AM608" s="820">
        <f t="shared" si="1468"/>
        <v>0</v>
      </c>
      <c r="AN608" s="820">
        <f t="shared" si="1468"/>
        <v>0</v>
      </c>
    </row>
    <row r="609" spans="1:40">
      <c r="A609" s="130" t="str">
        <f>$A$90</f>
        <v>Tru by Hilton</v>
      </c>
      <c r="B609" s="1030"/>
      <c r="C609" s="508"/>
      <c r="D609" s="1030"/>
      <c r="E609" s="912"/>
      <c r="F609" s="912"/>
      <c r="G609" s="1041"/>
      <c r="H609" s="820"/>
      <c r="I609" s="1030"/>
      <c r="J609" s="912"/>
      <c r="K609" s="912"/>
      <c r="L609" s="1041"/>
      <c r="M609" s="820"/>
      <c r="N609" s="1030"/>
      <c r="O609" s="912"/>
      <c r="P609" s="912"/>
      <c r="Q609" s="1041"/>
      <c r="R609" s="820"/>
      <c r="S609" s="1030"/>
      <c r="T609" s="912"/>
      <c r="U609" s="912"/>
      <c r="V609" s="912"/>
      <c r="W609" s="398"/>
      <c r="X609" s="2791"/>
      <c r="Y609" s="2791"/>
      <c r="Z609" s="2791"/>
      <c r="AA609" s="2791"/>
      <c r="AB609" s="398"/>
      <c r="AC609" s="401">
        <f t="shared" ref="AC609:AF609" si="1469">AB609*(1+AC$913)</f>
        <v>0</v>
      </c>
      <c r="AD609" s="401">
        <f t="shared" si="1469"/>
        <v>0</v>
      </c>
      <c r="AE609" s="3666">
        <f t="shared" si="1469"/>
        <v>0</v>
      </c>
      <c r="AF609" s="820">
        <f t="shared" si="1469"/>
        <v>0</v>
      </c>
      <c r="AG609" s="820">
        <f t="shared" ref="AG609:AG610" si="1470">AF609</f>
        <v>0</v>
      </c>
      <c r="AH609" s="401">
        <f t="shared" si="1464"/>
        <v>0</v>
      </c>
      <c r="AI609" s="401">
        <f t="shared" si="1465"/>
        <v>0</v>
      </c>
      <c r="AJ609" s="401">
        <f t="shared" si="1466"/>
        <v>0</v>
      </c>
      <c r="AK609" s="820">
        <f t="shared" si="1467"/>
        <v>0</v>
      </c>
      <c r="AL609" s="820">
        <f t="shared" si="1461"/>
        <v>0</v>
      </c>
      <c r="AM609" s="820">
        <f t="shared" ref="AM609:AN609" si="1471">AL609*(1+AM$912)</f>
        <v>0</v>
      </c>
      <c r="AN609" s="820">
        <f t="shared" si="1471"/>
        <v>0</v>
      </c>
    </row>
    <row r="610" spans="1:40">
      <c r="A610" s="130" t="str">
        <f>$A$91</f>
        <v>Tapestry Collection by Hilton</v>
      </c>
      <c r="B610" s="1030"/>
      <c r="C610" s="508"/>
      <c r="D610" s="1030"/>
      <c r="E610" s="912"/>
      <c r="F610" s="912"/>
      <c r="G610" s="1041"/>
      <c r="H610" s="820"/>
      <c r="I610" s="1030"/>
      <c r="J610" s="912"/>
      <c r="K610" s="912"/>
      <c r="L610" s="1041"/>
      <c r="M610" s="820"/>
      <c r="N610" s="1030"/>
      <c r="O610" s="912"/>
      <c r="P610" s="912"/>
      <c r="Q610" s="1041"/>
      <c r="R610" s="820"/>
      <c r="S610" s="1030"/>
      <c r="T610" s="912"/>
      <c r="U610" s="912"/>
      <c r="V610" s="912"/>
      <c r="W610" s="398"/>
      <c r="X610" s="2791"/>
      <c r="Y610" s="2791"/>
      <c r="Z610" s="2791"/>
      <c r="AA610" s="2791"/>
      <c r="AB610" s="398"/>
      <c r="AC610" s="401">
        <f t="shared" ref="AC610:AF610" si="1472">AB610*(1+AC$913)</f>
        <v>0</v>
      </c>
      <c r="AD610" s="401">
        <f t="shared" si="1472"/>
        <v>0</v>
      </c>
      <c r="AE610" s="3666">
        <f t="shared" si="1472"/>
        <v>0</v>
      </c>
      <c r="AF610" s="820">
        <f t="shared" si="1472"/>
        <v>0</v>
      </c>
      <c r="AG610" s="820">
        <f t="shared" si="1470"/>
        <v>0</v>
      </c>
      <c r="AH610" s="401">
        <f t="shared" si="1464"/>
        <v>0</v>
      </c>
      <c r="AI610" s="401">
        <f t="shared" si="1465"/>
        <v>0</v>
      </c>
      <c r="AJ610" s="401">
        <f t="shared" si="1466"/>
        <v>0</v>
      </c>
      <c r="AK610" s="820">
        <f t="shared" si="1467"/>
        <v>0</v>
      </c>
      <c r="AL610" s="820">
        <f t="shared" si="1461"/>
        <v>0</v>
      </c>
      <c r="AM610" s="820">
        <f t="shared" ref="AM610:AN610" si="1473">AL610*(1+AM$912)</f>
        <v>0</v>
      </c>
      <c r="AN610" s="820">
        <f t="shared" si="1473"/>
        <v>0</v>
      </c>
    </row>
    <row r="611" spans="1:40" s="5" customFormat="1" collapsed="1">
      <c r="A611" s="402" t="str">
        <f>A$21</f>
        <v>Homewood Suites by Hilton (Upscale)</v>
      </c>
      <c r="B611" s="1031">
        <v>0</v>
      </c>
      <c r="C611" s="1029">
        <v>0</v>
      </c>
      <c r="D611" s="1031">
        <v>0</v>
      </c>
      <c r="E611" s="1039">
        <v>0</v>
      </c>
      <c r="F611" s="1039">
        <v>0</v>
      </c>
      <c r="G611" s="1042">
        <v>0</v>
      </c>
      <c r="H611" s="700">
        <f t="shared" si="1452"/>
        <v>0</v>
      </c>
      <c r="I611" s="1031">
        <v>0</v>
      </c>
      <c r="J611" s="1039">
        <v>0</v>
      </c>
      <c r="K611" s="1039">
        <v>0</v>
      </c>
      <c r="L611" s="1042">
        <v>0</v>
      </c>
      <c r="M611" s="700">
        <f t="shared" si="1453"/>
        <v>0</v>
      </c>
      <c r="N611" s="1031">
        <v>0</v>
      </c>
      <c r="O611" s="1039">
        <v>0</v>
      </c>
      <c r="P611" s="1039">
        <v>0</v>
      </c>
      <c r="Q611" s="1042">
        <v>0</v>
      </c>
      <c r="R611" s="700">
        <f t="shared" si="1441"/>
        <v>0</v>
      </c>
      <c r="S611" s="1031">
        <v>0</v>
      </c>
      <c r="T611" s="1039">
        <v>0</v>
      </c>
      <c r="U611" s="1039">
        <v>0</v>
      </c>
      <c r="V611" s="1039">
        <v>0</v>
      </c>
      <c r="W611" s="403">
        <f t="shared" si="1442"/>
        <v>0</v>
      </c>
      <c r="X611" s="2794">
        <v>0</v>
      </c>
      <c r="Y611" s="2794">
        <v>0</v>
      </c>
      <c r="Z611" s="2794">
        <v>0</v>
      </c>
      <c r="AA611" s="2794">
        <v>0</v>
      </c>
      <c r="AB611" s="403">
        <f t="shared" si="1443"/>
        <v>0</v>
      </c>
      <c r="AC611" s="615">
        <f>AB611*(1+AC$913)</f>
        <v>0</v>
      </c>
      <c r="AD611" s="615">
        <f>AC611*(1+AD$913)</f>
        <v>0</v>
      </c>
      <c r="AE611" s="4005">
        <f>AD611*(1+AE$913)</f>
        <v>0</v>
      </c>
      <c r="AF611" s="700">
        <f>AE611*(1+AF$913)</f>
        <v>0</v>
      </c>
      <c r="AG611" s="700">
        <f t="shared" si="1445"/>
        <v>0</v>
      </c>
      <c r="AH611" s="615">
        <f t="shared" si="1464"/>
        <v>0</v>
      </c>
      <c r="AI611" s="615">
        <f t="shared" si="1465"/>
        <v>0</v>
      </c>
      <c r="AJ611" s="615">
        <f>AI611*(1+AJ$913)</f>
        <v>0</v>
      </c>
      <c r="AK611" s="700">
        <f>AJ611*(1+AK$913)</f>
        <v>0</v>
      </c>
      <c r="AL611" s="700">
        <f t="shared" si="1461"/>
        <v>0</v>
      </c>
      <c r="AM611" s="700">
        <f>AL611*(1+AM$912)</f>
        <v>0</v>
      </c>
      <c r="AN611" s="700">
        <f>AM611*(1+AN$912)</f>
        <v>0</v>
      </c>
    </row>
    <row r="612" spans="1:40">
      <c r="A612" s="482" t="s">
        <v>1687</v>
      </c>
      <c r="B612" s="1032">
        <f t="shared" ref="B612:AN612" si="1474">SUM(B599:B611)</f>
        <v>8551</v>
      </c>
      <c r="C612" s="400">
        <f t="shared" si="1474"/>
        <v>10832</v>
      </c>
      <c r="D612" s="1032">
        <f t="shared" si="1474"/>
        <v>11008</v>
      </c>
      <c r="E612" s="405">
        <f t="shared" si="1474"/>
        <v>11677</v>
      </c>
      <c r="F612" s="405">
        <f t="shared" si="1474"/>
        <v>12222</v>
      </c>
      <c r="G612" s="821">
        <f t="shared" si="1474"/>
        <v>11779</v>
      </c>
      <c r="H612" s="821">
        <f t="shared" si="1474"/>
        <v>11779</v>
      </c>
      <c r="I612" s="1032">
        <f t="shared" si="1474"/>
        <v>12209</v>
      </c>
      <c r="J612" s="405">
        <f t="shared" si="1474"/>
        <v>14769</v>
      </c>
      <c r="K612" s="405">
        <f t="shared" si="1474"/>
        <v>15462</v>
      </c>
      <c r="L612" s="821">
        <f t="shared" si="1474"/>
        <v>15344</v>
      </c>
      <c r="M612" s="821">
        <f t="shared" si="1474"/>
        <v>15344</v>
      </c>
      <c r="N612" s="399">
        <f t="shared" si="1474"/>
        <v>16251</v>
      </c>
      <c r="O612" s="399">
        <f t="shared" si="1474"/>
        <v>16826</v>
      </c>
      <c r="P612" s="399">
        <f t="shared" si="1474"/>
        <v>18178</v>
      </c>
      <c r="Q612" s="821">
        <f t="shared" si="1474"/>
        <v>21283</v>
      </c>
      <c r="R612" s="821">
        <f t="shared" si="1474"/>
        <v>21283</v>
      </c>
      <c r="S612" s="1032">
        <f t="shared" si="1474"/>
        <v>21429</v>
      </c>
      <c r="T612" s="405">
        <f t="shared" si="1474"/>
        <v>23909</v>
      </c>
      <c r="U612" s="405">
        <f t="shared" si="1474"/>
        <v>25887</v>
      </c>
      <c r="V612" s="405">
        <f t="shared" si="1474"/>
        <v>27161</v>
      </c>
      <c r="W612" s="400">
        <f t="shared" si="1474"/>
        <v>27161</v>
      </c>
      <c r="X612" s="399">
        <f t="shared" si="1474"/>
        <v>29096</v>
      </c>
      <c r="Y612" s="399">
        <f t="shared" si="1474"/>
        <v>30438</v>
      </c>
      <c r="Z612" s="399">
        <f t="shared" si="1474"/>
        <v>31655</v>
      </c>
      <c r="AA612" s="399">
        <f t="shared" si="1474"/>
        <v>32079</v>
      </c>
      <c r="AB612" s="400">
        <f t="shared" si="1474"/>
        <v>32079</v>
      </c>
      <c r="AC612" s="399">
        <f t="shared" si="1474"/>
        <v>32553.839999999997</v>
      </c>
      <c r="AD612" s="399">
        <f t="shared" si="1474"/>
        <v>33359.910999999993</v>
      </c>
      <c r="AE612" s="399">
        <f t="shared" si="1474"/>
        <v>36782</v>
      </c>
      <c r="AF612" s="821">
        <f t="shared" si="1474"/>
        <v>38536</v>
      </c>
      <c r="AG612" s="400">
        <f t="shared" si="1474"/>
        <v>38536</v>
      </c>
      <c r="AH612" s="399">
        <f t="shared" si="1474"/>
        <v>38912.6</v>
      </c>
      <c r="AI612" s="399">
        <f t="shared" si="1474"/>
        <v>39292.966</v>
      </c>
      <c r="AJ612" s="399">
        <f t="shared" ref="AJ612:AL612" si="1475">SUM(AJ599:AJ611)</f>
        <v>39869.220489999992</v>
      </c>
      <c r="AK612" s="821">
        <f t="shared" si="1475"/>
        <v>40454.118797349991</v>
      </c>
      <c r="AL612" s="400">
        <f t="shared" si="1475"/>
        <v>40454.118797349991</v>
      </c>
      <c r="AM612" s="821">
        <f t="shared" si="1474"/>
        <v>42828.805925190994</v>
      </c>
      <c r="AN612" s="821">
        <f t="shared" si="1474"/>
        <v>44926.446221450547</v>
      </c>
    </row>
    <row r="613" spans="1:40">
      <c r="A613" s="130"/>
      <c r="B613" s="1033"/>
      <c r="C613" s="398"/>
      <c r="D613" s="1033"/>
      <c r="E613" s="406"/>
      <c r="F613" s="406"/>
      <c r="G613" s="820"/>
      <c r="H613" s="820"/>
      <c r="I613" s="1033"/>
      <c r="J613" s="406"/>
      <c r="K613" s="406"/>
      <c r="L613" s="820"/>
      <c r="M613" s="820"/>
      <c r="N613" s="401"/>
      <c r="O613" s="401"/>
      <c r="P613" s="401"/>
      <c r="Q613" s="820"/>
      <c r="R613" s="398"/>
      <c r="S613" s="401"/>
      <c r="T613" s="401"/>
      <c r="U613" s="401"/>
      <c r="V613" s="406"/>
      <c r="W613" s="398"/>
      <c r="X613" s="401"/>
      <c r="Y613" s="401"/>
      <c r="Z613" s="401"/>
      <c r="AA613" s="401"/>
      <c r="AB613" s="398"/>
      <c r="AC613" s="401"/>
      <c r="AD613" s="401"/>
      <c r="AE613" s="401"/>
      <c r="AF613" s="820"/>
      <c r="AG613" s="398"/>
      <c r="AH613" s="401"/>
      <c r="AI613" s="401"/>
      <c r="AJ613" s="401"/>
      <c r="AK613" s="820"/>
      <c r="AL613" s="398"/>
      <c r="AM613" s="820"/>
      <c r="AN613" s="820"/>
    </row>
    <row r="614" spans="1:40">
      <c r="A614" s="295" t="s">
        <v>1786</v>
      </c>
      <c r="B614" s="1033"/>
      <c r="C614" s="398"/>
      <c r="D614" s="1033"/>
      <c r="E614" s="406"/>
      <c r="F614" s="406"/>
      <c r="G614" s="820"/>
      <c r="H614" s="820"/>
      <c r="I614" s="1033"/>
      <c r="J614" s="406"/>
      <c r="K614" s="406"/>
      <c r="L614" s="820"/>
      <c r="M614" s="820"/>
      <c r="N614" s="401"/>
      <c r="O614" s="401"/>
      <c r="P614" s="401"/>
      <c r="Q614" s="820"/>
      <c r="R614" s="398"/>
      <c r="S614" s="401"/>
      <c r="T614" s="401"/>
      <c r="U614" s="401"/>
      <c r="V614" s="406"/>
      <c r="W614" s="398"/>
      <c r="X614" s="401"/>
      <c r="Y614" s="401"/>
      <c r="Z614" s="401"/>
      <c r="AA614" s="401"/>
      <c r="AB614" s="398"/>
      <c r="AC614" s="401"/>
      <c r="AD614" s="401"/>
      <c r="AE614" s="401"/>
      <c r="AF614" s="820"/>
      <c r="AG614" s="398"/>
      <c r="AH614" s="401"/>
      <c r="AI614" s="401"/>
      <c r="AJ614" s="401"/>
      <c r="AK614" s="820"/>
      <c r="AL614" s="398"/>
      <c r="AM614" s="820"/>
      <c r="AN614" s="820"/>
    </row>
    <row r="615" spans="1:40">
      <c r="A615" s="130" t="str">
        <f>A$9</f>
        <v>Waldorf Astoria Hotels &amp; Resorts (Luxury)</v>
      </c>
      <c r="B615" s="1033">
        <f t="shared" ref="B615:AN615" si="1476">B599+B583+B567</f>
        <v>766</v>
      </c>
      <c r="C615" s="398">
        <f t="shared" si="1476"/>
        <v>706</v>
      </c>
      <c r="D615" s="1033">
        <f t="shared" si="1476"/>
        <v>706</v>
      </c>
      <c r="E615" s="406">
        <f t="shared" si="1476"/>
        <v>706</v>
      </c>
      <c r="F615" s="406">
        <f t="shared" si="1476"/>
        <v>947</v>
      </c>
      <c r="G615" s="820">
        <f t="shared" si="1476"/>
        <v>1179</v>
      </c>
      <c r="H615" s="820">
        <f t="shared" si="1476"/>
        <v>1179</v>
      </c>
      <c r="I615" s="1033">
        <f t="shared" si="1476"/>
        <v>1042</v>
      </c>
      <c r="J615" s="406">
        <f t="shared" si="1476"/>
        <v>1042</v>
      </c>
      <c r="K615" s="406">
        <f t="shared" si="1476"/>
        <v>1042</v>
      </c>
      <c r="L615" s="820">
        <f t="shared" si="1476"/>
        <v>1042</v>
      </c>
      <c r="M615" s="820">
        <f t="shared" si="1476"/>
        <v>1042</v>
      </c>
      <c r="N615" s="1033">
        <f t="shared" si="1476"/>
        <v>1042</v>
      </c>
      <c r="O615" s="401">
        <f t="shared" si="1476"/>
        <v>1361</v>
      </c>
      <c r="P615" s="401">
        <f t="shared" si="1476"/>
        <v>1361</v>
      </c>
      <c r="Q615" s="820">
        <f t="shared" si="1476"/>
        <v>1361</v>
      </c>
      <c r="R615" s="398">
        <f t="shared" si="1476"/>
        <v>1361</v>
      </c>
      <c r="S615" s="401">
        <f t="shared" si="1476"/>
        <v>1361</v>
      </c>
      <c r="T615" s="401">
        <f t="shared" si="1476"/>
        <v>1361</v>
      </c>
      <c r="U615" s="401">
        <f t="shared" si="1476"/>
        <v>1361</v>
      </c>
      <c r="V615" s="406">
        <f t="shared" si="1476"/>
        <v>1361</v>
      </c>
      <c r="W615" s="398">
        <f t="shared" si="1476"/>
        <v>1361</v>
      </c>
      <c r="X615" s="401">
        <f t="shared" si="1476"/>
        <v>1361</v>
      </c>
      <c r="Y615" s="401">
        <f t="shared" si="1476"/>
        <v>1361</v>
      </c>
      <c r="Z615" s="401">
        <f t="shared" si="1476"/>
        <v>1361</v>
      </c>
      <c r="AA615" s="401">
        <f t="shared" si="1476"/>
        <v>1361</v>
      </c>
      <c r="AB615" s="398">
        <f t="shared" si="1476"/>
        <v>1361</v>
      </c>
      <c r="AC615" s="3666">
        <v>1361</v>
      </c>
      <c r="AD615" s="3666">
        <v>1361</v>
      </c>
      <c r="AE615" s="401">
        <f t="shared" si="1476"/>
        <v>1361</v>
      </c>
      <c r="AF615" s="820">
        <f t="shared" si="1476"/>
        <v>1361</v>
      </c>
      <c r="AG615" s="398">
        <f t="shared" si="1476"/>
        <v>1361</v>
      </c>
      <c r="AH615" s="401">
        <f t="shared" si="1476"/>
        <v>1374.4699999999998</v>
      </c>
      <c r="AI615" s="401">
        <f t="shared" si="1476"/>
        <v>1388.1420499999999</v>
      </c>
      <c r="AJ615" s="401">
        <f t="shared" ref="AJ615:AL615" si="1477">AJ599+AJ583+AJ567</f>
        <v>1402.0191807499996</v>
      </c>
      <c r="AK615" s="820">
        <f t="shared" si="1477"/>
        <v>1416.1044684612496</v>
      </c>
      <c r="AL615" s="398">
        <f t="shared" si="1477"/>
        <v>1416.1044684612496</v>
      </c>
      <c r="AM615" s="398">
        <f t="shared" si="1476"/>
        <v>1458.9941695420057</v>
      </c>
      <c r="AN615" s="398">
        <f t="shared" si="1476"/>
        <v>1488.8739946282658</v>
      </c>
    </row>
    <row r="616" spans="1:40">
      <c r="A616" s="130" t="str">
        <f>A$10</f>
        <v>Conrad Hotels &amp; Resorts (Luxury)</v>
      </c>
      <c r="B616" s="1033">
        <f t="shared" ref="B616:AN616" si="1478">B600+B584+B568</f>
        <v>1050</v>
      </c>
      <c r="C616" s="398">
        <f t="shared" si="1478"/>
        <v>1051</v>
      </c>
      <c r="D616" s="1033">
        <f t="shared" si="1478"/>
        <v>1050</v>
      </c>
      <c r="E616" s="406">
        <f t="shared" si="1478"/>
        <v>1050</v>
      </c>
      <c r="F616" s="406">
        <f t="shared" si="1478"/>
        <v>1204</v>
      </c>
      <c r="G616" s="820">
        <f t="shared" si="1478"/>
        <v>935</v>
      </c>
      <c r="H616" s="820">
        <f t="shared" si="1478"/>
        <v>935</v>
      </c>
      <c r="I616" s="1033">
        <f t="shared" si="1478"/>
        <v>932</v>
      </c>
      <c r="J616" s="406">
        <f t="shared" si="1478"/>
        <v>932</v>
      </c>
      <c r="K616" s="406">
        <f t="shared" si="1478"/>
        <v>932</v>
      </c>
      <c r="L616" s="820">
        <f t="shared" si="1478"/>
        <v>932</v>
      </c>
      <c r="M616" s="820">
        <f t="shared" si="1478"/>
        <v>932</v>
      </c>
      <c r="N616" s="1033">
        <f t="shared" si="1478"/>
        <v>932</v>
      </c>
      <c r="O616" s="401">
        <f t="shared" si="1478"/>
        <v>896</v>
      </c>
      <c r="P616" s="401">
        <f t="shared" si="1478"/>
        <v>1152</v>
      </c>
      <c r="Q616" s="820">
        <f t="shared" si="1478"/>
        <v>1152</v>
      </c>
      <c r="R616" s="398">
        <f t="shared" si="1478"/>
        <v>1152</v>
      </c>
      <c r="S616" s="401">
        <f t="shared" si="1478"/>
        <v>1152</v>
      </c>
      <c r="T616" s="401">
        <f t="shared" si="1478"/>
        <v>1154</v>
      </c>
      <c r="U616" s="401">
        <f t="shared" si="1478"/>
        <v>1154</v>
      </c>
      <c r="V616" s="820">
        <f t="shared" si="1478"/>
        <v>1154</v>
      </c>
      <c r="W616" s="398">
        <f t="shared" si="1478"/>
        <v>1154</v>
      </c>
      <c r="X616" s="401">
        <f t="shared" si="1478"/>
        <v>1154</v>
      </c>
      <c r="Y616" s="401">
        <f t="shared" si="1478"/>
        <v>1154</v>
      </c>
      <c r="Z616" s="401">
        <f t="shared" si="1478"/>
        <v>1154</v>
      </c>
      <c r="AA616" s="401">
        <f t="shared" si="1478"/>
        <v>1155</v>
      </c>
      <c r="AB616" s="398">
        <f t="shared" si="1478"/>
        <v>1155</v>
      </c>
      <c r="AC616" s="3666">
        <v>1155</v>
      </c>
      <c r="AD616" s="3666">
        <v>1155</v>
      </c>
      <c r="AE616" s="401">
        <f t="shared" si="1478"/>
        <v>1155</v>
      </c>
      <c r="AF616" s="820">
        <f t="shared" si="1478"/>
        <v>1155</v>
      </c>
      <c r="AG616" s="398">
        <f t="shared" si="1478"/>
        <v>1155</v>
      </c>
      <c r="AH616" s="401">
        <f t="shared" si="1478"/>
        <v>1172.3249999999998</v>
      </c>
      <c r="AI616" s="401">
        <f t="shared" si="1478"/>
        <v>1189.9098749999996</v>
      </c>
      <c r="AJ616" s="401">
        <f t="shared" ref="AJ616:AL616" si="1479">AJ600+AJ584+AJ568</f>
        <v>1207.7585231249996</v>
      </c>
      <c r="AK616" s="820">
        <f t="shared" si="1479"/>
        <v>1225.8749009718745</v>
      </c>
      <c r="AL616" s="398">
        <f t="shared" si="1479"/>
        <v>1225.8749009718745</v>
      </c>
      <c r="AM616" s="398">
        <f t="shared" si="1478"/>
        <v>1281.0392715156088</v>
      </c>
      <c r="AN616" s="398">
        <f t="shared" si="1478"/>
        <v>1319.4704496610771</v>
      </c>
    </row>
    <row r="617" spans="1:40">
      <c r="A617" s="1828" t="s">
        <v>3022</v>
      </c>
      <c r="B617" s="1033"/>
      <c r="C617" s="398"/>
      <c r="D617" s="1033"/>
      <c r="E617" s="406"/>
      <c r="F617" s="406"/>
      <c r="G617" s="820"/>
      <c r="H617" s="820"/>
      <c r="I617" s="1033"/>
      <c r="J617" s="406"/>
      <c r="K617" s="406"/>
      <c r="L617" s="820"/>
      <c r="M617" s="820"/>
      <c r="N617" s="1033"/>
      <c r="O617" s="401"/>
      <c r="P617" s="401"/>
      <c r="Q617" s="820"/>
      <c r="R617" s="398"/>
      <c r="S617" s="401"/>
      <c r="T617" s="401"/>
      <c r="U617" s="401"/>
      <c r="V617" s="820"/>
      <c r="W617" s="398"/>
      <c r="X617" s="401"/>
      <c r="Y617" s="401"/>
      <c r="Z617" s="401"/>
      <c r="AA617" s="401">
        <f t="shared" ref="AA617:AN617" si="1480">AA601+AA585+AA569</f>
        <v>112</v>
      </c>
      <c r="AB617" s="398">
        <f t="shared" si="1480"/>
        <v>112</v>
      </c>
      <c r="AC617" s="3666">
        <v>112</v>
      </c>
      <c r="AD617" s="3666">
        <v>112</v>
      </c>
      <c r="AE617" s="401">
        <f t="shared" si="1480"/>
        <v>112</v>
      </c>
      <c r="AF617" s="820">
        <f t="shared" si="1480"/>
        <v>112</v>
      </c>
      <c r="AG617" s="398">
        <f t="shared" si="1480"/>
        <v>112</v>
      </c>
      <c r="AH617" s="401">
        <f t="shared" si="1480"/>
        <v>112</v>
      </c>
      <c r="AI617" s="401">
        <f t="shared" si="1480"/>
        <v>112</v>
      </c>
      <c r="AJ617" s="401">
        <f t="shared" ref="AJ617:AL617" si="1481">AJ601+AJ585+AJ569</f>
        <v>112</v>
      </c>
      <c r="AK617" s="820">
        <f t="shared" si="1481"/>
        <v>112</v>
      </c>
      <c r="AL617" s="398">
        <f t="shared" si="1481"/>
        <v>112</v>
      </c>
      <c r="AM617" s="398">
        <f t="shared" si="1480"/>
        <v>112</v>
      </c>
      <c r="AN617" s="398">
        <f t="shared" si="1480"/>
        <v>112</v>
      </c>
    </row>
    <row r="618" spans="1:40">
      <c r="A618" s="130" t="str">
        <f>A$12</f>
        <v>Hilton Hotels &amp; Resorts (Upper Up)</v>
      </c>
      <c r="B618" s="1033">
        <f t="shared" ref="B618:Z618" si="1482">B602+B586+B570</f>
        <v>40197</v>
      </c>
      <c r="C618" s="398">
        <f t="shared" si="1482"/>
        <v>40975</v>
      </c>
      <c r="D618" s="1033">
        <f t="shared" si="1482"/>
        <v>40833</v>
      </c>
      <c r="E618" s="406">
        <f t="shared" si="1482"/>
        <v>41015</v>
      </c>
      <c r="F618" s="406">
        <f t="shared" si="1482"/>
        <v>40804</v>
      </c>
      <c r="G618" s="820">
        <f t="shared" si="1482"/>
        <v>40804</v>
      </c>
      <c r="H618" s="820">
        <f t="shared" si="1482"/>
        <v>40804</v>
      </c>
      <c r="I618" s="1033">
        <f t="shared" si="1482"/>
        <v>40492</v>
      </c>
      <c r="J618" s="406">
        <f t="shared" si="1482"/>
        <v>40126</v>
      </c>
      <c r="K618" s="406">
        <f t="shared" si="1482"/>
        <v>40115</v>
      </c>
      <c r="L618" s="820">
        <f t="shared" si="1482"/>
        <v>40121</v>
      </c>
      <c r="M618" s="820">
        <f t="shared" si="1482"/>
        <v>40121</v>
      </c>
      <c r="N618" s="1033">
        <f t="shared" si="1482"/>
        <v>41343</v>
      </c>
      <c r="O618" s="401">
        <f t="shared" si="1482"/>
        <v>41152</v>
      </c>
      <c r="P618" s="401">
        <f t="shared" si="1482"/>
        <v>41351</v>
      </c>
      <c r="Q618" s="820">
        <f t="shared" si="1482"/>
        <v>41902</v>
      </c>
      <c r="R618" s="398">
        <f t="shared" si="1482"/>
        <v>41902</v>
      </c>
      <c r="S618" s="401">
        <f t="shared" si="1482"/>
        <v>41849</v>
      </c>
      <c r="T618" s="401">
        <f t="shared" si="1482"/>
        <v>41857</v>
      </c>
      <c r="U618" s="401">
        <f t="shared" si="1482"/>
        <v>41638</v>
      </c>
      <c r="V618" s="820">
        <f t="shared" si="1482"/>
        <v>42456</v>
      </c>
      <c r="W618" s="398">
        <f t="shared" si="1482"/>
        <v>42456</v>
      </c>
      <c r="X618" s="401">
        <f t="shared" si="1482"/>
        <v>42312</v>
      </c>
      <c r="Y618" s="401">
        <f t="shared" si="1482"/>
        <v>42027</v>
      </c>
      <c r="Z618" s="401">
        <f t="shared" si="1482"/>
        <v>42423</v>
      </c>
      <c r="AA618" s="401">
        <f t="shared" ref="AA618:AN618" si="1483">AA602+AA586+AA570</f>
        <v>41117</v>
      </c>
      <c r="AB618" s="398">
        <f t="shared" si="1483"/>
        <v>41117</v>
      </c>
      <c r="AC618" s="3666">
        <v>40484</v>
      </c>
      <c r="AD618" s="3666">
        <v>40137</v>
      </c>
      <c r="AE618" s="401">
        <f t="shared" si="1483"/>
        <v>40137</v>
      </c>
      <c r="AF618" s="820">
        <f t="shared" si="1483"/>
        <v>40724</v>
      </c>
      <c r="AG618" s="398">
        <f t="shared" si="1483"/>
        <v>40724</v>
      </c>
      <c r="AH618" s="401">
        <f t="shared" si="1483"/>
        <v>41063.684999999998</v>
      </c>
      <c r="AI618" s="401">
        <f t="shared" si="1483"/>
        <v>41407.993774999995</v>
      </c>
      <c r="AJ618" s="401">
        <f t="shared" ref="AJ618:AL618" si="1484">AJ602+AJ586+AJ570</f>
        <v>41805.088681624999</v>
      </c>
      <c r="AK618" s="820">
        <f t="shared" si="1484"/>
        <v>42208.140011849369</v>
      </c>
      <c r="AL618" s="398">
        <f t="shared" si="1484"/>
        <v>42208.140011849369</v>
      </c>
      <c r="AM618" s="398">
        <f t="shared" si="1483"/>
        <v>43584.085717690214</v>
      </c>
      <c r="AN618" s="398">
        <f t="shared" si="1483"/>
        <v>44653.656515389026</v>
      </c>
    </row>
    <row r="619" spans="1:40">
      <c r="A619" s="130" t="str">
        <f>A$13</f>
        <v xml:space="preserve">Curio - A Collection by Hilton </v>
      </c>
      <c r="B619" s="1033"/>
      <c r="C619" s="398"/>
      <c r="D619" s="1033"/>
      <c r="E619" s="406"/>
      <c r="F619" s="406"/>
      <c r="G619" s="820"/>
      <c r="H619" s="820"/>
      <c r="I619" s="1033"/>
      <c r="J619" s="406"/>
      <c r="K619" s="406"/>
      <c r="L619" s="820"/>
      <c r="M619" s="820"/>
      <c r="N619" s="1033"/>
      <c r="O619" s="401"/>
      <c r="P619" s="401"/>
      <c r="Q619" s="820"/>
      <c r="R619" s="398">
        <f t="shared" ref="R619:Z619" si="1485">R603+R587+R571</f>
        <v>0</v>
      </c>
      <c r="S619" s="401">
        <f t="shared" si="1485"/>
        <v>0</v>
      </c>
      <c r="T619" s="401">
        <f t="shared" si="1485"/>
        <v>0</v>
      </c>
      <c r="U619" s="401">
        <f t="shared" si="1485"/>
        <v>278</v>
      </c>
      <c r="V619" s="820">
        <f t="shared" si="1485"/>
        <v>278</v>
      </c>
      <c r="W619" s="398">
        <f t="shared" si="1485"/>
        <v>278</v>
      </c>
      <c r="X619" s="401">
        <f t="shared" si="1485"/>
        <v>278</v>
      </c>
      <c r="Y619" s="401">
        <f t="shared" si="1485"/>
        <v>278</v>
      </c>
      <c r="Z619" s="401">
        <f t="shared" si="1485"/>
        <v>311</v>
      </c>
      <c r="AA619" s="401">
        <f t="shared" ref="AA619:AN619" si="1486">AA603+AA587+AA571</f>
        <v>311</v>
      </c>
      <c r="AB619" s="398">
        <f t="shared" si="1486"/>
        <v>311</v>
      </c>
      <c r="AC619" s="3666">
        <v>311</v>
      </c>
      <c r="AD619" s="3666">
        <v>485</v>
      </c>
      <c r="AE619" s="401">
        <f t="shared" si="1486"/>
        <v>820</v>
      </c>
      <c r="AF619" s="820">
        <f t="shared" si="1486"/>
        <v>953</v>
      </c>
      <c r="AG619" s="398">
        <f t="shared" si="1486"/>
        <v>953</v>
      </c>
      <c r="AH619" s="401">
        <f t="shared" si="1486"/>
        <v>953</v>
      </c>
      <c r="AI619" s="401">
        <f t="shared" si="1486"/>
        <v>953</v>
      </c>
      <c r="AJ619" s="401">
        <f t="shared" ref="AJ619:AL619" si="1487">AJ603+AJ587+AJ571</f>
        <v>953</v>
      </c>
      <c r="AK619" s="820">
        <f t="shared" si="1487"/>
        <v>953</v>
      </c>
      <c r="AL619" s="398">
        <f t="shared" si="1487"/>
        <v>953</v>
      </c>
      <c r="AM619" s="398">
        <f t="shared" si="1486"/>
        <v>953</v>
      </c>
      <c r="AN619" s="398">
        <f t="shared" si="1486"/>
        <v>953</v>
      </c>
    </row>
    <row r="620" spans="1:40">
      <c r="A620" s="130" t="str">
        <f>A$14</f>
        <v>DoubleTree by Hilton (Upscale)</v>
      </c>
      <c r="B620" s="1033">
        <f t="shared" ref="B620:Q620" si="1488">B604+B588+B572</f>
        <v>2542</v>
      </c>
      <c r="C620" s="398">
        <f t="shared" si="1488"/>
        <v>5853</v>
      </c>
      <c r="D620" s="1033">
        <f t="shared" si="1488"/>
        <v>6697</v>
      </c>
      <c r="E620" s="406">
        <f t="shared" si="1488"/>
        <v>6694</v>
      </c>
      <c r="F620" s="406">
        <f t="shared" si="1488"/>
        <v>6943</v>
      </c>
      <c r="G620" s="820">
        <f t="shared" si="1488"/>
        <v>7427</v>
      </c>
      <c r="H620" s="820">
        <f t="shared" si="1488"/>
        <v>7427</v>
      </c>
      <c r="I620" s="1033">
        <f t="shared" si="1488"/>
        <v>7652</v>
      </c>
      <c r="J620" s="406">
        <f t="shared" si="1488"/>
        <v>8319</v>
      </c>
      <c r="K620" s="406">
        <f t="shared" si="1488"/>
        <v>9249</v>
      </c>
      <c r="L620" s="820">
        <f t="shared" si="1488"/>
        <v>8997</v>
      </c>
      <c r="M620" s="820">
        <f t="shared" si="1488"/>
        <v>8997</v>
      </c>
      <c r="N620" s="1033">
        <f t="shared" si="1488"/>
        <v>9135</v>
      </c>
      <c r="O620" s="401">
        <f t="shared" si="1488"/>
        <v>9984</v>
      </c>
      <c r="P620" s="401">
        <f t="shared" si="1488"/>
        <v>10626</v>
      </c>
      <c r="Q620" s="820">
        <f t="shared" si="1488"/>
        <v>11009</v>
      </c>
      <c r="R620" s="398">
        <f t="shared" ref="R620:Z620" si="1489">R604+R588+R572</f>
        <v>11009</v>
      </c>
      <c r="S620" s="401">
        <f t="shared" si="1489"/>
        <v>11115</v>
      </c>
      <c r="T620" s="401">
        <f t="shared" si="1489"/>
        <v>11681</v>
      </c>
      <c r="U620" s="401">
        <f t="shared" si="1489"/>
        <v>12617</v>
      </c>
      <c r="V620" s="820">
        <f t="shared" si="1489"/>
        <v>13121</v>
      </c>
      <c r="W620" s="398">
        <f t="shared" si="1489"/>
        <v>13121</v>
      </c>
      <c r="X620" s="401">
        <f t="shared" si="1489"/>
        <v>13659</v>
      </c>
      <c r="Y620" s="401">
        <f t="shared" si="1489"/>
        <v>14046</v>
      </c>
      <c r="Z620" s="401">
        <f t="shared" si="1489"/>
        <v>14613</v>
      </c>
      <c r="AA620" s="401">
        <f t="shared" ref="AA620:AN620" si="1490">AA604+AA588+AA572</f>
        <v>15860</v>
      </c>
      <c r="AB620" s="398">
        <f t="shared" si="1490"/>
        <v>15860</v>
      </c>
      <c r="AC620" s="3666">
        <v>16178</v>
      </c>
      <c r="AD620" s="3666">
        <v>16312</v>
      </c>
      <c r="AE620" s="401">
        <f t="shared" si="1490"/>
        <v>16534</v>
      </c>
      <c r="AF620" s="820">
        <f t="shared" si="1490"/>
        <v>16899</v>
      </c>
      <c r="AG620" s="398">
        <f t="shared" si="1490"/>
        <v>16899</v>
      </c>
      <c r="AH620" s="401">
        <f t="shared" si="1490"/>
        <v>17082.564999999999</v>
      </c>
      <c r="AI620" s="401">
        <f t="shared" si="1490"/>
        <v>17268.184275</v>
      </c>
      <c r="AJ620" s="401">
        <f t="shared" ref="AJ620:AL620" si="1491">AJ604+AJ588+AJ572</f>
        <v>17527.207039124998</v>
      </c>
      <c r="AK620" s="820">
        <f t="shared" si="1491"/>
        <v>17790.115144711872</v>
      </c>
      <c r="AL620" s="398">
        <f t="shared" si="1491"/>
        <v>17790.115144711872</v>
      </c>
      <c r="AM620" s="398">
        <f t="shared" si="1490"/>
        <v>18811.113932143504</v>
      </c>
      <c r="AN620" s="398">
        <f t="shared" si="1490"/>
        <v>19687.00764647418</v>
      </c>
    </row>
    <row r="621" spans="1:40">
      <c r="A621" s="130" t="str">
        <f>A$15</f>
        <v>Embassy Suites Hotels (Upper Up)</v>
      </c>
      <c r="B621" s="1033">
        <f t="shared" ref="B621:Q621" si="1492">B605+B589+B573</f>
        <v>0</v>
      </c>
      <c r="C621" s="398">
        <f t="shared" si="1492"/>
        <v>0</v>
      </c>
      <c r="D621" s="1033">
        <f t="shared" si="1492"/>
        <v>0</v>
      </c>
      <c r="E621" s="406">
        <f t="shared" si="1492"/>
        <v>0</v>
      </c>
      <c r="F621" s="406">
        <f t="shared" si="1492"/>
        <v>0</v>
      </c>
      <c r="G621" s="820">
        <f t="shared" si="1492"/>
        <v>0</v>
      </c>
      <c r="H621" s="820">
        <f t="shared" si="1492"/>
        <v>0</v>
      </c>
      <c r="I621" s="1033">
        <f t="shared" si="1492"/>
        <v>0</v>
      </c>
      <c r="J621" s="406">
        <f t="shared" si="1492"/>
        <v>0</v>
      </c>
      <c r="K621" s="406">
        <f t="shared" si="1492"/>
        <v>0</v>
      </c>
      <c r="L621" s="820">
        <f t="shared" si="1492"/>
        <v>0</v>
      </c>
      <c r="M621" s="820">
        <f t="shared" si="1492"/>
        <v>0</v>
      </c>
      <c r="N621" s="1033">
        <f t="shared" si="1492"/>
        <v>0</v>
      </c>
      <c r="O621" s="401">
        <f t="shared" si="1492"/>
        <v>0</v>
      </c>
      <c r="P621" s="401">
        <f t="shared" si="1492"/>
        <v>0</v>
      </c>
      <c r="Q621" s="820">
        <f t="shared" si="1492"/>
        <v>0</v>
      </c>
      <c r="R621" s="398">
        <f t="shared" ref="R621:Z621" si="1493">R605+R589+R573</f>
        <v>0</v>
      </c>
      <c r="S621" s="401">
        <f t="shared" si="1493"/>
        <v>0</v>
      </c>
      <c r="T621" s="401">
        <f t="shared" si="1493"/>
        <v>0</v>
      </c>
      <c r="U621" s="401">
        <f t="shared" si="1493"/>
        <v>0</v>
      </c>
      <c r="V621" s="820">
        <f t="shared" si="1493"/>
        <v>0</v>
      </c>
      <c r="W621" s="398">
        <f t="shared" si="1493"/>
        <v>0</v>
      </c>
      <c r="X621" s="401">
        <f t="shared" si="1493"/>
        <v>0</v>
      </c>
      <c r="Y621" s="401">
        <f t="shared" si="1493"/>
        <v>0</v>
      </c>
      <c r="Z621" s="401">
        <f t="shared" si="1493"/>
        <v>0</v>
      </c>
      <c r="AA621" s="401">
        <f t="shared" ref="AA621:AN621" si="1494">AA605+AA589+AA573</f>
        <v>0</v>
      </c>
      <c r="AB621" s="398">
        <f t="shared" si="1494"/>
        <v>0</v>
      </c>
      <c r="AC621" s="3666">
        <v>0</v>
      </c>
      <c r="AD621" s="3666">
        <v>0</v>
      </c>
      <c r="AE621" s="401">
        <f t="shared" si="1494"/>
        <v>0</v>
      </c>
      <c r="AF621" s="820">
        <f t="shared" si="1494"/>
        <v>0</v>
      </c>
      <c r="AG621" s="398">
        <f t="shared" si="1494"/>
        <v>0</v>
      </c>
      <c r="AH621" s="401">
        <f t="shared" si="1494"/>
        <v>0</v>
      </c>
      <c r="AI621" s="401">
        <f t="shared" si="1494"/>
        <v>0</v>
      </c>
      <c r="AJ621" s="401">
        <f t="shared" ref="AJ621:AL621" si="1495">AJ605+AJ589+AJ573</f>
        <v>0</v>
      </c>
      <c r="AK621" s="820">
        <f t="shared" si="1495"/>
        <v>0</v>
      </c>
      <c r="AL621" s="398">
        <f t="shared" si="1495"/>
        <v>0</v>
      </c>
      <c r="AM621" s="398">
        <f t="shared" si="1494"/>
        <v>0</v>
      </c>
      <c r="AN621" s="398">
        <f t="shared" si="1494"/>
        <v>0</v>
      </c>
    </row>
    <row r="622" spans="1:40">
      <c r="A622" s="130" t="str">
        <f>A$16</f>
        <v>Hilton Garden Inn (Upscale)</v>
      </c>
      <c r="B622" s="1033">
        <f t="shared" ref="B622:Q622" si="1496">B606+B590+B574</f>
        <v>2117</v>
      </c>
      <c r="C622" s="398">
        <f t="shared" si="1496"/>
        <v>2929</v>
      </c>
      <c r="D622" s="1033">
        <f t="shared" si="1496"/>
        <v>3015</v>
      </c>
      <c r="E622" s="406">
        <f t="shared" si="1496"/>
        <v>3439</v>
      </c>
      <c r="F622" s="406">
        <f t="shared" si="1496"/>
        <v>3713</v>
      </c>
      <c r="G622" s="820">
        <f t="shared" si="1496"/>
        <v>3859</v>
      </c>
      <c r="H622" s="820">
        <f t="shared" si="1496"/>
        <v>3859</v>
      </c>
      <c r="I622" s="1033">
        <f t="shared" si="1496"/>
        <v>4206</v>
      </c>
      <c r="J622" s="406">
        <f t="shared" si="1496"/>
        <v>4371</v>
      </c>
      <c r="K622" s="406">
        <f t="shared" si="1496"/>
        <v>4371</v>
      </c>
      <c r="L622" s="820">
        <f t="shared" si="1496"/>
        <v>4371</v>
      </c>
      <c r="M622" s="820">
        <f t="shared" si="1496"/>
        <v>4371</v>
      </c>
      <c r="N622" s="1033">
        <f t="shared" si="1496"/>
        <v>4976</v>
      </c>
      <c r="O622" s="401">
        <f t="shared" si="1496"/>
        <v>5225</v>
      </c>
      <c r="P622" s="401">
        <f t="shared" si="1496"/>
        <v>5359</v>
      </c>
      <c r="Q622" s="820">
        <f t="shared" si="1496"/>
        <v>5980</v>
      </c>
      <c r="R622" s="398">
        <f t="shared" ref="R622:Z622" si="1497">R606+R590+R574</f>
        <v>5980</v>
      </c>
      <c r="S622" s="401">
        <f t="shared" si="1497"/>
        <v>6197</v>
      </c>
      <c r="T622" s="401">
        <f t="shared" si="1497"/>
        <v>6842</v>
      </c>
      <c r="U622" s="401">
        <f t="shared" si="1497"/>
        <v>7298</v>
      </c>
      <c r="V622" s="820">
        <f t="shared" si="1497"/>
        <v>7759</v>
      </c>
      <c r="W622" s="398">
        <f t="shared" si="1497"/>
        <v>7759</v>
      </c>
      <c r="X622" s="401">
        <f t="shared" si="1497"/>
        <v>7759</v>
      </c>
      <c r="Y622" s="401">
        <f t="shared" si="1497"/>
        <v>8312</v>
      </c>
      <c r="Z622" s="401">
        <f t="shared" si="1497"/>
        <v>8581</v>
      </c>
      <c r="AA622" s="401">
        <f t="shared" ref="AA622:AN622" si="1498">AA606+AA590+AA574</f>
        <v>8848</v>
      </c>
      <c r="AB622" s="398">
        <f t="shared" si="1498"/>
        <v>8848</v>
      </c>
      <c r="AC622" s="3666">
        <v>9140</v>
      </c>
      <c r="AD622" s="3666">
        <v>9626</v>
      </c>
      <c r="AE622" s="401">
        <f t="shared" si="1498"/>
        <v>9776</v>
      </c>
      <c r="AF622" s="820">
        <f t="shared" si="1498"/>
        <v>10100</v>
      </c>
      <c r="AG622" s="398">
        <f t="shared" si="1498"/>
        <v>10100</v>
      </c>
      <c r="AH622" s="401">
        <f t="shared" si="1498"/>
        <v>10220.35</v>
      </c>
      <c r="AI622" s="401">
        <f t="shared" si="1498"/>
        <v>10342.193749999999</v>
      </c>
      <c r="AJ622" s="401">
        <f t="shared" ref="AJ622:AL622" si="1499">AJ606+AJ590+AJ574</f>
        <v>10497.326656249998</v>
      </c>
      <c r="AK622" s="820">
        <f t="shared" si="1499"/>
        <v>10654.786556093746</v>
      </c>
      <c r="AL622" s="398">
        <f t="shared" si="1499"/>
        <v>10654.786556093746</v>
      </c>
      <c r="AM622" s="398">
        <f t="shared" si="1498"/>
        <v>11232.46159534559</v>
      </c>
      <c r="AN622" s="398">
        <f t="shared" si="1498"/>
        <v>11708.238407047669</v>
      </c>
    </row>
    <row r="623" spans="1:40">
      <c r="A623" s="130" t="str">
        <f>A$17</f>
        <v>Hampton Inn (Upper Mid)</v>
      </c>
      <c r="B623" s="1033">
        <f t="shared" ref="B623:Q623" si="1500">B607+B591+B575</f>
        <v>1098</v>
      </c>
      <c r="C623" s="398">
        <f t="shared" si="1500"/>
        <v>1175</v>
      </c>
      <c r="D623" s="1033">
        <f t="shared" si="1500"/>
        <v>1399</v>
      </c>
      <c r="E623" s="406">
        <f t="shared" si="1500"/>
        <v>1791</v>
      </c>
      <c r="F623" s="406">
        <f t="shared" si="1500"/>
        <v>1877</v>
      </c>
      <c r="G623" s="820">
        <f t="shared" si="1500"/>
        <v>1943</v>
      </c>
      <c r="H623" s="820">
        <f t="shared" si="1500"/>
        <v>1943</v>
      </c>
      <c r="I623" s="1033">
        <f t="shared" si="1500"/>
        <v>1943</v>
      </c>
      <c r="J623" s="406">
        <f t="shared" si="1500"/>
        <v>2607</v>
      </c>
      <c r="K623" s="406">
        <f t="shared" si="1500"/>
        <v>2980</v>
      </c>
      <c r="L623" s="820">
        <f t="shared" si="1500"/>
        <v>3253</v>
      </c>
      <c r="M623" s="820">
        <f t="shared" si="1500"/>
        <v>3253</v>
      </c>
      <c r="N623" s="1033">
        <f t="shared" si="1500"/>
        <v>4062</v>
      </c>
      <c r="O623" s="401">
        <f t="shared" si="1500"/>
        <v>4504</v>
      </c>
      <c r="P623" s="401">
        <f t="shared" si="1500"/>
        <v>4504</v>
      </c>
      <c r="Q623" s="820">
        <f t="shared" si="1500"/>
        <v>4701</v>
      </c>
      <c r="R623" s="398">
        <f t="shared" ref="R623:Z623" si="1501">R607+R591+R575</f>
        <v>4701</v>
      </c>
      <c r="S623" s="401">
        <f t="shared" si="1501"/>
        <v>4861</v>
      </c>
      <c r="T623" s="401">
        <f t="shared" si="1501"/>
        <v>5302</v>
      </c>
      <c r="U623" s="401">
        <f t="shared" si="1501"/>
        <v>5648</v>
      </c>
      <c r="V623" s="820">
        <f t="shared" si="1501"/>
        <v>6167</v>
      </c>
      <c r="W623" s="398">
        <f t="shared" si="1501"/>
        <v>6167</v>
      </c>
      <c r="X623" s="401">
        <f t="shared" si="1501"/>
        <v>6253</v>
      </c>
      <c r="Y623" s="401">
        <f t="shared" si="1501"/>
        <v>6807</v>
      </c>
      <c r="Z623" s="401">
        <f t="shared" si="1501"/>
        <v>7117</v>
      </c>
      <c r="AA623" s="401">
        <f t="shared" ref="AA623:AN623" si="1502">AA607+AA591+AA575</f>
        <v>7198</v>
      </c>
      <c r="AB623" s="398">
        <f t="shared" si="1502"/>
        <v>7198</v>
      </c>
      <c r="AC623" s="3666">
        <v>8139</v>
      </c>
      <c r="AD623" s="3666">
        <v>8743</v>
      </c>
      <c r="AE623" s="401">
        <f t="shared" si="1502"/>
        <v>9922</v>
      </c>
      <c r="AF623" s="820">
        <f t="shared" si="1502"/>
        <v>10455</v>
      </c>
      <c r="AG623" s="398">
        <f t="shared" si="1502"/>
        <v>10455</v>
      </c>
      <c r="AH623" s="401">
        <f t="shared" si="1502"/>
        <v>10571.744999999999</v>
      </c>
      <c r="AI623" s="401">
        <f t="shared" si="1502"/>
        <v>10689.840375</v>
      </c>
      <c r="AJ623" s="401">
        <f t="shared" ref="AJ623:AL623" si="1503">AJ607+AJ591+AJ575</f>
        <v>10850.187980624996</v>
      </c>
      <c r="AK623" s="820">
        <f t="shared" si="1503"/>
        <v>11012.940800334371</v>
      </c>
      <c r="AL623" s="398">
        <f t="shared" si="1503"/>
        <v>11012.940800334371</v>
      </c>
      <c r="AM623" s="398">
        <f t="shared" si="1502"/>
        <v>11634.887262854818</v>
      </c>
      <c r="AN623" s="398">
        <f t="shared" si="1502"/>
        <v>12162.528512868095</v>
      </c>
    </row>
    <row r="624" spans="1:40">
      <c r="A624" s="130" t="str">
        <f>A$18</f>
        <v>Home2 Suites by Hilton (Upper Mid)</v>
      </c>
      <c r="B624" s="1033">
        <f t="shared" ref="B624:Q624" si="1504">B608+B592+B576</f>
        <v>0</v>
      </c>
      <c r="C624" s="398">
        <f t="shared" si="1504"/>
        <v>0</v>
      </c>
      <c r="D624" s="1033">
        <f t="shared" si="1504"/>
        <v>0</v>
      </c>
      <c r="E624" s="406">
        <f t="shared" si="1504"/>
        <v>0</v>
      </c>
      <c r="F624" s="406">
        <f t="shared" si="1504"/>
        <v>0</v>
      </c>
      <c r="G624" s="820">
        <f t="shared" si="1504"/>
        <v>0</v>
      </c>
      <c r="H624" s="820">
        <f t="shared" si="1504"/>
        <v>0</v>
      </c>
      <c r="I624" s="1033">
        <f t="shared" si="1504"/>
        <v>0</v>
      </c>
      <c r="J624" s="406">
        <f t="shared" si="1504"/>
        <v>0</v>
      </c>
      <c r="K624" s="406">
        <f t="shared" si="1504"/>
        <v>0</v>
      </c>
      <c r="L624" s="820">
        <f t="shared" si="1504"/>
        <v>0</v>
      </c>
      <c r="M624" s="820">
        <f t="shared" si="1504"/>
        <v>0</v>
      </c>
      <c r="N624" s="1033">
        <f t="shared" si="1504"/>
        <v>0</v>
      </c>
      <c r="O624" s="401">
        <f t="shared" si="1504"/>
        <v>0</v>
      </c>
      <c r="P624" s="401">
        <f t="shared" si="1504"/>
        <v>0</v>
      </c>
      <c r="Q624" s="820">
        <f t="shared" si="1504"/>
        <v>0</v>
      </c>
      <c r="R624" s="398">
        <f t="shared" ref="R624:Z624" si="1505">R608+R592+R576</f>
        <v>0</v>
      </c>
      <c r="S624" s="401">
        <f t="shared" si="1505"/>
        <v>0</v>
      </c>
      <c r="T624" s="401">
        <f t="shared" si="1505"/>
        <v>0</v>
      </c>
      <c r="U624" s="401">
        <f t="shared" si="1505"/>
        <v>0</v>
      </c>
      <c r="V624" s="820">
        <f t="shared" si="1505"/>
        <v>0</v>
      </c>
      <c r="W624" s="398">
        <f t="shared" si="1505"/>
        <v>0</v>
      </c>
      <c r="X624" s="401">
        <f t="shared" si="1505"/>
        <v>0</v>
      </c>
      <c r="Y624" s="401">
        <f t="shared" si="1505"/>
        <v>0</v>
      </c>
      <c r="Z624" s="401">
        <f t="shared" si="1505"/>
        <v>0</v>
      </c>
      <c r="AA624" s="401">
        <f t="shared" ref="AA624:AN624" si="1506">AA608+AA592+AA576</f>
        <v>0</v>
      </c>
      <c r="AB624" s="398">
        <f t="shared" si="1506"/>
        <v>0</v>
      </c>
      <c r="AC624" s="3666">
        <v>0</v>
      </c>
      <c r="AD624" s="3666">
        <v>0</v>
      </c>
      <c r="AE624" s="401">
        <f t="shared" si="1506"/>
        <v>0</v>
      </c>
      <c r="AF624" s="820">
        <f t="shared" si="1506"/>
        <v>0</v>
      </c>
      <c r="AG624" s="398">
        <f t="shared" si="1506"/>
        <v>0</v>
      </c>
      <c r="AH624" s="401">
        <f t="shared" si="1506"/>
        <v>0</v>
      </c>
      <c r="AI624" s="401">
        <f t="shared" si="1506"/>
        <v>0</v>
      </c>
      <c r="AJ624" s="401">
        <f t="shared" ref="AJ624:AL624" si="1507">AJ608+AJ592+AJ576</f>
        <v>0</v>
      </c>
      <c r="AK624" s="820">
        <f t="shared" si="1507"/>
        <v>0</v>
      </c>
      <c r="AL624" s="398">
        <f t="shared" si="1507"/>
        <v>0</v>
      </c>
      <c r="AM624" s="398">
        <f t="shared" si="1506"/>
        <v>0</v>
      </c>
      <c r="AN624" s="398">
        <f t="shared" si="1506"/>
        <v>0</v>
      </c>
    </row>
    <row r="625" spans="1:40">
      <c r="A625" s="130" t="str">
        <f>$A$90</f>
        <v>Tru by Hilton</v>
      </c>
      <c r="B625" s="1030"/>
      <c r="C625" s="508"/>
      <c r="D625" s="1030"/>
      <c r="E625" s="912"/>
      <c r="F625" s="912"/>
      <c r="G625" s="1041"/>
      <c r="H625" s="820"/>
      <c r="I625" s="1030"/>
      <c r="J625" s="912"/>
      <c r="K625" s="912"/>
      <c r="L625" s="1041"/>
      <c r="M625" s="820"/>
      <c r="N625" s="1030"/>
      <c r="O625" s="912"/>
      <c r="P625" s="912"/>
      <c r="Q625" s="1041"/>
      <c r="R625" s="820"/>
      <c r="S625" s="1030"/>
      <c r="T625" s="912"/>
      <c r="U625" s="912"/>
      <c r="V625" s="912"/>
      <c r="W625" s="398"/>
      <c r="X625" s="2791"/>
      <c r="Y625" s="2791"/>
      <c r="Z625" s="2791"/>
      <c r="AA625" s="2791"/>
      <c r="AB625" s="398"/>
      <c r="AC625" s="3666">
        <v>0</v>
      </c>
      <c r="AD625" s="3666">
        <v>0</v>
      </c>
      <c r="AE625" s="401">
        <f t="shared" ref="AE625:AN625" si="1508">AE609+AE593+AE577</f>
        <v>0</v>
      </c>
      <c r="AF625" s="820">
        <f t="shared" si="1508"/>
        <v>0</v>
      </c>
      <c r="AG625" s="398">
        <f t="shared" si="1508"/>
        <v>0</v>
      </c>
      <c r="AH625" s="401">
        <f t="shared" si="1508"/>
        <v>0</v>
      </c>
      <c r="AI625" s="401">
        <f t="shared" si="1508"/>
        <v>0</v>
      </c>
      <c r="AJ625" s="401">
        <f t="shared" ref="AJ625:AL625" si="1509">AJ609+AJ593+AJ577</f>
        <v>0</v>
      </c>
      <c r="AK625" s="820">
        <f t="shared" si="1509"/>
        <v>0</v>
      </c>
      <c r="AL625" s="398">
        <f t="shared" si="1509"/>
        <v>0</v>
      </c>
      <c r="AM625" s="398">
        <f t="shared" si="1508"/>
        <v>0</v>
      </c>
      <c r="AN625" s="398">
        <f t="shared" si="1508"/>
        <v>0</v>
      </c>
    </row>
    <row r="626" spans="1:40">
      <c r="A626" s="130" t="str">
        <f>$A$91</f>
        <v>Tapestry Collection by Hilton</v>
      </c>
      <c r="B626" s="1030"/>
      <c r="C626" s="508"/>
      <c r="D626" s="1030"/>
      <c r="E626" s="912"/>
      <c r="F626" s="912"/>
      <c r="G626" s="1041"/>
      <c r="H626" s="820"/>
      <c r="I626" s="1030"/>
      <c r="J626" s="912"/>
      <c r="K626" s="912"/>
      <c r="L626" s="1041"/>
      <c r="M626" s="820"/>
      <c r="N626" s="1030"/>
      <c r="O626" s="912"/>
      <c r="P626" s="912"/>
      <c r="Q626" s="1041"/>
      <c r="R626" s="820"/>
      <c r="S626" s="1030"/>
      <c r="T626" s="912"/>
      <c r="U626" s="912"/>
      <c r="V626" s="912"/>
      <c r="W626" s="398"/>
      <c r="X626" s="2791"/>
      <c r="Y626" s="2791"/>
      <c r="Z626" s="2791"/>
      <c r="AA626" s="2791"/>
      <c r="AB626" s="398"/>
      <c r="AC626" s="3666">
        <v>0</v>
      </c>
      <c r="AD626" s="3666">
        <v>0</v>
      </c>
      <c r="AE626" s="401">
        <f t="shared" ref="AE626:AN626" si="1510">AE610+AE594+AE578</f>
        <v>0</v>
      </c>
      <c r="AF626" s="820">
        <f t="shared" si="1510"/>
        <v>0</v>
      </c>
      <c r="AG626" s="398">
        <f t="shared" si="1510"/>
        <v>0</v>
      </c>
      <c r="AH626" s="401">
        <f t="shared" si="1510"/>
        <v>0</v>
      </c>
      <c r="AI626" s="401">
        <f t="shared" si="1510"/>
        <v>0</v>
      </c>
      <c r="AJ626" s="401">
        <f t="shared" ref="AJ626:AL626" si="1511">AJ610+AJ594+AJ578</f>
        <v>0</v>
      </c>
      <c r="AK626" s="820">
        <f t="shared" si="1511"/>
        <v>0</v>
      </c>
      <c r="AL626" s="398">
        <f t="shared" si="1511"/>
        <v>0</v>
      </c>
      <c r="AM626" s="398">
        <f t="shared" si="1510"/>
        <v>0</v>
      </c>
      <c r="AN626" s="398">
        <f t="shared" si="1510"/>
        <v>0</v>
      </c>
    </row>
    <row r="627" spans="1:40" s="5" customFormat="1">
      <c r="A627" s="1828" t="str">
        <f>A$21</f>
        <v>Homewood Suites by Hilton (Upscale)</v>
      </c>
      <c r="B627" s="1033">
        <f t="shared" ref="B627:Q627" si="1512">B611+B595+B579</f>
        <v>0</v>
      </c>
      <c r="C627" s="398">
        <f t="shared" si="1512"/>
        <v>0</v>
      </c>
      <c r="D627" s="1033">
        <f t="shared" si="1512"/>
        <v>0</v>
      </c>
      <c r="E627" s="406">
        <f t="shared" si="1512"/>
        <v>0</v>
      </c>
      <c r="F627" s="406">
        <f t="shared" si="1512"/>
        <v>0</v>
      </c>
      <c r="G627" s="820">
        <f t="shared" si="1512"/>
        <v>0</v>
      </c>
      <c r="H627" s="820">
        <f t="shared" si="1512"/>
        <v>0</v>
      </c>
      <c r="I627" s="1033">
        <f t="shared" si="1512"/>
        <v>0</v>
      </c>
      <c r="J627" s="406">
        <f t="shared" si="1512"/>
        <v>0</v>
      </c>
      <c r="K627" s="406">
        <f t="shared" si="1512"/>
        <v>0</v>
      </c>
      <c r="L627" s="820">
        <f t="shared" si="1512"/>
        <v>0</v>
      </c>
      <c r="M627" s="820">
        <f t="shared" si="1512"/>
        <v>0</v>
      </c>
      <c r="N627" s="1033">
        <f t="shared" si="1512"/>
        <v>0</v>
      </c>
      <c r="O627" s="401">
        <f t="shared" si="1512"/>
        <v>0</v>
      </c>
      <c r="P627" s="401">
        <f t="shared" si="1512"/>
        <v>0</v>
      </c>
      <c r="Q627" s="820">
        <f t="shared" si="1512"/>
        <v>0</v>
      </c>
      <c r="R627" s="398">
        <f t="shared" ref="R627:Z627" si="1513">R611+R595+R579</f>
        <v>0</v>
      </c>
      <c r="S627" s="401">
        <f t="shared" si="1513"/>
        <v>0</v>
      </c>
      <c r="T627" s="401">
        <f t="shared" si="1513"/>
        <v>0</v>
      </c>
      <c r="U627" s="401">
        <f t="shared" si="1513"/>
        <v>0</v>
      </c>
      <c r="V627" s="820">
        <f t="shared" si="1513"/>
        <v>0</v>
      </c>
      <c r="W627" s="398">
        <f t="shared" si="1513"/>
        <v>0</v>
      </c>
      <c r="X627" s="401">
        <f t="shared" si="1513"/>
        <v>0</v>
      </c>
      <c r="Y627" s="401">
        <f t="shared" si="1513"/>
        <v>0</v>
      </c>
      <c r="Z627" s="401">
        <f t="shared" si="1513"/>
        <v>0</v>
      </c>
      <c r="AA627" s="401">
        <f t="shared" ref="AA627:AN627" si="1514">AA611+AA595+AA579</f>
        <v>0</v>
      </c>
      <c r="AB627" s="398">
        <f t="shared" si="1514"/>
        <v>0</v>
      </c>
      <c r="AC627" s="3666">
        <v>0</v>
      </c>
      <c r="AD627" s="3666">
        <v>0</v>
      </c>
      <c r="AE627" s="401">
        <f t="shared" si="1514"/>
        <v>0</v>
      </c>
      <c r="AF627" s="820">
        <f t="shared" si="1514"/>
        <v>0</v>
      </c>
      <c r="AG627" s="398">
        <f t="shared" si="1514"/>
        <v>0</v>
      </c>
      <c r="AH627" s="401">
        <f t="shared" si="1514"/>
        <v>0</v>
      </c>
      <c r="AI627" s="401">
        <f t="shared" si="1514"/>
        <v>0</v>
      </c>
      <c r="AJ627" s="401">
        <f t="shared" ref="AJ627:AL627" si="1515">AJ611+AJ595+AJ579</f>
        <v>0</v>
      </c>
      <c r="AK627" s="820">
        <f t="shared" si="1515"/>
        <v>0</v>
      </c>
      <c r="AL627" s="398">
        <f t="shared" si="1515"/>
        <v>0</v>
      </c>
      <c r="AM627" s="398">
        <f t="shared" si="1514"/>
        <v>0</v>
      </c>
      <c r="AN627" s="398">
        <f t="shared" si="1514"/>
        <v>0</v>
      </c>
    </row>
    <row r="628" spans="1:40" s="5" customFormat="1">
      <c r="A628" s="130" t="s">
        <v>1407</v>
      </c>
      <c r="B628" s="1033"/>
      <c r="C628" s="398"/>
      <c r="D628" s="1033"/>
      <c r="E628" s="406"/>
      <c r="F628" s="406"/>
      <c r="G628" s="820"/>
      <c r="H628" s="820"/>
      <c r="I628" s="1033"/>
      <c r="J628" s="406"/>
      <c r="K628" s="406"/>
      <c r="L628" s="820"/>
      <c r="M628" s="820"/>
      <c r="N628" s="1033"/>
      <c r="O628" s="401"/>
      <c r="P628" s="401"/>
      <c r="Q628" s="820"/>
      <c r="R628" s="398"/>
      <c r="S628" s="401"/>
      <c r="T628" s="401"/>
      <c r="U628" s="401"/>
      <c r="V628" s="820"/>
      <c r="W628" s="398"/>
      <c r="X628" s="401"/>
      <c r="Y628" s="401"/>
      <c r="Z628" s="401"/>
      <c r="AA628" s="401"/>
      <c r="AB628" s="398"/>
      <c r="AC628" s="3666">
        <v>407</v>
      </c>
      <c r="AD628" s="3666">
        <v>400</v>
      </c>
      <c r="AE628" s="3666">
        <v>400</v>
      </c>
      <c r="AF628" s="4068">
        <v>0</v>
      </c>
      <c r="AG628" s="4069">
        <f t="shared" ref="AG628:AG629" si="1516">AF628</f>
        <v>0</v>
      </c>
      <c r="AH628" s="4070">
        <f t="shared" ref="AH628:AN628" si="1517">AG628</f>
        <v>0</v>
      </c>
      <c r="AI628" s="4070">
        <f t="shared" si="1517"/>
        <v>0</v>
      </c>
      <c r="AJ628" s="4070">
        <f t="shared" si="1517"/>
        <v>0</v>
      </c>
      <c r="AK628" s="4068">
        <f t="shared" si="1517"/>
        <v>0</v>
      </c>
      <c r="AL628" s="4069">
        <f t="shared" si="1517"/>
        <v>0</v>
      </c>
      <c r="AM628" s="4069">
        <f t="shared" si="1517"/>
        <v>0</v>
      </c>
      <c r="AN628" s="4069">
        <f t="shared" si="1517"/>
        <v>0</v>
      </c>
    </row>
    <row r="629" spans="1:40" s="5" customFormat="1">
      <c r="A629" s="402" t="s">
        <v>1394</v>
      </c>
      <c r="B629" s="1033"/>
      <c r="C629" s="398"/>
      <c r="D629" s="1033"/>
      <c r="E629" s="406"/>
      <c r="F629" s="406"/>
      <c r="G629" s="820"/>
      <c r="H629" s="820"/>
      <c r="I629" s="1033"/>
      <c r="J629" s="406"/>
      <c r="K629" s="406"/>
      <c r="L629" s="820"/>
      <c r="M629" s="820"/>
      <c r="N629" s="1033"/>
      <c r="O629" s="401"/>
      <c r="P629" s="401"/>
      <c r="Q629" s="820"/>
      <c r="R629" s="398"/>
      <c r="S629" s="401"/>
      <c r="T629" s="401"/>
      <c r="U629" s="401"/>
      <c r="V629" s="820"/>
      <c r="W629" s="398"/>
      <c r="X629" s="401"/>
      <c r="Y629" s="401"/>
      <c r="Z629" s="401"/>
      <c r="AA629" s="401"/>
      <c r="AB629" s="398"/>
      <c r="AC629" s="3666">
        <v>245</v>
      </c>
      <c r="AD629" s="3666">
        <v>245</v>
      </c>
      <c r="AE629" s="3666">
        <v>245</v>
      </c>
      <c r="AF629" s="4068">
        <v>0</v>
      </c>
      <c r="AG629" s="4069">
        <f t="shared" si="1516"/>
        <v>0</v>
      </c>
      <c r="AH629" s="4070">
        <f t="shared" ref="AH629:AN629" si="1518">AG629</f>
        <v>0</v>
      </c>
      <c r="AI629" s="4070">
        <f t="shared" si="1518"/>
        <v>0</v>
      </c>
      <c r="AJ629" s="4070">
        <f t="shared" si="1518"/>
        <v>0</v>
      </c>
      <c r="AK629" s="4068">
        <f t="shared" si="1518"/>
        <v>0</v>
      </c>
      <c r="AL629" s="4069">
        <f t="shared" si="1518"/>
        <v>0</v>
      </c>
      <c r="AM629" s="4069">
        <f t="shared" si="1518"/>
        <v>0</v>
      </c>
      <c r="AN629" s="4069">
        <f t="shared" si="1518"/>
        <v>0</v>
      </c>
    </row>
    <row r="630" spans="1:40">
      <c r="A630" s="202" t="s">
        <v>1365</v>
      </c>
      <c r="B630" s="1034">
        <f t="shared" ref="B630:AB630" si="1519">SUM(B615:B627)</f>
        <v>47770</v>
      </c>
      <c r="C630" s="476">
        <f t="shared" si="1519"/>
        <v>52689</v>
      </c>
      <c r="D630" s="1034">
        <f t="shared" si="1519"/>
        <v>53700</v>
      </c>
      <c r="E630" s="475">
        <f t="shared" si="1519"/>
        <v>54695</v>
      </c>
      <c r="F630" s="475">
        <f t="shared" si="1519"/>
        <v>55488</v>
      </c>
      <c r="G630" s="822">
        <f t="shared" si="1519"/>
        <v>56147</v>
      </c>
      <c r="H630" s="822">
        <f t="shared" si="1519"/>
        <v>56147</v>
      </c>
      <c r="I630" s="1034">
        <f t="shared" si="1519"/>
        <v>56267</v>
      </c>
      <c r="J630" s="475">
        <f t="shared" si="1519"/>
        <v>57397</v>
      </c>
      <c r="K630" s="475">
        <f t="shared" si="1519"/>
        <v>58689</v>
      </c>
      <c r="L630" s="822">
        <f t="shared" si="1519"/>
        <v>58716</v>
      </c>
      <c r="M630" s="822">
        <f t="shared" si="1519"/>
        <v>58716</v>
      </c>
      <c r="N630" s="1034">
        <f t="shared" si="1519"/>
        <v>61490</v>
      </c>
      <c r="O630" s="475">
        <f t="shared" si="1519"/>
        <v>63122</v>
      </c>
      <c r="P630" s="475">
        <f t="shared" si="1519"/>
        <v>64353</v>
      </c>
      <c r="Q630" s="822">
        <f t="shared" si="1519"/>
        <v>66105</v>
      </c>
      <c r="R630" s="476">
        <f t="shared" si="1519"/>
        <v>66105</v>
      </c>
      <c r="S630" s="475">
        <f t="shared" si="1519"/>
        <v>66535</v>
      </c>
      <c r="T630" s="475">
        <f t="shared" si="1519"/>
        <v>68197</v>
      </c>
      <c r="U630" s="475">
        <f t="shared" si="1519"/>
        <v>69994</v>
      </c>
      <c r="V630" s="822">
        <f t="shared" si="1519"/>
        <v>72296</v>
      </c>
      <c r="W630" s="476">
        <f t="shared" si="1519"/>
        <v>72296</v>
      </c>
      <c r="X630" s="475">
        <f t="shared" si="1519"/>
        <v>72776</v>
      </c>
      <c r="Y630" s="475">
        <f t="shared" si="1519"/>
        <v>73985</v>
      </c>
      <c r="Z630" s="475">
        <f t="shared" si="1519"/>
        <v>75560</v>
      </c>
      <c r="AA630" s="475">
        <f t="shared" si="1519"/>
        <v>75962</v>
      </c>
      <c r="AB630" s="476">
        <f t="shared" si="1519"/>
        <v>75962</v>
      </c>
      <c r="AC630" s="475">
        <f t="shared" ref="AC630:AN630" si="1520">SUM(AC615:AC629)</f>
        <v>77532</v>
      </c>
      <c r="AD630" s="475">
        <f t="shared" si="1520"/>
        <v>78576</v>
      </c>
      <c r="AE630" s="475">
        <f t="shared" si="1520"/>
        <v>80462</v>
      </c>
      <c r="AF630" s="475">
        <f t="shared" si="1520"/>
        <v>81759</v>
      </c>
      <c r="AG630" s="476">
        <f t="shared" si="1520"/>
        <v>81759</v>
      </c>
      <c r="AH630" s="475">
        <f t="shared" si="1520"/>
        <v>82550.14</v>
      </c>
      <c r="AI630" s="475">
        <f t="shared" si="1520"/>
        <v>83351.2641</v>
      </c>
      <c r="AJ630" s="475">
        <f t="shared" ref="AJ630:AL630" si="1521">SUM(AJ615:AJ629)</f>
        <v>84354.588061499977</v>
      </c>
      <c r="AK630" s="475">
        <f t="shared" si="1521"/>
        <v>85372.961882422489</v>
      </c>
      <c r="AL630" s="476">
        <f t="shared" si="1521"/>
        <v>85372.961882422489</v>
      </c>
      <c r="AM630" s="476">
        <f t="shared" si="1520"/>
        <v>89067.581949091735</v>
      </c>
      <c r="AN630" s="476">
        <f t="shared" si="1520"/>
        <v>92084.775526068319</v>
      </c>
    </row>
    <row r="631" spans="1:40">
      <c r="A631" s="478" t="s">
        <v>598</v>
      </c>
      <c r="B631" s="1035"/>
      <c r="C631" s="480">
        <f>C630-B630</f>
        <v>4919</v>
      </c>
      <c r="D631" s="1035"/>
      <c r="E631" s="479"/>
      <c r="F631" s="479"/>
      <c r="G631" s="1040"/>
      <c r="H631" s="1040">
        <f t="shared" ref="H631:R631" si="1522">H630-C630</f>
        <v>3458</v>
      </c>
      <c r="I631" s="1035">
        <f t="shared" si="1522"/>
        <v>2567</v>
      </c>
      <c r="J631" s="479">
        <f t="shared" si="1522"/>
        <v>2702</v>
      </c>
      <c r="K631" s="479">
        <f t="shared" si="1522"/>
        <v>3201</v>
      </c>
      <c r="L631" s="1040">
        <f t="shared" si="1522"/>
        <v>2569</v>
      </c>
      <c r="M631" s="1040">
        <f>M630-H630</f>
        <v>2569</v>
      </c>
      <c r="N631" s="1035">
        <f t="shared" si="1522"/>
        <v>5223</v>
      </c>
      <c r="O631" s="479">
        <f t="shared" si="1522"/>
        <v>5725</v>
      </c>
      <c r="P631" s="479">
        <f t="shared" si="1522"/>
        <v>5664</v>
      </c>
      <c r="Q631" s="479">
        <f t="shared" si="1522"/>
        <v>7389</v>
      </c>
      <c r="R631" s="480">
        <f t="shared" si="1522"/>
        <v>7389</v>
      </c>
      <c r="S631" s="479">
        <f t="shared" ref="S631:AB631" si="1523">S630-N630</f>
        <v>5045</v>
      </c>
      <c r="T631" s="479">
        <f t="shared" si="1523"/>
        <v>5075</v>
      </c>
      <c r="U631" s="479">
        <f t="shared" si="1523"/>
        <v>5641</v>
      </c>
      <c r="V631" s="479">
        <f t="shared" si="1523"/>
        <v>6191</v>
      </c>
      <c r="W631" s="480">
        <f t="shared" si="1523"/>
        <v>6191</v>
      </c>
      <c r="X631" s="479">
        <f t="shared" si="1523"/>
        <v>6241</v>
      </c>
      <c r="Y631" s="479">
        <f t="shared" si="1523"/>
        <v>5788</v>
      </c>
      <c r="Z631" s="479">
        <f t="shared" si="1523"/>
        <v>5566</v>
      </c>
      <c r="AA631" s="479">
        <f t="shared" si="1523"/>
        <v>3666</v>
      </c>
      <c r="AB631" s="480">
        <f t="shared" si="1523"/>
        <v>3666</v>
      </c>
      <c r="AC631" s="479">
        <f>AC630-X630</f>
        <v>4756</v>
      </c>
      <c r="AD631" s="479">
        <f>AD630-Y630</f>
        <v>4591</v>
      </c>
      <c r="AE631" s="479">
        <f>AE630-Z630</f>
        <v>4902</v>
      </c>
      <c r="AF631" s="479">
        <f>AF630-AA630</f>
        <v>5797</v>
      </c>
      <c r="AG631" s="480">
        <f>AG630-AB630</f>
        <v>5797</v>
      </c>
      <c r="AH631" s="479">
        <f t="shared" ref="AH631:AI631" si="1524">AH630-AC630</f>
        <v>5018.1399999999994</v>
      </c>
      <c r="AI631" s="479">
        <f t="shared" si="1524"/>
        <v>4775.2641000000003</v>
      </c>
      <c r="AJ631" s="479">
        <f>AJ630-AE630</f>
        <v>3892.5880614999769</v>
      </c>
      <c r="AK631" s="479">
        <f>AK630-AF630</f>
        <v>3613.961882422489</v>
      </c>
      <c r="AL631" s="480">
        <f>AL630-AG630</f>
        <v>3613.961882422489</v>
      </c>
      <c r="AM631" s="480">
        <f>AM630-AL630</f>
        <v>3694.6200666692457</v>
      </c>
      <c r="AN631" s="480">
        <f>AN630-AM630</f>
        <v>3017.1935769765842</v>
      </c>
    </row>
    <row r="632" spans="1:40">
      <c r="A632" s="477" t="s">
        <v>1423</v>
      </c>
      <c r="B632" s="1036"/>
      <c r="C632" s="445">
        <f>C631/B630</f>
        <v>0.10297257693112832</v>
      </c>
      <c r="D632" s="1036"/>
      <c r="E632" s="437"/>
      <c r="F632" s="437"/>
      <c r="G632" s="589"/>
      <c r="H632" s="589">
        <f t="shared" ref="H632:R632" si="1525">H631/C630</f>
        <v>6.563039723661486E-2</v>
      </c>
      <c r="I632" s="1036">
        <f t="shared" si="1525"/>
        <v>4.780260707635009E-2</v>
      </c>
      <c r="J632" s="437">
        <f t="shared" si="1525"/>
        <v>4.9401224974860589E-2</v>
      </c>
      <c r="K632" s="437">
        <f t="shared" si="1525"/>
        <v>5.7688148788927335E-2</v>
      </c>
      <c r="L632" s="589">
        <f t="shared" si="1525"/>
        <v>4.5754893404812369E-2</v>
      </c>
      <c r="M632" s="589">
        <f>M631/H630</f>
        <v>4.5754893404812369E-2</v>
      </c>
      <c r="N632" s="1036">
        <f t="shared" si="1525"/>
        <v>9.2825279471093175E-2</v>
      </c>
      <c r="O632" s="481">
        <f t="shared" si="1525"/>
        <v>9.9743889053434842E-2</v>
      </c>
      <c r="P632" s="481">
        <f t="shared" si="1525"/>
        <v>9.6508715432193429E-2</v>
      </c>
      <c r="Q632" s="481">
        <f t="shared" si="1525"/>
        <v>0.12584304107909258</v>
      </c>
      <c r="R632" s="445">
        <f t="shared" si="1525"/>
        <v>0.12584304107909258</v>
      </c>
      <c r="S632" s="481">
        <f t="shared" ref="S632:AB632" si="1526">S631/N630</f>
        <v>8.204586111562856E-2</v>
      </c>
      <c r="T632" s="481">
        <f t="shared" si="1526"/>
        <v>8.0399860587433855E-2</v>
      </c>
      <c r="U632" s="481">
        <f t="shared" si="1526"/>
        <v>8.7657141081223869E-2</v>
      </c>
      <c r="V632" s="481">
        <f t="shared" si="1526"/>
        <v>9.3654035246955605E-2</v>
      </c>
      <c r="W632" s="445">
        <f t="shared" si="1526"/>
        <v>9.3654035246955605E-2</v>
      </c>
      <c r="X632" s="481">
        <f t="shared" si="1526"/>
        <v>9.3800255504621621E-2</v>
      </c>
      <c r="Y632" s="481">
        <f t="shared" si="1526"/>
        <v>8.487176855286889E-2</v>
      </c>
      <c r="Z632" s="481">
        <f t="shared" si="1526"/>
        <v>7.9521101808726458E-2</v>
      </c>
      <c r="AA632" s="481">
        <f t="shared" si="1526"/>
        <v>5.0708199623768949E-2</v>
      </c>
      <c r="AB632" s="445">
        <f t="shared" si="1526"/>
        <v>5.0708199623768949E-2</v>
      </c>
      <c r="AC632" s="481">
        <f>AC631/X630</f>
        <v>6.5351214686160272E-2</v>
      </c>
      <c r="AD632" s="481">
        <f>AD631/Y630</f>
        <v>6.2053118875447726E-2</v>
      </c>
      <c r="AE632" s="481">
        <f>AE631/Z630</f>
        <v>6.4875595553202756E-2</v>
      </c>
      <c r="AF632" s="481">
        <f>AF631/AA630</f>
        <v>7.6314473025986679E-2</v>
      </c>
      <c r="AG632" s="445">
        <f>AG631/AB630</f>
        <v>7.6314473025986679E-2</v>
      </c>
      <c r="AH632" s="481">
        <f t="shared" ref="AH632:AI632" si="1527">AH631/AC630</f>
        <v>6.4723469019243654E-2</v>
      </c>
      <c r="AI632" s="481">
        <f t="shared" si="1527"/>
        <v>6.0772552687843623E-2</v>
      </c>
      <c r="AJ632" s="481">
        <f>AJ631/AE630</f>
        <v>4.837796800352933E-2</v>
      </c>
      <c r="AK632" s="481">
        <f>AK631/AF630</f>
        <v>4.4202618456958734E-2</v>
      </c>
      <c r="AL632" s="445">
        <f>AL631/AG630</f>
        <v>4.4202618456958734E-2</v>
      </c>
      <c r="AM632" s="445">
        <f>AM631/AL630</f>
        <v>4.3276231551595427E-2</v>
      </c>
      <c r="AN632" s="445">
        <f>AN631/AM630</f>
        <v>3.3875328272649392E-2</v>
      </c>
    </row>
    <row r="633" spans="1:40">
      <c r="A633" s="130"/>
      <c r="B633" s="406"/>
      <c r="C633" s="398"/>
      <c r="D633" s="1033"/>
      <c r="E633" s="406"/>
      <c r="F633" s="406"/>
      <c r="G633" s="820"/>
      <c r="H633" s="406"/>
      <c r="I633" s="1033"/>
      <c r="J633" s="406"/>
      <c r="K633" s="406"/>
      <c r="L633" s="820"/>
      <c r="M633" s="406"/>
      <c r="N633" s="401"/>
      <c r="O633" s="401"/>
      <c r="P633" s="401"/>
      <c r="Q633" s="820"/>
      <c r="R633" s="406"/>
      <c r="S633" s="406"/>
      <c r="T633" s="406"/>
      <c r="U633" s="406"/>
      <c r="V633" s="406"/>
      <c r="W633" s="406"/>
      <c r="X633" s="406"/>
      <c r="Y633" s="406"/>
      <c r="Z633" s="406"/>
      <c r="AA633" s="406"/>
      <c r="AB633" s="406"/>
      <c r="AC633" s="406"/>
      <c r="AD633" s="406"/>
      <c r="AE633" s="406"/>
      <c r="AF633" s="406"/>
      <c r="AG633" s="406"/>
      <c r="AH633" s="406"/>
      <c r="AI633" s="406"/>
      <c r="AJ633" s="406"/>
      <c r="AK633" s="406"/>
      <c r="AL633" s="406"/>
      <c r="AM633" s="406"/>
      <c r="AN633" s="406"/>
    </row>
    <row r="634" spans="1:40">
      <c r="A634" s="130"/>
      <c r="B634" s="406"/>
      <c r="C634" s="398"/>
      <c r="D634" s="1033"/>
      <c r="E634" s="406"/>
      <c r="F634" s="406"/>
      <c r="G634" s="820"/>
      <c r="H634" s="406"/>
      <c r="I634" s="1033"/>
      <c r="J634" s="406"/>
      <c r="K634" s="406"/>
      <c r="L634" s="820"/>
      <c r="M634" s="406"/>
      <c r="N634" s="401"/>
      <c r="O634" s="401"/>
      <c r="P634" s="401"/>
      <c r="Q634" s="820"/>
      <c r="R634" s="406"/>
      <c r="S634" s="406"/>
      <c r="T634" s="406"/>
      <c r="U634" s="406"/>
      <c r="V634" s="406"/>
      <c r="W634" s="406"/>
      <c r="X634" s="406"/>
      <c r="Y634" s="406"/>
      <c r="Z634" s="406"/>
      <c r="AA634" s="406"/>
      <c r="AB634" s="406"/>
      <c r="AC634" s="406"/>
      <c r="AD634" s="406"/>
      <c r="AE634" s="406"/>
      <c r="AF634" s="406"/>
      <c r="AG634" s="406"/>
      <c r="AH634" s="406"/>
      <c r="AI634" s="406"/>
      <c r="AJ634" s="406"/>
      <c r="AK634" s="406"/>
      <c r="AL634" s="406"/>
      <c r="AM634" s="406"/>
      <c r="AN634" s="406"/>
    </row>
    <row r="635" spans="1:40" s="775" customFormat="1">
      <c r="A635" s="461" t="s">
        <v>1413</v>
      </c>
      <c r="B635" s="1037" t="str">
        <f>+Hilton!E$5</f>
        <v>2010</v>
      </c>
      <c r="C635" s="774" t="str">
        <f>+Hilton!F$5</f>
        <v>2011</v>
      </c>
      <c r="D635" s="1037" t="str">
        <f>+Hilton!G$5</f>
        <v>1Q12</v>
      </c>
      <c r="E635" s="773" t="str">
        <f>+Hilton!H$5</f>
        <v>2Q12</v>
      </c>
      <c r="F635" s="773" t="str">
        <f>+Hilton!I$5</f>
        <v>3Q12</v>
      </c>
      <c r="G635" s="776" t="str">
        <f>+Hilton!J$5</f>
        <v>4Q12</v>
      </c>
      <c r="H635" s="776">
        <f>+Hilton!K$5</f>
        <v>2012</v>
      </c>
      <c r="I635" s="1037" t="str">
        <f>+Hilton!L$5</f>
        <v>1Q13</v>
      </c>
      <c r="J635" s="773" t="str">
        <f>+Hilton!M$5</f>
        <v>2Q13</v>
      </c>
      <c r="K635" s="773" t="str">
        <f>+Hilton!N$5</f>
        <v>3Q13</v>
      </c>
      <c r="L635" s="776" t="str">
        <f>+Hilton!O$5</f>
        <v>4Q13</v>
      </c>
      <c r="M635" s="776">
        <f>+Hilton!P$5</f>
        <v>2013</v>
      </c>
      <c r="N635" s="773" t="str">
        <f>+Hilton!Q$5</f>
        <v>1Q14</v>
      </c>
      <c r="O635" s="773" t="str">
        <f>+Hilton!R$5</f>
        <v>2Q14</v>
      </c>
      <c r="P635" s="773" t="str">
        <f>+Hilton!S$5</f>
        <v>3Q14</v>
      </c>
      <c r="Q635" s="776" t="str">
        <f>+Hilton!T$5</f>
        <v>4Q14</v>
      </c>
      <c r="R635" s="774">
        <f>+Hilton!U$5</f>
        <v>2014</v>
      </c>
      <c r="S635" s="773" t="str">
        <f>+Hilton!V$5</f>
        <v>1Q15</v>
      </c>
      <c r="T635" s="773" t="str">
        <f>+Hilton!W$5</f>
        <v>2Q15</v>
      </c>
      <c r="U635" s="773" t="str">
        <f>+Hilton!X$5</f>
        <v>3Q15</v>
      </c>
      <c r="V635" s="776" t="str">
        <f>+Hilton!Y$5</f>
        <v>4Q15</v>
      </c>
      <c r="W635" s="774">
        <f>+Hilton!Z$5</f>
        <v>2015</v>
      </c>
      <c r="X635" s="773" t="str">
        <f>+Hilton!AA$5</f>
        <v>1Q16</v>
      </c>
      <c r="Y635" s="773" t="str">
        <f>+Hilton!AB$5</f>
        <v>2Q16</v>
      </c>
      <c r="Z635" s="773" t="str">
        <f>+Hilton!AC$5</f>
        <v>3Q16</v>
      </c>
      <c r="AA635" s="773" t="str">
        <f>+Hilton!AD$5</f>
        <v>4Q16</v>
      </c>
      <c r="AB635" s="774">
        <f>+Hilton!AE$5</f>
        <v>2016</v>
      </c>
      <c r="AC635" s="773" t="str">
        <f>+Hilton!AF$5</f>
        <v>1Q17</v>
      </c>
      <c r="AD635" s="773" t="str">
        <f>+Hilton!AG$5</f>
        <v>2Q17</v>
      </c>
      <c r="AE635" s="773" t="str">
        <f>+Hilton!AH$5</f>
        <v>3Q17</v>
      </c>
      <c r="AF635" s="776" t="str">
        <f>+Hilton!AI$5</f>
        <v>4Q17A</v>
      </c>
      <c r="AG635" s="774" t="str">
        <f>+Hilton!AJ$5</f>
        <v>2017A</v>
      </c>
      <c r="AH635" s="773" t="str">
        <f>+Hilton!AK$5</f>
        <v>1Q18E</v>
      </c>
      <c r="AI635" s="773" t="str">
        <f>+Hilton!AL$5</f>
        <v>2Q18E</v>
      </c>
      <c r="AJ635" s="773" t="str">
        <f>+Hilton!AM$5</f>
        <v>3Q18E</v>
      </c>
      <c r="AK635" s="776" t="str">
        <f>+Hilton!AN$5</f>
        <v>4Q18E</v>
      </c>
      <c r="AL635" s="774" t="str">
        <f>+Hilton!AO$5</f>
        <v>2018E</v>
      </c>
      <c r="AM635" s="774" t="str">
        <f>+Hilton!AP$5</f>
        <v>2019E</v>
      </c>
      <c r="AN635" s="774" t="str">
        <f>+Hilton!AQ$5</f>
        <v>2020E</v>
      </c>
    </row>
    <row r="636" spans="1:40" s="130" customFormat="1">
      <c r="A636" s="140"/>
      <c r="B636" s="1038"/>
      <c r="C636" s="397"/>
      <c r="D636" s="1038"/>
      <c r="E636" s="203"/>
      <c r="F636" s="203"/>
      <c r="G636" s="572"/>
      <c r="H636" s="572"/>
      <c r="I636" s="1038"/>
      <c r="J636" s="203"/>
      <c r="K636" s="203"/>
      <c r="L636" s="572"/>
      <c r="M636" s="572"/>
      <c r="N636" s="203"/>
      <c r="O636" s="203"/>
      <c r="P636" s="203"/>
      <c r="Q636" s="572"/>
      <c r="R636" s="397"/>
      <c r="S636" s="1038"/>
      <c r="T636" s="203"/>
      <c r="U636" s="203"/>
      <c r="V636" s="572"/>
      <c r="W636" s="397"/>
      <c r="X636" s="1038"/>
      <c r="Y636" s="203"/>
      <c r="Z636" s="203"/>
      <c r="AA636" s="203"/>
      <c r="AB636" s="397"/>
      <c r="AC636" s="203"/>
      <c r="AD636" s="203"/>
      <c r="AE636" s="203"/>
      <c r="AF636" s="572"/>
      <c r="AG636" s="397"/>
      <c r="AH636" s="203"/>
      <c r="AI636" s="203"/>
      <c r="AJ636" s="203"/>
      <c r="AK636" s="572"/>
      <c r="AL636" s="397"/>
      <c r="AM636" s="397"/>
      <c r="AN636" s="397"/>
    </row>
    <row r="637" spans="1:40">
      <c r="A637" s="141" t="s">
        <v>1589</v>
      </c>
      <c r="B637" s="394"/>
      <c r="C637" s="138"/>
      <c r="D637" s="394"/>
      <c r="E637" s="135"/>
      <c r="F637" s="135"/>
      <c r="G637" s="452"/>
      <c r="H637" s="452"/>
      <c r="I637" s="394"/>
      <c r="J637" s="135"/>
      <c r="K637" s="135"/>
      <c r="L637" s="452"/>
      <c r="M637" s="452"/>
      <c r="N637" s="130"/>
      <c r="O637" s="130"/>
      <c r="P637" s="130"/>
      <c r="Q637" s="452"/>
      <c r="R637" s="138"/>
      <c r="S637" s="394"/>
      <c r="T637" s="135"/>
      <c r="U637" s="135"/>
      <c r="V637" s="452"/>
      <c r="W637" s="138"/>
      <c r="X637" s="394"/>
      <c r="Y637" s="135"/>
      <c r="Z637" s="135"/>
      <c r="AA637" s="135"/>
      <c r="AB637" s="138"/>
      <c r="AC637" s="135"/>
      <c r="AD637" s="135"/>
      <c r="AE637" s="135"/>
      <c r="AF637" s="452"/>
      <c r="AG637" s="138"/>
      <c r="AH637" s="135"/>
      <c r="AI637" s="135"/>
      <c r="AJ637" s="135"/>
      <c r="AK637" s="452"/>
      <c r="AL637" s="138"/>
      <c r="AM637" s="138"/>
      <c r="AN637" s="138"/>
    </row>
    <row r="638" spans="1:40">
      <c r="A638" s="130" t="s">
        <v>2272</v>
      </c>
      <c r="B638" s="1030">
        <v>0</v>
      </c>
      <c r="C638" s="508">
        <v>0</v>
      </c>
      <c r="D638" s="1030">
        <v>0</v>
      </c>
      <c r="E638" s="912">
        <v>0</v>
      </c>
      <c r="F638" s="912">
        <v>0</v>
      </c>
      <c r="G638" s="1041">
        <v>0</v>
      </c>
      <c r="H638" s="820">
        <f>G638</f>
        <v>0</v>
      </c>
      <c r="I638" s="1030">
        <v>0</v>
      </c>
      <c r="J638" s="912">
        <v>0</v>
      </c>
      <c r="K638" s="912">
        <v>0</v>
      </c>
      <c r="L638" s="1041">
        <v>0</v>
      </c>
      <c r="M638" s="820">
        <f>L638</f>
        <v>0</v>
      </c>
      <c r="N638" s="1030">
        <v>0</v>
      </c>
      <c r="O638" s="912">
        <v>0</v>
      </c>
      <c r="P638" s="912">
        <v>0</v>
      </c>
      <c r="Q638" s="1041">
        <v>0</v>
      </c>
      <c r="R638" s="820">
        <f t="shared" ref="R638:R650" si="1528">Q638</f>
        <v>0</v>
      </c>
      <c r="S638" s="1030">
        <v>0</v>
      </c>
      <c r="T638" s="912">
        <v>0</v>
      </c>
      <c r="U638" s="912">
        <v>0</v>
      </c>
      <c r="V638" s="912">
        <v>0</v>
      </c>
      <c r="W638" s="398">
        <f>V638</f>
        <v>0</v>
      </c>
      <c r="X638" s="2787">
        <v>0</v>
      </c>
      <c r="Y638" s="2791">
        <v>0</v>
      </c>
      <c r="Z638" s="2791">
        <v>0</v>
      </c>
      <c r="AA638" s="2791">
        <v>0</v>
      </c>
      <c r="AB638" s="398">
        <f>AA638</f>
        <v>0</v>
      </c>
      <c r="AC638" s="406">
        <f t="shared" ref="AC638:AC650" si="1529">AB638</f>
        <v>0</v>
      </c>
      <c r="AD638" s="406">
        <f t="shared" ref="AD638:AD650" si="1530">AC638</f>
        <v>0</v>
      </c>
      <c r="AE638" s="3665">
        <v>0</v>
      </c>
      <c r="AF638" s="820">
        <f t="shared" ref="AF638:AG650" si="1531">AE638</f>
        <v>0</v>
      </c>
      <c r="AG638" s="820">
        <f t="shared" si="1531"/>
        <v>0</v>
      </c>
      <c r="AH638" s="406">
        <f t="shared" ref="AH638:AH639" si="1532">AG638</f>
        <v>0</v>
      </c>
      <c r="AI638" s="406">
        <f t="shared" ref="AI638:AI639" si="1533">AH638</f>
        <v>0</v>
      </c>
      <c r="AJ638" s="406">
        <f t="shared" ref="AJ638:AJ639" si="1534">AI638</f>
        <v>0</v>
      </c>
      <c r="AK638" s="820">
        <f t="shared" ref="AK638:AK639" si="1535">AJ638</f>
        <v>0</v>
      </c>
      <c r="AL638" s="820">
        <f t="shared" ref="AL638:AL639" si="1536">AK638</f>
        <v>0</v>
      </c>
      <c r="AM638" s="398">
        <f t="shared" ref="AM638:AN650" si="1537">AL638</f>
        <v>0</v>
      </c>
      <c r="AN638" s="398">
        <f t="shared" si="1537"/>
        <v>0</v>
      </c>
    </row>
    <row r="639" spans="1:40">
      <c r="A639" s="130" t="s">
        <v>2273</v>
      </c>
      <c r="B639" s="1030">
        <v>617</v>
      </c>
      <c r="C639" s="508">
        <v>617</v>
      </c>
      <c r="D639" s="1030">
        <v>617</v>
      </c>
      <c r="E639" s="912">
        <v>617</v>
      </c>
      <c r="F639" s="912">
        <v>617</v>
      </c>
      <c r="G639" s="1041">
        <v>617</v>
      </c>
      <c r="H639" s="820">
        <f t="shared" ref="H639:H650" si="1538">G639</f>
        <v>617</v>
      </c>
      <c r="I639" s="1030">
        <v>617</v>
      </c>
      <c r="J639" s="912">
        <v>617</v>
      </c>
      <c r="K639" s="912">
        <v>617</v>
      </c>
      <c r="L639" s="1041">
        <v>617</v>
      </c>
      <c r="M639" s="820">
        <f t="shared" ref="M639:M650" si="1539">L639</f>
        <v>617</v>
      </c>
      <c r="N639" s="1030">
        <v>587</v>
      </c>
      <c r="O639" s="912">
        <f>N639</f>
        <v>587</v>
      </c>
      <c r="P639" s="912">
        <v>614</v>
      </c>
      <c r="Q639" s="1041">
        <v>614</v>
      </c>
      <c r="R639" s="820">
        <f t="shared" si="1528"/>
        <v>614</v>
      </c>
      <c r="S639" s="1030">
        <v>614</v>
      </c>
      <c r="T639" s="912">
        <v>614</v>
      </c>
      <c r="U639" s="912">
        <v>614</v>
      </c>
      <c r="V639" s="912">
        <v>614</v>
      </c>
      <c r="W639" s="398">
        <f>V639</f>
        <v>614</v>
      </c>
      <c r="X639" s="2787">
        <v>614</v>
      </c>
      <c r="Y639" s="2791">
        <v>614</v>
      </c>
      <c r="Z639" s="2791">
        <v>614</v>
      </c>
      <c r="AA639" s="2791">
        <v>614</v>
      </c>
      <c r="AB639" s="398">
        <f>AA639</f>
        <v>614</v>
      </c>
      <c r="AC639" s="406">
        <f t="shared" si="1529"/>
        <v>614</v>
      </c>
      <c r="AD639" s="406">
        <f t="shared" si="1530"/>
        <v>614</v>
      </c>
      <c r="AE639" s="3665">
        <v>614</v>
      </c>
      <c r="AF639" s="3665">
        <v>614</v>
      </c>
      <c r="AG639" s="398">
        <f t="shared" si="1531"/>
        <v>614</v>
      </c>
      <c r="AH639" s="406">
        <f t="shared" si="1532"/>
        <v>614</v>
      </c>
      <c r="AI639" s="406">
        <f t="shared" si="1533"/>
        <v>614</v>
      </c>
      <c r="AJ639" s="406">
        <f t="shared" si="1534"/>
        <v>614</v>
      </c>
      <c r="AK639" s="820">
        <f t="shared" si="1535"/>
        <v>614</v>
      </c>
      <c r="AL639" s="820">
        <f t="shared" si="1536"/>
        <v>614</v>
      </c>
      <c r="AM639" s="398">
        <f t="shared" si="1537"/>
        <v>614</v>
      </c>
      <c r="AN639" s="398">
        <f t="shared" si="1537"/>
        <v>614</v>
      </c>
    </row>
    <row r="640" spans="1:40">
      <c r="A640" s="1828" t="s">
        <v>3022</v>
      </c>
      <c r="B640" s="1030"/>
      <c r="C640" s="508"/>
      <c r="D640" s="1030"/>
      <c r="E640" s="912"/>
      <c r="F640" s="912"/>
      <c r="G640" s="1041"/>
      <c r="H640" s="820"/>
      <c r="I640" s="1030"/>
      <c r="J640" s="912"/>
      <c r="K640" s="912"/>
      <c r="L640" s="1041"/>
      <c r="M640" s="820"/>
      <c r="N640" s="1030"/>
      <c r="O640" s="912"/>
      <c r="P640" s="912"/>
      <c r="Q640" s="1041"/>
      <c r="R640" s="820"/>
      <c r="S640" s="1030"/>
      <c r="T640" s="912"/>
      <c r="U640" s="912"/>
      <c r="V640" s="912"/>
      <c r="W640" s="398"/>
      <c r="X640" s="2791"/>
      <c r="Y640" s="2791"/>
      <c r="Z640" s="2791"/>
      <c r="AA640" s="2791">
        <v>0</v>
      </c>
      <c r="AB640" s="398">
        <f t="shared" ref="AB640:AG640" si="1540">+AA640</f>
        <v>0</v>
      </c>
      <c r="AC640" s="2944">
        <f t="shared" si="1540"/>
        <v>0</v>
      </c>
      <c r="AD640" s="406">
        <f t="shared" si="1540"/>
        <v>0</v>
      </c>
      <c r="AE640" s="3665">
        <v>0</v>
      </c>
      <c r="AF640" s="406">
        <f t="shared" si="1540"/>
        <v>0</v>
      </c>
      <c r="AG640" s="398">
        <f t="shared" si="1540"/>
        <v>0</v>
      </c>
      <c r="AH640" s="406">
        <f t="shared" ref="AH640" si="1541">+AG640</f>
        <v>0</v>
      </c>
      <c r="AI640" s="406">
        <f t="shared" ref="AI640" si="1542">+AH640</f>
        <v>0</v>
      </c>
      <c r="AJ640" s="406">
        <f t="shared" ref="AJ640" si="1543">+AI640</f>
        <v>0</v>
      </c>
      <c r="AK640" s="820">
        <f t="shared" ref="AK640" si="1544">+AJ640</f>
        <v>0</v>
      </c>
      <c r="AL640" s="398">
        <f t="shared" ref="AL640" si="1545">+AK640</f>
        <v>0</v>
      </c>
      <c r="AM640" s="398">
        <f t="shared" si="1537"/>
        <v>0</v>
      </c>
      <c r="AN640" s="398">
        <f t="shared" si="1537"/>
        <v>0</v>
      </c>
    </row>
    <row r="641" spans="1:40">
      <c r="A641" s="130" t="s">
        <v>2280</v>
      </c>
      <c r="B641" s="1030">
        <v>2278</v>
      </c>
      <c r="C641" s="508">
        <v>2279</v>
      </c>
      <c r="D641" s="1030">
        <v>2279</v>
      </c>
      <c r="E641" s="912">
        <v>2279</v>
      </c>
      <c r="F641" s="912">
        <v>2279</v>
      </c>
      <c r="G641" s="1041">
        <v>2279</v>
      </c>
      <c r="H641" s="820">
        <f t="shared" si="1538"/>
        <v>2279</v>
      </c>
      <c r="I641" s="1030">
        <v>2279</v>
      </c>
      <c r="J641" s="912">
        <v>2279</v>
      </c>
      <c r="K641" s="912">
        <v>2279</v>
      </c>
      <c r="L641" s="1041">
        <v>2279</v>
      </c>
      <c r="M641" s="820">
        <f t="shared" si="1539"/>
        <v>2279</v>
      </c>
      <c r="N641" s="1030">
        <v>2279</v>
      </c>
      <c r="O641" s="912">
        <v>2276</v>
      </c>
      <c r="P641" s="912">
        <v>2276</v>
      </c>
      <c r="Q641" s="1041">
        <v>2276</v>
      </c>
      <c r="R641" s="820">
        <f t="shared" si="1528"/>
        <v>2276</v>
      </c>
      <c r="S641" s="1030">
        <v>2276</v>
      </c>
      <c r="T641" s="912">
        <v>2276</v>
      </c>
      <c r="U641" s="912">
        <v>2276</v>
      </c>
      <c r="V641" s="912">
        <v>2276</v>
      </c>
      <c r="W641" s="398">
        <f>V641</f>
        <v>2276</v>
      </c>
      <c r="X641" s="2787">
        <v>2276</v>
      </c>
      <c r="Y641" s="2791">
        <v>2276</v>
      </c>
      <c r="Z641" s="2791">
        <v>2279</v>
      </c>
      <c r="AA641" s="2791">
        <v>2279</v>
      </c>
      <c r="AB641" s="398">
        <f t="shared" ref="AB641:AB650" si="1546">AA641</f>
        <v>2279</v>
      </c>
      <c r="AC641" s="2944">
        <f>AB641-'Owned Hotels Spinoff'!D78</f>
        <v>1952</v>
      </c>
      <c r="AD641" s="406">
        <f t="shared" si="1530"/>
        <v>1952</v>
      </c>
      <c r="AE641" s="3665">
        <v>1998</v>
      </c>
      <c r="AF641" s="3665">
        <v>1998</v>
      </c>
      <c r="AG641" s="398">
        <f t="shared" si="1531"/>
        <v>1998</v>
      </c>
      <c r="AH641" s="406">
        <f t="shared" ref="AH641:AH650" si="1547">AG641</f>
        <v>1998</v>
      </c>
      <c r="AI641" s="406">
        <f t="shared" ref="AI641:AI650" si="1548">AH641</f>
        <v>1998</v>
      </c>
      <c r="AJ641" s="406">
        <f t="shared" ref="AJ641:AJ650" si="1549">AI641</f>
        <v>1998</v>
      </c>
      <c r="AK641" s="820">
        <f t="shared" ref="AK641:AK650" si="1550">AJ641</f>
        <v>1998</v>
      </c>
      <c r="AL641" s="820">
        <f t="shared" ref="AL641" si="1551">AK641</f>
        <v>1998</v>
      </c>
      <c r="AM641" s="398">
        <f t="shared" si="1537"/>
        <v>1998</v>
      </c>
      <c r="AN641" s="398">
        <f t="shared" si="1537"/>
        <v>1998</v>
      </c>
    </row>
    <row r="642" spans="1:40">
      <c r="A642" s="130" t="str">
        <f>A$13</f>
        <v xml:space="preserve">Curio - A Collection by Hilton </v>
      </c>
      <c r="B642" s="1030"/>
      <c r="C642" s="508"/>
      <c r="D642" s="1030"/>
      <c r="E642" s="912"/>
      <c r="F642" s="912"/>
      <c r="G642" s="1041"/>
      <c r="H642" s="820"/>
      <c r="I642" s="1030"/>
      <c r="J642" s="912"/>
      <c r="K642" s="912"/>
      <c r="L642" s="1041"/>
      <c r="M642" s="820"/>
      <c r="N642" s="1030"/>
      <c r="O642" s="912"/>
      <c r="P642" s="912"/>
      <c r="Q642" s="1041"/>
      <c r="R642" s="820"/>
      <c r="S642" s="1030">
        <v>0</v>
      </c>
      <c r="T642" s="912">
        <v>0</v>
      </c>
      <c r="U642" s="912">
        <v>0</v>
      </c>
      <c r="V642" s="912">
        <v>0</v>
      </c>
      <c r="W642" s="398">
        <f>V642</f>
        <v>0</v>
      </c>
      <c r="X642" s="2787">
        <v>0</v>
      </c>
      <c r="Y642" s="2791">
        <v>0</v>
      </c>
      <c r="Z642" s="2791">
        <v>0</v>
      </c>
      <c r="AA642" s="2791">
        <v>0</v>
      </c>
      <c r="AB642" s="398">
        <f t="shared" si="1546"/>
        <v>0</v>
      </c>
      <c r="AC642" s="406">
        <f t="shared" si="1529"/>
        <v>0</v>
      </c>
      <c r="AD642" s="406">
        <f t="shared" si="1530"/>
        <v>0</v>
      </c>
      <c r="AE642" s="3665">
        <v>0</v>
      </c>
      <c r="AF642" s="820">
        <f t="shared" si="1531"/>
        <v>0</v>
      </c>
      <c r="AG642" s="820">
        <f>AF642</f>
        <v>0</v>
      </c>
      <c r="AH642" s="406">
        <f t="shared" si="1547"/>
        <v>0</v>
      </c>
      <c r="AI642" s="406">
        <f t="shared" si="1548"/>
        <v>0</v>
      </c>
      <c r="AJ642" s="406">
        <f t="shared" si="1549"/>
        <v>0</v>
      </c>
      <c r="AK642" s="820">
        <f t="shared" si="1550"/>
        <v>0</v>
      </c>
      <c r="AL642" s="820">
        <f>AK642</f>
        <v>0</v>
      </c>
      <c r="AM642" s="398">
        <f>AL642</f>
        <v>0</v>
      </c>
      <c r="AN642" s="398">
        <f>AM642</f>
        <v>0</v>
      </c>
    </row>
    <row r="643" spans="1:40">
      <c r="A643" s="130" t="s">
        <v>2274</v>
      </c>
      <c r="B643" s="1030">
        <v>0</v>
      </c>
      <c r="C643" s="508">
        <v>0</v>
      </c>
      <c r="D643" s="1030">
        <v>0</v>
      </c>
      <c r="E643" s="912">
        <v>0</v>
      </c>
      <c r="F643" s="912">
        <v>0</v>
      </c>
      <c r="G643" s="1041">
        <v>0</v>
      </c>
      <c r="H643" s="820">
        <f t="shared" si="1538"/>
        <v>0</v>
      </c>
      <c r="I643" s="1030">
        <v>0</v>
      </c>
      <c r="J643" s="912">
        <v>0</v>
      </c>
      <c r="K643" s="912">
        <v>0</v>
      </c>
      <c r="L643" s="1041">
        <v>0</v>
      </c>
      <c r="M643" s="820">
        <f t="shared" si="1539"/>
        <v>0</v>
      </c>
      <c r="N643" s="1030">
        <v>0</v>
      </c>
      <c r="O643" s="912">
        <v>0</v>
      </c>
      <c r="P643" s="912">
        <v>0</v>
      </c>
      <c r="Q643" s="1041">
        <v>0</v>
      </c>
      <c r="R643" s="820">
        <f t="shared" si="1528"/>
        <v>0</v>
      </c>
      <c r="S643" s="1030">
        <v>0</v>
      </c>
      <c r="T643" s="912">
        <v>0</v>
      </c>
      <c r="U643" s="912">
        <v>0</v>
      </c>
      <c r="V643" s="912">
        <v>0</v>
      </c>
      <c r="W643" s="398">
        <f t="shared" ref="W643:W650" si="1552">V643</f>
        <v>0</v>
      </c>
      <c r="X643" s="2787">
        <v>0</v>
      </c>
      <c r="Y643" s="2791">
        <v>0</v>
      </c>
      <c r="Z643" s="2791">
        <v>0</v>
      </c>
      <c r="AA643" s="2791">
        <v>0</v>
      </c>
      <c r="AB643" s="398">
        <f t="shared" si="1546"/>
        <v>0</v>
      </c>
      <c r="AC643" s="406">
        <f t="shared" si="1529"/>
        <v>0</v>
      </c>
      <c r="AD643" s="406">
        <f t="shared" si="1530"/>
        <v>0</v>
      </c>
      <c r="AE643" s="3665">
        <v>0</v>
      </c>
      <c r="AF643" s="820">
        <f t="shared" si="1531"/>
        <v>0</v>
      </c>
      <c r="AG643" s="820">
        <f t="shared" si="1531"/>
        <v>0</v>
      </c>
      <c r="AH643" s="406">
        <f t="shared" si="1547"/>
        <v>0</v>
      </c>
      <c r="AI643" s="406">
        <f t="shared" si="1548"/>
        <v>0</v>
      </c>
      <c r="AJ643" s="406">
        <f t="shared" si="1549"/>
        <v>0</v>
      </c>
      <c r="AK643" s="820">
        <f t="shared" si="1550"/>
        <v>0</v>
      </c>
      <c r="AL643" s="820">
        <f t="shared" ref="AL643:AL650" si="1553">AK643</f>
        <v>0</v>
      </c>
      <c r="AM643" s="398">
        <f t="shared" si="1537"/>
        <v>0</v>
      </c>
      <c r="AN643" s="398">
        <f t="shared" si="1537"/>
        <v>0</v>
      </c>
    </row>
    <row r="644" spans="1:40">
      <c r="A644" s="130" t="s">
        <v>2279</v>
      </c>
      <c r="B644" s="1030">
        <v>0</v>
      </c>
      <c r="C644" s="508">
        <v>0</v>
      </c>
      <c r="D644" s="1030">
        <v>0</v>
      </c>
      <c r="E644" s="912">
        <v>0</v>
      </c>
      <c r="F644" s="912">
        <v>0</v>
      </c>
      <c r="G644" s="1041">
        <v>0</v>
      </c>
      <c r="H644" s="820">
        <f t="shared" si="1538"/>
        <v>0</v>
      </c>
      <c r="I644" s="1030">
        <v>0</v>
      </c>
      <c r="J644" s="912">
        <v>0</v>
      </c>
      <c r="K644" s="912">
        <v>0</v>
      </c>
      <c r="L644" s="1041">
        <v>0</v>
      </c>
      <c r="M644" s="820">
        <f t="shared" si="1539"/>
        <v>0</v>
      </c>
      <c r="N644" s="1030">
        <v>0</v>
      </c>
      <c r="O644" s="912">
        <v>0</v>
      </c>
      <c r="P644" s="912">
        <v>0</v>
      </c>
      <c r="Q644" s="1041">
        <v>0</v>
      </c>
      <c r="R644" s="820">
        <f t="shared" si="1528"/>
        <v>0</v>
      </c>
      <c r="S644" s="1030">
        <v>0</v>
      </c>
      <c r="T644" s="912">
        <v>0</v>
      </c>
      <c r="U644" s="912">
        <v>0</v>
      </c>
      <c r="V644" s="912">
        <v>0</v>
      </c>
      <c r="W644" s="398">
        <f t="shared" si="1552"/>
        <v>0</v>
      </c>
      <c r="X644" s="2787">
        <v>0</v>
      </c>
      <c r="Y644" s="2791">
        <v>0</v>
      </c>
      <c r="Z644" s="2791">
        <v>0</v>
      </c>
      <c r="AA644" s="2791">
        <v>0</v>
      </c>
      <c r="AB644" s="398">
        <f t="shared" si="1546"/>
        <v>0</v>
      </c>
      <c r="AC644" s="406">
        <f t="shared" si="1529"/>
        <v>0</v>
      </c>
      <c r="AD644" s="406">
        <f t="shared" si="1530"/>
        <v>0</v>
      </c>
      <c r="AE644" s="3665">
        <v>0</v>
      </c>
      <c r="AF644" s="820">
        <f t="shared" si="1531"/>
        <v>0</v>
      </c>
      <c r="AG644" s="820">
        <f t="shared" si="1531"/>
        <v>0</v>
      </c>
      <c r="AH644" s="406">
        <f t="shared" si="1547"/>
        <v>0</v>
      </c>
      <c r="AI644" s="406">
        <f t="shared" si="1548"/>
        <v>0</v>
      </c>
      <c r="AJ644" s="406">
        <f t="shared" si="1549"/>
        <v>0</v>
      </c>
      <c r="AK644" s="820">
        <f t="shared" si="1550"/>
        <v>0</v>
      </c>
      <c r="AL644" s="820">
        <f t="shared" si="1553"/>
        <v>0</v>
      </c>
      <c r="AM644" s="398">
        <f t="shared" si="1537"/>
        <v>0</v>
      </c>
      <c r="AN644" s="398">
        <f t="shared" si="1537"/>
        <v>0</v>
      </c>
    </row>
    <row r="645" spans="1:40">
      <c r="A645" s="130" t="s">
        <v>2275</v>
      </c>
      <c r="B645" s="1030">
        <v>0</v>
      </c>
      <c r="C645" s="508">
        <v>0</v>
      </c>
      <c r="D645" s="1030">
        <v>0</v>
      </c>
      <c r="E645" s="912">
        <v>0</v>
      </c>
      <c r="F645" s="912">
        <v>0</v>
      </c>
      <c r="G645" s="1041">
        <v>0</v>
      </c>
      <c r="H645" s="820">
        <f t="shared" si="1538"/>
        <v>0</v>
      </c>
      <c r="I645" s="1030">
        <v>0</v>
      </c>
      <c r="J645" s="912">
        <v>0</v>
      </c>
      <c r="K645" s="912">
        <v>0</v>
      </c>
      <c r="L645" s="1041">
        <v>0</v>
      </c>
      <c r="M645" s="820">
        <f t="shared" si="1539"/>
        <v>0</v>
      </c>
      <c r="N645" s="1030">
        <v>0</v>
      </c>
      <c r="O645" s="912">
        <v>0</v>
      </c>
      <c r="P645" s="912">
        <v>0</v>
      </c>
      <c r="Q645" s="1041">
        <v>0</v>
      </c>
      <c r="R645" s="820">
        <f t="shared" si="1528"/>
        <v>0</v>
      </c>
      <c r="S645" s="1030">
        <v>0</v>
      </c>
      <c r="T645" s="912">
        <v>0</v>
      </c>
      <c r="U645" s="912">
        <v>0</v>
      </c>
      <c r="V645" s="912">
        <v>0</v>
      </c>
      <c r="W645" s="398">
        <f t="shared" si="1552"/>
        <v>0</v>
      </c>
      <c r="X645" s="2787">
        <v>0</v>
      </c>
      <c r="Y645" s="2791">
        <v>0</v>
      </c>
      <c r="Z645" s="2791">
        <v>0</v>
      </c>
      <c r="AA645" s="2791">
        <v>0</v>
      </c>
      <c r="AB645" s="398">
        <f t="shared" si="1546"/>
        <v>0</v>
      </c>
      <c r="AC645" s="406">
        <f t="shared" si="1529"/>
        <v>0</v>
      </c>
      <c r="AD645" s="406">
        <f t="shared" si="1530"/>
        <v>0</v>
      </c>
      <c r="AE645" s="3665">
        <v>0</v>
      </c>
      <c r="AF645" s="820">
        <f t="shared" si="1531"/>
        <v>0</v>
      </c>
      <c r="AG645" s="820">
        <f t="shared" si="1531"/>
        <v>0</v>
      </c>
      <c r="AH645" s="406">
        <f t="shared" si="1547"/>
        <v>0</v>
      </c>
      <c r="AI645" s="406">
        <f t="shared" si="1548"/>
        <v>0</v>
      </c>
      <c r="AJ645" s="406">
        <f t="shared" si="1549"/>
        <v>0</v>
      </c>
      <c r="AK645" s="820">
        <f t="shared" si="1550"/>
        <v>0</v>
      </c>
      <c r="AL645" s="820">
        <f t="shared" si="1553"/>
        <v>0</v>
      </c>
      <c r="AM645" s="398">
        <f t="shared" si="1537"/>
        <v>0</v>
      </c>
      <c r="AN645" s="398">
        <f t="shared" si="1537"/>
        <v>0</v>
      </c>
    </row>
    <row r="646" spans="1:40">
      <c r="A646" s="130" t="s">
        <v>2277</v>
      </c>
      <c r="B646" s="1030">
        <v>0</v>
      </c>
      <c r="C646" s="508">
        <v>0</v>
      </c>
      <c r="D646" s="1030">
        <v>0</v>
      </c>
      <c r="E646" s="912">
        <v>0</v>
      </c>
      <c r="F646" s="912">
        <v>0</v>
      </c>
      <c r="G646" s="1041">
        <v>0</v>
      </c>
      <c r="H646" s="820">
        <f t="shared" si="1538"/>
        <v>0</v>
      </c>
      <c r="I646" s="1030">
        <v>0</v>
      </c>
      <c r="J646" s="912">
        <v>0</v>
      </c>
      <c r="K646" s="912">
        <v>0</v>
      </c>
      <c r="L646" s="1041">
        <v>0</v>
      </c>
      <c r="M646" s="820">
        <f t="shared" si="1539"/>
        <v>0</v>
      </c>
      <c r="N646" s="1030">
        <v>0</v>
      </c>
      <c r="O646" s="912">
        <v>0</v>
      </c>
      <c r="P646" s="912">
        <v>0</v>
      </c>
      <c r="Q646" s="1041">
        <v>0</v>
      </c>
      <c r="R646" s="820">
        <f t="shared" si="1528"/>
        <v>0</v>
      </c>
      <c r="S646" s="1030">
        <v>0</v>
      </c>
      <c r="T646" s="912">
        <v>0</v>
      </c>
      <c r="U646" s="912">
        <v>0</v>
      </c>
      <c r="V646" s="912">
        <v>0</v>
      </c>
      <c r="W646" s="398">
        <f t="shared" si="1552"/>
        <v>0</v>
      </c>
      <c r="X646" s="2787">
        <v>0</v>
      </c>
      <c r="Y646" s="2791">
        <v>0</v>
      </c>
      <c r="Z646" s="2791">
        <v>0</v>
      </c>
      <c r="AA646" s="2791">
        <v>0</v>
      </c>
      <c r="AB646" s="398">
        <f t="shared" si="1546"/>
        <v>0</v>
      </c>
      <c r="AC646" s="406">
        <f t="shared" si="1529"/>
        <v>0</v>
      </c>
      <c r="AD646" s="406">
        <f t="shared" si="1530"/>
        <v>0</v>
      </c>
      <c r="AE646" s="3665">
        <v>0</v>
      </c>
      <c r="AF646" s="820">
        <f t="shared" si="1531"/>
        <v>0</v>
      </c>
      <c r="AG646" s="820">
        <f t="shared" si="1531"/>
        <v>0</v>
      </c>
      <c r="AH646" s="406">
        <f t="shared" si="1547"/>
        <v>0</v>
      </c>
      <c r="AI646" s="406">
        <f t="shared" si="1548"/>
        <v>0</v>
      </c>
      <c r="AJ646" s="406">
        <f t="shared" si="1549"/>
        <v>0</v>
      </c>
      <c r="AK646" s="820">
        <f t="shared" si="1550"/>
        <v>0</v>
      </c>
      <c r="AL646" s="820">
        <f t="shared" si="1553"/>
        <v>0</v>
      </c>
      <c r="AM646" s="398">
        <f t="shared" si="1537"/>
        <v>0</v>
      </c>
      <c r="AN646" s="398">
        <f t="shared" si="1537"/>
        <v>0</v>
      </c>
    </row>
    <row r="647" spans="1:40">
      <c r="A647" s="130" t="s">
        <v>2278</v>
      </c>
      <c r="B647" s="1030">
        <v>0</v>
      </c>
      <c r="C647" s="508">
        <v>0</v>
      </c>
      <c r="D647" s="1030">
        <v>0</v>
      </c>
      <c r="E647" s="912">
        <v>0</v>
      </c>
      <c r="F647" s="912">
        <v>0</v>
      </c>
      <c r="G647" s="1041">
        <v>0</v>
      </c>
      <c r="H647" s="820">
        <f t="shared" si="1538"/>
        <v>0</v>
      </c>
      <c r="I647" s="1030">
        <v>0</v>
      </c>
      <c r="J647" s="912">
        <v>0</v>
      </c>
      <c r="K647" s="912">
        <v>0</v>
      </c>
      <c r="L647" s="1041">
        <v>0</v>
      </c>
      <c r="M647" s="820">
        <f t="shared" si="1539"/>
        <v>0</v>
      </c>
      <c r="N647" s="1030">
        <v>0</v>
      </c>
      <c r="O647" s="912">
        <v>0</v>
      </c>
      <c r="P647" s="912">
        <v>0</v>
      </c>
      <c r="Q647" s="1041">
        <v>0</v>
      </c>
      <c r="R647" s="820">
        <f t="shared" si="1528"/>
        <v>0</v>
      </c>
      <c r="S647" s="1030">
        <v>0</v>
      </c>
      <c r="T647" s="912">
        <v>0</v>
      </c>
      <c r="U647" s="912">
        <v>0</v>
      </c>
      <c r="V647" s="912">
        <v>0</v>
      </c>
      <c r="W647" s="398">
        <f t="shared" si="1552"/>
        <v>0</v>
      </c>
      <c r="X647" s="2787">
        <v>0</v>
      </c>
      <c r="Y647" s="2791">
        <v>0</v>
      </c>
      <c r="Z647" s="2791">
        <v>0</v>
      </c>
      <c r="AA647" s="2791">
        <v>0</v>
      </c>
      <c r="AB647" s="398">
        <f t="shared" si="1546"/>
        <v>0</v>
      </c>
      <c r="AC647" s="406">
        <f t="shared" si="1529"/>
        <v>0</v>
      </c>
      <c r="AD647" s="406">
        <f t="shared" si="1530"/>
        <v>0</v>
      </c>
      <c r="AE647" s="3665">
        <v>0</v>
      </c>
      <c r="AF647" s="820">
        <f t="shared" si="1531"/>
        <v>0</v>
      </c>
      <c r="AG647" s="820">
        <f t="shared" si="1531"/>
        <v>0</v>
      </c>
      <c r="AH647" s="406">
        <f t="shared" si="1547"/>
        <v>0</v>
      </c>
      <c r="AI647" s="406">
        <f t="shared" si="1548"/>
        <v>0</v>
      </c>
      <c r="AJ647" s="406">
        <f t="shared" si="1549"/>
        <v>0</v>
      </c>
      <c r="AK647" s="820">
        <f t="shared" si="1550"/>
        <v>0</v>
      </c>
      <c r="AL647" s="820">
        <f t="shared" si="1553"/>
        <v>0</v>
      </c>
      <c r="AM647" s="820">
        <f t="shared" si="1537"/>
        <v>0</v>
      </c>
      <c r="AN647" s="820">
        <f t="shared" si="1537"/>
        <v>0</v>
      </c>
    </row>
    <row r="648" spans="1:40">
      <c r="A648" s="130" t="str">
        <f>$A$90</f>
        <v>Tru by Hilton</v>
      </c>
      <c r="B648" s="1030">
        <v>0</v>
      </c>
      <c r="C648" s="508">
        <v>0</v>
      </c>
      <c r="D648" s="1030">
        <v>0</v>
      </c>
      <c r="E648" s="912">
        <v>0</v>
      </c>
      <c r="F648" s="912">
        <v>0</v>
      </c>
      <c r="G648" s="1041">
        <v>0</v>
      </c>
      <c r="H648" s="820">
        <f t="shared" ref="H648:H649" si="1554">G648</f>
        <v>0</v>
      </c>
      <c r="I648" s="1030">
        <v>0</v>
      </c>
      <c r="J648" s="912">
        <v>0</v>
      </c>
      <c r="K648" s="912">
        <v>0</v>
      </c>
      <c r="L648" s="1041">
        <v>0</v>
      </c>
      <c r="M648" s="820">
        <f t="shared" ref="M648:M649" si="1555">L648</f>
        <v>0</v>
      </c>
      <c r="N648" s="1030">
        <v>0</v>
      </c>
      <c r="O648" s="912">
        <v>0</v>
      </c>
      <c r="P648" s="912">
        <v>0</v>
      </c>
      <c r="Q648" s="1041">
        <v>0</v>
      </c>
      <c r="R648" s="820">
        <f t="shared" ref="R648:R649" si="1556">Q648</f>
        <v>0</v>
      </c>
      <c r="S648" s="1030">
        <v>0</v>
      </c>
      <c r="T648" s="912">
        <v>0</v>
      </c>
      <c r="U648" s="912">
        <v>0</v>
      </c>
      <c r="V648" s="912">
        <v>0</v>
      </c>
      <c r="W648" s="398">
        <f t="shared" ref="W648:W649" si="1557">V648</f>
        <v>0</v>
      </c>
      <c r="X648" s="2787">
        <v>0</v>
      </c>
      <c r="Y648" s="2791">
        <v>0</v>
      </c>
      <c r="Z648" s="2791">
        <v>0</v>
      </c>
      <c r="AA648" s="2791">
        <v>0</v>
      </c>
      <c r="AB648" s="398">
        <f t="shared" ref="AB648:AB649" si="1558">AA648</f>
        <v>0</v>
      </c>
      <c r="AC648" s="406">
        <f t="shared" ref="AC648:AC649" si="1559">AB648</f>
        <v>0</v>
      </c>
      <c r="AD648" s="406">
        <f t="shared" ref="AD648:AD649" si="1560">AC648</f>
        <v>0</v>
      </c>
      <c r="AE648" s="3665">
        <v>0</v>
      </c>
      <c r="AF648" s="820">
        <f t="shared" ref="AF648:AF649" si="1561">AE648</f>
        <v>0</v>
      </c>
      <c r="AG648" s="820">
        <f t="shared" ref="AG648:AG649" si="1562">AF648</f>
        <v>0</v>
      </c>
      <c r="AH648" s="406">
        <f t="shared" si="1547"/>
        <v>0</v>
      </c>
      <c r="AI648" s="406">
        <f t="shared" si="1548"/>
        <v>0</v>
      </c>
      <c r="AJ648" s="406">
        <f t="shared" si="1549"/>
        <v>0</v>
      </c>
      <c r="AK648" s="820">
        <f t="shared" si="1550"/>
        <v>0</v>
      </c>
      <c r="AL648" s="820">
        <f t="shared" si="1553"/>
        <v>0</v>
      </c>
      <c r="AM648" s="820">
        <f t="shared" ref="AM648:AM649" si="1563">AL648</f>
        <v>0</v>
      </c>
      <c r="AN648" s="820">
        <f t="shared" ref="AN648:AN649" si="1564">AM648</f>
        <v>0</v>
      </c>
    </row>
    <row r="649" spans="1:40">
      <c r="A649" s="130" t="str">
        <f>$A$91</f>
        <v>Tapestry Collection by Hilton</v>
      </c>
      <c r="B649" s="1030">
        <v>0</v>
      </c>
      <c r="C649" s="508">
        <v>0</v>
      </c>
      <c r="D649" s="1030">
        <v>0</v>
      </c>
      <c r="E649" s="912">
        <v>0</v>
      </c>
      <c r="F649" s="912">
        <v>0</v>
      </c>
      <c r="G649" s="1041">
        <v>0</v>
      </c>
      <c r="H649" s="820">
        <f t="shared" si="1554"/>
        <v>0</v>
      </c>
      <c r="I649" s="1030">
        <v>0</v>
      </c>
      <c r="J649" s="912">
        <v>0</v>
      </c>
      <c r="K649" s="912">
        <v>0</v>
      </c>
      <c r="L649" s="1041">
        <v>0</v>
      </c>
      <c r="M649" s="820">
        <f t="shared" si="1555"/>
        <v>0</v>
      </c>
      <c r="N649" s="1030">
        <v>0</v>
      </c>
      <c r="O649" s="912">
        <v>0</v>
      </c>
      <c r="P649" s="912">
        <v>0</v>
      </c>
      <c r="Q649" s="1041">
        <v>0</v>
      </c>
      <c r="R649" s="820">
        <f t="shared" si="1556"/>
        <v>0</v>
      </c>
      <c r="S649" s="1030">
        <v>0</v>
      </c>
      <c r="T649" s="912">
        <v>0</v>
      </c>
      <c r="U649" s="912">
        <v>0</v>
      </c>
      <c r="V649" s="912">
        <v>0</v>
      </c>
      <c r="W649" s="398">
        <f t="shared" si="1557"/>
        <v>0</v>
      </c>
      <c r="X649" s="2787">
        <v>0</v>
      </c>
      <c r="Y649" s="2791">
        <v>0</v>
      </c>
      <c r="Z649" s="2791">
        <v>0</v>
      </c>
      <c r="AA649" s="2791">
        <v>0</v>
      </c>
      <c r="AB649" s="398">
        <f t="shared" si="1558"/>
        <v>0</v>
      </c>
      <c r="AC649" s="406">
        <f t="shared" si="1559"/>
        <v>0</v>
      </c>
      <c r="AD649" s="406">
        <f t="shared" si="1560"/>
        <v>0</v>
      </c>
      <c r="AE649" s="3665">
        <v>0</v>
      </c>
      <c r="AF649" s="820">
        <f t="shared" si="1561"/>
        <v>0</v>
      </c>
      <c r="AG649" s="820">
        <f t="shared" si="1562"/>
        <v>0</v>
      </c>
      <c r="AH649" s="406">
        <f t="shared" si="1547"/>
        <v>0</v>
      </c>
      <c r="AI649" s="406">
        <f t="shared" si="1548"/>
        <v>0</v>
      </c>
      <c r="AJ649" s="406">
        <f t="shared" si="1549"/>
        <v>0</v>
      </c>
      <c r="AK649" s="820">
        <f t="shared" si="1550"/>
        <v>0</v>
      </c>
      <c r="AL649" s="820">
        <f t="shared" si="1553"/>
        <v>0</v>
      </c>
      <c r="AM649" s="820">
        <f t="shared" si="1563"/>
        <v>0</v>
      </c>
      <c r="AN649" s="820">
        <f t="shared" si="1564"/>
        <v>0</v>
      </c>
    </row>
    <row r="650" spans="1:40" s="5" customFormat="1">
      <c r="A650" s="402" t="s">
        <v>2276</v>
      </c>
      <c r="B650" s="1031">
        <v>0</v>
      </c>
      <c r="C650" s="1029">
        <v>0</v>
      </c>
      <c r="D650" s="1031">
        <v>0</v>
      </c>
      <c r="E650" s="1039">
        <v>0</v>
      </c>
      <c r="F650" s="1039">
        <v>0</v>
      </c>
      <c r="G650" s="1042">
        <v>0</v>
      </c>
      <c r="H650" s="700">
        <f t="shared" si="1538"/>
        <v>0</v>
      </c>
      <c r="I650" s="1031">
        <v>0</v>
      </c>
      <c r="J650" s="1039">
        <v>0</v>
      </c>
      <c r="K650" s="1039">
        <v>0</v>
      </c>
      <c r="L650" s="1042">
        <v>0</v>
      </c>
      <c r="M650" s="700">
        <f t="shared" si="1539"/>
        <v>0</v>
      </c>
      <c r="N650" s="1031">
        <v>0</v>
      </c>
      <c r="O650" s="1039">
        <v>0</v>
      </c>
      <c r="P650" s="1039">
        <v>0</v>
      </c>
      <c r="Q650" s="1042">
        <v>0</v>
      </c>
      <c r="R650" s="700">
        <f t="shared" si="1528"/>
        <v>0</v>
      </c>
      <c r="S650" s="1031">
        <v>0</v>
      </c>
      <c r="T650" s="1039">
        <v>0</v>
      </c>
      <c r="U650" s="1039">
        <v>0</v>
      </c>
      <c r="V650" s="1039">
        <v>0</v>
      </c>
      <c r="W650" s="403">
        <f t="shared" si="1552"/>
        <v>0</v>
      </c>
      <c r="X650" s="2788">
        <v>0</v>
      </c>
      <c r="Y650" s="2839">
        <v>0</v>
      </c>
      <c r="Z650" s="2839">
        <v>0</v>
      </c>
      <c r="AA650" s="2839">
        <v>0</v>
      </c>
      <c r="AB650" s="403">
        <f t="shared" si="1546"/>
        <v>0</v>
      </c>
      <c r="AC650" s="2392">
        <f t="shared" si="1529"/>
        <v>0</v>
      </c>
      <c r="AD650" s="2392">
        <f t="shared" si="1530"/>
        <v>0</v>
      </c>
      <c r="AE650" s="4002">
        <v>0</v>
      </c>
      <c r="AF650" s="700">
        <f t="shared" si="1531"/>
        <v>0</v>
      </c>
      <c r="AG650" s="700">
        <f t="shared" si="1531"/>
        <v>0</v>
      </c>
      <c r="AH650" s="2392">
        <f t="shared" si="1547"/>
        <v>0</v>
      </c>
      <c r="AI650" s="2392">
        <f t="shared" si="1548"/>
        <v>0</v>
      </c>
      <c r="AJ650" s="2392">
        <f t="shared" si="1549"/>
        <v>0</v>
      </c>
      <c r="AK650" s="700">
        <f t="shared" si="1550"/>
        <v>0</v>
      </c>
      <c r="AL650" s="700">
        <f t="shared" si="1553"/>
        <v>0</v>
      </c>
      <c r="AM650" s="700">
        <f t="shared" si="1537"/>
        <v>0</v>
      </c>
      <c r="AN650" s="700">
        <f t="shared" si="1537"/>
        <v>0</v>
      </c>
    </row>
    <row r="651" spans="1:40">
      <c r="A651" s="482" t="s">
        <v>1687</v>
      </c>
      <c r="B651" s="1032">
        <f t="shared" ref="B651:AN651" si="1565">SUM(B638:B650)</f>
        <v>2895</v>
      </c>
      <c r="C651" s="400">
        <f t="shared" si="1565"/>
        <v>2896</v>
      </c>
      <c r="D651" s="1032">
        <f t="shared" si="1565"/>
        <v>2896</v>
      </c>
      <c r="E651" s="405">
        <f t="shared" si="1565"/>
        <v>2896</v>
      </c>
      <c r="F651" s="405">
        <f t="shared" si="1565"/>
        <v>2896</v>
      </c>
      <c r="G651" s="821">
        <f t="shared" si="1565"/>
        <v>2896</v>
      </c>
      <c r="H651" s="821">
        <f t="shared" si="1565"/>
        <v>2896</v>
      </c>
      <c r="I651" s="1032">
        <f t="shared" si="1565"/>
        <v>2896</v>
      </c>
      <c r="J651" s="405">
        <f t="shared" si="1565"/>
        <v>2896</v>
      </c>
      <c r="K651" s="405">
        <f t="shared" si="1565"/>
        <v>2896</v>
      </c>
      <c r="L651" s="821">
        <f t="shared" si="1565"/>
        <v>2896</v>
      </c>
      <c r="M651" s="821">
        <f t="shared" si="1565"/>
        <v>2896</v>
      </c>
      <c r="N651" s="1032">
        <f t="shared" si="1565"/>
        <v>2866</v>
      </c>
      <c r="O651" s="405">
        <f t="shared" si="1565"/>
        <v>2863</v>
      </c>
      <c r="P651" s="405">
        <f t="shared" si="1565"/>
        <v>2890</v>
      </c>
      <c r="Q651" s="821">
        <f t="shared" si="1565"/>
        <v>2890</v>
      </c>
      <c r="R651" s="821">
        <f t="shared" si="1565"/>
        <v>2890</v>
      </c>
      <c r="S651" s="1032">
        <f t="shared" si="1565"/>
        <v>2890</v>
      </c>
      <c r="T651" s="405">
        <f t="shared" si="1565"/>
        <v>2890</v>
      </c>
      <c r="U651" s="405">
        <f t="shared" si="1565"/>
        <v>2890</v>
      </c>
      <c r="V651" s="405">
        <f t="shared" si="1565"/>
        <v>2890</v>
      </c>
      <c r="W651" s="400">
        <f t="shared" si="1565"/>
        <v>2890</v>
      </c>
      <c r="X651" s="1032">
        <f t="shared" si="1565"/>
        <v>2890</v>
      </c>
      <c r="Y651" s="405">
        <f t="shared" si="1565"/>
        <v>2890</v>
      </c>
      <c r="Z651" s="405">
        <f t="shared" si="1565"/>
        <v>2893</v>
      </c>
      <c r="AA651" s="405">
        <f t="shared" si="1565"/>
        <v>2893</v>
      </c>
      <c r="AB651" s="400">
        <f t="shared" si="1565"/>
        <v>2893</v>
      </c>
      <c r="AC651" s="405">
        <f t="shared" si="1565"/>
        <v>2566</v>
      </c>
      <c r="AD651" s="405">
        <f t="shared" si="1565"/>
        <v>2566</v>
      </c>
      <c r="AE651" s="405">
        <f t="shared" si="1565"/>
        <v>2612</v>
      </c>
      <c r="AF651" s="821">
        <f t="shared" si="1565"/>
        <v>2612</v>
      </c>
      <c r="AG651" s="400">
        <f t="shared" si="1565"/>
        <v>2612</v>
      </c>
      <c r="AH651" s="405">
        <f t="shared" si="1565"/>
        <v>2612</v>
      </c>
      <c r="AI651" s="405">
        <f t="shared" si="1565"/>
        <v>2612</v>
      </c>
      <c r="AJ651" s="405">
        <f t="shared" ref="AJ651:AL651" si="1566">SUM(AJ638:AJ650)</f>
        <v>2612</v>
      </c>
      <c r="AK651" s="821">
        <f t="shared" si="1566"/>
        <v>2612</v>
      </c>
      <c r="AL651" s="400">
        <f t="shared" si="1566"/>
        <v>2612</v>
      </c>
      <c r="AM651" s="821">
        <f t="shared" si="1565"/>
        <v>2612</v>
      </c>
      <c r="AN651" s="821">
        <f t="shared" si="1565"/>
        <v>2612</v>
      </c>
    </row>
    <row r="652" spans="1:40">
      <c r="A652" s="130"/>
      <c r="B652" s="1033"/>
      <c r="C652" s="398"/>
      <c r="D652" s="1033"/>
      <c r="E652" s="406"/>
      <c r="F652" s="406"/>
      <c r="G652" s="820"/>
      <c r="H652" s="820"/>
      <c r="I652" s="1033"/>
      <c r="J652" s="406"/>
      <c r="K652" s="406"/>
      <c r="L652" s="820"/>
      <c r="M652" s="820"/>
      <c r="N652" s="401"/>
      <c r="O652" s="406"/>
      <c r="P652" s="406"/>
      <c r="Q652" s="820"/>
      <c r="R652" s="820"/>
      <c r="S652" s="1033"/>
      <c r="T652" s="406"/>
      <c r="U652" s="406"/>
      <c r="V652" s="406"/>
      <c r="W652" s="398"/>
      <c r="X652" s="1033"/>
      <c r="Y652" s="406"/>
      <c r="Z652" s="406"/>
      <c r="AA652" s="406"/>
      <c r="AB652" s="398"/>
      <c r="AC652" s="406"/>
      <c r="AD652" s="406"/>
      <c r="AE652" s="406"/>
      <c r="AF652" s="820"/>
      <c r="AG652" s="398"/>
      <c r="AH652" s="406"/>
      <c r="AI652" s="406"/>
      <c r="AJ652" s="406"/>
      <c r="AK652" s="820"/>
      <c r="AL652" s="398"/>
      <c r="AM652" s="820"/>
      <c r="AN652" s="820"/>
    </row>
    <row r="653" spans="1:40">
      <c r="A653" s="295" t="s">
        <v>1283</v>
      </c>
      <c r="B653" s="1033"/>
      <c r="C653" s="398"/>
      <c r="D653" s="1033"/>
      <c r="E653" s="406"/>
      <c r="F653" s="406"/>
      <c r="G653" s="820"/>
      <c r="H653" s="820"/>
      <c r="I653" s="1033"/>
      <c r="J653" s="406"/>
      <c r="K653" s="406"/>
      <c r="L653" s="820"/>
      <c r="M653" s="820"/>
      <c r="N653" s="401"/>
      <c r="O653" s="406"/>
      <c r="P653" s="406"/>
      <c r="Q653" s="820"/>
      <c r="R653" s="820"/>
      <c r="S653" s="1033"/>
      <c r="T653" s="406"/>
      <c r="U653" s="406"/>
      <c r="V653" s="406"/>
      <c r="W653" s="398"/>
      <c r="X653" s="1033"/>
      <c r="Y653" s="406"/>
      <c r="Z653" s="406"/>
      <c r="AA653" s="406"/>
      <c r="AB653" s="398"/>
      <c r="AC653" s="406"/>
      <c r="AD653" s="406"/>
      <c r="AE653" s="406"/>
      <c r="AF653" s="820"/>
      <c r="AG653" s="398"/>
      <c r="AH653" s="406"/>
      <c r="AI653" s="406"/>
      <c r="AJ653" s="406"/>
      <c r="AK653" s="820"/>
      <c r="AL653" s="398"/>
      <c r="AM653" s="820"/>
      <c r="AN653" s="820"/>
    </row>
    <row r="654" spans="1:40">
      <c r="A654" s="130" t="str">
        <f>A$9</f>
        <v>Waldorf Astoria Hotels &amp; Resorts (Luxury)</v>
      </c>
      <c r="B654" s="1030">
        <v>38</v>
      </c>
      <c r="C654" s="508">
        <v>38</v>
      </c>
      <c r="D654" s="1030">
        <v>38</v>
      </c>
      <c r="E654" s="912">
        <v>38</v>
      </c>
      <c r="F654" s="912">
        <v>38</v>
      </c>
      <c r="G654" s="1041">
        <v>38</v>
      </c>
      <c r="H654" s="820">
        <f>G654</f>
        <v>38</v>
      </c>
      <c r="I654" s="1030">
        <v>38</v>
      </c>
      <c r="J654" s="912">
        <v>38</v>
      </c>
      <c r="K654" s="912">
        <v>384</v>
      </c>
      <c r="L654" s="1041">
        <v>703</v>
      </c>
      <c r="M654" s="820">
        <f>L654</f>
        <v>703</v>
      </c>
      <c r="N654" s="1030">
        <v>703</v>
      </c>
      <c r="O654" s="912">
        <v>703</v>
      </c>
      <c r="P654" s="912">
        <v>703</v>
      </c>
      <c r="Q654" s="1041">
        <v>703</v>
      </c>
      <c r="R654" s="820">
        <f t="shared" ref="R654:R666" si="1567">Q654</f>
        <v>703</v>
      </c>
      <c r="S654" s="1030">
        <v>703</v>
      </c>
      <c r="T654" s="912">
        <v>703</v>
      </c>
      <c r="U654" s="912">
        <v>703</v>
      </c>
      <c r="V654" s="912">
        <v>703</v>
      </c>
      <c r="W654" s="398">
        <f t="shared" ref="W654:W666" si="1568">V654</f>
        <v>703</v>
      </c>
      <c r="X654" s="2787">
        <v>703</v>
      </c>
      <c r="Y654" s="2791">
        <v>703</v>
      </c>
      <c r="Z654" s="2791">
        <v>703</v>
      </c>
      <c r="AA654" s="2791">
        <v>703</v>
      </c>
      <c r="AB654" s="398">
        <f t="shared" ref="AB654:AB666" si="1569">AA654</f>
        <v>703</v>
      </c>
      <c r="AC654" s="406">
        <f t="shared" ref="AC654:AD655" si="1570">AB654*(1+AC$884)</f>
        <v>710.03</v>
      </c>
      <c r="AD654" s="406">
        <f t="shared" si="1570"/>
        <v>717.00903945828577</v>
      </c>
      <c r="AE654" s="3665">
        <v>703</v>
      </c>
      <c r="AF654" s="3665">
        <v>703</v>
      </c>
      <c r="AG654" s="398">
        <f t="shared" ref="AG654:AG666" si="1571">AF654</f>
        <v>703</v>
      </c>
      <c r="AH654" s="406">
        <f t="shared" ref="AH654:AH655" si="1572">AG654*(1+AH$884)</f>
        <v>713.54499999999996</v>
      </c>
      <c r="AI654" s="406">
        <f t="shared" ref="AI654:AI655" si="1573">AH654*(1+AI$884)</f>
        <v>724.24817499999983</v>
      </c>
      <c r="AJ654" s="406">
        <f t="shared" ref="AJ654:AJ655" si="1574">AI654*(1+AJ$884)</f>
        <v>735.11189762499976</v>
      </c>
      <c r="AK654" s="820">
        <f t="shared" ref="AK654:AK655" si="1575">AJ654*(1+AK$884)</f>
        <v>746.13857608937462</v>
      </c>
      <c r="AL654" s="820">
        <f t="shared" ref="AL654:AL655" si="1576">AK654</f>
        <v>746.13857608937462</v>
      </c>
      <c r="AM654" s="398">
        <f t="shared" ref="AM654:AN655" si="1577">AL654*(1+AM$883)</f>
        <v>779.71481201339645</v>
      </c>
      <c r="AN654" s="398">
        <f t="shared" si="1577"/>
        <v>803.10625637379837</v>
      </c>
    </row>
    <row r="655" spans="1:40">
      <c r="A655" s="130" t="str">
        <f>A$10</f>
        <v>Conrad Hotels &amp; Resorts (Luxury)</v>
      </c>
      <c r="B655" s="1030">
        <v>0</v>
      </c>
      <c r="C655" s="508">
        <v>0</v>
      </c>
      <c r="D655" s="1030">
        <v>0</v>
      </c>
      <c r="E655" s="912">
        <v>0</v>
      </c>
      <c r="F655" s="912">
        <v>0</v>
      </c>
      <c r="G655" s="1041">
        <v>86</v>
      </c>
      <c r="H655" s="820">
        <f t="shared" ref="H655:H666" si="1578">G655</f>
        <v>86</v>
      </c>
      <c r="I655" s="1030">
        <v>86</v>
      </c>
      <c r="J655" s="912">
        <v>86</v>
      </c>
      <c r="K655" s="912">
        <v>641</v>
      </c>
      <c r="L655" s="1041">
        <v>641</v>
      </c>
      <c r="M655" s="820">
        <f t="shared" ref="M655:M666" si="1579">L655</f>
        <v>641</v>
      </c>
      <c r="N655" s="1030">
        <v>641</v>
      </c>
      <c r="O655" s="912">
        <v>641</v>
      </c>
      <c r="P655" s="912">
        <v>641</v>
      </c>
      <c r="Q655" s="1041">
        <v>641</v>
      </c>
      <c r="R655" s="820">
        <f t="shared" si="1567"/>
        <v>641</v>
      </c>
      <c r="S655" s="1030">
        <v>641</v>
      </c>
      <c r="T655" s="912">
        <v>641</v>
      </c>
      <c r="U655" s="912">
        <v>641</v>
      </c>
      <c r="V655" s="912">
        <v>641</v>
      </c>
      <c r="W655" s="398">
        <f t="shared" si="1568"/>
        <v>641</v>
      </c>
      <c r="X655" s="2787">
        <v>641</v>
      </c>
      <c r="Y655" s="2791">
        <v>1079</v>
      </c>
      <c r="Z655" s="2791">
        <v>1079</v>
      </c>
      <c r="AA655" s="2791">
        <v>1079</v>
      </c>
      <c r="AB655" s="398">
        <f t="shared" si="1569"/>
        <v>1079</v>
      </c>
      <c r="AC655" s="406">
        <f t="shared" si="1570"/>
        <v>1089.79</v>
      </c>
      <c r="AD655" s="406">
        <f t="shared" si="1570"/>
        <v>1100.5017831799294</v>
      </c>
      <c r="AE655" s="3665">
        <v>1076</v>
      </c>
      <c r="AF655" s="3665">
        <v>1076</v>
      </c>
      <c r="AG655" s="398">
        <f t="shared" si="1571"/>
        <v>1076</v>
      </c>
      <c r="AH655" s="406">
        <f t="shared" si="1572"/>
        <v>1092.1399999999999</v>
      </c>
      <c r="AI655" s="406">
        <f t="shared" si="1573"/>
        <v>1108.5220999999997</v>
      </c>
      <c r="AJ655" s="406">
        <f t="shared" si="1574"/>
        <v>1125.1499314999996</v>
      </c>
      <c r="AK655" s="820">
        <f t="shared" si="1575"/>
        <v>1142.0271804724996</v>
      </c>
      <c r="AL655" s="820">
        <f t="shared" si="1576"/>
        <v>1142.0271804724996</v>
      </c>
      <c r="AM655" s="398">
        <f t="shared" si="1577"/>
        <v>1193.4184035937619</v>
      </c>
      <c r="AN655" s="398">
        <f t="shared" si="1577"/>
        <v>1229.2209557015749</v>
      </c>
    </row>
    <row r="656" spans="1:40">
      <c r="A656" s="1828" t="s">
        <v>3022</v>
      </c>
      <c r="B656" s="1030"/>
      <c r="C656" s="508"/>
      <c r="D656" s="1030"/>
      <c r="E656" s="912"/>
      <c r="F656" s="912"/>
      <c r="G656" s="1041"/>
      <c r="H656" s="820"/>
      <c r="I656" s="1030"/>
      <c r="J656" s="912"/>
      <c r="K656" s="912"/>
      <c r="L656" s="1041"/>
      <c r="M656" s="820"/>
      <c r="N656" s="1030"/>
      <c r="O656" s="912"/>
      <c r="P656" s="912"/>
      <c r="Q656" s="1041"/>
      <c r="R656" s="820"/>
      <c r="S656" s="1030"/>
      <c r="T656" s="912"/>
      <c r="U656" s="912"/>
      <c r="V656" s="912"/>
      <c r="W656" s="398"/>
      <c r="X656" s="2791"/>
      <c r="Y656" s="2791"/>
      <c r="Z656" s="2791"/>
      <c r="AA656" s="2791">
        <v>0</v>
      </c>
      <c r="AB656" s="398">
        <f t="shared" ref="AB656:AG656" si="1580">+AA656</f>
        <v>0</v>
      </c>
      <c r="AC656" s="2944">
        <f t="shared" si="1580"/>
        <v>0</v>
      </c>
      <c r="AD656" s="406">
        <f t="shared" si="1580"/>
        <v>0</v>
      </c>
      <c r="AE656" s="3665">
        <v>0</v>
      </c>
      <c r="AF656" s="406">
        <f t="shared" si="1580"/>
        <v>0</v>
      </c>
      <c r="AG656" s="398">
        <f t="shared" si="1580"/>
        <v>0</v>
      </c>
      <c r="AH656" s="406">
        <f t="shared" ref="AH656" si="1581">+AG656</f>
        <v>0</v>
      </c>
      <c r="AI656" s="406">
        <f t="shared" ref="AI656" si="1582">+AH656</f>
        <v>0</v>
      </c>
      <c r="AJ656" s="406">
        <f t="shared" ref="AJ656" si="1583">+AI656</f>
        <v>0</v>
      </c>
      <c r="AK656" s="820">
        <f t="shared" ref="AK656" si="1584">+AJ656</f>
        <v>0</v>
      </c>
      <c r="AL656" s="398">
        <f t="shared" ref="AL656" si="1585">+AK656</f>
        <v>0</v>
      </c>
      <c r="AM656" s="398">
        <f>AL656</f>
        <v>0</v>
      </c>
      <c r="AN656" s="398">
        <f>AM656</f>
        <v>0</v>
      </c>
    </row>
    <row r="657" spans="1:40">
      <c r="A657" s="130" t="str">
        <f>A$12</f>
        <v>Hilton Hotels &amp; Resorts (Upper Up)</v>
      </c>
      <c r="B657" s="1030">
        <v>10575</v>
      </c>
      <c r="C657" s="508">
        <v>11917</v>
      </c>
      <c r="D657" s="1030">
        <v>11947</v>
      </c>
      <c r="E657" s="912">
        <v>12636</v>
      </c>
      <c r="F657" s="912">
        <v>12636</v>
      </c>
      <c r="G657" s="1041">
        <v>12636</v>
      </c>
      <c r="H657" s="820">
        <f t="shared" si="1578"/>
        <v>12636</v>
      </c>
      <c r="I657" s="1030">
        <v>12950</v>
      </c>
      <c r="J657" s="912">
        <v>12952</v>
      </c>
      <c r="K657" s="912">
        <v>13411</v>
      </c>
      <c r="L657" s="1041">
        <v>13411</v>
      </c>
      <c r="M657" s="820">
        <f t="shared" si="1579"/>
        <v>13411</v>
      </c>
      <c r="N657" s="1030">
        <v>13992</v>
      </c>
      <c r="O657" s="912">
        <v>13992</v>
      </c>
      <c r="P657" s="912">
        <v>13991</v>
      </c>
      <c r="Q657" s="1041">
        <v>14007</v>
      </c>
      <c r="R657" s="820">
        <f t="shared" si="1567"/>
        <v>14007</v>
      </c>
      <c r="S657" s="1030">
        <v>13807</v>
      </c>
      <c r="T657" s="912">
        <v>13807</v>
      </c>
      <c r="U657" s="912">
        <v>13992</v>
      </c>
      <c r="V657" s="912">
        <v>14186</v>
      </c>
      <c r="W657" s="398">
        <f t="shared" si="1568"/>
        <v>14186</v>
      </c>
      <c r="X657" s="2787">
        <v>13966</v>
      </c>
      <c r="Y657" s="2791">
        <v>13966</v>
      </c>
      <c r="Z657" s="2791">
        <v>13966</v>
      </c>
      <c r="AA657" s="2791">
        <v>13968</v>
      </c>
      <c r="AB657" s="398">
        <f t="shared" si="1569"/>
        <v>13968</v>
      </c>
      <c r="AC657" s="2944">
        <f>AB657*(1+AC$884)+'Owned Hotels Spinoff'!D78</f>
        <v>14434.68</v>
      </c>
      <c r="AD657" s="406">
        <f>AC657*(1+AD$884)</f>
        <v>14576.561612449797</v>
      </c>
      <c r="AE657" s="3665">
        <v>13186</v>
      </c>
      <c r="AF657" s="3665">
        <v>13427</v>
      </c>
      <c r="AG657" s="398">
        <f t="shared" si="1571"/>
        <v>13427</v>
      </c>
      <c r="AH657" s="406">
        <f>AG657*(1+AH$884)</f>
        <v>13628.404999999999</v>
      </c>
      <c r="AI657" s="406">
        <f t="shared" ref="AI657" si="1586">AH657*(1+AI$884)</f>
        <v>13832.831074999998</v>
      </c>
      <c r="AJ657" s="406">
        <f>AI657*(1+AJ$884)</f>
        <v>14040.323541124997</v>
      </c>
      <c r="AK657" s="820">
        <f>AJ657*(1+AK$884)</f>
        <v>14250.928394241872</v>
      </c>
      <c r="AL657" s="820">
        <f t="shared" ref="AL657:AL666" si="1587">AK657</f>
        <v>14250.928394241872</v>
      </c>
      <c r="AM657" s="398">
        <f>AL657*(1+AM$883)</f>
        <v>14892.220171982755</v>
      </c>
      <c r="AN657" s="398">
        <f>AM657*(1+AN$883)</f>
        <v>15338.986777142238</v>
      </c>
    </row>
    <row r="658" spans="1:40">
      <c r="A658" s="130" t="str">
        <f>A$13</f>
        <v xml:space="preserve">Curio - A Collection by Hilton </v>
      </c>
      <c r="B658" s="1030"/>
      <c r="C658" s="508"/>
      <c r="D658" s="1030"/>
      <c r="E658" s="912"/>
      <c r="F658" s="912"/>
      <c r="G658" s="1041"/>
      <c r="H658" s="820"/>
      <c r="I658" s="1030"/>
      <c r="J658" s="912"/>
      <c r="K658" s="912"/>
      <c r="L658" s="1041"/>
      <c r="M658" s="820"/>
      <c r="N658" s="1030"/>
      <c r="O658" s="912"/>
      <c r="P658" s="912"/>
      <c r="Q658" s="1041"/>
      <c r="R658" s="820"/>
      <c r="S658" s="1030">
        <v>0</v>
      </c>
      <c r="T658" s="912">
        <v>0</v>
      </c>
      <c r="U658" s="912">
        <v>0</v>
      </c>
      <c r="V658" s="912">
        <v>0</v>
      </c>
      <c r="W658" s="398">
        <f t="shared" si="1568"/>
        <v>0</v>
      </c>
      <c r="X658" s="2787">
        <v>0</v>
      </c>
      <c r="Y658" s="2791">
        <v>0</v>
      </c>
      <c r="Z658" s="2791">
        <v>0</v>
      </c>
      <c r="AA658" s="2791">
        <v>201</v>
      </c>
      <c r="AB658" s="398">
        <f t="shared" si="1569"/>
        <v>201</v>
      </c>
      <c r="AC658" s="406">
        <f>AB658</f>
        <v>201</v>
      </c>
      <c r="AD658" s="406">
        <f>AC658</f>
        <v>201</v>
      </c>
      <c r="AE658" s="3665">
        <v>201</v>
      </c>
      <c r="AF658" s="3665">
        <v>201</v>
      </c>
      <c r="AG658" s="398">
        <f t="shared" si="1571"/>
        <v>201</v>
      </c>
      <c r="AH658" s="406">
        <f t="shared" ref="AH658:AI658" si="1588">AG658</f>
        <v>201</v>
      </c>
      <c r="AI658" s="406">
        <f t="shared" si="1588"/>
        <v>201</v>
      </c>
      <c r="AJ658" s="406">
        <f>AI658</f>
        <v>201</v>
      </c>
      <c r="AK658" s="820">
        <f>AJ658</f>
        <v>201</v>
      </c>
      <c r="AL658" s="820">
        <f t="shared" si="1587"/>
        <v>201</v>
      </c>
      <c r="AM658" s="398">
        <f>AL658</f>
        <v>201</v>
      </c>
      <c r="AN658" s="398">
        <f>AM658</f>
        <v>201</v>
      </c>
    </row>
    <row r="659" spans="1:40">
      <c r="A659" s="130" t="str">
        <f>A$14</f>
        <v>DoubleTree by Hilton (Upscale)</v>
      </c>
      <c r="B659" s="1030">
        <v>0</v>
      </c>
      <c r="C659" s="508">
        <v>299</v>
      </c>
      <c r="D659" s="1030">
        <v>299</v>
      </c>
      <c r="E659" s="912">
        <v>299</v>
      </c>
      <c r="F659" s="912">
        <v>299</v>
      </c>
      <c r="G659" s="1041">
        <v>299</v>
      </c>
      <c r="H659" s="820">
        <f t="shared" si="1578"/>
        <v>299</v>
      </c>
      <c r="I659" s="1030">
        <v>299</v>
      </c>
      <c r="J659" s="912">
        <v>299</v>
      </c>
      <c r="K659" s="912">
        <v>299</v>
      </c>
      <c r="L659" s="1041">
        <v>842</v>
      </c>
      <c r="M659" s="820">
        <f t="shared" si="1579"/>
        <v>842</v>
      </c>
      <c r="N659" s="1030">
        <v>995</v>
      </c>
      <c r="O659" s="912">
        <v>1464</v>
      </c>
      <c r="P659" s="912">
        <v>1464</v>
      </c>
      <c r="Q659" s="1041">
        <v>1464</v>
      </c>
      <c r="R659" s="820">
        <f t="shared" si="1567"/>
        <v>1464</v>
      </c>
      <c r="S659" s="1030">
        <v>1464</v>
      </c>
      <c r="T659" s="912">
        <v>1687</v>
      </c>
      <c r="U659" s="912">
        <v>1687</v>
      </c>
      <c r="V659" s="912">
        <v>1874</v>
      </c>
      <c r="W659" s="398">
        <f t="shared" si="1568"/>
        <v>1874</v>
      </c>
      <c r="X659" s="2787">
        <v>1874</v>
      </c>
      <c r="Y659" s="2791">
        <v>2114</v>
      </c>
      <c r="Z659" s="2791">
        <v>2114</v>
      </c>
      <c r="AA659" s="2791">
        <v>2114</v>
      </c>
      <c r="AB659" s="398">
        <f t="shared" si="1569"/>
        <v>2114</v>
      </c>
      <c r="AC659" s="406">
        <f t="shared" ref="AC659:AF663" si="1589">AB659*(1+AC$884)</f>
        <v>2135.14</v>
      </c>
      <c r="AD659" s="406">
        <f t="shared" si="1589"/>
        <v>2156.1267559243474</v>
      </c>
      <c r="AE659" s="3665">
        <v>2350</v>
      </c>
      <c r="AF659" s="3665">
        <v>2350</v>
      </c>
      <c r="AG659" s="398">
        <f t="shared" si="1571"/>
        <v>2350</v>
      </c>
      <c r="AH659" s="406">
        <f t="shared" ref="AH659:AH666" si="1590">AG659*(1+AH$884)</f>
        <v>2385.2499999999995</v>
      </c>
      <c r="AI659" s="406">
        <f t="shared" ref="AI659:AI666" si="1591">AH659*(1+AI$884)</f>
        <v>2421.0287499999995</v>
      </c>
      <c r="AJ659" s="406">
        <f t="shared" ref="AJ659:AJ665" si="1592">AI659*(1+AJ$884)</f>
        <v>2457.3441812499991</v>
      </c>
      <c r="AK659" s="820">
        <f t="shared" ref="AK659:AK665" si="1593">AJ659*(1+AK$884)</f>
        <v>2494.2043439687491</v>
      </c>
      <c r="AL659" s="820">
        <f t="shared" si="1587"/>
        <v>2494.2043439687491</v>
      </c>
      <c r="AM659" s="398">
        <f t="shared" ref="AM659:AN663" si="1594">AL659*(1+AM$883)</f>
        <v>2606.4435394473426</v>
      </c>
      <c r="AN659" s="398">
        <f t="shared" si="1594"/>
        <v>2684.6368456307628</v>
      </c>
    </row>
    <row r="660" spans="1:40">
      <c r="A660" s="130" t="str">
        <f>A$15</f>
        <v>Embassy Suites Hotels (Upper Up)</v>
      </c>
      <c r="B660" s="1030">
        <v>0</v>
      </c>
      <c r="C660" s="508">
        <v>0</v>
      </c>
      <c r="D660" s="1030">
        <v>0</v>
      </c>
      <c r="E660" s="912">
        <v>0</v>
      </c>
      <c r="F660" s="912">
        <v>0</v>
      </c>
      <c r="G660" s="1041">
        <v>0</v>
      </c>
      <c r="H660" s="820">
        <f t="shared" si="1578"/>
        <v>0</v>
      </c>
      <c r="I660" s="1030">
        <v>0</v>
      </c>
      <c r="J660" s="912">
        <v>0</v>
      </c>
      <c r="K660" s="912">
        <v>0</v>
      </c>
      <c r="L660" s="1041">
        <v>0</v>
      </c>
      <c r="M660" s="820">
        <f t="shared" si="1579"/>
        <v>0</v>
      </c>
      <c r="N660" s="1030">
        <v>0</v>
      </c>
      <c r="O660" s="912">
        <v>0</v>
      </c>
      <c r="P660" s="912">
        <v>0</v>
      </c>
      <c r="Q660" s="1041">
        <v>0</v>
      </c>
      <c r="R660" s="820">
        <f t="shared" si="1567"/>
        <v>0</v>
      </c>
      <c r="S660" s="1030">
        <v>0</v>
      </c>
      <c r="T660" s="912">
        <v>0</v>
      </c>
      <c r="U660" s="912">
        <v>0</v>
      </c>
      <c r="V660" s="912">
        <v>0</v>
      </c>
      <c r="W660" s="398">
        <f t="shared" si="1568"/>
        <v>0</v>
      </c>
      <c r="X660" s="2787">
        <v>0</v>
      </c>
      <c r="Y660" s="2791">
        <v>0</v>
      </c>
      <c r="Z660" s="2791">
        <v>0</v>
      </c>
      <c r="AA660" s="2791">
        <v>0</v>
      </c>
      <c r="AB660" s="398">
        <f t="shared" si="1569"/>
        <v>0</v>
      </c>
      <c r="AC660" s="406">
        <f t="shared" si="1589"/>
        <v>0</v>
      </c>
      <c r="AD660" s="406">
        <f t="shared" si="1589"/>
        <v>0</v>
      </c>
      <c r="AE660" s="3665">
        <v>0</v>
      </c>
      <c r="AF660" s="406">
        <f t="shared" si="1589"/>
        <v>0</v>
      </c>
      <c r="AG660" s="398">
        <f t="shared" si="1571"/>
        <v>0</v>
      </c>
      <c r="AH660" s="406">
        <f t="shared" si="1590"/>
        <v>0</v>
      </c>
      <c r="AI660" s="406">
        <f t="shared" si="1591"/>
        <v>0</v>
      </c>
      <c r="AJ660" s="406">
        <f t="shared" si="1592"/>
        <v>0</v>
      </c>
      <c r="AK660" s="820">
        <f t="shared" si="1593"/>
        <v>0</v>
      </c>
      <c r="AL660" s="820">
        <f t="shared" si="1587"/>
        <v>0</v>
      </c>
      <c r="AM660" s="398">
        <f t="shared" si="1594"/>
        <v>0</v>
      </c>
      <c r="AN660" s="398">
        <f t="shared" si="1594"/>
        <v>0</v>
      </c>
    </row>
    <row r="661" spans="1:40">
      <c r="A661" s="130" t="str">
        <f>A$16</f>
        <v>Hilton Garden Inn (Upscale)</v>
      </c>
      <c r="B661" s="1030">
        <v>180</v>
      </c>
      <c r="C661" s="508">
        <v>180</v>
      </c>
      <c r="D661" s="1030">
        <v>180</v>
      </c>
      <c r="E661" s="912">
        <v>180</v>
      </c>
      <c r="F661" s="912">
        <v>180</v>
      </c>
      <c r="G661" s="1041">
        <v>180</v>
      </c>
      <c r="H661" s="820">
        <f t="shared" si="1578"/>
        <v>180</v>
      </c>
      <c r="I661" s="1030">
        <v>180</v>
      </c>
      <c r="J661" s="912">
        <v>180</v>
      </c>
      <c r="K661" s="912">
        <v>180</v>
      </c>
      <c r="L661" s="1041">
        <v>180</v>
      </c>
      <c r="M661" s="820">
        <f t="shared" si="1579"/>
        <v>180</v>
      </c>
      <c r="N661" s="1030">
        <v>180</v>
      </c>
      <c r="O661" s="912">
        <v>180</v>
      </c>
      <c r="P661" s="912">
        <v>180</v>
      </c>
      <c r="Q661" s="1041">
        <v>180</v>
      </c>
      <c r="R661" s="820">
        <f t="shared" si="1567"/>
        <v>180</v>
      </c>
      <c r="S661" s="1030">
        <v>180</v>
      </c>
      <c r="T661" s="912">
        <v>180</v>
      </c>
      <c r="U661" s="912">
        <v>284</v>
      </c>
      <c r="V661" s="912">
        <v>1017</v>
      </c>
      <c r="W661" s="398">
        <f t="shared" si="1568"/>
        <v>1017</v>
      </c>
      <c r="X661" s="2787">
        <v>1337</v>
      </c>
      <c r="Y661" s="2791">
        <v>1337</v>
      </c>
      <c r="Z661" s="2791">
        <v>1337</v>
      </c>
      <c r="AA661" s="2791">
        <v>1334</v>
      </c>
      <c r="AB661" s="398">
        <f t="shared" si="1569"/>
        <v>1334</v>
      </c>
      <c r="AC661" s="406">
        <f t="shared" si="1589"/>
        <v>1347.34</v>
      </c>
      <c r="AD661" s="406">
        <f t="shared" si="1589"/>
        <v>1360.5832982039165</v>
      </c>
      <c r="AE661" s="3665">
        <v>1574</v>
      </c>
      <c r="AF661" s="3665">
        <v>1574</v>
      </c>
      <c r="AG661" s="398">
        <f t="shared" si="1571"/>
        <v>1574</v>
      </c>
      <c r="AH661" s="406">
        <f t="shared" si="1590"/>
        <v>1597.61</v>
      </c>
      <c r="AI661" s="406">
        <f t="shared" si="1591"/>
        <v>1621.5741499999997</v>
      </c>
      <c r="AJ661" s="406">
        <f t="shared" si="1592"/>
        <v>1645.8977622499995</v>
      </c>
      <c r="AK661" s="820">
        <f t="shared" si="1593"/>
        <v>1670.5862286837494</v>
      </c>
      <c r="AL661" s="820">
        <f t="shared" si="1587"/>
        <v>1670.5862286837494</v>
      </c>
      <c r="AM661" s="398">
        <f t="shared" si="1594"/>
        <v>1745.7626089745179</v>
      </c>
      <c r="AN661" s="398">
        <f t="shared" si="1594"/>
        <v>1798.1354872437535</v>
      </c>
    </row>
    <row r="662" spans="1:40">
      <c r="A662" s="130" t="str">
        <f>A$17</f>
        <v>Hampton Inn (Upper Mid)</v>
      </c>
      <c r="B662" s="1030">
        <v>0</v>
      </c>
      <c r="C662" s="508">
        <v>0</v>
      </c>
      <c r="D662" s="1030">
        <v>0</v>
      </c>
      <c r="E662" s="912">
        <v>0</v>
      </c>
      <c r="F662" s="912">
        <v>0</v>
      </c>
      <c r="G662" s="1041">
        <v>0</v>
      </c>
      <c r="H662" s="820">
        <f t="shared" si="1578"/>
        <v>0</v>
      </c>
      <c r="I662" s="1030">
        <v>0</v>
      </c>
      <c r="J662" s="912">
        <v>0</v>
      </c>
      <c r="K662" s="912">
        <v>0</v>
      </c>
      <c r="L662" s="1041">
        <v>0</v>
      </c>
      <c r="M662" s="820">
        <f t="shared" si="1579"/>
        <v>0</v>
      </c>
      <c r="N662" s="1030">
        <v>0</v>
      </c>
      <c r="O662" s="912">
        <v>0</v>
      </c>
      <c r="P662" s="912">
        <v>0</v>
      </c>
      <c r="Q662" s="1041">
        <v>0</v>
      </c>
      <c r="R662" s="820">
        <f t="shared" si="1567"/>
        <v>0</v>
      </c>
      <c r="S662" s="1030">
        <v>0</v>
      </c>
      <c r="T662" s="912">
        <v>0</v>
      </c>
      <c r="U662" s="912">
        <v>0</v>
      </c>
      <c r="V662" s="912">
        <v>0</v>
      </c>
      <c r="W662" s="398">
        <f t="shared" si="1568"/>
        <v>0</v>
      </c>
      <c r="X662" s="2787">
        <v>0</v>
      </c>
      <c r="Y662" s="2791">
        <v>0</v>
      </c>
      <c r="Z662" s="2791">
        <v>0</v>
      </c>
      <c r="AA662" s="2791">
        <v>0</v>
      </c>
      <c r="AB662" s="398">
        <f t="shared" si="1569"/>
        <v>0</v>
      </c>
      <c r="AC662" s="406">
        <f t="shared" si="1589"/>
        <v>0</v>
      </c>
      <c r="AD662" s="406">
        <f t="shared" si="1589"/>
        <v>0</v>
      </c>
      <c r="AE662" s="3665">
        <v>0</v>
      </c>
      <c r="AF662" s="820">
        <f t="shared" si="1589"/>
        <v>0</v>
      </c>
      <c r="AG662" s="820">
        <f t="shared" si="1571"/>
        <v>0</v>
      </c>
      <c r="AH662" s="406">
        <f t="shared" si="1590"/>
        <v>0</v>
      </c>
      <c r="AI662" s="406">
        <f t="shared" si="1591"/>
        <v>0</v>
      </c>
      <c r="AJ662" s="406">
        <f t="shared" si="1592"/>
        <v>0</v>
      </c>
      <c r="AK662" s="820">
        <f t="shared" si="1593"/>
        <v>0</v>
      </c>
      <c r="AL662" s="820">
        <f t="shared" si="1587"/>
        <v>0</v>
      </c>
      <c r="AM662" s="398">
        <f t="shared" si="1594"/>
        <v>0</v>
      </c>
      <c r="AN662" s="398">
        <f t="shared" si="1594"/>
        <v>0</v>
      </c>
    </row>
    <row r="663" spans="1:40">
      <c r="A663" s="130" t="s">
        <v>1408</v>
      </c>
      <c r="B663" s="1030">
        <v>0</v>
      </c>
      <c r="C663" s="508">
        <v>0</v>
      </c>
      <c r="D663" s="1030">
        <v>0</v>
      </c>
      <c r="E663" s="912">
        <v>0</v>
      </c>
      <c r="F663" s="912">
        <v>0</v>
      </c>
      <c r="G663" s="1041">
        <v>0</v>
      </c>
      <c r="H663" s="820">
        <f t="shared" si="1578"/>
        <v>0</v>
      </c>
      <c r="I663" s="1030">
        <v>0</v>
      </c>
      <c r="J663" s="912">
        <v>0</v>
      </c>
      <c r="K663" s="912">
        <v>0</v>
      </c>
      <c r="L663" s="1041">
        <v>0</v>
      </c>
      <c r="M663" s="820">
        <f t="shared" si="1579"/>
        <v>0</v>
      </c>
      <c r="N663" s="1030">
        <v>0</v>
      </c>
      <c r="O663" s="912">
        <v>0</v>
      </c>
      <c r="P663" s="912">
        <v>0</v>
      </c>
      <c r="Q663" s="1041">
        <v>0</v>
      </c>
      <c r="R663" s="820">
        <f t="shared" si="1567"/>
        <v>0</v>
      </c>
      <c r="S663" s="1030">
        <v>0</v>
      </c>
      <c r="T663" s="912">
        <v>0</v>
      </c>
      <c r="U663" s="912">
        <v>0</v>
      </c>
      <c r="V663" s="912">
        <v>0</v>
      </c>
      <c r="W663" s="398">
        <f t="shared" si="1568"/>
        <v>0</v>
      </c>
      <c r="X663" s="2787">
        <v>0</v>
      </c>
      <c r="Y663" s="2791">
        <v>0</v>
      </c>
      <c r="Z663" s="2791">
        <v>0</v>
      </c>
      <c r="AA663" s="2791">
        <v>0</v>
      </c>
      <c r="AB663" s="398">
        <f t="shared" si="1569"/>
        <v>0</v>
      </c>
      <c r="AC663" s="406">
        <f t="shared" si="1589"/>
        <v>0</v>
      </c>
      <c r="AD663" s="406">
        <f t="shared" si="1589"/>
        <v>0</v>
      </c>
      <c r="AE663" s="3665">
        <v>0</v>
      </c>
      <c r="AF663" s="820">
        <f t="shared" si="1589"/>
        <v>0</v>
      </c>
      <c r="AG663" s="820">
        <f t="shared" si="1571"/>
        <v>0</v>
      </c>
      <c r="AH663" s="406">
        <f t="shared" si="1590"/>
        <v>0</v>
      </c>
      <c r="AI663" s="406">
        <f t="shared" si="1591"/>
        <v>0</v>
      </c>
      <c r="AJ663" s="406">
        <f t="shared" si="1592"/>
        <v>0</v>
      </c>
      <c r="AK663" s="820">
        <f t="shared" si="1593"/>
        <v>0</v>
      </c>
      <c r="AL663" s="820">
        <f t="shared" si="1587"/>
        <v>0</v>
      </c>
      <c r="AM663" s="820">
        <f t="shared" si="1594"/>
        <v>0</v>
      </c>
      <c r="AN663" s="820">
        <f t="shared" si="1594"/>
        <v>0</v>
      </c>
    </row>
    <row r="664" spans="1:40">
      <c r="A664" s="130" t="str">
        <f>$A$90</f>
        <v>Tru by Hilton</v>
      </c>
      <c r="B664" s="1030">
        <v>0</v>
      </c>
      <c r="C664" s="508">
        <v>0</v>
      </c>
      <c r="D664" s="1030">
        <v>0</v>
      </c>
      <c r="E664" s="912">
        <v>0</v>
      </c>
      <c r="F664" s="912">
        <v>0</v>
      </c>
      <c r="G664" s="1041">
        <v>0</v>
      </c>
      <c r="H664" s="820">
        <f t="shared" ref="H664:H665" si="1595">G664</f>
        <v>0</v>
      </c>
      <c r="I664" s="1030">
        <v>0</v>
      </c>
      <c r="J664" s="912">
        <v>0</v>
      </c>
      <c r="K664" s="912">
        <v>0</v>
      </c>
      <c r="L664" s="1041">
        <v>0</v>
      </c>
      <c r="M664" s="820">
        <f t="shared" ref="M664:M665" si="1596">L664</f>
        <v>0</v>
      </c>
      <c r="N664" s="1030">
        <v>0</v>
      </c>
      <c r="O664" s="912">
        <v>0</v>
      </c>
      <c r="P664" s="912">
        <v>0</v>
      </c>
      <c r="Q664" s="1041">
        <v>0</v>
      </c>
      <c r="R664" s="820">
        <f t="shared" ref="R664:R665" si="1597">Q664</f>
        <v>0</v>
      </c>
      <c r="S664" s="1030">
        <v>0</v>
      </c>
      <c r="T664" s="912">
        <v>0</v>
      </c>
      <c r="U664" s="912">
        <v>0</v>
      </c>
      <c r="V664" s="912">
        <v>0</v>
      </c>
      <c r="W664" s="398">
        <f t="shared" ref="W664:W665" si="1598">V664</f>
        <v>0</v>
      </c>
      <c r="X664" s="2787">
        <v>0</v>
      </c>
      <c r="Y664" s="2791">
        <v>0</v>
      </c>
      <c r="Z664" s="2791">
        <v>0</v>
      </c>
      <c r="AA664" s="2791">
        <v>0</v>
      </c>
      <c r="AB664" s="398">
        <f t="shared" ref="AB664:AB665" si="1599">AA664</f>
        <v>0</v>
      </c>
      <c r="AC664" s="406">
        <f t="shared" ref="AC664:AF664" si="1600">AB664*(1+AC$884)</f>
        <v>0</v>
      </c>
      <c r="AD664" s="406">
        <f t="shared" si="1600"/>
        <v>0</v>
      </c>
      <c r="AE664" s="3665">
        <v>0</v>
      </c>
      <c r="AF664" s="820">
        <f t="shared" si="1600"/>
        <v>0</v>
      </c>
      <c r="AG664" s="820">
        <f t="shared" ref="AG664:AG665" si="1601">AF664</f>
        <v>0</v>
      </c>
      <c r="AH664" s="406">
        <f t="shared" si="1590"/>
        <v>0</v>
      </c>
      <c r="AI664" s="406">
        <f t="shared" si="1591"/>
        <v>0</v>
      </c>
      <c r="AJ664" s="406">
        <f t="shared" si="1592"/>
        <v>0</v>
      </c>
      <c r="AK664" s="820">
        <f t="shared" si="1593"/>
        <v>0</v>
      </c>
      <c r="AL664" s="820">
        <f t="shared" si="1587"/>
        <v>0</v>
      </c>
      <c r="AM664" s="820">
        <f t="shared" ref="AM664:AN664" si="1602">AL664*(1+AM$883)</f>
        <v>0</v>
      </c>
      <c r="AN664" s="820">
        <f t="shared" si="1602"/>
        <v>0</v>
      </c>
    </row>
    <row r="665" spans="1:40">
      <c r="A665" s="130" t="str">
        <f>$A$91</f>
        <v>Tapestry Collection by Hilton</v>
      </c>
      <c r="B665" s="1030">
        <v>0</v>
      </c>
      <c r="C665" s="508">
        <v>0</v>
      </c>
      <c r="D665" s="1030">
        <v>0</v>
      </c>
      <c r="E665" s="912">
        <v>0</v>
      </c>
      <c r="F665" s="912">
        <v>0</v>
      </c>
      <c r="G665" s="1041">
        <v>0</v>
      </c>
      <c r="H665" s="820">
        <f t="shared" si="1595"/>
        <v>0</v>
      </c>
      <c r="I665" s="1030">
        <v>0</v>
      </c>
      <c r="J665" s="912">
        <v>0</v>
      </c>
      <c r="K665" s="912">
        <v>0</v>
      </c>
      <c r="L665" s="1041">
        <v>0</v>
      </c>
      <c r="M665" s="820">
        <f t="shared" si="1596"/>
        <v>0</v>
      </c>
      <c r="N665" s="1030">
        <v>0</v>
      </c>
      <c r="O665" s="912">
        <v>0</v>
      </c>
      <c r="P665" s="912">
        <v>0</v>
      </c>
      <c r="Q665" s="1041">
        <v>0</v>
      </c>
      <c r="R665" s="820">
        <f t="shared" si="1597"/>
        <v>0</v>
      </c>
      <c r="S665" s="1030">
        <v>0</v>
      </c>
      <c r="T665" s="912">
        <v>0</v>
      </c>
      <c r="U665" s="912">
        <v>0</v>
      </c>
      <c r="V665" s="912">
        <v>0</v>
      </c>
      <c r="W665" s="398">
        <f t="shared" si="1598"/>
        <v>0</v>
      </c>
      <c r="X665" s="2787">
        <v>0</v>
      </c>
      <c r="Y665" s="2791">
        <v>0</v>
      </c>
      <c r="Z665" s="2791">
        <v>0</v>
      </c>
      <c r="AA665" s="2791">
        <v>0</v>
      </c>
      <c r="AB665" s="398">
        <f t="shared" si="1599"/>
        <v>0</v>
      </c>
      <c r="AC665" s="406">
        <f t="shared" ref="AC665:AF665" si="1603">AB665*(1+AC$884)</f>
        <v>0</v>
      </c>
      <c r="AD665" s="406">
        <f t="shared" si="1603"/>
        <v>0</v>
      </c>
      <c r="AE665" s="3665">
        <v>0</v>
      </c>
      <c r="AF665" s="820">
        <f t="shared" si="1603"/>
        <v>0</v>
      </c>
      <c r="AG665" s="820">
        <f t="shared" si="1601"/>
        <v>0</v>
      </c>
      <c r="AH665" s="406">
        <f t="shared" si="1590"/>
        <v>0</v>
      </c>
      <c r="AI665" s="406">
        <f t="shared" si="1591"/>
        <v>0</v>
      </c>
      <c r="AJ665" s="406">
        <f t="shared" si="1592"/>
        <v>0</v>
      </c>
      <c r="AK665" s="820">
        <f t="shared" si="1593"/>
        <v>0</v>
      </c>
      <c r="AL665" s="820">
        <f t="shared" si="1587"/>
        <v>0</v>
      </c>
      <c r="AM665" s="820">
        <f t="shared" ref="AM665:AN665" si="1604">AL665*(1+AM$883)</f>
        <v>0</v>
      </c>
      <c r="AN665" s="820">
        <f t="shared" si="1604"/>
        <v>0</v>
      </c>
    </row>
    <row r="666" spans="1:40" s="5" customFormat="1">
      <c r="A666" s="402" t="str">
        <f>A$21</f>
        <v>Homewood Suites by Hilton (Upscale)</v>
      </c>
      <c r="B666" s="1031">
        <v>0</v>
      </c>
      <c r="C666" s="1029">
        <v>0</v>
      </c>
      <c r="D666" s="1031">
        <v>0</v>
      </c>
      <c r="E666" s="1039">
        <v>0</v>
      </c>
      <c r="F666" s="1039">
        <v>0</v>
      </c>
      <c r="G666" s="1042">
        <v>0</v>
      </c>
      <c r="H666" s="700">
        <f t="shared" si="1578"/>
        <v>0</v>
      </c>
      <c r="I666" s="1031">
        <v>0</v>
      </c>
      <c r="J666" s="1039">
        <v>0</v>
      </c>
      <c r="K666" s="1039">
        <v>0</v>
      </c>
      <c r="L666" s="1042">
        <v>0</v>
      </c>
      <c r="M666" s="700">
        <f t="shared" si="1579"/>
        <v>0</v>
      </c>
      <c r="N666" s="1031">
        <v>0</v>
      </c>
      <c r="O666" s="1039">
        <v>0</v>
      </c>
      <c r="P666" s="1039">
        <v>0</v>
      </c>
      <c r="Q666" s="1042">
        <v>0</v>
      </c>
      <c r="R666" s="700">
        <f t="shared" si="1567"/>
        <v>0</v>
      </c>
      <c r="S666" s="1031">
        <v>0</v>
      </c>
      <c r="T666" s="1039">
        <v>0</v>
      </c>
      <c r="U666" s="1039">
        <v>0</v>
      </c>
      <c r="V666" s="1039">
        <v>0</v>
      </c>
      <c r="W666" s="403">
        <f t="shared" si="1568"/>
        <v>0</v>
      </c>
      <c r="X666" s="2788">
        <v>0</v>
      </c>
      <c r="Y666" s="2839">
        <v>0</v>
      </c>
      <c r="Z666" s="2839">
        <v>0</v>
      </c>
      <c r="AA666" s="2839">
        <v>0</v>
      </c>
      <c r="AB666" s="403">
        <f t="shared" si="1569"/>
        <v>0</v>
      </c>
      <c r="AC666" s="2392">
        <f>AB666*(1+AC$884)</f>
        <v>0</v>
      </c>
      <c r="AD666" s="2392">
        <f>AC666*(1+AD$884)</f>
        <v>0</v>
      </c>
      <c r="AE666" s="4002">
        <v>0</v>
      </c>
      <c r="AF666" s="700">
        <f>AE666*(1+AF$884)</f>
        <v>0</v>
      </c>
      <c r="AG666" s="700">
        <f t="shared" si="1571"/>
        <v>0</v>
      </c>
      <c r="AH666" s="2392">
        <f t="shared" si="1590"/>
        <v>0</v>
      </c>
      <c r="AI666" s="2392">
        <f t="shared" si="1591"/>
        <v>0</v>
      </c>
      <c r="AJ666" s="2392">
        <f>AI666*(1+AJ$884)</f>
        <v>0</v>
      </c>
      <c r="AK666" s="700">
        <f>AJ666*(1+AK$884)</f>
        <v>0</v>
      </c>
      <c r="AL666" s="700">
        <f t="shared" si="1587"/>
        <v>0</v>
      </c>
      <c r="AM666" s="700">
        <f>AL666*(1+AM$883)</f>
        <v>0</v>
      </c>
      <c r="AN666" s="700">
        <f>AM666*(1+AN$883)</f>
        <v>0</v>
      </c>
    </row>
    <row r="667" spans="1:40">
      <c r="A667" s="482" t="s">
        <v>1687</v>
      </c>
      <c r="B667" s="1032">
        <f t="shared" ref="B667:AN667" si="1605">SUM(B654:B666)</f>
        <v>10793</v>
      </c>
      <c r="C667" s="400">
        <f t="shared" si="1605"/>
        <v>12434</v>
      </c>
      <c r="D667" s="1032">
        <f t="shared" si="1605"/>
        <v>12464</v>
      </c>
      <c r="E667" s="405">
        <f t="shared" si="1605"/>
        <v>13153</v>
      </c>
      <c r="F667" s="405">
        <f t="shared" si="1605"/>
        <v>13153</v>
      </c>
      <c r="G667" s="821">
        <f t="shared" si="1605"/>
        <v>13239</v>
      </c>
      <c r="H667" s="821">
        <f t="shared" si="1605"/>
        <v>13239</v>
      </c>
      <c r="I667" s="1032">
        <f t="shared" si="1605"/>
        <v>13553</v>
      </c>
      <c r="J667" s="405">
        <f t="shared" si="1605"/>
        <v>13555</v>
      </c>
      <c r="K667" s="405">
        <f t="shared" si="1605"/>
        <v>14915</v>
      </c>
      <c r="L667" s="821">
        <f t="shared" si="1605"/>
        <v>15777</v>
      </c>
      <c r="M667" s="821">
        <f t="shared" si="1605"/>
        <v>15777</v>
      </c>
      <c r="N667" s="1032">
        <f t="shared" si="1605"/>
        <v>16511</v>
      </c>
      <c r="O667" s="405">
        <f t="shared" si="1605"/>
        <v>16980</v>
      </c>
      <c r="P667" s="405">
        <f t="shared" si="1605"/>
        <v>16979</v>
      </c>
      <c r="Q667" s="821">
        <f t="shared" si="1605"/>
        <v>16995</v>
      </c>
      <c r="R667" s="821">
        <f t="shared" si="1605"/>
        <v>16995</v>
      </c>
      <c r="S667" s="1032">
        <f t="shared" si="1605"/>
        <v>16795</v>
      </c>
      <c r="T667" s="405">
        <f t="shared" si="1605"/>
        <v>17018</v>
      </c>
      <c r="U667" s="405">
        <f t="shared" si="1605"/>
        <v>17307</v>
      </c>
      <c r="V667" s="405">
        <f t="shared" si="1605"/>
        <v>18421</v>
      </c>
      <c r="W667" s="400">
        <f t="shared" si="1605"/>
        <v>18421</v>
      </c>
      <c r="X667" s="1032">
        <f t="shared" si="1605"/>
        <v>18521</v>
      </c>
      <c r="Y667" s="405">
        <f t="shared" si="1605"/>
        <v>19199</v>
      </c>
      <c r="Z667" s="405">
        <f t="shared" si="1605"/>
        <v>19199</v>
      </c>
      <c r="AA667" s="405">
        <f t="shared" si="1605"/>
        <v>19399</v>
      </c>
      <c r="AB667" s="400">
        <f t="shared" si="1605"/>
        <v>19399</v>
      </c>
      <c r="AC667" s="405">
        <f t="shared" si="1605"/>
        <v>19917.98</v>
      </c>
      <c r="AD667" s="405">
        <f t="shared" si="1605"/>
        <v>20111.782489216275</v>
      </c>
      <c r="AE667" s="405">
        <f t="shared" si="1605"/>
        <v>19090</v>
      </c>
      <c r="AF667" s="821">
        <f t="shared" si="1605"/>
        <v>19331</v>
      </c>
      <c r="AG667" s="400">
        <f t="shared" si="1605"/>
        <v>19331</v>
      </c>
      <c r="AH667" s="405">
        <f t="shared" si="1605"/>
        <v>19617.949999999997</v>
      </c>
      <c r="AI667" s="405">
        <f t="shared" si="1605"/>
        <v>19909.204249999995</v>
      </c>
      <c r="AJ667" s="405">
        <f t="shared" ref="AJ667:AL667" si="1606">SUM(AJ654:AJ666)</f>
        <v>20204.827313749996</v>
      </c>
      <c r="AK667" s="821">
        <f t="shared" si="1606"/>
        <v>20504.884723456245</v>
      </c>
      <c r="AL667" s="400">
        <f t="shared" si="1606"/>
        <v>20504.884723456245</v>
      </c>
      <c r="AM667" s="821">
        <f t="shared" si="1605"/>
        <v>21418.559536011777</v>
      </c>
      <c r="AN667" s="821">
        <f t="shared" si="1605"/>
        <v>22055.086322092127</v>
      </c>
    </row>
    <row r="668" spans="1:40">
      <c r="A668" s="130"/>
      <c r="B668" s="1033"/>
      <c r="C668" s="398"/>
      <c r="D668" s="1033"/>
      <c r="E668" s="406"/>
      <c r="F668" s="406"/>
      <c r="G668" s="820"/>
      <c r="H668" s="820"/>
      <c r="I668" s="1033"/>
      <c r="J668" s="406"/>
      <c r="K668" s="406"/>
      <c r="L668" s="820"/>
      <c r="M668" s="820"/>
      <c r="N668" s="401"/>
      <c r="O668" s="406"/>
      <c r="P668" s="406"/>
      <c r="Q668" s="820"/>
      <c r="R668" s="820"/>
      <c r="S668" s="1033"/>
      <c r="T668" s="406"/>
      <c r="U668" s="406"/>
      <c r="V668" s="406"/>
      <c r="W668" s="398"/>
      <c r="X668" s="1033"/>
      <c r="Y668" s="406"/>
      <c r="Z668" s="406"/>
      <c r="AA668" s="406"/>
      <c r="AB668" s="398"/>
      <c r="AC668" s="406"/>
      <c r="AD668" s="406"/>
      <c r="AE668" s="406"/>
      <c r="AF668" s="820"/>
      <c r="AG668" s="398"/>
      <c r="AH668" s="406"/>
      <c r="AI668" s="406"/>
      <c r="AJ668" s="406"/>
      <c r="AK668" s="820"/>
      <c r="AL668" s="398"/>
      <c r="AM668" s="820"/>
      <c r="AN668" s="820"/>
    </row>
    <row r="669" spans="1:40">
      <c r="A669" s="295" t="s">
        <v>1284</v>
      </c>
      <c r="B669" s="1033"/>
      <c r="C669" s="398"/>
      <c r="D669" s="1033"/>
      <c r="E669" s="406"/>
      <c r="F669" s="406"/>
      <c r="G669" s="820"/>
      <c r="H669" s="820"/>
      <c r="I669" s="1033"/>
      <c r="J669" s="406"/>
      <c r="K669" s="406"/>
      <c r="L669" s="820"/>
      <c r="M669" s="820"/>
      <c r="N669" s="401"/>
      <c r="O669" s="406"/>
      <c r="P669" s="406"/>
      <c r="Q669" s="820"/>
      <c r="R669" s="820"/>
      <c r="S669" s="1033"/>
      <c r="T669" s="406"/>
      <c r="U669" s="406"/>
      <c r="V669" s="406"/>
      <c r="W669" s="398"/>
      <c r="X669" s="1033"/>
      <c r="Y669" s="406"/>
      <c r="Z669" s="406"/>
      <c r="AA669" s="406"/>
      <c r="AB669" s="398"/>
      <c r="AC669" s="406"/>
      <c r="AD669" s="406"/>
      <c r="AE669" s="406"/>
      <c r="AF669" s="820"/>
      <c r="AG669" s="398"/>
      <c r="AH669" s="406"/>
      <c r="AI669" s="406"/>
      <c r="AJ669" s="406"/>
      <c r="AK669" s="820"/>
      <c r="AL669" s="398"/>
      <c r="AM669" s="820"/>
      <c r="AN669" s="820"/>
    </row>
    <row r="670" spans="1:40">
      <c r="A670" s="130" t="str">
        <f>A$9</f>
        <v>Waldorf Astoria Hotels &amp; Resorts (Luxury)</v>
      </c>
      <c r="B670" s="1030">
        <v>0</v>
      </c>
      <c r="C670" s="508">
        <v>0</v>
      </c>
      <c r="D670" s="1030">
        <v>0</v>
      </c>
      <c r="E670" s="912">
        <v>0</v>
      </c>
      <c r="F670" s="912">
        <v>0</v>
      </c>
      <c r="G670" s="1041">
        <v>0</v>
      </c>
      <c r="H670" s="820">
        <f>G670</f>
        <v>0</v>
      </c>
      <c r="I670" s="1030">
        <v>0</v>
      </c>
      <c r="J670" s="912">
        <v>0</v>
      </c>
      <c r="K670" s="912">
        <v>0</v>
      </c>
      <c r="L670" s="1041">
        <v>0</v>
      </c>
      <c r="M670" s="820">
        <f>L670</f>
        <v>0</v>
      </c>
      <c r="N670" s="1030">
        <v>0</v>
      </c>
      <c r="O670" s="912">
        <v>0</v>
      </c>
      <c r="P670" s="912">
        <v>0</v>
      </c>
      <c r="Q670" s="1041">
        <v>0</v>
      </c>
      <c r="R670" s="820">
        <f t="shared" ref="R670:R682" si="1607">Q670</f>
        <v>0</v>
      </c>
      <c r="S670" s="1030">
        <v>0</v>
      </c>
      <c r="T670" s="912">
        <v>0</v>
      </c>
      <c r="U670" s="912">
        <v>0</v>
      </c>
      <c r="V670" s="912">
        <v>0</v>
      </c>
      <c r="W670" s="398">
        <f t="shared" ref="W670:W682" si="1608">V670</f>
        <v>0</v>
      </c>
      <c r="X670" s="2787">
        <v>0</v>
      </c>
      <c r="Y670" s="2791">
        <v>0</v>
      </c>
      <c r="Z670" s="2791">
        <v>0</v>
      </c>
      <c r="AA670" s="2791">
        <v>0</v>
      </c>
      <c r="AB670" s="398">
        <f t="shared" ref="AB670:AB682" si="1609">AA670</f>
        <v>0</v>
      </c>
      <c r="AC670" s="406">
        <f t="shared" ref="AC670:AF671" si="1610">AB670*(1+AC$913)</f>
        <v>0</v>
      </c>
      <c r="AD670" s="406">
        <f t="shared" si="1610"/>
        <v>0</v>
      </c>
      <c r="AE670" s="3665">
        <v>0</v>
      </c>
      <c r="AF670" s="820">
        <f t="shared" si="1610"/>
        <v>0</v>
      </c>
      <c r="AG670" s="820">
        <f t="shared" ref="AG670:AG682" si="1611">AF670</f>
        <v>0</v>
      </c>
      <c r="AH670" s="406">
        <f t="shared" ref="AH670:AH671" si="1612">AG670*(1+AH$913)</f>
        <v>0</v>
      </c>
      <c r="AI670" s="406">
        <f t="shared" ref="AI670:AI671" si="1613">AH670*(1+AI$913)</f>
        <v>0</v>
      </c>
      <c r="AJ670" s="406">
        <f t="shared" ref="AJ670:AJ671" si="1614">AI670*(1+AJ$913)</f>
        <v>0</v>
      </c>
      <c r="AK670" s="820">
        <f t="shared" ref="AK670:AK671" si="1615">AJ670*(1+AK$913)</f>
        <v>0</v>
      </c>
      <c r="AL670" s="820">
        <f t="shared" ref="AL670:AL671" si="1616">AK670</f>
        <v>0</v>
      </c>
      <c r="AM670" s="398">
        <f t="shared" ref="AM670:AN671" si="1617">AL670*(1+AM$912)</f>
        <v>0</v>
      </c>
      <c r="AN670" s="398">
        <f t="shared" si="1617"/>
        <v>0</v>
      </c>
    </row>
    <row r="671" spans="1:40">
      <c r="A671" s="130" t="str">
        <f>A$10</f>
        <v>Conrad Hotels &amp; Resorts (Luxury)</v>
      </c>
      <c r="B671" s="1030">
        <v>0</v>
      </c>
      <c r="C671" s="508">
        <v>0</v>
      </c>
      <c r="D671" s="1030">
        <v>0</v>
      </c>
      <c r="E671" s="912">
        <v>0</v>
      </c>
      <c r="F671" s="912">
        <v>0</v>
      </c>
      <c r="G671" s="1041">
        <v>0</v>
      </c>
      <c r="H671" s="820">
        <f t="shared" ref="H671:H682" si="1618">G671</f>
        <v>0</v>
      </c>
      <c r="I671" s="1030">
        <v>0</v>
      </c>
      <c r="J671" s="912">
        <v>0</v>
      </c>
      <c r="K671" s="912">
        <v>0</v>
      </c>
      <c r="L671" s="1041">
        <v>0</v>
      </c>
      <c r="M671" s="820">
        <f t="shared" ref="M671:M682" si="1619">L671</f>
        <v>0</v>
      </c>
      <c r="N671" s="1030">
        <v>0</v>
      </c>
      <c r="O671" s="912">
        <v>0</v>
      </c>
      <c r="P671" s="912">
        <v>0</v>
      </c>
      <c r="Q671" s="1041">
        <v>0</v>
      </c>
      <c r="R671" s="820">
        <f t="shared" si="1607"/>
        <v>0</v>
      </c>
      <c r="S671" s="1030">
        <v>0</v>
      </c>
      <c r="T671" s="912">
        <v>0</v>
      </c>
      <c r="U671" s="912">
        <v>0</v>
      </c>
      <c r="V671" s="912">
        <v>0</v>
      </c>
      <c r="W671" s="398">
        <f t="shared" si="1608"/>
        <v>0</v>
      </c>
      <c r="X671" s="2787">
        <v>0</v>
      </c>
      <c r="Y671" s="2791">
        <v>0</v>
      </c>
      <c r="Z671" s="2791">
        <v>0</v>
      </c>
      <c r="AA671" s="2791">
        <v>0</v>
      </c>
      <c r="AB671" s="398">
        <f t="shared" si="1609"/>
        <v>0</v>
      </c>
      <c r="AC671" s="406">
        <f t="shared" si="1610"/>
        <v>0</v>
      </c>
      <c r="AD671" s="406">
        <f t="shared" si="1610"/>
        <v>0</v>
      </c>
      <c r="AE671" s="3665">
        <v>0</v>
      </c>
      <c r="AF671" s="820">
        <f t="shared" si="1610"/>
        <v>0</v>
      </c>
      <c r="AG671" s="820">
        <f t="shared" si="1611"/>
        <v>0</v>
      </c>
      <c r="AH671" s="406">
        <f t="shared" si="1612"/>
        <v>0</v>
      </c>
      <c r="AI671" s="406">
        <f t="shared" si="1613"/>
        <v>0</v>
      </c>
      <c r="AJ671" s="406">
        <f t="shared" si="1614"/>
        <v>0</v>
      </c>
      <c r="AK671" s="820">
        <f t="shared" si="1615"/>
        <v>0</v>
      </c>
      <c r="AL671" s="820">
        <f t="shared" si="1616"/>
        <v>0</v>
      </c>
      <c r="AM671" s="398">
        <f t="shared" si="1617"/>
        <v>0</v>
      </c>
      <c r="AN671" s="398">
        <f t="shared" si="1617"/>
        <v>0</v>
      </c>
    </row>
    <row r="672" spans="1:40">
      <c r="A672" s="1828" t="s">
        <v>3022</v>
      </c>
      <c r="B672" s="1030"/>
      <c r="C672" s="508"/>
      <c r="D672" s="1030"/>
      <c r="E672" s="912"/>
      <c r="F672" s="912"/>
      <c r="G672" s="1041"/>
      <c r="H672" s="820"/>
      <c r="I672" s="1030"/>
      <c r="J672" s="912"/>
      <c r="K672" s="912"/>
      <c r="L672" s="1041"/>
      <c r="M672" s="820"/>
      <c r="N672" s="1030"/>
      <c r="O672" s="912"/>
      <c r="P672" s="912"/>
      <c r="Q672" s="1041"/>
      <c r="R672" s="820"/>
      <c r="S672" s="1030"/>
      <c r="T672" s="912"/>
      <c r="U672" s="912"/>
      <c r="V672" s="912"/>
      <c r="W672" s="398"/>
      <c r="X672" s="2791"/>
      <c r="Y672" s="2791"/>
      <c r="Z672" s="2791"/>
      <c r="AA672" s="2791">
        <v>0</v>
      </c>
      <c r="AB672" s="398">
        <f t="shared" ref="AB672:AG672" si="1620">+AA672</f>
        <v>0</v>
      </c>
      <c r="AC672" s="2944">
        <f t="shared" si="1620"/>
        <v>0</v>
      </c>
      <c r="AD672" s="406">
        <f t="shared" si="1620"/>
        <v>0</v>
      </c>
      <c r="AE672" s="3665">
        <v>0</v>
      </c>
      <c r="AF672" s="820">
        <f t="shared" si="1620"/>
        <v>0</v>
      </c>
      <c r="AG672" s="398">
        <f t="shared" si="1620"/>
        <v>0</v>
      </c>
      <c r="AH672" s="406">
        <f t="shared" ref="AH672" si="1621">+AG672</f>
        <v>0</v>
      </c>
      <c r="AI672" s="406">
        <f t="shared" ref="AI672" si="1622">+AH672</f>
        <v>0</v>
      </c>
      <c r="AJ672" s="406">
        <f t="shared" ref="AJ672" si="1623">+AI672</f>
        <v>0</v>
      </c>
      <c r="AK672" s="820">
        <f t="shared" ref="AK672" si="1624">+AJ672</f>
        <v>0</v>
      </c>
      <c r="AL672" s="398">
        <f t="shared" ref="AL672" si="1625">+AK672</f>
        <v>0</v>
      </c>
      <c r="AM672" s="398">
        <f>AL672</f>
        <v>0</v>
      </c>
      <c r="AN672" s="398">
        <f>AM672</f>
        <v>0</v>
      </c>
    </row>
    <row r="673" spans="1:40">
      <c r="A673" s="130" t="str">
        <f>A$12</f>
        <v>Hilton Hotels &amp; Resorts (Upper Up)</v>
      </c>
      <c r="B673" s="1030">
        <v>410</v>
      </c>
      <c r="C673" s="508">
        <v>410</v>
      </c>
      <c r="D673" s="1030">
        <v>410</v>
      </c>
      <c r="E673" s="912">
        <v>410</v>
      </c>
      <c r="F673" s="912">
        <v>410</v>
      </c>
      <c r="G673" s="1041">
        <v>410</v>
      </c>
      <c r="H673" s="820">
        <f t="shared" si="1618"/>
        <v>410</v>
      </c>
      <c r="I673" s="1030">
        <v>410</v>
      </c>
      <c r="J673" s="912">
        <v>410</v>
      </c>
      <c r="K673" s="912">
        <v>410</v>
      </c>
      <c r="L673" s="1041">
        <v>410</v>
      </c>
      <c r="M673" s="820">
        <f t="shared" si="1619"/>
        <v>410</v>
      </c>
      <c r="N673" s="1030">
        <v>410</v>
      </c>
      <c r="O673" s="912">
        <v>410</v>
      </c>
      <c r="P673" s="912">
        <v>410</v>
      </c>
      <c r="Q673" s="1041">
        <v>410</v>
      </c>
      <c r="R673" s="820">
        <f t="shared" si="1607"/>
        <v>410</v>
      </c>
      <c r="S673" s="1030">
        <v>410</v>
      </c>
      <c r="T673" s="912">
        <v>410</v>
      </c>
      <c r="U673" s="912">
        <v>410</v>
      </c>
      <c r="V673" s="912">
        <v>410</v>
      </c>
      <c r="W673" s="398">
        <f t="shared" si="1608"/>
        <v>410</v>
      </c>
      <c r="X673" s="2787">
        <v>410</v>
      </c>
      <c r="Y673" s="2791">
        <v>410</v>
      </c>
      <c r="Z673" s="2791">
        <v>410</v>
      </c>
      <c r="AA673" s="2791">
        <v>411</v>
      </c>
      <c r="AB673" s="398">
        <f t="shared" si="1609"/>
        <v>411</v>
      </c>
      <c r="AC673" s="406">
        <f>AB673*(1+AC$913)</f>
        <v>417.16499999999996</v>
      </c>
      <c r="AD673" s="406">
        <f>AC673*(1+AD$913)</f>
        <v>427.59412499999991</v>
      </c>
      <c r="AE673" s="3665">
        <v>605</v>
      </c>
      <c r="AF673" s="3665">
        <v>605</v>
      </c>
      <c r="AG673" s="398">
        <f t="shared" si="1611"/>
        <v>605</v>
      </c>
      <c r="AH673" s="406">
        <f t="shared" ref="AH673:AI673" si="1626">AG673*(1+AH$913)</f>
        <v>611.04999999999995</v>
      </c>
      <c r="AI673" s="406">
        <f t="shared" si="1626"/>
        <v>617.16049999999996</v>
      </c>
      <c r="AJ673" s="406">
        <f>AI673*(1+AJ$913)</f>
        <v>626.41790749999984</v>
      </c>
      <c r="AK673" s="820">
        <f>AJ673*(1+AK$913)</f>
        <v>635.81417611249981</v>
      </c>
      <c r="AL673" s="820">
        <f t="shared" ref="AL673:AL682" si="1627">AK673</f>
        <v>635.81417611249981</v>
      </c>
      <c r="AM673" s="398">
        <f>AL673*(1+AM$912)</f>
        <v>673.96302667924988</v>
      </c>
      <c r="AN673" s="398">
        <f>AM673*(1+AN$912)</f>
        <v>707.66117801321241</v>
      </c>
    </row>
    <row r="674" spans="1:40">
      <c r="A674" s="130" t="str">
        <f>A$13</f>
        <v xml:space="preserve">Curio - A Collection by Hilton </v>
      </c>
      <c r="B674" s="1030"/>
      <c r="C674" s="508"/>
      <c r="D674" s="1030"/>
      <c r="E674" s="912"/>
      <c r="F674" s="912"/>
      <c r="G674" s="1041"/>
      <c r="H674" s="820"/>
      <c r="I674" s="1030"/>
      <c r="J674" s="912"/>
      <c r="K674" s="912"/>
      <c r="L674" s="1041"/>
      <c r="M674" s="820"/>
      <c r="N674" s="1030"/>
      <c r="O674" s="912"/>
      <c r="P674" s="912"/>
      <c r="Q674" s="1041"/>
      <c r="R674" s="820"/>
      <c r="S674" s="1030">
        <v>0</v>
      </c>
      <c r="T674" s="912">
        <v>0</v>
      </c>
      <c r="U674" s="912">
        <v>0</v>
      </c>
      <c r="V674" s="912">
        <v>0</v>
      </c>
      <c r="W674" s="398">
        <f t="shared" si="1608"/>
        <v>0</v>
      </c>
      <c r="X674" s="2787">
        <v>0</v>
      </c>
      <c r="Y674" s="2791">
        <v>0</v>
      </c>
      <c r="Z674" s="2791">
        <v>0</v>
      </c>
      <c r="AA674" s="2791">
        <v>0</v>
      </c>
      <c r="AB674" s="398">
        <f t="shared" si="1609"/>
        <v>0</v>
      </c>
      <c r="AC674" s="406">
        <f>AB674</f>
        <v>0</v>
      </c>
      <c r="AD674" s="406">
        <f>AC674</f>
        <v>0</v>
      </c>
      <c r="AE674" s="3665">
        <v>0</v>
      </c>
      <c r="AF674" s="406">
        <f>AE674</f>
        <v>0</v>
      </c>
      <c r="AG674" s="398">
        <f t="shared" si="1611"/>
        <v>0</v>
      </c>
      <c r="AH674" s="406">
        <f t="shared" ref="AH674:AI674" si="1628">AG674</f>
        <v>0</v>
      </c>
      <c r="AI674" s="406">
        <f t="shared" si="1628"/>
        <v>0</v>
      </c>
      <c r="AJ674" s="406">
        <f>AI674</f>
        <v>0</v>
      </c>
      <c r="AK674" s="820">
        <f>AJ674</f>
        <v>0</v>
      </c>
      <c r="AL674" s="820">
        <f t="shared" si="1627"/>
        <v>0</v>
      </c>
      <c r="AM674" s="398">
        <f>AL674</f>
        <v>0</v>
      </c>
      <c r="AN674" s="398">
        <f>AM674</f>
        <v>0</v>
      </c>
    </row>
    <row r="675" spans="1:40">
      <c r="A675" s="130" t="str">
        <f>A$14</f>
        <v>DoubleTree by Hilton (Upscale)</v>
      </c>
      <c r="B675" s="1030">
        <v>247</v>
      </c>
      <c r="C675" s="508">
        <v>248</v>
      </c>
      <c r="D675" s="1030">
        <v>248</v>
      </c>
      <c r="E675" s="912">
        <v>248</v>
      </c>
      <c r="F675" s="912">
        <v>248</v>
      </c>
      <c r="G675" s="1041">
        <v>248</v>
      </c>
      <c r="H675" s="820">
        <f t="shared" si="1618"/>
        <v>248</v>
      </c>
      <c r="I675" s="1030">
        <v>248</v>
      </c>
      <c r="J675" s="912">
        <v>431</v>
      </c>
      <c r="K675" s="912">
        <v>431</v>
      </c>
      <c r="L675" s="1041">
        <v>431</v>
      </c>
      <c r="M675" s="820">
        <f t="shared" si="1619"/>
        <v>431</v>
      </c>
      <c r="N675" s="1030">
        <v>429</v>
      </c>
      <c r="O675" s="912">
        <v>429</v>
      </c>
      <c r="P675" s="912">
        <v>488</v>
      </c>
      <c r="Q675" s="1041">
        <v>488</v>
      </c>
      <c r="R675" s="820">
        <f t="shared" si="1607"/>
        <v>488</v>
      </c>
      <c r="S675" s="1030">
        <v>488</v>
      </c>
      <c r="T675" s="912">
        <v>488</v>
      </c>
      <c r="U675" s="912">
        <v>488</v>
      </c>
      <c r="V675" s="912">
        <v>488</v>
      </c>
      <c r="W675" s="398">
        <f t="shared" si="1608"/>
        <v>488</v>
      </c>
      <c r="X675" s="2787">
        <v>488</v>
      </c>
      <c r="Y675" s="2791">
        <v>488</v>
      </c>
      <c r="Z675" s="2791">
        <v>488</v>
      </c>
      <c r="AA675" s="2791">
        <v>488</v>
      </c>
      <c r="AB675" s="398">
        <f t="shared" si="1609"/>
        <v>488</v>
      </c>
      <c r="AC675" s="406">
        <f t="shared" ref="AC675:AF679" si="1629">AB675*(1+AC$913)</f>
        <v>495.31999999999994</v>
      </c>
      <c r="AD675" s="406">
        <f t="shared" si="1629"/>
        <v>507.70299999999992</v>
      </c>
      <c r="AE675" s="3665">
        <v>488</v>
      </c>
      <c r="AF675" s="3665">
        <v>488</v>
      </c>
      <c r="AG675" s="398">
        <f t="shared" si="1611"/>
        <v>488</v>
      </c>
      <c r="AH675" s="406">
        <f t="shared" ref="AH675:AH682" si="1630">AG675*(1+AH$913)</f>
        <v>492.88</v>
      </c>
      <c r="AI675" s="406">
        <f t="shared" ref="AI675:AI682" si="1631">AH675*(1+AI$913)</f>
        <v>497.80880000000002</v>
      </c>
      <c r="AJ675" s="406">
        <f t="shared" ref="AJ675:AJ681" si="1632">AI675*(1+AJ$913)</f>
        <v>505.27593199999995</v>
      </c>
      <c r="AK675" s="820">
        <f t="shared" ref="AK675:AK681" si="1633">AJ675*(1+AK$913)</f>
        <v>512.85507097999994</v>
      </c>
      <c r="AL675" s="820">
        <f t="shared" si="1627"/>
        <v>512.85507097999994</v>
      </c>
      <c r="AM675" s="398">
        <f t="shared" ref="AM675:AN679" si="1634">AL675*(1+AM$912)</f>
        <v>543.62637523879994</v>
      </c>
      <c r="AN675" s="398">
        <f t="shared" si="1634"/>
        <v>570.80769400073996</v>
      </c>
    </row>
    <row r="676" spans="1:40">
      <c r="A676" s="130" t="str">
        <f>A$15</f>
        <v>Embassy Suites Hotels (Upper Up)</v>
      </c>
      <c r="B676" s="1030">
        <v>0</v>
      </c>
      <c r="C676" s="508">
        <v>0</v>
      </c>
      <c r="D676" s="1030">
        <v>0</v>
      </c>
      <c r="E676" s="912">
        <v>0</v>
      </c>
      <c r="F676" s="912">
        <v>0</v>
      </c>
      <c r="G676" s="1041">
        <v>0</v>
      </c>
      <c r="H676" s="820">
        <f t="shared" si="1618"/>
        <v>0</v>
      </c>
      <c r="I676" s="1030">
        <v>0</v>
      </c>
      <c r="J676" s="912">
        <v>0</v>
      </c>
      <c r="K676" s="912">
        <v>0</v>
      </c>
      <c r="L676" s="1041">
        <v>0</v>
      </c>
      <c r="M676" s="820">
        <f t="shared" si="1619"/>
        <v>0</v>
      </c>
      <c r="N676" s="1030">
        <v>0</v>
      </c>
      <c r="O676" s="912">
        <v>0</v>
      </c>
      <c r="P676" s="912">
        <v>0</v>
      </c>
      <c r="Q676" s="1041">
        <v>0</v>
      </c>
      <c r="R676" s="820">
        <f t="shared" si="1607"/>
        <v>0</v>
      </c>
      <c r="S676" s="1030">
        <v>0</v>
      </c>
      <c r="T676" s="912">
        <v>0</v>
      </c>
      <c r="U676" s="912">
        <v>0</v>
      </c>
      <c r="V676" s="912">
        <v>0</v>
      </c>
      <c r="W676" s="398">
        <f t="shared" si="1608"/>
        <v>0</v>
      </c>
      <c r="X676" s="2787">
        <v>0</v>
      </c>
      <c r="Y676" s="2791">
        <v>0</v>
      </c>
      <c r="Z676" s="2791">
        <v>0</v>
      </c>
      <c r="AA676" s="2791">
        <v>0</v>
      </c>
      <c r="AB676" s="398">
        <f t="shared" si="1609"/>
        <v>0</v>
      </c>
      <c r="AC676" s="406">
        <f t="shared" si="1629"/>
        <v>0</v>
      </c>
      <c r="AD676" s="406">
        <f t="shared" si="1629"/>
        <v>0</v>
      </c>
      <c r="AE676" s="3665">
        <v>0</v>
      </c>
      <c r="AF676" s="820">
        <f t="shared" si="1629"/>
        <v>0</v>
      </c>
      <c r="AG676" s="820">
        <f t="shared" si="1611"/>
        <v>0</v>
      </c>
      <c r="AH676" s="406">
        <f t="shared" si="1630"/>
        <v>0</v>
      </c>
      <c r="AI676" s="406">
        <f t="shared" si="1631"/>
        <v>0</v>
      </c>
      <c r="AJ676" s="406">
        <f t="shared" si="1632"/>
        <v>0</v>
      </c>
      <c r="AK676" s="820">
        <f t="shared" si="1633"/>
        <v>0</v>
      </c>
      <c r="AL676" s="820">
        <f t="shared" si="1627"/>
        <v>0</v>
      </c>
      <c r="AM676" s="398">
        <f t="shared" si="1634"/>
        <v>0</v>
      </c>
      <c r="AN676" s="398">
        <f t="shared" si="1634"/>
        <v>0</v>
      </c>
    </row>
    <row r="677" spans="1:40">
      <c r="A677" s="130" t="str">
        <f>A$16</f>
        <v>Hilton Garden Inn (Upscale)</v>
      </c>
      <c r="B677" s="1030">
        <v>0</v>
      </c>
      <c r="C677" s="508">
        <v>0</v>
      </c>
      <c r="D677" s="1030">
        <v>0</v>
      </c>
      <c r="E677" s="912">
        <v>0</v>
      </c>
      <c r="F677" s="912">
        <v>0</v>
      </c>
      <c r="G677" s="1041">
        <v>0</v>
      </c>
      <c r="H677" s="820">
        <f t="shared" si="1618"/>
        <v>0</v>
      </c>
      <c r="I677" s="1030">
        <v>0</v>
      </c>
      <c r="J677" s="912">
        <v>0</v>
      </c>
      <c r="K677" s="912">
        <v>0</v>
      </c>
      <c r="L677" s="1041">
        <v>0</v>
      </c>
      <c r="M677" s="820">
        <f t="shared" si="1619"/>
        <v>0</v>
      </c>
      <c r="N677" s="1030">
        <v>0</v>
      </c>
      <c r="O677" s="912">
        <v>0</v>
      </c>
      <c r="P677" s="912">
        <v>0</v>
      </c>
      <c r="Q677" s="1041">
        <v>0</v>
      </c>
      <c r="R677" s="820">
        <f t="shared" si="1607"/>
        <v>0</v>
      </c>
      <c r="S677" s="1030">
        <v>0</v>
      </c>
      <c r="T677" s="912">
        <v>0</v>
      </c>
      <c r="U677" s="912">
        <v>0</v>
      </c>
      <c r="V677" s="912">
        <v>0</v>
      </c>
      <c r="W677" s="398">
        <f t="shared" si="1608"/>
        <v>0</v>
      </c>
      <c r="X677" s="2787">
        <v>0</v>
      </c>
      <c r="Y677" s="2791">
        <v>0</v>
      </c>
      <c r="Z677" s="2791">
        <v>0</v>
      </c>
      <c r="AA677" s="2791">
        <v>0</v>
      </c>
      <c r="AB677" s="398">
        <f t="shared" si="1609"/>
        <v>0</v>
      </c>
      <c r="AC677" s="406">
        <f t="shared" si="1629"/>
        <v>0</v>
      </c>
      <c r="AD677" s="406">
        <f t="shared" si="1629"/>
        <v>0</v>
      </c>
      <c r="AE677" s="3665">
        <v>0</v>
      </c>
      <c r="AF677" s="820">
        <f t="shared" si="1629"/>
        <v>0</v>
      </c>
      <c r="AG677" s="820">
        <f t="shared" si="1611"/>
        <v>0</v>
      </c>
      <c r="AH677" s="406">
        <f t="shared" si="1630"/>
        <v>0</v>
      </c>
      <c r="AI677" s="406">
        <f t="shared" si="1631"/>
        <v>0</v>
      </c>
      <c r="AJ677" s="406">
        <f t="shared" si="1632"/>
        <v>0</v>
      </c>
      <c r="AK677" s="820">
        <f t="shared" si="1633"/>
        <v>0</v>
      </c>
      <c r="AL677" s="820">
        <f t="shared" si="1627"/>
        <v>0</v>
      </c>
      <c r="AM677" s="398">
        <f t="shared" si="1634"/>
        <v>0</v>
      </c>
      <c r="AN677" s="398">
        <f t="shared" si="1634"/>
        <v>0</v>
      </c>
    </row>
    <row r="678" spans="1:40">
      <c r="A678" s="130" t="str">
        <f>A$17</f>
        <v>Hampton Inn (Upper Mid)</v>
      </c>
      <c r="B678" s="1030">
        <v>0</v>
      </c>
      <c r="C678" s="508">
        <v>0</v>
      </c>
      <c r="D678" s="1030">
        <v>0</v>
      </c>
      <c r="E678" s="912">
        <v>0</v>
      </c>
      <c r="F678" s="912">
        <v>0</v>
      </c>
      <c r="G678" s="1041">
        <v>0</v>
      </c>
      <c r="H678" s="820">
        <f t="shared" si="1618"/>
        <v>0</v>
      </c>
      <c r="I678" s="1030">
        <v>0</v>
      </c>
      <c r="J678" s="912">
        <v>0</v>
      </c>
      <c r="K678" s="912">
        <v>0</v>
      </c>
      <c r="L678" s="1041">
        <v>0</v>
      </c>
      <c r="M678" s="820">
        <f t="shared" si="1619"/>
        <v>0</v>
      </c>
      <c r="N678" s="1030">
        <v>0</v>
      </c>
      <c r="O678" s="912">
        <v>0</v>
      </c>
      <c r="P678" s="912">
        <v>0</v>
      </c>
      <c r="Q678" s="1041">
        <v>0</v>
      </c>
      <c r="R678" s="820">
        <f t="shared" si="1607"/>
        <v>0</v>
      </c>
      <c r="S678" s="1030">
        <v>0</v>
      </c>
      <c r="T678" s="912">
        <v>0</v>
      </c>
      <c r="U678" s="912">
        <v>0</v>
      </c>
      <c r="V678" s="912">
        <v>0</v>
      </c>
      <c r="W678" s="398">
        <f t="shared" si="1608"/>
        <v>0</v>
      </c>
      <c r="X678" s="2787">
        <v>0</v>
      </c>
      <c r="Y678" s="2791">
        <v>0</v>
      </c>
      <c r="Z678" s="2791">
        <v>0</v>
      </c>
      <c r="AA678" s="2791">
        <v>0</v>
      </c>
      <c r="AB678" s="398">
        <f t="shared" si="1609"/>
        <v>0</v>
      </c>
      <c r="AC678" s="406">
        <f t="shared" si="1629"/>
        <v>0</v>
      </c>
      <c r="AD678" s="406">
        <f t="shared" si="1629"/>
        <v>0</v>
      </c>
      <c r="AE678" s="3665">
        <v>0</v>
      </c>
      <c r="AF678" s="820">
        <f t="shared" si="1629"/>
        <v>0</v>
      </c>
      <c r="AG678" s="820">
        <f t="shared" si="1611"/>
        <v>0</v>
      </c>
      <c r="AH678" s="406">
        <f t="shared" si="1630"/>
        <v>0</v>
      </c>
      <c r="AI678" s="406">
        <f t="shared" si="1631"/>
        <v>0</v>
      </c>
      <c r="AJ678" s="406">
        <f t="shared" si="1632"/>
        <v>0</v>
      </c>
      <c r="AK678" s="820">
        <f t="shared" si="1633"/>
        <v>0</v>
      </c>
      <c r="AL678" s="820">
        <f t="shared" si="1627"/>
        <v>0</v>
      </c>
      <c r="AM678" s="398">
        <f t="shared" si="1634"/>
        <v>0</v>
      </c>
      <c r="AN678" s="398">
        <f t="shared" si="1634"/>
        <v>0</v>
      </c>
    </row>
    <row r="679" spans="1:40">
      <c r="A679" s="130" t="s">
        <v>1408</v>
      </c>
      <c r="B679" s="1030">
        <v>0</v>
      </c>
      <c r="C679" s="508">
        <v>0</v>
      </c>
      <c r="D679" s="1030">
        <v>0</v>
      </c>
      <c r="E679" s="912">
        <v>0</v>
      </c>
      <c r="F679" s="912">
        <v>0</v>
      </c>
      <c r="G679" s="1041">
        <v>0</v>
      </c>
      <c r="H679" s="820">
        <f t="shared" si="1618"/>
        <v>0</v>
      </c>
      <c r="I679" s="1030">
        <v>0</v>
      </c>
      <c r="J679" s="912">
        <v>0</v>
      </c>
      <c r="K679" s="912">
        <v>0</v>
      </c>
      <c r="L679" s="1041">
        <v>0</v>
      </c>
      <c r="M679" s="820">
        <f t="shared" si="1619"/>
        <v>0</v>
      </c>
      <c r="N679" s="1030">
        <v>0</v>
      </c>
      <c r="O679" s="912">
        <v>0</v>
      </c>
      <c r="P679" s="912">
        <v>0</v>
      </c>
      <c r="Q679" s="1041">
        <v>0</v>
      </c>
      <c r="R679" s="820">
        <f t="shared" si="1607"/>
        <v>0</v>
      </c>
      <c r="S679" s="1030">
        <v>0</v>
      </c>
      <c r="T679" s="912">
        <v>0</v>
      </c>
      <c r="U679" s="912">
        <v>0</v>
      </c>
      <c r="V679" s="912">
        <v>0</v>
      </c>
      <c r="W679" s="398">
        <f t="shared" si="1608"/>
        <v>0</v>
      </c>
      <c r="X679" s="2787">
        <v>0</v>
      </c>
      <c r="Y679" s="2791">
        <v>0</v>
      </c>
      <c r="Z679" s="2791">
        <v>0</v>
      </c>
      <c r="AA679" s="2791">
        <v>0</v>
      </c>
      <c r="AB679" s="398">
        <f t="shared" si="1609"/>
        <v>0</v>
      </c>
      <c r="AC679" s="406">
        <f t="shared" si="1629"/>
        <v>0</v>
      </c>
      <c r="AD679" s="406">
        <f t="shared" si="1629"/>
        <v>0</v>
      </c>
      <c r="AE679" s="3665">
        <v>0</v>
      </c>
      <c r="AF679" s="820">
        <f t="shared" si="1629"/>
        <v>0</v>
      </c>
      <c r="AG679" s="820">
        <f t="shared" si="1611"/>
        <v>0</v>
      </c>
      <c r="AH679" s="406">
        <f t="shared" si="1630"/>
        <v>0</v>
      </c>
      <c r="AI679" s="406">
        <f t="shared" si="1631"/>
        <v>0</v>
      </c>
      <c r="AJ679" s="406">
        <f t="shared" si="1632"/>
        <v>0</v>
      </c>
      <c r="AK679" s="820">
        <f t="shared" si="1633"/>
        <v>0</v>
      </c>
      <c r="AL679" s="820">
        <f t="shared" si="1627"/>
        <v>0</v>
      </c>
      <c r="AM679" s="820">
        <f t="shared" si="1634"/>
        <v>0</v>
      </c>
      <c r="AN679" s="820">
        <f t="shared" si="1634"/>
        <v>0</v>
      </c>
    </row>
    <row r="680" spans="1:40">
      <c r="A680" s="130" t="str">
        <f>$A$90</f>
        <v>Tru by Hilton</v>
      </c>
      <c r="B680" s="1030">
        <v>0</v>
      </c>
      <c r="C680" s="508">
        <v>0</v>
      </c>
      <c r="D680" s="1030">
        <v>0</v>
      </c>
      <c r="E680" s="912">
        <v>0</v>
      </c>
      <c r="F680" s="912">
        <v>0</v>
      </c>
      <c r="G680" s="1041">
        <v>0</v>
      </c>
      <c r="H680" s="820">
        <f t="shared" ref="H680:H681" si="1635">G680</f>
        <v>0</v>
      </c>
      <c r="I680" s="1030">
        <v>0</v>
      </c>
      <c r="J680" s="912">
        <v>0</v>
      </c>
      <c r="K680" s="912">
        <v>0</v>
      </c>
      <c r="L680" s="1041">
        <v>0</v>
      </c>
      <c r="M680" s="820">
        <f t="shared" ref="M680:M681" si="1636">L680</f>
        <v>0</v>
      </c>
      <c r="N680" s="1030">
        <v>0</v>
      </c>
      <c r="O680" s="912">
        <v>0</v>
      </c>
      <c r="P680" s="912">
        <v>0</v>
      </c>
      <c r="Q680" s="1041">
        <v>0</v>
      </c>
      <c r="R680" s="820">
        <f t="shared" ref="R680:R681" si="1637">Q680</f>
        <v>0</v>
      </c>
      <c r="S680" s="1030">
        <v>0</v>
      </c>
      <c r="T680" s="912">
        <v>0</v>
      </c>
      <c r="U680" s="912">
        <v>0</v>
      </c>
      <c r="V680" s="912">
        <v>0</v>
      </c>
      <c r="W680" s="398">
        <f t="shared" ref="W680:W681" si="1638">V680</f>
        <v>0</v>
      </c>
      <c r="X680" s="2787">
        <v>0</v>
      </c>
      <c r="Y680" s="2791">
        <v>0</v>
      </c>
      <c r="Z680" s="2791">
        <v>0</v>
      </c>
      <c r="AA680" s="2791">
        <v>0</v>
      </c>
      <c r="AB680" s="398">
        <f t="shared" ref="AB680:AB681" si="1639">AA680</f>
        <v>0</v>
      </c>
      <c r="AC680" s="406">
        <f t="shared" ref="AC680:AF680" si="1640">AB680*(1+AC$913)</f>
        <v>0</v>
      </c>
      <c r="AD680" s="406">
        <f t="shared" si="1640"/>
        <v>0</v>
      </c>
      <c r="AE680" s="3665">
        <v>0</v>
      </c>
      <c r="AF680" s="820">
        <f t="shared" si="1640"/>
        <v>0</v>
      </c>
      <c r="AG680" s="820">
        <f t="shared" ref="AG680:AG681" si="1641">AF680</f>
        <v>0</v>
      </c>
      <c r="AH680" s="406">
        <f t="shared" si="1630"/>
        <v>0</v>
      </c>
      <c r="AI680" s="406">
        <f t="shared" si="1631"/>
        <v>0</v>
      </c>
      <c r="AJ680" s="406">
        <f t="shared" si="1632"/>
        <v>0</v>
      </c>
      <c r="AK680" s="820">
        <f t="shared" si="1633"/>
        <v>0</v>
      </c>
      <c r="AL680" s="820">
        <f t="shared" si="1627"/>
        <v>0</v>
      </c>
      <c r="AM680" s="820">
        <f t="shared" ref="AM680:AN680" si="1642">AL680*(1+AM$912)</f>
        <v>0</v>
      </c>
      <c r="AN680" s="820">
        <f t="shared" si="1642"/>
        <v>0</v>
      </c>
    </row>
    <row r="681" spans="1:40">
      <c r="A681" s="130" t="str">
        <f>$A$91</f>
        <v>Tapestry Collection by Hilton</v>
      </c>
      <c r="B681" s="1030">
        <v>0</v>
      </c>
      <c r="C681" s="508">
        <v>0</v>
      </c>
      <c r="D681" s="1030">
        <v>0</v>
      </c>
      <c r="E681" s="912">
        <v>0</v>
      </c>
      <c r="F681" s="912">
        <v>0</v>
      </c>
      <c r="G681" s="1041">
        <v>0</v>
      </c>
      <c r="H681" s="820">
        <f t="shared" si="1635"/>
        <v>0</v>
      </c>
      <c r="I681" s="1030">
        <v>0</v>
      </c>
      <c r="J681" s="912">
        <v>0</v>
      </c>
      <c r="K681" s="912">
        <v>0</v>
      </c>
      <c r="L681" s="1041">
        <v>0</v>
      </c>
      <c r="M681" s="820">
        <f t="shared" si="1636"/>
        <v>0</v>
      </c>
      <c r="N681" s="1030">
        <v>0</v>
      </c>
      <c r="O681" s="912">
        <v>0</v>
      </c>
      <c r="P681" s="912">
        <v>0</v>
      </c>
      <c r="Q681" s="1041">
        <v>0</v>
      </c>
      <c r="R681" s="820">
        <f t="shared" si="1637"/>
        <v>0</v>
      </c>
      <c r="S681" s="1030">
        <v>0</v>
      </c>
      <c r="T681" s="912">
        <v>0</v>
      </c>
      <c r="U681" s="912">
        <v>0</v>
      </c>
      <c r="V681" s="912">
        <v>0</v>
      </c>
      <c r="W681" s="398">
        <f t="shared" si="1638"/>
        <v>0</v>
      </c>
      <c r="X681" s="2787">
        <v>0</v>
      </c>
      <c r="Y681" s="2791">
        <v>0</v>
      </c>
      <c r="Z681" s="2791">
        <v>0</v>
      </c>
      <c r="AA681" s="2791">
        <v>0</v>
      </c>
      <c r="AB681" s="398">
        <f t="shared" si="1639"/>
        <v>0</v>
      </c>
      <c r="AC681" s="406">
        <f t="shared" ref="AC681:AF681" si="1643">AB681*(1+AC$913)</f>
        <v>0</v>
      </c>
      <c r="AD681" s="406">
        <f t="shared" si="1643"/>
        <v>0</v>
      </c>
      <c r="AE681" s="3665">
        <v>0</v>
      </c>
      <c r="AF681" s="820">
        <f t="shared" si="1643"/>
        <v>0</v>
      </c>
      <c r="AG681" s="820">
        <f t="shared" si="1641"/>
        <v>0</v>
      </c>
      <c r="AH681" s="406">
        <f t="shared" si="1630"/>
        <v>0</v>
      </c>
      <c r="AI681" s="406">
        <f t="shared" si="1631"/>
        <v>0</v>
      </c>
      <c r="AJ681" s="406">
        <f t="shared" si="1632"/>
        <v>0</v>
      </c>
      <c r="AK681" s="820">
        <f t="shared" si="1633"/>
        <v>0</v>
      </c>
      <c r="AL681" s="820">
        <f t="shared" si="1627"/>
        <v>0</v>
      </c>
      <c r="AM681" s="820">
        <f t="shared" ref="AM681:AN681" si="1644">AL681*(1+AM$912)</f>
        <v>0</v>
      </c>
      <c r="AN681" s="820">
        <f t="shared" si="1644"/>
        <v>0</v>
      </c>
    </row>
    <row r="682" spans="1:40" s="5" customFormat="1" collapsed="1">
      <c r="A682" s="402" t="str">
        <f>A$21</f>
        <v>Homewood Suites by Hilton (Upscale)</v>
      </c>
      <c r="B682" s="1031">
        <v>0</v>
      </c>
      <c r="C682" s="1029">
        <v>0</v>
      </c>
      <c r="D682" s="1031">
        <v>0</v>
      </c>
      <c r="E682" s="1039">
        <v>0</v>
      </c>
      <c r="F682" s="1039">
        <v>0</v>
      </c>
      <c r="G682" s="1042">
        <v>0</v>
      </c>
      <c r="H682" s="700">
        <f t="shared" si="1618"/>
        <v>0</v>
      </c>
      <c r="I682" s="1031">
        <v>0</v>
      </c>
      <c r="J682" s="1039">
        <v>0</v>
      </c>
      <c r="K682" s="1039">
        <v>0</v>
      </c>
      <c r="L682" s="1042">
        <v>0</v>
      </c>
      <c r="M682" s="700">
        <f t="shared" si="1619"/>
        <v>0</v>
      </c>
      <c r="N682" s="1031">
        <v>0</v>
      </c>
      <c r="O682" s="1039">
        <v>0</v>
      </c>
      <c r="P682" s="1039">
        <v>0</v>
      </c>
      <c r="Q682" s="1042">
        <v>0</v>
      </c>
      <c r="R682" s="700">
        <f t="shared" si="1607"/>
        <v>0</v>
      </c>
      <c r="S682" s="1031">
        <v>0</v>
      </c>
      <c r="T682" s="1039">
        <v>0</v>
      </c>
      <c r="U682" s="1039">
        <v>0</v>
      </c>
      <c r="V682" s="1039">
        <v>0</v>
      </c>
      <c r="W682" s="403">
        <f t="shared" si="1608"/>
        <v>0</v>
      </c>
      <c r="X682" s="2788">
        <v>0</v>
      </c>
      <c r="Y682" s="2839">
        <v>0</v>
      </c>
      <c r="Z682" s="2839">
        <v>0</v>
      </c>
      <c r="AA682" s="2839">
        <v>0</v>
      </c>
      <c r="AB682" s="403">
        <f t="shared" si="1609"/>
        <v>0</v>
      </c>
      <c r="AC682" s="2392">
        <f>AB682*(1+AC$913)</f>
        <v>0</v>
      </c>
      <c r="AD682" s="2392">
        <f>AC682*(1+AD$913)</f>
        <v>0</v>
      </c>
      <c r="AE682" s="4002">
        <v>0</v>
      </c>
      <c r="AF682" s="700">
        <f>AE682*(1+AF$913)</f>
        <v>0</v>
      </c>
      <c r="AG682" s="700">
        <f t="shared" si="1611"/>
        <v>0</v>
      </c>
      <c r="AH682" s="2392">
        <f t="shared" si="1630"/>
        <v>0</v>
      </c>
      <c r="AI682" s="2392">
        <f t="shared" si="1631"/>
        <v>0</v>
      </c>
      <c r="AJ682" s="2392">
        <f>AI682*(1+AJ$913)</f>
        <v>0</v>
      </c>
      <c r="AK682" s="700">
        <f>AJ682*(1+AK$913)</f>
        <v>0</v>
      </c>
      <c r="AL682" s="700">
        <f t="shared" si="1627"/>
        <v>0</v>
      </c>
      <c r="AM682" s="700">
        <f>AL682*(1+AM$912)</f>
        <v>0</v>
      </c>
      <c r="AN682" s="700">
        <f>AM682*(1+AN$912)</f>
        <v>0</v>
      </c>
    </row>
    <row r="683" spans="1:40">
      <c r="A683" s="482" t="s">
        <v>1687</v>
      </c>
      <c r="B683" s="1032">
        <f t="shared" ref="B683:R683" si="1645">SUM(B670:B682)</f>
        <v>657</v>
      </c>
      <c r="C683" s="400">
        <f t="shared" si="1645"/>
        <v>658</v>
      </c>
      <c r="D683" s="1032">
        <f t="shared" si="1645"/>
        <v>658</v>
      </c>
      <c r="E683" s="405">
        <f t="shared" si="1645"/>
        <v>658</v>
      </c>
      <c r="F683" s="405">
        <f t="shared" si="1645"/>
        <v>658</v>
      </c>
      <c r="G683" s="821">
        <f t="shared" si="1645"/>
        <v>658</v>
      </c>
      <c r="H683" s="821">
        <f t="shared" si="1645"/>
        <v>658</v>
      </c>
      <c r="I683" s="1032">
        <f t="shared" si="1645"/>
        <v>658</v>
      </c>
      <c r="J683" s="405">
        <f t="shared" si="1645"/>
        <v>841</v>
      </c>
      <c r="K683" s="405">
        <f t="shared" si="1645"/>
        <v>841</v>
      </c>
      <c r="L683" s="821">
        <f t="shared" si="1645"/>
        <v>841</v>
      </c>
      <c r="M683" s="821">
        <f t="shared" si="1645"/>
        <v>841</v>
      </c>
      <c r="N683" s="399">
        <f t="shared" si="1645"/>
        <v>839</v>
      </c>
      <c r="O683" s="399">
        <f t="shared" si="1645"/>
        <v>839</v>
      </c>
      <c r="P683" s="399">
        <f t="shared" si="1645"/>
        <v>898</v>
      </c>
      <c r="Q683" s="399">
        <f t="shared" si="1645"/>
        <v>898</v>
      </c>
      <c r="R683" s="400">
        <f t="shared" si="1645"/>
        <v>898</v>
      </c>
      <c r="S683" s="1032">
        <f t="shared" ref="S683:AB683" si="1646">SUM(S670:S682)</f>
        <v>898</v>
      </c>
      <c r="T683" s="405">
        <f t="shared" si="1646"/>
        <v>898</v>
      </c>
      <c r="U683" s="405">
        <f>SUM(U670:U682)</f>
        <v>898</v>
      </c>
      <c r="V683" s="405">
        <f>SUM(V670:V682)</f>
        <v>898</v>
      </c>
      <c r="W683" s="400">
        <f t="shared" si="1646"/>
        <v>898</v>
      </c>
      <c r="X683" s="1032">
        <f t="shared" si="1646"/>
        <v>898</v>
      </c>
      <c r="Y683" s="405">
        <f>SUM(Y670:Y682)</f>
        <v>898</v>
      </c>
      <c r="Z683" s="405">
        <f>SUM(Z670:Z682)</f>
        <v>898</v>
      </c>
      <c r="AA683" s="405">
        <f>SUM(AA670:AA682)</f>
        <v>899</v>
      </c>
      <c r="AB683" s="400">
        <f t="shared" si="1646"/>
        <v>899</v>
      </c>
      <c r="AC683" s="405">
        <f t="shared" ref="AC683:AN683" si="1647">SUM(AC670:AC682)</f>
        <v>912.4849999999999</v>
      </c>
      <c r="AD683" s="405">
        <f t="shared" si="1647"/>
        <v>935.29712499999982</v>
      </c>
      <c r="AE683" s="405">
        <f t="shared" si="1647"/>
        <v>1093</v>
      </c>
      <c r="AF683" s="821">
        <f t="shared" si="1647"/>
        <v>1093</v>
      </c>
      <c r="AG683" s="400">
        <f t="shared" si="1647"/>
        <v>1093</v>
      </c>
      <c r="AH683" s="405">
        <f t="shared" si="1647"/>
        <v>1103.9299999999998</v>
      </c>
      <c r="AI683" s="405">
        <f t="shared" si="1647"/>
        <v>1114.9693</v>
      </c>
      <c r="AJ683" s="405">
        <f t="shared" ref="AJ683:AL683" si="1648">SUM(AJ670:AJ682)</f>
        <v>1131.6938394999997</v>
      </c>
      <c r="AK683" s="821">
        <f t="shared" si="1648"/>
        <v>1148.6692470924997</v>
      </c>
      <c r="AL683" s="400">
        <f t="shared" si="1648"/>
        <v>1148.6692470924997</v>
      </c>
      <c r="AM683" s="821">
        <f t="shared" si="1647"/>
        <v>1217.5894019180498</v>
      </c>
      <c r="AN683" s="821">
        <f t="shared" si="1647"/>
        <v>1278.4688720139525</v>
      </c>
    </row>
    <row r="684" spans="1:40">
      <c r="A684" s="130"/>
      <c r="B684" s="1033"/>
      <c r="C684" s="398"/>
      <c r="D684" s="1033"/>
      <c r="E684" s="406"/>
      <c r="F684" s="406"/>
      <c r="G684" s="820"/>
      <c r="H684" s="820"/>
      <c r="I684" s="1033"/>
      <c r="J684" s="406"/>
      <c r="K684" s="406"/>
      <c r="L684" s="820"/>
      <c r="M684" s="820"/>
      <c r="N684" s="401"/>
      <c r="O684" s="401"/>
      <c r="P684" s="401"/>
      <c r="Q684" s="820"/>
      <c r="R684" s="398"/>
      <c r="S684" s="401"/>
      <c r="T684" s="401"/>
      <c r="U684" s="401"/>
      <c r="V684" s="406"/>
      <c r="W684" s="398"/>
      <c r="X684" s="1033"/>
      <c r="Y684" s="406"/>
      <c r="Z684" s="406"/>
      <c r="AA684" s="406"/>
      <c r="AB684" s="398"/>
      <c r="AC684" s="406"/>
      <c r="AD684" s="406"/>
      <c r="AE684" s="406"/>
      <c r="AF684" s="820"/>
      <c r="AG684" s="398"/>
      <c r="AH684" s="406"/>
      <c r="AI684" s="406"/>
      <c r="AJ684" s="406"/>
      <c r="AK684" s="820"/>
      <c r="AL684" s="398"/>
      <c r="AM684" s="820"/>
      <c r="AN684" s="820"/>
    </row>
    <row r="685" spans="1:40">
      <c r="A685" s="295" t="s">
        <v>1402</v>
      </c>
      <c r="B685" s="1033"/>
      <c r="C685" s="398"/>
      <c r="D685" s="1033"/>
      <c r="E685" s="406"/>
      <c r="F685" s="406"/>
      <c r="G685" s="820"/>
      <c r="H685" s="820"/>
      <c r="I685" s="1033"/>
      <c r="J685" s="406"/>
      <c r="K685" s="406"/>
      <c r="L685" s="820"/>
      <c r="M685" s="820"/>
      <c r="N685" s="401"/>
      <c r="O685" s="401"/>
      <c r="P685" s="401"/>
      <c r="Q685" s="820"/>
      <c r="R685" s="398"/>
      <c r="S685" s="401"/>
      <c r="T685" s="401"/>
      <c r="U685" s="401"/>
      <c r="V685" s="820"/>
      <c r="W685" s="398"/>
      <c r="X685" s="1033"/>
      <c r="Y685" s="406"/>
      <c r="Z685" s="406"/>
      <c r="AA685" s="406"/>
      <c r="AB685" s="398"/>
      <c r="AC685" s="406"/>
      <c r="AD685" s="406"/>
      <c r="AE685" s="406"/>
      <c r="AF685" s="820"/>
      <c r="AG685" s="398"/>
      <c r="AH685" s="406"/>
      <c r="AI685" s="406"/>
      <c r="AJ685" s="406"/>
      <c r="AK685" s="820"/>
      <c r="AL685" s="398"/>
      <c r="AM685" s="820"/>
      <c r="AN685" s="820"/>
    </row>
    <row r="686" spans="1:40">
      <c r="A686" s="130" t="str">
        <f>A$9</f>
        <v>Waldorf Astoria Hotels &amp; Resorts (Luxury)</v>
      </c>
      <c r="B686" s="1033">
        <f t="shared" ref="B686:AN686" si="1649">B670+B654+B638</f>
        <v>38</v>
      </c>
      <c r="C686" s="398">
        <f t="shared" si="1649"/>
        <v>38</v>
      </c>
      <c r="D686" s="1033">
        <f t="shared" si="1649"/>
        <v>38</v>
      </c>
      <c r="E686" s="406">
        <f t="shared" si="1649"/>
        <v>38</v>
      </c>
      <c r="F686" s="406">
        <f t="shared" si="1649"/>
        <v>38</v>
      </c>
      <c r="G686" s="820">
        <f t="shared" si="1649"/>
        <v>38</v>
      </c>
      <c r="H686" s="820">
        <f t="shared" si="1649"/>
        <v>38</v>
      </c>
      <c r="I686" s="1033">
        <f t="shared" si="1649"/>
        <v>38</v>
      </c>
      <c r="J686" s="406">
        <f t="shared" si="1649"/>
        <v>38</v>
      </c>
      <c r="K686" s="406">
        <f t="shared" si="1649"/>
        <v>384</v>
      </c>
      <c r="L686" s="820">
        <f t="shared" si="1649"/>
        <v>703</v>
      </c>
      <c r="M686" s="820">
        <f t="shared" si="1649"/>
        <v>703</v>
      </c>
      <c r="N686" s="1033">
        <f t="shared" si="1649"/>
        <v>703</v>
      </c>
      <c r="O686" s="401">
        <f t="shared" si="1649"/>
        <v>703</v>
      </c>
      <c r="P686" s="401">
        <f t="shared" si="1649"/>
        <v>703</v>
      </c>
      <c r="Q686" s="820">
        <f t="shared" si="1649"/>
        <v>703</v>
      </c>
      <c r="R686" s="398">
        <f t="shared" si="1649"/>
        <v>703</v>
      </c>
      <c r="S686" s="401">
        <f t="shared" si="1649"/>
        <v>703</v>
      </c>
      <c r="T686" s="401">
        <f t="shared" si="1649"/>
        <v>703</v>
      </c>
      <c r="U686" s="401">
        <f t="shared" si="1649"/>
        <v>703</v>
      </c>
      <c r="V686" s="820">
        <f t="shared" si="1649"/>
        <v>703</v>
      </c>
      <c r="W686" s="398">
        <f t="shared" si="1649"/>
        <v>703</v>
      </c>
      <c r="X686" s="1033">
        <f t="shared" si="1649"/>
        <v>703</v>
      </c>
      <c r="Y686" s="406">
        <f t="shared" si="1649"/>
        <v>703</v>
      </c>
      <c r="Z686" s="406">
        <f t="shared" si="1649"/>
        <v>703</v>
      </c>
      <c r="AA686" s="406">
        <f t="shared" si="1649"/>
        <v>703</v>
      </c>
      <c r="AB686" s="398">
        <f t="shared" si="1649"/>
        <v>703</v>
      </c>
      <c r="AC686" s="3665">
        <v>703</v>
      </c>
      <c r="AD686" s="3665">
        <v>703</v>
      </c>
      <c r="AE686" s="406">
        <f t="shared" si="1649"/>
        <v>703</v>
      </c>
      <c r="AF686" s="820">
        <f t="shared" si="1649"/>
        <v>703</v>
      </c>
      <c r="AG686" s="398">
        <f t="shared" si="1649"/>
        <v>703</v>
      </c>
      <c r="AH686" s="406">
        <f t="shared" si="1649"/>
        <v>713.54499999999996</v>
      </c>
      <c r="AI686" s="406">
        <f t="shared" si="1649"/>
        <v>724.24817499999983</v>
      </c>
      <c r="AJ686" s="406">
        <f t="shared" ref="AJ686:AL686" si="1650">AJ670+AJ654+AJ638</f>
        <v>735.11189762499976</v>
      </c>
      <c r="AK686" s="820">
        <f t="shared" si="1650"/>
        <v>746.13857608937462</v>
      </c>
      <c r="AL686" s="398">
        <f t="shared" si="1650"/>
        <v>746.13857608937462</v>
      </c>
      <c r="AM686" s="398">
        <f t="shared" si="1649"/>
        <v>779.71481201339645</v>
      </c>
      <c r="AN686" s="398">
        <f t="shared" si="1649"/>
        <v>803.10625637379837</v>
      </c>
    </row>
    <row r="687" spans="1:40">
      <c r="A687" s="130" t="str">
        <f>A$10</f>
        <v>Conrad Hotels &amp; Resorts (Luxury)</v>
      </c>
      <c r="B687" s="1033">
        <f t="shared" ref="B687:AN687" si="1651">B671+B655+B639</f>
        <v>617</v>
      </c>
      <c r="C687" s="398">
        <f t="shared" si="1651"/>
        <v>617</v>
      </c>
      <c r="D687" s="1033">
        <f t="shared" si="1651"/>
        <v>617</v>
      </c>
      <c r="E687" s="406">
        <f t="shared" si="1651"/>
        <v>617</v>
      </c>
      <c r="F687" s="406">
        <f t="shared" si="1651"/>
        <v>617</v>
      </c>
      <c r="G687" s="820">
        <f t="shared" si="1651"/>
        <v>703</v>
      </c>
      <c r="H687" s="820">
        <f t="shared" si="1651"/>
        <v>703</v>
      </c>
      <c r="I687" s="1033">
        <f t="shared" si="1651"/>
        <v>703</v>
      </c>
      <c r="J687" s="406">
        <f t="shared" si="1651"/>
        <v>703</v>
      </c>
      <c r="K687" s="406">
        <f t="shared" si="1651"/>
        <v>1258</v>
      </c>
      <c r="L687" s="820">
        <f t="shared" si="1651"/>
        <v>1258</v>
      </c>
      <c r="M687" s="820">
        <f t="shared" si="1651"/>
        <v>1258</v>
      </c>
      <c r="N687" s="1033">
        <f t="shared" si="1651"/>
        <v>1228</v>
      </c>
      <c r="O687" s="401">
        <f t="shared" si="1651"/>
        <v>1228</v>
      </c>
      <c r="P687" s="401">
        <f t="shared" si="1651"/>
        <v>1255</v>
      </c>
      <c r="Q687" s="820">
        <f t="shared" si="1651"/>
        <v>1255</v>
      </c>
      <c r="R687" s="398">
        <f t="shared" si="1651"/>
        <v>1255</v>
      </c>
      <c r="S687" s="401">
        <f t="shared" si="1651"/>
        <v>1255</v>
      </c>
      <c r="T687" s="401">
        <f t="shared" si="1651"/>
        <v>1255</v>
      </c>
      <c r="U687" s="401">
        <f t="shared" si="1651"/>
        <v>1255</v>
      </c>
      <c r="V687" s="820">
        <f t="shared" si="1651"/>
        <v>1255</v>
      </c>
      <c r="W687" s="398">
        <f t="shared" si="1651"/>
        <v>1255</v>
      </c>
      <c r="X687" s="1033">
        <f t="shared" si="1651"/>
        <v>1255</v>
      </c>
      <c r="Y687" s="406">
        <f t="shared" si="1651"/>
        <v>1693</v>
      </c>
      <c r="Z687" s="406">
        <f t="shared" si="1651"/>
        <v>1693</v>
      </c>
      <c r="AA687" s="406">
        <f t="shared" si="1651"/>
        <v>1693</v>
      </c>
      <c r="AB687" s="398">
        <f t="shared" si="1651"/>
        <v>1693</v>
      </c>
      <c r="AC687" s="3665">
        <v>1693</v>
      </c>
      <c r="AD687" s="3665">
        <v>1693</v>
      </c>
      <c r="AE687" s="406">
        <f t="shared" si="1651"/>
        <v>1690</v>
      </c>
      <c r="AF687" s="820">
        <f t="shared" si="1651"/>
        <v>1690</v>
      </c>
      <c r="AG687" s="398">
        <f t="shared" si="1651"/>
        <v>1690</v>
      </c>
      <c r="AH687" s="406">
        <f t="shared" si="1651"/>
        <v>1706.1399999999999</v>
      </c>
      <c r="AI687" s="406">
        <f t="shared" si="1651"/>
        <v>1722.5220999999997</v>
      </c>
      <c r="AJ687" s="406">
        <f t="shared" ref="AJ687:AL687" si="1652">AJ671+AJ655+AJ639</f>
        <v>1739.1499314999996</v>
      </c>
      <c r="AK687" s="820">
        <f t="shared" si="1652"/>
        <v>1756.0271804724996</v>
      </c>
      <c r="AL687" s="398">
        <f t="shared" si="1652"/>
        <v>1756.0271804724996</v>
      </c>
      <c r="AM687" s="398">
        <f t="shared" si="1651"/>
        <v>1807.4184035937619</v>
      </c>
      <c r="AN687" s="398">
        <f t="shared" si="1651"/>
        <v>1843.2209557015749</v>
      </c>
    </row>
    <row r="688" spans="1:40">
      <c r="A688" s="1828" t="s">
        <v>3022</v>
      </c>
      <c r="B688" s="1033"/>
      <c r="C688" s="398"/>
      <c r="D688" s="1033"/>
      <c r="E688" s="406"/>
      <c r="F688" s="406"/>
      <c r="G688" s="820"/>
      <c r="H688" s="820"/>
      <c r="I688" s="1033"/>
      <c r="J688" s="406"/>
      <c r="K688" s="406"/>
      <c r="L688" s="820"/>
      <c r="M688" s="820"/>
      <c r="N688" s="1033"/>
      <c r="O688" s="401"/>
      <c r="P688" s="401"/>
      <c r="Q688" s="820"/>
      <c r="R688" s="398"/>
      <c r="S688" s="401"/>
      <c r="T688" s="401"/>
      <c r="U688" s="401"/>
      <c r="V688" s="820"/>
      <c r="W688" s="398"/>
      <c r="X688" s="1033"/>
      <c r="Y688" s="406"/>
      <c r="Z688" s="406"/>
      <c r="AA688" s="406">
        <f t="shared" ref="AA688:AN688" si="1653">AA672+AA656+AA640</f>
        <v>0</v>
      </c>
      <c r="AB688" s="398">
        <f t="shared" si="1653"/>
        <v>0</v>
      </c>
      <c r="AC688" s="3665">
        <v>0</v>
      </c>
      <c r="AD688" s="3665">
        <v>0</v>
      </c>
      <c r="AE688" s="406">
        <f t="shared" si="1653"/>
        <v>0</v>
      </c>
      <c r="AF688" s="820">
        <f t="shared" si="1653"/>
        <v>0</v>
      </c>
      <c r="AG688" s="398">
        <f t="shared" si="1653"/>
        <v>0</v>
      </c>
      <c r="AH688" s="406">
        <f t="shared" si="1653"/>
        <v>0</v>
      </c>
      <c r="AI688" s="406">
        <f t="shared" si="1653"/>
        <v>0</v>
      </c>
      <c r="AJ688" s="406">
        <f t="shared" ref="AJ688:AL688" si="1654">AJ672+AJ656+AJ640</f>
        <v>0</v>
      </c>
      <c r="AK688" s="820">
        <f t="shared" si="1654"/>
        <v>0</v>
      </c>
      <c r="AL688" s="398">
        <f t="shared" si="1654"/>
        <v>0</v>
      </c>
      <c r="AM688" s="398">
        <f t="shared" si="1653"/>
        <v>0</v>
      </c>
      <c r="AN688" s="398">
        <f t="shared" si="1653"/>
        <v>0</v>
      </c>
    </row>
    <row r="689" spans="1:40">
      <c r="A689" s="130" t="str">
        <f>A$12</f>
        <v>Hilton Hotels &amp; Resorts (Upper Up)</v>
      </c>
      <c r="B689" s="1033">
        <f t="shared" ref="B689:Z689" si="1655">B673+B657+B641</f>
        <v>13263</v>
      </c>
      <c r="C689" s="398">
        <f t="shared" si="1655"/>
        <v>14606</v>
      </c>
      <c r="D689" s="1033">
        <f t="shared" si="1655"/>
        <v>14636</v>
      </c>
      <c r="E689" s="406">
        <f t="shared" si="1655"/>
        <v>15325</v>
      </c>
      <c r="F689" s="406">
        <f t="shared" si="1655"/>
        <v>15325</v>
      </c>
      <c r="G689" s="820">
        <f t="shared" si="1655"/>
        <v>15325</v>
      </c>
      <c r="H689" s="820">
        <f t="shared" si="1655"/>
        <v>15325</v>
      </c>
      <c r="I689" s="1033">
        <f t="shared" si="1655"/>
        <v>15639</v>
      </c>
      <c r="J689" s="406">
        <f t="shared" si="1655"/>
        <v>15641</v>
      </c>
      <c r="K689" s="406">
        <f t="shared" si="1655"/>
        <v>16100</v>
      </c>
      <c r="L689" s="820">
        <f t="shared" si="1655"/>
        <v>16100</v>
      </c>
      <c r="M689" s="820">
        <f t="shared" si="1655"/>
        <v>16100</v>
      </c>
      <c r="N689" s="1033">
        <f t="shared" si="1655"/>
        <v>16681</v>
      </c>
      <c r="O689" s="401">
        <f t="shared" si="1655"/>
        <v>16678</v>
      </c>
      <c r="P689" s="401">
        <f t="shared" si="1655"/>
        <v>16677</v>
      </c>
      <c r="Q689" s="820">
        <f t="shared" si="1655"/>
        <v>16693</v>
      </c>
      <c r="R689" s="398">
        <f t="shared" si="1655"/>
        <v>16693</v>
      </c>
      <c r="S689" s="401">
        <f t="shared" si="1655"/>
        <v>16493</v>
      </c>
      <c r="T689" s="401">
        <f t="shared" si="1655"/>
        <v>16493</v>
      </c>
      <c r="U689" s="401">
        <f t="shared" si="1655"/>
        <v>16678</v>
      </c>
      <c r="V689" s="820">
        <f t="shared" si="1655"/>
        <v>16872</v>
      </c>
      <c r="W689" s="398">
        <f t="shared" si="1655"/>
        <v>16872</v>
      </c>
      <c r="X689" s="1033">
        <f t="shared" si="1655"/>
        <v>16652</v>
      </c>
      <c r="Y689" s="406">
        <f t="shared" si="1655"/>
        <v>16652</v>
      </c>
      <c r="Z689" s="406">
        <f t="shared" si="1655"/>
        <v>16655</v>
      </c>
      <c r="AA689" s="406">
        <f t="shared" ref="AA689:AN689" si="1656">AA673+AA657+AA641</f>
        <v>16658</v>
      </c>
      <c r="AB689" s="398">
        <f t="shared" si="1656"/>
        <v>16658</v>
      </c>
      <c r="AC689" s="3665">
        <v>16542</v>
      </c>
      <c r="AD689" s="3665">
        <v>17155</v>
      </c>
      <c r="AE689" s="406">
        <f t="shared" si="1656"/>
        <v>15789</v>
      </c>
      <c r="AF689" s="820">
        <f t="shared" si="1656"/>
        <v>16030</v>
      </c>
      <c r="AG689" s="398">
        <f t="shared" si="1656"/>
        <v>16030</v>
      </c>
      <c r="AH689" s="406">
        <f t="shared" si="1656"/>
        <v>16237.454999999998</v>
      </c>
      <c r="AI689" s="406">
        <f t="shared" si="1656"/>
        <v>16447.991575</v>
      </c>
      <c r="AJ689" s="406">
        <f t="shared" ref="AJ689:AL689" si="1657">AJ673+AJ657+AJ641</f>
        <v>16664.741448624998</v>
      </c>
      <c r="AK689" s="820">
        <f t="shared" si="1657"/>
        <v>16884.74257035437</v>
      </c>
      <c r="AL689" s="398">
        <f t="shared" si="1657"/>
        <v>16884.74257035437</v>
      </c>
      <c r="AM689" s="398">
        <f t="shared" si="1656"/>
        <v>17564.183198662005</v>
      </c>
      <c r="AN689" s="398">
        <f t="shared" si="1656"/>
        <v>18044.647955155451</v>
      </c>
    </row>
    <row r="690" spans="1:40">
      <c r="A690" s="130" t="str">
        <f>A$13</f>
        <v xml:space="preserve">Curio - A Collection by Hilton </v>
      </c>
      <c r="B690" s="1033"/>
      <c r="C690" s="398"/>
      <c r="D690" s="1033"/>
      <c r="E690" s="406"/>
      <c r="F690" s="406"/>
      <c r="G690" s="820"/>
      <c r="H690" s="820"/>
      <c r="I690" s="1033"/>
      <c r="J690" s="406"/>
      <c r="K690" s="406"/>
      <c r="L690" s="820"/>
      <c r="M690" s="820"/>
      <c r="N690" s="1033"/>
      <c r="O690" s="401"/>
      <c r="P690" s="401"/>
      <c r="Q690" s="820"/>
      <c r="R690" s="398"/>
      <c r="S690" s="401">
        <f t="shared" ref="S690:Z695" si="1658">S674+S658+S642</f>
        <v>0</v>
      </c>
      <c r="T690" s="401">
        <f t="shared" si="1658"/>
        <v>0</v>
      </c>
      <c r="U690" s="401">
        <f t="shared" si="1658"/>
        <v>0</v>
      </c>
      <c r="V690" s="820">
        <f t="shared" si="1658"/>
        <v>0</v>
      </c>
      <c r="W690" s="398">
        <f t="shared" si="1658"/>
        <v>0</v>
      </c>
      <c r="X690" s="1033">
        <f t="shared" si="1658"/>
        <v>0</v>
      </c>
      <c r="Y690" s="406">
        <f t="shared" si="1658"/>
        <v>0</v>
      </c>
      <c r="Z690" s="406">
        <f t="shared" si="1658"/>
        <v>0</v>
      </c>
      <c r="AA690" s="406">
        <f t="shared" ref="AA690:AN690" si="1659">AA674+AA658+AA642</f>
        <v>201</v>
      </c>
      <c r="AB690" s="398">
        <f t="shared" si="1659"/>
        <v>201</v>
      </c>
      <c r="AC690" s="3665">
        <v>201</v>
      </c>
      <c r="AD690" s="3665">
        <v>201</v>
      </c>
      <c r="AE690" s="406">
        <f t="shared" si="1659"/>
        <v>201</v>
      </c>
      <c r="AF690" s="820">
        <f t="shared" si="1659"/>
        <v>201</v>
      </c>
      <c r="AG690" s="398">
        <f t="shared" si="1659"/>
        <v>201</v>
      </c>
      <c r="AH690" s="406">
        <f t="shared" si="1659"/>
        <v>201</v>
      </c>
      <c r="AI690" s="406">
        <f t="shared" si="1659"/>
        <v>201</v>
      </c>
      <c r="AJ690" s="406">
        <f t="shared" ref="AJ690:AL690" si="1660">AJ674+AJ658+AJ642</f>
        <v>201</v>
      </c>
      <c r="AK690" s="820">
        <f t="shared" si="1660"/>
        <v>201</v>
      </c>
      <c r="AL690" s="398">
        <f t="shared" si="1660"/>
        <v>201</v>
      </c>
      <c r="AM690" s="398">
        <f t="shared" si="1659"/>
        <v>201</v>
      </c>
      <c r="AN690" s="398">
        <f t="shared" si="1659"/>
        <v>201</v>
      </c>
    </row>
    <row r="691" spans="1:40">
      <c r="A691" s="130" t="str">
        <f>A$14</f>
        <v>DoubleTree by Hilton (Upscale)</v>
      </c>
      <c r="B691" s="1033">
        <f t="shared" ref="B691:R691" si="1661">B675+B659+B643</f>
        <v>247</v>
      </c>
      <c r="C691" s="398">
        <f t="shared" si="1661"/>
        <v>547</v>
      </c>
      <c r="D691" s="1033">
        <f t="shared" si="1661"/>
        <v>547</v>
      </c>
      <c r="E691" s="406">
        <f t="shared" si="1661"/>
        <v>547</v>
      </c>
      <c r="F691" s="406">
        <f t="shared" si="1661"/>
        <v>547</v>
      </c>
      <c r="G691" s="820">
        <f t="shared" si="1661"/>
        <v>547</v>
      </c>
      <c r="H691" s="820">
        <f t="shared" si="1661"/>
        <v>547</v>
      </c>
      <c r="I691" s="1033">
        <f t="shared" si="1661"/>
        <v>547</v>
      </c>
      <c r="J691" s="406">
        <f t="shared" si="1661"/>
        <v>730</v>
      </c>
      <c r="K691" s="406">
        <f t="shared" si="1661"/>
        <v>730</v>
      </c>
      <c r="L691" s="820">
        <f t="shared" si="1661"/>
        <v>1273</v>
      </c>
      <c r="M691" s="820">
        <f t="shared" si="1661"/>
        <v>1273</v>
      </c>
      <c r="N691" s="1033">
        <f t="shared" si="1661"/>
        <v>1424</v>
      </c>
      <c r="O691" s="401">
        <f t="shared" si="1661"/>
        <v>1893</v>
      </c>
      <c r="P691" s="401">
        <f t="shared" si="1661"/>
        <v>1952</v>
      </c>
      <c r="Q691" s="820">
        <f t="shared" si="1661"/>
        <v>1952</v>
      </c>
      <c r="R691" s="398">
        <f t="shared" si="1661"/>
        <v>1952</v>
      </c>
      <c r="S691" s="401">
        <f t="shared" si="1658"/>
        <v>1952</v>
      </c>
      <c r="T691" s="401">
        <f t="shared" si="1658"/>
        <v>2175</v>
      </c>
      <c r="U691" s="401">
        <f t="shared" si="1658"/>
        <v>2175</v>
      </c>
      <c r="V691" s="820">
        <f t="shared" si="1658"/>
        <v>2362</v>
      </c>
      <c r="W691" s="398">
        <f t="shared" si="1658"/>
        <v>2362</v>
      </c>
      <c r="X691" s="1033">
        <f t="shared" si="1658"/>
        <v>2362</v>
      </c>
      <c r="Y691" s="406">
        <f t="shared" si="1658"/>
        <v>2602</v>
      </c>
      <c r="Z691" s="406">
        <f t="shared" si="1658"/>
        <v>2602</v>
      </c>
      <c r="AA691" s="406">
        <f t="shared" ref="AA691:AN691" si="1662">AA675+AA659+AA643</f>
        <v>2602</v>
      </c>
      <c r="AB691" s="398">
        <f t="shared" si="1662"/>
        <v>2602</v>
      </c>
      <c r="AC691" s="3665">
        <v>2600</v>
      </c>
      <c r="AD691" s="3665">
        <v>2600</v>
      </c>
      <c r="AE691" s="406">
        <f t="shared" si="1662"/>
        <v>2838</v>
      </c>
      <c r="AF691" s="820">
        <f t="shared" si="1662"/>
        <v>2838</v>
      </c>
      <c r="AG691" s="398">
        <f t="shared" si="1662"/>
        <v>2838</v>
      </c>
      <c r="AH691" s="406">
        <f t="shared" si="1662"/>
        <v>2878.1299999999997</v>
      </c>
      <c r="AI691" s="406">
        <f t="shared" si="1662"/>
        <v>2918.8375499999993</v>
      </c>
      <c r="AJ691" s="406">
        <f t="shared" ref="AJ691:AL691" si="1663">AJ675+AJ659+AJ643</f>
        <v>2962.6201132499991</v>
      </c>
      <c r="AK691" s="820">
        <f t="shared" si="1663"/>
        <v>3007.0594149487488</v>
      </c>
      <c r="AL691" s="398">
        <f t="shared" si="1663"/>
        <v>3007.0594149487488</v>
      </c>
      <c r="AM691" s="398">
        <f t="shared" si="1662"/>
        <v>3150.0699146861425</v>
      </c>
      <c r="AN691" s="398">
        <f t="shared" si="1662"/>
        <v>3255.4445396315027</v>
      </c>
    </row>
    <row r="692" spans="1:40">
      <c r="A692" s="130" t="str">
        <f>A$15</f>
        <v>Embassy Suites Hotels (Upper Up)</v>
      </c>
      <c r="B692" s="1033">
        <f t="shared" ref="B692:R692" si="1664">B676+B660+B644</f>
        <v>0</v>
      </c>
      <c r="C692" s="398">
        <f t="shared" si="1664"/>
        <v>0</v>
      </c>
      <c r="D692" s="1033">
        <f t="shared" si="1664"/>
        <v>0</v>
      </c>
      <c r="E692" s="406">
        <f t="shared" si="1664"/>
        <v>0</v>
      </c>
      <c r="F692" s="406">
        <f t="shared" si="1664"/>
        <v>0</v>
      </c>
      <c r="G692" s="820">
        <f t="shared" si="1664"/>
        <v>0</v>
      </c>
      <c r="H692" s="820">
        <f t="shared" si="1664"/>
        <v>0</v>
      </c>
      <c r="I692" s="1033">
        <f t="shared" si="1664"/>
        <v>0</v>
      </c>
      <c r="J692" s="406">
        <f t="shared" si="1664"/>
        <v>0</v>
      </c>
      <c r="K692" s="406">
        <f t="shared" si="1664"/>
        <v>0</v>
      </c>
      <c r="L692" s="820">
        <f t="shared" si="1664"/>
        <v>0</v>
      </c>
      <c r="M692" s="820">
        <f t="shared" si="1664"/>
        <v>0</v>
      </c>
      <c r="N692" s="1033">
        <f t="shared" si="1664"/>
        <v>0</v>
      </c>
      <c r="O692" s="401">
        <f t="shared" si="1664"/>
        <v>0</v>
      </c>
      <c r="P692" s="401">
        <f t="shared" si="1664"/>
        <v>0</v>
      </c>
      <c r="Q692" s="820">
        <f t="shared" si="1664"/>
        <v>0</v>
      </c>
      <c r="R692" s="398">
        <f t="shared" si="1664"/>
        <v>0</v>
      </c>
      <c r="S692" s="401">
        <f t="shared" si="1658"/>
        <v>0</v>
      </c>
      <c r="T692" s="401">
        <f t="shared" si="1658"/>
        <v>0</v>
      </c>
      <c r="U692" s="401">
        <f t="shared" si="1658"/>
        <v>0</v>
      </c>
      <c r="V692" s="820">
        <f t="shared" si="1658"/>
        <v>0</v>
      </c>
      <c r="W692" s="398">
        <f t="shared" si="1658"/>
        <v>0</v>
      </c>
      <c r="X692" s="1033">
        <f t="shared" si="1658"/>
        <v>0</v>
      </c>
      <c r="Y692" s="406">
        <f t="shared" si="1658"/>
        <v>0</v>
      </c>
      <c r="Z692" s="406">
        <f t="shared" si="1658"/>
        <v>0</v>
      </c>
      <c r="AA692" s="406">
        <f t="shared" ref="AA692:AN692" si="1665">AA676+AA660+AA644</f>
        <v>0</v>
      </c>
      <c r="AB692" s="398">
        <f t="shared" si="1665"/>
        <v>0</v>
      </c>
      <c r="AC692" s="3665">
        <v>0</v>
      </c>
      <c r="AD692" s="3665">
        <v>0</v>
      </c>
      <c r="AE692" s="406">
        <f t="shared" si="1665"/>
        <v>0</v>
      </c>
      <c r="AF692" s="820">
        <f t="shared" si="1665"/>
        <v>0</v>
      </c>
      <c r="AG692" s="398">
        <f t="shared" si="1665"/>
        <v>0</v>
      </c>
      <c r="AH692" s="406">
        <f t="shared" si="1665"/>
        <v>0</v>
      </c>
      <c r="AI692" s="406">
        <f t="shared" si="1665"/>
        <v>0</v>
      </c>
      <c r="AJ692" s="406">
        <f t="shared" ref="AJ692:AL692" si="1666">AJ676+AJ660+AJ644</f>
        <v>0</v>
      </c>
      <c r="AK692" s="820">
        <f t="shared" si="1666"/>
        <v>0</v>
      </c>
      <c r="AL692" s="398">
        <f t="shared" si="1666"/>
        <v>0</v>
      </c>
      <c r="AM692" s="398">
        <f t="shared" si="1665"/>
        <v>0</v>
      </c>
      <c r="AN692" s="398">
        <f t="shared" si="1665"/>
        <v>0</v>
      </c>
    </row>
    <row r="693" spans="1:40">
      <c r="A693" s="130" t="str">
        <f>A$16</f>
        <v>Hilton Garden Inn (Upscale)</v>
      </c>
      <c r="B693" s="1033">
        <f t="shared" ref="B693:R693" si="1667">B677+B661+B645</f>
        <v>180</v>
      </c>
      <c r="C693" s="398">
        <f t="shared" si="1667"/>
        <v>180</v>
      </c>
      <c r="D693" s="1033">
        <f t="shared" si="1667"/>
        <v>180</v>
      </c>
      <c r="E693" s="406">
        <f t="shared" si="1667"/>
        <v>180</v>
      </c>
      <c r="F693" s="406">
        <f t="shared" si="1667"/>
        <v>180</v>
      </c>
      <c r="G693" s="820">
        <f t="shared" si="1667"/>
        <v>180</v>
      </c>
      <c r="H693" s="820">
        <f t="shared" si="1667"/>
        <v>180</v>
      </c>
      <c r="I693" s="1033">
        <f t="shared" si="1667"/>
        <v>180</v>
      </c>
      <c r="J693" s="406">
        <f t="shared" si="1667"/>
        <v>180</v>
      </c>
      <c r="K693" s="406">
        <f t="shared" si="1667"/>
        <v>180</v>
      </c>
      <c r="L693" s="820">
        <f t="shared" si="1667"/>
        <v>180</v>
      </c>
      <c r="M693" s="820">
        <f t="shared" si="1667"/>
        <v>180</v>
      </c>
      <c r="N693" s="1033">
        <f t="shared" si="1667"/>
        <v>180</v>
      </c>
      <c r="O693" s="401">
        <f t="shared" si="1667"/>
        <v>180</v>
      </c>
      <c r="P693" s="401">
        <f t="shared" si="1667"/>
        <v>180</v>
      </c>
      <c r="Q693" s="820">
        <f t="shared" si="1667"/>
        <v>180</v>
      </c>
      <c r="R693" s="398">
        <f t="shared" si="1667"/>
        <v>180</v>
      </c>
      <c r="S693" s="401">
        <f t="shared" si="1658"/>
        <v>180</v>
      </c>
      <c r="T693" s="401">
        <f t="shared" si="1658"/>
        <v>180</v>
      </c>
      <c r="U693" s="401">
        <f t="shared" si="1658"/>
        <v>284</v>
      </c>
      <c r="V693" s="820">
        <f t="shared" si="1658"/>
        <v>1017</v>
      </c>
      <c r="W693" s="398">
        <f t="shared" si="1658"/>
        <v>1017</v>
      </c>
      <c r="X693" s="1033">
        <f t="shared" si="1658"/>
        <v>1337</v>
      </c>
      <c r="Y693" s="406">
        <f t="shared" si="1658"/>
        <v>1337</v>
      </c>
      <c r="Z693" s="406">
        <f t="shared" si="1658"/>
        <v>1337</v>
      </c>
      <c r="AA693" s="406">
        <f t="shared" ref="AA693:AN693" si="1668">AA677+AA661+AA645</f>
        <v>1334</v>
      </c>
      <c r="AB693" s="398">
        <f t="shared" si="1668"/>
        <v>1334</v>
      </c>
      <c r="AC693" s="3665">
        <v>1334</v>
      </c>
      <c r="AD693" s="3665">
        <v>1561</v>
      </c>
      <c r="AE693" s="406">
        <f t="shared" si="1668"/>
        <v>1574</v>
      </c>
      <c r="AF693" s="820">
        <f t="shared" si="1668"/>
        <v>1574</v>
      </c>
      <c r="AG693" s="398">
        <f t="shared" si="1668"/>
        <v>1574</v>
      </c>
      <c r="AH693" s="406">
        <f t="shared" si="1668"/>
        <v>1597.61</v>
      </c>
      <c r="AI693" s="406">
        <f t="shared" si="1668"/>
        <v>1621.5741499999997</v>
      </c>
      <c r="AJ693" s="406">
        <f t="shared" ref="AJ693:AL693" si="1669">AJ677+AJ661+AJ645</f>
        <v>1645.8977622499995</v>
      </c>
      <c r="AK693" s="820">
        <f t="shared" si="1669"/>
        <v>1670.5862286837494</v>
      </c>
      <c r="AL693" s="398">
        <f t="shared" si="1669"/>
        <v>1670.5862286837494</v>
      </c>
      <c r="AM693" s="398">
        <f t="shared" si="1668"/>
        <v>1745.7626089745179</v>
      </c>
      <c r="AN693" s="398">
        <f t="shared" si="1668"/>
        <v>1798.1354872437535</v>
      </c>
    </row>
    <row r="694" spans="1:40">
      <c r="A694" s="130" t="str">
        <f>A$17</f>
        <v>Hampton Inn (Upper Mid)</v>
      </c>
      <c r="B694" s="1033">
        <f t="shared" ref="B694:R694" si="1670">B678+B662+B646</f>
        <v>0</v>
      </c>
      <c r="C694" s="398">
        <f t="shared" si="1670"/>
        <v>0</v>
      </c>
      <c r="D694" s="1033">
        <f t="shared" si="1670"/>
        <v>0</v>
      </c>
      <c r="E694" s="406">
        <f t="shared" si="1670"/>
        <v>0</v>
      </c>
      <c r="F694" s="406">
        <f t="shared" si="1670"/>
        <v>0</v>
      </c>
      <c r="G694" s="820">
        <f t="shared" si="1670"/>
        <v>0</v>
      </c>
      <c r="H694" s="820">
        <f t="shared" si="1670"/>
        <v>0</v>
      </c>
      <c r="I694" s="1033">
        <f t="shared" si="1670"/>
        <v>0</v>
      </c>
      <c r="J694" s="406">
        <f t="shared" si="1670"/>
        <v>0</v>
      </c>
      <c r="K694" s="406">
        <f t="shared" si="1670"/>
        <v>0</v>
      </c>
      <c r="L694" s="820">
        <f t="shared" si="1670"/>
        <v>0</v>
      </c>
      <c r="M694" s="820">
        <f t="shared" si="1670"/>
        <v>0</v>
      </c>
      <c r="N694" s="1033">
        <f t="shared" si="1670"/>
        <v>0</v>
      </c>
      <c r="O694" s="401">
        <f t="shared" si="1670"/>
        <v>0</v>
      </c>
      <c r="P694" s="401">
        <f t="shared" si="1670"/>
        <v>0</v>
      </c>
      <c r="Q694" s="820">
        <f t="shared" si="1670"/>
        <v>0</v>
      </c>
      <c r="R694" s="398">
        <f t="shared" si="1670"/>
        <v>0</v>
      </c>
      <c r="S694" s="401">
        <f t="shared" si="1658"/>
        <v>0</v>
      </c>
      <c r="T694" s="401">
        <f t="shared" si="1658"/>
        <v>0</v>
      </c>
      <c r="U694" s="401">
        <f t="shared" si="1658"/>
        <v>0</v>
      </c>
      <c r="V694" s="820">
        <f t="shared" si="1658"/>
        <v>0</v>
      </c>
      <c r="W694" s="398">
        <f t="shared" si="1658"/>
        <v>0</v>
      </c>
      <c r="X694" s="1033">
        <f t="shared" si="1658"/>
        <v>0</v>
      </c>
      <c r="Y694" s="406">
        <f t="shared" si="1658"/>
        <v>0</v>
      </c>
      <c r="Z694" s="406">
        <f t="shared" si="1658"/>
        <v>0</v>
      </c>
      <c r="AA694" s="406">
        <f t="shared" ref="AA694:AN694" si="1671">AA678+AA662+AA646</f>
        <v>0</v>
      </c>
      <c r="AB694" s="398">
        <f t="shared" si="1671"/>
        <v>0</v>
      </c>
      <c r="AC694" s="3665">
        <v>0</v>
      </c>
      <c r="AD694" s="3665">
        <v>0</v>
      </c>
      <c r="AE694" s="406">
        <f t="shared" si="1671"/>
        <v>0</v>
      </c>
      <c r="AF694" s="820">
        <f t="shared" si="1671"/>
        <v>0</v>
      </c>
      <c r="AG694" s="398">
        <f t="shared" si="1671"/>
        <v>0</v>
      </c>
      <c r="AH694" s="406">
        <f t="shared" si="1671"/>
        <v>0</v>
      </c>
      <c r="AI694" s="406">
        <f t="shared" si="1671"/>
        <v>0</v>
      </c>
      <c r="AJ694" s="406">
        <f t="shared" ref="AJ694:AL694" si="1672">AJ678+AJ662+AJ646</f>
        <v>0</v>
      </c>
      <c r="AK694" s="820">
        <f t="shared" si="1672"/>
        <v>0</v>
      </c>
      <c r="AL694" s="398">
        <f t="shared" si="1672"/>
        <v>0</v>
      </c>
      <c r="AM694" s="398">
        <f t="shared" si="1671"/>
        <v>0</v>
      </c>
      <c r="AN694" s="398">
        <f t="shared" si="1671"/>
        <v>0</v>
      </c>
    </row>
    <row r="695" spans="1:40">
      <c r="A695" s="130" t="str">
        <f>A$18</f>
        <v>Home2 Suites by Hilton (Upper Mid)</v>
      </c>
      <c r="B695" s="1033">
        <f t="shared" ref="B695:R695" si="1673">B679+B663+B647</f>
        <v>0</v>
      </c>
      <c r="C695" s="398">
        <f t="shared" si="1673"/>
        <v>0</v>
      </c>
      <c r="D695" s="1033">
        <f t="shared" si="1673"/>
        <v>0</v>
      </c>
      <c r="E695" s="406">
        <f t="shared" si="1673"/>
        <v>0</v>
      </c>
      <c r="F695" s="406">
        <f t="shared" si="1673"/>
        <v>0</v>
      </c>
      <c r="G695" s="820">
        <f t="shared" si="1673"/>
        <v>0</v>
      </c>
      <c r="H695" s="820">
        <f t="shared" si="1673"/>
        <v>0</v>
      </c>
      <c r="I695" s="1033">
        <f t="shared" si="1673"/>
        <v>0</v>
      </c>
      <c r="J695" s="406">
        <f t="shared" si="1673"/>
        <v>0</v>
      </c>
      <c r="K695" s="406">
        <f t="shared" si="1673"/>
        <v>0</v>
      </c>
      <c r="L695" s="820">
        <f t="shared" si="1673"/>
        <v>0</v>
      </c>
      <c r="M695" s="820">
        <f t="shared" si="1673"/>
        <v>0</v>
      </c>
      <c r="N695" s="1033">
        <f t="shared" si="1673"/>
        <v>0</v>
      </c>
      <c r="O695" s="401">
        <f t="shared" si="1673"/>
        <v>0</v>
      </c>
      <c r="P695" s="401">
        <f t="shared" si="1673"/>
        <v>0</v>
      </c>
      <c r="Q695" s="820">
        <f t="shared" si="1673"/>
        <v>0</v>
      </c>
      <c r="R695" s="398">
        <f t="shared" si="1673"/>
        <v>0</v>
      </c>
      <c r="S695" s="401">
        <f t="shared" si="1658"/>
        <v>0</v>
      </c>
      <c r="T695" s="401">
        <f t="shared" si="1658"/>
        <v>0</v>
      </c>
      <c r="U695" s="401">
        <f t="shared" si="1658"/>
        <v>0</v>
      </c>
      <c r="V695" s="820">
        <f t="shared" si="1658"/>
        <v>0</v>
      </c>
      <c r="W695" s="398">
        <f t="shared" si="1658"/>
        <v>0</v>
      </c>
      <c r="X695" s="1033">
        <f t="shared" si="1658"/>
        <v>0</v>
      </c>
      <c r="Y695" s="406">
        <f t="shared" si="1658"/>
        <v>0</v>
      </c>
      <c r="Z695" s="406">
        <f t="shared" si="1658"/>
        <v>0</v>
      </c>
      <c r="AA695" s="406">
        <f t="shared" ref="AA695:AN695" si="1674">AA679+AA663+AA647</f>
        <v>0</v>
      </c>
      <c r="AB695" s="398">
        <f t="shared" si="1674"/>
        <v>0</v>
      </c>
      <c r="AC695" s="3665">
        <v>0</v>
      </c>
      <c r="AD695" s="3665">
        <v>0</v>
      </c>
      <c r="AE695" s="406">
        <f t="shared" si="1674"/>
        <v>0</v>
      </c>
      <c r="AF695" s="820">
        <f t="shared" si="1674"/>
        <v>0</v>
      </c>
      <c r="AG695" s="398">
        <f t="shared" si="1674"/>
        <v>0</v>
      </c>
      <c r="AH695" s="406">
        <f t="shared" si="1674"/>
        <v>0</v>
      </c>
      <c r="AI695" s="406">
        <f t="shared" si="1674"/>
        <v>0</v>
      </c>
      <c r="AJ695" s="406">
        <f t="shared" ref="AJ695:AL695" si="1675">AJ679+AJ663+AJ647</f>
        <v>0</v>
      </c>
      <c r="AK695" s="820">
        <f t="shared" si="1675"/>
        <v>0</v>
      </c>
      <c r="AL695" s="398">
        <f t="shared" si="1675"/>
        <v>0</v>
      </c>
      <c r="AM695" s="398">
        <f t="shared" si="1674"/>
        <v>0</v>
      </c>
      <c r="AN695" s="398">
        <f t="shared" si="1674"/>
        <v>0</v>
      </c>
    </row>
    <row r="696" spans="1:40">
      <c r="A696" s="130" t="str">
        <f>$A$90</f>
        <v>Tru by Hilton</v>
      </c>
      <c r="B696" s="1033">
        <f t="shared" ref="B696:AB696" si="1676">B680+B664+B648</f>
        <v>0</v>
      </c>
      <c r="C696" s="398">
        <f t="shared" si="1676"/>
        <v>0</v>
      </c>
      <c r="D696" s="1033">
        <f t="shared" si="1676"/>
        <v>0</v>
      </c>
      <c r="E696" s="406">
        <f t="shared" si="1676"/>
        <v>0</v>
      </c>
      <c r="F696" s="406">
        <f t="shared" si="1676"/>
        <v>0</v>
      </c>
      <c r="G696" s="820">
        <f t="shared" si="1676"/>
        <v>0</v>
      </c>
      <c r="H696" s="820">
        <f t="shared" si="1676"/>
        <v>0</v>
      </c>
      <c r="I696" s="1033">
        <f t="shared" si="1676"/>
        <v>0</v>
      </c>
      <c r="J696" s="406">
        <f t="shared" si="1676"/>
        <v>0</v>
      </c>
      <c r="K696" s="406">
        <f t="shared" si="1676"/>
        <v>0</v>
      </c>
      <c r="L696" s="820">
        <f t="shared" si="1676"/>
        <v>0</v>
      </c>
      <c r="M696" s="820">
        <f t="shared" si="1676"/>
        <v>0</v>
      </c>
      <c r="N696" s="1033">
        <f t="shared" si="1676"/>
        <v>0</v>
      </c>
      <c r="O696" s="401">
        <f t="shared" si="1676"/>
        <v>0</v>
      </c>
      <c r="P696" s="401">
        <f t="shared" si="1676"/>
        <v>0</v>
      </c>
      <c r="Q696" s="820">
        <f t="shared" si="1676"/>
        <v>0</v>
      </c>
      <c r="R696" s="398">
        <f t="shared" si="1676"/>
        <v>0</v>
      </c>
      <c r="S696" s="401">
        <f t="shared" si="1676"/>
        <v>0</v>
      </c>
      <c r="T696" s="401">
        <f t="shared" si="1676"/>
        <v>0</v>
      </c>
      <c r="U696" s="401">
        <f t="shared" si="1676"/>
        <v>0</v>
      </c>
      <c r="V696" s="820">
        <f t="shared" si="1676"/>
        <v>0</v>
      </c>
      <c r="W696" s="398">
        <f t="shared" si="1676"/>
        <v>0</v>
      </c>
      <c r="X696" s="1033">
        <f t="shared" si="1676"/>
        <v>0</v>
      </c>
      <c r="Y696" s="406">
        <f t="shared" si="1676"/>
        <v>0</v>
      </c>
      <c r="Z696" s="406">
        <f t="shared" si="1676"/>
        <v>0</v>
      </c>
      <c r="AA696" s="406">
        <f t="shared" si="1676"/>
        <v>0</v>
      </c>
      <c r="AB696" s="398">
        <f t="shared" si="1676"/>
        <v>0</v>
      </c>
      <c r="AC696" s="3665">
        <v>0</v>
      </c>
      <c r="AD696" s="3665">
        <v>0</v>
      </c>
      <c r="AE696" s="406">
        <f t="shared" ref="AE696:AN696" si="1677">AE680+AE664+AE648</f>
        <v>0</v>
      </c>
      <c r="AF696" s="820">
        <f t="shared" si="1677"/>
        <v>0</v>
      </c>
      <c r="AG696" s="398">
        <f t="shared" si="1677"/>
        <v>0</v>
      </c>
      <c r="AH696" s="406">
        <f t="shared" si="1677"/>
        <v>0</v>
      </c>
      <c r="AI696" s="406">
        <f t="shared" si="1677"/>
        <v>0</v>
      </c>
      <c r="AJ696" s="406">
        <f t="shared" ref="AJ696:AL696" si="1678">AJ680+AJ664+AJ648</f>
        <v>0</v>
      </c>
      <c r="AK696" s="820">
        <f t="shared" si="1678"/>
        <v>0</v>
      </c>
      <c r="AL696" s="398">
        <f t="shared" si="1678"/>
        <v>0</v>
      </c>
      <c r="AM696" s="398">
        <f t="shared" si="1677"/>
        <v>0</v>
      </c>
      <c r="AN696" s="398">
        <f t="shared" si="1677"/>
        <v>0</v>
      </c>
    </row>
    <row r="697" spans="1:40">
      <c r="A697" s="130" t="str">
        <f>$A$91</f>
        <v>Tapestry Collection by Hilton</v>
      </c>
      <c r="B697" s="1033">
        <f t="shared" ref="B697:AB697" si="1679">B681+B665+B649</f>
        <v>0</v>
      </c>
      <c r="C697" s="398">
        <f t="shared" si="1679"/>
        <v>0</v>
      </c>
      <c r="D697" s="1033">
        <f t="shared" si="1679"/>
        <v>0</v>
      </c>
      <c r="E697" s="406">
        <f t="shared" si="1679"/>
        <v>0</v>
      </c>
      <c r="F697" s="406">
        <f t="shared" si="1679"/>
        <v>0</v>
      </c>
      <c r="G697" s="820">
        <f t="shared" si="1679"/>
        <v>0</v>
      </c>
      <c r="H697" s="820">
        <f t="shared" si="1679"/>
        <v>0</v>
      </c>
      <c r="I697" s="1033">
        <f t="shared" si="1679"/>
        <v>0</v>
      </c>
      <c r="J697" s="406">
        <f t="shared" si="1679"/>
        <v>0</v>
      </c>
      <c r="K697" s="406">
        <f t="shared" si="1679"/>
        <v>0</v>
      </c>
      <c r="L697" s="820">
        <f t="shared" si="1679"/>
        <v>0</v>
      </c>
      <c r="M697" s="820">
        <f t="shared" si="1679"/>
        <v>0</v>
      </c>
      <c r="N697" s="1033">
        <f t="shared" si="1679"/>
        <v>0</v>
      </c>
      <c r="O697" s="401">
        <f t="shared" si="1679"/>
        <v>0</v>
      </c>
      <c r="P697" s="401">
        <f t="shared" si="1679"/>
        <v>0</v>
      </c>
      <c r="Q697" s="820">
        <f t="shared" si="1679"/>
        <v>0</v>
      </c>
      <c r="R697" s="398">
        <f t="shared" si="1679"/>
        <v>0</v>
      </c>
      <c r="S697" s="401">
        <f t="shared" si="1679"/>
        <v>0</v>
      </c>
      <c r="T697" s="401">
        <f t="shared" si="1679"/>
        <v>0</v>
      </c>
      <c r="U697" s="401">
        <f t="shared" si="1679"/>
        <v>0</v>
      </c>
      <c r="V697" s="820">
        <f t="shared" si="1679"/>
        <v>0</v>
      </c>
      <c r="W697" s="398">
        <f t="shared" si="1679"/>
        <v>0</v>
      </c>
      <c r="X697" s="1033">
        <f t="shared" si="1679"/>
        <v>0</v>
      </c>
      <c r="Y697" s="406">
        <f t="shared" si="1679"/>
        <v>0</v>
      </c>
      <c r="Z697" s="406">
        <f t="shared" si="1679"/>
        <v>0</v>
      </c>
      <c r="AA697" s="406">
        <f t="shared" si="1679"/>
        <v>0</v>
      </c>
      <c r="AB697" s="398">
        <f t="shared" si="1679"/>
        <v>0</v>
      </c>
      <c r="AC697" s="3665">
        <v>0</v>
      </c>
      <c r="AD697" s="3665">
        <v>0</v>
      </c>
      <c r="AE697" s="406">
        <f t="shared" ref="AE697:AN697" si="1680">AE681+AE665+AE649</f>
        <v>0</v>
      </c>
      <c r="AF697" s="820">
        <f t="shared" si="1680"/>
        <v>0</v>
      </c>
      <c r="AG697" s="398">
        <f t="shared" si="1680"/>
        <v>0</v>
      </c>
      <c r="AH697" s="406">
        <f t="shared" si="1680"/>
        <v>0</v>
      </c>
      <c r="AI697" s="406">
        <f t="shared" si="1680"/>
        <v>0</v>
      </c>
      <c r="AJ697" s="406">
        <f t="shared" ref="AJ697:AL697" si="1681">AJ681+AJ665+AJ649</f>
        <v>0</v>
      </c>
      <c r="AK697" s="820">
        <f t="shared" si="1681"/>
        <v>0</v>
      </c>
      <c r="AL697" s="398">
        <f t="shared" si="1681"/>
        <v>0</v>
      </c>
      <c r="AM697" s="398">
        <f t="shared" si="1680"/>
        <v>0</v>
      </c>
      <c r="AN697" s="398">
        <f t="shared" si="1680"/>
        <v>0</v>
      </c>
    </row>
    <row r="698" spans="1:40" s="5" customFormat="1">
      <c r="A698" s="402" t="str">
        <f>A$21</f>
        <v>Homewood Suites by Hilton (Upscale)</v>
      </c>
      <c r="B698" s="1033">
        <f t="shared" ref="B698:R698" si="1682">B682+B666+B650</f>
        <v>0</v>
      </c>
      <c r="C698" s="398">
        <f t="shared" si="1682"/>
        <v>0</v>
      </c>
      <c r="D698" s="1033">
        <f t="shared" si="1682"/>
        <v>0</v>
      </c>
      <c r="E698" s="406">
        <f t="shared" si="1682"/>
        <v>0</v>
      </c>
      <c r="F698" s="406">
        <f t="shared" si="1682"/>
        <v>0</v>
      </c>
      <c r="G698" s="820">
        <f t="shared" si="1682"/>
        <v>0</v>
      </c>
      <c r="H698" s="820">
        <f t="shared" si="1682"/>
        <v>0</v>
      </c>
      <c r="I698" s="1033">
        <f t="shared" si="1682"/>
        <v>0</v>
      </c>
      <c r="J698" s="406">
        <f t="shared" si="1682"/>
        <v>0</v>
      </c>
      <c r="K698" s="406">
        <f t="shared" si="1682"/>
        <v>0</v>
      </c>
      <c r="L698" s="820">
        <f t="shared" si="1682"/>
        <v>0</v>
      </c>
      <c r="M698" s="820">
        <f t="shared" si="1682"/>
        <v>0</v>
      </c>
      <c r="N698" s="1033">
        <f t="shared" si="1682"/>
        <v>0</v>
      </c>
      <c r="O698" s="401">
        <f t="shared" si="1682"/>
        <v>0</v>
      </c>
      <c r="P698" s="401">
        <f t="shared" si="1682"/>
        <v>0</v>
      </c>
      <c r="Q698" s="820">
        <f t="shared" si="1682"/>
        <v>0</v>
      </c>
      <c r="R698" s="398">
        <f t="shared" si="1682"/>
        <v>0</v>
      </c>
      <c r="S698" s="401">
        <f t="shared" ref="S698:Z698" si="1683">S682+S666+S650</f>
        <v>0</v>
      </c>
      <c r="T698" s="401">
        <f t="shared" si="1683"/>
        <v>0</v>
      </c>
      <c r="U698" s="401">
        <f t="shared" si="1683"/>
        <v>0</v>
      </c>
      <c r="V698" s="820">
        <f t="shared" si="1683"/>
        <v>0</v>
      </c>
      <c r="W698" s="398">
        <f t="shared" si="1683"/>
        <v>0</v>
      </c>
      <c r="X698" s="1033">
        <f t="shared" si="1683"/>
        <v>0</v>
      </c>
      <c r="Y698" s="406">
        <f t="shared" si="1683"/>
        <v>0</v>
      </c>
      <c r="Z698" s="406">
        <f t="shared" si="1683"/>
        <v>0</v>
      </c>
      <c r="AA698" s="406">
        <f t="shared" ref="AA698:AN698" si="1684">AA682+AA666+AA650</f>
        <v>0</v>
      </c>
      <c r="AB698" s="398">
        <f t="shared" si="1684"/>
        <v>0</v>
      </c>
      <c r="AC698" s="3665">
        <v>0</v>
      </c>
      <c r="AD698" s="3665">
        <v>0</v>
      </c>
      <c r="AE698" s="406">
        <f t="shared" si="1684"/>
        <v>0</v>
      </c>
      <c r="AF698" s="820">
        <f t="shared" si="1684"/>
        <v>0</v>
      </c>
      <c r="AG698" s="398">
        <f t="shared" si="1684"/>
        <v>0</v>
      </c>
      <c r="AH698" s="406">
        <f t="shared" si="1684"/>
        <v>0</v>
      </c>
      <c r="AI698" s="406">
        <f t="shared" si="1684"/>
        <v>0</v>
      </c>
      <c r="AJ698" s="406">
        <f t="shared" ref="AJ698:AL698" si="1685">AJ682+AJ666+AJ650</f>
        <v>0</v>
      </c>
      <c r="AK698" s="820">
        <f t="shared" si="1685"/>
        <v>0</v>
      </c>
      <c r="AL698" s="398">
        <f t="shared" si="1685"/>
        <v>0</v>
      </c>
      <c r="AM698" s="398">
        <f t="shared" si="1684"/>
        <v>0</v>
      </c>
      <c r="AN698" s="398">
        <f t="shared" si="1684"/>
        <v>0</v>
      </c>
    </row>
    <row r="699" spans="1:40" s="5" customFormat="1">
      <c r="A699" s="130" t="s">
        <v>1407</v>
      </c>
      <c r="B699" s="1033"/>
      <c r="C699" s="398"/>
      <c r="D699" s="1033"/>
      <c r="E699" s="406"/>
      <c r="F699" s="406"/>
      <c r="G699" s="820"/>
      <c r="H699" s="820"/>
      <c r="I699" s="1033"/>
      <c r="J699" s="406"/>
      <c r="K699" s="406"/>
      <c r="L699" s="820"/>
      <c r="M699" s="820"/>
      <c r="N699" s="1033"/>
      <c r="O699" s="401"/>
      <c r="P699" s="401"/>
      <c r="Q699" s="820"/>
      <c r="R699" s="398"/>
      <c r="S699" s="401"/>
      <c r="T699" s="401"/>
      <c r="U699" s="401"/>
      <c r="V699" s="820"/>
      <c r="W699" s="398"/>
      <c r="X699" s="401"/>
      <c r="Y699" s="401"/>
      <c r="Z699" s="401"/>
      <c r="AA699" s="401"/>
      <c r="AB699" s="398"/>
      <c r="AC699" s="3666">
        <v>366</v>
      </c>
      <c r="AD699" s="3666">
        <v>366</v>
      </c>
      <c r="AE699" s="3666">
        <v>366</v>
      </c>
      <c r="AF699" s="406">
        <v>0</v>
      </c>
      <c r="AG699" s="398">
        <f>AF699</f>
        <v>0</v>
      </c>
      <c r="AH699" s="1715">
        <f t="shared" ref="AH699:AI699" si="1686">AG699</f>
        <v>0</v>
      </c>
      <c r="AI699" s="1715">
        <f t="shared" si="1686"/>
        <v>0</v>
      </c>
      <c r="AJ699" s="1715">
        <f>AI699</f>
        <v>0</v>
      </c>
      <c r="AK699" s="1715">
        <f>AJ699</f>
        <v>0</v>
      </c>
      <c r="AL699" s="398">
        <f>AK699</f>
        <v>0</v>
      </c>
      <c r="AM699" s="398">
        <f t="shared" ref="AM699:AN699" si="1687">AL699</f>
        <v>0</v>
      </c>
      <c r="AN699" s="398">
        <f t="shared" si="1687"/>
        <v>0</v>
      </c>
    </row>
    <row r="700" spans="1:40" s="5" customFormat="1">
      <c r="A700" s="402" t="s">
        <v>1394</v>
      </c>
      <c r="B700" s="1033"/>
      <c r="C700" s="398"/>
      <c r="D700" s="1033"/>
      <c r="E700" s="406"/>
      <c r="F700" s="406"/>
      <c r="G700" s="820"/>
      <c r="H700" s="820"/>
      <c r="I700" s="1033"/>
      <c r="J700" s="406"/>
      <c r="K700" s="406"/>
      <c r="L700" s="820"/>
      <c r="M700" s="820"/>
      <c r="N700" s="1033"/>
      <c r="O700" s="401"/>
      <c r="P700" s="401"/>
      <c r="Q700" s="820"/>
      <c r="R700" s="398"/>
      <c r="S700" s="401"/>
      <c r="T700" s="401"/>
      <c r="U700" s="401"/>
      <c r="V700" s="820"/>
      <c r="W700" s="398"/>
      <c r="X700" s="401"/>
      <c r="Y700" s="401"/>
      <c r="Z700" s="401"/>
      <c r="AA700" s="401"/>
      <c r="AB700" s="398"/>
      <c r="AC700" s="3666">
        <v>0</v>
      </c>
      <c r="AD700" s="406">
        <f t="shared" ref="AD700:AN700" si="1688">AD684+AD668+AD652</f>
        <v>0</v>
      </c>
      <c r="AE700" s="406">
        <f t="shared" si="1688"/>
        <v>0</v>
      </c>
      <c r="AF700" s="820">
        <f t="shared" si="1688"/>
        <v>0</v>
      </c>
      <c r="AG700" s="398">
        <f t="shared" si="1688"/>
        <v>0</v>
      </c>
      <c r="AH700" s="406">
        <f t="shared" si="1688"/>
        <v>0</v>
      </c>
      <c r="AI700" s="406">
        <f t="shared" si="1688"/>
        <v>0</v>
      </c>
      <c r="AJ700" s="406">
        <f t="shared" ref="AJ700:AL700" si="1689">AJ684+AJ668+AJ652</f>
        <v>0</v>
      </c>
      <c r="AK700" s="820">
        <f t="shared" si="1689"/>
        <v>0</v>
      </c>
      <c r="AL700" s="398">
        <f t="shared" si="1689"/>
        <v>0</v>
      </c>
      <c r="AM700" s="398">
        <f t="shared" si="1688"/>
        <v>0</v>
      </c>
      <c r="AN700" s="398">
        <f t="shared" si="1688"/>
        <v>0</v>
      </c>
    </row>
    <row r="701" spans="1:40">
      <c r="A701" s="202" t="s">
        <v>1414</v>
      </c>
      <c r="B701" s="1034">
        <f t="shared" ref="B701:R701" si="1690">SUM(B686:B698)</f>
        <v>14345</v>
      </c>
      <c r="C701" s="476">
        <f t="shared" si="1690"/>
        <v>15988</v>
      </c>
      <c r="D701" s="1034">
        <f t="shared" si="1690"/>
        <v>16018</v>
      </c>
      <c r="E701" s="475">
        <f t="shared" si="1690"/>
        <v>16707</v>
      </c>
      <c r="F701" s="475">
        <f t="shared" si="1690"/>
        <v>16707</v>
      </c>
      <c r="G701" s="822">
        <f t="shared" si="1690"/>
        <v>16793</v>
      </c>
      <c r="H701" s="822">
        <f t="shared" si="1690"/>
        <v>16793</v>
      </c>
      <c r="I701" s="1034">
        <f t="shared" si="1690"/>
        <v>17107</v>
      </c>
      <c r="J701" s="475">
        <f t="shared" si="1690"/>
        <v>17292</v>
      </c>
      <c r="K701" s="475">
        <f t="shared" si="1690"/>
        <v>18652</v>
      </c>
      <c r="L701" s="822">
        <f>SUM(L686:L698)</f>
        <v>19514</v>
      </c>
      <c r="M701" s="822">
        <f>SUM(M686:M698)</f>
        <v>19514</v>
      </c>
      <c r="N701" s="1034">
        <f t="shared" si="1690"/>
        <v>20216</v>
      </c>
      <c r="O701" s="475">
        <f t="shared" si="1690"/>
        <v>20682</v>
      </c>
      <c r="P701" s="475">
        <f t="shared" si="1690"/>
        <v>20767</v>
      </c>
      <c r="Q701" s="822">
        <f t="shared" si="1690"/>
        <v>20783</v>
      </c>
      <c r="R701" s="476">
        <f t="shared" si="1690"/>
        <v>20783</v>
      </c>
      <c r="S701" s="475">
        <f t="shared" ref="S701:AB701" si="1691">SUM(S686:S698)</f>
        <v>20583</v>
      </c>
      <c r="T701" s="475">
        <f t="shared" si="1691"/>
        <v>20806</v>
      </c>
      <c r="U701" s="475">
        <f>SUM(U686:U698)</f>
        <v>21095</v>
      </c>
      <c r="V701" s="822">
        <f t="shared" si="1691"/>
        <v>22209</v>
      </c>
      <c r="W701" s="476">
        <f t="shared" si="1691"/>
        <v>22209</v>
      </c>
      <c r="X701" s="1034">
        <f t="shared" si="1691"/>
        <v>22309</v>
      </c>
      <c r="Y701" s="475">
        <f t="shared" si="1691"/>
        <v>22987</v>
      </c>
      <c r="Z701" s="475">
        <f t="shared" si="1691"/>
        <v>22990</v>
      </c>
      <c r="AA701" s="475">
        <f t="shared" si="1691"/>
        <v>23191</v>
      </c>
      <c r="AB701" s="476">
        <f t="shared" si="1691"/>
        <v>23191</v>
      </c>
      <c r="AC701" s="475">
        <f t="shared" ref="AC701:AN701" si="1692">SUM(AC686:AC700)</f>
        <v>23439</v>
      </c>
      <c r="AD701" s="475">
        <f t="shared" si="1692"/>
        <v>24279</v>
      </c>
      <c r="AE701" s="475">
        <f t="shared" si="1692"/>
        <v>23161</v>
      </c>
      <c r="AF701" s="475">
        <f t="shared" si="1692"/>
        <v>23036</v>
      </c>
      <c r="AG701" s="476">
        <f t="shared" si="1692"/>
        <v>23036</v>
      </c>
      <c r="AH701" s="475">
        <f t="shared" si="1692"/>
        <v>23333.88</v>
      </c>
      <c r="AI701" s="475">
        <f t="shared" si="1692"/>
        <v>23636.17355</v>
      </c>
      <c r="AJ701" s="475">
        <f t="shared" ref="AJ701:AL701" si="1693">SUM(AJ686:AJ700)</f>
        <v>23948.521153249996</v>
      </c>
      <c r="AK701" s="475">
        <f t="shared" si="1693"/>
        <v>24265.553970548743</v>
      </c>
      <c r="AL701" s="476">
        <f t="shared" si="1693"/>
        <v>24265.553970548743</v>
      </c>
      <c r="AM701" s="476">
        <f t="shared" si="1692"/>
        <v>25248.148937929822</v>
      </c>
      <c r="AN701" s="476">
        <f t="shared" si="1692"/>
        <v>25945.55519410608</v>
      </c>
    </row>
    <row r="702" spans="1:40">
      <c r="A702" s="478" t="s">
        <v>598</v>
      </c>
      <c r="B702" s="1035"/>
      <c r="C702" s="480">
        <f>C701-B701</f>
        <v>1643</v>
      </c>
      <c r="D702" s="1035"/>
      <c r="E702" s="479"/>
      <c r="F702" s="479"/>
      <c r="G702" s="1040"/>
      <c r="H702" s="1040">
        <f t="shared" ref="H702:R702" si="1694">H701-C701</f>
        <v>805</v>
      </c>
      <c r="I702" s="1035">
        <f t="shared" si="1694"/>
        <v>1089</v>
      </c>
      <c r="J702" s="479">
        <f t="shared" si="1694"/>
        <v>585</v>
      </c>
      <c r="K702" s="479">
        <f t="shared" si="1694"/>
        <v>1945</v>
      </c>
      <c r="L702" s="1040">
        <f t="shared" si="1694"/>
        <v>2721</v>
      </c>
      <c r="M702" s="1040">
        <f>M701-H701</f>
        <v>2721</v>
      </c>
      <c r="N702" s="1035">
        <f t="shared" si="1694"/>
        <v>3109</v>
      </c>
      <c r="O702" s="479">
        <f t="shared" si="1694"/>
        <v>3390</v>
      </c>
      <c r="P702" s="479">
        <f t="shared" si="1694"/>
        <v>2115</v>
      </c>
      <c r="Q702" s="479">
        <f t="shared" si="1694"/>
        <v>1269</v>
      </c>
      <c r="R702" s="480">
        <f t="shared" si="1694"/>
        <v>1269</v>
      </c>
      <c r="S702" s="479">
        <f t="shared" ref="S702:AB702" si="1695">S701-N701</f>
        <v>367</v>
      </c>
      <c r="T702" s="479">
        <f t="shared" si="1695"/>
        <v>124</v>
      </c>
      <c r="U702" s="479">
        <f t="shared" si="1695"/>
        <v>328</v>
      </c>
      <c r="V702" s="479">
        <f t="shared" si="1695"/>
        <v>1426</v>
      </c>
      <c r="W702" s="480">
        <f t="shared" si="1695"/>
        <v>1426</v>
      </c>
      <c r="X702" s="1035">
        <f t="shared" si="1695"/>
        <v>1726</v>
      </c>
      <c r="Y702" s="479">
        <f t="shared" si="1695"/>
        <v>2181</v>
      </c>
      <c r="Z702" s="479">
        <f t="shared" si="1695"/>
        <v>1895</v>
      </c>
      <c r="AA702" s="479">
        <f t="shared" si="1695"/>
        <v>982</v>
      </c>
      <c r="AB702" s="480">
        <f t="shared" si="1695"/>
        <v>982</v>
      </c>
      <c r="AC702" s="479">
        <f>AC701-X701</f>
        <v>1130</v>
      </c>
      <c r="AD702" s="479">
        <f>AD701-Y701</f>
        <v>1292</v>
      </c>
      <c r="AE702" s="479">
        <f>AE701-Z701</f>
        <v>171</v>
      </c>
      <c r="AF702" s="479">
        <f>AF701-AA701</f>
        <v>-155</v>
      </c>
      <c r="AG702" s="480">
        <f>AG701-AB701</f>
        <v>-155</v>
      </c>
      <c r="AH702" s="479">
        <f t="shared" ref="AH702:AI702" si="1696">AH701-AC701</f>
        <v>-105.11999999999898</v>
      </c>
      <c r="AI702" s="479">
        <f t="shared" si="1696"/>
        <v>-642.82645000000048</v>
      </c>
      <c r="AJ702" s="479">
        <f>AJ701-AE701</f>
        <v>787.52115324999613</v>
      </c>
      <c r="AK702" s="479">
        <f>AK701-AF701</f>
        <v>1229.5539705487427</v>
      </c>
      <c r="AL702" s="480">
        <f>AL701-AG701</f>
        <v>1229.5539705487427</v>
      </c>
      <c r="AM702" s="480">
        <f>AM701-AL701</f>
        <v>982.59496738107919</v>
      </c>
      <c r="AN702" s="480">
        <f>AN701-AM701</f>
        <v>697.40625617625847</v>
      </c>
    </row>
    <row r="703" spans="1:40">
      <c r="A703" s="477" t="s">
        <v>1423</v>
      </c>
      <c r="B703" s="1036"/>
      <c r="C703" s="445">
        <f>C702/B701</f>
        <v>0.11453468107354479</v>
      </c>
      <c r="D703" s="1036"/>
      <c r="E703" s="437"/>
      <c r="F703" s="437"/>
      <c r="G703" s="589"/>
      <c r="H703" s="589">
        <f t="shared" ref="H703:R703" si="1697">H702/C701</f>
        <v>5.0350262697022766E-2</v>
      </c>
      <c r="I703" s="1036">
        <f t="shared" si="1697"/>
        <v>6.7986015732301161E-2</v>
      </c>
      <c r="J703" s="437">
        <f t="shared" si="1697"/>
        <v>3.5015263063386606E-2</v>
      </c>
      <c r="K703" s="437">
        <f t="shared" si="1697"/>
        <v>0.1164182677919435</v>
      </c>
      <c r="L703" s="589">
        <f t="shared" si="1697"/>
        <v>0.16203179896385397</v>
      </c>
      <c r="M703" s="589">
        <f>M702/H701</f>
        <v>0.16203179896385397</v>
      </c>
      <c r="N703" s="1036">
        <f t="shared" si="1697"/>
        <v>0.18173846963231427</v>
      </c>
      <c r="O703" s="481">
        <f t="shared" si="1697"/>
        <v>0.19604441360166552</v>
      </c>
      <c r="P703" s="481">
        <f t="shared" si="1697"/>
        <v>0.11339266566588034</v>
      </c>
      <c r="Q703" s="481">
        <f t="shared" si="1697"/>
        <v>6.5030234703289946E-2</v>
      </c>
      <c r="R703" s="445">
        <f t="shared" si="1697"/>
        <v>6.5030234703289946E-2</v>
      </c>
      <c r="S703" s="481">
        <f t="shared" ref="S703:AB703" si="1698">S702/N701</f>
        <v>1.8153937475267116E-2</v>
      </c>
      <c r="T703" s="481">
        <f t="shared" si="1698"/>
        <v>5.9955516874576923E-3</v>
      </c>
      <c r="U703" s="481">
        <f t="shared" si="1698"/>
        <v>1.5794289016227668E-2</v>
      </c>
      <c r="V703" s="481">
        <f t="shared" si="1698"/>
        <v>6.8613770870422947E-2</v>
      </c>
      <c r="W703" s="445">
        <f t="shared" si="1698"/>
        <v>6.8613770870422947E-2</v>
      </c>
      <c r="X703" s="2548">
        <f t="shared" si="1698"/>
        <v>8.385560899771656E-2</v>
      </c>
      <c r="Y703" s="481">
        <f t="shared" si="1698"/>
        <v>0.104825531096799</v>
      </c>
      <c r="Z703" s="481">
        <f t="shared" si="1698"/>
        <v>8.9831713676226596E-2</v>
      </c>
      <c r="AA703" s="481">
        <f t="shared" si="1698"/>
        <v>4.4216308703678688E-2</v>
      </c>
      <c r="AB703" s="445">
        <f t="shared" si="1698"/>
        <v>4.4216308703678688E-2</v>
      </c>
      <c r="AC703" s="481">
        <f>AC702/X701</f>
        <v>5.0652203146712087E-2</v>
      </c>
      <c r="AD703" s="481">
        <f>AD702/Y701</f>
        <v>5.6205681472136428E-2</v>
      </c>
      <c r="AE703" s="481">
        <f>AE702/Z701</f>
        <v>7.4380165289256199E-3</v>
      </c>
      <c r="AF703" s="481">
        <f>AF702/AA701</f>
        <v>-6.6836272691992585E-3</v>
      </c>
      <c r="AG703" s="445">
        <f>AG702/AB701</f>
        <v>-6.6836272691992585E-3</v>
      </c>
      <c r="AH703" s="481">
        <f t="shared" ref="AH703:AI703" si="1699">AH702/AC701</f>
        <v>-4.4848329706898326E-3</v>
      </c>
      <c r="AI703" s="481">
        <f t="shared" si="1699"/>
        <v>-2.6476644425223465E-2</v>
      </c>
      <c r="AJ703" s="481">
        <f>AJ702/AE701</f>
        <v>3.4002035890073667E-2</v>
      </c>
      <c r="AK703" s="481">
        <f>AK702/AF701</f>
        <v>5.3375324298868841E-2</v>
      </c>
      <c r="AL703" s="445">
        <f>AL702/AG701</f>
        <v>5.3375324298868841E-2</v>
      </c>
      <c r="AM703" s="445">
        <f>AM702/AL701</f>
        <v>4.0493407592246233E-2</v>
      </c>
      <c r="AN703" s="445">
        <f>AN702/AM701</f>
        <v>2.7622074706972206E-2</v>
      </c>
    </row>
    <row r="704" spans="1:40">
      <c r="A704" s="130"/>
      <c r="B704" s="406"/>
      <c r="C704" s="398"/>
      <c r="D704" s="1033"/>
      <c r="E704" s="406"/>
      <c r="F704" s="406"/>
      <c r="G704" s="820"/>
      <c r="H704" s="406"/>
      <c r="I704" s="1033"/>
      <c r="J704" s="406"/>
      <c r="K704" s="406"/>
      <c r="L704" s="820"/>
      <c r="M704" s="406"/>
      <c r="N704" s="401"/>
      <c r="O704" s="401"/>
      <c r="P704" s="401"/>
      <c r="Q704" s="820"/>
      <c r="R704" s="406"/>
      <c r="S704" s="406"/>
      <c r="T704" s="406"/>
      <c r="U704" s="406"/>
      <c r="V704" s="406"/>
      <c r="W704" s="406"/>
      <c r="X704" s="406"/>
      <c r="Y704" s="406"/>
      <c r="Z704" s="406"/>
      <c r="AA704" s="406"/>
      <c r="AB704" s="406"/>
      <c r="AC704" s="406"/>
      <c r="AD704" s="406"/>
      <c r="AE704" s="406"/>
      <c r="AF704" s="406"/>
      <c r="AG704" s="406"/>
      <c r="AH704" s="406"/>
      <c r="AI704" s="406"/>
      <c r="AJ704" s="406"/>
      <c r="AK704" s="406"/>
      <c r="AL704" s="406"/>
      <c r="AM704" s="406"/>
      <c r="AN704" s="406"/>
    </row>
    <row r="705" spans="1:40">
      <c r="A705" s="130"/>
      <c r="B705" s="406"/>
      <c r="C705" s="398"/>
      <c r="D705" s="1033"/>
      <c r="E705" s="406"/>
      <c r="F705" s="406"/>
      <c r="G705" s="820"/>
      <c r="H705" s="406"/>
      <c r="I705" s="1033"/>
      <c r="J705" s="406"/>
      <c r="K705" s="406"/>
      <c r="L705" s="820"/>
      <c r="M705" s="406"/>
      <c r="N705" s="401"/>
      <c r="O705" s="401"/>
      <c r="P705" s="2404"/>
      <c r="Q705" s="820"/>
      <c r="R705" s="406"/>
      <c r="S705" s="406"/>
      <c r="T705" s="406"/>
      <c r="U705" s="406"/>
      <c r="V705" s="406"/>
      <c r="W705" s="406"/>
      <c r="X705" s="406"/>
      <c r="Y705" s="406"/>
      <c r="Z705" s="406"/>
      <c r="AA705" s="406"/>
      <c r="AB705" s="406"/>
      <c r="AC705" s="406"/>
      <c r="AD705" s="406"/>
      <c r="AE705" s="406"/>
      <c r="AF705" s="406"/>
      <c r="AG705" s="406"/>
      <c r="AH705" s="406"/>
      <c r="AI705" s="406"/>
      <c r="AJ705" s="406"/>
      <c r="AK705" s="406"/>
      <c r="AL705" s="406"/>
      <c r="AM705" s="406"/>
      <c r="AN705" s="406"/>
    </row>
    <row r="706" spans="1:40" s="775" customFormat="1">
      <c r="A706" s="461" t="s">
        <v>1415</v>
      </c>
      <c r="B706" s="1037" t="str">
        <f>+Hilton!E$5</f>
        <v>2010</v>
      </c>
      <c r="C706" s="774" t="str">
        <f>+Hilton!F$5</f>
        <v>2011</v>
      </c>
      <c r="D706" s="1037" t="str">
        <f>+Hilton!G$5</f>
        <v>1Q12</v>
      </c>
      <c r="E706" s="773" t="str">
        <f>+Hilton!H$5</f>
        <v>2Q12</v>
      </c>
      <c r="F706" s="773" t="str">
        <f>+Hilton!I$5</f>
        <v>3Q12</v>
      </c>
      <c r="G706" s="776" t="str">
        <f>+Hilton!J$5</f>
        <v>4Q12</v>
      </c>
      <c r="H706" s="776">
        <f>+Hilton!K$5</f>
        <v>2012</v>
      </c>
      <c r="I706" s="1037" t="str">
        <f>+Hilton!L$5</f>
        <v>1Q13</v>
      </c>
      <c r="J706" s="773" t="str">
        <f>+Hilton!M$5</f>
        <v>2Q13</v>
      </c>
      <c r="K706" s="773" t="str">
        <f>+Hilton!N$5</f>
        <v>3Q13</v>
      </c>
      <c r="L706" s="776" t="str">
        <f>+Hilton!O$5</f>
        <v>4Q13</v>
      </c>
      <c r="M706" s="776">
        <f>+Hilton!P$5</f>
        <v>2013</v>
      </c>
      <c r="N706" s="773" t="str">
        <f>+Hilton!Q$5</f>
        <v>1Q14</v>
      </c>
      <c r="O706" s="773" t="str">
        <f>+Hilton!R$5</f>
        <v>2Q14</v>
      </c>
      <c r="P706" s="773" t="str">
        <f>+Hilton!S$5</f>
        <v>3Q14</v>
      </c>
      <c r="Q706" s="776" t="str">
        <f>+Hilton!T$5</f>
        <v>4Q14</v>
      </c>
      <c r="R706" s="774">
        <f>+Hilton!U$5</f>
        <v>2014</v>
      </c>
      <c r="S706" s="773" t="str">
        <f>+Hilton!V$5</f>
        <v>1Q15</v>
      </c>
      <c r="T706" s="773" t="str">
        <f>+Hilton!W$5</f>
        <v>2Q15</v>
      </c>
      <c r="U706" s="773" t="str">
        <f>+Hilton!X$5</f>
        <v>3Q15</v>
      </c>
      <c r="V706" s="776" t="str">
        <f>+Hilton!Y$5</f>
        <v>4Q15</v>
      </c>
      <c r="W706" s="774">
        <f>+Hilton!Z$5</f>
        <v>2015</v>
      </c>
      <c r="X706" s="773" t="str">
        <f>+Hilton!AA$5</f>
        <v>1Q16</v>
      </c>
      <c r="Y706" s="773" t="str">
        <f>+Hilton!AB$5</f>
        <v>2Q16</v>
      </c>
      <c r="Z706" s="773" t="str">
        <f>+Hilton!AC$5</f>
        <v>3Q16</v>
      </c>
      <c r="AA706" s="773" t="str">
        <f>+Hilton!AD$5</f>
        <v>4Q16</v>
      </c>
      <c r="AB706" s="774">
        <f>+Hilton!AE$5</f>
        <v>2016</v>
      </c>
      <c r="AC706" s="773" t="str">
        <f>+Hilton!AF$5</f>
        <v>1Q17</v>
      </c>
      <c r="AD706" s="773" t="str">
        <f>+Hilton!AG$5</f>
        <v>2Q17</v>
      </c>
      <c r="AE706" s="773" t="str">
        <f>+Hilton!AH$5</f>
        <v>3Q17</v>
      </c>
      <c r="AF706" s="776" t="str">
        <f>+Hilton!AI$5</f>
        <v>4Q17A</v>
      </c>
      <c r="AG706" s="774" t="str">
        <f>+Hilton!AJ$5</f>
        <v>2017A</v>
      </c>
      <c r="AH706" s="773" t="str">
        <f>+Hilton!AK$5</f>
        <v>1Q18E</v>
      </c>
      <c r="AI706" s="773" t="str">
        <f>+Hilton!AL$5</f>
        <v>2Q18E</v>
      </c>
      <c r="AJ706" s="773" t="str">
        <f>+Hilton!AM$5</f>
        <v>3Q18E</v>
      </c>
      <c r="AK706" s="776" t="str">
        <f>+Hilton!AN$5</f>
        <v>4Q18E</v>
      </c>
      <c r="AL706" s="774" t="str">
        <f>+Hilton!AO$5</f>
        <v>2018E</v>
      </c>
      <c r="AM706" s="774" t="str">
        <f>+Hilton!AP$5</f>
        <v>2019E</v>
      </c>
      <c r="AN706" s="774" t="str">
        <f>+Hilton!AQ$5</f>
        <v>2020E</v>
      </c>
    </row>
    <row r="707" spans="1:40" s="130" customFormat="1">
      <c r="A707" s="140"/>
      <c r="B707" s="1038"/>
      <c r="C707" s="397"/>
      <c r="D707" s="1038"/>
      <c r="E707" s="203"/>
      <c r="F707" s="203"/>
      <c r="G707" s="572"/>
      <c r="H707" s="572"/>
      <c r="I707" s="1038"/>
      <c r="J707" s="203"/>
      <c r="K707" s="203"/>
      <c r="L707" s="572"/>
      <c r="M707" s="572"/>
      <c r="N707" s="203"/>
      <c r="O707" s="203"/>
      <c r="P707" s="203"/>
      <c r="Q707" s="572"/>
      <c r="R707" s="397"/>
      <c r="S707" s="1038"/>
      <c r="T707" s="203"/>
      <c r="U707" s="203"/>
      <c r="V707" s="572"/>
      <c r="W707" s="397"/>
      <c r="X707" s="1038"/>
      <c r="Y707" s="203"/>
      <c r="Z707" s="203"/>
      <c r="AA707" s="203"/>
      <c r="AB707" s="397"/>
      <c r="AC707" s="203"/>
      <c r="AD707" s="203"/>
      <c r="AE707" s="203"/>
      <c r="AF707" s="572"/>
      <c r="AG707" s="397"/>
      <c r="AH707" s="203"/>
      <c r="AI707" s="203"/>
      <c r="AJ707" s="203"/>
      <c r="AK707" s="572"/>
      <c r="AL707" s="397"/>
      <c r="AM707" s="397"/>
      <c r="AN707" s="397"/>
    </row>
    <row r="708" spans="1:40">
      <c r="A708" s="141" t="s">
        <v>1589</v>
      </c>
      <c r="B708" s="394"/>
      <c r="C708" s="138"/>
      <c r="D708" s="394"/>
      <c r="E708" s="135"/>
      <c r="F708" s="135"/>
      <c r="G708" s="452"/>
      <c r="H708" s="452"/>
      <c r="I708" s="394"/>
      <c r="J708" s="135"/>
      <c r="K708" s="135"/>
      <c r="L708" s="452"/>
      <c r="M708" s="452"/>
      <c r="N708" s="130"/>
      <c r="O708" s="130"/>
      <c r="P708" s="130"/>
      <c r="Q708" s="452"/>
      <c r="R708" s="138"/>
      <c r="S708" s="394"/>
      <c r="T708" s="135"/>
      <c r="U708" s="135"/>
      <c r="V708" s="452"/>
      <c r="W708" s="138"/>
      <c r="X708" s="394"/>
      <c r="Y708" s="135"/>
      <c r="Z708" s="135"/>
      <c r="AA708" s="135"/>
      <c r="AB708" s="138"/>
      <c r="AC708" s="135"/>
      <c r="AD708" s="135"/>
      <c r="AE708" s="135"/>
      <c r="AF708" s="452"/>
      <c r="AG708" s="138"/>
      <c r="AH708" s="135"/>
      <c r="AI708" s="135"/>
      <c r="AJ708" s="135"/>
      <c r="AK708" s="452"/>
      <c r="AL708" s="138"/>
      <c r="AM708" s="138"/>
      <c r="AN708" s="138"/>
    </row>
    <row r="709" spans="1:40">
      <c r="A709" s="130" t="s">
        <v>2272</v>
      </c>
      <c r="B709" s="1030">
        <v>0</v>
      </c>
      <c r="C709" s="508">
        <v>0</v>
      </c>
      <c r="D709" s="1030">
        <v>0</v>
      </c>
      <c r="E709" s="912">
        <v>0</v>
      </c>
      <c r="F709" s="912">
        <v>0</v>
      </c>
      <c r="G709" s="1041">
        <v>0</v>
      </c>
      <c r="H709" s="820">
        <f>G709</f>
        <v>0</v>
      </c>
      <c r="I709" s="1030">
        <v>0</v>
      </c>
      <c r="J709" s="912">
        <v>0</v>
      </c>
      <c r="K709" s="912">
        <v>0</v>
      </c>
      <c r="L709" s="1041">
        <v>0</v>
      </c>
      <c r="M709" s="820">
        <f>L709</f>
        <v>0</v>
      </c>
      <c r="N709" s="1030">
        <v>0</v>
      </c>
      <c r="O709" s="912">
        <v>0</v>
      </c>
      <c r="P709" s="912">
        <v>0</v>
      </c>
      <c r="Q709" s="1041">
        <v>0</v>
      </c>
      <c r="R709" s="820">
        <f t="shared" ref="R709:R721" si="1700">Q709</f>
        <v>0</v>
      </c>
      <c r="S709" s="1030">
        <v>0</v>
      </c>
      <c r="T709" s="912">
        <v>0</v>
      </c>
      <c r="U709" s="912">
        <v>0</v>
      </c>
      <c r="V709" s="912">
        <v>0</v>
      </c>
      <c r="W709" s="398">
        <f>V709</f>
        <v>0</v>
      </c>
      <c r="X709" s="2787">
        <v>0</v>
      </c>
      <c r="Y709" s="2791">
        <v>0</v>
      </c>
      <c r="Z709" s="2791">
        <v>0</v>
      </c>
      <c r="AA709" s="2791">
        <v>0</v>
      </c>
      <c r="AB709" s="398">
        <f>AA709</f>
        <v>0</v>
      </c>
      <c r="AC709" s="406">
        <f t="shared" ref="AC709:AC721" si="1701">AB709</f>
        <v>0</v>
      </c>
      <c r="AD709" s="406">
        <f t="shared" ref="AD709:AD721" si="1702">AC709</f>
        <v>0</v>
      </c>
      <c r="AE709" s="3665">
        <v>0</v>
      </c>
      <c r="AF709" s="820">
        <f t="shared" ref="AF709:AG721" si="1703">AE709</f>
        <v>0</v>
      </c>
      <c r="AG709" s="820">
        <f t="shared" si="1703"/>
        <v>0</v>
      </c>
      <c r="AH709" s="406">
        <f t="shared" ref="AH709:AH710" si="1704">AG709</f>
        <v>0</v>
      </c>
      <c r="AI709" s="406">
        <f t="shared" ref="AI709:AI710" si="1705">AH709</f>
        <v>0</v>
      </c>
      <c r="AJ709" s="406">
        <f t="shared" ref="AJ709:AJ710" si="1706">AI709</f>
        <v>0</v>
      </c>
      <c r="AK709" s="820">
        <f t="shared" ref="AK709:AK710" si="1707">AJ709</f>
        <v>0</v>
      </c>
      <c r="AL709" s="820">
        <f t="shared" ref="AL709:AL710" si="1708">AK709</f>
        <v>0</v>
      </c>
      <c r="AM709" s="398">
        <f t="shared" ref="AM709:AN721" si="1709">AL709</f>
        <v>0</v>
      </c>
      <c r="AN709" s="398">
        <f t="shared" si="1709"/>
        <v>0</v>
      </c>
    </row>
    <row r="710" spans="1:40">
      <c r="A710" s="130" t="s">
        <v>2273</v>
      </c>
      <c r="B710" s="1030">
        <v>0</v>
      </c>
      <c r="C710" s="508">
        <v>0</v>
      </c>
      <c r="D710" s="1030">
        <v>0</v>
      </c>
      <c r="E710" s="912">
        <v>0</v>
      </c>
      <c r="F710" s="912">
        <v>0</v>
      </c>
      <c r="G710" s="1041">
        <v>0</v>
      </c>
      <c r="H710" s="820">
        <f t="shared" ref="H710:H721" si="1710">G710</f>
        <v>0</v>
      </c>
      <c r="I710" s="1030">
        <v>0</v>
      </c>
      <c r="J710" s="912">
        <v>0</v>
      </c>
      <c r="K710" s="912">
        <v>0</v>
      </c>
      <c r="L710" s="1041">
        <v>0</v>
      </c>
      <c r="M710" s="820">
        <f t="shared" ref="M710:M721" si="1711">L710</f>
        <v>0</v>
      </c>
      <c r="N710" s="1030">
        <v>0</v>
      </c>
      <c r="O710" s="912">
        <v>0</v>
      </c>
      <c r="P710" s="912">
        <v>0</v>
      </c>
      <c r="Q710" s="1041">
        <v>0</v>
      </c>
      <c r="R710" s="820">
        <f t="shared" si="1700"/>
        <v>0</v>
      </c>
      <c r="S710" s="1030">
        <v>0</v>
      </c>
      <c r="T710" s="912">
        <v>0</v>
      </c>
      <c r="U710" s="912">
        <v>0</v>
      </c>
      <c r="V710" s="912">
        <v>0</v>
      </c>
      <c r="W710" s="398">
        <f>V710</f>
        <v>0</v>
      </c>
      <c r="X710" s="2787">
        <v>0</v>
      </c>
      <c r="Y710" s="2791">
        <v>0</v>
      </c>
      <c r="Z710" s="2791">
        <v>0</v>
      </c>
      <c r="AA710" s="2791">
        <v>0</v>
      </c>
      <c r="AB710" s="398">
        <f>AA710</f>
        <v>0</v>
      </c>
      <c r="AC710" s="406">
        <f t="shared" si="1701"/>
        <v>0</v>
      </c>
      <c r="AD710" s="406">
        <f t="shared" si="1702"/>
        <v>0</v>
      </c>
      <c r="AE710" s="3665">
        <v>164</v>
      </c>
      <c r="AF710" s="3665">
        <v>164</v>
      </c>
      <c r="AG710" s="398">
        <f t="shared" si="1703"/>
        <v>164</v>
      </c>
      <c r="AH710" s="406">
        <f t="shared" si="1704"/>
        <v>164</v>
      </c>
      <c r="AI710" s="406">
        <f t="shared" si="1705"/>
        <v>164</v>
      </c>
      <c r="AJ710" s="406">
        <f t="shared" si="1706"/>
        <v>164</v>
      </c>
      <c r="AK710" s="820">
        <f t="shared" si="1707"/>
        <v>164</v>
      </c>
      <c r="AL710" s="820">
        <f t="shared" si="1708"/>
        <v>164</v>
      </c>
      <c r="AM710" s="398">
        <f t="shared" si="1709"/>
        <v>164</v>
      </c>
      <c r="AN710" s="398">
        <f t="shared" si="1709"/>
        <v>164</v>
      </c>
    </row>
    <row r="711" spans="1:40">
      <c r="A711" s="1828" t="s">
        <v>3022</v>
      </c>
      <c r="B711" s="1030"/>
      <c r="C711" s="508"/>
      <c r="D711" s="1030"/>
      <c r="E711" s="912"/>
      <c r="F711" s="912"/>
      <c r="G711" s="1041"/>
      <c r="H711" s="820"/>
      <c r="I711" s="1030"/>
      <c r="J711" s="912"/>
      <c r="K711" s="912"/>
      <c r="L711" s="1041"/>
      <c r="M711" s="820"/>
      <c r="N711" s="1030"/>
      <c r="O711" s="912"/>
      <c r="P711" s="912"/>
      <c r="Q711" s="1041"/>
      <c r="R711" s="820"/>
      <c r="S711" s="1030"/>
      <c r="T711" s="912"/>
      <c r="U711" s="912"/>
      <c r="V711" s="912"/>
      <c r="W711" s="398"/>
      <c r="X711" s="2791"/>
      <c r="Y711" s="2791"/>
      <c r="Z711" s="2791"/>
      <c r="AA711" s="2791">
        <v>0</v>
      </c>
      <c r="AB711" s="398">
        <f t="shared" ref="AB711:AG711" si="1712">+AA711</f>
        <v>0</v>
      </c>
      <c r="AC711" s="2944">
        <f t="shared" si="1712"/>
        <v>0</v>
      </c>
      <c r="AD711" s="406">
        <f t="shared" si="1712"/>
        <v>0</v>
      </c>
      <c r="AE711" s="3665">
        <v>0</v>
      </c>
      <c r="AF711" s="406">
        <f t="shared" si="1712"/>
        <v>0</v>
      </c>
      <c r="AG711" s="398">
        <f t="shared" si="1712"/>
        <v>0</v>
      </c>
      <c r="AH711" s="406">
        <f t="shared" ref="AH711" si="1713">+AG711</f>
        <v>0</v>
      </c>
      <c r="AI711" s="406">
        <f t="shared" ref="AI711" si="1714">+AH711</f>
        <v>0</v>
      </c>
      <c r="AJ711" s="406">
        <f t="shared" ref="AJ711" si="1715">+AI711</f>
        <v>0</v>
      </c>
      <c r="AK711" s="820">
        <f t="shared" ref="AK711" si="1716">+AJ711</f>
        <v>0</v>
      </c>
      <c r="AL711" s="398">
        <f t="shared" ref="AL711" si="1717">+AK711</f>
        <v>0</v>
      </c>
      <c r="AM711" s="398">
        <f t="shared" si="1709"/>
        <v>0</v>
      </c>
      <c r="AN711" s="398">
        <f t="shared" si="1709"/>
        <v>0</v>
      </c>
    </row>
    <row r="712" spans="1:40">
      <c r="A712" s="130" t="s">
        <v>2280</v>
      </c>
      <c r="B712" s="1030">
        <v>3943</v>
      </c>
      <c r="C712" s="508">
        <v>3942</v>
      </c>
      <c r="D712" s="1030">
        <v>3942</v>
      </c>
      <c r="E712" s="912">
        <v>3944</v>
      </c>
      <c r="F712" s="912">
        <v>3944</v>
      </c>
      <c r="G712" s="1041">
        <v>3944</v>
      </c>
      <c r="H712" s="820">
        <f t="shared" si="1710"/>
        <v>3944</v>
      </c>
      <c r="I712" s="1030">
        <v>3944</v>
      </c>
      <c r="J712" s="912">
        <v>3953</v>
      </c>
      <c r="K712" s="912">
        <v>3957</v>
      </c>
      <c r="L712" s="1041">
        <v>3957</v>
      </c>
      <c r="M712" s="820">
        <f t="shared" si="1711"/>
        <v>3957</v>
      </c>
      <c r="N712" s="1030">
        <v>3954</v>
      </c>
      <c r="O712" s="912">
        <v>3952</v>
      </c>
      <c r="P712" s="912">
        <v>3952</v>
      </c>
      <c r="Q712" s="1041">
        <v>3954</v>
      </c>
      <c r="R712" s="820">
        <f t="shared" si="1700"/>
        <v>3954</v>
      </c>
      <c r="S712" s="1030">
        <v>3959</v>
      </c>
      <c r="T712" s="912">
        <v>3959</v>
      </c>
      <c r="U712" s="912">
        <v>3381</v>
      </c>
      <c r="V712" s="912">
        <v>3380</v>
      </c>
      <c r="W712" s="398">
        <f>V712</f>
        <v>3380</v>
      </c>
      <c r="X712" s="2787">
        <v>3391</v>
      </c>
      <c r="Y712" s="2791">
        <v>3391</v>
      </c>
      <c r="Z712" s="2791">
        <v>3391</v>
      </c>
      <c r="AA712" s="2791">
        <v>3403</v>
      </c>
      <c r="AB712" s="398">
        <f t="shared" ref="AB712:AB721" si="1718">AA712</f>
        <v>3403</v>
      </c>
      <c r="AC712" s="406">
        <f t="shared" si="1701"/>
        <v>3403</v>
      </c>
      <c r="AD712" s="406">
        <f t="shared" si="1702"/>
        <v>3403</v>
      </c>
      <c r="AE712" s="3665">
        <v>3412</v>
      </c>
      <c r="AF712" s="3665">
        <v>3412</v>
      </c>
      <c r="AG712" s="398">
        <f t="shared" si="1703"/>
        <v>3412</v>
      </c>
      <c r="AH712" s="406">
        <f t="shared" ref="AH712:AH718" si="1719">AG712</f>
        <v>3412</v>
      </c>
      <c r="AI712" s="406">
        <f t="shared" ref="AI712:AI718" si="1720">AH712</f>
        <v>3412</v>
      </c>
      <c r="AJ712" s="406">
        <f t="shared" ref="AJ712:AJ718" si="1721">AI712</f>
        <v>3412</v>
      </c>
      <c r="AK712" s="820">
        <f t="shared" ref="AK712:AK718" si="1722">AJ712</f>
        <v>3412</v>
      </c>
      <c r="AL712" s="820">
        <f t="shared" ref="AL712" si="1723">AK712</f>
        <v>3412</v>
      </c>
      <c r="AM712" s="398">
        <f t="shared" si="1709"/>
        <v>3412</v>
      </c>
      <c r="AN712" s="398">
        <f t="shared" si="1709"/>
        <v>3412</v>
      </c>
    </row>
    <row r="713" spans="1:40">
      <c r="A713" s="130" t="str">
        <f>A$13</f>
        <v xml:space="preserve">Curio - A Collection by Hilton </v>
      </c>
      <c r="B713" s="1030"/>
      <c r="C713" s="508"/>
      <c r="D713" s="1030"/>
      <c r="E713" s="912"/>
      <c r="F713" s="912"/>
      <c r="G713" s="1041"/>
      <c r="H713" s="820"/>
      <c r="I713" s="1030"/>
      <c r="J713" s="912"/>
      <c r="K713" s="912"/>
      <c r="L713" s="1041"/>
      <c r="M713" s="820"/>
      <c r="N713" s="1030"/>
      <c r="O713" s="912"/>
      <c r="P713" s="912"/>
      <c r="Q713" s="1041"/>
      <c r="R713" s="820"/>
      <c r="S713" s="1030">
        <v>0</v>
      </c>
      <c r="T713" s="912">
        <v>0</v>
      </c>
      <c r="U713" s="912">
        <v>0</v>
      </c>
      <c r="V713" s="912">
        <v>0</v>
      </c>
      <c r="W713" s="398">
        <f>V713</f>
        <v>0</v>
      </c>
      <c r="X713" s="2787">
        <v>0</v>
      </c>
      <c r="Y713" s="2791">
        <v>0</v>
      </c>
      <c r="Z713" s="2791">
        <v>0</v>
      </c>
      <c r="AA713" s="2791">
        <v>0</v>
      </c>
      <c r="AB713" s="398">
        <f t="shared" si="1718"/>
        <v>0</v>
      </c>
      <c r="AC713" s="406">
        <f t="shared" si="1701"/>
        <v>0</v>
      </c>
      <c r="AD713" s="406">
        <f t="shared" si="1702"/>
        <v>0</v>
      </c>
      <c r="AE713" s="3665">
        <v>0</v>
      </c>
      <c r="AF713" s="820">
        <f t="shared" si="1703"/>
        <v>0</v>
      </c>
      <c r="AG713" s="820">
        <f>AF713</f>
        <v>0</v>
      </c>
      <c r="AH713" s="406">
        <f t="shared" si="1719"/>
        <v>0</v>
      </c>
      <c r="AI713" s="406">
        <f t="shared" si="1720"/>
        <v>0</v>
      </c>
      <c r="AJ713" s="406">
        <f t="shared" si="1721"/>
        <v>0</v>
      </c>
      <c r="AK713" s="820">
        <f t="shared" si="1722"/>
        <v>0</v>
      </c>
      <c r="AL713" s="820">
        <f>AK713</f>
        <v>0</v>
      </c>
      <c r="AM713" s="398">
        <f>AL713</f>
        <v>0</v>
      </c>
      <c r="AN713" s="398">
        <f>AM713</f>
        <v>0</v>
      </c>
    </row>
    <row r="714" spans="1:40">
      <c r="A714" s="130" t="s">
        <v>2274</v>
      </c>
      <c r="B714" s="1030">
        <v>0</v>
      </c>
      <c r="C714" s="508">
        <v>0</v>
      </c>
      <c r="D714" s="1030">
        <v>0</v>
      </c>
      <c r="E714" s="912">
        <v>0</v>
      </c>
      <c r="F714" s="912">
        <v>0</v>
      </c>
      <c r="G714" s="1041">
        <v>0</v>
      </c>
      <c r="H714" s="820">
        <f t="shared" si="1710"/>
        <v>0</v>
      </c>
      <c r="I714" s="1030">
        <v>0</v>
      </c>
      <c r="J714" s="912">
        <v>0</v>
      </c>
      <c r="K714" s="912">
        <v>0</v>
      </c>
      <c r="L714" s="1041">
        <v>0</v>
      </c>
      <c r="M714" s="820">
        <f t="shared" si="1711"/>
        <v>0</v>
      </c>
      <c r="N714" s="1030">
        <v>0</v>
      </c>
      <c r="O714" s="912">
        <v>0</v>
      </c>
      <c r="P714" s="912">
        <v>0</v>
      </c>
      <c r="Q714" s="1041">
        <v>0</v>
      </c>
      <c r="R714" s="820">
        <f t="shared" si="1700"/>
        <v>0</v>
      </c>
      <c r="S714" s="1030">
        <v>0</v>
      </c>
      <c r="T714" s="912">
        <v>0</v>
      </c>
      <c r="U714" s="912">
        <v>0</v>
      </c>
      <c r="V714" s="912">
        <v>0</v>
      </c>
      <c r="W714" s="398">
        <f t="shared" ref="W714:W721" si="1724">V714</f>
        <v>0</v>
      </c>
      <c r="X714" s="2787">
        <v>0</v>
      </c>
      <c r="Y714" s="2791">
        <v>0</v>
      </c>
      <c r="Z714" s="2791">
        <v>0</v>
      </c>
      <c r="AA714" s="2791">
        <v>0</v>
      </c>
      <c r="AB714" s="398">
        <f t="shared" si="1718"/>
        <v>0</v>
      </c>
      <c r="AC714" s="406">
        <f t="shared" si="1701"/>
        <v>0</v>
      </c>
      <c r="AD714" s="406">
        <f t="shared" si="1702"/>
        <v>0</v>
      </c>
      <c r="AE714" s="3665">
        <v>0</v>
      </c>
      <c r="AF714" s="820">
        <f t="shared" si="1703"/>
        <v>0</v>
      </c>
      <c r="AG714" s="820">
        <f t="shared" si="1703"/>
        <v>0</v>
      </c>
      <c r="AH714" s="406">
        <f t="shared" si="1719"/>
        <v>0</v>
      </c>
      <c r="AI714" s="406">
        <f t="shared" si="1720"/>
        <v>0</v>
      </c>
      <c r="AJ714" s="406">
        <f t="shared" si="1721"/>
        <v>0</v>
      </c>
      <c r="AK714" s="820">
        <f t="shared" si="1722"/>
        <v>0</v>
      </c>
      <c r="AL714" s="820">
        <f t="shared" ref="AL714:AL718" si="1725">AK714</f>
        <v>0</v>
      </c>
      <c r="AM714" s="398">
        <f t="shared" si="1709"/>
        <v>0</v>
      </c>
      <c r="AN714" s="398">
        <f t="shared" si="1709"/>
        <v>0</v>
      </c>
    </row>
    <row r="715" spans="1:40">
      <c r="A715" s="130" t="s">
        <v>2279</v>
      </c>
      <c r="B715" s="1030">
        <v>0</v>
      </c>
      <c r="C715" s="508">
        <v>0</v>
      </c>
      <c r="D715" s="1030">
        <v>0</v>
      </c>
      <c r="E715" s="912">
        <v>0</v>
      </c>
      <c r="F715" s="912">
        <v>0</v>
      </c>
      <c r="G715" s="1041">
        <v>0</v>
      </c>
      <c r="H715" s="820">
        <f t="shared" si="1710"/>
        <v>0</v>
      </c>
      <c r="I715" s="1030">
        <v>0</v>
      </c>
      <c r="J715" s="912">
        <v>0</v>
      </c>
      <c r="K715" s="912">
        <v>0</v>
      </c>
      <c r="L715" s="1041">
        <v>0</v>
      </c>
      <c r="M715" s="820">
        <f t="shared" si="1711"/>
        <v>0</v>
      </c>
      <c r="N715" s="1030">
        <v>0</v>
      </c>
      <c r="O715" s="912">
        <v>0</v>
      </c>
      <c r="P715" s="912">
        <v>0</v>
      </c>
      <c r="Q715" s="1041">
        <v>0</v>
      </c>
      <c r="R715" s="820">
        <f t="shared" si="1700"/>
        <v>0</v>
      </c>
      <c r="S715" s="1030">
        <v>0</v>
      </c>
      <c r="T715" s="912">
        <v>0</v>
      </c>
      <c r="U715" s="912">
        <v>0</v>
      </c>
      <c r="V715" s="912">
        <v>0</v>
      </c>
      <c r="W715" s="398">
        <f t="shared" si="1724"/>
        <v>0</v>
      </c>
      <c r="X715" s="2787">
        <v>0</v>
      </c>
      <c r="Y715" s="2791">
        <v>0</v>
      </c>
      <c r="Z715" s="2791">
        <v>0</v>
      </c>
      <c r="AA715" s="2791">
        <v>0</v>
      </c>
      <c r="AB715" s="398">
        <f t="shared" si="1718"/>
        <v>0</v>
      </c>
      <c r="AC715" s="406">
        <f t="shared" si="1701"/>
        <v>0</v>
      </c>
      <c r="AD715" s="406">
        <f t="shared" si="1702"/>
        <v>0</v>
      </c>
      <c r="AE715" s="3665">
        <v>0</v>
      </c>
      <c r="AF715" s="820">
        <f t="shared" si="1703"/>
        <v>0</v>
      </c>
      <c r="AG715" s="820">
        <f t="shared" si="1703"/>
        <v>0</v>
      </c>
      <c r="AH715" s="406">
        <f t="shared" si="1719"/>
        <v>0</v>
      </c>
      <c r="AI715" s="406">
        <f t="shared" si="1720"/>
        <v>0</v>
      </c>
      <c r="AJ715" s="406">
        <f t="shared" si="1721"/>
        <v>0</v>
      </c>
      <c r="AK715" s="820">
        <f t="shared" si="1722"/>
        <v>0</v>
      </c>
      <c r="AL715" s="820">
        <f t="shared" si="1725"/>
        <v>0</v>
      </c>
      <c r="AM715" s="398">
        <f t="shared" si="1709"/>
        <v>0</v>
      </c>
      <c r="AN715" s="398">
        <f t="shared" si="1709"/>
        <v>0</v>
      </c>
    </row>
    <row r="716" spans="1:40">
      <c r="A716" s="130" t="s">
        <v>2275</v>
      </c>
      <c r="B716" s="1030">
        <v>0</v>
      </c>
      <c r="C716" s="508">
        <v>0</v>
      </c>
      <c r="D716" s="1030">
        <v>0</v>
      </c>
      <c r="E716" s="912">
        <v>0</v>
      </c>
      <c r="F716" s="912">
        <v>0</v>
      </c>
      <c r="G716" s="1041">
        <v>0</v>
      </c>
      <c r="H716" s="820">
        <f t="shared" si="1710"/>
        <v>0</v>
      </c>
      <c r="I716" s="1030">
        <v>0</v>
      </c>
      <c r="J716" s="912">
        <v>0</v>
      </c>
      <c r="K716" s="912">
        <v>0</v>
      </c>
      <c r="L716" s="1041">
        <v>0</v>
      </c>
      <c r="M716" s="820">
        <f t="shared" si="1711"/>
        <v>0</v>
      </c>
      <c r="N716" s="1030">
        <v>0</v>
      </c>
      <c r="O716" s="912">
        <v>0</v>
      </c>
      <c r="P716" s="912">
        <v>0</v>
      </c>
      <c r="Q716" s="1041">
        <v>0</v>
      </c>
      <c r="R716" s="820">
        <f t="shared" si="1700"/>
        <v>0</v>
      </c>
      <c r="S716" s="1030">
        <v>0</v>
      </c>
      <c r="T716" s="912">
        <v>0</v>
      </c>
      <c r="U716" s="912">
        <v>0</v>
      </c>
      <c r="V716" s="912">
        <v>0</v>
      </c>
      <c r="W716" s="398">
        <f t="shared" si="1724"/>
        <v>0</v>
      </c>
      <c r="X716" s="2787">
        <v>0</v>
      </c>
      <c r="Y716" s="2791">
        <v>0</v>
      </c>
      <c r="Z716" s="2791">
        <v>0</v>
      </c>
      <c r="AA716" s="2791">
        <v>0</v>
      </c>
      <c r="AB716" s="398">
        <f t="shared" si="1718"/>
        <v>0</v>
      </c>
      <c r="AC716" s="406">
        <f t="shared" si="1701"/>
        <v>0</v>
      </c>
      <c r="AD716" s="406">
        <f t="shared" si="1702"/>
        <v>0</v>
      </c>
      <c r="AE716" s="3665">
        <v>0</v>
      </c>
      <c r="AF716" s="820">
        <f t="shared" si="1703"/>
        <v>0</v>
      </c>
      <c r="AG716" s="820">
        <f t="shared" si="1703"/>
        <v>0</v>
      </c>
      <c r="AH716" s="406">
        <f t="shared" si="1719"/>
        <v>0</v>
      </c>
      <c r="AI716" s="406">
        <f t="shared" si="1720"/>
        <v>0</v>
      </c>
      <c r="AJ716" s="406">
        <f t="shared" si="1721"/>
        <v>0</v>
      </c>
      <c r="AK716" s="820">
        <f t="shared" si="1722"/>
        <v>0</v>
      </c>
      <c r="AL716" s="820">
        <f t="shared" si="1725"/>
        <v>0</v>
      </c>
      <c r="AM716" s="398">
        <f t="shared" si="1709"/>
        <v>0</v>
      </c>
      <c r="AN716" s="398">
        <f t="shared" si="1709"/>
        <v>0</v>
      </c>
    </row>
    <row r="717" spans="1:40">
      <c r="A717" s="130" t="s">
        <v>2277</v>
      </c>
      <c r="B717" s="1030">
        <v>0</v>
      </c>
      <c r="C717" s="508">
        <v>0</v>
      </c>
      <c r="D717" s="1030">
        <v>0</v>
      </c>
      <c r="E717" s="912">
        <v>0</v>
      </c>
      <c r="F717" s="912">
        <v>0</v>
      </c>
      <c r="G717" s="1041">
        <v>0</v>
      </c>
      <c r="H717" s="820">
        <f t="shared" si="1710"/>
        <v>0</v>
      </c>
      <c r="I717" s="1030">
        <v>0</v>
      </c>
      <c r="J717" s="912">
        <v>0</v>
      </c>
      <c r="K717" s="912">
        <v>0</v>
      </c>
      <c r="L717" s="1041">
        <v>0</v>
      </c>
      <c r="M717" s="820">
        <f t="shared" si="1711"/>
        <v>0</v>
      </c>
      <c r="N717" s="1030">
        <v>0</v>
      </c>
      <c r="O717" s="912">
        <v>0</v>
      </c>
      <c r="P717" s="912">
        <v>0</v>
      </c>
      <c r="Q717" s="1041">
        <v>0</v>
      </c>
      <c r="R717" s="820">
        <f t="shared" si="1700"/>
        <v>0</v>
      </c>
      <c r="S717" s="1030">
        <v>0</v>
      </c>
      <c r="T717" s="912">
        <v>0</v>
      </c>
      <c r="U717" s="912">
        <v>0</v>
      </c>
      <c r="V717" s="912">
        <v>0</v>
      </c>
      <c r="W717" s="398">
        <f t="shared" si="1724"/>
        <v>0</v>
      </c>
      <c r="X717" s="2787">
        <v>0</v>
      </c>
      <c r="Y717" s="2791">
        <v>0</v>
      </c>
      <c r="Z717" s="2791">
        <v>0</v>
      </c>
      <c r="AA717" s="2791">
        <v>0</v>
      </c>
      <c r="AB717" s="398">
        <f t="shared" si="1718"/>
        <v>0</v>
      </c>
      <c r="AC717" s="406">
        <f t="shared" si="1701"/>
        <v>0</v>
      </c>
      <c r="AD717" s="406">
        <f t="shared" si="1702"/>
        <v>0</v>
      </c>
      <c r="AE717" s="3665">
        <v>0</v>
      </c>
      <c r="AF717" s="820">
        <f t="shared" si="1703"/>
        <v>0</v>
      </c>
      <c r="AG717" s="820">
        <f t="shared" si="1703"/>
        <v>0</v>
      </c>
      <c r="AH717" s="406">
        <f t="shared" si="1719"/>
        <v>0</v>
      </c>
      <c r="AI717" s="406">
        <f t="shared" si="1720"/>
        <v>0</v>
      </c>
      <c r="AJ717" s="406">
        <f t="shared" si="1721"/>
        <v>0</v>
      </c>
      <c r="AK717" s="820">
        <f t="shared" si="1722"/>
        <v>0</v>
      </c>
      <c r="AL717" s="820">
        <f t="shared" si="1725"/>
        <v>0</v>
      </c>
      <c r="AM717" s="398">
        <f t="shared" si="1709"/>
        <v>0</v>
      </c>
      <c r="AN717" s="398">
        <f t="shared" si="1709"/>
        <v>0</v>
      </c>
    </row>
    <row r="718" spans="1:40">
      <c r="A718" s="130" t="s">
        <v>2278</v>
      </c>
      <c r="B718" s="1030">
        <v>0</v>
      </c>
      <c r="C718" s="508">
        <v>0</v>
      </c>
      <c r="D718" s="1030">
        <v>0</v>
      </c>
      <c r="E718" s="912">
        <v>0</v>
      </c>
      <c r="F718" s="912">
        <v>0</v>
      </c>
      <c r="G718" s="1041">
        <v>0</v>
      </c>
      <c r="H718" s="820">
        <f t="shared" si="1710"/>
        <v>0</v>
      </c>
      <c r="I718" s="1030">
        <v>0</v>
      </c>
      <c r="J718" s="912">
        <v>0</v>
      </c>
      <c r="K718" s="912">
        <v>0</v>
      </c>
      <c r="L718" s="1041">
        <v>0</v>
      </c>
      <c r="M718" s="820">
        <f t="shared" si="1711"/>
        <v>0</v>
      </c>
      <c r="N718" s="1030">
        <v>0</v>
      </c>
      <c r="O718" s="912">
        <v>0</v>
      </c>
      <c r="P718" s="912">
        <v>0</v>
      </c>
      <c r="Q718" s="1041">
        <v>0</v>
      </c>
      <c r="R718" s="820">
        <f t="shared" si="1700"/>
        <v>0</v>
      </c>
      <c r="S718" s="1030">
        <v>0</v>
      </c>
      <c r="T718" s="912">
        <v>0</v>
      </c>
      <c r="U718" s="912">
        <v>0</v>
      </c>
      <c r="V718" s="912">
        <v>0</v>
      </c>
      <c r="W718" s="398">
        <f t="shared" si="1724"/>
        <v>0</v>
      </c>
      <c r="X718" s="2787">
        <v>0</v>
      </c>
      <c r="Y718" s="2791">
        <v>0</v>
      </c>
      <c r="Z718" s="2791">
        <v>0</v>
      </c>
      <c r="AA718" s="2791">
        <v>0</v>
      </c>
      <c r="AB718" s="398">
        <f t="shared" si="1718"/>
        <v>0</v>
      </c>
      <c r="AC718" s="406">
        <f t="shared" si="1701"/>
        <v>0</v>
      </c>
      <c r="AD718" s="406">
        <f t="shared" si="1702"/>
        <v>0</v>
      </c>
      <c r="AE718" s="3665">
        <v>0</v>
      </c>
      <c r="AF718" s="820">
        <f t="shared" si="1703"/>
        <v>0</v>
      </c>
      <c r="AG718" s="820">
        <f t="shared" si="1703"/>
        <v>0</v>
      </c>
      <c r="AH718" s="406">
        <f t="shared" si="1719"/>
        <v>0</v>
      </c>
      <c r="AI718" s="406">
        <f t="shared" si="1720"/>
        <v>0</v>
      </c>
      <c r="AJ718" s="406">
        <f t="shared" si="1721"/>
        <v>0</v>
      </c>
      <c r="AK718" s="820">
        <f t="shared" si="1722"/>
        <v>0</v>
      </c>
      <c r="AL718" s="820">
        <f t="shared" si="1725"/>
        <v>0</v>
      </c>
      <c r="AM718" s="820">
        <f t="shared" si="1709"/>
        <v>0</v>
      </c>
      <c r="AN718" s="820">
        <f t="shared" si="1709"/>
        <v>0</v>
      </c>
    </row>
    <row r="719" spans="1:40">
      <c r="A719" s="130" t="str">
        <f>$A$90</f>
        <v>Tru by Hilton</v>
      </c>
      <c r="B719" s="1030"/>
      <c r="C719" s="508"/>
      <c r="D719" s="1030"/>
      <c r="E719" s="912"/>
      <c r="F719" s="912"/>
      <c r="G719" s="1041"/>
      <c r="H719" s="820"/>
      <c r="I719" s="1030"/>
      <c r="J719" s="912"/>
      <c r="K719" s="912"/>
      <c r="L719" s="1041"/>
      <c r="M719" s="820"/>
      <c r="N719" s="1030"/>
      <c r="O719" s="912"/>
      <c r="P719" s="912"/>
      <c r="Q719" s="1041"/>
      <c r="R719" s="820"/>
      <c r="S719" s="1030"/>
      <c r="T719" s="912"/>
      <c r="U719" s="912"/>
      <c r="V719" s="912"/>
      <c r="W719" s="398"/>
      <c r="X719" s="2791"/>
      <c r="Y719" s="2791"/>
      <c r="Z719" s="2791"/>
      <c r="AA719" s="2791"/>
      <c r="AB719" s="398"/>
      <c r="AC719" s="406"/>
      <c r="AD719" s="406"/>
      <c r="AE719" s="3665">
        <v>0</v>
      </c>
      <c r="AF719" s="820"/>
      <c r="AG719" s="820"/>
      <c r="AH719" s="406"/>
      <c r="AI719" s="406"/>
      <c r="AJ719" s="406"/>
      <c r="AK719" s="820"/>
      <c r="AL719" s="820"/>
      <c r="AM719" s="398"/>
      <c r="AN719" s="398"/>
    </row>
    <row r="720" spans="1:40">
      <c r="A720" s="130" t="str">
        <f>$A$91</f>
        <v>Tapestry Collection by Hilton</v>
      </c>
      <c r="B720" s="1030"/>
      <c r="C720" s="508"/>
      <c r="D720" s="1030"/>
      <c r="E720" s="912"/>
      <c r="F720" s="912"/>
      <c r="G720" s="1041"/>
      <c r="H720" s="820"/>
      <c r="I720" s="1030"/>
      <c r="J720" s="912"/>
      <c r="K720" s="912"/>
      <c r="L720" s="1041"/>
      <c r="M720" s="820"/>
      <c r="N720" s="1030"/>
      <c r="O720" s="912"/>
      <c r="P720" s="912"/>
      <c r="Q720" s="1041"/>
      <c r="R720" s="820"/>
      <c r="S720" s="1030"/>
      <c r="T720" s="912"/>
      <c r="U720" s="912"/>
      <c r="V720" s="912"/>
      <c r="W720" s="398"/>
      <c r="X720" s="2791"/>
      <c r="Y720" s="2791"/>
      <c r="Z720" s="2791"/>
      <c r="AA720" s="2791"/>
      <c r="AB720" s="398"/>
      <c r="AC720" s="406"/>
      <c r="AD720" s="406"/>
      <c r="AE720" s="3665">
        <v>0</v>
      </c>
      <c r="AF720" s="820"/>
      <c r="AG720" s="820"/>
      <c r="AH720" s="406"/>
      <c r="AI720" s="406"/>
      <c r="AJ720" s="406"/>
      <c r="AK720" s="820"/>
      <c r="AL720" s="820"/>
      <c r="AM720" s="398"/>
      <c r="AN720" s="398"/>
    </row>
    <row r="721" spans="1:40" s="5" customFormat="1">
      <c r="A721" s="402" t="s">
        <v>2276</v>
      </c>
      <c r="B721" s="1031">
        <v>0</v>
      </c>
      <c r="C721" s="1029">
        <v>0</v>
      </c>
      <c r="D721" s="1031">
        <v>0</v>
      </c>
      <c r="E721" s="1039">
        <v>0</v>
      </c>
      <c r="F721" s="1039">
        <v>0</v>
      </c>
      <c r="G721" s="1042">
        <v>0</v>
      </c>
      <c r="H721" s="700">
        <f t="shared" si="1710"/>
        <v>0</v>
      </c>
      <c r="I721" s="1031">
        <v>0</v>
      </c>
      <c r="J721" s="1039">
        <v>0</v>
      </c>
      <c r="K721" s="1039">
        <v>0</v>
      </c>
      <c r="L721" s="1042">
        <v>0</v>
      </c>
      <c r="M721" s="700">
        <f t="shared" si="1711"/>
        <v>0</v>
      </c>
      <c r="N721" s="1031">
        <v>0</v>
      </c>
      <c r="O721" s="1039">
        <v>0</v>
      </c>
      <c r="P721" s="1039">
        <v>0</v>
      </c>
      <c r="Q721" s="1042">
        <v>0</v>
      </c>
      <c r="R721" s="700">
        <f t="shared" si="1700"/>
        <v>0</v>
      </c>
      <c r="S721" s="1031">
        <v>0</v>
      </c>
      <c r="T721" s="1039">
        <v>0</v>
      </c>
      <c r="U721" s="1039">
        <v>0</v>
      </c>
      <c r="V721" s="1039">
        <v>0</v>
      </c>
      <c r="W721" s="403">
        <f t="shared" si="1724"/>
        <v>0</v>
      </c>
      <c r="X721" s="2788">
        <v>0</v>
      </c>
      <c r="Y721" s="2839">
        <v>0</v>
      </c>
      <c r="Z721" s="2839">
        <v>0</v>
      </c>
      <c r="AA721" s="2839">
        <v>0</v>
      </c>
      <c r="AB721" s="403">
        <f t="shared" si="1718"/>
        <v>0</v>
      </c>
      <c r="AC721" s="2392">
        <f t="shared" si="1701"/>
        <v>0</v>
      </c>
      <c r="AD721" s="2392">
        <f t="shared" si="1702"/>
        <v>0</v>
      </c>
      <c r="AE721" s="4002">
        <v>0</v>
      </c>
      <c r="AF721" s="700">
        <f t="shared" si="1703"/>
        <v>0</v>
      </c>
      <c r="AG721" s="700">
        <f t="shared" si="1703"/>
        <v>0</v>
      </c>
      <c r="AH721" s="2392">
        <f t="shared" ref="AH721" si="1726">AG721</f>
        <v>0</v>
      </c>
      <c r="AI721" s="2392">
        <f t="shared" ref="AI721" si="1727">AH721</f>
        <v>0</v>
      </c>
      <c r="AJ721" s="2392">
        <f t="shared" ref="AJ721" si="1728">AI721</f>
        <v>0</v>
      </c>
      <c r="AK721" s="700">
        <f t="shared" ref="AK721" si="1729">AJ721</f>
        <v>0</v>
      </c>
      <c r="AL721" s="700">
        <f t="shared" ref="AL721" si="1730">AK721</f>
        <v>0</v>
      </c>
      <c r="AM721" s="700">
        <f t="shared" si="1709"/>
        <v>0</v>
      </c>
      <c r="AN721" s="700">
        <f t="shared" si="1709"/>
        <v>0</v>
      </c>
    </row>
    <row r="722" spans="1:40">
      <c r="A722" s="482" t="s">
        <v>1687</v>
      </c>
      <c r="B722" s="1032">
        <f t="shared" ref="B722:R722" si="1731">SUM(B709:B721)</f>
        <v>3943</v>
      </c>
      <c r="C722" s="400">
        <f t="shared" si="1731"/>
        <v>3942</v>
      </c>
      <c r="D722" s="1032">
        <f t="shared" si="1731"/>
        <v>3942</v>
      </c>
      <c r="E722" s="405">
        <f t="shared" si="1731"/>
        <v>3944</v>
      </c>
      <c r="F722" s="405">
        <f t="shared" si="1731"/>
        <v>3944</v>
      </c>
      <c r="G722" s="821">
        <f t="shared" si="1731"/>
        <v>3944</v>
      </c>
      <c r="H722" s="821">
        <f t="shared" si="1731"/>
        <v>3944</v>
      </c>
      <c r="I722" s="1032">
        <f t="shared" si="1731"/>
        <v>3944</v>
      </c>
      <c r="J722" s="405">
        <f t="shared" si="1731"/>
        <v>3953</v>
      </c>
      <c r="K722" s="405">
        <f t="shared" si="1731"/>
        <v>3957</v>
      </c>
      <c r="L722" s="821">
        <f t="shared" si="1731"/>
        <v>3957</v>
      </c>
      <c r="M722" s="821">
        <f t="shared" si="1731"/>
        <v>3957</v>
      </c>
      <c r="N722" s="1032">
        <f t="shared" si="1731"/>
        <v>3954</v>
      </c>
      <c r="O722" s="405">
        <f t="shared" si="1731"/>
        <v>3952</v>
      </c>
      <c r="P722" s="405">
        <f t="shared" si="1731"/>
        <v>3952</v>
      </c>
      <c r="Q722" s="821">
        <f t="shared" si="1731"/>
        <v>3954</v>
      </c>
      <c r="R722" s="821">
        <f t="shared" si="1731"/>
        <v>3954</v>
      </c>
      <c r="S722" s="1032">
        <f t="shared" ref="S722:AB722" si="1732">SUM(S709:S721)</f>
        <v>3959</v>
      </c>
      <c r="T722" s="405">
        <f t="shared" si="1732"/>
        <v>3959</v>
      </c>
      <c r="U722" s="405">
        <f>SUM(U709:U721)</f>
        <v>3381</v>
      </c>
      <c r="V722" s="405">
        <f>SUM(V709:V721)</f>
        <v>3380</v>
      </c>
      <c r="W722" s="400">
        <f t="shared" si="1732"/>
        <v>3380</v>
      </c>
      <c r="X722" s="1032">
        <f t="shared" si="1732"/>
        <v>3391</v>
      </c>
      <c r="Y722" s="405">
        <f>SUM(Y709:Y721)</f>
        <v>3391</v>
      </c>
      <c r="Z722" s="405">
        <f>SUM(Z709:Z721)</f>
        <v>3391</v>
      </c>
      <c r="AA722" s="405">
        <f>SUM(AA709:AA721)</f>
        <v>3403</v>
      </c>
      <c r="AB722" s="400">
        <f t="shared" si="1732"/>
        <v>3403</v>
      </c>
      <c r="AC722" s="405">
        <f t="shared" ref="AC722:AN722" si="1733">SUM(AC709:AC721)</f>
        <v>3403</v>
      </c>
      <c r="AD722" s="405">
        <f t="shared" si="1733"/>
        <v>3403</v>
      </c>
      <c r="AE722" s="405">
        <f t="shared" si="1733"/>
        <v>3576</v>
      </c>
      <c r="AF722" s="821">
        <f t="shared" si="1733"/>
        <v>3576</v>
      </c>
      <c r="AG722" s="400">
        <f t="shared" si="1733"/>
        <v>3576</v>
      </c>
      <c r="AH722" s="405">
        <f t="shared" si="1733"/>
        <v>3576</v>
      </c>
      <c r="AI722" s="405">
        <f t="shared" si="1733"/>
        <v>3576</v>
      </c>
      <c r="AJ722" s="405">
        <f t="shared" ref="AJ722:AL722" si="1734">SUM(AJ709:AJ721)</f>
        <v>3576</v>
      </c>
      <c r="AK722" s="821">
        <f t="shared" si="1734"/>
        <v>3576</v>
      </c>
      <c r="AL722" s="400">
        <f t="shared" si="1734"/>
        <v>3576</v>
      </c>
      <c r="AM722" s="821">
        <f t="shared" si="1733"/>
        <v>3576</v>
      </c>
      <c r="AN722" s="821">
        <f t="shared" si="1733"/>
        <v>3576</v>
      </c>
    </row>
    <row r="723" spans="1:40">
      <c r="A723" s="130"/>
      <c r="B723" s="1033"/>
      <c r="C723" s="398"/>
      <c r="D723" s="1033"/>
      <c r="E723" s="406"/>
      <c r="F723" s="406"/>
      <c r="G723" s="820"/>
      <c r="H723" s="820"/>
      <c r="I723" s="1033"/>
      <c r="J723" s="406"/>
      <c r="K723" s="406"/>
      <c r="L723" s="820"/>
      <c r="M723" s="820"/>
      <c r="N723" s="401"/>
      <c r="O723" s="406"/>
      <c r="P723" s="406"/>
      <c r="Q723" s="820"/>
      <c r="R723" s="820"/>
      <c r="S723" s="1033"/>
      <c r="T723" s="406"/>
      <c r="U723" s="406"/>
      <c r="V723" s="406"/>
      <c r="W723" s="398"/>
      <c r="X723" s="1033"/>
      <c r="Y723" s="406"/>
      <c r="Z723" s="406"/>
      <c r="AA723" s="406"/>
      <c r="AB723" s="398"/>
      <c r="AC723" s="406"/>
      <c r="AD723" s="406"/>
      <c r="AE723" s="406"/>
      <c r="AF723" s="820"/>
      <c r="AG723" s="398"/>
      <c r="AH723" s="406"/>
      <c r="AI723" s="406"/>
      <c r="AJ723" s="406"/>
      <c r="AK723" s="820"/>
      <c r="AL723" s="398"/>
      <c r="AM723" s="820"/>
      <c r="AN723" s="820"/>
    </row>
    <row r="724" spans="1:40">
      <c r="A724" s="295" t="s">
        <v>1283</v>
      </c>
      <c r="B724" s="1033"/>
      <c r="C724" s="398"/>
      <c r="D724" s="1033"/>
      <c r="E724" s="406"/>
      <c r="F724" s="406"/>
      <c r="G724" s="820"/>
      <c r="H724" s="820"/>
      <c r="I724" s="1033"/>
      <c r="J724" s="406"/>
      <c r="K724" s="406"/>
      <c r="L724" s="820"/>
      <c r="M724" s="820"/>
      <c r="N724" s="401"/>
      <c r="O724" s="406"/>
      <c r="P724" s="406"/>
      <c r="Q724" s="820"/>
      <c r="R724" s="820"/>
      <c r="S724" s="1033"/>
      <c r="T724" s="406"/>
      <c r="U724" s="406"/>
      <c r="V724" s="406"/>
      <c r="W724" s="398"/>
      <c r="X724" s="1033"/>
      <c r="Y724" s="406"/>
      <c r="Z724" s="406"/>
      <c r="AA724" s="406"/>
      <c r="AB724" s="398"/>
      <c r="AC724" s="406"/>
      <c r="AD724" s="406"/>
      <c r="AE724" s="406"/>
      <c r="AF724" s="406"/>
      <c r="AG724" s="398"/>
      <c r="AH724" s="406"/>
      <c r="AI724" s="406"/>
      <c r="AJ724" s="406"/>
      <c r="AK724" s="820"/>
      <c r="AL724" s="398"/>
      <c r="AM724" s="820"/>
      <c r="AN724" s="820"/>
    </row>
    <row r="725" spans="1:40">
      <c r="A725" s="130" t="str">
        <f>A$9</f>
        <v>Waldorf Astoria Hotels &amp; Resorts (Luxury)</v>
      </c>
      <c r="B725" s="1030">
        <v>355</v>
      </c>
      <c r="C725" s="508">
        <v>340</v>
      </c>
      <c r="D725" s="1030">
        <v>343</v>
      </c>
      <c r="E725" s="912">
        <v>343</v>
      </c>
      <c r="F725" s="912">
        <v>260</v>
      </c>
      <c r="G725" s="1041">
        <v>260</v>
      </c>
      <c r="H725" s="820">
        <f>G725</f>
        <v>260</v>
      </c>
      <c r="I725" s="1030">
        <v>260</v>
      </c>
      <c r="J725" s="912">
        <v>260</v>
      </c>
      <c r="K725" s="912">
        <v>260</v>
      </c>
      <c r="L725" s="1041">
        <v>260</v>
      </c>
      <c r="M725" s="820">
        <f>L725</f>
        <v>260</v>
      </c>
      <c r="N725" s="1030">
        <v>431</v>
      </c>
      <c r="O725" s="912">
        <v>431</v>
      </c>
      <c r="P725" s="912">
        <v>431</v>
      </c>
      <c r="Q725" s="1041">
        <v>431</v>
      </c>
      <c r="R725" s="820">
        <f t="shared" ref="R725:R737" si="1735">Q725</f>
        <v>431</v>
      </c>
      <c r="S725" s="1030">
        <v>431</v>
      </c>
      <c r="T725" s="912">
        <v>431</v>
      </c>
      <c r="U725" s="912">
        <v>431</v>
      </c>
      <c r="V725" s="912">
        <v>431</v>
      </c>
      <c r="W725" s="398">
        <f t="shared" ref="W725:W737" si="1736">V725</f>
        <v>431</v>
      </c>
      <c r="X725" s="2787">
        <v>431</v>
      </c>
      <c r="Y725" s="2791">
        <v>431</v>
      </c>
      <c r="Z725" s="2791">
        <v>431</v>
      </c>
      <c r="AA725" s="2791">
        <v>436</v>
      </c>
      <c r="AB725" s="398">
        <f t="shared" ref="AB725:AB737" si="1737">AA725</f>
        <v>436</v>
      </c>
      <c r="AC725" s="406">
        <f t="shared" ref="AC725:AD726" si="1738">AB725*(1+AC$884)</f>
        <v>440.36</v>
      </c>
      <c r="AD725" s="406">
        <f t="shared" si="1738"/>
        <v>444.68839431552294</v>
      </c>
      <c r="AE725" s="3665">
        <v>723</v>
      </c>
      <c r="AF725" s="3665">
        <v>723</v>
      </c>
      <c r="AG725" s="398">
        <f t="shared" ref="AG725:AG737" si="1739">AF725</f>
        <v>723</v>
      </c>
      <c r="AH725" s="406">
        <f t="shared" ref="AH725:AH726" si="1740">AG725*(1+AH$884)</f>
        <v>733.84499999999991</v>
      </c>
      <c r="AI725" s="406">
        <f t="shared" ref="AI725:AI726" si="1741">AH725*(1+AI$884)</f>
        <v>744.85267499999986</v>
      </c>
      <c r="AJ725" s="406">
        <f t="shared" ref="AJ725:AJ726" si="1742">AI725*(1+AJ$884)</f>
        <v>756.02546512499976</v>
      </c>
      <c r="AK725" s="820">
        <f t="shared" ref="AK725:AK726" si="1743">AJ725*(1+AK$884)</f>
        <v>767.36584710187469</v>
      </c>
      <c r="AL725" s="820">
        <f t="shared" ref="AL725:AL726" si="1744">AK725</f>
        <v>767.36584710187469</v>
      </c>
      <c r="AM725" s="398">
        <f t="shared" ref="AM725:AN726" si="1745">AL725*(1+AM$883)</f>
        <v>801.89731022145895</v>
      </c>
      <c r="AN725" s="398">
        <f t="shared" si="1745"/>
        <v>825.9542295281027</v>
      </c>
    </row>
    <row r="726" spans="1:40">
      <c r="A726" s="130" t="str">
        <f>A$10</f>
        <v>Conrad Hotels &amp; Resorts (Luxury)</v>
      </c>
      <c r="B726" s="1030">
        <v>2308</v>
      </c>
      <c r="C726" s="508">
        <v>2382</v>
      </c>
      <c r="D726" s="1030">
        <v>2589</v>
      </c>
      <c r="E726" s="912">
        <v>2588</v>
      </c>
      <c r="F726" s="912">
        <v>2588</v>
      </c>
      <c r="G726" s="1041">
        <v>3023</v>
      </c>
      <c r="H726" s="820">
        <f t="shared" ref="H726:H737" si="1746">G726</f>
        <v>3023</v>
      </c>
      <c r="I726" s="1030">
        <v>3313</v>
      </c>
      <c r="J726" s="912">
        <v>3426</v>
      </c>
      <c r="K726" s="912">
        <v>3422</v>
      </c>
      <c r="L726" s="1041">
        <v>3422</v>
      </c>
      <c r="M726" s="820">
        <f t="shared" ref="M726:M737" si="1747">L726</f>
        <v>3422</v>
      </c>
      <c r="N726" s="1030">
        <v>3422</v>
      </c>
      <c r="O726" s="912">
        <v>3422</v>
      </c>
      <c r="P726" s="912">
        <v>3422</v>
      </c>
      <c r="Q726" s="1041">
        <v>3419</v>
      </c>
      <c r="R726" s="820">
        <f t="shared" si="1735"/>
        <v>3419</v>
      </c>
      <c r="S726" s="1030">
        <v>3419</v>
      </c>
      <c r="T726" s="912">
        <v>3419</v>
      </c>
      <c r="U726" s="912">
        <v>3419</v>
      </c>
      <c r="V726" s="912">
        <v>3417</v>
      </c>
      <c r="W726" s="398">
        <f t="shared" si="1736"/>
        <v>3417</v>
      </c>
      <c r="X726" s="2787">
        <v>3727</v>
      </c>
      <c r="Y726" s="2791">
        <v>4074</v>
      </c>
      <c r="Z726" s="2791">
        <v>4315</v>
      </c>
      <c r="AA726" s="2791">
        <v>4320</v>
      </c>
      <c r="AB726" s="398">
        <f t="shared" si="1737"/>
        <v>4320</v>
      </c>
      <c r="AC726" s="406">
        <f t="shared" si="1738"/>
        <v>4363.2</v>
      </c>
      <c r="AD726" s="406">
        <f t="shared" si="1738"/>
        <v>4406.0868427593095</v>
      </c>
      <c r="AE726" s="3665">
        <v>4630</v>
      </c>
      <c r="AF726" s="3665">
        <v>4630</v>
      </c>
      <c r="AG726" s="398">
        <f t="shared" si="1739"/>
        <v>4630</v>
      </c>
      <c r="AH726" s="406">
        <f t="shared" si="1740"/>
        <v>4699.45</v>
      </c>
      <c r="AI726" s="406">
        <f t="shared" si="1741"/>
        <v>4769.941749999999</v>
      </c>
      <c r="AJ726" s="406">
        <f t="shared" si="1742"/>
        <v>4841.490876249999</v>
      </c>
      <c r="AK726" s="820">
        <f t="shared" si="1743"/>
        <v>4914.1132393937487</v>
      </c>
      <c r="AL726" s="820">
        <f t="shared" si="1744"/>
        <v>4914.1132393937487</v>
      </c>
      <c r="AM726" s="398">
        <f t="shared" si="1745"/>
        <v>5135.2483351664669</v>
      </c>
      <c r="AN726" s="398">
        <f t="shared" si="1745"/>
        <v>5289.3057852214606</v>
      </c>
    </row>
    <row r="727" spans="1:40">
      <c r="A727" s="1828" t="s">
        <v>3022</v>
      </c>
      <c r="B727" s="1030"/>
      <c r="C727" s="508"/>
      <c r="D727" s="1030"/>
      <c r="E727" s="912"/>
      <c r="F727" s="912"/>
      <c r="G727" s="1041"/>
      <c r="H727" s="820"/>
      <c r="I727" s="1030"/>
      <c r="J727" s="912"/>
      <c r="K727" s="912"/>
      <c r="L727" s="1041"/>
      <c r="M727" s="820"/>
      <c r="N727" s="1030"/>
      <c r="O727" s="912"/>
      <c r="P727" s="912"/>
      <c r="Q727" s="1041"/>
      <c r="R727" s="820"/>
      <c r="S727" s="1030"/>
      <c r="T727" s="912"/>
      <c r="U727" s="912"/>
      <c r="V727" s="912"/>
      <c r="W727" s="398"/>
      <c r="X727" s="2791"/>
      <c r="Y727" s="2791"/>
      <c r="Z727" s="2791"/>
      <c r="AA727" s="2791">
        <v>0</v>
      </c>
      <c r="AB727" s="398">
        <f t="shared" ref="AB727:AG727" si="1748">+AA727</f>
        <v>0</v>
      </c>
      <c r="AC727" s="2944">
        <f t="shared" si="1748"/>
        <v>0</v>
      </c>
      <c r="AD727" s="406">
        <f t="shared" si="1748"/>
        <v>0</v>
      </c>
      <c r="AE727" s="3665">
        <v>0</v>
      </c>
      <c r="AF727" s="406">
        <f t="shared" si="1748"/>
        <v>0</v>
      </c>
      <c r="AG727" s="398">
        <f t="shared" si="1748"/>
        <v>0</v>
      </c>
      <c r="AH727" s="406">
        <f t="shared" ref="AH727" si="1749">+AG727</f>
        <v>0</v>
      </c>
      <c r="AI727" s="406">
        <f t="shared" ref="AI727" si="1750">+AH727</f>
        <v>0</v>
      </c>
      <c r="AJ727" s="406">
        <f t="shared" ref="AJ727" si="1751">+AI727</f>
        <v>0</v>
      </c>
      <c r="AK727" s="820">
        <f t="shared" ref="AK727" si="1752">+AJ727</f>
        <v>0</v>
      </c>
      <c r="AL727" s="398">
        <f t="shared" ref="AL727" si="1753">+AK727</f>
        <v>0</v>
      </c>
      <c r="AM727" s="398">
        <f>AL727</f>
        <v>0</v>
      </c>
      <c r="AN727" s="398">
        <f>AM727</f>
        <v>0</v>
      </c>
    </row>
    <row r="728" spans="1:40">
      <c r="A728" s="130" t="str">
        <f>A$12</f>
        <v>Hilton Hotels &amp; Resorts (Upper Up)</v>
      </c>
      <c r="B728" s="1030">
        <v>13676</v>
      </c>
      <c r="C728" s="508">
        <v>16196</v>
      </c>
      <c r="D728" s="1030">
        <v>16575</v>
      </c>
      <c r="E728" s="912">
        <v>16556</v>
      </c>
      <c r="F728" s="912">
        <v>16452</v>
      </c>
      <c r="G728" s="1041">
        <v>16911</v>
      </c>
      <c r="H728" s="820">
        <f t="shared" si="1746"/>
        <v>16911</v>
      </c>
      <c r="I728" s="1030">
        <v>16982</v>
      </c>
      <c r="J728" s="912">
        <v>17776</v>
      </c>
      <c r="K728" s="912">
        <v>18059</v>
      </c>
      <c r="L728" s="1041">
        <v>18738</v>
      </c>
      <c r="M728" s="820">
        <f t="shared" si="1747"/>
        <v>18738</v>
      </c>
      <c r="N728" s="1030">
        <v>19337</v>
      </c>
      <c r="O728" s="912">
        <v>19819</v>
      </c>
      <c r="P728" s="912">
        <v>20640</v>
      </c>
      <c r="Q728" s="1041">
        <v>22029</v>
      </c>
      <c r="R728" s="820">
        <f t="shared" si="1735"/>
        <v>22029</v>
      </c>
      <c r="S728" s="1030">
        <v>21610</v>
      </c>
      <c r="T728" s="912">
        <v>21966</v>
      </c>
      <c r="U728" s="912">
        <v>24136</v>
      </c>
      <c r="V728" s="912">
        <v>25652</v>
      </c>
      <c r="W728" s="398">
        <f t="shared" si="1736"/>
        <v>25652</v>
      </c>
      <c r="X728" s="2787">
        <v>26043</v>
      </c>
      <c r="Y728" s="2791">
        <v>26397</v>
      </c>
      <c r="Z728" s="2791">
        <v>27176</v>
      </c>
      <c r="AA728" s="2791">
        <v>28832</v>
      </c>
      <c r="AB728" s="398">
        <f t="shared" si="1737"/>
        <v>28832</v>
      </c>
      <c r="AC728" s="406">
        <f>AB728*(1+AC$884)</f>
        <v>29120.32</v>
      </c>
      <c r="AD728" s="406">
        <f>AC728*(1+AD$884)</f>
        <v>29406.549965378803</v>
      </c>
      <c r="AE728" s="3665">
        <v>30027</v>
      </c>
      <c r="AF728" s="3665">
        <v>30955</v>
      </c>
      <c r="AG728" s="398">
        <f t="shared" si="1739"/>
        <v>30955</v>
      </c>
      <c r="AH728" s="406">
        <f t="shared" ref="AH728:AI728" si="1754">AG728*(1+AH$884)</f>
        <v>31419.324999999997</v>
      </c>
      <c r="AI728" s="406">
        <f t="shared" si="1754"/>
        <v>31890.614874999996</v>
      </c>
      <c r="AJ728" s="406">
        <f>AI728*(1+AJ$884)</f>
        <v>32368.974098124992</v>
      </c>
      <c r="AK728" s="820">
        <f>AJ728*(1+AK$884)</f>
        <v>32854.508709596863</v>
      </c>
      <c r="AL728" s="820">
        <f t="shared" ref="AL728:AL736" si="1755">AK728</f>
        <v>32854.508709596863</v>
      </c>
      <c r="AM728" s="398">
        <f>AL728*(1+AM$883)</f>
        <v>34332.961601528717</v>
      </c>
      <c r="AN728" s="398">
        <f>AM728*(1+AN$883)</f>
        <v>35362.950449574579</v>
      </c>
    </row>
    <row r="729" spans="1:40">
      <c r="A729" s="130" t="str">
        <f>A$13</f>
        <v xml:space="preserve">Curio - A Collection by Hilton </v>
      </c>
      <c r="B729" s="1030"/>
      <c r="C729" s="508"/>
      <c r="D729" s="1030"/>
      <c r="E729" s="912"/>
      <c r="F729" s="912"/>
      <c r="G729" s="1041"/>
      <c r="H729" s="820"/>
      <c r="I729" s="1030"/>
      <c r="J729" s="912"/>
      <c r="K729" s="912"/>
      <c r="L729" s="1041"/>
      <c r="M729" s="820"/>
      <c r="N729" s="1030"/>
      <c r="O729" s="912"/>
      <c r="P729" s="912"/>
      <c r="Q729" s="1041"/>
      <c r="R729" s="820"/>
      <c r="S729" s="1030">
        <v>0</v>
      </c>
      <c r="T729" s="912">
        <v>0</v>
      </c>
      <c r="U729" s="912">
        <v>0</v>
      </c>
      <c r="V729" s="912">
        <v>0</v>
      </c>
      <c r="W729" s="398">
        <f t="shared" si="1736"/>
        <v>0</v>
      </c>
      <c r="X729" s="2787">
        <v>0</v>
      </c>
      <c r="Y729" s="2791">
        <v>0</v>
      </c>
      <c r="Z729" s="2791">
        <v>0</v>
      </c>
      <c r="AA729" s="2791">
        <v>0</v>
      </c>
      <c r="AB729" s="398">
        <f t="shared" si="1737"/>
        <v>0</v>
      </c>
      <c r="AC729" s="406">
        <f>AB729</f>
        <v>0</v>
      </c>
      <c r="AD729" s="406">
        <f>AC729</f>
        <v>0</v>
      </c>
      <c r="AE729" s="3665">
        <v>266</v>
      </c>
      <c r="AF729" s="3665">
        <v>448</v>
      </c>
      <c r="AG729" s="398">
        <f t="shared" si="1739"/>
        <v>448</v>
      </c>
      <c r="AH729" s="406">
        <f t="shared" ref="AH729:AI729" si="1756">AG729</f>
        <v>448</v>
      </c>
      <c r="AI729" s="406">
        <f t="shared" si="1756"/>
        <v>448</v>
      </c>
      <c r="AJ729" s="406">
        <f>AI729</f>
        <v>448</v>
      </c>
      <c r="AK729" s="820">
        <f>AJ729</f>
        <v>448</v>
      </c>
      <c r="AL729" s="820">
        <f t="shared" si="1755"/>
        <v>448</v>
      </c>
      <c r="AM729" s="398">
        <f>AL729</f>
        <v>448</v>
      </c>
      <c r="AN729" s="398">
        <f>AM729</f>
        <v>448</v>
      </c>
    </row>
    <row r="730" spans="1:40">
      <c r="A730" s="130" t="str">
        <f>A$14</f>
        <v>DoubleTree by Hilton (Upscale)</v>
      </c>
      <c r="B730" s="1030">
        <v>3163</v>
      </c>
      <c r="C730" s="508">
        <v>4181</v>
      </c>
      <c r="D730" s="1030">
        <v>4376</v>
      </c>
      <c r="E730" s="912">
        <v>4603</v>
      </c>
      <c r="F730" s="912">
        <v>5096</v>
      </c>
      <c r="G730" s="1041">
        <v>5683</v>
      </c>
      <c r="H730" s="820">
        <f t="shared" si="1746"/>
        <v>5683</v>
      </c>
      <c r="I730" s="1030">
        <v>5676</v>
      </c>
      <c r="J730" s="912">
        <v>6444</v>
      </c>
      <c r="K730" s="912">
        <v>6697</v>
      </c>
      <c r="L730" s="1041">
        <v>8130</v>
      </c>
      <c r="M730" s="820">
        <f t="shared" si="1747"/>
        <v>8130</v>
      </c>
      <c r="N730" s="1030">
        <v>8188</v>
      </c>
      <c r="O730" s="912">
        <v>8250</v>
      </c>
      <c r="P730" s="912">
        <v>8839</v>
      </c>
      <c r="Q730" s="1041">
        <v>9997</v>
      </c>
      <c r="R730" s="820">
        <f t="shared" si="1735"/>
        <v>9997</v>
      </c>
      <c r="S730" s="1030">
        <v>10001</v>
      </c>
      <c r="T730" s="912">
        <v>10001</v>
      </c>
      <c r="U730" s="912">
        <v>11343</v>
      </c>
      <c r="V730" s="912">
        <v>11868</v>
      </c>
      <c r="W730" s="398">
        <f t="shared" si="1736"/>
        <v>11868</v>
      </c>
      <c r="X730" s="2787">
        <v>11469</v>
      </c>
      <c r="Y730" s="2791">
        <v>11394</v>
      </c>
      <c r="Z730" s="2791">
        <v>12156</v>
      </c>
      <c r="AA730" s="2791">
        <v>12799</v>
      </c>
      <c r="AB730" s="398">
        <f t="shared" si="1737"/>
        <v>12799</v>
      </c>
      <c r="AC730" s="406">
        <f t="shared" ref="AC730:AF736" si="1757">AB730*(1+AC$884)</f>
        <v>12926.99</v>
      </c>
      <c r="AD730" s="406">
        <f t="shared" si="1757"/>
        <v>13054.052199184354</v>
      </c>
      <c r="AE730" s="3665">
        <v>13086</v>
      </c>
      <c r="AF730" s="3665">
        <v>14220</v>
      </c>
      <c r="AG730" s="398">
        <f t="shared" si="1739"/>
        <v>14220</v>
      </c>
      <c r="AH730" s="406">
        <f t="shared" ref="AH730:AH736" si="1758">AG730*(1+AH$884)</f>
        <v>14433.3</v>
      </c>
      <c r="AI730" s="406">
        <f t="shared" ref="AI730:AI736" si="1759">AH730*(1+AI$884)</f>
        <v>14649.799499999997</v>
      </c>
      <c r="AJ730" s="406">
        <f t="shared" ref="AJ730:AJ736" si="1760">AI730*(1+AJ$884)</f>
        <v>14869.546492499996</v>
      </c>
      <c r="AK730" s="820">
        <f t="shared" ref="AK730:AK736" si="1761">AJ730*(1+AK$884)</f>
        <v>15092.589689887494</v>
      </c>
      <c r="AL730" s="820">
        <f t="shared" si="1755"/>
        <v>15092.589689887494</v>
      </c>
      <c r="AM730" s="398">
        <f t="shared" ref="AM730:AN736" si="1762">AL730*(1+AM$883)</f>
        <v>15771.756225932431</v>
      </c>
      <c r="AN730" s="398">
        <f t="shared" si="1762"/>
        <v>16244.908912710405</v>
      </c>
    </row>
    <row r="731" spans="1:40">
      <c r="A731" s="130" t="str">
        <f>A$15</f>
        <v>Embassy Suites Hotels (Upper Up)</v>
      </c>
      <c r="B731" s="1030">
        <v>0</v>
      </c>
      <c r="C731" s="508">
        <v>0</v>
      </c>
      <c r="D731" s="1030">
        <v>0</v>
      </c>
      <c r="E731" s="912">
        <v>0</v>
      </c>
      <c r="F731" s="912">
        <v>0</v>
      </c>
      <c r="G731" s="1041">
        <v>0</v>
      </c>
      <c r="H731" s="820">
        <f t="shared" si="1746"/>
        <v>0</v>
      </c>
      <c r="I731" s="1030">
        <v>0</v>
      </c>
      <c r="J731" s="912">
        <v>0</v>
      </c>
      <c r="K731" s="912">
        <v>0</v>
      </c>
      <c r="L731" s="1041">
        <v>0</v>
      </c>
      <c r="M731" s="820">
        <f t="shared" si="1747"/>
        <v>0</v>
      </c>
      <c r="N731" s="1030">
        <v>0</v>
      </c>
      <c r="O731" s="912">
        <v>0</v>
      </c>
      <c r="P731" s="912">
        <v>0</v>
      </c>
      <c r="Q731" s="1041">
        <v>0</v>
      </c>
      <c r="R731" s="820">
        <f t="shared" si="1735"/>
        <v>0</v>
      </c>
      <c r="S731" s="1030">
        <v>0</v>
      </c>
      <c r="T731" s="912">
        <v>0</v>
      </c>
      <c r="U731" s="912">
        <v>0</v>
      </c>
      <c r="V731" s="912">
        <v>0</v>
      </c>
      <c r="W731" s="398">
        <f t="shared" si="1736"/>
        <v>0</v>
      </c>
      <c r="X731" s="2787">
        <v>0</v>
      </c>
      <c r="Y731" s="2791">
        <v>0</v>
      </c>
      <c r="Z731" s="2791">
        <v>0</v>
      </c>
      <c r="AA731" s="2791">
        <v>0</v>
      </c>
      <c r="AB731" s="398">
        <f t="shared" si="1737"/>
        <v>0</v>
      </c>
      <c r="AC731" s="406">
        <f t="shared" si="1757"/>
        <v>0</v>
      </c>
      <c r="AD731" s="406">
        <f t="shared" si="1757"/>
        <v>0</v>
      </c>
      <c r="AE731" s="3665">
        <v>0</v>
      </c>
      <c r="AF731" s="406">
        <f t="shared" si="1757"/>
        <v>0</v>
      </c>
      <c r="AG731" s="398">
        <f t="shared" si="1739"/>
        <v>0</v>
      </c>
      <c r="AH731" s="406">
        <f t="shared" si="1758"/>
        <v>0</v>
      </c>
      <c r="AI731" s="406">
        <f t="shared" si="1759"/>
        <v>0</v>
      </c>
      <c r="AJ731" s="406">
        <f t="shared" si="1760"/>
        <v>0</v>
      </c>
      <c r="AK731" s="820">
        <f t="shared" si="1761"/>
        <v>0</v>
      </c>
      <c r="AL731" s="820">
        <f t="shared" si="1755"/>
        <v>0</v>
      </c>
      <c r="AM731" s="398">
        <f t="shared" si="1762"/>
        <v>0</v>
      </c>
      <c r="AN731" s="398">
        <f t="shared" si="1762"/>
        <v>0</v>
      </c>
    </row>
    <row r="732" spans="1:40">
      <c r="A732" s="130" t="str">
        <f>A$16</f>
        <v>Hilton Garden Inn (Upscale)</v>
      </c>
      <c r="B732" s="1030">
        <v>114</v>
      </c>
      <c r="C732" s="508">
        <v>114</v>
      </c>
      <c r="D732" s="1030">
        <v>114</v>
      </c>
      <c r="E732" s="912">
        <v>114</v>
      </c>
      <c r="F732" s="912">
        <v>114</v>
      </c>
      <c r="G732" s="1041">
        <v>114</v>
      </c>
      <c r="H732" s="820">
        <f t="shared" si="1746"/>
        <v>114</v>
      </c>
      <c r="I732" s="1030">
        <v>315</v>
      </c>
      <c r="J732" s="912">
        <v>401</v>
      </c>
      <c r="K732" s="912">
        <v>401</v>
      </c>
      <c r="L732" s="1041">
        <v>535</v>
      </c>
      <c r="M732" s="820">
        <f t="shared" si="1747"/>
        <v>535</v>
      </c>
      <c r="N732" s="1030">
        <v>748</v>
      </c>
      <c r="O732" s="912">
        <v>748</v>
      </c>
      <c r="P732" s="912">
        <v>748</v>
      </c>
      <c r="Q732" s="1041">
        <v>920</v>
      </c>
      <c r="R732" s="820">
        <f t="shared" si="1735"/>
        <v>920</v>
      </c>
      <c r="S732" s="1030">
        <v>921</v>
      </c>
      <c r="T732" s="912">
        <v>1123</v>
      </c>
      <c r="U732" s="912">
        <v>1123</v>
      </c>
      <c r="V732" s="912">
        <v>1329</v>
      </c>
      <c r="W732" s="398">
        <f t="shared" si="1736"/>
        <v>1329</v>
      </c>
      <c r="X732" s="2787">
        <v>1329</v>
      </c>
      <c r="Y732" s="2791">
        <v>2130</v>
      </c>
      <c r="Z732" s="2791">
        <v>2344</v>
      </c>
      <c r="AA732" s="2791">
        <v>3362</v>
      </c>
      <c r="AB732" s="398">
        <f t="shared" si="1737"/>
        <v>3362</v>
      </c>
      <c r="AC732" s="406">
        <f t="shared" si="1757"/>
        <v>3395.62</v>
      </c>
      <c r="AD732" s="406">
        <f t="shared" si="1757"/>
        <v>3428.9962882770369</v>
      </c>
      <c r="AE732" s="3665">
        <v>4301</v>
      </c>
      <c r="AF732" s="3665">
        <v>4917</v>
      </c>
      <c r="AG732" s="398">
        <f t="shared" si="1739"/>
        <v>4917</v>
      </c>
      <c r="AH732" s="406">
        <f t="shared" si="1758"/>
        <v>4990.7549999999992</v>
      </c>
      <c r="AI732" s="406">
        <f t="shared" si="1759"/>
        <v>5065.6163249999991</v>
      </c>
      <c r="AJ732" s="406">
        <f t="shared" si="1760"/>
        <v>5141.6005698749987</v>
      </c>
      <c r="AK732" s="820">
        <f t="shared" si="1761"/>
        <v>5218.7245784231227</v>
      </c>
      <c r="AL732" s="820">
        <f t="shared" si="1755"/>
        <v>5218.7245784231227</v>
      </c>
      <c r="AM732" s="398">
        <f t="shared" si="1762"/>
        <v>5453.567184452163</v>
      </c>
      <c r="AN732" s="398">
        <f t="shared" si="1762"/>
        <v>5617.1741999857277</v>
      </c>
    </row>
    <row r="733" spans="1:40">
      <c r="A733" s="130" t="str">
        <f>A$17</f>
        <v>Hampton Inn (Upper Mid)</v>
      </c>
      <c r="B733" s="1030">
        <v>0</v>
      </c>
      <c r="C733" s="508">
        <v>0</v>
      </c>
      <c r="D733" s="1030">
        <v>0</v>
      </c>
      <c r="E733" s="912">
        <v>0</v>
      </c>
      <c r="F733" s="912">
        <v>0</v>
      </c>
      <c r="G733" s="1041">
        <v>0</v>
      </c>
      <c r="H733" s="820">
        <f t="shared" si="1746"/>
        <v>0</v>
      </c>
      <c r="I733" s="1030">
        <v>0</v>
      </c>
      <c r="J733" s="912">
        <v>0</v>
      </c>
      <c r="K733" s="912">
        <v>0</v>
      </c>
      <c r="L733" s="1041">
        <v>0</v>
      </c>
      <c r="M733" s="820">
        <f t="shared" si="1747"/>
        <v>0</v>
      </c>
      <c r="N733" s="1030">
        <v>0</v>
      </c>
      <c r="O733" s="912">
        <v>0</v>
      </c>
      <c r="P733" s="912">
        <v>0</v>
      </c>
      <c r="Q733" s="1041">
        <v>0</v>
      </c>
      <c r="R733" s="820">
        <f t="shared" si="1735"/>
        <v>0</v>
      </c>
      <c r="S733" s="1030">
        <v>0</v>
      </c>
      <c r="T733" s="912">
        <v>0</v>
      </c>
      <c r="U733" s="912">
        <v>0</v>
      </c>
      <c r="V733" s="912">
        <v>0</v>
      </c>
      <c r="W733" s="398">
        <f t="shared" si="1736"/>
        <v>0</v>
      </c>
      <c r="X733" s="2787">
        <v>0</v>
      </c>
      <c r="Y733" s="2791">
        <v>0</v>
      </c>
      <c r="Z733" s="2791">
        <v>0</v>
      </c>
      <c r="AA733" s="2791">
        <v>0</v>
      </c>
      <c r="AB733" s="398">
        <f t="shared" si="1737"/>
        <v>0</v>
      </c>
      <c r="AC733" s="406">
        <f t="shared" si="1757"/>
        <v>0</v>
      </c>
      <c r="AD733" s="406">
        <f t="shared" si="1757"/>
        <v>0</v>
      </c>
      <c r="AE733" s="3665">
        <v>0</v>
      </c>
      <c r="AF733" s="406">
        <f t="shared" si="1757"/>
        <v>0</v>
      </c>
      <c r="AG733" s="398">
        <f t="shared" si="1739"/>
        <v>0</v>
      </c>
      <c r="AH733" s="406">
        <f t="shared" si="1758"/>
        <v>0</v>
      </c>
      <c r="AI733" s="406">
        <f t="shared" si="1759"/>
        <v>0</v>
      </c>
      <c r="AJ733" s="406">
        <f t="shared" si="1760"/>
        <v>0</v>
      </c>
      <c r="AK733" s="820">
        <f t="shared" si="1761"/>
        <v>0</v>
      </c>
      <c r="AL733" s="820">
        <f t="shared" si="1755"/>
        <v>0</v>
      </c>
      <c r="AM733" s="398">
        <f t="shared" si="1762"/>
        <v>0</v>
      </c>
      <c r="AN733" s="398">
        <f t="shared" si="1762"/>
        <v>0</v>
      </c>
    </row>
    <row r="734" spans="1:40">
      <c r="A734" s="130" t="s">
        <v>1408</v>
      </c>
      <c r="B734" s="1030">
        <v>0</v>
      </c>
      <c r="C734" s="508">
        <v>0</v>
      </c>
      <c r="D734" s="1030">
        <v>0</v>
      </c>
      <c r="E734" s="912">
        <v>0</v>
      </c>
      <c r="F734" s="912">
        <v>0</v>
      </c>
      <c r="G734" s="1041">
        <v>0</v>
      </c>
      <c r="H734" s="820">
        <f t="shared" si="1746"/>
        <v>0</v>
      </c>
      <c r="I734" s="1030">
        <v>0</v>
      </c>
      <c r="J734" s="912">
        <v>0</v>
      </c>
      <c r="K734" s="912">
        <v>0</v>
      </c>
      <c r="L734" s="1041">
        <v>0</v>
      </c>
      <c r="M734" s="820">
        <f t="shared" si="1747"/>
        <v>0</v>
      </c>
      <c r="N734" s="1030">
        <v>0</v>
      </c>
      <c r="O734" s="912">
        <v>0</v>
      </c>
      <c r="P734" s="912">
        <v>0</v>
      </c>
      <c r="Q734" s="1041">
        <v>0</v>
      </c>
      <c r="R734" s="820">
        <f t="shared" si="1735"/>
        <v>0</v>
      </c>
      <c r="S734" s="1030">
        <v>0</v>
      </c>
      <c r="T734" s="912">
        <v>0</v>
      </c>
      <c r="U734" s="912">
        <v>0</v>
      </c>
      <c r="V734" s="912">
        <v>0</v>
      </c>
      <c r="W734" s="398">
        <f t="shared" si="1736"/>
        <v>0</v>
      </c>
      <c r="X734" s="2787">
        <v>0</v>
      </c>
      <c r="Y734" s="2791">
        <v>0</v>
      </c>
      <c r="Z734" s="2791">
        <v>0</v>
      </c>
      <c r="AA734" s="2791">
        <v>0</v>
      </c>
      <c r="AB734" s="398">
        <f t="shared" si="1737"/>
        <v>0</v>
      </c>
      <c r="AC734" s="406">
        <f t="shared" si="1757"/>
        <v>0</v>
      </c>
      <c r="AD734" s="406">
        <f t="shared" si="1757"/>
        <v>0</v>
      </c>
      <c r="AE734" s="3665">
        <v>0</v>
      </c>
      <c r="AF734" s="820">
        <f t="shared" si="1757"/>
        <v>0</v>
      </c>
      <c r="AG734" s="820">
        <f t="shared" si="1739"/>
        <v>0</v>
      </c>
      <c r="AH734" s="406">
        <f t="shared" si="1758"/>
        <v>0</v>
      </c>
      <c r="AI734" s="406">
        <f t="shared" si="1759"/>
        <v>0</v>
      </c>
      <c r="AJ734" s="406">
        <f t="shared" si="1760"/>
        <v>0</v>
      </c>
      <c r="AK734" s="820">
        <f t="shared" si="1761"/>
        <v>0</v>
      </c>
      <c r="AL734" s="820">
        <f t="shared" si="1755"/>
        <v>0</v>
      </c>
      <c r="AM734" s="820">
        <f t="shared" si="1762"/>
        <v>0</v>
      </c>
      <c r="AN734" s="820">
        <f t="shared" si="1762"/>
        <v>0</v>
      </c>
    </row>
    <row r="735" spans="1:40">
      <c r="A735" s="130" t="str">
        <f>$A$90</f>
        <v>Tru by Hilton</v>
      </c>
      <c r="B735" s="1030"/>
      <c r="C735" s="508"/>
      <c r="D735" s="1030"/>
      <c r="E735" s="912"/>
      <c r="F735" s="912"/>
      <c r="G735" s="1041"/>
      <c r="H735" s="820"/>
      <c r="I735" s="1030"/>
      <c r="J735" s="912"/>
      <c r="K735" s="912"/>
      <c r="L735" s="1041"/>
      <c r="M735" s="820"/>
      <c r="N735" s="1030"/>
      <c r="O735" s="912"/>
      <c r="P735" s="912"/>
      <c r="Q735" s="1041"/>
      <c r="R735" s="820"/>
      <c r="S735" s="1030"/>
      <c r="T735" s="912"/>
      <c r="U735" s="912"/>
      <c r="V735" s="912"/>
      <c r="W735" s="398"/>
      <c r="X735" s="2791"/>
      <c r="Y735" s="2791"/>
      <c r="Z735" s="2791"/>
      <c r="AA735" s="2791"/>
      <c r="AB735" s="398"/>
      <c r="AC735" s="406"/>
      <c r="AD735" s="406"/>
      <c r="AE735" s="3665">
        <v>0</v>
      </c>
      <c r="AF735" s="820">
        <f t="shared" si="1757"/>
        <v>0</v>
      </c>
      <c r="AG735" s="820">
        <f t="shared" si="1739"/>
        <v>0</v>
      </c>
      <c r="AH735" s="406">
        <f t="shared" si="1758"/>
        <v>0</v>
      </c>
      <c r="AI735" s="406">
        <f t="shared" si="1759"/>
        <v>0</v>
      </c>
      <c r="AJ735" s="406">
        <f t="shared" si="1760"/>
        <v>0</v>
      </c>
      <c r="AK735" s="820">
        <f t="shared" si="1761"/>
        <v>0</v>
      </c>
      <c r="AL735" s="820">
        <f t="shared" si="1755"/>
        <v>0</v>
      </c>
      <c r="AM735" s="398">
        <f t="shared" si="1762"/>
        <v>0</v>
      </c>
      <c r="AN735" s="398">
        <f t="shared" si="1762"/>
        <v>0</v>
      </c>
    </row>
    <row r="736" spans="1:40">
      <c r="A736" s="130" t="str">
        <f>$A$91</f>
        <v>Tapestry Collection by Hilton</v>
      </c>
      <c r="B736" s="1030"/>
      <c r="C736" s="508"/>
      <c r="D736" s="1030"/>
      <c r="E736" s="912"/>
      <c r="F736" s="912"/>
      <c r="G736" s="1041"/>
      <c r="H736" s="820"/>
      <c r="I736" s="1030"/>
      <c r="J736" s="912"/>
      <c r="K736" s="912"/>
      <c r="L736" s="1041"/>
      <c r="M736" s="820"/>
      <c r="N736" s="1030"/>
      <c r="O736" s="912"/>
      <c r="P736" s="912"/>
      <c r="Q736" s="1041"/>
      <c r="R736" s="820"/>
      <c r="S736" s="1030"/>
      <c r="T736" s="912"/>
      <c r="U736" s="912"/>
      <c r="V736" s="912"/>
      <c r="W736" s="398"/>
      <c r="X736" s="2791"/>
      <c r="Y736" s="2791"/>
      <c r="Z736" s="2791"/>
      <c r="AA736" s="2791"/>
      <c r="AB736" s="398"/>
      <c r="AC736" s="406"/>
      <c r="AD736" s="406"/>
      <c r="AE736" s="3665">
        <v>0</v>
      </c>
      <c r="AF736" s="820">
        <f t="shared" si="1757"/>
        <v>0</v>
      </c>
      <c r="AG736" s="820">
        <f t="shared" si="1739"/>
        <v>0</v>
      </c>
      <c r="AH736" s="406">
        <f t="shared" si="1758"/>
        <v>0</v>
      </c>
      <c r="AI736" s="406">
        <f t="shared" si="1759"/>
        <v>0</v>
      </c>
      <c r="AJ736" s="406">
        <f t="shared" si="1760"/>
        <v>0</v>
      </c>
      <c r="AK736" s="820">
        <f t="shared" si="1761"/>
        <v>0</v>
      </c>
      <c r="AL736" s="820">
        <f t="shared" si="1755"/>
        <v>0</v>
      </c>
      <c r="AM736" s="398">
        <f t="shared" si="1762"/>
        <v>0</v>
      </c>
      <c r="AN736" s="398">
        <f t="shared" si="1762"/>
        <v>0</v>
      </c>
    </row>
    <row r="737" spans="1:40" s="5" customFormat="1">
      <c r="A737" s="402" t="str">
        <f>A$21</f>
        <v>Homewood Suites by Hilton (Upscale)</v>
      </c>
      <c r="B737" s="1031">
        <v>0</v>
      </c>
      <c r="C737" s="1029">
        <v>0</v>
      </c>
      <c r="D737" s="1031">
        <v>0</v>
      </c>
      <c r="E737" s="1039">
        <v>0</v>
      </c>
      <c r="F737" s="1039">
        <v>0</v>
      </c>
      <c r="G737" s="1042">
        <v>0</v>
      </c>
      <c r="H737" s="700">
        <f t="shared" si="1746"/>
        <v>0</v>
      </c>
      <c r="I737" s="1031">
        <v>0</v>
      </c>
      <c r="J737" s="1039">
        <v>0</v>
      </c>
      <c r="K737" s="1039">
        <v>0</v>
      </c>
      <c r="L737" s="1042">
        <v>0</v>
      </c>
      <c r="M737" s="700">
        <f t="shared" si="1747"/>
        <v>0</v>
      </c>
      <c r="N737" s="1031">
        <v>0</v>
      </c>
      <c r="O737" s="1039">
        <v>0</v>
      </c>
      <c r="P737" s="1039">
        <v>0</v>
      </c>
      <c r="Q737" s="1042">
        <v>0</v>
      </c>
      <c r="R737" s="700">
        <f t="shared" si="1735"/>
        <v>0</v>
      </c>
      <c r="S737" s="1031">
        <v>0</v>
      </c>
      <c r="T737" s="1039">
        <v>0</v>
      </c>
      <c r="U737" s="1039">
        <v>0</v>
      </c>
      <c r="V737" s="1039">
        <v>0</v>
      </c>
      <c r="W737" s="403">
        <f t="shared" si="1736"/>
        <v>0</v>
      </c>
      <c r="X737" s="2788">
        <v>0</v>
      </c>
      <c r="Y737" s="2839">
        <v>0</v>
      </c>
      <c r="Z737" s="2839">
        <v>0</v>
      </c>
      <c r="AA737" s="2839">
        <v>0</v>
      </c>
      <c r="AB737" s="403">
        <f t="shared" si="1737"/>
        <v>0</v>
      </c>
      <c r="AC737" s="2392">
        <f>AB737*(1+AC$884)</f>
        <v>0</v>
      </c>
      <c r="AD737" s="2392">
        <f>AC737*(1+AD$884)</f>
        <v>0</v>
      </c>
      <c r="AE737" s="4002">
        <v>0</v>
      </c>
      <c r="AF737" s="700">
        <f>AE737*(1+AF$884)</f>
        <v>0</v>
      </c>
      <c r="AG737" s="700">
        <f t="shared" si="1739"/>
        <v>0</v>
      </c>
      <c r="AH737" s="2392">
        <f t="shared" ref="AH737:AI737" si="1763">AG737*(1+AH$884)</f>
        <v>0</v>
      </c>
      <c r="AI737" s="2392">
        <f t="shared" si="1763"/>
        <v>0</v>
      </c>
      <c r="AJ737" s="2392">
        <f>AI737*(1+AJ$884)</f>
        <v>0</v>
      </c>
      <c r="AK737" s="700">
        <f>AJ737*(1+AK$884)</f>
        <v>0</v>
      </c>
      <c r="AL737" s="700">
        <f t="shared" ref="AL737" si="1764">AK737</f>
        <v>0</v>
      </c>
      <c r="AM737" s="700">
        <f>AL737*(1+AM$883)</f>
        <v>0</v>
      </c>
      <c r="AN737" s="700">
        <f>AM737*(1+AN$883)</f>
        <v>0</v>
      </c>
    </row>
    <row r="738" spans="1:40">
      <c r="A738" s="482" t="s">
        <v>1687</v>
      </c>
      <c r="B738" s="1032">
        <f t="shared" ref="B738:R738" si="1765">SUM(B725:B737)</f>
        <v>19616</v>
      </c>
      <c r="C738" s="400">
        <f t="shared" si="1765"/>
        <v>23213</v>
      </c>
      <c r="D738" s="1032">
        <f t="shared" si="1765"/>
        <v>23997</v>
      </c>
      <c r="E738" s="405">
        <f t="shared" si="1765"/>
        <v>24204</v>
      </c>
      <c r="F738" s="405">
        <f t="shared" si="1765"/>
        <v>24510</v>
      </c>
      <c r="G738" s="821">
        <f t="shared" si="1765"/>
        <v>25991</v>
      </c>
      <c r="H738" s="821">
        <f t="shared" si="1765"/>
        <v>25991</v>
      </c>
      <c r="I738" s="1032">
        <f t="shared" si="1765"/>
        <v>26546</v>
      </c>
      <c r="J738" s="405">
        <f t="shared" si="1765"/>
        <v>28307</v>
      </c>
      <c r="K738" s="405">
        <f t="shared" si="1765"/>
        <v>28839</v>
      </c>
      <c r="L738" s="821">
        <f t="shared" si="1765"/>
        <v>31085</v>
      </c>
      <c r="M738" s="821">
        <f t="shared" si="1765"/>
        <v>31085</v>
      </c>
      <c r="N738" s="1032">
        <f t="shared" si="1765"/>
        <v>32126</v>
      </c>
      <c r="O738" s="405">
        <f t="shared" si="1765"/>
        <v>32670</v>
      </c>
      <c r="P738" s="405">
        <f t="shared" si="1765"/>
        <v>34080</v>
      </c>
      <c r="Q738" s="821">
        <f t="shared" si="1765"/>
        <v>36796</v>
      </c>
      <c r="R738" s="821">
        <f t="shared" si="1765"/>
        <v>36796</v>
      </c>
      <c r="S738" s="1032">
        <f t="shared" ref="S738:AB738" si="1766">SUM(S725:S737)</f>
        <v>36382</v>
      </c>
      <c r="T738" s="405">
        <f t="shared" si="1766"/>
        <v>36940</v>
      </c>
      <c r="U738" s="405">
        <f>SUM(U725:U737)</f>
        <v>40452</v>
      </c>
      <c r="V738" s="405">
        <f>SUM(V725:V737)</f>
        <v>42697</v>
      </c>
      <c r="W738" s="400">
        <f t="shared" si="1766"/>
        <v>42697</v>
      </c>
      <c r="X738" s="1032">
        <f t="shared" si="1766"/>
        <v>42999</v>
      </c>
      <c r="Y738" s="405">
        <f>SUM(Y725:Y737)</f>
        <v>44426</v>
      </c>
      <c r="Z738" s="405">
        <f>SUM(Z725:Z737)</f>
        <v>46422</v>
      </c>
      <c r="AA738" s="405">
        <f>SUM(AA725:AA737)</f>
        <v>49749</v>
      </c>
      <c r="AB738" s="400">
        <f t="shared" si="1766"/>
        <v>49749</v>
      </c>
      <c r="AC738" s="405">
        <f t="shared" ref="AC738:AN738" si="1767">SUM(AC725:AC737)</f>
        <v>50246.49</v>
      </c>
      <c r="AD738" s="405">
        <f t="shared" si="1767"/>
        <v>50740.373689915024</v>
      </c>
      <c r="AE738" s="405">
        <f t="shared" si="1767"/>
        <v>53033</v>
      </c>
      <c r="AF738" s="821">
        <f t="shared" si="1767"/>
        <v>55893</v>
      </c>
      <c r="AG738" s="400">
        <f t="shared" si="1767"/>
        <v>55893</v>
      </c>
      <c r="AH738" s="405">
        <f t="shared" si="1767"/>
        <v>56724.674999999996</v>
      </c>
      <c r="AI738" s="405">
        <f t="shared" si="1767"/>
        <v>57568.825124999988</v>
      </c>
      <c r="AJ738" s="405">
        <f t="shared" ref="AJ738:AL738" si="1768">SUM(AJ725:AJ737)</f>
        <v>58425.63750187499</v>
      </c>
      <c r="AK738" s="821">
        <f t="shared" si="1768"/>
        <v>59295.302064403098</v>
      </c>
      <c r="AL738" s="400">
        <f t="shared" si="1768"/>
        <v>59295.302064403098</v>
      </c>
      <c r="AM738" s="821">
        <f t="shared" si="1767"/>
        <v>61943.430657301236</v>
      </c>
      <c r="AN738" s="821">
        <f t="shared" si="1767"/>
        <v>63788.293577020268</v>
      </c>
    </row>
    <row r="739" spans="1:40">
      <c r="A739" s="130"/>
      <c r="B739" s="1033"/>
      <c r="C739" s="398"/>
      <c r="D739" s="1033"/>
      <c r="E739" s="406"/>
      <c r="F739" s="406"/>
      <c r="G739" s="820"/>
      <c r="H739" s="820"/>
      <c r="I739" s="1033"/>
      <c r="J739" s="406"/>
      <c r="K739" s="406"/>
      <c r="L739" s="820"/>
      <c r="M739" s="820"/>
      <c r="N739" s="401"/>
      <c r="O739" s="406"/>
      <c r="P739" s="406"/>
      <c r="Q739" s="820"/>
      <c r="R739" s="820"/>
      <c r="S739" s="1033"/>
      <c r="T739" s="406"/>
      <c r="U739" s="406"/>
      <c r="V739" s="406"/>
      <c r="W739" s="398"/>
      <c r="X739" s="406"/>
      <c r="Y739" s="406"/>
      <c r="Z739" s="406"/>
      <c r="AA739" s="406"/>
      <c r="AB739" s="398"/>
      <c r="AC739" s="406"/>
      <c r="AD739" s="406"/>
      <c r="AE739" s="406"/>
      <c r="AF739" s="820"/>
      <c r="AG739" s="398"/>
      <c r="AH739" s="406"/>
      <c r="AI739" s="406"/>
      <c r="AJ739" s="406"/>
      <c r="AK739" s="820"/>
      <c r="AL739" s="398"/>
      <c r="AM739" s="820"/>
      <c r="AN739" s="820"/>
    </row>
    <row r="740" spans="1:40">
      <c r="A740" s="295" t="s">
        <v>1284</v>
      </c>
      <c r="B740" s="1033"/>
      <c r="C740" s="398"/>
      <c r="D740" s="1033"/>
      <c r="E740" s="406"/>
      <c r="F740" s="406"/>
      <c r="G740" s="820"/>
      <c r="H740" s="820"/>
      <c r="I740" s="1033"/>
      <c r="J740" s="406"/>
      <c r="K740" s="406"/>
      <c r="L740" s="820"/>
      <c r="M740" s="820"/>
      <c r="N740" s="401"/>
      <c r="O740" s="406"/>
      <c r="P740" s="406"/>
      <c r="Q740" s="820"/>
      <c r="R740" s="820"/>
      <c r="S740" s="1033"/>
      <c r="T740" s="406"/>
      <c r="U740" s="406"/>
      <c r="V740" s="406"/>
      <c r="W740" s="398"/>
      <c r="X740" s="406"/>
      <c r="Y740" s="406"/>
      <c r="Z740" s="406"/>
      <c r="AA740" s="406"/>
      <c r="AB740" s="398"/>
      <c r="AC740" s="406"/>
      <c r="AD740" s="406"/>
      <c r="AE740" s="406"/>
      <c r="AF740" s="820"/>
      <c r="AG740" s="398"/>
      <c r="AH740" s="406"/>
      <c r="AI740" s="406"/>
      <c r="AJ740" s="406"/>
      <c r="AK740" s="820"/>
      <c r="AL740" s="398"/>
      <c r="AM740" s="820"/>
      <c r="AN740" s="820"/>
    </row>
    <row r="741" spans="1:40">
      <c r="A741" s="130" t="str">
        <f>A$9</f>
        <v>Waldorf Astoria Hotels &amp; Resorts (Luxury)</v>
      </c>
      <c r="B741" s="1030">
        <v>0</v>
      </c>
      <c r="C741" s="508">
        <v>0</v>
      </c>
      <c r="D741" s="1030">
        <v>0</v>
      </c>
      <c r="E741" s="912">
        <v>0</v>
      </c>
      <c r="F741" s="912">
        <v>0</v>
      </c>
      <c r="G741" s="1041">
        <v>0</v>
      </c>
      <c r="H741" s="820">
        <f>G741</f>
        <v>0</v>
      </c>
      <c r="I741" s="1030">
        <v>0</v>
      </c>
      <c r="J741" s="912">
        <v>0</v>
      </c>
      <c r="K741" s="912">
        <v>0</v>
      </c>
      <c r="L741" s="1041">
        <v>0</v>
      </c>
      <c r="M741" s="820">
        <f>L741</f>
        <v>0</v>
      </c>
      <c r="N741" s="1030">
        <v>0</v>
      </c>
      <c r="O741" s="912">
        <v>0</v>
      </c>
      <c r="P741" s="912">
        <v>0</v>
      </c>
      <c r="Q741" s="1041">
        <v>0</v>
      </c>
      <c r="R741" s="820">
        <f t="shared" ref="R741:R753" si="1769">Q741</f>
        <v>0</v>
      </c>
      <c r="S741" s="1030">
        <v>0</v>
      </c>
      <c r="T741" s="912">
        <v>0</v>
      </c>
      <c r="U741" s="912">
        <v>0</v>
      </c>
      <c r="V741" s="912">
        <v>0</v>
      </c>
      <c r="W741" s="398">
        <f t="shared" ref="W741:W753" si="1770">V741</f>
        <v>0</v>
      </c>
      <c r="X741" s="2787">
        <v>0</v>
      </c>
      <c r="Y741" s="2791">
        <v>0</v>
      </c>
      <c r="Z741" s="2791">
        <v>0</v>
      </c>
      <c r="AA741" s="2791">
        <v>0</v>
      </c>
      <c r="AB741" s="398">
        <f t="shared" ref="AB741:AB753" si="1771">AA741</f>
        <v>0</v>
      </c>
      <c r="AC741" s="406">
        <f t="shared" ref="AC741:AF742" si="1772">AB741*(1+AC$913)</f>
        <v>0</v>
      </c>
      <c r="AD741" s="406">
        <f t="shared" si="1772"/>
        <v>0</v>
      </c>
      <c r="AE741" s="3665">
        <v>0</v>
      </c>
      <c r="AF741" s="820">
        <f t="shared" si="1772"/>
        <v>0</v>
      </c>
      <c r="AG741" s="820">
        <f t="shared" ref="AG741:AG753" si="1773">AF741</f>
        <v>0</v>
      </c>
      <c r="AH741" s="406">
        <f t="shared" ref="AH741:AH742" si="1774">AG741*(1+AH$913)</f>
        <v>0</v>
      </c>
      <c r="AI741" s="406">
        <f t="shared" ref="AI741:AI742" si="1775">AH741*(1+AI$913)</f>
        <v>0</v>
      </c>
      <c r="AJ741" s="406">
        <f t="shared" ref="AJ741:AJ742" si="1776">AI741*(1+AJ$913)</f>
        <v>0</v>
      </c>
      <c r="AK741" s="820">
        <f t="shared" ref="AK741:AK742" si="1777">AJ741*(1+AK$913)</f>
        <v>0</v>
      </c>
      <c r="AL741" s="820">
        <f t="shared" ref="AL741:AL742" si="1778">AK741</f>
        <v>0</v>
      </c>
      <c r="AM741" s="398">
        <f t="shared" ref="AM741:AN742" si="1779">AL741*(1+AM$912)</f>
        <v>0</v>
      </c>
      <c r="AN741" s="398">
        <f t="shared" si="1779"/>
        <v>0</v>
      </c>
    </row>
    <row r="742" spans="1:40">
      <c r="A742" s="130" t="str">
        <f>A$10</f>
        <v>Conrad Hotels &amp; Resorts (Luxury)</v>
      </c>
      <c r="B742" s="1030">
        <v>0</v>
      </c>
      <c r="C742" s="508">
        <v>0</v>
      </c>
      <c r="D742" s="1030">
        <v>0</v>
      </c>
      <c r="E742" s="912">
        <v>636</v>
      </c>
      <c r="F742" s="912">
        <v>636</v>
      </c>
      <c r="G742" s="1041">
        <v>636</v>
      </c>
      <c r="H742" s="820">
        <f t="shared" ref="H742:H753" si="1780">G742</f>
        <v>636</v>
      </c>
      <c r="I742" s="1030">
        <v>636</v>
      </c>
      <c r="J742" s="912">
        <v>636</v>
      </c>
      <c r="K742" s="912">
        <v>636</v>
      </c>
      <c r="L742" s="1041">
        <v>636</v>
      </c>
      <c r="M742" s="820">
        <f t="shared" ref="M742:M753" si="1781">L742</f>
        <v>636</v>
      </c>
      <c r="N742" s="1030">
        <v>636</v>
      </c>
      <c r="O742" s="912">
        <v>636</v>
      </c>
      <c r="P742" s="912">
        <v>636</v>
      </c>
      <c r="Q742" s="1041">
        <v>636</v>
      </c>
      <c r="R742" s="820">
        <f t="shared" si="1769"/>
        <v>636</v>
      </c>
      <c r="S742" s="1030">
        <v>636</v>
      </c>
      <c r="T742" s="912">
        <v>636</v>
      </c>
      <c r="U742" s="912">
        <v>636</v>
      </c>
      <c r="V742" s="912">
        <v>636</v>
      </c>
      <c r="W742" s="398">
        <f t="shared" si="1770"/>
        <v>636</v>
      </c>
      <c r="X742" s="2787">
        <v>636</v>
      </c>
      <c r="Y742" s="2791">
        <v>654</v>
      </c>
      <c r="Z742" s="2791">
        <v>776</v>
      </c>
      <c r="AA742" s="2791">
        <v>776</v>
      </c>
      <c r="AB742" s="398">
        <f t="shared" si="1771"/>
        <v>776</v>
      </c>
      <c r="AC742" s="406">
        <f t="shared" si="1772"/>
        <v>787.63999999999987</v>
      </c>
      <c r="AD742" s="406">
        <f t="shared" si="1772"/>
        <v>807.33099999999979</v>
      </c>
      <c r="AE742" s="3665">
        <v>776</v>
      </c>
      <c r="AF742" s="3665">
        <v>768</v>
      </c>
      <c r="AG742" s="398">
        <f t="shared" si="1773"/>
        <v>768</v>
      </c>
      <c r="AH742" s="406">
        <f t="shared" si="1774"/>
        <v>775.68000000000006</v>
      </c>
      <c r="AI742" s="406">
        <f t="shared" si="1775"/>
        <v>783.43680000000006</v>
      </c>
      <c r="AJ742" s="406">
        <f t="shared" si="1776"/>
        <v>795.18835200000001</v>
      </c>
      <c r="AK742" s="820">
        <f t="shared" si="1777"/>
        <v>807.11617727999999</v>
      </c>
      <c r="AL742" s="820">
        <f t="shared" si="1778"/>
        <v>807.11617727999999</v>
      </c>
      <c r="AM742" s="398">
        <f t="shared" si="1779"/>
        <v>855.54314791680008</v>
      </c>
      <c r="AN742" s="398">
        <f t="shared" si="1779"/>
        <v>898.32030531264013</v>
      </c>
    </row>
    <row r="743" spans="1:40">
      <c r="A743" s="1828" t="s">
        <v>3022</v>
      </c>
      <c r="B743" s="1030"/>
      <c r="C743" s="508"/>
      <c r="D743" s="1030"/>
      <c r="E743" s="912"/>
      <c r="F743" s="912"/>
      <c r="G743" s="1041"/>
      <c r="H743" s="820"/>
      <c r="I743" s="1030"/>
      <c r="J743" s="912"/>
      <c r="K743" s="912"/>
      <c r="L743" s="1041"/>
      <c r="M743" s="820"/>
      <c r="N743" s="1030"/>
      <c r="O743" s="912"/>
      <c r="P743" s="912"/>
      <c r="Q743" s="1041"/>
      <c r="R743" s="820"/>
      <c r="S743" s="1030"/>
      <c r="T743" s="912"/>
      <c r="U743" s="912"/>
      <c r="V743" s="912"/>
      <c r="W743" s="398"/>
      <c r="X743" s="2791"/>
      <c r="Y743" s="2791"/>
      <c r="Z743" s="2791"/>
      <c r="AA743" s="2791">
        <v>0</v>
      </c>
      <c r="AB743" s="398">
        <f t="shared" ref="AB743:AG743" si="1782">+AA743</f>
        <v>0</v>
      </c>
      <c r="AC743" s="2944">
        <f t="shared" si="1782"/>
        <v>0</v>
      </c>
      <c r="AD743" s="406">
        <f t="shared" si="1782"/>
        <v>0</v>
      </c>
      <c r="AE743" s="3665">
        <v>0</v>
      </c>
      <c r="AF743" s="406">
        <f t="shared" si="1782"/>
        <v>0</v>
      </c>
      <c r="AG743" s="398">
        <f t="shared" si="1782"/>
        <v>0</v>
      </c>
      <c r="AH743" s="406">
        <f t="shared" ref="AH743" si="1783">+AG743</f>
        <v>0</v>
      </c>
      <c r="AI743" s="406">
        <f t="shared" ref="AI743" si="1784">+AH743</f>
        <v>0</v>
      </c>
      <c r="AJ743" s="406">
        <f t="shared" ref="AJ743" si="1785">+AI743</f>
        <v>0</v>
      </c>
      <c r="AK743" s="820">
        <f t="shared" ref="AK743" si="1786">+AJ743</f>
        <v>0</v>
      </c>
      <c r="AL743" s="398">
        <f t="shared" ref="AL743" si="1787">+AK743</f>
        <v>0</v>
      </c>
      <c r="AM743" s="398">
        <f>AL743</f>
        <v>0</v>
      </c>
      <c r="AN743" s="398">
        <f>AM743</f>
        <v>0</v>
      </c>
    </row>
    <row r="744" spans="1:40">
      <c r="A744" s="130" t="str">
        <f>A$12</f>
        <v>Hilton Hotels &amp; Resorts (Upper Up)</v>
      </c>
      <c r="B744" s="1030">
        <v>2833</v>
      </c>
      <c r="C744" s="508">
        <v>2834</v>
      </c>
      <c r="D744" s="1030">
        <v>2820</v>
      </c>
      <c r="E744" s="912">
        <v>2820</v>
      </c>
      <c r="F744" s="912">
        <v>2820</v>
      </c>
      <c r="G744" s="1041">
        <v>2820</v>
      </c>
      <c r="H744" s="820">
        <f t="shared" si="1780"/>
        <v>2820</v>
      </c>
      <c r="I744" s="1030">
        <v>2820</v>
      </c>
      <c r="J744" s="912">
        <v>2820</v>
      </c>
      <c r="K744" s="912">
        <v>2820</v>
      </c>
      <c r="L744" s="1041">
        <v>2974</v>
      </c>
      <c r="M744" s="820">
        <f t="shared" si="1781"/>
        <v>2974</v>
      </c>
      <c r="N744" s="1030">
        <v>2974</v>
      </c>
      <c r="O744" s="912">
        <v>2980</v>
      </c>
      <c r="P744" s="912">
        <v>2981</v>
      </c>
      <c r="Q744" s="1041">
        <v>2981</v>
      </c>
      <c r="R744" s="820">
        <f t="shared" si="1769"/>
        <v>2981</v>
      </c>
      <c r="S744" s="1030">
        <v>2980</v>
      </c>
      <c r="T744" s="912">
        <v>2980</v>
      </c>
      <c r="U744" s="912">
        <v>2980</v>
      </c>
      <c r="V744" s="912">
        <v>2982</v>
      </c>
      <c r="W744" s="398">
        <f t="shared" si="1770"/>
        <v>2982</v>
      </c>
      <c r="X744" s="2787">
        <v>2948</v>
      </c>
      <c r="Y744" s="2791">
        <v>2948</v>
      </c>
      <c r="Z744" s="2791">
        <v>2826</v>
      </c>
      <c r="AA744" s="2791">
        <v>2826</v>
      </c>
      <c r="AB744" s="398">
        <f t="shared" si="1771"/>
        <v>2826</v>
      </c>
      <c r="AC744" s="406">
        <f>AB744*(1+AC$913)</f>
        <v>2868.39</v>
      </c>
      <c r="AD744" s="406">
        <f>AC744*(1+AD$913)</f>
        <v>2940.0997499999994</v>
      </c>
      <c r="AE744" s="3665">
        <v>2826</v>
      </c>
      <c r="AF744" s="3665">
        <v>2826</v>
      </c>
      <c r="AG744" s="398">
        <f t="shared" si="1773"/>
        <v>2826</v>
      </c>
      <c r="AH744" s="406">
        <f t="shared" ref="AH744:AI744" si="1788">AG744*(1+AH$913)</f>
        <v>2854.26</v>
      </c>
      <c r="AI744" s="406">
        <f t="shared" si="1788"/>
        <v>2882.8026000000004</v>
      </c>
      <c r="AJ744" s="406">
        <f>AI744*(1+AJ$913)</f>
        <v>2926.0446390000002</v>
      </c>
      <c r="AK744" s="820">
        <f>AJ744*(1+AK$913)</f>
        <v>2969.9353085849998</v>
      </c>
      <c r="AL744" s="820">
        <f t="shared" ref="AL744:AL752" si="1789">AK744</f>
        <v>2969.9353085849998</v>
      </c>
      <c r="AM744" s="398">
        <f>AL744*(1+AM$912)</f>
        <v>3148.1314271001002</v>
      </c>
      <c r="AN744" s="398">
        <f>AM744*(1+AN$912)</f>
        <v>3305.5379984551055</v>
      </c>
    </row>
    <row r="745" spans="1:40">
      <c r="A745" s="130" t="str">
        <f>A$13</f>
        <v xml:space="preserve">Curio - A Collection by Hilton </v>
      </c>
      <c r="B745" s="1030"/>
      <c r="C745" s="508"/>
      <c r="D745" s="1030"/>
      <c r="E745" s="912"/>
      <c r="F745" s="912"/>
      <c r="G745" s="1041"/>
      <c r="H745" s="820"/>
      <c r="I745" s="1030"/>
      <c r="J745" s="912"/>
      <c r="K745" s="912"/>
      <c r="L745" s="1041"/>
      <c r="M745" s="820"/>
      <c r="N745" s="1030"/>
      <c r="O745" s="912"/>
      <c r="P745" s="912"/>
      <c r="Q745" s="1041"/>
      <c r="R745" s="820"/>
      <c r="S745" s="1030">
        <v>0</v>
      </c>
      <c r="T745" s="912">
        <v>0</v>
      </c>
      <c r="U745" s="912">
        <v>0</v>
      </c>
      <c r="V745" s="912">
        <v>0</v>
      </c>
      <c r="W745" s="398">
        <f t="shared" si="1770"/>
        <v>0</v>
      </c>
      <c r="X745" s="2787">
        <v>0</v>
      </c>
      <c r="Y745" s="2791">
        <v>0</v>
      </c>
      <c r="Z745" s="2791">
        <v>0</v>
      </c>
      <c r="AA745" s="2791">
        <v>0</v>
      </c>
      <c r="AB745" s="398">
        <f t="shared" si="1771"/>
        <v>0</v>
      </c>
      <c r="AC745" s="406">
        <f>AB745</f>
        <v>0</v>
      </c>
      <c r="AD745" s="406">
        <f>AC745</f>
        <v>0</v>
      </c>
      <c r="AE745" s="3665">
        <v>0</v>
      </c>
      <c r="AF745" s="406">
        <f>AE745</f>
        <v>0</v>
      </c>
      <c r="AG745" s="398">
        <f t="shared" si="1773"/>
        <v>0</v>
      </c>
      <c r="AH745" s="406">
        <f t="shared" ref="AH745:AI745" si="1790">AG745</f>
        <v>0</v>
      </c>
      <c r="AI745" s="406">
        <f t="shared" si="1790"/>
        <v>0</v>
      </c>
      <c r="AJ745" s="406">
        <f>AI745</f>
        <v>0</v>
      </c>
      <c r="AK745" s="820">
        <f>AJ745</f>
        <v>0</v>
      </c>
      <c r="AL745" s="820">
        <f t="shared" si="1789"/>
        <v>0</v>
      </c>
      <c r="AM745" s="398">
        <f>AL745</f>
        <v>0</v>
      </c>
      <c r="AN745" s="398">
        <f>AM745</f>
        <v>0</v>
      </c>
    </row>
    <row r="746" spans="1:40">
      <c r="A746" s="130" t="str">
        <f>A$14</f>
        <v>DoubleTree by Hilton (Upscale)</v>
      </c>
      <c r="B746" s="1030">
        <v>0</v>
      </c>
      <c r="C746" s="508">
        <v>0</v>
      </c>
      <c r="D746" s="1030">
        <v>850</v>
      </c>
      <c r="E746" s="912">
        <v>850</v>
      </c>
      <c r="F746" s="912">
        <v>850</v>
      </c>
      <c r="G746" s="1041">
        <v>850</v>
      </c>
      <c r="H746" s="820">
        <f t="shared" si="1780"/>
        <v>850</v>
      </c>
      <c r="I746" s="1030">
        <v>850</v>
      </c>
      <c r="J746" s="912">
        <v>850</v>
      </c>
      <c r="K746" s="912">
        <v>965</v>
      </c>
      <c r="L746" s="1041">
        <v>965</v>
      </c>
      <c r="M746" s="820">
        <f t="shared" si="1781"/>
        <v>965</v>
      </c>
      <c r="N746" s="1030">
        <v>965</v>
      </c>
      <c r="O746" s="912">
        <v>965</v>
      </c>
      <c r="P746" s="912">
        <v>965</v>
      </c>
      <c r="Q746" s="1041">
        <v>965</v>
      </c>
      <c r="R746" s="820">
        <f t="shared" si="1769"/>
        <v>965</v>
      </c>
      <c r="S746" s="1030">
        <v>965</v>
      </c>
      <c r="T746" s="912">
        <v>965</v>
      </c>
      <c r="U746" s="912">
        <v>965</v>
      </c>
      <c r="V746" s="912">
        <v>965</v>
      </c>
      <c r="W746" s="398">
        <f t="shared" si="1770"/>
        <v>965</v>
      </c>
      <c r="X746" s="2787">
        <v>965</v>
      </c>
      <c r="Y746" s="2791">
        <v>965</v>
      </c>
      <c r="Z746" s="2791">
        <v>965</v>
      </c>
      <c r="AA746" s="2791">
        <v>965</v>
      </c>
      <c r="AB746" s="398">
        <f t="shared" si="1771"/>
        <v>965</v>
      </c>
      <c r="AC746" s="406">
        <f t="shared" ref="AC746:AF752" si="1791">AB746*(1+AC$913)</f>
        <v>979.47499999999991</v>
      </c>
      <c r="AD746" s="406">
        <f t="shared" si="1791"/>
        <v>1003.9618749999998</v>
      </c>
      <c r="AE746" s="3665">
        <v>965</v>
      </c>
      <c r="AF746" s="3665">
        <v>965</v>
      </c>
      <c r="AG746" s="398">
        <f t="shared" si="1773"/>
        <v>965</v>
      </c>
      <c r="AH746" s="406">
        <f t="shared" ref="AH746:AH752" si="1792">AG746*(1+AH$913)</f>
        <v>974.65</v>
      </c>
      <c r="AI746" s="406">
        <f t="shared" ref="AI746:AI752" si="1793">AH746*(1+AI$913)</f>
        <v>984.39649999999995</v>
      </c>
      <c r="AJ746" s="406">
        <f t="shared" ref="AJ746:AJ752" si="1794">AI746*(1+AJ$913)</f>
        <v>999.16244749999987</v>
      </c>
      <c r="AK746" s="820">
        <f t="shared" ref="AK746:AK752" si="1795">AJ746*(1+AK$913)</f>
        <v>1014.1498842124997</v>
      </c>
      <c r="AL746" s="820">
        <f t="shared" si="1789"/>
        <v>1014.1498842124997</v>
      </c>
      <c r="AM746" s="398">
        <f t="shared" ref="AM746:AN752" si="1796">AL746*(1+AM$912)</f>
        <v>1074.9988772652498</v>
      </c>
      <c r="AN746" s="398">
        <f t="shared" si="1796"/>
        <v>1128.7488211285124</v>
      </c>
    </row>
    <row r="747" spans="1:40">
      <c r="A747" s="130" t="str">
        <f>A$15</f>
        <v>Embassy Suites Hotels (Upper Up)</v>
      </c>
      <c r="B747" s="1030">
        <v>0</v>
      </c>
      <c r="C747" s="508">
        <v>0</v>
      </c>
      <c r="D747" s="1030">
        <v>0</v>
      </c>
      <c r="E747" s="912">
        <v>0</v>
      </c>
      <c r="F747" s="912">
        <v>0</v>
      </c>
      <c r="G747" s="1041">
        <v>0</v>
      </c>
      <c r="H747" s="820">
        <f t="shared" si="1780"/>
        <v>0</v>
      </c>
      <c r="I747" s="1030">
        <v>0</v>
      </c>
      <c r="J747" s="912">
        <v>0</v>
      </c>
      <c r="K747" s="912">
        <v>0</v>
      </c>
      <c r="L747" s="1041">
        <v>0</v>
      </c>
      <c r="M747" s="820">
        <f t="shared" si="1781"/>
        <v>0</v>
      </c>
      <c r="N747" s="1030">
        <v>0</v>
      </c>
      <c r="O747" s="912">
        <v>0</v>
      </c>
      <c r="P747" s="912">
        <v>0</v>
      </c>
      <c r="Q747" s="1041">
        <v>0</v>
      </c>
      <c r="R747" s="820">
        <f t="shared" si="1769"/>
        <v>0</v>
      </c>
      <c r="S747" s="1030">
        <v>0</v>
      </c>
      <c r="T747" s="912">
        <v>0</v>
      </c>
      <c r="U747" s="912">
        <v>0</v>
      </c>
      <c r="V747" s="912">
        <v>0</v>
      </c>
      <c r="W747" s="398">
        <f t="shared" si="1770"/>
        <v>0</v>
      </c>
      <c r="X747" s="2787">
        <v>0</v>
      </c>
      <c r="Y747" s="2791">
        <v>0</v>
      </c>
      <c r="Z747" s="2791">
        <v>0</v>
      </c>
      <c r="AA747" s="2791">
        <v>0</v>
      </c>
      <c r="AB747" s="398">
        <f t="shared" si="1771"/>
        <v>0</v>
      </c>
      <c r="AC747" s="406">
        <f t="shared" si="1791"/>
        <v>0</v>
      </c>
      <c r="AD747" s="406">
        <f t="shared" si="1791"/>
        <v>0</v>
      </c>
      <c r="AE747" s="3665">
        <v>0</v>
      </c>
      <c r="AF747" s="406">
        <f t="shared" si="1791"/>
        <v>0</v>
      </c>
      <c r="AG747" s="398">
        <f t="shared" si="1773"/>
        <v>0</v>
      </c>
      <c r="AH747" s="406">
        <f t="shared" si="1792"/>
        <v>0</v>
      </c>
      <c r="AI747" s="406">
        <f t="shared" si="1793"/>
        <v>0</v>
      </c>
      <c r="AJ747" s="406">
        <f t="shared" si="1794"/>
        <v>0</v>
      </c>
      <c r="AK747" s="820">
        <f t="shared" si="1795"/>
        <v>0</v>
      </c>
      <c r="AL747" s="820">
        <f t="shared" si="1789"/>
        <v>0</v>
      </c>
      <c r="AM747" s="398">
        <f t="shared" si="1796"/>
        <v>0</v>
      </c>
      <c r="AN747" s="398">
        <f t="shared" si="1796"/>
        <v>0</v>
      </c>
    </row>
    <row r="748" spans="1:40">
      <c r="A748" s="130" t="str">
        <f>A$16</f>
        <v>Hilton Garden Inn (Upscale)</v>
      </c>
      <c r="B748" s="1030">
        <v>0</v>
      </c>
      <c r="C748" s="508">
        <v>0</v>
      </c>
      <c r="D748" s="1030">
        <v>0</v>
      </c>
      <c r="E748" s="912">
        <v>0</v>
      </c>
      <c r="F748" s="912">
        <v>0</v>
      </c>
      <c r="G748" s="1041">
        <v>0</v>
      </c>
      <c r="H748" s="820">
        <f t="shared" si="1780"/>
        <v>0</v>
      </c>
      <c r="I748" s="1030">
        <v>0</v>
      </c>
      <c r="J748" s="912">
        <v>0</v>
      </c>
      <c r="K748" s="912">
        <v>0</v>
      </c>
      <c r="L748" s="1041">
        <v>0</v>
      </c>
      <c r="M748" s="820">
        <f t="shared" si="1781"/>
        <v>0</v>
      </c>
      <c r="N748" s="1030">
        <v>0</v>
      </c>
      <c r="O748" s="912">
        <v>0</v>
      </c>
      <c r="P748" s="912">
        <v>0</v>
      </c>
      <c r="Q748" s="1041">
        <v>0</v>
      </c>
      <c r="R748" s="820">
        <f t="shared" si="1769"/>
        <v>0</v>
      </c>
      <c r="S748" s="1030">
        <v>0</v>
      </c>
      <c r="T748" s="912">
        <v>0</v>
      </c>
      <c r="U748" s="912">
        <v>0</v>
      </c>
      <c r="V748" s="912">
        <v>0</v>
      </c>
      <c r="W748" s="398">
        <f t="shared" si="1770"/>
        <v>0</v>
      </c>
      <c r="X748" s="2787">
        <v>0</v>
      </c>
      <c r="Y748" s="2791">
        <v>0</v>
      </c>
      <c r="Z748" s="2791">
        <v>0</v>
      </c>
      <c r="AA748" s="2791">
        <v>0</v>
      </c>
      <c r="AB748" s="398">
        <f t="shared" si="1771"/>
        <v>0</v>
      </c>
      <c r="AC748" s="406">
        <f t="shared" si="1791"/>
        <v>0</v>
      </c>
      <c r="AD748" s="406">
        <f t="shared" si="1791"/>
        <v>0</v>
      </c>
      <c r="AE748" s="3665">
        <v>0</v>
      </c>
      <c r="AF748" s="406">
        <f t="shared" si="1791"/>
        <v>0</v>
      </c>
      <c r="AG748" s="398">
        <f t="shared" si="1773"/>
        <v>0</v>
      </c>
      <c r="AH748" s="406">
        <f t="shared" si="1792"/>
        <v>0</v>
      </c>
      <c r="AI748" s="406">
        <f t="shared" si="1793"/>
        <v>0</v>
      </c>
      <c r="AJ748" s="406">
        <f t="shared" si="1794"/>
        <v>0</v>
      </c>
      <c r="AK748" s="820">
        <f t="shared" si="1795"/>
        <v>0</v>
      </c>
      <c r="AL748" s="820">
        <f t="shared" si="1789"/>
        <v>0</v>
      </c>
      <c r="AM748" s="398">
        <f t="shared" si="1796"/>
        <v>0</v>
      </c>
      <c r="AN748" s="398">
        <f t="shared" si="1796"/>
        <v>0</v>
      </c>
    </row>
    <row r="749" spans="1:40">
      <c r="A749" s="130" t="str">
        <f>A$17</f>
        <v>Hampton Inn (Upper Mid)</v>
      </c>
      <c r="B749" s="1030">
        <v>0</v>
      </c>
      <c r="C749" s="508">
        <v>72</v>
      </c>
      <c r="D749" s="1030">
        <v>72</v>
      </c>
      <c r="E749" s="912">
        <v>72</v>
      </c>
      <c r="F749" s="912">
        <v>72</v>
      </c>
      <c r="G749" s="1041">
        <v>72</v>
      </c>
      <c r="H749" s="820">
        <f t="shared" si="1780"/>
        <v>72</v>
      </c>
      <c r="I749" s="1030">
        <v>72</v>
      </c>
      <c r="J749" s="912">
        <v>72</v>
      </c>
      <c r="K749" s="912">
        <v>72</v>
      </c>
      <c r="L749" s="1041">
        <v>72</v>
      </c>
      <c r="M749" s="820">
        <f t="shared" si="1781"/>
        <v>72</v>
      </c>
      <c r="N749" s="1030">
        <v>72</v>
      </c>
      <c r="O749" s="912">
        <v>72</v>
      </c>
      <c r="P749" s="912">
        <v>72</v>
      </c>
      <c r="Q749" s="1041">
        <v>72</v>
      </c>
      <c r="R749" s="820">
        <f t="shared" si="1769"/>
        <v>72</v>
      </c>
      <c r="S749" s="1030">
        <v>72</v>
      </c>
      <c r="T749" s="912">
        <v>72</v>
      </c>
      <c r="U749" s="912">
        <v>72</v>
      </c>
      <c r="V749" s="912">
        <v>374</v>
      </c>
      <c r="W749" s="398">
        <f t="shared" si="1770"/>
        <v>374</v>
      </c>
      <c r="X749" s="2787">
        <v>597</v>
      </c>
      <c r="Y749" s="2791">
        <v>817</v>
      </c>
      <c r="Z749" s="2791">
        <v>1277</v>
      </c>
      <c r="AA749" s="2791">
        <v>1585</v>
      </c>
      <c r="AB749" s="398">
        <f t="shared" si="1771"/>
        <v>1585</v>
      </c>
      <c r="AC749" s="406">
        <f t="shared" si="1791"/>
        <v>1608.7749999999999</v>
      </c>
      <c r="AD749" s="406">
        <f t="shared" si="1791"/>
        <v>1648.9943749999998</v>
      </c>
      <c r="AE749" s="3665">
        <v>3200</v>
      </c>
      <c r="AF749" s="3665">
        <v>3809</v>
      </c>
      <c r="AG749" s="398">
        <f t="shared" si="1773"/>
        <v>3809</v>
      </c>
      <c r="AH749" s="406">
        <f t="shared" si="1792"/>
        <v>3847.09</v>
      </c>
      <c r="AI749" s="406">
        <f t="shared" si="1793"/>
        <v>3885.5609000000004</v>
      </c>
      <c r="AJ749" s="406">
        <f t="shared" si="1794"/>
        <v>3943.8443135000002</v>
      </c>
      <c r="AK749" s="820">
        <f t="shared" si="1795"/>
        <v>4003.0019782024997</v>
      </c>
      <c r="AL749" s="820">
        <f t="shared" si="1789"/>
        <v>4003.0019782024997</v>
      </c>
      <c r="AM749" s="398">
        <f t="shared" si="1796"/>
        <v>4243.1820968946495</v>
      </c>
      <c r="AN749" s="398">
        <f t="shared" si="1796"/>
        <v>4455.3412017393821</v>
      </c>
    </row>
    <row r="750" spans="1:40">
      <c r="A750" s="130" t="s">
        <v>1408</v>
      </c>
      <c r="B750" s="1030">
        <v>0</v>
      </c>
      <c r="C750" s="508">
        <v>0</v>
      </c>
      <c r="D750" s="1030">
        <v>0</v>
      </c>
      <c r="E750" s="912">
        <v>0</v>
      </c>
      <c r="F750" s="912">
        <v>0</v>
      </c>
      <c r="G750" s="1041">
        <v>0</v>
      </c>
      <c r="H750" s="820">
        <f t="shared" si="1780"/>
        <v>0</v>
      </c>
      <c r="I750" s="1030">
        <v>0</v>
      </c>
      <c r="J750" s="912">
        <v>0</v>
      </c>
      <c r="K750" s="912">
        <v>0</v>
      </c>
      <c r="L750" s="1041">
        <v>0</v>
      </c>
      <c r="M750" s="820">
        <f t="shared" si="1781"/>
        <v>0</v>
      </c>
      <c r="N750" s="1030">
        <v>0</v>
      </c>
      <c r="O750" s="912">
        <v>0</v>
      </c>
      <c r="P750" s="912">
        <v>0</v>
      </c>
      <c r="Q750" s="1041">
        <v>0</v>
      </c>
      <c r="R750" s="820">
        <f t="shared" si="1769"/>
        <v>0</v>
      </c>
      <c r="S750" s="1030">
        <v>0</v>
      </c>
      <c r="T750" s="912">
        <v>0</v>
      </c>
      <c r="U750" s="912">
        <v>0</v>
      </c>
      <c r="V750" s="912">
        <v>0</v>
      </c>
      <c r="W750" s="398">
        <f t="shared" si="1770"/>
        <v>0</v>
      </c>
      <c r="X750" s="2787">
        <v>0</v>
      </c>
      <c r="Y750" s="2791">
        <v>0</v>
      </c>
      <c r="Z750" s="2791">
        <v>0</v>
      </c>
      <c r="AA750" s="2791">
        <v>0</v>
      </c>
      <c r="AB750" s="398">
        <f t="shared" si="1771"/>
        <v>0</v>
      </c>
      <c r="AC750" s="406">
        <f t="shared" si="1791"/>
        <v>0</v>
      </c>
      <c r="AD750" s="406">
        <f t="shared" si="1791"/>
        <v>0</v>
      </c>
      <c r="AE750" s="3665">
        <v>0</v>
      </c>
      <c r="AF750" s="820">
        <f t="shared" si="1791"/>
        <v>0</v>
      </c>
      <c r="AG750" s="820">
        <f t="shared" si="1773"/>
        <v>0</v>
      </c>
      <c r="AH750" s="406">
        <f t="shared" si="1792"/>
        <v>0</v>
      </c>
      <c r="AI750" s="406">
        <f t="shared" si="1793"/>
        <v>0</v>
      </c>
      <c r="AJ750" s="406">
        <f t="shared" si="1794"/>
        <v>0</v>
      </c>
      <c r="AK750" s="820">
        <f t="shared" si="1795"/>
        <v>0</v>
      </c>
      <c r="AL750" s="820">
        <f t="shared" si="1789"/>
        <v>0</v>
      </c>
      <c r="AM750" s="820">
        <f t="shared" si="1796"/>
        <v>0</v>
      </c>
      <c r="AN750" s="820">
        <f t="shared" si="1796"/>
        <v>0</v>
      </c>
    </row>
    <row r="751" spans="1:40">
      <c r="A751" s="130" t="str">
        <f>$A$90</f>
        <v>Tru by Hilton</v>
      </c>
      <c r="B751" s="1030"/>
      <c r="C751" s="508"/>
      <c r="D751" s="1030"/>
      <c r="E751" s="912"/>
      <c r="F751" s="912"/>
      <c r="G751" s="1041"/>
      <c r="H751" s="820"/>
      <c r="I751" s="1030"/>
      <c r="J751" s="912"/>
      <c r="K751" s="912"/>
      <c r="L751" s="1041"/>
      <c r="M751" s="820"/>
      <c r="N751" s="1030"/>
      <c r="O751" s="912"/>
      <c r="P751" s="912"/>
      <c r="Q751" s="1041"/>
      <c r="R751" s="820"/>
      <c r="S751" s="1030"/>
      <c r="T751" s="912"/>
      <c r="U751" s="912"/>
      <c r="V751" s="912"/>
      <c r="W751" s="398"/>
      <c r="X751" s="2791"/>
      <c r="Y751" s="2791"/>
      <c r="Z751" s="2791"/>
      <c r="AA751" s="2791"/>
      <c r="AB751" s="398"/>
      <c r="AC751" s="406"/>
      <c r="AD751" s="406"/>
      <c r="AE751" s="3665">
        <v>0</v>
      </c>
      <c r="AF751" s="820">
        <f t="shared" si="1791"/>
        <v>0</v>
      </c>
      <c r="AG751" s="820">
        <f t="shared" si="1773"/>
        <v>0</v>
      </c>
      <c r="AH751" s="406">
        <f t="shared" si="1792"/>
        <v>0</v>
      </c>
      <c r="AI751" s="406">
        <f t="shared" si="1793"/>
        <v>0</v>
      </c>
      <c r="AJ751" s="406">
        <f t="shared" si="1794"/>
        <v>0</v>
      </c>
      <c r="AK751" s="820">
        <f t="shared" si="1795"/>
        <v>0</v>
      </c>
      <c r="AL751" s="820">
        <f t="shared" si="1789"/>
        <v>0</v>
      </c>
      <c r="AM751" s="398">
        <f t="shared" si="1796"/>
        <v>0</v>
      </c>
      <c r="AN751" s="398">
        <f t="shared" si="1796"/>
        <v>0</v>
      </c>
    </row>
    <row r="752" spans="1:40">
      <c r="A752" s="130" t="str">
        <f>$A$91</f>
        <v>Tapestry Collection by Hilton</v>
      </c>
      <c r="B752" s="1030"/>
      <c r="C752" s="508"/>
      <c r="D752" s="1030"/>
      <c r="E752" s="912"/>
      <c r="F752" s="912"/>
      <c r="G752" s="1041"/>
      <c r="H752" s="820"/>
      <c r="I752" s="1030"/>
      <c r="J752" s="912"/>
      <c r="K752" s="912"/>
      <c r="L752" s="1041"/>
      <c r="M752" s="820"/>
      <c r="N752" s="1030"/>
      <c r="O752" s="912"/>
      <c r="P752" s="912"/>
      <c r="Q752" s="1041"/>
      <c r="R752" s="820"/>
      <c r="S752" s="1030"/>
      <c r="T752" s="912"/>
      <c r="U752" s="912"/>
      <c r="V752" s="912"/>
      <c r="W752" s="398"/>
      <c r="X752" s="2791"/>
      <c r="Y752" s="2791"/>
      <c r="Z752" s="2791"/>
      <c r="AA752" s="2791"/>
      <c r="AB752" s="398"/>
      <c r="AC752" s="406"/>
      <c r="AD752" s="406"/>
      <c r="AE752" s="3665">
        <v>0</v>
      </c>
      <c r="AF752" s="820">
        <f t="shared" si="1791"/>
        <v>0</v>
      </c>
      <c r="AG752" s="820">
        <f t="shared" si="1773"/>
        <v>0</v>
      </c>
      <c r="AH752" s="406">
        <f t="shared" si="1792"/>
        <v>0</v>
      </c>
      <c r="AI752" s="406">
        <f t="shared" si="1793"/>
        <v>0</v>
      </c>
      <c r="AJ752" s="406">
        <f t="shared" si="1794"/>
        <v>0</v>
      </c>
      <c r="AK752" s="820">
        <f t="shared" si="1795"/>
        <v>0</v>
      </c>
      <c r="AL752" s="820">
        <f t="shared" si="1789"/>
        <v>0</v>
      </c>
      <c r="AM752" s="398">
        <f t="shared" si="1796"/>
        <v>0</v>
      </c>
      <c r="AN752" s="398">
        <f t="shared" si="1796"/>
        <v>0</v>
      </c>
    </row>
    <row r="753" spans="1:40" s="5" customFormat="1" collapsed="1">
      <c r="A753" s="402" t="str">
        <f>A$21</f>
        <v>Homewood Suites by Hilton (Upscale)</v>
      </c>
      <c r="B753" s="1031">
        <v>0</v>
      </c>
      <c r="C753" s="1029">
        <v>0</v>
      </c>
      <c r="D753" s="1031">
        <v>0</v>
      </c>
      <c r="E753" s="1039">
        <v>0</v>
      </c>
      <c r="F753" s="1039">
        <v>0</v>
      </c>
      <c r="G753" s="1042">
        <v>0</v>
      </c>
      <c r="H753" s="700">
        <f t="shared" si="1780"/>
        <v>0</v>
      </c>
      <c r="I753" s="1031">
        <v>0</v>
      </c>
      <c r="J753" s="1039">
        <v>0</v>
      </c>
      <c r="K753" s="1039">
        <v>0</v>
      </c>
      <c r="L753" s="1042">
        <v>0</v>
      </c>
      <c r="M753" s="700">
        <f t="shared" si="1781"/>
        <v>0</v>
      </c>
      <c r="N753" s="1031">
        <v>0</v>
      </c>
      <c r="O753" s="1039">
        <v>0</v>
      </c>
      <c r="P753" s="1039">
        <v>0</v>
      </c>
      <c r="Q753" s="1042">
        <v>0</v>
      </c>
      <c r="R753" s="700">
        <f t="shared" si="1769"/>
        <v>0</v>
      </c>
      <c r="S753" s="1031">
        <v>0</v>
      </c>
      <c r="T753" s="1039">
        <v>0</v>
      </c>
      <c r="U753" s="1039">
        <v>0</v>
      </c>
      <c r="V753" s="1039">
        <v>0</v>
      </c>
      <c r="W753" s="403">
        <f t="shared" si="1770"/>
        <v>0</v>
      </c>
      <c r="X753" s="2788">
        <v>0</v>
      </c>
      <c r="Y753" s="2839">
        <v>0</v>
      </c>
      <c r="Z753" s="2839">
        <v>0</v>
      </c>
      <c r="AA753" s="2839">
        <v>0</v>
      </c>
      <c r="AB753" s="403">
        <f t="shared" si="1771"/>
        <v>0</v>
      </c>
      <c r="AC753" s="2392">
        <f>AB753*(1+AC$913)</f>
        <v>0</v>
      </c>
      <c r="AD753" s="2392">
        <f>AC753*(1+AD$913)</f>
        <v>0</v>
      </c>
      <c r="AE753" s="4002">
        <v>0</v>
      </c>
      <c r="AF753" s="700">
        <f>AE753*(1+AF$913)</f>
        <v>0</v>
      </c>
      <c r="AG753" s="700">
        <f t="shared" si="1773"/>
        <v>0</v>
      </c>
      <c r="AH753" s="2392">
        <f t="shared" ref="AH753:AI753" si="1797">AG753*(1+AH$913)</f>
        <v>0</v>
      </c>
      <c r="AI753" s="2392">
        <f t="shared" si="1797"/>
        <v>0</v>
      </c>
      <c r="AJ753" s="2392">
        <f>AI753*(1+AJ$913)</f>
        <v>0</v>
      </c>
      <c r="AK753" s="700">
        <f>AJ753*(1+AK$913)</f>
        <v>0</v>
      </c>
      <c r="AL753" s="700">
        <f t="shared" ref="AL753" si="1798">AK753</f>
        <v>0</v>
      </c>
      <c r="AM753" s="700">
        <f>AL753*(1+AM$912)</f>
        <v>0</v>
      </c>
      <c r="AN753" s="700">
        <f>AM753*(1+AN$912)</f>
        <v>0</v>
      </c>
    </row>
    <row r="754" spans="1:40">
      <c r="A754" s="482" t="s">
        <v>1687</v>
      </c>
      <c r="B754" s="1032">
        <f t="shared" ref="B754:R754" si="1799">SUM(B741:B753)</f>
        <v>2833</v>
      </c>
      <c r="C754" s="400">
        <f t="shared" si="1799"/>
        <v>2906</v>
      </c>
      <c r="D754" s="1032">
        <f t="shared" si="1799"/>
        <v>3742</v>
      </c>
      <c r="E754" s="405">
        <f t="shared" si="1799"/>
        <v>4378</v>
      </c>
      <c r="F754" s="405">
        <f t="shared" si="1799"/>
        <v>4378</v>
      </c>
      <c r="G754" s="821">
        <f t="shared" si="1799"/>
        <v>4378</v>
      </c>
      <c r="H754" s="821">
        <f t="shared" si="1799"/>
        <v>4378</v>
      </c>
      <c r="I754" s="1032">
        <f t="shared" si="1799"/>
        <v>4378</v>
      </c>
      <c r="J754" s="405">
        <f t="shared" si="1799"/>
        <v>4378</v>
      </c>
      <c r="K754" s="405">
        <f t="shared" si="1799"/>
        <v>4493</v>
      </c>
      <c r="L754" s="821">
        <f t="shared" si="1799"/>
        <v>4647</v>
      </c>
      <c r="M754" s="821">
        <f t="shared" si="1799"/>
        <v>4647</v>
      </c>
      <c r="N754" s="399">
        <f t="shared" si="1799"/>
        <v>4647</v>
      </c>
      <c r="O754" s="399">
        <f t="shared" si="1799"/>
        <v>4653</v>
      </c>
      <c r="P754" s="399">
        <f t="shared" si="1799"/>
        <v>4654</v>
      </c>
      <c r="Q754" s="399">
        <f t="shared" si="1799"/>
        <v>4654</v>
      </c>
      <c r="R754" s="400">
        <f t="shared" si="1799"/>
        <v>4654</v>
      </c>
      <c r="S754" s="1032">
        <f t="shared" ref="S754:AB754" si="1800">SUM(S741:S753)</f>
        <v>4653</v>
      </c>
      <c r="T754" s="405">
        <f t="shared" si="1800"/>
        <v>4653</v>
      </c>
      <c r="U754" s="405">
        <f>SUM(U741:U753)</f>
        <v>4653</v>
      </c>
      <c r="V754" s="405">
        <f>SUM(V741:V753)</f>
        <v>4957</v>
      </c>
      <c r="W754" s="400">
        <f t="shared" si="1800"/>
        <v>4957</v>
      </c>
      <c r="X754" s="1032">
        <f t="shared" si="1800"/>
        <v>5146</v>
      </c>
      <c r="Y754" s="405">
        <f>SUM(Y741:Y753)</f>
        <v>5384</v>
      </c>
      <c r="Z754" s="405">
        <f>SUM(Z741:Z753)</f>
        <v>5844</v>
      </c>
      <c r="AA754" s="405">
        <f>SUM(AA741:AA753)</f>
        <v>6152</v>
      </c>
      <c r="AB754" s="400">
        <f t="shared" si="1800"/>
        <v>6152</v>
      </c>
      <c r="AC754" s="405">
        <f t="shared" ref="AC754:AN754" si="1801">SUM(AC741:AC753)</f>
        <v>6244.2799999999988</v>
      </c>
      <c r="AD754" s="405">
        <f t="shared" si="1801"/>
        <v>6400.3869999999988</v>
      </c>
      <c r="AE754" s="405">
        <f t="shared" si="1801"/>
        <v>7767</v>
      </c>
      <c r="AF754" s="821">
        <f t="shared" si="1801"/>
        <v>8368</v>
      </c>
      <c r="AG754" s="400">
        <f t="shared" si="1801"/>
        <v>8368</v>
      </c>
      <c r="AH754" s="405">
        <f t="shared" si="1801"/>
        <v>8451.68</v>
      </c>
      <c r="AI754" s="405">
        <f t="shared" si="1801"/>
        <v>8536.1968000000015</v>
      </c>
      <c r="AJ754" s="405">
        <f t="shared" ref="AJ754:AL754" si="1802">SUM(AJ741:AJ753)</f>
        <v>8664.2397519999995</v>
      </c>
      <c r="AK754" s="821">
        <f t="shared" si="1802"/>
        <v>8794.2033482799998</v>
      </c>
      <c r="AL754" s="400">
        <f t="shared" si="1802"/>
        <v>8794.2033482799998</v>
      </c>
      <c r="AM754" s="821">
        <f t="shared" si="1801"/>
        <v>9321.8555491767984</v>
      </c>
      <c r="AN754" s="821">
        <f t="shared" si="1801"/>
        <v>9787.9483266356401</v>
      </c>
    </row>
    <row r="755" spans="1:40">
      <c r="A755" s="130"/>
      <c r="B755" s="1033"/>
      <c r="C755" s="398"/>
      <c r="D755" s="1033"/>
      <c r="E755" s="406"/>
      <c r="F755" s="406"/>
      <c r="G755" s="820"/>
      <c r="H755" s="820"/>
      <c r="I755" s="1033"/>
      <c r="J755" s="406"/>
      <c r="K755" s="406"/>
      <c r="L755" s="820"/>
      <c r="M755" s="820"/>
      <c r="N755" s="401"/>
      <c r="O755" s="401"/>
      <c r="P755" s="401"/>
      <c r="Q755" s="820"/>
      <c r="R755" s="398"/>
      <c r="S755" s="401"/>
      <c r="T755" s="401"/>
      <c r="U755" s="401"/>
      <c r="V755" s="406"/>
      <c r="W755" s="398"/>
      <c r="X755" s="1033"/>
      <c r="Y755" s="406"/>
      <c r="Z755" s="406"/>
      <c r="AA755" s="406"/>
      <c r="AB755" s="398"/>
      <c r="AC755" s="406"/>
      <c r="AD755" s="406"/>
      <c r="AE755" s="406"/>
      <c r="AF755" s="820"/>
      <c r="AG755" s="398"/>
      <c r="AH755" s="406"/>
      <c r="AI755" s="406"/>
      <c r="AJ755" s="406"/>
      <c r="AK755" s="820"/>
      <c r="AL755" s="398"/>
      <c r="AM755" s="820"/>
      <c r="AN755" s="820"/>
    </row>
    <row r="756" spans="1:40">
      <c r="A756" s="295" t="s">
        <v>1406</v>
      </c>
      <c r="B756" s="1033"/>
      <c r="C756" s="398"/>
      <c r="D756" s="1033"/>
      <c r="E756" s="406"/>
      <c r="F756" s="406"/>
      <c r="G756" s="820"/>
      <c r="H756" s="820"/>
      <c r="I756" s="1033"/>
      <c r="J756" s="406"/>
      <c r="K756" s="406"/>
      <c r="L756" s="820"/>
      <c r="M756" s="820"/>
      <c r="N756" s="401"/>
      <c r="O756" s="401"/>
      <c r="P756" s="401"/>
      <c r="Q756" s="820"/>
      <c r="R756" s="398"/>
      <c r="S756" s="401"/>
      <c r="T756" s="401"/>
      <c r="U756" s="401"/>
      <c r="V756" s="406"/>
      <c r="W756" s="398"/>
      <c r="X756" s="1033"/>
      <c r="Y756" s="406"/>
      <c r="Z756" s="406"/>
      <c r="AA756" s="406"/>
      <c r="AB756" s="398"/>
      <c r="AC756" s="406"/>
      <c r="AD756" s="406"/>
      <c r="AE756" s="406"/>
      <c r="AF756" s="820"/>
      <c r="AG756" s="398"/>
      <c r="AH756" s="406"/>
      <c r="AI756" s="406"/>
      <c r="AJ756" s="406"/>
      <c r="AK756" s="820"/>
      <c r="AL756" s="398"/>
      <c r="AM756" s="820"/>
      <c r="AN756" s="820"/>
    </row>
    <row r="757" spans="1:40">
      <c r="A757" s="130" t="str">
        <f>A$9</f>
        <v>Waldorf Astoria Hotels &amp; Resorts (Luxury)</v>
      </c>
      <c r="B757" s="1033">
        <f>B741+B725+B709</f>
        <v>355</v>
      </c>
      <c r="C757" s="398">
        <f>C741+C725+C709</f>
        <v>340</v>
      </c>
      <c r="D757" s="1033">
        <f t="shared" ref="D757:S757" si="1803">D741+D725+D709</f>
        <v>343</v>
      </c>
      <c r="E757" s="406">
        <f t="shared" si="1803"/>
        <v>343</v>
      </c>
      <c r="F757" s="406">
        <f t="shared" si="1803"/>
        <v>260</v>
      </c>
      <c r="G757" s="820">
        <f t="shared" si="1803"/>
        <v>260</v>
      </c>
      <c r="H757" s="820">
        <f t="shared" si="1803"/>
        <v>260</v>
      </c>
      <c r="I757" s="1033">
        <f t="shared" si="1803"/>
        <v>260</v>
      </c>
      <c r="J757" s="406">
        <f t="shared" si="1803"/>
        <v>260</v>
      </c>
      <c r="K757" s="406">
        <f t="shared" si="1803"/>
        <v>260</v>
      </c>
      <c r="L757" s="820">
        <f t="shared" ref="L757:N758" si="1804">L741+L725+L709</f>
        <v>260</v>
      </c>
      <c r="M757" s="820">
        <f t="shared" si="1804"/>
        <v>260</v>
      </c>
      <c r="N757" s="1033">
        <f t="shared" si="1804"/>
        <v>431</v>
      </c>
      <c r="O757" s="401">
        <f t="shared" si="1803"/>
        <v>431</v>
      </c>
      <c r="P757" s="401">
        <f t="shared" si="1803"/>
        <v>431</v>
      </c>
      <c r="Q757" s="820">
        <f t="shared" si="1803"/>
        <v>431</v>
      </c>
      <c r="R757" s="398">
        <f t="shared" si="1803"/>
        <v>431</v>
      </c>
      <c r="S757" s="401">
        <f t="shared" si="1803"/>
        <v>431</v>
      </c>
      <c r="T757" s="401">
        <f t="shared" ref="T757:AN757" si="1805">T741+T725+T709</f>
        <v>431</v>
      </c>
      <c r="U757" s="401">
        <f t="shared" si="1805"/>
        <v>431</v>
      </c>
      <c r="V757" s="406">
        <f t="shared" si="1805"/>
        <v>431</v>
      </c>
      <c r="W757" s="398">
        <f t="shared" si="1805"/>
        <v>431</v>
      </c>
      <c r="X757" s="1033">
        <f t="shared" si="1805"/>
        <v>431</v>
      </c>
      <c r="Y757" s="406">
        <f t="shared" si="1805"/>
        <v>431</v>
      </c>
      <c r="Z757" s="406">
        <f t="shared" si="1805"/>
        <v>431</v>
      </c>
      <c r="AA757" s="406">
        <f t="shared" si="1805"/>
        <v>436</v>
      </c>
      <c r="AB757" s="398">
        <f t="shared" si="1805"/>
        <v>436</v>
      </c>
      <c r="AC757" s="3665">
        <v>436</v>
      </c>
      <c r="AD757" s="3665">
        <v>434</v>
      </c>
      <c r="AE757" s="406">
        <f>AE741+AE725+AE709</f>
        <v>723</v>
      </c>
      <c r="AF757" s="820">
        <f t="shared" si="1805"/>
        <v>723</v>
      </c>
      <c r="AG757" s="398">
        <f t="shared" si="1805"/>
        <v>723</v>
      </c>
      <c r="AH757" s="406">
        <f t="shared" si="1805"/>
        <v>733.84499999999991</v>
      </c>
      <c r="AI757" s="406">
        <f t="shared" si="1805"/>
        <v>744.85267499999986</v>
      </c>
      <c r="AJ757" s="406">
        <f t="shared" ref="AJ757:AL757" si="1806">AJ741+AJ725+AJ709</f>
        <v>756.02546512499976</v>
      </c>
      <c r="AK757" s="820">
        <f t="shared" si="1806"/>
        <v>767.36584710187469</v>
      </c>
      <c r="AL757" s="398">
        <f t="shared" si="1806"/>
        <v>767.36584710187469</v>
      </c>
      <c r="AM757" s="398">
        <f t="shared" si="1805"/>
        <v>801.89731022145895</v>
      </c>
      <c r="AN757" s="398">
        <f t="shared" si="1805"/>
        <v>825.9542295281027</v>
      </c>
    </row>
    <row r="758" spans="1:40">
      <c r="A758" s="130" t="str">
        <f>A$10</f>
        <v>Conrad Hotels &amp; Resorts (Luxury)</v>
      </c>
      <c r="B758" s="1033">
        <f>B742+B726+B710</f>
        <v>2308</v>
      </c>
      <c r="C758" s="398">
        <f>C742+C726+C710</f>
        <v>2382</v>
      </c>
      <c r="D758" s="1033">
        <f t="shared" ref="D758:S758" si="1807">D742+D726+D710</f>
        <v>2589</v>
      </c>
      <c r="E758" s="406">
        <f t="shared" si="1807"/>
        <v>3224</v>
      </c>
      <c r="F758" s="406">
        <f t="shared" si="1807"/>
        <v>3224</v>
      </c>
      <c r="G758" s="820">
        <f t="shared" si="1807"/>
        <v>3659</v>
      </c>
      <c r="H758" s="820">
        <f t="shared" si="1807"/>
        <v>3659</v>
      </c>
      <c r="I758" s="1033">
        <f t="shared" si="1807"/>
        <v>3949</v>
      </c>
      <c r="J758" s="406">
        <f t="shared" si="1807"/>
        <v>4062</v>
      </c>
      <c r="K758" s="406">
        <f t="shared" si="1807"/>
        <v>4058</v>
      </c>
      <c r="L758" s="820">
        <f t="shared" si="1804"/>
        <v>4058</v>
      </c>
      <c r="M758" s="820">
        <f t="shared" si="1804"/>
        <v>4058</v>
      </c>
      <c r="N758" s="1033">
        <f t="shared" si="1804"/>
        <v>4058</v>
      </c>
      <c r="O758" s="401">
        <f t="shared" si="1807"/>
        <v>4058</v>
      </c>
      <c r="P758" s="401">
        <f t="shared" si="1807"/>
        <v>4058</v>
      </c>
      <c r="Q758" s="820">
        <f t="shared" si="1807"/>
        <v>4055</v>
      </c>
      <c r="R758" s="398">
        <f t="shared" si="1807"/>
        <v>4055</v>
      </c>
      <c r="S758" s="401">
        <f t="shared" si="1807"/>
        <v>4055</v>
      </c>
      <c r="T758" s="401">
        <f t="shared" ref="T758:AN758" si="1808">T742+T726+T710</f>
        <v>4055</v>
      </c>
      <c r="U758" s="401">
        <f t="shared" si="1808"/>
        <v>4055</v>
      </c>
      <c r="V758" s="406">
        <f t="shared" si="1808"/>
        <v>4053</v>
      </c>
      <c r="W758" s="398">
        <f t="shared" si="1808"/>
        <v>4053</v>
      </c>
      <c r="X758" s="1033">
        <f t="shared" si="1808"/>
        <v>4363</v>
      </c>
      <c r="Y758" s="406">
        <f t="shared" si="1808"/>
        <v>4728</v>
      </c>
      <c r="Z758" s="406">
        <f t="shared" si="1808"/>
        <v>5091</v>
      </c>
      <c r="AA758" s="406">
        <f t="shared" si="1808"/>
        <v>5096</v>
      </c>
      <c r="AB758" s="398">
        <f t="shared" si="1808"/>
        <v>5096</v>
      </c>
      <c r="AC758" s="3665">
        <v>5096</v>
      </c>
      <c r="AD758" s="3665">
        <v>5570</v>
      </c>
      <c r="AE758" s="406">
        <f t="shared" si="1808"/>
        <v>5570</v>
      </c>
      <c r="AF758" s="820">
        <f t="shared" si="1808"/>
        <v>5562</v>
      </c>
      <c r="AG758" s="398">
        <f t="shared" si="1808"/>
        <v>5562</v>
      </c>
      <c r="AH758" s="406">
        <f t="shared" si="1808"/>
        <v>5639.13</v>
      </c>
      <c r="AI758" s="406">
        <f t="shared" si="1808"/>
        <v>5717.3785499999994</v>
      </c>
      <c r="AJ758" s="406">
        <f t="shared" ref="AJ758:AL758" si="1809">AJ742+AJ726+AJ710</f>
        <v>5800.6792282499991</v>
      </c>
      <c r="AK758" s="820">
        <f t="shared" si="1809"/>
        <v>5885.2294166737483</v>
      </c>
      <c r="AL758" s="398">
        <f t="shared" si="1809"/>
        <v>5885.2294166737483</v>
      </c>
      <c r="AM758" s="398">
        <f t="shared" si="1808"/>
        <v>6154.7914830832669</v>
      </c>
      <c r="AN758" s="398">
        <f t="shared" si="1808"/>
        <v>6351.6260905341005</v>
      </c>
    </row>
    <row r="759" spans="1:40">
      <c r="A759" s="1828" t="s">
        <v>3022</v>
      </c>
      <c r="B759" s="1033"/>
      <c r="C759" s="398"/>
      <c r="D759" s="1033"/>
      <c r="E759" s="406"/>
      <c r="F759" s="406"/>
      <c r="G759" s="820"/>
      <c r="H759" s="820"/>
      <c r="I759" s="1033"/>
      <c r="J759" s="406"/>
      <c r="K759" s="406"/>
      <c r="L759" s="820"/>
      <c r="M759" s="820"/>
      <c r="N759" s="1033"/>
      <c r="O759" s="401"/>
      <c r="P759" s="401"/>
      <c r="Q759" s="820"/>
      <c r="R759" s="398"/>
      <c r="S759" s="401"/>
      <c r="T759" s="401"/>
      <c r="U759" s="401"/>
      <c r="V759" s="406"/>
      <c r="W759" s="398"/>
      <c r="X759" s="1033"/>
      <c r="Y759" s="406"/>
      <c r="Z759" s="406"/>
      <c r="AA759" s="406">
        <f t="shared" ref="AA759:AN759" si="1810">AA743+AA727+AA711</f>
        <v>0</v>
      </c>
      <c r="AB759" s="398">
        <f t="shared" si="1810"/>
        <v>0</v>
      </c>
      <c r="AC759" s="3665">
        <v>0</v>
      </c>
      <c r="AD759" s="3665">
        <v>0</v>
      </c>
      <c r="AE759" s="406">
        <f t="shared" si="1810"/>
        <v>0</v>
      </c>
      <c r="AF759" s="820">
        <f t="shared" si="1810"/>
        <v>0</v>
      </c>
      <c r="AG759" s="398">
        <f t="shared" si="1810"/>
        <v>0</v>
      </c>
      <c r="AH759" s="406">
        <f t="shared" si="1810"/>
        <v>0</v>
      </c>
      <c r="AI759" s="406">
        <f t="shared" si="1810"/>
        <v>0</v>
      </c>
      <c r="AJ759" s="406">
        <f t="shared" ref="AJ759:AL759" si="1811">AJ743+AJ727+AJ711</f>
        <v>0</v>
      </c>
      <c r="AK759" s="820">
        <f t="shared" si="1811"/>
        <v>0</v>
      </c>
      <c r="AL759" s="398">
        <f t="shared" si="1811"/>
        <v>0</v>
      </c>
      <c r="AM759" s="398">
        <f t="shared" si="1810"/>
        <v>0</v>
      </c>
      <c r="AN759" s="398">
        <f t="shared" si="1810"/>
        <v>0</v>
      </c>
    </row>
    <row r="760" spans="1:40">
      <c r="A760" s="130" t="str">
        <f>A$12</f>
        <v>Hilton Hotels &amp; Resorts (Upper Up)</v>
      </c>
      <c r="B760" s="1033">
        <f>B744+B728+B712</f>
        <v>20452</v>
      </c>
      <c r="C760" s="398">
        <f>C744+C728+C712</f>
        <v>22972</v>
      </c>
      <c r="D760" s="1033">
        <f t="shared" ref="D760:K760" si="1812">D744+D728+D712</f>
        <v>23337</v>
      </c>
      <c r="E760" s="406">
        <f t="shared" si="1812"/>
        <v>23320</v>
      </c>
      <c r="F760" s="406">
        <f t="shared" si="1812"/>
        <v>23216</v>
      </c>
      <c r="G760" s="820">
        <f t="shared" si="1812"/>
        <v>23675</v>
      </c>
      <c r="H760" s="820">
        <f t="shared" si="1812"/>
        <v>23675</v>
      </c>
      <c r="I760" s="1033">
        <f t="shared" si="1812"/>
        <v>23746</v>
      </c>
      <c r="J760" s="406">
        <f t="shared" si="1812"/>
        <v>24549</v>
      </c>
      <c r="K760" s="406">
        <f t="shared" si="1812"/>
        <v>24836</v>
      </c>
      <c r="L760" s="820">
        <f t="shared" ref="L760:Z760" si="1813">L744+L728+L712</f>
        <v>25669</v>
      </c>
      <c r="M760" s="820">
        <f t="shared" si="1813"/>
        <v>25669</v>
      </c>
      <c r="N760" s="1033">
        <f t="shared" si="1813"/>
        <v>26265</v>
      </c>
      <c r="O760" s="401">
        <f t="shared" si="1813"/>
        <v>26751</v>
      </c>
      <c r="P760" s="401">
        <f t="shared" si="1813"/>
        <v>27573</v>
      </c>
      <c r="Q760" s="820">
        <f t="shared" si="1813"/>
        <v>28964</v>
      </c>
      <c r="R760" s="398">
        <f t="shared" si="1813"/>
        <v>28964</v>
      </c>
      <c r="S760" s="401">
        <f t="shared" si="1813"/>
        <v>28549</v>
      </c>
      <c r="T760" s="401">
        <f t="shared" si="1813"/>
        <v>28905</v>
      </c>
      <c r="U760" s="401">
        <f t="shared" si="1813"/>
        <v>30497</v>
      </c>
      <c r="V760" s="820">
        <f t="shared" si="1813"/>
        <v>32014</v>
      </c>
      <c r="W760" s="398">
        <f t="shared" si="1813"/>
        <v>32014</v>
      </c>
      <c r="X760" s="1033">
        <f t="shared" si="1813"/>
        <v>32382</v>
      </c>
      <c r="Y760" s="406">
        <f t="shared" si="1813"/>
        <v>32736</v>
      </c>
      <c r="Z760" s="406">
        <f t="shared" si="1813"/>
        <v>33393</v>
      </c>
      <c r="AA760" s="406">
        <f t="shared" ref="AA760:AN760" si="1814">AA744+AA728+AA712</f>
        <v>35061</v>
      </c>
      <c r="AB760" s="398">
        <f t="shared" si="1814"/>
        <v>35061</v>
      </c>
      <c r="AC760" s="3665">
        <v>35132</v>
      </c>
      <c r="AD760" s="3665">
        <v>35883</v>
      </c>
      <c r="AE760" s="406">
        <f t="shared" si="1814"/>
        <v>36265</v>
      </c>
      <c r="AF760" s="820">
        <f t="shared" si="1814"/>
        <v>37193</v>
      </c>
      <c r="AG760" s="398">
        <f t="shared" si="1814"/>
        <v>37193</v>
      </c>
      <c r="AH760" s="406">
        <f t="shared" si="1814"/>
        <v>37685.584999999999</v>
      </c>
      <c r="AI760" s="406">
        <f t="shared" si="1814"/>
        <v>38185.417474999995</v>
      </c>
      <c r="AJ760" s="406">
        <f t="shared" ref="AJ760:AL760" si="1815">AJ744+AJ728+AJ712</f>
        <v>38707.018737124992</v>
      </c>
      <c r="AK760" s="820">
        <f t="shared" si="1815"/>
        <v>39236.444018181865</v>
      </c>
      <c r="AL760" s="398">
        <f t="shared" si="1815"/>
        <v>39236.444018181865</v>
      </c>
      <c r="AM760" s="398">
        <f t="shared" si="1814"/>
        <v>40893.09302862882</v>
      </c>
      <c r="AN760" s="398">
        <f t="shared" si="1814"/>
        <v>42080.488448029682</v>
      </c>
    </row>
    <row r="761" spans="1:40">
      <c r="A761" s="130" t="str">
        <f>A$13</f>
        <v xml:space="preserve">Curio - A Collection by Hilton </v>
      </c>
      <c r="B761" s="1033"/>
      <c r="C761" s="398"/>
      <c r="D761" s="1033"/>
      <c r="E761" s="406"/>
      <c r="F761" s="406"/>
      <c r="G761" s="820"/>
      <c r="H761" s="820"/>
      <c r="I761" s="1033"/>
      <c r="J761" s="406"/>
      <c r="K761" s="406"/>
      <c r="L761" s="820"/>
      <c r="M761" s="820"/>
      <c r="N761" s="1033"/>
      <c r="O761" s="401"/>
      <c r="P761" s="401"/>
      <c r="Q761" s="820"/>
      <c r="R761" s="398"/>
      <c r="S761" s="401">
        <f t="shared" ref="S761:Z761" si="1816">S745+S729+S713</f>
        <v>0</v>
      </c>
      <c r="T761" s="401">
        <f t="shared" si="1816"/>
        <v>0</v>
      </c>
      <c r="U761" s="401">
        <f t="shared" si="1816"/>
        <v>0</v>
      </c>
      <c r="V761" s="820">
        <f t="shared" si="1816"/>
        <v>0</v>
      </c>
      <c r="W761" s="398">
        <f t="shared" si="1816"/>
        <v>0</v>
      </c>
      <c r="X761" s="1033">
        <f t="shared" si="1816"/>
        <v>0</v>
      </c>
      <c r="Y761" s="406">
        <f t="shared" si="1816"/>
        <v>0</v>
      </c>
      <c r="Z761" s="406">
        <f t="shared" si="1816"/>
        <v>0</v>
      </c>
      <c r="AA761" s="406">
        <f t="shared" ref="AA761:AN761" si="1817">AA745+AA729+AA713</f>
        <v>0</v>
      </c>
      <c r="AB761" s="398">
        <f t="shared" si="1817"/>
        <v>0</v>
      </c>
      <c r="AC761" s="3665">
        <v>0</v>
      </c>
      <c r="AD761" s="3665">
        <v>266</v>
      </c>
      <c r="AE761" s="406">
        <f t="shared" si="1817"/>
        <v>266</v>
      </c>
      <c r="AF761" s="820">
        <f t="shared" si="1817"/>
        <v>448</v>
      </c>
      <c r="AG761" s="398">
        <f t="shared" si="1817"/>
        <v>448</v>
      </c>
      <c r="AH761" s="406">
        <f t="shared" si="1817"/>
        <v>448</v>
      </c>
      <c r="AI761" s="406">
        <f t="shared" si="1817"/>
        <v>448</v>
      </c>
      <c r="AJ761" s="406">
        <f t="shared" ref="AJ761:AL761" si="1818">AJ745+AJ729+AJ713</f>
        <v>448</v>
      </c>
      <c r="AK761" s="820">
        <f t="shared" si="1818"/>
        <v>448</v>
      </c>
      <c r="AL761" s="398">
        <f t="shared" si="1818"/>
        <v>448</v>
      </c>
      <c r="AM761" s="398">
        <f t="shared" si="1817"/>
        <v>448</v>
      </c>
      <c r="AN761" s="398">
        <f t="shared" si="1817"/>
        <v>448</v>
      </c>
    </row>
    <row r="762" spans="1:40">
      <c r="A762" s="130" t="str">
        <f>A$14</f>
        <v>DoubleTree by Hilton (Upscale)</v>
      </c>
      <c r="B762" s="1033">
        <f t="shared" ref="B762:C766" si="1819">B746+B730+B714</f>
        <v>3163</v>
      </c>
      <c r="C762" s="398">
        <f t="shared" si="1819"/>
        <v>4181</v>
      </c>
      <c r="D762" s="1033">
        <f t="shared" ref="D762:S762" si="1820">D746+D730+D714</f>
        <v>5226</v>
      </c>
      <c r="E762" s="406">
        <f t="shared" si="1820"/>
        <v>5453</v>
      </c>
      <c r="F762" s="406">
        <f t="shared" si="1820"/>
        <v>5946</v>
      </c>
      <c r="G762" s="820">
        <f t="shared" si="1820"/>
        <v>6533</v>
      </c>
      <c r="H762" s="820">
        <f t="shared" si="1820"/>
        <v>6533</v>
      </c>
      <c r="I762" s="1033">
        <f t="shared" si="1820"/>
        <v>6526</v>
      </c>
      <c r="J762" s="406">
        <f t="shared" si="1820"/>
        <v>7294</v>
      </c>
      <c r="K762" s="406">
        <f t="shared" si="1820"/>
        <v>7662</v>
      </c>
      <c r="L762" s="820">
        <f t="shared" ref="L762:N766" si="1821">L746+L730+L714</f>
        <v>9095</v>
      </c>
      <c r="M762" s="820">
        <f t="shared" si="1821"/>
        <v>9095</v>
      </c>
      <c r="N762" s="1033">
        <f t="shared" si="1821"/>
        <v>9153</v>
      </c>
      <c r="O762" s="401">
        <f t="shared" si="1820"/>
        <v>9215</v>
      </c>
      <c r="P762" s="401">
        <f t="shared" si="1820"/>
        <v>9804</v>
      </c>
      <c r="Q762" s="820">
        <f t="shared" si="1820"/>
        <v>10962</v>
      </c>
      <c r="R762" s="398">
        <f t="shared" si="1820"/>
        <v>10962</v>
      </c>
      <c r="S762" s="401">
        <f t="shared" si="1820"/>
        <v>10966</v>
      </c>
      <c r="T762" s="401">
        <f t="shared" ref="T762:Z766" si="1822">T746+T730+T714</f>
        <v>10966</v>
      </c>
      <c r="U762" s="401">
        <f t="shared" si="1822"/>
        <v>12308</v>
      </c>
      <c r="V762" s="820">
        <f t="shared" si="1822"/>
        <v>12833</v>
      </c>
      <c r="W762" s="398">
        <f t="shared" si="1822"/>
        <v>12833</v>
      </c>
      <c r="X762" s="1033">
        <f t="shared" si="1822"/>
        <v>12434</v>
      </c>
      <c r="Y762" s="406">
        <f t="shared" si="1822"/>
        <v>12359</v>
      </c>
      <c r="Z762" s="406">
        <f t="shared" si="1822"/>
        <v>13121</v>
      </c>
      <c r="AA762" s="406">
        <f t="shared" ref="AA762:AN762" si="1823">AA746+AA730+AA714</f>
        <v>13764</v>
      </c>
      <c r="AB762" s="398">
        <f t="shared" si="1823"/>
        <v>13764</v>
      </c>
      <c r="AC762" s="3665">
        <v>14002</v>
      </c>
      <c r="AD762" s="3665">
        <v>14050</v>
      </c>
      <c r="AE762" s="406">
        <f t="shared" si="1823"/>
        <v>14051</v>
      </c>
      <c r="AF762" s="820">
        <f t="shared" si="1823"/>
        <v>15185</v>
      </c>
      <c r="AG762" s="398">
        <f t="shared" si="1823"/>
        <v>15185</v>
      </c>
      <c r="AH762" s="406">
        <f t="shared" si="1823"/>
        <v>15407.949999999999</v>
      </c>
      <c r="AI762" s="406">
        <f t="shared" si="1823"/>
        <v>15634.195999999998</v>
      </c>
      <c r="AJ762" s="406">
        <f t="shared" ref="AJ762:AL762" si="1824">AJ746+AJ730+AJ714</f>
        <v>15868.708939999997</v>
      </c>
      <c r="AK762" s="820">
        <f t="shared" si="1824"/>
        <v>16106.739574099995</v>
      </c>
      <c r="AL762" s="398">
        <f t="shared" si="1824"/>
        <v>16106.739574099995</v>
      </c>
      <c r="AM762" s="398">
        <f t="shared" si="1823"/>
        <v>16846.75510319768</v>
      </c>
      <c r="AN762" s="398">
        <f t="shared" si="1823"/>
        <v>17373.657733838918</v>
      </c>
    </row>
    <row r="763" spans="1:40">
      <c r="A763" s="130" t="str">
        <f>A$15</f>
        <v>Embassy Suites Hotels (Upper Up)</v>
      </c>
      <c r="B763" s="1033">
        <f t="shared" si="1819"/>
        <v>0</v>
      </c>
      <c r="C763" s="398">
        <f t="shared" si="1819"/>
        <v>0</v>
      </c>
      <c r="D763" s="1033">
        <f t="shared" ref="D763:S763" si="1825">D747+D731+D715</f>
        <v>0</v>
      </c>
      <c r="E763" s="406">
        <f t="shared" si="1825"/>
        <v>0</v>
      </c>
      <c r="F763" s="406">
        <f t="shared" si="1825"/>
        <v>0</v>
      </c>
      <c r="G763" s="820">
        <f t="shared" si="1825"/>
        <v>0</v>
      </c>
      <c r="H763" s="820">
        <f t="shared" si="1825"/>
        <v>0</v>
      </c>
      <c r="I763" s="1033">
        <f t="shared" si="1825"/>
        <v>0</v>
      </c>
      <c r="J763" s="406">
        <f t="shared" si="1825"/>
        <v>0</v>
      </c>
      <c r="K763" s="406">
        <f t="shared" si="1825"/>
        <v>0</v>
      </c>
      <c r="L763" s="820">
        <f t="shared" si="1821"/>
        <v>0</v>
      </c>
      <c r="M763" s="820">
        <f t="shared" si="1821"/>
        <v>0</v>
      </c>
      <c r="N763" s="1033">
        <f t="shared" si="1821"/>
        <v>0</v>
      </c>
      <c r="O763" s="401">
        <f t="shared" si="1825"/>
        <v>0</v>
      </c>
      <c r="P763" s="401">
        <f t="shared" si="1825"/>
        <v>0</v>
      </c>
      <c r="Q763" s="820">
        <f t="shared" si="1825"/>
        <v>0</v>
      </c>
      <c r="R763" s="398">
        <f t="shared" si="1825"/>
        <v>0</v>
      </c>
      <c r="S763" s="401">
        <f t="shared" si="1825"/>
        <v>0</v>
      </c>
      <c r="T763" s="401">
        <f t="shared" si="1822"/>
        <v>0</v>
      </c>
      <c r="U763" s="401">
        <f t="shared" si="1822"/>
        <v>0</v>
      </c>
      <c r="V763" s="820">
        <f t="shared" si="1822"/>
        <v>0</v>
      </c>
      <c r="W763" s="398">
        <f t="shared" si="1822"/>
        <v>0</v>
      </c>
      <c r="X763" s="1033">
        <f t="shared" si="1822"/>
        <v>0</v>
      </c>
      <c r="Y763" s="406">
        <f t="shared" si="1822"/>
        <v>0</v>
      </c>
      <c r="Z763" s="406">
        <f t="shared" si="1822"/>
        <v>0</v>
      </c>
      <c r="AA763" s="406">
        <f t="shared" ref="AA763:AN763" si="1826">AA747+AA731+AA715</f>
        <v>0</v>
      </c>
      <c r="AB763" s="398">
        <f t="shared" si="1826"/>
        <v>0</v>
      </c>
      <c r="AC763" s="3665">
        <v>0</v>
      </c>
      <c r="AD763" s="3665">
        <v>0</v>
      </c>
      <c r="AE763" s="406">
        <f t="shared" si="1826"/>
        <v>0</v>
      </c>
      <c r="AF763" s="820">
        <f t="shared" si="1826"/>
        <v>0</v>
      </c>
      <c r="AG763" s="398">
        <f t="shared" si="1826"/>
        <v>0</v>
      </c>
      <c r="AH763" s="406">
        <f t="shared" si="1826"/>
        <v>0</v>
      </c>
      <c r="AI763" s="406">
        <f t="shared" si="1826"/>
        <v>0</v>
      </c>
      <c r="AJ763" s="406">
        <f t="shared" ref="AJ763:AL763" si="1827">AJ747+AJ731+AJ715</f>
        <v>0</v>
      </c>
      <c r="AK763" s="820">
        <f t="shared" si="1827"/>
        <v>0</v>
      </c>
      <c r="AL763" s="398">
        <f t="shared" si="1827"/>
        <v>0</v>
      </c>
      <c r="AM763" s="398">
        <f t="shared" si="1826"/>
        <v>0</v>
      </c>
      <c r="AN763" s="398">
        <f t="shared" si="1826"/>
        <v>0</v>
      </c>
    </row>
    <row r="764" spans="1:40">
      <c r="A764" s="130" t="str">
        <f>A$16</f>
        <v>Hilton Garden Inn (Upscale)</v>
      </c>
      <c r="B764" s="1033">
        <f t="shared" si="1819"/>
        <v>114</v>
      </c>
      <c r="C764" s="398">
        <f t="shared" si="1819"/>
        <v>114</v>
      </c>
      <c r="D764" s="1033">
        <f t="shared" ref="D764:S764" si="1828">D748+D732+D716</f>
        <v>114</v>
      </c>
      <c r="E764" s="406">
        <f t="shared" si="1828"/>
        <v>114</v>
      </c>
      <c r="F764" s="406">
        <f t="shared" si="1828"/>
        <v>114</v>
      </c>
      <c r="G764" s="820">
        <f t="shared" si="1828"/>
        <v>114</v>
      </c>
      <c r="H764" s="820">
        <f t="shared" si="1828"/>
        <v>114</v>
      </c>
      <c r="I764" s="1033">
        <f t="shared" si="1828"/>
        <v>315</v>
      </c>
      <c r="J764" s="406">
        <f t="shared" si="1828"/>
        <v>401</v>
      </c>
      <c r="K764" s="406">
        <f t="shared" si="1828"/>
        <v>401</v>
      </c>
      <c r="L764" s="820">
        <f t="shared" si="1821"/>
        <v>535</v>
      </c>
      <c r="M764" s="820">
        <f t="shared" si="1821"/>
        <v>535</v>
      </c>
      <c r="N764" s="1033">
        <f t="shared" si="1821"/>
        <v>748</v>
      </c>
      <c r="O764" s="401">
        <f t="shared" si="1828"/>
        <v>748</v>
      </c>
      <c r="P764" s="401">
        <f t="shared" si="1828"/>
        <v>748</v>
      </c>
      <c r="Q764" s="820">
        <f t="shared" si="1828"/>
        <v>920</v>
      </c>
      <c r="R764" s="398">
        <f t="shared" si="1828"/>
        <v>920</v>
      </c>
      <c r="S764" s="401">
        <f t="shared" si="1828"/>
        <v>921</v>
      </c>
      <c r="T764" s="401">
        <f t="shared" si="1822"/>
        <v>1123</v>
      </c>
      <c r="U764" s="401">
        <f t="shared" si="1822"/>
        <v>1123</v>
      </c>
      <c r="V764" s="820">
        <f t="shared" si="1822"/>
        <v>1329</v>
      </c>
      <c r="W764" s="398">
        <f t="shared" si="1822"/>
        <v>1329</v>
      </c>
      <c r="X764" s="1033">
        <f t="shared" si="1822"/>
        <v>1329</v>
      </c>
      <c r="Y764" s="406">
        <f t="shared" si="1822"/>
        <v>2130</v>
      </c>
      <c r="Z764" s="406">
        <f t="shared" si="1822"/>
        <v>2344</v>
      </c>
      <c r="AA764" s="406">
        <f t="shared" ref="AA764:AN764" si="1829">AA748+AA732+AA716</f>
        <v>3362</v>
      </c>
      <c r="AB764" s="398">
        <f t="shared" si="1829"/>
        <v>3362</v>
      </c>
      <c r="AC764" s="3665">
        <v>3362</v>
      </c>
      <c r="AD764" s="3665">
        <v>4149</v>
      </c>
      <c r="AE764" s="406">
        <f t="shared" si="1829"/>
        <v>4301</v>
      </c>
      <c r="AF764" s="820">
        <f t="shared" si="1829"/>
        <v>4917</v>
      </c>
      <c r="AG764" s="398">
        <f t="shared" si="1829"/>
        <v>4917</v>
      </c>
      <c r="AH764" s="406">
        <f t="shared" si="1829"/>
        <v>4990.7549999999992</v>
      </c>
      <c r="AI764" s="406">
        <f t="shared" si="1829"/>
        <v>5065.6163249999991</v>
      </c>
      <c r="AJ764" s="406">
        <f t="shared" ref="AJ764:AL764" si="1830">AJ748+AJ732+AJ716</f>
        <v>5141.6005698749987</v>
      </c>
      <c r="AK764" s="820">
        <f t="shared" si="1830"/>
        <v>5218.7245784231227</v>
      </c>
      <c r="AL764" s="398">
        <f t="shared" si="1830"/>
        <v>5218.7245784231227</v>
      </c>
      <c r="AM764" s="398">
        <f t="shared" si="1829"/>
        <v>5453.567184452163</v>
      </c>
      <c r="AN764" s="398">
        <f t="shared" si="1829"/>
        <v>5617.1741999857277</v>
      </c>
    </row>
    <row r="765" spans="1:40">
      <c r="A765" s="130" t="str">
        <f>A$17</f>
        <v>Hampton Inn (Upper Mid)</v>
      </c>
      <c r="B765" s="1033">
        <f t="shared" si="1819"/>
        <v>0</v>
      </c>
      <c r="C765" s="398">
        <f t="shared" si="1819"/>
        <v>72</v>
      </c>
      <c r="D765" s="1033">
        <f t="shared" ref="D765:S765" si="1831">D749+D733+D717</f>
        <v>72</v>
      </c>
      <c r="E765" s="406">
        <f t="shared" si="1831"/>
        <v>72</v>
      </c>
      <c r="F765" s="406">
        <f t="shared" si="1831"/>
        <v>72</v>
      </c>
      <c r="G765" s="820">
        <f t="shared" si="1831"/>
        <v>72</v>
      </c>
      <c r="H765" s="820">
        <f t="shared" si="1831"/>
        <v>72</v>
      </c>
      <c r="I765" s="1033">
        <f t="shared" si="1831"/>
        <v>72</v>
      </c>
      <c r="J765" s="406">
        <f t="shared" si="1831"/>
        <v>72</v>
      </c>
      <c r="K765" s="406">
        <f t="shared" si="1831"/>
        <v>72</v>
      </c>
      <c r="L765" s="820">
        <f t="shared" si="1821"/>
        <v>72</v>
      </c>
      <c r="M765" s="820">
        <f t="shared" si="1821"/>
        <v>72</v>
      </c>
      <c r="N765" s="1033">
        <f t="shared" si="1821"/>
        <v>72</v>
      </c>
      <c r="O765" s="401">
        <f t="shared" si="1831"/>
        <v>72</v>
      </c>
      <c r="P765" s="401">
        <f t="shared" si="1831"/>
        <v>72</v>
      </c>
      <c r="Q765" s="820">
        <f t="shared" si="1831"/>
        <v>72</v>
      </c>
      <c r="R765" s="398">
        <f t="shared" si="1831"/>
        <v>72</v>
      </c>
      <c r="S765" s="401">
        <f t="shared" si="1831"/>
        <v>72</v>
      </c>
      <c r="T765" s="401">
        <f t="shared" si="1822"/>
        <v>72</v>
      </c>
      <c r="U765" s="401">
        <f t="shared" si="1822"/>
        <v>72</v>
      </c>
      <c r="V765" s="820">
        <f t="shared" si="1822"/>
        <v>374</v>
      </c>
      <c r="W765" s="398">
        <f t="shared" si="1822"/>
        <v>374</v>
      </c>
      <c r="X765" s="1033">
        <f t="shared" si="1822"/>
        <v>597</v>
      </c>
      <c r="Y765" s="406">
        <f t="shared" si="1822"/>
        <v>817</v>
      </c>
      <c r="Z765" s="406">
        <f t="shared" si="1822"/>
        <v>1277</v>
      </c>
      <c r="AA765" s="406">
        <f t="shared" ref="AA765:AN765" si="1832">AA749+AA733+AA717</f>
        <v>1585</v>
      </c>
      <c r="AB765" s="398">
        <f t="shared" si="1832"/>
        <v>1585</v>
      </c>
      <c r="AC765" s="3665">
        <v>1852</v>
      </c>
      <c r="AD765" s="3665">
        <v>2443</v>
      </c>
      <c r="AE765" s="406">
        <f t="shared" si="1832"/>
        <v>3200</v>
      </c>
      <c r="AF765" s="820">
        <f t="shared" si="1832"/>
        <v>3809</v>
      </c>
      <c r="AG765" s="398">
        <f t="shared" si="1832"/>
        <v>3809</v>
      </c>
      <c r="AH765" s="406">
        <f t="shared" si="1832"/>
        <v>3847.09</v>
      </c>
      <c r="AI765" s="406">
        <f t="shared" si="1832"/>
        <v>3885.5609000000004</v>
      </c>
      <c r="AJ765" s="406">
        <f t="shared" ref="AJ765:AL765" si="1833">AJ749+AJ733+AJ717</f>
        <v>3943.8443135000002</v>
      </c>
      <c r="AK765" s="820">
        <f t="shared" si="1833"/>
        <v>4003.0019782024997</v>
      </c>
      <c r="AL765" s="398">
        <f t="shared" si="1833"/>
        <v>4003.0019782024997</v>
      </c>
      <c r="AM765" s="398">
        <f t="shared" si="1832"/>
        <v>4243.1820968946495</v>
      </c>
      <c r="AN765" s="398">
        <f t="shared" si="1832"/>
        <v>4455.3412017393821</v>
      </c>
    </row>
    <row r="766" spans="1:40">
      <c r="A766" s="130" t="str">
        <f>A$18</f>
        <v>Home2 Suites by Hilton (Upper Mid)</v>
      </c>
      <c r="B766" s="1033">
        <f t="shared" si="1819"/>
        <v>0</v>
      </c>
      <c r="C766" s="398">
        <f t="shared" si="1819"/>
        <v>0</v>
      </c>
      <c r="D766" s="1033">
        <f t="shared" ref="D766:S766" si="1834">D750+D734+D718</f>
        <v>0</v>
      </c>
      <c r="E766" s="406">
        <f t="shared" si="1834"/>
        <v>0</v>
      </c>
      <c r="F766" s="406">
        <f t="shared" si="1834"/>
        <v>0</v>
      </c>
      <c r="G766" s="820">
        <f t="shared" si="1834"/>
        <v>0</v>
      </c>
      <c r="H766" s="820">
        <f t="shared" si="1834"/>
        <v>0</v>
      </c>
      <c r="I766" s="1033">
        <f t="shared" si="1834"/>
        <v>0</v>
      </c>
      <c r="J766" s="406">
        <f t="shared" si="1834"/>
        <v>0</v>
      </c>
      <c r="K766" s="406">
        <f t="shared" si="1834"/>
        <v>0</v>
      </c>
      <c r="L766" s="820">
        <f t="shared" si="1821"/>
        <v>0</v>
      </c>
      <c r="M766" s="820">
        <f t="shared" si="1821"/>
        <v>0</v>
      </c>
      <c r="N766" s="1033">
        <f t="shared" si="1821"/>
        <v>0</v>
      </c>
      <c r="O766" s="401">
        <f t="shared" si="1834"/>
        <v>0</v>
      </c>
      <c r="P766" s="401">
        <f t="shared" si="1834"/>
        <v>0</v>
      </c>
      <c r="Q766" s="820">
        <f t="shared" si="1834"/>
        <v>0</v>
      </c>
      <c r="R766" s="398">
        <f t="shared" si="1834"/>
        <v>0</v>
      </c>
      <c r="S766" s="401">
        <f t="shared" si="1834"/>
        <v>0</v>
      </c>
      <c r="T766" s="401">
        <f t="shared" si="1822"/>
        <v>0</v>
      </c>
      <c r="U766" s="401">
        <f t="shared" si="1822"/>
        <v>0</v>
      </c>
      <c r="V766" s="820">
        <f t="shared" si="1822"/>
        <v>0</v>
      </c>
      <c r="W766" s="398">
        <f t="shared" si="1822"/>
        <v>0</v>
      </c>
      <c r="X766" s="1033">
        <f t="shared" si="1822"/>
        <v>0</v>
      </c>
      <c r="Y766" s="406">
        <f t="shared" si="1822"/>
        <v>0</v>
      </c>
      <c r="Z766" s="406">
        <f t="shared" si="1822"/>
        <v>0</v>
      </c>
      <c r="AA766" s="406">
        <f t="shared" ref="AA766:AN766" si="1835">AA750+AA734+AA718</f>
        <v>0</v>
      </c>
      <c r="AB766" s="398">
        <f t="shared" si="1835"/>
        <v>0</v>
      </c>
      <c r="AC766" s="3665">
        <v>0</v>
      </c>
      <c r="AD766" s="3665">
        <v>0</v>
      </c>
      <c r="AE766" s="406">
        <f t="shared" si="1835"/>
        <v>0</v>
      </c>
      <c r="AF766" s="820">
        <f t="shared" si="1835"/>
        <v>0</v>
      </c>
      <c r="AG766" s="398">
        <f t="shared" si="1835"/>
        <v>0</v>
      </c>
      <c r="AH766" s="406">
        <f t="shared" si="1835"/>
        <v>0</v>
      </c>
      <c r="AI766" s="406">
        <f t="shared" si="1835"/>
        <v>0</v>
      </c>
      <c r="AJ766" s="406">
        <f t="shared" ref="AJ766:AL766" si="1836">AJ750+AJ734+AJ718</f>
        <v>0</v>
      </c>
      <c r="AK766" s="820">
        <f t="shared" si="1836"/>
        <v>0</v>
      </c>
      <c r="AL766" s="398">
        <f t="shared" si="1836"/>
        <v>0</v>
      </c>
      <c r="AM766" s="398">
        <f t="shared" si="1835"/>
        <v>0</v>
      </c>
      <c r="AN766" s="398">
        <f t="shared" si="1835"/>
        <v>0</v>
      </c>
    </row>
    <row r="767" spans="1:40">
      <c r="A767" s="130" t="str">
        <f>$A$90</f>
        <v>Tru by Hilton</v>
      </c>
      <c r="B767" s="1030"/>
      <c r="C767" s="508"/>
      <c r="D767" s="1030"/>
      <c r="E767" s="912"/>
      <c r="F767" s="912"/>
      <c r="G767" s="1041"/>
      <c r="H767" s="820"/>
      <c r="I767" s="1030"/>
      <c r="J767" s="912"/>
      <c r="K767" s="912"/>
      <c r="L767" s="1041"/>
      <c r="M767" s="820"/>
      <c r="N767" s="1030"/>
      <c r="O767" s="912"/>
      <c r="P767" s="912"/>
      <c r="Q767" s="1041"/>
      <c r="R767" s="820"/>
      <c r="S767" s="1030"/>
      <c r="T767" s="912"/>
      <c r="U767" s="912"/>
      <c r="V767" s="912"/>
      <c r="W767" s="398"/>
      <c r="X767" s="2791"/>
      <c r="Y767" s="2791"/>
      <c r="Z767" s="2791"/>
      <c r="AA767" s="2791"/>
      <c r="AB767" s="398"/>
      <c r="AC767" s="406"/>
      <c r="AD767" s="406"/>
      <c r="AE767" s="406">
        <f t="shared" ref="AE767" si="1837">AE751+AE735+AE719</f>
        <v>0</v>
      </c>
      <c r="AF767" s="820"/>
      <c r="AG767" s="820"/>
      <c r="AH767" s="406"/>
      <c r="AI767" s="406"/>
      <c r="AJ767" s="406"/>
      <c r="AK767" s="820"/>
      <c r="AL767" s="820"/>
      <c r="AM767" s="398"/>
      <c r="AN767" s="398"/>
    </row>
    <row r="768" spans="1:40">
      <c r="A768" s="130" t="str">
        <f>$A$91</f>
        <v>Tapestry Collection by Hilton</v>
      </c>
      <c r="B768" s="1030"/>
      <c r="C768" s="508"/>
      <c r="D768" s="1030"/>
      <c r="E768" s="912"/>
      <c r="F768" s="912"/>
      <c r="G768" s="1041"/>
      <c r="H768" s="820"/>
      <c r="I768" s="1030"/>
      <c r="J768" s="912"/>
      <c r="K768" s="912"/>
      <c r="L768" s="1041"/>
      <c r="M768" s="820"/>
      <c r="N768" s="1030"/>
      <c r="O768" s="912"/>
      <c r="P768" s="912"/>
      <c r="Q768" s="1041"/>
      <c r="R768" s="820"/>
      <c r="S768" s="1030"/>
      <c r="T768" s="912"/>
      <c r="U768" s="912"/>
      <c r="V768" s="912"/>
      <c r="W768" s="398"/>
      <c r="X768" s="2791"/>
      <c r="Y768" s="2791"/>
      <c r="Z768" s="2791"/>
      <c r="AA768" s="2791"/>
      <c r="AB768" s="398"/>
      <c r="AC768" s="406"/>
      <c r="AD768" s="406"/>
      <c r="AE768" s="406">
        <f t="shared" ref="AE768" si="1838">AE752+AE736+AE720</f>
        <v>0</v>
      </c>
      <c r="AF768" s="820"/>
      <c r="AG768" s="820"/>
      <c r="AH768" s="406"/>
      <c r="AI768" s="406"/>
      <c r="AJ768" s="406"/>
      <c r="AK768" s="820"/>
      <c r="AL768" s="820"/>
      <c r="AM768" s="398"/>
      <c r="AN768" s="398"/>
    </row>
    <row r="769" spans="1:40" s="5" customFormat="1">
      <c r="A769" s="402" t="str">
        <f>A$21</f>
        <v>Homewood Suites by Hilton (Upscale)</v>
      </c>
      <c r="B769" s="1033">
        <f t="shared" ref="B769:S769" si="1839">B753+B737+B721</f>
        <v>0</v>
      </c>
      <c r="C769" s="398">
        <f t="shared" si="1839"/>
        <v>0</v>
      </c>
      <c r="D769" s="1033">
        <f t="shared" si="1839"/>
        <v>0</v>
      </c>
      <c r="E769" s="406">
        <f t="shared" si="1839"/>
        <v>0</v>
      </c>
      <c r="F769" s="406">
        <f t="shared" si="1839"/>
        <v>0</v>
      </c>
      <c r="G769" s="820">
        <f t="shared" si="1839"/>
        <v>0</v>
      </c>
      <c r="H769" s="820">
        <f t="shared" si="1839"/>
        <v>0</v>
      </c>
      <c r="I769" s="1033">
        <f t="shared" si="1839"/>
        <v>0</v>
      </c>
      <c r="J769" s="406">
        <f t="shared" si="1839"/>
        <v>0</v>
      </c>
      <c r="K769" s="406">
        <f t="shared" si="1839"/>
        <v>0</v>
      </c>
      <c r="L769" s="820">
        <f t="shared" ref="L769:N769" si="1840">L753+L737+L721</f>
        <v>0</v>
      </c>
      <c r="M769" s="820">
        <f t="shared" si="1840"/>
        <v>0</v>
      </c>
      <c r="N769" s="1033">
        <f t="shared" si="1840"/>
        <v>0</v>
      </c>
      <c r="O769" s="401">
        <f t="shared" si="1839"/>
        <v>0</v>
      </c>
      <c r="P769" s="401">
        <f t="shared" si="1839"/>
        <v>0</v>
      </c>
      <c r="Q769" s="820">
        <f t="shared" si="1839"/>
        <v>0</v>
      </c>
      <c r="R769" s="398">
        <f t="shared" si="1839"/>
        <v>0</v>
      </c>
      <c r="S769" s="401">
        <f t="shared" si="1839"/>
        <v>0</v>
      </c>
      <c r="T769" s="401">
        <f t="shared" ref="T769:Z769" si="1841">T753+T737+T721</f>
        <v>0</v>
      </c>
      <c r="U769" s="401">
        <f t="shared" si="1841"/>
        <v>0</v>
      </c>
      <c r="V769" s="820">
        <f t="shared" si="1841"/>
        <v>0</v>
      </c>
      <c r="W769" s="398">
        <f t="shared" si="1841"/>
        <v>0</v>
      </c>
      <c r="X769" s="1033">
        <f t="shared" si="1841"/>
        <v>0</v>
      </c>
      <c r="Y769" s="406">
        <f t="shared" si="1841"/>
        <v>0</v>
      </c>
      <c r="Z769" s="406">
        <f t="shared" si="1841"/>
        <v>0</v>
      </c>
      <c r="AA769" s="406">
        <f t="shared" ref="AA769:AN769" si="1842">AA753+AA737+AA721</f>
        <v>0</v>
      </c>
      <c r="AB769" s="398">
        <f t="shared" si="1842"/>
        <v>0</v>
      </c>
      <c r="AC769" s="3665">
        <v>0</v>
      </c>
      <c r="AD769" s="3665">
        <v>0</v>
      </c>
      <c r="AE769" s="406">
        <f t="shared" ref="AE769:AE771" si="1843">AE753+AE737+AE721</f>
        <v>0</v>
      </c>
      <c r="AF769" s="820">
        <f t="shared" si="1842"/>
        <v>0</v>
      </c>
      <c r="AG769" s="398">
        <f t="shared" si="1842"/>
        <v>0</v>
      </c>
      <c r="AH769" s="406">
        <f t="shared" si="1842"/>
        <v>0</v>
      </c>
      <c r="AI769" s="406">
        <f t="shared" si="1842"/>
        <v>0</v>
      </c>
      <c r="AJ769" s="406">
        <f t="shared" ref="AJ769:AL769" si="1844">AJ753+AJ737+AJ721</f>
        <v>0</v>
      </c>
      <c r="AK769" s="820">
        <f t="shared" si="1844"/>
        <v>0</v>
      </c>
      <c r="AL769" s="398">
        <f t="shared" si="1844"/>
        <v>0</v>
      </c>
      <c r="AM769" s="398">
        <f t="shared" si="1842"/>
        <v>0</v>
      </c>
      <c r="AN769" s="398">
        <f t="shared" si="1842"/>
        <v>0</v>
      </c>
    </row>
    <row r="770" spans="1:40" s="5" customFormat="1">
      <c r="A770" s="130" t="s">
        <v>1407</v>
      </c>
      <c r="B770" s="1033"/>
      <c r="C770" s="398"/>
      <c r="D770" s="1033"/>
      <c r="E770" s="406"/>
      <c r="F770" s="406"/>
      <c r="G770" s="820"/>
      <c r="H770" s="820"/>
      <c r="I770" s="1033"/>
      <c r="J770" s="406"/>
      <c r="K770" s="406"/>
      <c r="L770" s="820"/>
      <c r="M770" s="820"/>
      <c r="N770" s="1033"/>
      <c r="O770" s="401"/>
      <c r="P770" s="401"/>
      <c r="Q770" s="820"/>
      <c r="R770" s="398"/>
      <c r="S770" s="401"/>
      <c r="T770" s="401"/>
      <c r="U770" s="401"/>
      <c r="V770" s="820"/>
      <c r="W770" s="398"/>
      <c r="X770" s="401"/>
      <c r="Y770" s="401"/>
      <c r="Z770" s="401"/>
      <c r="AA770" s="401"/>
      <c r="AB770" s="398"/>
      <c r="AC770" s="3666">
        <v>0</v>
      </c>
      <c r="AD770" s="3666">
        <v>0</v>
      </c>
      <c r="AE770" s="406">
        <v>0</v>
      </c>
      <c r="AF770" s="820"/>
      <c r="AG770" s="398"/>
      <c r="AH770" s="401"/>
      <c r="AI770" s="401"/>
      <c r="AJ770" s="401"/>
      <c r="AK770" s="820"/>
      <c r="AL770" s="398"/>
      <c r="AM770" s="398"/>
      <c r="AN770" s="398"/>
    </row>
    <row r="771" spans="1:40" s="5" customFormat="1">
      <c r="A771" s="402" t="s">
        <v>1394</v>
      </c>
      <c r="B771" s="1033"/>
      <c r="C771" s="398"/>
      <c r="D771" s="1033"/>
      <c r="E771" s="406"/>
      <c r="F771" s="406"/>
      <c r="G771" s="820"/>
      <c r="H771" s="820"/>
      <c r="I771" s="1033"/>
      <c r="J771" s="406"/>
      <c r="K771" s="406"/>
      <c r="L771" s="820"/>
      <c r="M771" s="820"/>
      <c r="N771" s="1033"/>
      <c r="O771" s="401"/>
      <c r="P771" s="401"/>
      <c r="Q771" s="820"/>
      <c r="R771" s="398"/>
      <c r="S771" s="401"/>
      <c r="T771" s="401"/>
      <c r="U771" s="401"/>
      <c r="V771" s="820"/>
      <c r="W771" s="398"/>
      <c r="X771" s="401"/>
      <c r="Y771" s="401"/>
      <c r="Z771" s="401"/>
      <c r="AA771" s="401"/>
      <c r="AB771" s="398"/>
      <c r="AC771" s="3666">
        <v>0</v>
      </c>
      <c r="AD771" s="3666">
        <v>0</v>
      </c>
      <c r="AE771" s="406">
        <f t="shared" si="1843"/>
        <v>0</v>
      </c>
      <c r="AF771" s="820"/>
      <c r="AG771" s="398"/>
      <c r="AH771" s="401"/>
      <c r="AI771" s="401"/>
      <c r="AJ771" s="401"/>
      <c r="AK771" s="820"/>
      <c r="AL771" s="398"/>
      <c r="AM771" s="398"/>
      <c r="AN771" s="398"/>
    </row>
    <row r="772" spans="1:40">
      <c r="A772" s="202" t="s">
        <v>1416</v>
      </c>
      <c r="B772" s="1034">
        <f t="shared" ref="B772:AN772" si="1845">SUM(B757:B769)</f>
        <v>26392</v>
      </c>
      <c r="C772" s="476">
        <f t="shared" si="1845"/>
        <v>30061</v>
      </c>
      <c r="D772" s="1034">
        <f t="shared" si="1845"/>
        <v>31681</v>
      </c>
      <c r="E772" s="475">
        <f t="shared" si="1845"/>
        <v>32526</v>
      </c>
      <c r="F772" s="475">
        <f t="shared" si="1845"/>
        <v>32832</v>
      </c>
      <c r="G772" s="822">
        <f t="shared" si="1845"/>
        <v>34313</v>
      </c>
      <c r="H772" s="822">
        <f t="shared" si="1845"/>
        <v>34313</v>
      </c>
      <c r="I772" s="1034">
        <f t="shared" si="1845"/>
        <v>34868</v>
      </c>
      <c r="J772" s="475">
        <f t="shared" si="1845"/>
        <v>36638</v>
      </c>
      <c r="K772" s="475">
        <f t="shared" si="1845"/>
        <v>37289</v>
      </c>
      <c r="L772" s="822">
        <f>SUM(L757:L769)</f>
        <v>39689</v>
      </c>
      <c r="M772" s="822">
        <f>SUM(M757:M769)</f>
        <v>39689</v>
      </c>
      <c r="N772" s="1034">
        <f t="shared" si="1845"/>
        <v>40727</v>
      </c>
      <c r="O772" s="475">
        <f t="shared" si="1845"/>
        <v>41275</v>
      </c>
      <c r="P772" s="475">
        <f t="shared" si="1845"/>
        <v>42686</v>
      </c>
      <c r="Q772" s="822">
        <f t="shared" si="1845"/>
        <v>45404</v>
      </c>
      <c r="R772" s="476">
        <f t="shared" si="1845"/>
        <v>45404</v>
      </c>
      <c r="S772" s="475">
        <f t="shared" ref="S772:AB772" si="1846">SUM(S757:S769)</f>
        <v>44994</v>
      </c>
      <c r="T772" s="475">
        <f t="shared" si="1846"/>
        <v>45552</v>
      </c>
      <c r="U772" s="475">
        <f>SUM(U757:U769)</f>
        <v>48486</v>
      </c>
      <c r="V772" s="822">
        <f t="shared" si="1846"/>
        <v>51034</v>
      </c>
      <c r="W772" s="476">
        <f t="shared" si="1846"/>
        <v>51034</v>
      </c>
      <c r="X772" s="1034">
        <f t="shared" si="1846"/>
        <v>51536</v>
      </c>
      <c r="Y772" s="475">
        <f t="shared" si="1846"/>
        <v>53201</v>
      </c>
      <c r="Z772" s="475">
        <f t="shared" si="1846"/>
        <v>55657</v>
      </c>
      <c r="AA772" s="475">
        <f t="shared" si="1846"/>
        <v>59304</v>
      </c>
      <c r="AB772" s="476">
        <f t="shared" si="1846"/>
        <v>59304</v>
      </c>
      <c r="AC772" s="475">
        <f>SUM(AC757:AC771)</f>
        <v>59880</v>
      </c>
      <c r="AD772" s="475">
        <f>SUM(AD757:AD769)</f>
        <v>62795</v>
      </c>
      <c r="AE772" s="475">
        <f>SUM(AE757:AE771)</f>
        <v>64376</v>
      </c>
      <c r="AF772" s="822">
        <f>SUM(AF757:AF769)</f>
        <v>67837</v>
      </c>
      <c r="AG772" s="476">
        <f>SUM(AG757:AG769)</f>
        <v>67837</v>
      </c>
      <c r="AH772" s="475">
        <f t="shared" ref="AH772:AI772" si="1847">SUM(AH757:AH769)</f>
        <v>68752.354999999996</v>
      </c>
      <c r="AI772" s="475">
        <f t="shared" si="1847"/>
        <v>69681.021924999979</v>
      </c>
      <c r="AJ772" s="475">
        <f>SUM(AJ757:AJ769)</f>
        <v>70665.877253874976</v>
      </c>
      <c r="AK772" s="822">
        <f>SUM(AK757:AK769)</f>
        <v>71665.505412683109</v>
      </c>
      <c r="AL772" s="476">
        <f>SUM(AL757:AL769)</f>
        <v>71665.505412683109</v>
      </c>
      <c r="AM772" s="476">
        <f t="shared" si="1845"/>
        <v>74841.286206478035</v>
      </c>
      <c r="AN772" s="476">
        <f t="shared" si="1845"/>
        <v>77152.241903655915</v>
      </c>
    </row>
    <row r="773" spans="1:40">
      <c r="A773" s="478" t="s">
        <v>598</v>
      </c>
      <c r="B773" s="1035"/>
      <c r="C773" s="480">
        <f>C772-B772</f>
        <v>3669</v>
      </c>
      <c r="D773" s="1035"/>
      <c r="E773" s="479"/>
      <c r="F773" s="479"/>
      <c r="G773" s="1040"/>
      <c r="H773" s="1040">
        <f t="shared" ref="H773:R773" si="1848">H772-C772</f>
        <v>4252</v>
      </c>
      <c r="I773" s="1035">
        <f t="shared" si="1848"/>
        <v>3187</v>
      </c>
      <c r="J773" s="479">
        <f t="shared" si="1848"/>
        <v>4112</v>
      </c>
      <c r="K773" s="479">
        <f t="shared" si="1848"/>
        <v>4457</v>
      </c>
      <c r="L773" s="1040">
        <f t="shared" si="1848"/>
        <v>5376</v>
      </c>
      <c r="M773" s="1040">
        <f>M772-H772</f>
        <v>5376</v>
      </c>
      <c r="N773" s="1035">
        <f t="shared" si="1848"/>
        <v>5859</v>
      </c>
      <c r="O773" s="479">
        <f t="shared" si="1848"/>
        <v>4637</v>
      </c>
      <c r="P773" s="479">
        <f t="shared" si="1848"/>
        <v>5397</v>
      </c>
      <c r="Q773" s="479">
        <f t="shared" si="1848"/>
        <v>5715</v>
      </c>
      <c r="R773" s="480">
        <f t="shared" si="1848"/>
        <v>5715</v>
      </c>
      <c r="S773" s="479">
        <f t="shared" ref="S773:AB773" si="1849">S772-N772</f>
        <v>4267</v>
      </c>
      <c r="T773" s="479">
        <f t="shared" si="1849"/>
        <v>4277</v>
      </c>
      <c r="U773" s="479">
        <f t="shared" si="1849"/>
        <v>5800</v>
      </c>
      <c r="V773" s="479">
        <f t="shared" si="1849"/>
        <v>5630</v>
      </c>
      <c r="W773" s="480">
        <f t="shared" si="1849"/>
        <v>5630</v>
      </c>
      <c r="X773" s="1035">
        <f t="shared" si="1849"/>
        <v>6542</v>
      </c>
      <c r="Y773" s="479">
        <f t="shared" si="1849"/>
        <v>7649</v>
      </c>
      <c r="Z773" s="479">
        <f t="shared" si="1849"/>
        <v>7171</v>
      </c>
      <c r="AA773" s="479">
        <f t="shared" si="1849"/>
        <v>8270</v>
      </c>
      <c r="AB773" s="480">
        <f t="shared" si="1849"/>
        <v>8270</v>
      </c>
      <c r="AC773" s="479">
        <f>AC772-X772</f>
        <v>8344</v>
      </c>
      <c r="AD773" s="479">
        <f>AD772-Y772</f>
        <v>9594</v>
      </c>
      <c r="AE773" s="479">
        <f>AE772-Z772</f>
        <v>8719</v>
      </c>
      <c r="AF773" s="479">
        <f>AF772-AA772</f>
        <v>8533</v>
      </c>
      <c r="AG773" s="480">
        <f>AG772-AB772</f>
        <v>8533</v>
      </c>
      <c r="AH773" s="479">
        <f t="shared" ref="AH773:AI773" si="1850">AH772-AC772</f>
        <v>8872.3549999999959</v>
      </c>
      <c r="AI773" s="479">
        <f t="shared" si="1850"/>
        <v>6886.0219249999791</v>
      </c>
      <c r="AJ773" s="479">
        <f>AJ772-AE772</f>
        <v>6289.8772538749763</v>
      </c>
      <c r="AK773" s="479">
        <f>AK772-AF772</f>
        <v>3828.5054126831092</v>
      </c>
      <c r="AL773" s="480">
        <f>AL772-AG772</f>
        <v>3828.5054126831092</v>
      </c>
      <c r="AM773" s="480">
        <f>AM772-AL772</f>
        <v>3175.7807937949256</v>
      </c>
      <c r="AN773" s="480">
        <f>AN772-AM772</f>
        <v>2310.9556971778802</v>
      </c>
    </row>
    <row r="774" spans="1:40">
      <c r="A774" s="477" t="s">
        <v>1423</v>
      </c>
      <c r="B774" s="1036"/>
      <c r="C774" s="445">
        <f>C773/B772</f>
        <v>0.13901939981812669</v>
      </c>
      <c r="D774" s="1036"/>
      <c r="E774" s="437"/>
      <c r="F774" s="437"/>
      <c r="G774" s="589"/>
      <c r="H774" s="589">
        <f t="shared" ref="H774:R774" si="1851">H773/C772</f>
        <v>0.14144572702172251</v>
      </c>
      <c r="I774" s="1036">
        <f t="shared" si="1851"/>
        <v>0.10059657207790158</v>
      </c>
      <c r="J774" s="437">
        <f t="shared" si="1851"/>
        <v>0.12642193937157967</v>
      </c>
      <c r="K774" s="437">
        <f t="shared" si="1851"/>
        <v>0.13575170565302144</v>
      </c>
      <c r="L774" s="589">
        <f t="shared" si="1851"/>
        <v>0.15667531256375133</v>
      </c>
      <c r="M774" s="589">
        <f>M773/H772</f>
        <v>0.15667531256375133</v>
      </c>
      <c r="N774" s="1036">
        <f t="shared" si="1851"/>
        <v>0.16803372719972468</v>
      </c>
      <c r="O774" s="481">
        <f t="shared" si="1851"/>
        <v>0.12656258529395709</v>
      </c>
      <c r="P774" s="481">
        <f t="shared" si="1851"/>
        <v>0.14473437206682935</v>
      </c>
      <c r="Q774" s="481">
        <f t="shared" si="1851"/>
        <v>0.14399455768600872</v>
      </c>
      <c r="R774" s="445">
        <f t="shared" si="1851"/>
        <v>0.14399455768600872</v>
      </c>
      <c r="S774" s="481">
        <f t="shared" ref="S774:AB774" si="1852">S773/N772</f>
        <v>0.10477079087583176</v>
      </c>
      <c r="T774" s="481">
        <f t="shared" si="1852"/>
        <v>0.10362204724409449</v>
      </c>
      <c r="U774" s="481">
        <f t="shared" si="1852"/>
        <v>0.13587593121866653</v>
      </c>
      <c r="V774" s="481">
        <f t="shared" si="1852"/>
        <v>0.12399788564884151</v>
      </c>
      <c r="W774" s="445">
        <f t="shared" si="1852"/>
        <v>0.12399788564884151</v>
      </c>
      <c r="X774" s="2548">
        <f t="shared" si="1852"/>
        <v>0.14539716406631994</v>
      </c>
      <c r="Y774" s="481">
        <f t="shared" si="1852"/>
        <v>0.16791798384264137</v>
      </c>
      <c r="Z774" s="481">
        <f t="shared" si="1852"/>
        <v>0.14789836241389268</v>
      </c>
      <c r="AA774" s="481">
        <f t="shared" si="1852"/>
        <v>0.16204883019163696</v>
      </c>
      <c r="AB774" s="445">
        <f t="shared" si="1852"/>
        <v>0.16204883019163696</v>
      </c>
      <c r="AC774" s="481">
        <f>AC773/X772</f>
        <v>0.1619062402980441</v>
      </c>
      <c r="AD774" s="481">
        <f>AD773/Y772</f>
        <v>0.18033495610984757</v>
      </c>
      <c r="AE774" s="481">
        <f>AE773/Z772</f>
        <v>0.15665594624216181</v>
      </c>
      <c r="AF774" s="481">
        <f>AF773/AA772</f>
        <v>0.14388574126534467</v>
      </c>
      <c r="AG774" s="445">
        <f>AG773/AB772</f>
        <v>0.14388574126534467</v>
      </c>
      <c r="AH774" s="481">
        <f t="shared" ref="AH774:AI774" si="1853">AH773/AC772</f>
        <v>0.14816892117568464</v>
      </c>
      <c r="AI774" s="481">
        <f t="shared" si="1853"/>
        <v>0.10965876144597467</v>
      </c>
      <c r="AJ774" s="481">
        <f>AJ773/AE772</f>
        <v>9.7705313375714184E-2</v>
      </c>
      <c r="AK774" s="481">
        <f>AK773/AF772</f>
        <v>5.6436832594057948E-2</v>
      </c>
      <c r="AL774" s="445">
        <f>AL773/AG772</f>
        <v>5.6436832594057948E-2</v>
      </c>
      <c r="AM774" s="445">
        <f>AM773/AL772</f>
        <v>4.4313938421382947E-2</v>
      </c>
      <c r="AN774" s="445">
        <f>AN773/AM772</f>
        <v>3.0878086338631778E-2</v>
      </c>
    </row>
    <row r="775" spans="1:40">
      <c r="A775" s="3775"/>
      <c r="B775" s="405"/>
      <c r="C775" s="405"/>
      <c r="D775" s="405"/>
      <c r="E775" s="405"/>
      <c r="F775" s="405"/>
      <c r="G775" s="405"/>
      <c r="H775" s="405"/>
      <c r="I775" s="405"/>
      <c r="J775" s="405"/>
      <c r="K775" s="405"/>
      <c r="L775" s="405"/>
      <c r="M775" s="405"/>
      <c r="N775" s="405"/>
      <c r="O775" s="405"/>
      <c r="P775" s="405"/>
      <c r="Q775" s="405"/>
      <c r="R775" s="405"/>
      <c r="S775" s="405"/>
      <c r="T775" s="405"/>
      <c r="U775" s="405"/>
      <c r="V775" s="405"/>
      <c r="W775" s="405"/>
      <c r="X775" s="405"/>
      <c r="Y775" s="405"/>
      <c r="Z775" s="405"/>
      <c r="AA775" s="405"/>
      <c r="AB775" s="405"/>
      <c r="AC775" s="3774"/>
      <c r="AD775" s="3774"/>
      <c r="AE775" s="3774"/>
      <c r="AF775" s="3774"/>
      <c r="AG775" s="3774"/>
      <c r="AH775" s="3774"/>
      <c r="AI775" s="3774"/>
      <c r="AJ775" s="3774"/>
      <c r="AK775" s="3774"/>
      <c r="AL775" s="3774"/>
      <c r="AM775" s="3774"/>
      <c r="AN775" s="3774"/>
    </row>
    <row r="776" spans="1:40">
      <c r="A776" s="130"/>
      <c r="B776" s="406"/>
      <c r="C776" s="398"/>
      <c r="D776" s="1033"/>
      <c r="E776" s="406"/>
      <c r="F776" s="406"/>
      <c r="G776" s="820"/>
      <c r="H776" s="406"/>
      <c r="I776" s="1033"/>
      <c r="J776" s="406"/>
      <c r="K776" s="406"/>
      <c r="L776" s="820"/>
      <c r="M776" s="406"/>
      <c r="N776" s="401"/>
      <c r="O776" s="401"/>
      <c r="P776" s="401"/>
      <c r="Q776" s="820"/>
      <c r="R776" s="406"/>
      <c r="S776" s="406"/>
      <c r="T776" s="406"/>
      <c r="U776" s="406"/>
      <c r="V776" s="406"/>
      <c r="W776" s="3797">
        <f>W794/(W837-W836)*100</f>
        <v>7.9141545218606506</v>
      </c>
      <c r="X776" s="406"/>
      <c r="Y776" s="406"/>
      <c r="Z776" s="406"/>
      <c r="AA776" s="406"/>
      <c r="AB776" s="3797"/>
      <c r="AC776" s="406"/>
      <c r="AD776" s="406"/>
      <c r="AE776" s="406"/>
      <c r="AF776" s="406"/>
      <c r="AG776" s="406"/>
      <c r="AH776" s="406"/>
      <c r="AI776" s="406"/>
      <c r="AJ776" s="406"/>
      <c r="AK776" s="406"/>
      <c r="AL776" s="406"/>
      <c r="AM776" s="406"/>
      <c r="AN776" s="406"/>
    </row>
    <row r="777" spans="1:40" s="775" customFormat="1">
      <c r="A777" s="461" t="s">
        <v>2068</v>
      </c>
      <c r="B777" s="1037" t="str">
        <f>B706</f>
        <v>2010</v>
      </c>
      <c r="C777" s="774" t="str">
        <f t="shared" ref="C777:AA777" si="1854">C706</f>
        <v>2011</v>
      </c>
      <c r="D777" s="1037" t="str">
        <f t="shared" si="1854"/>
        <v>1Q12</v>
      </c>
      <c r="E777" s="773" t="str">
        <f t="shared" si="1854"/>
        <v>2Q12</v>
      </c>
      <c r="F777" s="773" t="str">
        <f t="shared" si="1854"/>
        <v>3Q12</v>
      </c>
      <c r="G777" s="776" t="str">
        <f t="shared" si="1854"/>
        <v>4Q12</v>
      </c>
      <c r="H777" s="776">
        <f t="shared" si="1854"/>
        <v>2012</v>
      </c>
      <c r="I777" s="1037" t="str">
        <f t="shared" si="1854"/>
        <v>1Q13</v>
      </c>
      <c r="J777" s="773" t="str">
        <f t="shared" si="1854"/>
        <v>2Q13</v>
      </c>
      <c r="K777" s="773" t="str">
        <f t="shared" si="1854"/>
        <v>3Q13</v>
      </c>
      <c r="L777" s="776" t="str">
        <f>L706</f>
        <v>4Q13</v>
      </c>
      <c r="M777" s="776">
        <f>M706</f>
        <v>2013</v>
      </c>
      <c r="N777" s="773" t="str">
        <f t="shared" si="1854"/>
        <v>1Q14</v>
      </c>
      <c r="O777" s="773" t="str">
        <f t="shared" si="1854"/>
        <v>2Q14</v>
      </c>
      <c r="P777" s="773" t="str">
        <f t="shared" si="1854"/>
        <v>3Q14</v>
      </c>
      <c r="Q777" s="776" t="str">
        <f t="shared" si="1854"/>
        <v>4Q14</v>
      </c>
      <c r="R777" s="774">
        <f t="shared" si="1854"/>
        <v>2014</v>
      </c>
      <c r="S777" s="773" t="str">
        <f t="shared" si="1854"/>
        <v>1Q15</v>
      </c>
      <c r="T777" s="773" t="str">
        <f t="shared" si="1854"/>
        <v>2Q15</v>
      </c>
      <c r="U777" s="773" t="str">
        <f t="shared" si="1854"/>
        <v>3Q15</v>
      </c>
      <c r="V777" s="776" t="str">
        <f t="shared" si="1854"/>
        <v>4Q15</v>
      </c>
      <c r="W777" s="774">
        <f t="shared" si="1854"/>
        <v>2015</v>
      </c>
      <c r="X777" s="773" t="str">
        <f t="shared" si="1854"/>
        <v>1Q16</v>
      </c>
      <c r="Y777" s="773" t="str">
        <f t="shared" si="1854"/>
        <v>2Q16</v>
      </c>
      <c r="Z777" s="773" t="str">
        <f t="shared" si="1854"/>
        <v>3Q16</v>
      </c>
      <c r="AA777" s="773" t="str">
        <f t="shared" si="1854"/>
        <v>4Q16</v>
      </c>
      <c r="AB777" s="774">
        <f t="shared" ref="AB777:AN777" si="1855">AB706</f>
        <v>2016</v>
      </c>
      <c r="AC777" s="773" t="str">
        <f t="shared" si="1855"/>
        <v>1Q17</v>
      </c>
      <c r="AD777" s="773" t="str">
        <f t="shared" si="1855"/>
        <v>2Q17</v>
      </c>
      <c r="AE777" s="773" t="str">
        <f t="shared" si="1855"/>
        <v>3Q17</v>
      </c>
      <c r="AF777" s="776" t="str">
        <f t="shared" si="1855"/>
        <v>4Q17A</v>
      </c>
      <c r="AG777" s="774" t="str">
        <f t="shared" si="1855"/>
        <v>2017A</v>
      </c>
      <c r="AH777" s="773" t="str">
        <f t="shared" ref="AH777:AK777" si="1856">AH706</f>
        <v>1Q18E</v>
      </c>
      <c r="AI777" s="773" t="str">
        <f t="shared" si="1856"/>
        <v>2Q18E</v>
      </c>
      <c r="AJ777" s="773" t="str">
        <f t="shared" si="1856"/>
        <v>3Q18E</v>
      </c>
      <c r="AK777" s="776" t="str">
        <f t="shared" si="1856"/>
        <v>4Q18E</v>
      </c>
      <c r="AL777" s="774" t="str">
        <f t="shared" si="1855"/>
        <v>2018E</v>
      </c>
      <c r="AM777" s="774" t="str">
        <f t="shared" si="1855"/>
        <v>2019E</v>
      </c>
      <c r="AN777" s="774" t="str">
        <f t="shared" si="1855"/>
        <v>2020E</v>
      </c>
    </row>
    <row r="778" spans="1:40" s="130" customFormat="1">
      <c r="A778" s="482"/>
      <c r="B778" s="1038"/>
      <c r="C778" s="397"/>
      <c r="D778" s="1038"/>
      <c r="E778" s="203"/>
      <c r="F778" s="203"/>
      <c r="G778" s="572"/>
      <c r="H778" s="572"/>
      <c r="I778" s="1038"/>
      <c r="J778" s="203"/>
      <c r="K778" s="203"/>
      <c r="L778" s="572"/>
      <c r="M778" s="572"/>
      <c r="N778" s="203"/>
      <c r="O778" s="203"/>
      <c r="P778" s="203"/>
      <c r="Q778" s="572"/>
      <c r="R778" s="397"/>
      <c r="S778" s="1038"/>
      <c r="T778" s="203"/>
      <c r="U778" s="203"/>
      <c r="V778" s="572"/>
      <c r="W778" s="397"/>
      <c r="X778" s="1038"/>
      <c r="Y778" s="203"/>
      <c r="Z778" s="203"/>
      <c r="AA778" s="203"/>
      <c r="AB778" s="397"/>
      <c r="AC778" s="203"/>
      <c r="AD778" s="203"/>
      <c r="AE778" s="203"/>
      <c r="AF778" s="572"/>
      <c r="AG778" s="397"/>
      <c r="AH778" s="203"/>
      <c r="AI778" s="203"/>
      <c r="AJ778" s="203"/>
      <c r="AK778" s="572"/>
      <c r="AL778" s="397"/>
      <c r="AM778" s="397"/>
      <c r="AN778" s="397"/>
    </row>
    <row r="779" spans="1:40">
      <c r="A779" s="482" t="s">
        <v>1589</v>
      </c>
      <c r="B779" s="394"/>
      <c r="C779" s="138"/>
      <c r="D779" s="394"/>
      <c r="E779" s="135"/>
      <c r="F779" s="135"/>
      <c r="G779" s="452"/>
      <c r="H779" s="452"/>
      <c r="I779" s="394"/>
      <c r="J779" s="135"/>
      <c r="K779" s="135"/>
      <c r="L779" s="452"/>
      <c r="M779" s="452"/>
      <c r="N779" s="135"/>
      <c r="O779" s="135"/>
      <c r="P779" s="135"/>
      <c r="Q779" s="452"/>
      <c r="R779" s="138"/>
      <c r="S779" s="394"/>
      <c r="T779" s="135"/>
      <c r="U779" s="135"/>
      <c r="V779" s="452"/>
      <c r="W779" s="138">
        <f>W794/W837*100</f>
        <v>7.8395310757255752</v>
      </c>
      <c r="X779" s="394"/>
      <c r="Y779" s="135"/>
      <c r="Z779" s="135"/>
      <c r="AA779" s="135"/>
      <c r="AB779" s="138"/>
      <c r="AC779" s="135"/>
      <c r="AD779" s="135"/>
      <c r="AE779" s="135"/>
      <c r="AF779" s="452"/>
      <c r="AG779" s="138">
        <f>AG794/AG837*100</f>
        <v>2.5938104109845055</v>
      </c>
      <c r="AH779" s="135"/>
      <c r="AI779" s="135"/>
      <c r="AJ779" s="135"/>
      <c r="AK779" s="452"/>
      <c r="AL779" s="138"/>
      <c r="AM779" s="138"/>
      <c r="AN779" s="138"/>
    </row>
    <row r="780" spans="1:40">
      <c r="A780" s="130" t="str">
        <f>A$9</f>
        <v>Waldorf Astoria Hotels &amp; Resorts (Luxury)</v>
      </c>
      <c r="B780" s="1033">
        <f t="shared" ref="B780:AN780" si="1857">B425+B496+B567+B638+B709</f>
        <v>1783</v>
      </c>
      <c r="C780" s="398">
        <f t="shared" si="1857"/>
        <v>1783</v>
      </c>
      <c r="D780" s="1033">
        <f t="shared" si="1857"/>
        <v>1971</v>
      </c>
      <c r="E780" s="406">
        <f t="shared" si="1857"/>
        <v>1971</v>
      </c>
      <c r="F780" s="406">
        <f t="shared" si="1857"/>
        <v>1971</v>
      </c>
      <c r="G780" s="820">
        <f t="shared" si="1857"/>
        <v>1971</v>
      </c>
      <c r="H780" s="820">
        <f t="shared" si="1857"/>
        <v>1971</v>
      </c>
      <c r="I780" s="1033">
        <f t="shared" si="1857"/>
        <v>1971</v>
      </c>
      <c r="J780" s="406">
        <f t="shared" si="1857"/>
        <v>1971</v>
      </c>
      <c r="K780" s="406">
        <f t="shared" si="1857"/>
        <v>1971</v>
      </c>
      <c r="L780" s="820">
        <f t="shared" si="1857"/>
        <v>1971</v>
      </c>
      <c r="M780" s="820">
        <f t="shared" si="1857"/>
        <v>1971</v>
      </c>
      <c r="N780" s="1033">
        <f t="shared" si="1857"/>
        <v>1971</v>
      </c>
      <c r="O780" s="406">
        <f t="shared" si="1857"/>
        <v>2064</v>
      </c>
      <c r="P780" s="406">
        <f t="shared" si="1857"/>
        <v>2065</v>
      </c>
      <c r="Q780" s="820">
        <f t="shared" si="1857"/>
        <v>2065</v>
      </c>
      <c r="R780" s="398">
        <f t="shared" si="1857"/>
        <v>2065</v>
      </c>
      <c r="S780" s="406">
        <f t="shared" si="1857"/>
        <v>1611</v>
      </c>
      <c r="T780" s="406">
        <f t="shared" si="1857"/>
        <v>1611</v>
      </c>
      <c r="U780" s="406">
        <f t="shared" si="1857"/>
        <v>1611</v>
      </c>
      <c r="V780" s="820">
        <f t="shared" si="1857"/>
        <v>1611</v>
      </c>
      <c r="W780" s="398">
        <f t="shared" si="1857"/>
        <v>1611</v>
      </c>
      <c r="X780" s="406">
        <f t="shared" si="1857"/>
        <v>1611</v>
      </c>
      <c r="Y780" s="406">
        <f t="shared" si="1857"/>
        <v>1637</v>
      </c>
      <c r="Z780" s="406">
        <f t="shared" si="1857"/>
        <v>1637</v>
      </c>
      <c r="AA780" s="406">
        <f t="shared" si="1857"/>
        <v>1637</v>
      </c>
      <c r="AB780" s="398">
        <f t="shared" si="1857"/>
        <v>1637</v>
      </c>
      <c r="AC780" s="406">
        <f t="shared" si="1857"/>
        <v>678</v>
      </c>
      <c r="AD780" s="406">
        <f t="shared" si="1857"/>
        <v>678</v>
      </c>
      <c r="AE780" s="406">
        <f t="shared" si="1857"/>
        <v>678</v>
      </c>
      <c r="AF780" s="820">
        <f t="shared" si="1857"/>
        <v>678</v>
      </c>
      <c r="AG780" s="398">
        <f t="shared" si="1857"/>
        <v>678</v>
      </c>
      <c r="AH780" s="406">
        <f t="shared" si="1857"/>
        <v>678</v>
      </c>
      <c r="AI780" s="406">
        <f t="shared" si="1857"/>
        <v>678</v>
      </c>
      <c r="AJ780" s="406">
        <f t="shared" ref="AJ780:AL780" si="1858">AJ425+AJ496+AJ567+AJ638+AJ709</f>
        <v>678</v>
      </c>
      <c r="AK780" s="820">
        <f t="shared" si="1858"/>
        <v>678</v>
      </c>
      <c r="AL780" s="398">
        <f t="shared" si="1858"/>
        <v>678</v>
      </c>
      <c r="AM780" s="398">
        <f t="shared" si="1857"/>
        <v>678</v>
      </c>
      <c r="AN780" s="398">
        <f t="shared" si="1857"/>
        <v>678</v>
      </c>
    </row>
    <row r="781" spans="1:40">
      <c r="A781" s="130" t="str">
        <f>A$10</f>
        <v>Conrad Hotels &amp; Resorts (Luxury)</v>
      </c>
      <c r="B781" s="1033">
        <f t="shared" ref="B781:AN781" si="1859">B426+B497+B568+B639+B710</f>
        <v>1398</v>
      </c>
      <c r="C781" s="398">
        <f t="shared" si="1859"/>
        <v>1399</v>
      </c>
      <c r="D781" s="1033">
        <f t="shared" si="1859"/>
        <v>1398</v>
      </c>
      <c r="E781" s="406">
        <f t="shared" si="1859"/>
        <v>1398</v>
      </c>
      <c r="F781" s="406">
        <f t="shared" si="1859"/>
        <v>1398</v>
      </c>
      <c r="G781" s="820">
        <f t="shared" si="1859"/>
        <v>1398</v>
      </c>
      <c r="H781" s="820">
        <f t="shared" si="1859"/>
        <v>1398</v>
      </c>
      <c r="I781" s="1033">
        <f t="shared" si="1859"/>
        <v>1395</v>
      </c>
      <c r="J781" s="406">
        <f t="shared" si="1859"/>
        <v>1395</v>
      </c>
      <c r="K781" s="406">
        <f t="shared" si="1859"/>
        <v>1395</v>
      </c>
      <c r="L781" s="820">
        <f t="shared" si="1859"/>
        <v>808</v>
      </c>
      <c r="M781" s="820">
        <f t="shared" si="1859"/>
        <v>808</v>
      </c>
      <c r="N781" s="1033">
        <f t="shared" si="1859"/>
        <v>778</v>
      </c>
      <c r="O781" s="406">
        <f t="shared" si="1859"/>
        <v>778</v>
      </c>
      <c r="P781" s="406">
        <f t="shared" si="1859"/>
        <v>805</v>
      </c>
      <c r="Q781" s="820">
        <f t="shared" si="1859"/>
        <v>805</v>
      </c>
      <c r="R781" s="398">
        <f t="shared" si="1859"/>
        <v>805</v>
      </c>
      <c r="S781" s="406">
        <f t="shared" si="1859"/>
        <v>805</v>
      </c>
      <c r="T781" s="406">
        <f t="shared" si="1859"/>
        <v>805</v>
      </c>
      <c r="U781" s="406">
        <f t="shared" si="1859"/>
        <v>805</v>
      </c>
      <c r="V781" s="820">
        <f t="shared" si="1859"/>
        <v>805</v>
      </c>
      <c r="W781" s="398">
        <f t="shared" si="1859"/>
        <v>805</v>
      </c>
      <c r="X781" s="406">
        <f t="shared" si="1859"/>
        <v>805</v>
      </c>
      <c r="Y781" s="406">
        <f t="shared" si="1859"/>
        <v>805</v>
      </c>
      <c r="Z781" s="406">
        <f t="shared" si="1859"/>
        <v>805</v>
      </c>
      <c r="AA781" s="406">
        <f t="shared" si="1859"/>
        <v>806</v>
      </c>
      <c r="AB781" s="398">
        <f t="shared" si="1859"/>
        <v>806</v>
      </c>
      <c r="AC781" s="406">
        <f t="shared" si="1859"/>
        <v>615</v>
      </c>
      <c r="AD781" s="406">
        <f t="shared" si="1859"/>
        <v>615</v>
      </c>
      <c r="AE781" s="406">
        <f t="shared" si="1859"/>
        <v>778</v>
      </c>
      <c r="AF781" s="820">
        <f t="shared" si="1859"/>
        <v>778</v>
      </c>
      <c r="AG781" s="398">
        <f t="shared" si="1859"/>
        <v>778</v>
      </c>
      <c r="AH781" s="406">
        <f t="shared" si="1859"/>
        <v>778</v>
      </c>
      <c r="AI781" s="406">
        <f t="shared" si="1859"/>
        <v>778</v>
      </c>
      <c r="AJ781" s="406">
        <f t="shared" ref="AJ781:AL781" si="1860">AJ426+AJ497+AJ568+AJ639+AJ710</f>
        <v>778</v>
      </c>
      <c r="AK781" s="820">
        <f t="shared" si="1860"/>
        <v>778</v>
      </c>
      <c r="AL781" s="398">
        <f t="shared" si="1860"/>
        <v>778</v>
      </c>
      <c r="AM781" s="398">
        <f t="shared" si="1859"/>
        <v>778</v>
      </c>
      <c r="AN781" s="398">
        <f t="shared" si="1859"/>
        <v>778</v>
      </c>
    </row>
    <row r="782" spans="1:40">
      <c r="A782" s="1828" t="s">
        <v>3022</v>
      </c>
      <c r="B782" s="1033"/>
      <c r="C782" s="398"/>
      <c r="D782" s="1033"/>
      <c r="E782" s="406"/>
      <c r="F782" s="406"/>
      <c r="G782" s="820"/>
      <c r="H782" s="820"/>
      <c r="I782" s="1033"/>
      <c r="J782" s="406"/>
      <c r="K782" s="406"/>
      <c r="L782" s="820"/>
      <c r="M782" s="820"/>
      <c r="N782" s="1033"/>
      <c r="O782" s="406"/>
      <c r="P782" s="406"/>
      <c r="Q782" s="820"/>
      <c r="R782" s="398"/>
      <c r="S782" s="406"/>
      <c r="T782" s="406"/>
      <c r="U782" s="406"/>
      <c r="V782" s="820"/>
      <c r="W782" s="398"/>
      <c r="X782" s="406"/>
      <c r="Y782" s="406"/>
      <c r="Z782" s="406"/>
      <c r="AA782" s="406">
        <f t="shared" ref="AA782:AN782" si="1861">AA427+AA498+AA569+AA640+AA711</f>
        <v>0</v>
      </c>
      <c r="AB782" s="398">
        <f t="shared" si="1861"/>
        <v>0</v>
      </c>
      <c r="AC782" s="406">
        <f t="shared" si="1861"/>
        <v>0</v>
      </c>
      <c r="AD782" s="406">
        <f t="shared" si="1861"/>
        <v>0</v>
      </c>
      <c r="AE782" s="406">
        <f t="shared" si="1861"/>
        <v>0</v>
      </c>
      <c r="AF782" s="820">
        <f t="shared" si="1861"/>
        <v>0</v>
      </c>
      <c r="AG782" s="398">
        <f t="shared" si="1861"/>
        <v>0</v>
      </c>
      <c r="AH782" s="406">
        <f t="shared" si="1861"/>
        <v>0</v>
      </c>
      <c r="AI782" s="406">
        <f t="shared" si="1861"/>
        <v>0</v>
      </c>
      <c r="AJ782" s="406">
        <f t="shared" ref="AJ782:AL782" si="1862">AJ427+AJ498+AJ569+AJ640+AJ711</f>
        <v>0</v>
      </c>
      <c r="AK782" s="820">
        <f t="shared" si="1862"/>
        <v>0</v>
      </c>
      <c r="AL782" s="398">
        <f t="shared" si="1862"/>
        <v>0</v>
      </c>
      <c r="AM782" s="398">
        <f t="shared" si="1861"/>
        <v>0</v>
      </c>
      <c r="AN782" s="398">
        <f t="shared" si="1861"/>
        <v>0</v>
      </c>
    </row>
    <row r="783" spans="1:40">
      <c r="A783" s="130" t="str">
        <f>A$12</f>
        <v>Hilton Hotels &amp; Resorts (Upper Up)</v>
      </c>
      <c r="B783" s="1033">
        <f t="shared" ref="B783:Z783" si="1863">B428+B499+B570+B641+B712</f>
        <v>48939</v>
      </c>
      <c r="C783" s="398">
        <f t="shared" si="1863"/>
        <v>48962</v>
      </c>
      <c r="D783" s="1033">
        <f t="shared" si="1863"/>
        <v>48945</v>
      </c>
      <c r="E783" s="406">
        <f t="shared" si="1863"/>
        <v>48949</v>
      </c>
      <c r="F783" s="406">
        <f t="shared" si="1863"/>
        <v>48960</v>
      </c>
      <c r="G783" s="820">
        <f t="shared" si="1863"/>
        <v>48961</v>
      </c>
      <c r="H783" s="820">
        <f t="shared" si="1863"/>
        <v>48961</v>
      </c>
      <c r="I783" s="1033">
        <f t="shared" si="1863"/>
        <v>48517</v>
      </c>
      <c r="J783" s="406">
        <f t="shared" si="1863"/>
        <v>48179</v>
      </c>
      <c r="K783" s="406">
        <f t="shared" si="1863"/>
        <v>48176</v>
      </c>
      <c r="L783" s="820">
        <f t="shared" si="1863"/>
        <v>48182</v>
      </c>
      <c r="M783" s="820">
        <f t="shared" si="1863"/>
        <v>48182</v>
      </c>
      <c r="N783" s="1033">
        <f t="shared" si="1863"/>
        <v>48211</v>
      </c>
      <c r="O783" s="406">
        <f t="shared" si="1863"/>
        <v>48093</v>
      </c>
      <c r="P783" s="406">
        <f t="shared" si="1863"/>
        <v>47977</v>
      </c>
      <c r="Q783" s="820">
        <f t="shared" si="1863"/>
        <v>47601</v>
      </c>
      <c r="R783" s="398">
        <f t="shared" si="1863"/>
        <v>47601</v>
      </c>
      <c r="S783" s="406">
        <f t="shared" si="1863"/>
        <v>49633</v>
      </c>
      <c r="T783" s="406">
        <f t="shared" si="1863"/>
        <v>49636</v>
      </c>
      <c r="U783" s="406">
        <f t="shared" si="1863"/>
        <v>48839</v>
      </c>
      <c r="V783" s="820">
        <f t="shared" si="1863"/>
        <v>48562</v>
      </c>
      <c r="W783" s="398">
        <f t="shared" si="1863"/>
        <v>48562</v>
      </c>
      <c r="X783" s="406">
        <f t="shared" si="1863"/>
        <v>48350</v>
      </c>
      <c r="Y783" s="406">
        <f t="shared" si="1863"/>
        <v>48115</v>
      </c>
      <c r="Z783" s="406">
        <f t="shared" si="1863"/>
        <v>48116</v>
      </c>
      <c r="AA783" s="406">
        <f t="shared" ref="AA783:AN783" si="1864">AA428+AA499+AA570+AA641+AA712</f>
        <v>48134</v>
      </c>
      <c r="AB783" s="398">
        <f t="shared" si="1864"/>
        <v>48134</v>
      </c>
      <c r="AC783" s="406">
        <f t="shared" si="1864"/>
        <v>21005</v>
      </c>
      <c r="AD783" s="406">
        <f t="shared" si="1864"/>
        <v>21041</v>
      </c>
      <c r="AE783" s="406">
        <f t="shared" si="1864"/>
        <v>20748</v>
      </c>
      <c r="AF783" s="820">
        <f t="shared" si="1864"/>
        <v>20750</v>
      </c>
      <c r="AG783" s="398">
        <f t="shared" si="1864"/>
        <v>20750</v>
      </c>
      <c r="AH783" s="406">
        <f t="shared" si="1864"/>
        <v>20750</v>
      </c>
      <c r="AI783" s="406">
        <f t="shared" si="1864"/>
        <v>20750</v>
      </c>
      <c r="AJ783" s="406">
        <f t="shared" ref="AJ783:AL783" si="1865">AJ428+AJ499+AJ570+AJ641+AJ712</f>
        <v>20750</v>
      </c>
      <c r="AK783" s="820">
        <f t="shared" si="1865"/>
        <v>20750</v>
      </c>
      <c r="AL783" s="398">
        <f t="shared" si="1865"/>
        <v>20750</v>
      </c>
      <c r="AM783" s="398">
        <f t="shared" si="1864"/>
        <v>20750</v>
      </c>
      <c r="AN783" s="398">
        <f t="shared" si="1864"/>
        <v>20750</v>
      </c>
    </row>
    <row r="784" spans="1:40">
      <c r="A784" s="130" t="str">
        <f>A$13</f>
        <v xml:space="preserve">Curio - A Collection by Hilton </v>
      </c>
      <c r="B784" s="1033"/>
      <c r="C784" s="398"/>
      <c r="D784" s="1033"/>
      <c r="E784" s="406"/>
      <c r="F784" s="406"/>
      <c r="G784" s="820"/>
      <c r="H784" s="820"/>
      <c r="I784" s="1033"/>
      <c r="J784" s="406"/>
      <c r="K784" s="406"/>
      <c r="L784" s="820"/>
      <c r="M784" s="820"/>
      <c r="N784" s="1033"/>
      <c r="O784" s="406"/>
      <c r="P784" s="406"/>
      <c r="Q784" s="820">
        <f t="shared" ref="Q784:Z784" si="1866">Q429+Q500+Q571+Q642+Q713</f>
        <v>0</v>
      </c>
      <c r="R784" s="398">
        <f t="shared" si="1866"/>
        <v>0</v>
      </c>
      <c r="S784" s="406">
        <f t="shared" si="1866"/>
        <v>0</v>
      </c>
      <c r="T784" s="406">
        <f t="shared" si="1866"/>
        <v>224</v>
      </c>
      <c r="U784" s="406">
        <f t="shared" si="1866"/>
        <v>224</v>
      </c>
      <c r="V784" s="820">
        <f t="shared" si="1866"/>
        <v>224</v>
      </c>
      <c r="W784" s="398">
        <f t="shared" si="1866"/>
        <v>224</v>
      </c>
      <c r="X784" s="406">
        <f t="shared" si="1866"/>
        <v>224</v>
      </c>
      <c r="Y784" s="406">
        <f t="shared" si="1866"/>
        <v>224</v>
      </c>
      <c r="Z784" s="406">
        <f t="shared" si="1866"/>
        <v>224</v>
      </c>
      <c r="AA784" s="406">
        <f t="shared" ref="AA784:AN784" si="1867">AA429+AA500+AA571+AA642+AA713</f>
        <v>224</v>
      </c>
      <c r="AB784" s="398">
        <f t="shared" si="1867"/>
        <v>224</v>
      </c>
      <c r="AC784" s="406">
        <f t="shared" si="1867"/>
        <v>0</v>
      </c>
      <c r="AD784" s="406">
        <f t="shared" si="1867"/>
        <v>0</v>
      </c>
      <c r="AE784" s="406">
        <f t="shared" si="1867"/>
        <v>0</v>
      </c>
      <c r="AF784" s="820">
        <f t="shared" si="1867"/>
        <v>0</v>
      </c>
      <c r="AG784" s="398">
        <f t="shared" si="1867"/>
        <v>0</v>
      </c>
      <c r="AH784" s="406">
        <f t="shared" si="1867"/>
        <v>0</v>
      </c>
      <c r="AI784" s="406">
        <f t="shared" si="1867"/>
        <v>0</v>
      </c>
      <c r="AJ784" s="406">
        <f t="shared" ref="AJ784:AL784" si="1868">AJ429+AJ500+AJ571+AJ642+AJ713</f>
        <v>0</v>
      </c>
      <c r="AK784" s="820">
        <f t="shared" si="1868"/>
        <v>0</v>
      </c>
      <c r="AL784" s="398">
        <f t="shared" si="1868"/>
        <v>0</v>
      </c>
      <c r="AM784" s="398">
        <f t="shared" si="1867"/>
        <v>0</v>
      </c>
      <c r="AN784" s="398">
        <f t="shared" si="1867"/>
        <v>0</v>
      </c>
    </row>
    <row r="785" spans="1:40">
      <c r="A785" s="130" t="str">
        <f>A$14</f>
        <v>DoubleTree by Hilton (Upscale)</v>
      </c>
      <c r="B785" s="1033">
        <f t="shared" ref="B785:P785" si="1869">B430+B501+B572+B643+B714</f>
        <v>4860</v>
      </c>
      <c r="C785" s="398">
        <f t="shared" si="1869"/>
        <v>4702</v>
      </c>
      <c r="D785" s="1033">
        <f t="shared" si="1869"/>
        <v>4702</v>
      </c>
      <c r="E785" s="406">
        <f t="shared" si="1869"/>
        <v>4700</v>
      </c>
      <c r="F785" s="406">
        <f t="shared" si="1869"/>
        <v>4700</v>
      </c>
      <c r="G785" s="820">
        <f t="shared" si="1869"/>
        <v>4700</v>
      </c>
      <c r="H785" s="820">
        <f t="shared" si="1869"/>
        <v>4700</v>
      </c>
      <c r="I785" s="1033">
        <f t="shared" si="1869"/>
        <v>4700</v>
      </c>
      <c r="J785" s="406">
        <f t="shared" si="1869"/>
        <v>4700</v>
      </c>
      <c r="K785" s="406">
        <f t="shared" si="1869"/>
        <v>4456</v>
      </c>
      <c r="L785" s="820">
        <f t="shared" si="1869"/>
        <v>4456</v>
      </c>
      <c r="M785" s="820">
        <f t="shared" si="1869"/>
        <v>4456</v>
      </c>
      <c r="N785" s="1033">
        <f t="shared" si="1869"/>
        <v>4456</v>
      </c>
      <c r="O785" s="406">
        <f t="shared" si="1869"/>
        <v>4456</v>
      </c>
      <c r="P785" s="406">
        <f t="shared" si="1869"/>
        <v>4268</v>
      </c>
      <c r="Q785" s="820">
        <f t="shared" ref="Q785:Z785" si="1870">Q430+Q501+Q572+Q643+Q714</f>
        <v>4268</v>
      </c>
      <c r="R785" s="398">
        <f t="shared" si="1870"/>
        <v>4268</v>
      </c>
      <c r="S785" s="406">
        <f t="shared" si="1870"/>
        <v>4268</v>
      </c>
      <c r="T785" s="406">
        <f t="shared" si="1870"/>
        <v>4268</v>
      </c>
      <c r="U785" s="406">
        <f t="shared" si="1870"/>
        <v>4268</v>
      </c>
      <c r="V785" s="820">
        <f t="shared" si="1870"/>
        <v>4264</v>
      </c>
      <c r="W785" s="398">
        <f t="shared" si="1870"/>
        <v>4264</v>
      </c>
      <c r="X785" s="406">
        <f t="shared" si="1870"/>
        <v>4264</v>
      </c>
      <c r="Y785" s="406">
        <f t="shared" si="1870"/>
        <v>4264</v>
      </c>
      <c r="Z785" s="406">
        <f t="shared" si="1870"/>
        <v>4264</v>
      </c>
      <c r="AA785" s="406">
        <f t="shared" ref="AA785:AN785" si="1871">AA430+AA501+AA572+AA643+AA714</f>
        <v>4093</v>
      </c>
      <c r="AB785" s="398">
        <f t="shared" si="1871"/>
        <v>4093</v>
      </c>
      <c r="AC785" s="406">
        <f t="shared" si="1871"/>
        <v>0</v>
      </c>
      <c r="AD785" s="406">
        <f t="shared" si="1871"/>
        <v>0</v>
      </c>
      <c r="AE785" s="406">
        <f t="shared" si="1871"/>
        <v>0</v>
      </c>
      <c r="AF785" s="820">
        <f t="shared" si="1871"/>
        <v>0</v>
      </c>
      <c r="AG785" s="398">
        <f t="shared" si="1871"/>
        <v>0</v>
      </c>
      <c r="AH785" s="406">
        <f t="shared" si="1871"/>
        <v>0</v>
      </c>
      <c r="AI785" s="406">
        <f t="shared" si="1871"/>
        <v>0</v>
      </c>
      <c r="AJ785" s="406">
        <f t="shared" ref="AJ785:AL785" si="1872">AJ430+AJ501+AJ572+AJ643+AJ714</f>
        <v>0</v>
      </c>
      <c r="AK785" s="820">
        <f t="shared" si="1872"/>
        <v>0</v>
      </c>
      <c r="AL785" s="398">
        <f t="shared" si="1872"/>
        <v>0</v>
      </c>
      <c r="AM785" s="398">
        <f t="shared" si="1871"/>
        <v>0</v>
      </c>
      <c r="AN785" s="398">
        <f t="shared" si="1871"/>
        <v>0</v>
      </c>
    </row>
    <row r="786" spans="1:40">
      <c r="A786" s="130" t="str">
        <f>A$15</f>
        <v>Embassy Suites Hotels (Upper Up)</v>
      </c>
      <c r="B786" s="1033">
        <f t="shared" ref="B786:P786" si="1873">B431+B502+B573+B644+B715</f>
        <v>4541</v>
      </c>
      <c r="C786" s="398">
        <f t="shared" si="1873"/>
        <v>4541</v>
      </c>
      <c r="D786" s="1033">
        <f t="shared" si="1873"/>
        <v>4541</v>
      </c>
      <c r="E786" s="406">
        <f t="shared" si="1873"/>
        <v>4541</v>
      </c>
      <c r="F786" s="406">
        <f t="shared" si="1873"/>
        <v>4561</v>
      </c>
      <c r="G786" s="820">
        <f t="shared" si="1873"/>
        <v>4561</v>
      </c>
      <c r="H786" s="820">
        <f t="shared" si="1873"/>
        <v>4561</v>
      </c>
      <c r="I786" s="1033">
        <f t="shared" si="1873"/>
        <v>4561</v>
      </c>
      <c r="J786" s="406">
        <f t="shared" si="1873"/>
        <v>4561</v>
      </c>
      <c r="K786" s="406">
        <f t="shared" si="1873"/>
        <v>4561</v>
      </c>
      <c r="L786" s="820">
        <f t="shared" si="1873"/>
        <v>4561</v>
      </c>
      <c r="M786" s="820">
        <f t="shared" si="1873"/>
        <v>4561</v>
      </c>
      <c r="N786" s="1033">
        <f t="shared" si="1873"/>
        <v>4240</v>
      </c>
      <c r="O786" s="406">
        <f t="shared" si="1873"/>
        <v>3747</v>
      </c>
      <c r="P786" s="406">
        <f t="shared" si="1873"/>
        <v>2523</v>
      </c>
      <c r="Q786" s="820">
        <f t="shared" ref="Q786:Z786" si="1874">Q431+Q502+Q573+Q644+Q715</f>
        <v>2523</v>
      </c>
      <c r="R786" s="398">
        <f t="shared" si="1874"/>
        <v>2523</v>
      </c>
      <c r="S786" s="406">
        <f t="shared" si="1874"/>
        <v>2523</v>
      </c>
      <c r="T786" s="406">
        <f t="shared" si="1874"/>
        <v>2523</v>
      </c>
      <c r="U786" s="406">
        <f t="shared" si="1874"/>
        <v>2523</v>
      </c>
      <c r="V786" s="820">
        <f t="shared" si="1874"/>
        <v>2523</v>
      </c>
      <c r="W786" s="398">
        <f t="shared" si="1874"/>
        <v>2523</v>
      </c>
      <c r="X786" s="406">
        <f t="shared" si="1874"/>
        <v>2523</v>
      </c>
      <c r="Y786" s="406">
        <f t="shared" si="1874"/>
        <v>2402</v>
      </c>
      <c r="Z786" s="406">
        <f t="shared" si="1874"/>
        <v>2402</v>
      </c>
      <c r="AA786" s="406">
        <f t="shared" ref="AA786:AN786" si="1875">AA431+AA502+AA573+AA644+AA715</f>
        <v>2402</v>
      </c>
      <c r="AB786" s="398">
        <f t="shared" si="1875"/>
        <v>2402</v>
      </c>
      <c r="AC786" s="406">
        <f t="shared" si="1875"/>
        <v>0</v>
      </c>
      <c r="AD786" s="406">
        <f t="shared" si="1875"/>
        <v>0</v>
      </c>
      <c r="AE786" s="406">
        <f t="shared" si="1875"/>
        <v>0</v>
      </c>
      <c r="AF786" s="820">
        <f t="shared" si="1875"/>
        <v>0</v>
      </c>
      <c r="AG786" s="398">
        <f t="shared" si="1875"/>
        <v>0</v>
      </c>
      <c r="AH786" s="406">
        <f t="shared" si="1875"/>
        <v>0</v>
      </c>
      <c r="AI786" s="406">
        <f t="shared" si="1875"/>
        <v>0</v>
      </c>
      <c r="AJ786" s="406">
        <f t="shared" ref="AJ786:AL786" si="1876">AJ431+AJ502+AJ573+AJ644+AJ715</f>
        <v>0</v>
      </c>
      <c r="AK786" s="820">
        <f t="shared" si="1876"/>
        <v>0</v>
      </c>
      <c r="AL786" s="398">
        <f t="shared" si="1876"/>
        <v>0</v>
      </c>
      <c r="AM786" s="398">
        <f t="shared" si="1875"/>
        <v>0</v>
      </c>
      <c r="AN786" s="398">
        <f t="shared" si="1875"/>
        <v>0</v>
      </c>
    </row>
    <row r="787" spans="1:40">
      <c r="A787" s="130" t="str">
        <f>A$16</f>
        <v>Hilton Garden Inn (Upscale)</v>
      </c>
      <c r="B787" s="1033">
        <f t="shared" ref="B787:P787" si="1877">B432+B503+B574+B645+B716</f>
        <v>290</v>
      </c>
      <c r="C787" s="398">
        <f t="shared" si="1877"/>
        <v>290</v>
      </c>
      <c r="D787" s="1033">
        <f t="shared" si="1877"/>
        <v>290</v>
      </c>
      <c r="E787" s="406">
        <f t="shared" si="1877"/>
        <v>290</v>
      </c>
      <c r="F787" s="406">
        <f t="shared" si="1877"/>
        <v>290</v>
      </c>
      <c r="G787" s="820">
        <f t="shared" si="1877"/>
        <v>290</v>
      </c>
      <c r="H787" s="820">
        <f t="shared" si="1877"/>
        <v>290</v>
      </c>
      <c r="I787" s="1033">
        <f t="shared" si="1877"/>
        <v>290</v>
      </c>
      <c r="J787" s="406">
        <f t="shared" si="1877"/>
        <v>290</v>
      </c>
      <c r="K787" s="406">
        <f t="shared" si="1877"/>
        <v>290</v>
      </c>
      <c r="L787" s="820">
        <f t="shared" si="1877"/>
        <v>290</v>
      </c>
      <c r="M787" s="820">
        <f t="shared" si="1877"/>
        <v>290</v>
      </c>
      <c r="N787" s="1033">
        <f t="shared" si="1877"/>
        <v>290</v>
      </c>
      <c r="O787" s="406">
        <f t="shared" si="1877"/>
        <v>290</v>
      </c>
      <c r="P787" s="406">
        <f t="shared" si="1877"/>
        <v>290</v>
      </c>
      <c r="Q787" s="820">
        <f t="shared" ref="Q787:Z787" si="1878">Q432+Q503+Q574+Q645+Q716</f>
        <v>290</v>
      </c>
      <c r="R787" s="398">
        <f t="shared" si="1878"/>
        <v>290</v>
      </c>
      <c r="S787" s="406">
        <f t="shared" si="1878"/>
        <v>290</v>
      </c>
      <c r="T787" s="406">
        <f t="shared" si="1878"/>
        <v>290</v>
      </c>
      <c r="U787" s="406">
        <f t="shared" si="1878"/>
        <v>290</v>
      </c>
      <c r="V787" s="820">
        <f t="shared" si="1878"/>
        <v>290</v>
      </c>
      <c r="W787" s="398">
        <f t="shared" si="1878"/>
        <v>290</v>
      </c>
      <c r="X787" s="406">
        <f t="shared" si="1878"/>
        <v>290</v>
      </c>
      <c r="Y787" s="406">
        <f t="shared" si="1878"/>
        <v>290</v>
      </c>
      <c r="Z787" s="406">
        <f t="shared" si="1878"/>
        <v>290</v>
      </c>
      <c r="AA787" s="406">
        <f t="shared" ref="AA787:AN787" si="1879">AA432+AA503+AA574+AA645+AA716</f>
        <v>290</v>
      </c>
      <c r="AB787" s="398">
        <f t="shared" si="1879"/>
        <v>290</v>
      </c>
      <c r="AC787" s="406">
        <f t="shared" si="1879"/>
        <v>0</v>
      </c>
      <c r="AD787" s="406">
        <f t="shared" si="1879"/>
        <v>0</v>
      </c>
      <c r="AE787" s="406">
        <f t="shared" si="1879"/>
        <v>0</v>
      </c>
      <c r="AF787" s="820">
        <f t="shared" si="1879"/>
        <v>0</v>
      </c>
      <c r="AG787" s="398">
        <f t="shared" si="1879"/>
        <v>0</v>
      </c>
      <c r="AH787" s="406">
        <f t="shared" si="1879"/>
        <v>0</v>
      </c>
      <c r="AI787" s="406">
        <f t="shared" si="1879"/>
        <v>0</v>
      </c>
      <c r="AJ787" s="406">
        <f t="shared" ref="AJ787:AL787" si="1880">AJ432+AJ503+AJ574+AJ645+AJ716</f>
        <v>0</v>
      </c>
      <c r="AK787" s="820">
        <f t="shared" si="1880"/>
        <v>0</v>
      </c>
      <c r="AL787" s="398">
        <f t="shared" si="1880"/>
        <v>0</v>
      </c>
      <c r="AM787" s="398">
        <f t="shared" si="1879"/>
        <v>0</v>
      </c>
      <c r="AN787" s="398">
        <f t="shared" si="1879"/>
        <v>0</v>
      </c>
    </row>
    <row r="788" spans="1:40">
      <c r="A788" s="130" t="str">
        <f>A$17</f>
        <v>Hampton Inn (Upper Mid)</v>
      </c>
      <c r="B788" s="1033">
        <f t="shared" ref="B788:P788" si="1881">B433+B504+B575+B646+B717</f>
        <v>130</v>
      </c>
      <c r="C788" s="398">
        <f t="shared" si="1881"/>
        <v>130</v>
      </c>
      <c r="D788" s="1033">
        <f t="shared" si="1881"/>
        <v>130</v>
      </c>
      <c r="E788" s="406">
        <f t="shared" si="1881"/>
        <v>130</v>
      </c>
      <c r="F788" s="406">
        <f t="shared" si="1881"/>
        <v>130</v>
      </c>
      <c r="G788" s="820">
        <f t="shared" si="1881"/>
        <v>130</v>
      </c>
      <c r="H788" s="820">
        <f t="shared" si="1881"/>
        <v>130</v>
      </c>
      <c r="I788" s="1033">
        <f t="shared" si="1881"/>
        <v>130</v>
      </c>
      <c r="J788" s="406">
        <f t="shared" si="1881"/>
        <v>130</v>
      </c>
      <c r="K788" s="406">
        <f t="shared" si="1881"/>
        <v>130</v>
      </c>
      <c r="L788" s="820">
        <f t="shared" si="1881"/>
        <v>130</v>
      </c>
      <c r="M788" s="820">
        <f t="shared" si="1881"/>
        <v>130</v>
      </c>
      <c r="N788" s="1033">
        <f t="shared" si="1881"/>
        <v>130</v>
      </c>
      <c r="O788" s="406">
        <f t="shared" si="1881"/>
        <v>130</v>
      </c>
      <c r="P788" s="406">
        <f t="shared" si="1881"/>
        <v>130</v>
      </c>
      <c r="Q788" s="820">
        <f t="shared" ref="Q788:Z788" si="1882">Q433+Q504+Q575+Q646+Q717</f>
        <v>130</v>
      </c>
      <c r="R788" s="398">
        <f t="shared" si="1882"/>
        <v>130</v>
      </c>
      <c r="S788" s="406">
        <f t="shared" si="1882"/>
        <v>130</v>
      </c>
      <c r="T788" s="406">
        <f t="shared" si="1882"/>
        <v>130</v>
      </c>
      <c r="U788" s="406">
        <f t="shared" si="1882"/>
        <v>130</v>
      </c>
      <c r="V788" s="820">
        <f t="shared" si="1882"/>
        <v>130</v>
      </c>
      <c r="W788" s="398">
        <f t="shared" si="1882"/>
        <v>130</v>
      </c>
      <c r="X788" s="406">
        <f t="shared" si="1882"/>
        <v>130</v>
      </c>
      <c r="Y788" s="406">
        <f t="shared" si="1882"/>
        <v>130</v>
      </c>
      <c r="Z788" s="406">
        <f t="shared" si="1882"/>
        <v>130</v>
      </c>
      <c r="AA788" s="406">
        <f t="shared" ref="AA788:AN788" si="1883">AA433+AA504+AA575+AA646+AA717</f>
        <v>130</v>
      </c>
      <c r="AB788" s="398">
        <f t="shared" si="1883"/>
        <v>130</v>
      </c>
      <c r="AC788" s="406">
        <f t="shared" si="1883"/>
        <v>0</v>
      </c>
      <c r="AD788" s="406">
        <f t="shared" si="1883"/>
        <v>0</v>
      </c>
      <c r="AE788" s="406">
        <f t="shared" si="1883"/>
        <v>0</v>
      </c>
      <c r="AF788" s="820">
        <f t="shared" si="1883"/>
        <v>0</v>
      </c>
      <c r="AG788" s="398">
        <f t="shared" si="1883"/>
        <v>0</v>
      </c>
      <c r="AH788" s="406">
        <f t="shared" si="1883"/>
        <v>0</v>
      </c>
      <c r="AI788" s="406">
        <f t="shared" si="1883"/>
        <v>0</v>
      </c>
      <c r="AJ788" s="406">
        <f t="shared" ref="AJ788:AL788" si="1884">AJ433+AJ504+AJ575+AJ646+AJ717</f>
        <v>0</v>
      </c>
      <c r="AK788" s="820">
        <f t="shared" si="1884"/>
        <v>0</v>
      </c>
      <c r="AL788" s="398">
        <f t="shared" si="1884"/>
        <v>0</v>
      </c>
      <c r="AM788" s="398">
        <f t="shared" si="1883"/>
        <v>0</v>
      </c>
      <c r="AN788" s="398">
        <f t="shared" si="1883"/>
        <v>0</v>
      </c>
    </row>
    <row r="789" spans="1:40">
      <c r="A789" s="130" t="str">
        <f>A$18</f>
        <v>Home2 Suites by Hilton (Upper Mid)</v>
      </c>
      <c r="B789" s="1033">
        <f t="shared" ref="B789:P789" si="1885">B434+B505+B576+B647+B718</f>
        <v>0</v>
      </c>
      <c r="C789" s="398">
        <f t="shared" si="1885"/>
        <v>0</v>
      </c>
      <c r="D789" s="1033">
        <f t="shared" si="1885"/>
        <v>0</v>
      </c>
      <c r="E789" s="406">
        <f t="shared" si="1885"/>
        <v>0</v>
      </c>
      <c r="F789" s="406">
        <f t="shared" si="1885"/>
        <v>0</v>
      </c>
      <c r="G789" s="820">
        <f t="shared" si="1885"/>
        <v>0</v>
      </c>
      <c r="H789" s="820">
        <f t="shared" si="1885"/>
        <v>0</v>
      </c>
      <c r="I789" s="1033">
        <f t="shared" si="1885"/>
        <v>0</v>
      </c>
      <c r="J789" s="406">
        <f t="shared" si="1885"/>
        <v>0</v>
      </c>
      <c r="K789" s="406">
        <f t="shared" si="1885"/>
        <v>0</v>
      </c>
      <c r="L789" s="820">
        <f t="shared" si="1885"/>
        <v>0</v>
      </c>
      <c r="M789" s="820">
        <f t="shared" si="1885"/>
        <v>0</v>
      </c>
      <c r="N789" s="1033">
        <f t="shared" si="1885"/>
        <v>0</v>
      </c>
      <c r="O789" s="406">
        <f t="shared" si="1885"/>
        <v>0</v>
      </c>
      <c r="P789" s="406">
        <f t="shared" si="1885"/>
        <v>0</v>
      </c>
      <c r="Q789" s="820">
        <f t="shared" ref="Q789:Z789" si="1886">Q434+Q505+Q576+Q647+Q718</f>
        <v>0</v>
      </c>
      <c r="R789" s="398">
        <f t="shared" si="1886"/>
        <v>0</v>
      </c>
      <c r="S789" s="406">
        <f t="shared" si="1886"/>
        <v>0</v>
      </c>
      <c r="T789" s="406">
        <f t="shared" si="1886"/>
        <v>0</v>
      </c>
      <c r="U789" s="406">
        <f t="shared" si="1886"/>
        <v>0</v>
      </c>
      <c r="V789" s="820">
        <f t="shared" si="1886"/>
        <v>0</v>
      </c>
      <c r="W789" s="398">
        <f t="shared" si="1886"/>
        <v>0</v>
      </c>
      <c r="X789" s="406">
        <f t="shared" si="1886"/>
        <v>0</v>
      </c>
      <c r="Y789" s="406">
        <f t="shared" si="1886"/>
        <v>0</v>
      </c>
      <c r="Z789" s="406">
        <f t="shared" si="1886"/>
        <v>0</v>
      </c>
      <c r="AA789" s="406">
        <f t="shared" ref="AA789:AN789" si="1887">AA434+AA505+AA576+AA647+AA718</f>
        <v>0</v>
      </c>
      <c r="AB789" s="398">
        <f t="shared" si="1887"/>
        <v>0</v>
      </c>
      <c r="AC789" s="406">
        <f t="shared" si="1887"/>
        <v>0</v>
      </c>
      <c r="AD789" s="406">
        <f t="shared" si="1887"/>
        <v>0</v>
      </c>
      <c r="AE789" s="406">
        <f t="shared" si="1887"/>
        <v>0</v>
      </c>
      <c r="AF789" s="820">
        <f t="shared" si="1887"/>
        <v>0</v>
      </c>
      <c r="AG789" s="398">
        <f t="shared" si="1887"/>
        <v>0</v>
      </c>
      <c r="AH789" s="406">
        <f t="shared" si="1887"/>
        <v>0</v>
      </c>
      <c r="AI789" s="406">
        <f t="shared" si="1887"/>
        <v>0</v>
      </c>
      <c r="AJ789" s="406">
        <f t="shared" ref="AJ789:AL789" si="1888">AJ434+AJ505+AJ576+AJ647+AJ718</f>
        <v>0</v>
      </c>
      <c r="AK789" s="820">
        <f t="shared" si="1888"/>
        <v>0</v>
      </c>
      <c r="AL789" s="398">
        <f t="shared" si="1888"/>
        <v>0</v>
      </c>
      <c r="AM789" s="398">
        <f t="shared" si="1887"/>
        <v>0</v>
      </c>
      <c r="AN789" s="398">
        <f t="shared" si="1887"/>
        <v>0</v>
      </c>
    </row>
    <row r="790" spans="1:40">
      <c r="A790" s="130" t="str">
        <f>$A$90</f>
        <v>Tru by Hilton</v>
      </c>
      <c r="B790" s="1030"/>
      <c r="C790" s="508"/>
      <c r="D790" s="1030"/>
      <c r="E790" s="912"/>
      <c r="F790" s="912"/>
      <c r="G790" s="1041"/>
      <c r="H790" s="820"/>
      <c r="I790" s="1030"/>
      <c r="J790" s="912"/>
      <c r="K790" s="912"/>
      <c r="L790" s="1041"/>
      <c r="M790" s="820"/>
      <c r="N790" s="1030"/>
      <c r="O790" s="912"/>
      <c r="P790" s="912"/>
      <c r="Q790" s="1041"/>
      <c r="R790" s="820"/>
      <c r="S790" s="1030"/>
      <c r="T790" s="912"/>
      <c r="U790" s="912"/>
      <c r="V790" s="912"/>
      <c r="W790" s="398"/>
      <c r="X790" s="2791"/>
      <c r="Y790" s="2791"/>
      <c r="Z790" s="2791"/>
      <c r="AA790" s="2791"/>
      <c r="AB790" s="398"/>
      <c r="AC790" s="406"/>
      <c r="AD790" s="406"/>
      <c r="AE790" s="406"/>
      <c r="AF790" s="820"/>
      <c r="AG790" s="820"/>
      <c r="AH790" s="406"/>
      <c r="AI790" s="406"/>
      <c r="AJ790" s="406"/>
      <c r="AK790" s="820"/>
      <c r="AL790" s="820"/>
      <c r="AM790" s="398"/>
      <c r="AN790" s="398"/>
    </row>
    <row r="791" spans="1:40">
      <c r="A791" s="130" t="str">
        <f>$A$91</f>
        <v>Tapestry Collection by Hilton</v>
      </c>
      <c r="B791" s="1030"/>
      <c r="C791" s="508"/>
      <c r="D791" s="1030"/>
      <c r="E791" s="912"/>
      <c r="F791" s="912"/>
      <c r="G791" s="1041"/>
      <c r="H791" s="820"/>
      <c r="I791" s="1030"/>
      <c r="J791" s="912"/>
      <c r="K791" s="912"/>
      <c r="L791" s="1041"/>
      <c r="M791" s="820"/>
      <c r="N791" s="1030"/>
      <c r="O791" s="912"/>
      <c r="P791" s="912"/>
      <c r="Q791" s="1041"/>
      <c r="R791" s="820"/>
      <c r="S791" s="1030"/>
      <c r="T791" s="912"/>
      <c r="U791" s="912"/>
      <c r="V791" s="912"/>
      <c r="W791" s="398"/>
      <c r="X791" s="2791"/>
      <c r="Y791" s="2791"/>
      <c r="Z791" s="2791"/>
      <c r="AA791" s="2791"/>
      <c r="AB791" s="398"/>
      <c r="AC791" s="406"/>
      <c r="AD791" s="406"/>
      <c r="AE791" s="406"/>
      <c r="AF791" s="820"/>
      <c r="AG791" s="820"/>
      <c r="AH791" s="406"/>
      <c r="AI791" s="406"/>
      <c r="AJ791" s="406"/>
      <c r="AK791" s="820"/>
      <c r="AL791" s="820"/>
      <c r="AM791" s="398"/>
      <c r="AN791" s="398"/>
    </row>
    <row r="792" spans="1:40">
      <c r="A792" s="130" t="str">
        <f>A$21</f>
        <v>Homewood Suites by Hilton (Upscale)</v>
      </c>
      <c r="B792" s="1033">
        <f t="shared" ref="B792:P792" si="1889">B437+B508+B579+B650+B721</f>
        <v>0</v>
      </c>
      <c r="C792" s="398">
        <f t="shared" si="1889"/>
        <v>0</v>
      </c>
      <c r="D792" s="1033">
        <f t="shared" si="1889"/>
        <v>0</v>
      </c>
      <c r="E792" s="406">
        <f t="shared" si="1889"/>
        <v>0</v>
      </c>
      <c r="F792" s="406">
        <f t="shared" si="1889"/>
        <v>0</v>
      </c>
      <c r="G792" s="820">
        <f t="shared" si="1889"/>
        <v>0</v>
      </c>
      <c r="H792" s="820">
        <f t="shared" si="1889"/>
        <v>0</v>
      </c>
      <c r="I792" s="1033">
        <f t="shared" si="1889"/>
        <v>0</v>
      </c>
      <c r="J792" s="406">
        <f t="shared" si="1889"/>
        <v>0</v>
      </c>
      <c r="K792" s="406">
        <f t="shared" si="1889"/>
        <v>0</v>
      </c>
      <c r="L792" s="820">
        <f t="shared" si="1889"/>
        <v>0</v>
      </c>
      <c r="M792" s="820">
        <f t="shared" si="1889"/>
        <v>0</v>
      </c>
      <c r="N792" s="1033">
        <f t="shared" si="1889"/>
        <v>0</v>
      </c>
      <c r="O792" s="406">
        <f t="shared" si="1889"/>
        <v>0</v>
      </c>
      <c r="P792" s="406">
        <f t="shared" si="1889"/>
        <v>0</v>
      </c>
      <c r="Q792" s="820">
        <f t="shared" ref="Q792:Z792" si="1890">Q437+Q508+Q579+Q650+Q721</f>
        <v>0</v>
      </c>
      <c r="R792" s="398">
        <f t="shared" si="1890"/>
        <v>0</v>
      </c>
      <c r="S792" s="406">
        <f t="shared" si="1890"/>
        <v>0</v>
      </c>
      <c r="T792" s="406">
        <f t="shared" si="1890"/>
        <v>0</v>
      </c>
      <c r="U792" s="406">
        <f t="shared" si="1890"/>
        <v>0</v>
      </c>
      <c r="V792" s="820">
        <f t="shared" si="1890"/>
        <v>0</v>
      </c>
      <c r="W792" s="398">
        <f t="shared" si="1890"/>
        <v>0</v>
      </c>
      <c r="X792" s="406">
        <f t="shared" si="1890"/>
        <v>0</v>
      </c>
      <c r="Y792" s="406">
        <f t="shared" si="1890"/>
        <v>0</v>
      </c>
      <c r="Z792" s="406">
        <f t="shared" si="1890"/>
        <v>0</v>
      </c>
      <c r="AA792" s="406">
        <f t="shared" ref="AA792:AN792" si="1891">AA437+AA508+AA579+AA650+AA721</f>
        <v>0</v>
      </c>
      <c r="AB792" s="398">
        <f t="shared" si="1891"/>
        <v>0</v>
      </c>
      <c r="AC792" s="406">
        <f t="shared" si="1891"/>
        <v>0</v>
      </c>
      <c r="AD792" s="406">
        <f t="shared" si="1891"/>
        <v>0</v>
      </c>
      <c r="AE792" s="406">
        <f t="shared" si="1891"/>
        <v>0</v>
      </c>
      <c r="AF792" s="820">
        <f t="shared" si="1891"/>
        <v>0</v>
      </c>
      <c r="AG792" s="398">
        <f t="shared" si="1891"/>
        <v>0</v>
      </c>
      <c r="AH792" s="406">
        <f t="shared" si="1891"/>
        <v>0</v>
      </c>
      <c r="AI792" s="406">
        <f t="shared" si="1891"/>
        <v>0</v>
      </c>
      <c r="AJ792" s="406">
        <f t="shared" ref="AJ792:AL792" si="1892">AJ437+AJ508+AJ579+AJ650+AJ721</f>
        <v>0</v>
      </c>
      <c r="AK792" s="820">
        <f t="shared" si="1892"/>
        <v>0</v>
      </c>
      <c r="AL792" s="398">
        <f t="shared" si="1892"/>
        <v>0</v>
      </c>
      <c r="AM792" s="398">
        <f t="shared" si="1891"/>
        <v>0</v>
      </c>
      <c r="AN792" s="398">
        <f t="shared" si="1891"/>
        <v>0</v>
      </c>
    </row>
    <row r="793" spans="1:40" s="5" customFormat="1">
      <c r="A793" s="402" t="s">
        <v>1407</v>
      </c>
      <c r="B793" s="1031">
        <v>532</v>
      </c>
      <c r="C793" s="1029">
        <v>720</v>
      </c>
      <c r="D793" s="1031">
        <v>532</v>
      </c>
      <c r="E793" s="1039">
        <v>532</v>
      </c>
      <c r="F793" s="1039">
        <v>532</v>
      </c>
      <c r="G793" s="1042">
        <v>532</v>
      </c>
      <c r="H793" s="700">
        <f>G793</f>
        <v>532</v>
      </c>
      <c r="I793" s="1031">
        <v>532</v>
      </c>
      <c r="J793" s="1039">
        <v>1272</v>
      </c>
      <c r="K793" s="1039">
        <v>1272</v>
      </c>
      <c r="L793" s="1042">
        <v>1272</v>
      </c>
      <c r="M793" s="700">
        <f>L793</f>
        <v>1272</v>
      </c>
      <c r="N793" s="1031">
        <v>1272</v>
      </c>
      <c r="O793" s="1039">
        <v>1272</v>
      </c>
      <c r="P793" s="1039">
        <v>1272</v>
      </c>
      <c r="Q793" s="1042">
        <v>1272</v>
      </c>
      <c r="R793" s="700">
        <f>Q793</f>
        <v>1272</v>
      </c>
      <c r="S793" s="1031">
        <v>1272</v>
      </c>
      <c r="T793" s="1039">
        <v>1272</v>
      </c>
      <c r="U793" s="1039">
        <v>1272</v>
      </c>
      <c r="V793" s="1039">
        <v>1054</v>
      </c>
      <c r="W793" s="403">
        <f t="shared" ref="W793:AN793" si="1893">V793</f>
        <v>1054</v>
      </c>
      <c r="X793" s="2794">
        <v>129</v>
      </c>
      <c r="Y793" s="2794">
        <v>129</v>
      </c>
      <c r="Z793" s="2794">
        <v>0</v>
      </c>
      <c r="AA793" s="2794">
        <f t="shared" si="1893"/>
        <v>0</v>
      </c>
      <c r="AB793" s="700">
        <f t="shared" si="1893"/>
        <v>0</v>
      </c>
      <c r="AC793" s="615">
        <f>AB793</f>
        <v>0</v>
      </c>
      <c r="AD793" s="615">
        <f>AC793</f>
        <v>0</v>
      </c>
      <c r="AE793" s="615">
        <f>AD793</f>
        <v>0</v>
      </c>
      <c r="AF793" s="700">
        <f>AE793</f>
        <v>0</v>
      </c>
      <c r="AG793" s="700">
        <f t="shared" si="1893"/>
        <v>0</v>
      </c>
      <c r="AH793" s="615">
        <f t="shared" si="1893"/>
        <v>0</v>
      </c>
      <c r="AI793" s="615">
        <f t="shared" si="1893"/>
        <v>0</v>
      </c>
      <c r="AJ793" s="615">
        <f>AI793</f>
        <v>0</v>
      </c>
      <c r="AK793" s="700">
        <f>AJ793</f>
        <v>0</v>
      </c>
      <c r="AL793" s="700">
        <f t="shared" ref="AL793" si="1894">AK793</f>
        <v>0</v>
      </c>
      <c r="AM793" s="403">
        <f t="shared" si="1893"/>
        <v>0</v>
      </c>
      <c r="AN793" s="403">
        <f t="shared" si="1893"/>
        <v>0</v>
      </c>
    </row>
    <row r="794" spans="1:40">
      <c r="A794" s="482" t="s">
        <v>1687</v>
      </c>
      <c r="B794" s="1032">
        <f t="shared" ref="B794:R794" si="1895">SUM(B780:B793)</f>
        <v>62473</v>
      </c>
      <c r="C794" s="400">
        <f t="shared" si="1895"/>
        <v>62527</v>
      </c>
      <c r="D794" s="1032">
        <f t="shared" si="1895"/>
        <v>62509</v>
      </c>
      <c r="E794" s="405">
        <f t="shared" si="1895"/>
        <v>62511</v>
      </c>
      <c r="F794" s="405">
        <f t="shared" si="1895"/>
        <v>62542</v>
      </c>
      <c r="G794" s="821">
        <f t="shared" si="1895"/>
        <v>62543</v>
      </c>
      <c r="H794" s="821">
        <f t="shared" si="1895"/>
        <v>62543</v>
      </c>
      <c r="I794" s="1032">
        <f t="shared" si="1895"/>
        <v>62096</v>
      </c>
      <c r="J794" s="405">
        <f t="shared" si="1895"/>
        <v>62498</v>
      </c>
      <c r="K794" s="405">
        <f t="shared" si="1895"/>
        <v>62251</v>
      </c>
      <c r="L794" s="821">
        <f t="shared" si="1895"/>
        <v>61670</v>
      </c>
      <c r="M794" s="821">
        <f t="shared" si="1895"/>
        <v>61670</v>
      </c>
      <c r="N794" s="1032">
        <f t="shared" si="1895"/>
        <v>61348</v>
      </c>
      <c r="O794" s="405">
        <f t="shared" si="1895"/>
        <v>60830</v>
      </c>
      <c r="P794" s="405">
        <f t="shared" si="1895"/>
        <v>59330</v>
      </c>
      <c r="Q794" s="821">
        <f t="shared" si="1895"/>
        <v>58954</v>
      </c>
      <c r="R794" s="400">
        <f t="shared" si="1895"/>
        <v>58954</v>
      </c>
      <c r="S794" s="405">
        <f t="shared" ref="S794:AB794" si="1896">SUM(S780:S793)</f>
        <v>60532</v>
      </c>
      <c r="T794" s="405">
        <f t="shared" si="1896"/>
        <v>60759</v>
      </c>
      <c r="U794" s="405">
        <f t="shared" si="1896"/>
        <v>59962</v>
      </c>
      <c r="V794" s="821">
        <f t="shared" si="1896"/>
        <v>59463</v>
      </c>
      <c r="W794" s="400">
        <f t="shared" si="1896"/>
        <v>59463</v>
      </c>
      <c r="X794" s="405">
        <f t="shared" si="1896"/>
        <v>58326</v>
      </c>
      <c r="Y794" s="405">
        <f t="shared" si="1896"/>
        <v>57996</v>
      </c>
      <c r="Z794" s="405">
        <f t="shared" si="1896"/>
        <v>57868</v>
      </c>
      <c r="AA794" s="405">
        <f t="shared" si="1896"/>
        <v>57716</v>
      </c>
      <c r="AB794" s="400">
        <f t="shared" si="1896"/>
        <v>57716</v>
      </c>
      <c r="AC794" s="405">
        <f>SUM(AC780:AC793)</f>
        <v>22298</v>
      </c>
      <c r="AD794" s="405">
        <f t="shared" ref="AD794:AN794" si="1897">SUM(AD780:AD793)</f>
        <v>22334</v>
      </c>
      <c r="AE794" s="405">
        <f t="shared" si="1897"/>
        <v>22204</v>
      </c>
      <c r="AF794" s="821">
        <f t="shared" si="1897"/>
        <v>22206</v>
      </c>
      <c r="AG794" s="400">
        <f t="shared" si="1897"/>
        <v>22206</v>
      </c>
      <c r="AH794" s="405">
        <f t="shared" si="1897"/>
        <v>22206</v>
      </c>
      <c r="AI794" s="405">
        <f t="shared" si="1897"/>
        <v>22206</v>
      </c>
      <c r="AJ794" s="405">
        <f t="shared" ref="AJ794:AL794" si="1898">SUM(AJ780:AJ793)</f>
        <v>22206</v>
      </c>
      <c r="AK794" s="821">
        <f t="shared" si="1898"/>
        <v>22206</v>
      </c>
      <c r="AL794" s="400">
        <f t="shared" si="1898"/>
        <v>22206</v>
      </c>
      <c r="AM794" s="400">
        <f t="shared" si="1897"/>
        <v>22206</v>
      </c>
      <c r="AN794" s="400">
        <f t="shared" si="1897"/>
        <v>22206</v>
      </c>
    </row>
    <row r="795" spans="1:40">
      <c r="A795" s="482"/>
      <c r="B795" s="1032"/>
      <c r="C795" s="400"/>
      <c r="D795" s="1032"/>
      <c r="E795" s="405"/>
      <c r="F795" s="405"/>
      <c r="G795" s="821"/>
      <c r="H795" s="821"/>
      <c r="I795" s="1032"/>
      <c r="J795" s="405"/>
      <c r="K795" s="405"/>
      <c r="L795" s="821"/>
      <c r="M795" s="821"/>
      <c r="N795" s="405"/>
      <c r="O795" s="405"/>
      <c r="P795" s="405"/>
      <c r="Q795" s="821"/>
      <c r="R795" s="400"/>
      <c r="S795" s="405"/>
      <c r="T795" s="405"/>
      <c r="U795" s="405"/>
      <c r="V795" s="821"/>
      <c r="W795" s="400"/>
      <c r="X795" s="1032"/>
      <c r="Y795" s="405"/>
      <c r="Z795" s="405"/>
      <c r="AA795" s="405"/>
      <c r="AB795" s="400"/>
      <c r="AC795" s="405"/>
      <c r="AD795" s="405"/>
      <c r="AE795" s="405"/>
      <c r="AF795" s="821"/>
      <c r="AG795" s="400"/>
      <c r="AH795" s="405"/>
      <c r="AI795" s="405"/>
      <c r="AJ795" s="405"/>
      <c r="AK795" s="821"/>
      <c r="AL795" s="400"/>
      <c r="AM795" s="400"/>
      <c r="AN795" s="400"/>
    </row>
    <row r="796" spans="1:40">
      <c r="A796" s="394" t="s">
        <v>1394</v>
      </c>
      <c r="B796" s="1108">
        <v>4853</v>
      </c>
      <c r="C796" s="508">
        <v>0</v>
      </c>
      <c r="D796" s="1030">
        <v>0</v>
      </c>
      <c r="E796" s="912">
        <v>0</v>
      </c>
      <c r="F796" s="912">
        <v>0</v>
      </c>
      <c r="G796" s="1041">
        <v>0</v>
      </c>
      <c r="H796" s="820">
        <v>0</v>
      </c>
      <c r="I796" s="1030">
        <v>0</v>
      </c>
      <c r="J796" s="912">
        <v>0</v>
      </c>
      <c r="K796" s="912">
        <v>0</v>
      </c>
      <c r="L796" s="1041">
        <v>0</v>
      </c>
      <c r="M796" s="820">
        <v>0</v>
      </c>
      <c r="N796" s="1030">
        <v>0</v>
      </c>
      <c r="O796" s="406">
        <v>0</v>
      </c>
      <c r="P796" s="406">
        <v>0</v>
      </c>
      <c r="Q796" s="820">
        <v>0</v>
      </c>
      <c r="R796" s="398">
        <v>0</v>
      </c>
      <c r="S796" s="406">
        <v>0</v>
      </c>
      <c r="T796" s="406">
        <v>0</v>
      </c>
      <c r="U796" s="406">
        <v>0</v>
      </c>
      <c r="V796" s="820">
        <v>0</v>
      </c>
      <c r="W796" s="398">
        <v>0</v>
      </c>
      <c r="X796" s="406">
        <v>0</v>
      </c>
      <c r="Y796" s="406">
        <v>0</v>
      </c>
      <c r="Z796" s="406">
        <v>0</v>
      </c>
      <c r="AA796" s="406">
        <v>0</v>
      </c>
      <c r="AB796" s="398">
        <v>0</v>
      </c>
      <c r="AC796" s="406">
        <v>0</v>
      </c>
      <c r="AD796" s="406">
        <v>0</v>
      </c>
      <c r="AE796" s="406">
        <v>0</v>
      </c>
      <c r="AF796" s="820">
        <v>0</v>
      </c>
      <c r="AG796" s="398">
        <v>0</v>
      </c>
      <c r="AH796" s="406">
        <v>0</v>
      </c>
      <c r="AI796" s="406">
        <v>0</v>
      </c>
      <c r="AJ796" s="406">
        <v>0</v>
      </c>
      <c r="AK796" s="820">
        <v>0</v>
      </c>
      <c r="AL796" s="398">
        <v>0</v>
      </c>
      <c r="AM796" s="398">
        <v>0</v>
      </c>
      <c r="AN796" s="398">
        <v>0</v>
      </c>
    </row>
    <row r="797" spans="1:40">
      <c r="A797" s="482" t="s">
        <v>2068</v>
      </c>
      <c r="B797" s="1032">
        <f t="shared" ref="B797:R797" si="1899">B796+B794</f>
        <v>67326</v>
      </c>
      <c r="C797" s="400">
        <f t="shared" si="1899"/>
        <v>62527</v>
      </c>
      <c r="D797" s="1032">
        <f t="shared" si="1899"/>
        <v>62509</v>
      </c>
      <c r="E797" s="405">
        <f t="shared" si="1899"/>
        <v>62511</v>
      </c>
      <c r="F797" s="405">
        <f t="shared" si="1899"/>
        <v>62542</v>
      </c>
      <c r="G797" s="821">
        <f t="shared" si="1899"/>
        <v>62543</v>
      </c>
      <c r="H797" s="821">
        <f t="shared" si="1899"/>
        <v>62543</v>
      </c>
      <c r="I797" s="1032">
        <f t="shared" si="1899"/>
        <v>62096</v>
      </c>
      <c r="J797" s="405">
        <f t="shared" si="1899"/>
        <v>62498</v>
      </c>
      <c r="K797" s="405">
        <f t="shared" si="1899"/>
        <v>62251</v>
      </c>
      <c r="L797" s="821">
        <f t="shared" si="1899"/>
        <v>61670</v>
      </c>
      <c r="M797" s="821">
        <f t="shared" si="1899"/>
        <v>61670</v>
      </c>
      <c r="N797" s="405">
        <f t="shared" si="1899"/>
        <v>61348</v>
      </c>
      <c r="O797" s="405">
        <f t="shared" si="1899"/>
        <v>60830</v>
      </c>
      <c r="P797" s="405">
        <f t="shared" si="1899"/>
        <v>59330</v>
      </c>
      <c r="Q797" s="821">
        <f t="shared" si="1899"/>
        <v>58954</v>
      </c>
      <c r="R797" s="400">
        <f t="shared" si="1899"/>
        <v>58954</v>
      </c>
      <c r="S797" s="405">
        <f t="shared" ref="S797:AB797" si="1900">S796+S794</f>
        <v>60532</v>
      </c>
      <c r="T797" s="405">
        <f t="shared" si="1900"/>
        <v>60759</v>
      </c>
      <c r="U797" s="405">
        <f t="shared" si="1900"/>
        <v>59962</v>
      </c>
      <c r="V797" s="821">
        <f t="shared" si="1900"/>
        <v>59463</v>
      </c>
      <c r="W797" s="400">
        <f t="shared" si="1900"/>
        <v>59463</v>
      </c>
      <c r="X797" s="405">
        <f t="shared" si="1900"/>
        <v>58326</v>
      </c>
      <c r="Y797" s="405">
        <f t="shared" si="1900"/>
        <v>57996</v>
      </c>
      <c r="Z797" s="405">
        <f t="shared" si="1900"/>
        <v>57868</v>
      </c>
      <c r="AA797" s="405">
        <f t="shared" si="1900"/>
        <v>57716</v>
      </c>
      <c r="AB797" s="400">
        <f t="shared" si="1900"/>
        <v>57716</v>
      </c>
      <c r="AC797" s="405">
        <f t="shared" ref="AC797:AN797" si="1901">AC796+AC794</f>
        <v>22298</v>
      </c>
      <c r="AD797" s="405">
        <f t="shared" si="1901"/>
        <v>22334</v>
      </c>
      <c r="AE797" s="405">
        <f t="shared" si="1901"/>
        <v>22204</v>
      </c>
      <c r="AF797" s="821">
        <f t="shared" si="1901"/>
        <v>22206</v>
      </c>
      <c r="AG797" s="400">
        <f t="shared" si="1901"/>
        <v>22206</v>
      </c>
      <c r="AH797" s="405">
        <f t="shared" si="1901"/>
        <v>22206</v>
      </c>
      <c r="AI797" s="405">
        <f t="shared" si="1901"/>
        <v>22206</v>
      </c>
      <c r="AJ797" s="405">
        <f t="shared" ref="AJ797:AL797" si="1902">AJ796+AJ794</f>
        <v>22206</v>
      </c>
      <c r="AK797" s="821">
        <f t="shared" si="1902"/>
        <v>22206</v>
      </c>
      <c r="AL797" s="400">
        <f t="shared" si="1902"/>
        <v>22206</v>
      </c>
      <c r="AM797" s="400">
        <f t="shared" si="1901"/>
        <v>22206</v>
      </c>
      <c r="AN797" s="400">
        <f t="shared" si="1901"/>
        <v>22206</v>
      </c>
    </row>
    <row r="798" spans="1:40">
      <c r="A798" s="482"/>
      <c r="B798" s="1032"/>
      <c r="C798" s="400"/>
      <c r="D798" s="1032"/>
      <c r="E798" s="405"/>
      <c r="F798" s="405"/>
      <c r="G798" s="821"/>
      <c r="H798" s="821"/>
      <c r="I798" s="1032"/>
      <c r="J798" s="405"/>
      <c r="K798" s="405"/>
      <c r="L798" s="821"/>
      <c r="M798" s="821"/>
      <c r="N798" s="405"/>
      <c r="O798" s="405"/>
      <c r="P798" s="405"/>
      <c r="Q798" s="821"/>
      <c r="R798" s="400"/>
      <c r="S798" s="405"/>
      <c r="T798" s="405"/>
      <c r="U798" s="405"/>
      <c r="V798" s="821"/>
      <c r="W798" s="400"/>
      <c r="X798" s="405"/>
      <c r="Y798" s="405"/>
      <c r="Z798" s="405"/>
      <c r="AA798" s="405"/>
      <c r="AB798" s="400"/>
      <c r="AC798" s="405"/>
      <c r="AD798" s="405"/>
      <c r="AE798" s="405"/>
      <c r="AF798" s="821"/>
      <c r="AG798" s="400"/>
      <c r="AH798" s="405"/>
      <c r="AI798" s="405"/>
      <c r="AJ798" s="405"/>
      <c r="AK798" s="821"/>
      <c r="AL798" s="400"/>
      <c r="AM798" s="400"/>
      <c r="AN798" s="400"/>
    </row>
    <row r="799" spans="1:40">
      <c r="A799" s="484" t="s">
        <v>1283</v>
      </c>
      <c r="B799" s="1033"/>
      <c r="C799" s="398"/>
      <c r="D799" s="1033"/>
      <c r="E799" s="406"/>
      <c r="F799" s="406"/>
      <c r="G799" s="820"/>
      <c r="H799" s="820"/>
      <c r="I799" s="1033"/>
      <c r="J799" s="406"/>
      <c r="K799" s="406"/>
      <c r="L799" s="820"/>
      <c r="M799" s="820"/>
      <c r="N799" s="406"/>
      <c r="O799" s="406"/>
      <c r="P799" s="406"/>
      <c r="Q799" s="820"/>
      <c r="R799" s="398"/>
      <c r="S799" s="406"/>
      <c r="T799" s="406"/>
      <c r="U799" s="406"/>
      <c r="V799" s="820"/>
      <c r="W799" s="398"/>
      <c r="X799" s="406"/>
      <c r="Y799" s="406"/>
      <c r="Z799" s="406"/>
      <c r="AA799" s="406"/>
      <c r="AB799" s="398"/>
      <c r="AC799" s="406"/>
      <c r="AD799" s="406"/>
      <c r="AE799" s="406"/>
      <c r="AF799" s="820"/>
      <c r="AG799" s="398"/>
      <c r="AH799" s="406"/>
      <c r="AI799" s="406"/>
      <c r="AJ799" s="406"/>
      <c r="AK799" s="820"/>
      <c r="AL799" s="398"/>
      <c r="AM799" s="398"/>
      <c r="AN799" s="398"/>
    </row>
    <row r="800" spans="1:40">
      <c r="A800" s="130" t="str">
        <f>A$9</f>
        <v>Waldorf Astoria Hotels &amp; Resorts (Luxury)</v>
      </c>
      <c r="B800" s="1033">
        <f t="shared" ref="B800:AN800" si="1903">B441+B512+B583+B654+B725</f>
        <v>5425</v>
      </c>
      <c r="C800" s="398">
        <f t="shared" si="1903"/>
        <v>5028</v>
      </c>
      <c r="D800" s="1033">
        <f t="shared" si="1903"/>
        <v>5031</v>
      </c>
      <c r="E800" s="406">
        <f t="shared" si="1903"/>
        <v>5031</v>
      </c>
      <c r="F800" s="406">
        <f t="shared" si="1903"/>
        <v>5647</v>
      </c>
      <c r="G800" s="820">
        <f t="shared" si="1903"/>
        <v>5879</v>
      </c>
      <c r="H800" s="820">
        <f t="shared" si="1903"/>
        <v>5879</v>
      </c>
      <c r="I800" s="1033">
        <f t="shared" si="1903"/>
        <v>5988</v>
      </c>
      <c r="J800" s="406">
        <f t="shared" si="1903"/>
        <v>5988</v>
      </c>
      <c r="K800" s="406">
        <f t="shared" si="1903"/>
        <v>7380</v>
      </c>
      <c r="L800" s="820">
        <f t="shared" si="1903"/>
        <v>7574</v>
      </c>
      <c r="M800" s="820">
        <f t="shared" si="1903"/>
        <v>7574</v>
      </c>
      <c r="N800" s="1033">
        <f t="shared" si="1903"/>
        <v>7852</v>
      </c>
      <c r="O800" s="406">
        <f t="shared" si="1903"/>
        <v>8078</v>
      </c>
      <c r="P800" s="406">
        <f t="shared" si="1903"/>
        <v>7604</v>
      </c>
      <c r="Q800" s="820">
        <f t="shared" si="1903"/>
        <v>7604</v>
      </c>
      <c r="R800" s="398">
        <f t="shared" si="1903"/>
        <v>7604</v>
      </c>
      <c r="S800" s="406">
        <f t="shared" si="1903"/>
        <v>7963</v>
      </c>
      <c r="T800" s="406">
        <f t="shared" si="1903"/>
        <v>7740</v>
      </c>
      <c r="U800" s="406">
        <f t="shared" si="1903"/>
        <v>7740</v>
      </c>
      <c r="V800" s="820">
        <f t="shared" si="1903"/>
        <v>7708</v>
      </c>
      <c r="W800" s="398">
        <f t="shared" si="1903"/>
        <v>7708</v>
      </c>
      <c r="X800" s="406">
        <f t="shared" si="1903"/>
        <v>7720</v>
      </c>
      <c r="Y800" s="406">
        <f t="shared" si="1903"/>
        <v>7598</v>
      </c>
      <c r="Z800" s="406">
        <f t="shared" si="1903"/>
        <v>7585</v>
      </c>
      <c r="AA800" s="406">
        <f t="shared" si="1903"/>
        <v>7582</v>
      </c>
      <c r="AB800" s="398">
        <f t="shared" si="1903"/>
        <v>7582</v>
      </c>
      <c r="AC800" s="406">
        <f t="shared" si="1903"/>
        <v>7200.610999999999</v>
      </c>
      <c r="AD800" s="406">
        <f t="shared" si="1903"/>
        <v>7257.241791067715</v>
      </c>
      <c r="AE800" s="406">
        <f t="shared" si="1903"/>
        <v>7917</v>
      </c>
      <c r="AF800" s="820">
        <f t="shared" si="1903"/>
        <v>7917</v>
      </c>
      <c r="AG800" s="398">
        <f t="shared" si="1903"/>
        <v>7917</v>
      </c>
      <c r="AH800" s="406">
        <f t="shared" si="1903"/>
        <v>8008.5000000000009</v>
      </c>
      <c r="AI800" s="406">
        <f t="shared" si="1903"/>
        <v>8101.0999499999998</v>
      </c>
      <c r="AJ800" s="406">
        <f t="shared" ref="AJ800:AL800" si="1904">AJ441+AJ512+AJ583+AJ654+AJ725</f>
        <v>8192.0333412</v>
      </c>
      <c r="AK800" s="820">
        <f t="shared" si="1904"/>
        <v>8286.8468889757496</v>
      </c>
      <c r="AL800" s="398">
        <f t="shared" si="1904"/>
        <v>8286.8468889757496</v>
      </c>
      <c r="AM800" s="398">
        <f t="shared" si="1903"/>
        <v>8631.4073771139847</v>
      </c>
      <c r="AN800" s="398">
        <f t="shared" si="1903"/>
        <v>8831.3865449468067</v>
      </c>
    </row>
    <row r="801" spans="1:40">
      <c r="A801" s="130" t="str">
        <f>A$10</f>
        <v>Conrad Hotels &amp; Resorts (Luxury)</v>
      </c>
      <c r="B801" s="1033">
        <f t="shared" ref="B801:AN801" si="1905">B442+B513+B584+B655+B726</f>
        <v>3948</v>
      </c>
      <c r="C801" s="398">
        <f t="shared" si="1905"/>
        <v>4081</v>
      </c>
      <c r="D801" s="1033">
        <f t="shared" si="1905"/>
        <v>4751</v>
      </c>
      <c r="E801" s="406">
        <f t="shared" si="1905"/>
        <v>4761</v>
      </c>
      <c r="F801" s="406">
        <f t="shared" si="1905"/>
        <v>4915</v>
      </c>
      <c r="G801" s="820">
        <f t="shared" si="1905"/>
        <v>5167</v>
      </c>
      <c r="H801" s="820">
        <f t="shared" si="1905"/>
        <v>5167</v>
      </c>
      <c r="I801" s="1033">
        <f t="shared" si="1905"/>
        <v>5457</v>
      </c>
      <c r="J801" s="406">
        <f t="shared" si="1905"/>
        <v>5570</v>
      </c>
      <c r="K801" s="406">
        <f t="shared" si="1905"/>
        <v>5552</v>
      </c>
      <c r="L801" s="820">
        <f t="shared" si="1905"/>
        <v>6139</v>
      </c>
      <c r="M801" s="820">
        <f t="shared" si="1905"/>
        <v>6139</v>
      </c>
      <c r="N801" s="1033">
        <f t="shared" si="1905"/>
        <v>6139</v>
      </c>
      <c r="O801" s="406">
        <f t="shared" si="1905"/>
        <v>6103</v>
      </c>
      <c r="P801" s="406">
        <f t="shared" si="1905"/>
        <v>6103</v>
      </c>
      <c r="Q801" s="820">
        <f t="shared" si="1905"/>
        <v>6100</v>
      </c>
      <c r="R801" s="398">
        <f t="shared" si="1905"/>
        <v>6100</v>
      </c>
      <c r="S801" s="406">
        <f t="shared" si="1905"/>
        <v>6102</v>
      </c>
      <c r="T801" s="406">
        <f t="shared" si="1905"/>
        <v>6108</v>
      </c>
      <c r="U801" s="406">
        <f t="shared" si="1905"/>
        <v>5796</v>
      </c>
      <c r="V801" s="820">
        <f t="shared" si="1905"/>
        <v>5794</v>
      </c>
      <c r="W801" s="398">
        <f t="shared" si="1905"/>
        <v>5794</v>
      </c>
      <c r="X801" s="406">
        <f t="shared" si="1905"/>
        <v>6104</v>
      </c>
      <c r="Y801" s="406">
        <f t="shared" si="1905"/>
        <v>6889</v>
      </c>
      <c r="Z801" s="406">
        <f t="shared" si="1905"/>
        <v>7130</v>
      </c>
      <c r="AA801" s="406">
        <f t="shared" si="1905"/>
        <v>7422</v>
      </c>
      <c r="AB801" s="398">
        <f t="shared" si="1905"/>
        <v>7422</v>
      </c>
      <c r="AC801" s="406">
        <f t="shared" si="1905"/>
        <v>7492.271999999999</v>
      </c>
      <c r="AD801" s="406">
        <f t="shared" si="1905"/>
        <v>7562.1658594371165</v>
      </c>
      <c r="AE801" s="406">
        <f t="shared" si="1905"/>
        <v>8026</v>
      </c>
      <c r="AF801" s="820">
        <f t="shared" si="1905"/>
        <v>8550</v>
      </c>
      <c r="AG801" s="398">
        <f t="shared" si="1905"/>
        <v>8550</v>
      </c>
      <c r="AH801" s="406">
        <f t="shared" si="1905"/>
        <v>8671.8149999999987</v>
      </c>
      <c r="AI801" s="406">
        <f t="shared" si="1905"/>
        <v>8795.3928749999977</v>
      </c>
      <c r="AJ801" s="406">
        <f t="shared" ref="AJ801:AL801" si="1906">AJ442+AJ513+AJ584+AJ655+AJ726</f>
        <v>8920.1029902749979</v>
      </c>
      <c r="AK801" s="820">
        <f t="shared" si="1906"/>
        <v>9047.2778303658743</v>
      </c>
      <c r="AL801" s="398">
        <f t="shared" si="1906"/>
        <v>9047.2778303658743</v>
      </c>
      <c r="AM801" s="398">
        <f t="shared" si="1905"/>
        <v>9447.7123609214541</v>
      </c>
      <c r="AN801" s="398">
        <f t="shared" si="1905"/>
        <v>9717.2223503824607</v>
      </c>
    </row>
    <row r="802" spans="1:40">
      <c r="A802" s="1828" t="s">
        <v>3022</v>
      </c>
      <c r="B802" s="1033"/>
      <c r="C802" s="398"/>
      <c r="D802" s="1033"/>
      <c r="E802" s="406"/>
      <c r="F802" s="406"/>
      <c r="G802" s="820"/>
      <c r="H802" s="820"/>
      <c r="I802" s="1033"/>
      <c r="J802" s="406"/>
      <c r="K802" s="406"/>
      <c r="L802" s="820"/>
      <c r="M802" s="820"/>
      <c r="N802" s="1033"/>
      <c r="O802" s="406"/>
      <c r="P802" s="406"/>
      <c r="Q802" s="820"/>
      <c r="R802" s="398"/>
      <c r="S802" s="406"/>
      <c r="T802" s="406"/>
      <c r="U802" s="406"/>
      <c r="V802" s="820"/>
      <c r="W802" s="398"/>
      <c r="X802" s="406"/>
      <c r="Y802" s="406"/>
      <c r="Z802" s="406"/>
      <c r="AA802" s="406">
        <f t="shared" ref="AA802:AN802" si="1907">AA443+AA514+AA585+AA656+AA727</f>
        <v>0</v>
      </c>
      <c r="AB802" s="398">
        <f t="shared" si="1907"/>
        <v>0</v>
      </c>
      <c r="AC802" s="406">
        <f t="shared" si="1907"/>
        <v>0</v>
      </c>
      <c r="AD802" s="406">
        <f t="shared" si="1907"/>
        <v>0</v>
      </c>
      <c r="AE802" s="406">
        <f t="shared" si="1907"/>
        <v>0</v>
      </c>
      <c r="AF802" s="820">
        <f t="shared" si="1907"/>
        <v>0</v>
      </c>
      <c r="AG802" s="398">
        <f t="shared" si="1907"/>
        <v>0</v>
      </c>
      <c r="AH802" s="406">
        <f t="shared" si="1907"/>
        <v>0</v>
      </c>
      <c r="AI802" s="406">
        <f t="shared" si="1907"/>
        <v>0</v>
      </c>
      <c r="AJ802" s="406">
        <f t="shared" ref="AJ802:AL802" si="1908">AJ443+AJ514+AJ585+AJ656+AJ727</f>
        <v>0</v>
      </c>
      <c r="AK802" s="820">
        <f t="shared" si="1908"/>
        <v>0</v>
      </c>
      <c r="AL802" s="398">
        <f t="shared" si="1908"/>
        <v>0</v>
      </c>
      <c r="AM802" s="398">
        <f t="shared" si="1907"/>
        <v>0</v>
      </c>
      <c r="AN802" s="398">
        <f t="shared" si="1907"/>
        <v>0</v>
      </c>
    </row>
    <row r="803" spans="1:40">
      <c r="A803" s="130" t="str">
        <f>A$12</f>
        <v>Hilton Hotels &amp; Resorts (Upper Up)</v>
      </c>
      <c r="B803" s="1033">
        <f t="shared" ref="B803:Z803" si="1909">B444+B515+B586+B657+B728</f>
        <v>70666</v>
      </c>
      <c r="C803" s="398">
        <f t="shared" si="1909"/>
        <v>73768</v>
      </c>
      <c r="D803" s="1033">
        <f t="shared" si="1909"/>
        <v>75185</v>
      </c>
      <c r="E803" s="406">
        <f t="shared" si="1909"/>
        <v>75848</v>
      </c>
      <c r="F803" s="406">
        <f t="shared" si="1909"/>
        <v>76022</v>
      </c>
      <c r="G803" s="820">
        <f t="shared" si="1909"/>
        <v>78114</v>
      </c>
      <c r="H803" s="820">
        <f t="shared" si="1909"/>
        <v>78114</v>
      </c>
      <c r="I803" s="1033">
        <f t="shared" si="1909"/>
        <v>78633</v>
      </c>
      <c r="J803" s="406">
        <f t="shared" si="1909"/>
        <v>78533</v>
      </c>
      <c r="K803" s="406">
        <f t="shared" si="1909"/>
        <v>79842</v>
      </c>
      <c r="L803" s="820">
        <f t="shared" si="1909"/>
        <v>80225</v>
      </c>
      <c r="M803" s="820">
        <f t="shared" si="1909"/>
        <v>80225</v>
      </c>
      <c r="N803" s="1033">
        <f t="shared" si="1909"/>
        <v>82855</v>
      </c>
      <c r="O803" s="406">
        <f t="shared" si="1909"/>
        <v>83062</v>
      </c>
      <c r="P803" s="406">
        <f t="shared" si="1909"/>
        <v>84527</v>
      </c>
      <c r="Q803" s="820">
        <f t="shared" si="1909"/>
        <v>84363</v>
      </c>
      <c r="R803" s="398">
        <f t="shared" si="1909"/>
        <v>84363</v>
      </c>
      <c r="S803" s="406">
        <f t="shared" si="1909"/>
        <v>82077</v>
      </c>
      <c r="T803" s="406">
        <f t="shared" si="1909"/>
        <v>82723</v>
      </c>
      <c r="U803" s="406">
        <f t="shared" si="1909"/>
        <v>85047</v>
      </c>
      <c r="V803" s="820">
        <f t="shared" si="1909"/>
        <v>88186</v>
      </c>
      <c r="W803" s="398">
        <f t="shared" si="1909"/>
        <v>88186</v>
      </c>
      <c r="X803" s="406">
        <f t="shared" si="1909"/>
        <v>86357</v>
      </c>
      <c r="Y803" s="406">
        <f t="shared" si="1909"/>
        <v>86795</v>
      </c>
      <c r="Z803" s="406">
        <f t="shared" si="1909"/>
        <v>87574</v>
      </c>
      <c r="AA803" s="406">
        <f t="shared" ref="AA803:AN803" si="1910">AA444+AA515+AA586+AA657+AA728</f>
        <v>89039</v>
      </c>
      <c r="AB803" s="398">
        <f t="shared" si="1910"/>
        <v>89039</v>
      </c>
      <c r="AC803" s="406">
        <f t="shared" si="1910"/>
        <v>116986.70500000002</v>
      </c>
      <c r="AD803" s="406">
        <f>AD444+AD515+AD586+AD657+AD728</f>
        <v>118003.19725782194</v>
      </c>
      <c r="AE803" s="406">
        <f t="shared" si="1910"/>
        <v>116598</v>
      </c>
      <c r="AF803" s="820">
        <f t="shared" si="1910"/>
        <v>118024</v>
      </c>
      <c r="AG803" s="398">
        <f t="shared" si="1910"/>
        <v>118024</v>
      </c>
      <c r="AH803" s="406">
        <f t="shared" si="1910"/>
        <v>119794.35999999999</v>
      </c>
      <c r="AI803" s="406">
        <f t="shared" si="1910"/>
        <v>121547.38355199998</v>
      </c>
      <c r="AJ803" s="406">
        <f t="shared" ref="AJ803:AL803" si="1911">AJ444+AJ515+AJ586+AJ657+AJ728</f>
        <v>123123.31251051997</v>
      </c>
      <c r="AK803" s="820">
        <f t="shared" si="1911"/>
        <v>124720.40758547017</v>
      </c>
      <c r="AL803" s="398">
        <f t="shared" si="1911"/>
        <v>124720.40758547017</v>
      </c>
      <c r="AM803" s="398">
        <f t="shared" si="1910"/>
        <v>130585.078085651</v>
      </c>
      <c r="AN803" s="398">
        <f t="shared" si="1910"/>
        <v>134502.63042822055</v>
      </c>
    </row>
    <row r="804" spans="1:40">
      <c r="A804" s="130" t="str">
        <f>A29</f>
        <v xml:space="preserve">Curio - A Collection by Hilton </v>
      </c>
      <c r="B804" s="1033"/>
      <c r="C804" s="398"/>
      <c r="D804" s="1033"/>
      <c r="E804" s="406"/>
      <c r="F804" s="406"/>
      <c r="G804" s="820"/>
      <c r="H804" s="820"/>
      <c r="I804" s="1033"/>
      <c r="J804" s="406"/>
      <c r="K804" s="406"/>
      <c r="L804" s="820"/>
      <c r="M804" s="820"/>
      <c r="N804" s="1033"/>
      <c r="O804" s="406"/>
      <c r="P804" s="406"/>
      <c r="Q804" s="820">
        <f t="shared" ref="Q804:Z804" si="1912">Q445+Q516+Q587+Q658+Q729</f>
        <v>998</v>
      </c>
      <c r="R804" s="398">
        <f t="shared" si="1912"/>
        <v>998</v>
      </c>
      <c r="S804" s="406">
        <f t="shared" si="1912"/>
        <v>998</v>
      </c>
      <c r="T804" s="406">
        <f t="shared" si="1912"/>
        <v>998</v>
      </c>
      <c r="U804" s="406">
        <f t="shared" si="1912"/>
        <v>998</v>
      </c>
      <c r="V804" s="820">
        <f t="shared" si="1912"/>
        <v>998</v>
      </c>
      <c r="W804" s="398">
        <f t="shared" si="1912"/>
        <v>998</v>
      </c>
      <c r="X804" s="406">
        <f t="shared" si="1912"/>
        <v>998</v>
      </c>
      <c r="Y804" s="406">
        <f t="shared" si="1912"/>
        <v>998</v>
      </c>
      <c r="Z804" s="406">
        <f t="shared" si="1912"/>
        <v>998</v>
      </c>
      <c r="AA804" s="406">
        <f t="shared" ref="AA804:AN804" si="1913">AA445+AA516+AA587+AA658+AA729</f>
        <v>1201</v>
      </c>
      <c r="AB804" s="398">
        <f t="shared" si="1913"/>
        <v>1201</v>
      </c>
      <c r="AC804" s="406">
        <f t="shared" si="1913"/>
        <v>1425</v>
      </c>
      <c r="AD804" s="406">
        <f t="shared" si="1913"/>
        <v>1433.568</v>
      </c>
      <c r="AE804" s="406">
        <f t="shared" si="1913"/>
        <v>2635</v>
      </c>
      <c r="AF804" s="820">
        <f t="shared" si="1913"/>
        <v>2819</v>
      </c>
      <c r="AG804" s="398">
        <f t="shared" si="1913"/>
        <v>2819</v>
      </c>
      <c r="AH804" s="406">
        <f t="shared" si="1913"/>
        <v>2819</v>
      </c>
      <c r="AI804" s="406">
        <f t="shared" si="1913"/>
        <v>2819</v>
      </c>
      <c r="AJ804" s="406">
        <f t="shared" ref="AJ804:AL804" si="1914">AJ445+AJ516+AJ587+AJ658+AJ729</f>
        <v>2819</v>
      </c>
      <c r="AK804" s="820">
        <f t="shared" si="1914"/>
        <v>2819</v>
      </c>
      <c r="AL804" s="398">
        <f t="shared" si="1914"/>
        <v>2819</v>
      </c>
      <c r="AM804" s="398">
        <f t="shared" si="1913"/>
        <v>2819</v>
      </c>
      <c r="AN804" s="398">
        <f t="shared" si="1913"/>
        <v>2819</v>
      </c>
    </row>
    <row r="805" spans="1:40">
      <c r="A805" s="130" t="str">
        <f>A$14</f>
        <v>DoubleTree by Hilton (Upscale)</v>
      </c>
      <c r="B805" s="1033">
        <f t="shared" ref="B805:P805" si="1915">B446+B517+B588+B659+B730</f>
        <v>11932</v>
      </c>
      <c r="C805" s="398">
        <f t="shared" si="1915"/>
        <v>15048</v>
      </c>
      <c r="D805" s="1033">
        <f t="shared" si="1915"/>
        <v>15961</v>
      </c>
      <c r="E805" s="406">
        <f t="shared" si="1915"/>
        <v>15625</v>
      </c>
      <c r="F805" s="406">
        <f t="shared" si="1915"/>
        <v>15923</v>
      </c>
      <c r="G805" s="820">
        <f t="shared" si="1915"/>
        <v>16774</v>
      </c>
      <c r="H805" s="820">
        <f t="shared" si="1915"/>
        <v>16774</v>
      </c>
      <c r="I805" s="1033">
        <f t="shared" si="1915"/>
        <v>17313</v>
      </c>
      <c r="J805" s="406">
        <f t="shared" si="1915"/>
        <v>18347</v>
      </c>
      <c r="K805" s="406">
        <f t="shared" si="1915"/>
        <v>19172</v>
      </c>
      <c r="L805" s="820">
        <f t="shared" si="1915"/>
        <v>21287</v>
      </c>
      <c r="M805" s="820">
        <f t="shared" si="1915"/>
        <v>21287</v>
      </c>
      <c r="N805" s="1033">
        <f t="shared" si="1915"/>
        <v>21499</v>
      </c>
      <c r="O805" s="406">
        <f t="shared" si="1915"/>
        <v>22084</v>
      </c>
      <c r="P805" s="406">
        <f t="shared" si="1915"/>
        <v>22861</v>
      </c>
      <c r="Q805" s="820">
        <f t="shared" ref="Q805:Z805" si="1916">Q446+Q517+Q588+Q659+Q730</f>
        <v>24467</v>
      </c>
      <c r="R805" s="398">
        <f t="shared" si="1916"/>
        <v>24467</v>
      </c>
      <c r="S805" s="406">
        <f t="shared" si="1916"/>
        <v>24471</v>
      </c>
      <c r="T805" s="406">
        <f t="shared" si="1916"/>
        <v>24454</v>
      </c>
      <c r="U805" s="406">
        <f t="shared" si="1916"/>
        <v>25382</v>
      </c>
      <c r="V805" s="820">
        <f t="shared" si="1916"/>
        <v>26259</v>
      </c>
      <c r="W805" s="398">
        <f t="shared" si="1916"/>
        <v>26259</v>
      </c>
      <c r="X805" s="406">
        <f t="shared" si="1916"/>
        <v>25530</v>
      </c>
      <c r="Y805" s="406">
        <f t="shared" si="1916"/>
        <v>25665</v>
      </c>
      <c r="Z805" s="406">
        <f t="shared" si="1916"/>
        <v>26923</v>
      </c>
      <c r="AA805" s="406">
        <f t="shared" ref="AA805:AN805" si="1917">AA446+AA517+AA588+AA659+AA730</f>
        <v>27436</v>
      </c>
      <c r="AB805" s="398">
        <f t="shared" si="1917"/>
        <v>27436</v>
      </c>
      <c r="AC805" s="406">
        <f t="shared" si="1917"/>
        <v>31778.940000000002</v>
      </c>
      <c r="AD805" s="406">
        <f t="shared" si="1917"/>
        <v>32056.531090991579</v>
      </c>
      <c r="AE805" s="406">
        <f t="shared" si="1917"/>
        <v>31616</v>
      </c>
      <c r="AF805" s="820">
        <f t="shared" si="1917"/>
        <v>32534</v>
      </c>
      <c r="AG805" s="398">
        <f t="shared" si="1917"/>
        <v>32534</v>
      </c>
      <c r="AH805" s="406">
        <f t="shared" si="1917"/>
        <v>33022.009999999995</v>
      </c>
      <c r="AI805" s="406">
        <f t="shared" si="1917"/>
        <v>33506.158909999998</v>
      </c>
      <c r="AJ805" s="406">
        <f t="shared" ref="AJ805:AL805" si="1918">AJ446+AJ517+AJ588+AJ659+AJ730</f>
        <v>33945.757429849989</v>
      </c>
      <c r="AK805" s="820">
        <f t="shared" si="1918"/>
        <v>34391.319988859737</v>
      </c>
      <c r="AL805" s="398">
        <f t="shared" si="1918"/>
        <v>34391.319988859737</v>
      </c>
      <c r="AM805" s="398">
        <f t="shared" si="1917"/>
        <v>36003.189428820813</v>
      </c>
      <c r="AN805" s="398">
        <f t="shared" si="1917"/>
        <v>37083.285111685429</v>
      </c>
    </row>
    <row r="806" spans="1:40">
      <c r="A806" s="130" t="str">
        <f>A$15</f>
        <v>Embassy Suites Hotels (Upper Up)</v>
      </c>
      <c r="B806" s="1033">
        <f t="shared" ref="B806:P806" si="1919">B447+B518+B589+B660+B731</f>
        <v>15347</v>
      </c>
      <c r="C806" s="398">
        <f t="shared" si="1919"/>
        <v>13244</v>
      </c>
      <c r="D806" s="1033">
        <f t="shared" si="1919"/>
        <v>13244</v>
      </c>
      <c r="E806" s="406">
        <f t="shared" si="1919"/>
        <v>12774</v>
      </c>
      <c r="F806" s="406">
        <f t="shared" si="1919"/>
        <v>12552</v>
      </c>
      <c r="G806" s="820">
        <f t="shared" si="1919"/>
        <v>11636</v>
      </c>
      <c r="H806" s="820">
        <f t="shared" si="1919"/>
        <v>11636</v>
      </c>
      <c r="I806" s="1033">
        <f t="shared" si="1919"/>
        <v>11145</v>
      </c>
      <c r="J806" s="406">
        <f t="shared" si="1919"/>
        <v>11145</v>
      </c>
      <c r="K806" s="406">
        <f t="shared" si="1919"/>
        <v>10923</v>
      </c>
      <c r="L806" s="820">
        <f t="shared" si="1919"/>
        <v>10796</v>
      </c>
      <c r="M806" s="820">
        <f t="shared" si="1919"/>
        <v>10796</v>
      </c>
      <c r="N806" s="1033">
        <f t="shared" si="1919"/>
        <v>10667</v>
      </c>
      <c r="O806" s="406">
        <f t="shared" si="1919"/>
        <v>10768</v>
      </c>
      <c r="P806" s="406">
        <f t="shared" si="1919"/>
        <v>11771</v>
      </c>
      <c r="Q806" s="820">
        <f t="shared" ref="Q806:Z806" si="1920">Q447+Q518+Q589+Q660+Q731</f>
        <v>11771</v>
      </c>
      <c r="R806" s="398">
        <f t="shared" si="1920"/>
        <v>11771</v>
      </c>
      <c r="S806" s="406">
        <f t="shared" si="1920"/>
        <v>11300</v>
      </c>
      <c r="T806" s="406">
        <f t="shared" si="1920"/>
        <v>10038</v>
      </c>
      <c r="U806" s="406">
        <f t="shared" si="1920"/>
        <v>9777</v>
      </c>
      <c r="V806" s="820">
        <f t="shared" si="1920"/>
        <v>9777</v>
      </c>
      <c r="W806" s="398">
        <f t="shared" si="1920"/>
        <v>9777</v>
      </c>
      <c r="X806" s="406">
        <f t="shared" si="1920"/>
        <v>9777</v>
      </c>
      <c r="Y806" s="406">
        <f t="shared" si="1920"/>
        <v>9554</v>
      </c>
      <c r="Z806" s="406">
        <f t="shared" si="1920"/>
        <v>9565</v>
      </c>
      <c r="AA806" s="406">
        <f t="shared" ref="AA806:AN806" si="1921">AA447+AA518+AA589+AA660+AA731</f>
        <v>9569</v>
      </c>
      <c r="AB806" s="398">
        <f t="shared" si="1921"/>
        <v>9569</v>
      </c>
      <c r="AC806" s="406">
        <f t="shared" si="1921"/>
        <v>12039.884999999998</v>
      </c>
      <c r="AD806" s="406">
        <f t="shared" si="1921"/>
        <v>12125.975856275323</v>
      </c>
      <c r="AE806" s="406">
        <f t="shared" si="1921"/>
        <v>12235</v>
      </c>
      <c r="AF806" s="820">
        <f t="shared" si="1921"/>
        <v>12235</v>
      </c>
      <c r="AG806" s="398">
        <f t="shared" si="1921"/>
        <v>12235</v>
      </c>
      <c r="AH806" s="406">
        <f t="shared" si="1921"/>
        <v>12418.524999999998</v>
      </c>
      <c r="AI806" s="406">
        <f t="shared" si="1921"/>
        <v>12594.235506999998</v>
      </c>
      <c r="AJ806" s="406">
        <f t="shared" ref="AJ806:AL806" si="1922">AJ447+AJ518+AJ589+AJ660+AJ731</f>
        <v>12723.613662444997</v>
      </c>
      <c r="AK806" s="820">
        <f t="shared" si="1922"/>
        <v>12854.337136450073</v>
      </c>
      <c r="AL806" s="398">
        <f t="shared" si="1922"/>
        <v>12854.337136450073</v>
      </c>
      <c r="AM806" s="398">
        <f t="shared" si="1921"/>
        <v>13493.514345831241</v>
      </c>
      <c r="AN806" s="398">
        <f t="shared" si="1921"/>
        <v>13898.319776206179</v>
      </c>
    </row>
    <row r="807" spans="1:40">
      <c r="A807" s="130" t="str">
        <f>A$16</f>
        <v>Hilton Garden Inn (Upscale)</v>
      </c>
      <c r="B807" s="1033">
        <f t="shared" ref="B807:P807" si="1923">B448+B519+B590+B661+B732</f>
        <v>2728</v>
      </c>
      <c r="C807" s="398">
        <f t="shared" si="1923"/>
        <v>4025</v>
      </c>
      <c r="D807" s="1033">
        <f t="shared" si="1923"/>
        <v>4263</v>
      </c>
      <c r="E807" s="406">
        <f t="shared" si="1923"/>
        <v>4594</v>
      </c>
      <c r="F807" s="406">
        <f t="shared" si="1923"/>
        <v>4525</v>
      </c>
      <c r="G807" s="820">
        <f t="shared" si="1923"/>
        <v>4876</v>
      </c>
      <c r="H807" s="820">
        <f t="shared" si="1923"/>
        <v>4876</v>
      </c>
      <c r="I807" s="1033">
        <f t="shared" si="1923"/>
        <v>5084</v>
      </c>
      <c r="J807" s="406">
        <f t="shared" si="1923"/>
        <v>4521</v>
      </c>
      <c r="K807" s="406">
        <f t="shared" si="1923"/>
        <v>4521</v>
      </c>
      <c r="L807" s="820">
        <f t="shared" si="1923"/>
        <v>4655</v>
      </c>
      <c r="M807" s="820">
        <f t="shared" si="1923"/>
        <v>4655</v>
      </c>
      <c r="N807" s="1033">
        <f t="shared" si="1923"/>
        <v>5473</v>
      </c>
      <c r="O807" s="406">
        <f t="shared" si="1923"/>
        <v>5722</v>
      </c>
      <c r="P807" s="406">
        <f t="shared" si="1923"/>
        <v>5845</v>
      </c>
      <c r="Q807" s="820">
        <f t="shared" ref="Q807:Z807" si="1924">Q448+Q519+Q590+Q661+Q732</f>
        <v>5446</v>
      </c>
      <c r="R807" s="398">
        <f t="shared" si="1924"/>
        <v>5446</v>
      </c>
      <c r="S807" s="406">
        <f t="shared" si="1924"/>
        <v>5835</v>
      </c>
      <c r="T807" s="406">
        <f t="shared" si="1924"/>
        <v>5312</v>
      </c>
      <c r="U807" s="406">
        <f t="shared" si="1924"/>
        <v>5606</v>
      </c>
      <c r="V807" s="820">
        <f t="shared" si="1924"/>
        <v>7030</v>
      </c>
      <c r="W807" s="398">
        <f t="shared" si="1924"/>
        <v>7030</v>
      </c>
      <c r="X807" s="406">
        <f t="shared" si="1924"/>
        <v>7473</v>
      </c>
      <c r="Y807" s="406">
        <f t="shared" si="1924"/>
        <v>8274</v>
      </c>
      <c r="Z807" s="406">
        <f t="shared" si="1924"/>
        <v>8488</v>
      </c>
      <c r="AA807" s="406">
        <f t="shared" ref="AA807:AN807" si="1925">AA448+AA519+AA590+AA661+AA732</f>
        <v>9775</v>
      </c>
      <c r="AB807" s="398">
        <f t="shared" si="1925"/>
        <v>9775</v>
      </c>
      <c r="AC807" s="406">
        <f t="shared" si="1925"/>
        <v>10167.049999999999</v>
      </c>
      <c r="AD807" s="406">
        <f t="shared" si="1925"/>
        <v>10264.922779996701</v>
      </c>
      <c r="AE807" s="406">
        <f t="shared" si="1925"/>
        <v>11105</v>
      </c>
      <c r="AF807" s="820">
        <f t="shared" si="1925"/>
        <v>11875</v>
      </c>
      <c r="AG807" s="398">
        <f t="shared" si="1925"/>
        <v>11875</v>
      </c>
      <c r="AH807" s="406">
        <f t="shared" si="1925"/>
        <v>12055.274999999998</v>
      </c>
      <c r="AI807" s="406">
        <f t="shared" si="1925"/>
        <v>12238.297124999997</v>
      </c>
      <c r="AJ807" s="406">
        <f t="shared" ref="AJ807:AL807" si="1926">AJ448+AJ519+AJ590+AJ661+AJ732</f>
        <v>12422.990011874997</v>
      </c>
      <c r="AK807" s="820">
        <f t="shared" si="1926"/>
        <v>12610.47286457812</v>
      </c>
      <c r="AL807" s="398">
        <f t="shared" si="1926"/>
        <v>12610.47286457812</v>
      </c>
      <c r="AM807" s="398">
        <f t="shared" si="1925"/>
        <v>13189.523319176009</v>
      </c>
      <c r="AN807" s="398">
        <f t="shared" si="1925"/>
        <v>13595.120793143535</v>
      </c>
    </row>
    <row r="808" spans="1:40">
      <c r="A808" s="130" t="str">
        <f>A$17</f>
        <v>Hampton Inn (Upper Mid)</v>
      </c>
      <c r="B808" s="1033">
        <f t="shared" ref="B808:P808" si="1927">B449+B520+B591+B662+B733</f>
        <v>4419</v>
      </c>
      <c r="C808" s="398">
        <f t="shared" si="1927"/>
        <v>4531</v>
      </c>
      <c r="D808" s="1033">
        <f t="shared" si="1927"/>
        <v>4651</v>
      </c>
      <c r="E808" s="406">
        <f t="shared" si="1927"/>
        <v>4651</v>
      </c>
      <c r="F808" s="406">
        <f t="shared" si="1927"/>
        <v>4737</v>
      </c>
      <c r="G808" s="820">
        <f t="shared" si="1927"/>
        <v>4774</v>
      </c>
      <c r="H808" s="820">
        <f t="shared" si="1927"/>
        <v>4774</v>
      </c>
      <c r="I808" s="1033">
        <f t="shared" si="1927"/>
        <v>7484</v>
      </c>
      <c r="J808" s="406">
        <f t="shared" si="1927"/>
        <v>7330</v>
      </c>
      <c r="K808" s="406">
        <f t="shared" si="1927"/>
        <v>7642</v>
      </c>
      <c r="L808" s="820">
        <f t="shared" si="1927"/>
        <v>7459</v>
      </c>
      <c r="M808" s="820">
        <f t="shared" si="1927"/>
        <v>7459</v>
      </c>
      <c r="N808" s="1033">
        <f t="shared" si="1927"/>
        <v>7499</v>
      </c>
      <c r="O808" s="406">
        <f t="shared" si="1927"/>
        <v>7941</v>
      </c>
      <c r="P808" s="406">
        <f t="shared" si="1927"/>
        <v>8049</v>
      </c>
      <c r="Q808" s="820">
        <f t="shared" ref="Q808:Z808" si="1928">Q449+Q520+Q591+Q662+Q733</f>
        <v>8166</v>
      </c>
      <c r="R808" s="398">
        <f t="shared" si="1928"/>
        <v>8166</v>
      </c>
      <c r="S808" s="406">
        <f t="shared" si="1928"/>
        <v>8204</v>
      </c>
      <c r="T808" s="406">
        <f t="shared" si="1928"/>
        <v>8324</v>
      </c>
      <c r="U808" s="406">
        <f t="shared" si="1928"/>
        <v>8679</v>
      </c>
      <c r="V808" s="820">
        <f t="shared" si="1928"/>
        <v>9131</v>
      </c>
      <c r="W808" s="398">
        <f t="shared" si="1928"/>
        <v>9131</v>
      </c>
      <c r="X808" s="406">
        <f t="shared" si="1928"/>
        <v>9131</v>
      </c>
      <c r="Y808" s="406">
        <f t="shared" si="1928"/>
        <v>9414</v>
      </c>
      <c r="Z808" s="406">
        <f t="shared" si="1928"/>
        <v>9576</v>
      </c>
      <c r="AA808" s="406">
        <f t="shared" ref="AA808:AN808" si="1929">AA449+AA520+AA591+AA662+AA733</f>
        <v>9502</v>
      </c>
      <c r="AB808" s="398">
        <f t="shared" si="1929"/>
        <v>9502</v>
      </c>
      <c r="AC808" s="406">
        <f t="shared" si="1929"/>
        <v>9786.94</v>
      </c>
      <c r="AD808" s="406">
        <f t="shared" si="1929"/>
        <v>9865.4784397419389</v>
      </c>
      <c r="AE808" s="406">
        <f t="shared" si="1929"/>
        <v>10017</v>
      </c>
      <c r="AF808" s="820">
        <f t="shared" si="1929"/>
        <v>9922</v>
      </c>
      <c r="AG808" s="398">
        <f t="shared" si="1929"/>
        <v>9922</v>
      </c>
      <c r="AH808" s="406">
        <f t="shared" si="1929"/>
        <v>10099.859999999999</v>
      </c>
      <c r="AI808" s="406">
        <f t="shared" si="1929"/>
        <v>10280.968499999999</v>
      </c>
      <c r="AJ808" s="406">
        <f t="shared" ref="AJ808:AL808" si="1930">AJ449+AJ520+AJ591+AJ662+AJ733</f>
        <v>10450.284433499997</v>
      </c>
      <c r="AK808" s="820">
        <f t="shared" si="1930"/>
        <v>10622.404380607499</v>
      </c>
      <c r="AL808" s="398">
        <f t="shared" si="1930"/>
        <v>10622.404380607499</v>
      </c>
      <c r="AM808" s="398">
        <f t="shared" si="1929"/>
        <v>11256.75837789071</v>
      </c>
      <c r="AN808" s="398">
        <f t="shared" si="1929"/>
        <v>11728.293134160862</v>
      </c>
    </row>
    <row r="809" spans="1:40">
      <c r="A809" s="130" t="str">
        <f>A$18</f>
        <v>Home2 Suites by Hilton (Upper Mid)</v>
      </c>
      <c r="B809" s="1033">
        <f t="shared" ref="B809:P809" si="1931">B450+B521+B592+B663+B734</f>
        <v>0</v>
      </c>
      <c r="C809" s="398">
        <f t="shared" si="1931"/>
        <v>0</v>
      </c>
      <c r="D809" s="1033">
        <f t="shared" si="1931"/>
        <v>0</v>
      </c>
      <c r="E809" s="406">
        <f t="shared" si="1931"/>
        <v>0</v>
      </c>
      <c r="F809" s="406">
        <f t="shared" si="1931"/>
        <v>0</v>
      </c>
      <c r="G809" s="820">
        <f t="shared" si="1931"/>
        <v>0</v>
      </c>
      <c r="H809" s="820">
        <f t="shared" si="1931"/>
        <v>0</v>
      </c>
      <c r="I809" s="1033">
        <f t="shared" si="1931"/>
        <v>0</v>
      </c>
      <c r="J809" s="406">
        <f t="shared" si="1931"/>
        <v>0</v>
      </c>
      <c r="K809" s="406">
        <f t="shared" si="1931"/>
        <v>0</v>
      </c>
      <c r="L809" s="820">
        <f t="shared" si="1931"/>
        <v>97</v>
      </c>
      <c r="M809" s="820">
        <f t="shared" si="1931"/>
        <v>97</v>
      </c>
      <c r="N809" s="1033">
        <f t="shared" si="1931"/>
        <v>97</v>
      </c>
      <c r="O809" s="406">
        <f t="shared" si="1931"/>
        <v>97</v>
      </c>
      <c r="P809" s="406">
        <f t="shared" si="1931"/>
        <v>97</v>
      </c>
      <c r="Q809" s="820">
        <f t="shared" ref="Q809:Z809" si="1932">Q450+Q521+Q592+Q663+Q734</f>
        <v>97</v>
      </c>
      <c r="R809" s="398">
        <f t="shared" si="1932"/>
        <v>97</v>
      </c>
      <c r="S809" s="406">
        <f t="shared" si="1932"/>
        <v>97</v>
      </c>
      <c r="T809" s="406">
        <f t="shared" si="1932"/>
        <v>97</v>
      </c>
      <c r="U809" s="406">
        <f t="shared" si="1932"/>
        <v>97</v>
      </c>
      <c r="V809" s="820">
        <f t="shared" si="1932"/>
        <v>97</v>
      </c>
      <c r="W809" s="398">
        <f t="shared" si="1932"/>
        <v>97</v>
      </c>
      <c r="X809" s="406">
        <f t="shared" si="1932"/>
        <v>97</v>
      </c>
      <c r="Y809" s="406">
        <f t="shared" si="1932"/>
        <v>97</v>
      </c>
      <c r="Z809" s="406">
        <f t="shared" si="1932"/>
        <v>0</v>
      </c>
      <c r="AA809" s="406">
        <f t="shared" ref="AA809:AN811" si="1933">AA450+AA521+AA592+AA663+AA734</f>
        <v>0</v>
      </c>
      <c r="AB809" s="398">
        <f t="shared" si="1933"/>
        <v>0</v>
      </c>
      <c r="AC809" s="406">
        <f t="shared" si="1933"/>
        <v>0</v>
      </c>
      <c r="AD809" s="406">
        <f t="shared" si="1933"/>
        <v>0</v>
      </c>
      <c r="AE809" s="406">
        <f t="shared" si="1933"/>
        <v>0</v>
      </c>
      <c r="AF809" s="820">
        <f t="shared" si="1933"/>
        <v>0</v>
      </c>
      <c r="AG809" s="398">
        <f t="shared" si="1933"/>
        <v>0</v>
      </c>
      <c r="AH809" s="406">
        <f t="shared" si="1933"/>
        <v>0</v>
      </c>
      <c r="AI809" s="406">
        <f t="shared" si="1933"/>
        <v>0</v>
      </c>
      <c r="AJ809" s="406">
        <f t="shared" ref="AJ809:AL809" si="1934">AJ450+AJ521+AJ592+AJ663+AJ734</f>
        <v>0</v>
      </c>
      <c r="AK809" s="820">
        <f t="shared" si="1934"/>
        <v>0</v>
      </c>
      <c r="AL809" s="398">
        <f t="shared" si="1934"/>
        <v>0</v>
      </c>
      <c r="AM809" s="398">
        <f t="shared" si="1933"/>
        <v>0</v>
      </c>
      <c r="AN809" s="398">
        <f t="shared" si="1933"/>
        <v>0</v>
      </c>
    </row>
    <row r="810" spans="1:40">
      <c r="A810" s="130" t="str">
        <f>$A$90</f>
        <v>Tru by Hilton</v>
      </c>
      <c r="B810" s="1030"/>
      <c r="C810" s="508"/>
      <c r="D810" s="1030"/>
      <c r="E810" s="912"/>
      <c r="F810" s="912"/>
      <c r="G810" s="1041"/>
      <c r="H810" s="820"/>
      <c r="I810" s="1030"/>
      <c r="J810" s="912"/>
      <c r="K810" s="912"/>
      <c r="L810" s="1041"/>
      <c r="M810" s="820"/>
      <c r="N810" s="1030"/>
      <c r="O810" s="912"/>
      <c r="P810" s="912"/>
      <c r="Q810" s="1041"/>
      <c r="R810" s="820"/>
      <c r="S810" s="1030"/>
      <c r="T810" s="912"/>
      <c r="U810" s="912"/>
      <c r="V810" s="912"/>
      <c r="W810" s="398"/>
      <c r="X810" s="2791"/>
      <c r="Y810" s="2791"/>
      <c r="Z810" s="2791"/>
      <c r="AA810" s="2791"/>
      <c r="AB810" s="398"/>
      <c r="AC810" s="406"/>
      <c r="AD810" s="406">
        <f t="shared" si="1933"/>
        <v>0</v>
      </c>
      <c r="AE810" s="406">
        <f t="shared" si="1933"/>
        <v>0</v>
      </c>
      <c r="AF810" s="820">
        <f t="shared" si="1933"/>
        <v>0</v>
      </c>
      <c r="AG810" s="398">
        <f t="shared" si="1933"/>
        <v>0</v>
      </c>
      <c r="AH810" s="406">
        <f t="shared" si="1933"/>
        <v>0</v>
      </c>
      <c r="AI810" s="406">
        <f t="shared" si="1933"/>
        <v>0</v>
      </c>
      <c r="AJ810" s="406">
        <f t="shared" ref="AJ810:AL810" si="1935">AJ451+AJ522+AJ593+AJ664+AJ735</f>
        <v>0</v>
      </c>
      <c r="AK810" s="820">
        <f t="shared" si="1935"/>
        <v>0</v>
      </c>
      <c r="AL810" s="398">
        <f t="shared" si="1935"/>
        <v>0</v>
      </c>
      <c r="AM810" s="398">
        <f t="shared" si="1933"/>
        <v>0</v>
      </c>
      <c r="AN810" s="398">
        <f t="shared" si="1933"/>
        <v>0</v>
      </c>
    </row>
    <row r="811" spans="1:40">
      <c r="A811" s="130" t="str">
        <f>$A$91</f>
        <v>Tapestry Collection by Hilton</v>
      </c>
      <c r="B811" s="1030"/>
      <c r="C811" s="508"/>
      <c r="D811" s="1030"/>
      <c r="E811" s="912"/>
      <c r="F811" s="912"/>
      <c r="G811" s="1041"/>
      <c r="H811" s="820"/>
      <c r="I811" s="1030"/>
      <c r="J811" s="912"/>
      <c r="K811" s="912"/>
      <c r="L811" s="1041"/>
      <c r="M811" s="820"/>
      <c r="N811" s="1030"/>
      <c r="O811" s="912"/>
      <c r="P811" s="912"/>
      <c r="Q811" s="1041"/>
      <c r="R811" s="820"/>
      <c r="S811" s="1030"/>
      <c r="T811" s="912"/>
      <c r="U811" s="912"/>
      <c r="V811" s="912"/>
      <c r="W811" s="398"/>
      <c r="X811" s="2791"/>
      <c r="Y811" s="2791"/>
      <c r="Z811" s="2791"/>
      <c r="AA811" s="2791"/>
      <c r="AB811" s="398"/>
      <c r="AC811" s="406"/>
      <c r="AD811" s="406">
        <f t="shared" si="1933"/>
        <v>0</v>
      </c>
      <c r="AE811" s="406">
        <f t="shared" si="1933"/>
        <v>0</v>
      </c>
      <c r="AF811" s="820">
        <f t="shared" si="1933"/>
        <v>0</v>
      </c>
      <c r="AG811" s="398">
        <f t="shared" si="1933"/>
        <v>0</v>
      </c>
      <c r="AH811" s="406">
        <f t="shared" si="1933"/>
        <v>0</v>
      </c>
      <c r="AI811" s="406">
        <f t="shared" si="1933"/>
        <v>0</v>
      </c>
      <c r="AJ811" s="406">
        <f t="shared" ref="AJ811:AL811" si="1936">AJ452+AJ523+AJ594+AJ665+AJ736</f>
        <v>0</v>
      </c>
      <c r="AK811" s="820">
        <f t="shared" si="1936"/>
        <v>0</v>
      </c>
      <c r="AL811" s="398">
        <f t="shared" si="1936"/>
        <v>0</v>
      </c>
      <c r="AM811" s="398">
        <f t="shared" si="1933"/>
        <v>0</v>
      </c>
      <c r="AN811" s="398">
        <f t="shared" si="1933"/>
        <v>0</v>
      </c>
    </row>
    <row r="812" spans="1:40">
      <c r="A812" s="130" t="str">
        <f>A$21</f>
        <v>Homewood Suites by Hilton (Upscale)</v>
      </c>
      <c r="B812" s="1033">
        <f t="shared" ref="B812:P812" si="1937">B453+B524+B595+B666+B737</f>
        <v>5156</v>
      </c>
      <c r="C812" s="398">
        <f t="shared" si="1937"/>
        <v>5065</v>
      </c>
      <c r="D812" s="1033">
        <f t="shared" si="1937"/>
        <v>5065</v>
      </c>
      <c r="E812" s="406">
        <f t="shared" si="1937"/>
        <v>4494</v>
      </c>
      <c r="F812" s="406">
        <f t="shared" si="1937"/>
        <v>4034</v>
      </c>
      <c r="G812" s="820">
        <f t="shared" si="1937"/>
        <v>4034</v>
      </c>
      <c r="H812" s="820">
        <f t="shared" si="1937"/>
        <v>4034</v>
      </c>
      <c r="I812" s="1033">
        <f t="shared" si="1937"/>
        <v>4602</v>
      </c>
      <c r="J812" s="406">
        <f t="shared" si="1937"/>
        <v>4344</v>
      </c>
      <c r="K812" s="406">
        <f t="shared" si="1937"/>
        <v>4444</v>
      </c>
      <c r="L812" s="820">
        <f t="shared" si="1937"/>
        <v>4444</v>
      </c>
      <c r="M812" s="820">
        <f t="shared" si="1937"/>
        <v>4444</v>
      </c>
      <c r="N812" s="1033">
        <f t="shared" si="1937"/>
        <v>4369</v>
      </c>
      <c r="O812" s="406">
        <f t="shared" si="1937"/>
        <v>4491</v>
      </c>
      <c r="P812" s="406">
        <f t="shared" si="1937"/>
        <v>3876</v>
      </c>
      <c r="Q812" s="820">
        <f t="shared" ref="Q812:Z812" si="1938">Q453+Q524+Q595+Q666+Q737</f>
        <v>3397</v>
      </c>
      <c r="R812" s="398">
        <f t="shared" si="1938"/>
        <v>3397</v>
      </c>
      <c r="S812" s="406">
        <f t="shared" si="1938"/>
        <v>3145</v>
      </c>
      <c r="T812" s="406">
        <f t="shared" si="1938"/>
        <v>3145</v>
      </c>
      <c r="U812" s="406">
        <f t="shared" si="1938"/>
        <v>2911</v>
      </c>
      <c r="V812" s="820">
        <f t="shared" si="1938"/>
        <v>2911</v>
      </c>
      <c r="W812" s="398">
        <f t="shared" si="1938"/>
        <v>2911</v>
      </c>
      <c r="X812" s="406">
        <f t="shared" si="1938"/>
        <v>2911</v>
      </c>
      <c r="Y812" s="406">
        <f t="shared" si="1938"/>
        <v>2911</v>
      </c>
      <c r="Z812" s="406">
        <f t="shared" si="1938"/>
        <v>3008</v>
      </c>
      <c r="AA812" s="406">
        <f t="shared" ref="AA812:AN812" si="1939">AA453+AA524+AA595+AA666+AA737</f>
        <v>2906</v>
      </c>
      <c r="AB812" s="398">
        <f t="shared" si="1939"/>
        <v>2906</v>
      </c>
      <c r="AC812" s="406">
        <f t="shared" si="1939"/>
        <v>2961.9300000000003</v>
      </c>
      <c r="AD812" s="406">
        <f t="shared" si="1939"/>
        <v>3018.9189246676597</v>
      </c>
      <c r="AE812" s="406">
        <f t="shared" si="1939"/>
        <v>2459</v>
      </c>
      <c r="AF812" s="820">
        <f t="shared" si="1939"/>
        <v>2599</v>
      </c>
      <c r="AG812" s="398">
        <f t="shared" si="1939"/>
        <v>2599</v>
      </c>
      <c r="AH812" s="406">
        <f t="shared" si="1939"/>
        <v>2649.19</v>
      </c>
      <c r="AI812" s="406">
        <f t="shared" si="1939"/>
        <v>2700.3569500000003</v>
      </c>
      <c r="AJ812" s="406">
        <f t="shared" ref="AJ812:AL812" si="1940">AJ453+AJ524+AJ595+AJ666+AJ737</f>
        <v>2746.6911452500003</v>
      </c>
      <c r="AK812" s="820">
        <f t="shared" si="1940"/>
        <v>2793.8223581462507</v>
      </c>
      <c r="AL812" s="398">
        <f t="shared" si="1940"/>
        <v>2793.8223581462507</v>
      </c>
      <c r="AM812" s="398">
        <f t="shared" si="1939"/>
        <v>2979.8907194383946</v>
      </c>
      <c r="AN812" s="398">
        <f t="shared" si="1939"/>
        <v>3120.9439210518281</v>
      </c>
    </row>
    <row r="813" spans="1:40" s="5" customFormat="1">
      <c r="A813" s="402" t="s">
        <v>1407</v>
      </c>
      <c r="B813" s="1031">
        <v>1567</v>
      </c>
      <c r="C813" s="1029">
        <v>4520</v>
      </c>
      <c r="D813" s="1031">
        <v>2850</v>
      </c>
      <c r="E813" s="1039">
        <v>2417</v>
      </c>
      <c r="F813" s="1039">
        <v>2385</v>
      </c>
      <c r="G813" s="1042">
        <v>2321</v>
      </c>
      <c r="H813" s="700">
        <f>G813</f>
        <v>2321</v>
      </c>
      <c r="I813" s="1031">
        <v>1606</v>
      </c>
      <c r="J813" s="1039">
        <v>885</v>
      </c>
      <c r="K813" s="1039">
        <v>711</v>
      </c>
      <c r="L813" s="1042">
        <v>1095</v>
      </c>
      <c r="M813" s="700">
        <f>L813</f>
        <v>1095</v>
      </c>
      <c r="N813" s="1031">
        <v>832</v>
      </c>
      <c r="O813" s="1039">
        <v>944</v>
      </c>
      <c r="P813" s="1039">
        <v>944</v>
      </c>
      <c r="Q813" s="1042">
        <v>1225</v>
      </c>
      <c r="R813" s="700">
        <f>Q813</f>
        <v>1225</v>
      </c>
      <c r="S813" s="1031">
        <v>957</v>
      </c>
      <c r="T813" s="1039">
        <v>957</v>
      </c>
      <c r="U813" s="1039">
        <v>957</v>
      </c>
      <c r="V813" s="1039">
        <v>957</v>
      </c>
      <c r="W813" s="403">
        <f>V813</f>
        <v>957</v>
      </c>
      <c r="X813" s="1039">
        <v>857</v>
      </c>
      <c r="Y813" s="1039">
        <v>1340</v>
      </c>
      <c r="Z813" s="1039">
        <v>888</v>
      </c>
      <c r="AA813" s="1039">
        <v>888</v>
      </c>
      <c r="AB813" s="700">
        <f t="shared" ref="AB813:AN813" si="1941">AA813</f>
        <v>888</v>
      </c>
      <c r="AC813" s="615">
        <f t="shared" si="1941"/>
        <v>888</v>
      </c>
      <c r="AD813" s="615">
        <f t="shared" si="1941"/>
        <v>888</v>
      </c>
      <c r="AE813" s="4005">
        <v>888</v>
      </c>
      <c r="AF813" s="4005">
        <v>1760</v>
      </c>
      <c r="AG813" s="700">
        <f t="shared" si="1941"/>
        <v>1760</v>
      </c>
      <c r="AH813" s="615">
        <f t="shared" ref="AH813" si="1942">AG813</f>
        <v>1760</v>
      </c>
      <c r="AI813" s="615">
        <f t="shared" ref="AI813" si="1943">AH813</f>
        <v>1760</v>
      </c>
      <c r="AJ813" s="615">
        <f t="shared" ref="AJ813" si="1944">AI813</f>
        <v>1760</v>
      </c>
      <c r="AK813" s="700">
        <f t="shared" ref="AK813" si="1945">AJ813</f>
        <v>1760</v>
      </c>
      <c r="AL813" s="700">
        <f t="shared" ref="AL813" si="1946">AK813</f>
        <v>1760</v>
      </c>
      <c r="AM813" s="403">
        <f t="shared" si="1941"/>
        <v>1760</v>
      </c>
      <c r="AN813" s="403">
        <f t="shared" si="1941"/>
        <v>1760</v>
      </c>
    </row>
    <row r="814" spans="1:40">
      <c r="A814" s="482" t="s">
        <v>1687</v>
      </c>
      <c r="B814" s="1032">
        <f t="shared" ref="B814:AN814" si="1947">SUM(B800:B813)</f>
        <v>121188</v>
      </c>
      <c r="C814" s="400">
        <f t="shared" si="1947"/>
        <v>129310</v>
      </c>
      <c r="D814" s="1032">
        <f t="shared" si="1947"/>
        <v>131001</v>
      </c>
      <c r="E814" s="405">
        <f t="shared" si="1947"/>
        <v>130195</v>
      </c>
      <c r="F814" s="405">
        <f t="shared" si="1947"/>
        <v>130740</v>
      </c>
      <c r="G814" s="821">
        <f t="shared" si="1947"/>
        <v>133575</v>
      </c>
      <c r="H814" s="821">
        <f t="shared" si="1947"/>
        <v>133575</v>
      </c>
      <c r="I814" s="1032">
        <f t="shared" si="1947"/>
        <v>137312</v>
      </c>
      <c r="J814" s="405">
        <f t="shared" si="1947"/>
        <v>136663</v>
      </c>
      <c r="K814" s="405">
        <f t="shared" si="1947"/>
        <v>140187</v>
      </c>
      <c r="L814" s="821">
        <f>SUM(L800:L813)</f>
        <v>143771</v>
      </c>
      <c r="M814" s="821">
        <f>SUM(M800:M813)</f>
        <v>143771</v>
      </c>
      <c r="N814" s="1032">
        <f t="shared" si="1947"/>
        <v>147282</v>
      </c>
      <c r="O814" s="405">
        <f t="shared" si="1947"/>
        <v>149290</v>
      </c>
      <c r="P814" s="405">
        <f>SUM(P800:P813)</f>
        <v>151677</v>
      </c>
      <c r="Q814" s="821">
        <f t="shared" si="1947"/>
        <v>153634</v>
      </c>
      <c r="R814" s="400">
        <f t="shared" si="1947"/>
        <v>153634</v>
      </c>
      <c r="S814" s="405">
        <f t="shared" ref="S814:AB814" si="1948">SUM(S800:S813)</f>
        <v>151149</v>
      </c>
      <c r="T814" s="405">
        <f t="shared" si="1948"/>
        <v>149896</v>
      </c>
      <c r="U814" s="405">
        <f t="shared" si="1948"/>
        <v>152990</v>
      </c>
      <c r="V814" s="821">
        <f t="shared" si="1948"/>
        <v>158848</v>
      </c>
      <c r="W814" s="400">
        <f t="shared" si="1948"/>
        <v>158848</v>
      </c>
      <c r="X814" s="405">
        <f t="shared" si="1948"/>
        <v>156955</v>
      </c>
      <c r="Y814" s="405">
        <f t="shared" si="1948"/>
        <v>159535</v>
      </c>
      <c r="Z814" s="405">
        <f t="shared" si="1948"/>
        <v>161735</v>
      </c>
      <c r="AA814" s="405">
        <f t="shared" si="1948"/>
        <v>165320</v>
      </c>
      <c r="AB814" s="400">
        <f t="shared" si="1948"/>
        <v>165320</v>
      </c>
      <c r="AC814" s="405">
        <f>SUM(AC800:AC813)</f>
        <v>200727.33300000001</v>
      </c>
      <c r="AD814" s="405">
        <f>SUM(AD800:AD813)</f>
        <v>202476</v>
      </c>
      <c r="AE814" s="405">
        <f>SUM(AE800:AE813)</f>
        <v>203496</v>
      </c>
      <c r="AF814" s="821">
        <f>SUM(AF800:AF813)</f>
        <v>208235</v>
      </c>
      <c r="AG814" s="400">
        <f>SUM(AG800:AG813)</f>
        <v>208235</v>
      </c>
      <c r="AH814" s="405">
        <f t="shared" ref="AH814:AI814" si="1949">SUM(AH800:AH813)</f>
        <v>211298.53499999997</v>
      </c>
      <c r="AI814" s="405">
        <f t="shared" si="1949"/>
        <v>214342.89336899997</v>
      </c>
      <c r="AJ814" s="405">
        <f>SUM(AJ800:AJ813)</f>
        <v>217103.78552491494</v>
      </c>
      <c r="AK814" s="821">
        <f>SUM(AK800:AK813)</f>
        <v>219905.88903345348</v>
      </c>
      <c r="AL814" s="400">
        <f>SUM(AL800:AL813)</f>
        <v>219905.88903345348</v>
      </c>
      <c r="AM814" s="400">
        <f t="shared" si="1947"/>
        <v>230166.07401484365</v>
      </c>
      <c r="AN814" s="400">
        <f t="shared" si="1947"/>
        <v>237056.20205979768</v>
      </c>
    </row>
    <row r="815" spans="1:40">
      <c r="A815" s="394"/>
      <c r="B815" s="1033"/>
      <c r="C815" s="398"/>
      <c r="D815" s="1033"/>
      <c r="E815" s="406"/>
      <c r="F815" s="406"/>
      <c r="G815" s="820"/>
      <c r="H815" s="820"/>
      <c r="I815" s="1033"/>
      <c r="J815" s="406"/>
      <c r="K815" s="406"/>
      <c r="L815" s="820"/>
      <c r="M815" s="820"/>
      <c r="N815" s="1033"/>
      <c r="O815" s="406"/>
      <c r="P815" s="406">
        <f>P814-151677</f>
        <v>0</v>
      </c>
      <c r="Q815" s="820"/>
      <c r="R815" s="398"/>
      <c r="S815" s="406"/>
      <c r="T815" s="406"/>
      <c r="U815" s="406"/>
      <c r="V815" s="820"/>
      <c r="W815" s="398"/>
      <c r="X815" s="1033"/>
      <c r="Y815" s="406"/>
      <c r="Z815" s="406"/>
      <c r="AA815" s="406"/>
      <c r="AB815" s="398"/>
      <c r="AC815" s="406"/>
      <c r="AD815" s="406"/>
      <c r="AE815" s="406"/>
      <c r="AF815" s="820"/>
      <c r="AG815" s="398"/>
      <c r="AH815" s="406"/>
      <c r="AI815" s="406"/>
      <c r="AJ815" s="406"/>
      <c r="AK815" s="820"/>
      <c r="AL815" s="398"/>
      <c r="AM815" s="398"/>
      <c r="AN815" s="398"/>
    </row>
    <row r="816" spans="1:40">
      <c r="A816" s="394" t="s">
        <v>1394</v>
      </c>
      <c r="B816" s="1030">
        <v>0</v>
      </c>
      <c r="C816" s="508">
        <v>4850</v>
      </c>
      <c r="D816" s="1030">
        <v>6101</v>
      </c>
      <c r="E816" s="912">
        <v>6101</v>
      </c>
      <c r="F816" s="912">
        <v>6101</v>
      </c>
      <c r="G816" s="1041">
        <v>6281</v>
      </c>
      <c r="H816" s="820">
        <f>G816</f>
        <v>6281</v>
      </c>
      <c r="I816" s="1030">
        <v>6354</v>
      </c>
      <c r="J816" s="912">
        <v>6404</v>
      </c>
      <c r="K816" s="912">
        <v>6404</v>
      </c>
      <c r="L816" s="1041">
        <v>6547</v>
      </c>
      <c r="M816" s="820">
        <f>L816</f>
        <v>6547</v>
      </c>
      <c r="N816" s="1030">
        <v>6673</v>
      </c>
      <c r="O816" s="912">
        <v>6758</v>
      </c>
      <c r="P816" s="912">
        <v>6794</v>
      </c>
      <c r="Q816" s="912">
        <v>6794</v>
      </c>
      <c r="R816" s="398">
        <f>Q816</f>
        <v>6794</v>
      </c>
      <c r="S816" s="912">
        <v>6818</v>
      </c>
      <c r="T816" s="912">
        <v>6908</v>
      </c>
      <c r="U816" s="912">
        <v>7152</v>
      </c>
      <c r="V816" s="912">
        <v>7152</v>
      </c>
      <c r="W816" s="398">
        <f>V816</f>
        <v>7152</v>
      </c>
      <c r="X816" s="912">
        <v>7402</v>
      </c>
      <c r="Y816" s="912">
        <v>7645</v>
      </c>
      <c r="Z816" s="912">
        <v>7592</v>
      </c>
      <c r="AA816" s="912">
        <v>7657</v>
      </c>
      <c r="AB816" s="398">
        <f>AA816</f>
        <v>7657</v>
      </c>
      <c r="AC816" s="912">
        <v>8085</v>
      </c>
      <c r="AD816" s="912">
        <v>8101</v>
      </c>
      <c r="AE816" s="3665">
        <v>8101</v>
      </c>
      <c r="AF816" s="3665">
        <v>8101</v>
      </c>
      <c r="AG816" s="398">
        <f>AF816</f>
        <v>8101</v>
      </c>
      <c r="AH816" s="406">
        <f t="shared" ref="AH816:AI816" si="1950">AG816*(1+AH893)</f>
        <v>8101</v>
      </c>
      <c r="AI816" s="406">
        <f t="shared" si="1950"/>
        <v>8101</v>
      </c>
      <c r="AJ816" s="406">
        <f>AI816*(1+AJ893)</f>
        <v>8101</v>
      </c>
      <c r="AK816" s="820">
        <f>AJ816*(1+AK893)</f>
        <v>8101</v>
      </c>
      <c r="AL816" s="398">
        <f>AK816</f>
        <v>8101</v>
      </c>
      <c r="AM816" s="398">
        <f>AL816*(1+AM892)</f>
        <v>8101</v>
      </c>
      <c r="AN816" s="398">
        <f>AM816*(1+AN892)</f>
        <v>8101</v>
      </c>
    </row>
    <row r="817" spans="1:40">
      <c r="A817" s="482" t="s">
        <v>2068</v>
      </c>
      <c r="B817" s="1032">
        <f t="shared" ref="B817:AN817" si="1951">B816+B814</f>
        <v>121188</v>
      </c>
      <c r="C817" s="400">
        <f t="shared" si="1951"/>
        <v>134160</v>
      </c>
      <c r="D817" s="1032">
        <f t="shared" si="1951"/>
        <v>137102</v>
      </c>
      <c r="E817" s="405">
        <f t="shared" si="1951"/>
        <v>136296</v>
      </c>
      <c r="F817" s="405">
        <f t="shared" si="1951"/>
        <v>136841</v>
      </c>
      <c r="G817" s="821">
        <f t="shared" si="1951"/>
        <v>139856</v>
      </c>
      <c r="H817" s="821">
        <f t="shared" si="1951"/>
        <v>139856</v>
      </c>
      <c r="I817" s="1032">
        <f t="shared" si="1951"/>
        <v>143666</v>
      </c>
      <c r="J817" s="405">
        <f t="shared" si="1951"/>
        <v>143067</v>
      </c>
      <c r="K817" s="405">
        <f>K816+K814</f>
        <v>146591</v>
      </c>
      <c r="L817" s="821">
        <f>L816+L814</f>
        <v>150318</v>
      </c>
      <c r="M817" s="821">
        <f>M816+M814</f>
        <v>150318</v>
      </c>
      <c r="N817" s="1032">
        <f t="shared" si="1951"/>
        <v>153955</v>
      </c>
      <c r="O817" s="405">
        <f t="shared" si="1951"/>
        <v>156048</v>
      </c>
      <c r="P817" s="405">
        <f t="shared" si="1951"/>
        <v>158471</v>
      </c>
      <c r="Q817" s="821">
        <f t="shared" si="1951"/>
        <v>160428</v>
      </c>
      <c r="R817" s="400">
        <f t="shared" si="1951"/>
        <v>160428</v>
      </c>
      <c r="S817" s="405">
        <f t="shared" ref="S817:AB817" si="1952">S816+S814</f>
        <v>157967</v>
      </c>
      <c r="T817" s="405">
        <f t="shared" si="1952"/>
        <v>156804</v>
      </c>
      <c r="U817" s="405">
        <f t="shared" si="1952"/>
        <v>160142</v>
      </c>
      <c r="V817" s="821">
        <f t="shared" si="1952"/>
        <v>166000</v>
      </c>
      <c r="W817" s="400">
        <f t="shared" si="1952"/>
        <v>166000</v>
      </c>
      <c r="X817" s="405">
        <f t="shared" si="1952"/>
        <v>164357</v>
      </c>
      <c r="Y817" s="405">
        <f t="shared" si="1952"/>
        <v>167180</v>
      </c>
      <c r="Z817" s="405">
        <f t="shared" si="1952"/>
        <v>169327</v>
      </c>
      <c r="AA817" s="405">
        <f t="shared" si="1952"/>
        <v>172977</v>
      </c>
      <c r="AB817" s="400">
        <f t="shared" si="1952"/>
        <v>172977</v>
      </c>
      <c r="AC817" s="405">
        <f>AC816+AC814</f>
        <v>208812.33300000001</v>
      </c>
      <c r="AD817" s="405">
        <f>AD816+AD814</f>
        <v>210577</v>
      </c>
      <c r="AE817" s="405">
        <f>AE816+AE814</f>
        <v>211597</v>
      </c>
      <c r="AF817" s="821">
        <f>AF816+AF814</f>
        <v>216336</v>
      </c>
      <c r="AG817" s="400">
        <f>AG816+AG814</f>
        <v>216336</v>
      </c>
      <c r="AH817" s="405">
        <f t="shared" ref="AH817:AI817" si="1953">AH816+AH814</f>
        <v>219399.53499999997</v>
      </c>
      <c r="AI817" s="405">
        <f t="shared" si="1953"/>
        <v>222443.89336899997</v>
      </c>
      <c r="AJ817" s="405">
        <f>AJ816+AJ814</f>
        <v>225204.78552491494</v>
      </c>
      <c r="AK817" s="821">
        <f>AK816+AK814</f>
        <v>228006.88903345348</v>
      </c>
      <c r="AL817" s="400">
        <f>AL816+AL814</f>
        <v>228006.88903345348</v>
      </c>
      <c r="AM817" s="400">
        <f t="shared" si="1951"/>
        <v>238267.07401484365</v>
      </c>
      <c r="AN817" s="400">
        <f t="shared" si="1951"/>
        <v>245157.20205979768</v>
      </c>
    </row>
    <row r="818" spans="1:40">
      <c r="A818" s="394"/>
      <c r="B818" s="1033"/>
      <c r="C818" s="398"/>
      <c r="D818" s="1033"/>
      <c r="E818" s="406"/>
      <c r="F818" s="406"/>
      <c r="G818" s="820"/>
      <c r="H818" s="820"/>
      <c r="I818" s="1033"/>
      <c r="J818" s="406"/>
      <c r="K818" s="406"/>
      <c r="L818" s="820"/>
      <c r="M818" s="820"/>
      <c r="N818" s="406"/>
      <c r="O818" s="406"/>
      <c r="P818" s="406"/>
      <c r="Q818" s="820"/>
      <c r="R818" s="398"/>
      <c r="S818" s="406"/>
      <c r="T818" s="406"/>
      <c r="U818" s="406"/>
      <c r="V818" s="820"/>
      <c r="W818" s="398"/>
      <c r="X818" s="406"/>
      <c r="Y818" s="406"/>
      <c r="Z818" s="406"/>
      <c r="AA818" s="406"/>
      <c r="AB818" s="398"/>
      <c r="AC818" s="406"/>
      <c r="AD818" s="406"/>
      <c r="AE818" s="406"/>
      <c r="AF818" s="820"/>
      <c r="AG818" s="398"/>
      <c r="AH818" s="406"/>
      <c r="AI818" s="406"/>
      <c r="AJ818" s="406"/>
      <c r="AK818" s="820"/>
      <c r="AL818" s="398"/>
      <c r="AM818" s="398"/>
      <c r="AN818" s="398"/>
    </row>
    <row r="819" spans="1:40">
      <c r="A819" s="484" t="s">
        <v>1284</v>
      </c>
      <c r="B819" s="1033"/>
      <c r="C819" s="398"/>
      <c r="D819" s="1033"/>
      <c r="E819" s="406"/>
      <c r="F819" s="406"/>
      <c r="G819" s="820"/>
      <c r="H819" s="820"/>
      <c r="I819" s="1033"/>
      <c r="J819" s="406"/>
      <c r="K819" s="406"/>
      <c r="L819" s="820"/>
      <c r="M819" s="820"/>
      <c r="N819" s="406"/>
      <c r="O819" s="406"/>
      <c r="P819" s="406"/>
      <c r="Q819" s="820"/>
      <c r="R819" s="398"/>
      <c r="S819" s="406"/>
      <c r="T819" s="406"/>
      <c r="U819" s="406"/>
      <c r="V819" s="820"/>
      <c r="W819" s="398"/>
      <c r="X819" s="406"/>
      <c r="Y819" s="406"/>
      <c r="Z819" s="406"/>
      <c r="AA819" s="406"/>
      <c r="AB819" s="398"/>
      <c r="AC819" s="406"/>
      <c r="AD819" s="406"/>
      <c r="AE819" s="406"/>
      <c r="AF819" s="820"/>
      <c r="AG819" s="398"/>
      <c r="AH819" s="406"/>
      <c r="AI819" s="406"/>
      <c r="AJ819" s="406"/>
      <c r="AK819" s="820"/>
      <c r="AL819" s="398"/>
      <c r="AM819" s="398"/>
      <c r="AN819" s="398"/>
    </row>
    <row r="820" spans="1:40">
      <c r="A820" s="130" t="str">
        <f>A$9</f>
        <v>Waldorf Astoria Hotels &amp; Resorts (Luxury)</v>
      </c>
      <c r="B820" s="1033">
        <f t="shared" ref="B820:AN820" si="1954">B457+B528+B599+B670+B741</f>
        <v>2556</v>
      </c>
      <c r="C820" s="398">
        <f t="shared" si="1954"/>
        <v>2492</v>
      </c>
      <c r="D820" s="1033">
        <f t="shared" si="1954"/>
        <v>2492</v>
      </c>
      <c r="E820" s="406">
        <f t="shared" si="1954"/>
        <v>2492</v>
      </c>
      <c r="F820" s="406">
        <f t="shared" si="1954"/>
        <v>2031</v>
      </c>
      <c r="G820" s="820">
        <f t="shared" si="1954"/>
        <v>2031</v>
      </c>
      <c r="H820" s="820">
        <f t="shared" si="1954"/>
        <v>2031</v>
      </c>
      <c r="I820" s="1033">
        <f t="shared" si="1954"/>
        <v>2031</v>
      </c>
      <c r="J820" s="406">
        <f t="shared" si="1954"/>
        <v>2031</v>
      </c>
      <c r="K820" s="406">
        <f t="shared" si="1954"/>
        <v>984</v>
      </c>
      <c r="L820" s="820">
        <f t="shared" si="1954"/>
        <v>984</v>
      </c>
      <c r="M820" s="820">
        <f t="shared" si="1954"/>
        <v>984</v>
      </c>
      <c r="N820" s="1033">
        <f t="shared" si="1954"/>
        <v>984</v>
      </c>
      <c r="O820" s="406">
        <f t="shared" si="1954"/>
        <v>984</v>
      </c>
      <c r="P820" s="406">
        <f t="shared" si="1954"/>
        <v>984</v>
      </c>
      <c r="Q820" s="820">
        <f t="shared" si="1954"/>
        <v>984</v>
      </c>
      <c r="R820" s="398">
        <f t="shared" si="1954"/>
        <v>984</v>
      </c>
      <c r="S820" s="406">
        <f t="shared" si="1954"/>
        <v>984</v>
      </c>
      <c r="T820" s="406">
        <f t="shared" si="1954"/>
        <v>984</v>
      </c>
      <c r="U820" s="406">
        <f t="shared" si="1954"/>
        <v>984</v>
      </c>
      <c r="V820" s="820">
        <f t="shared" si="1954"/>
        <v>984</v>
      </c>
      <c r="W820" s="398">
        <f t="shared" si="1954"/>
        <v>984</v>
      </c>
      <c r="X820" s="406">
        <f t="shared" si="1954"/>
        <v>984</v>
      </c>
      <c r="Y820" s="406">
        <f t="shared" si="1954"/>
        <v>984</v>
      </c>
      <c r="Z820" s="406">
        <f t="shared" si="1954"/>
        <v>984</v>
      </c>
      <c r="AA820" s="406">
        <f t="shared" si="1954"/>
        <v>984</v>
      </c>
      <c r="AB820" s="398">
        <f t="shared" si="1954"/>
        <v>984</v>
      </c>
      <c r="AC820" s="406">
        <f t="shared" si="1954"/>
        <v>998.75999999999988</v>
      </c>
      <c r="AD820" s="406">
        <f t="shared" si="1954"/>
        <v>1023.7289999999998</v>
      </c>
      <c r="AE820" s="406">
        <f t="shared" si="1954"/>
        <v>984</v>
      </c>
      <c r="AF820" s="820">
        <f t="shared" si="1954"/>
        <v>984</v>
      </c>
      <c r="AG820" s="398">
        <f t="shared" si="1954"/>
        <v>984</v>
      </c>
      <c r="AH820" s="406">
        <f t="shared" si="1954"/>
        <v>993.84</v>
      </c>
      <c r="AI820" s="406">
        <f t="shared" si="1954"/>
        <v>1003.7784</v>
      </c>
      <c r="AJ820" s="406">
        <f t="shared" ref="AJ820:AL820" si="1955">AJ457+AJ528+AJ599+AJ670+AJ741</f>
        <v>1018.835076</v>
      </c>
      <c r="AK820" s="820">
        <f t="shared" si="1955"/>
        <v>1034.1176021399999</v>
      </c>
      <c r="AL820" s="398">
        <f t="shared" si="1955"/>
        <v>1034.1176021399999</v>
      </c>
      <c r="AM820" s="398">
        <f t="shared" si="1954"/>
        <v>1096.1646582684</v>
      </c>
      <c r="AN820" s="398">
        <f t="shared" si="1954"/>
        <v>1150.9728911818199</v>
      </c>
    </row>
    <row r="821" spans="1:40">
      <c r="A821" s="130" t="str">
        <f>A$10</f>
        <v>Conrad Hotels &amp; Resorts (Luxury)</v>
      </c>
      <c r="B821" s="1033">
        <f t="shared" ref="B821:AN821" si="1956">B458+B529+B600+B671+B742</f>
        <v>302</v>
      </c>
      <c r="C821" s="398">
        <f t="shared" si="1956"/>
        <v>302</v>
      </c>
      <c r="D821" s="1033">
        <f t="shared" si="1956"/>
        <v>302</v>
      </c>
      <c r="E821" s="406">
        <f t="shared" si="1956"/>
        <v>938</v>
      </c>
      <c r="F821" s="406">
        <f t="shared" si="1956"/>
        <v>938</v>
      </c>
      <c r="G821" s="820">
        <f t="shared" si="1956"/>
        <v>938</v>
      </c>
      <c r="H821" s="820">
        <f t="shared" si="1956"/>
        <v>938</v>
      </c>
      <c r="I821" s="1033">
        <f t="shared" si="1956"/>
        <v>938</v>
      </c>
      <c r="J821" s="406">
        <f t="shared" si="1956"/>
        <v>930</v>
      </c>
      <c r="K821" s="406">
        <f t="shared" si="1956"/>
        <v>930</v>
      </c>
      <c r="L821" s="820">
        <f t="shared" si="1956"/>
        <v>930</v>
      </c>
      <c r="M821" s="820">
        <f t="shared" si="1956"/>
        <v>930</v>
      </c>
      <c r="N821" s="1033">
        <f t="shared" si="1956"/>
        <v>930</v>
      </c>
      <c r="O821" s="406">
        <f t="shared" si="1956"/>
        <v>930</v>
      </c>
      <c r="P821" s="406">
        <f t="shared" si="1956"/>
        <v>1186</v>
      </c>
      <c r="Q821" s="820">
        <f t="shared" si="1956"/>
        <v>1186</v>
      </c>
      <c r="R821" s="398">
        <f t="shared" si="1956"/>
        <v>1186</v>
      </c>
      <c r="S821" s="406">
        <f t="shared" si="1956"/>
        <v>1186</v>
      </c>
      <c r="T821" s="406">
        <f t="shared" si="1956"/>
        <v>1186</v>
      </c>
      <c r="U821" s="406">
        <f t="shared" si="1956"/>
        <v>1186</v>
      </c>
      <c r="V821" s="820">
        <f t="shared" si="1956"/>
        <v>1186</v>
      </c>
      <c r="W821" s="398">
        <f t="shared" si="1956"/>
        <v>1186</v>
      </c>
      <c r="X821" s="406">
        <f t="shared" si="1956"/>
        <v>1186</v>
      </c>
      <c r="Y821" s="406">
        <f t="shared" si="1956"/>
        <v>1204</v>
      </c>
      <c r="Z821" s="406">
        <f t="shared" si="1956"/>
        <v>1326</v>
      </c>
      <c r="AA821" s="406">
        <f t="shared" si="1956"/>
        <v>1326</v>
      </c>
      <c r="AB821" s="398">
        <f t="shared" si="1956"/>
        <v>1326</v>
      </c>
      <c r="AC821" s="406">
        <f t="shared" si="1956"/>
        <v>1345.8899999999999</v>
      </c>
      <c r="AD821" s="406">
        <f t="shared" si="1956"/>
        <v>1379.5372499999999</v>
      </c>
      <c r="AE821" s="406">
        <f t="shared" si="1956"/>
        <v>1645</v>
      </c>
      <c r="AF821" s="820">
        <f t="shared" si="1956"/>
        <v>1381</v>
      </c>
      <c r="AG821" s="398">
        <f t="shared" si="1956"/>
        <v>1381</v>
      </c>
      <c r="AH821" s="406">
        <f t="shared" si="1956"/>
        <v>1391.6200000000001</v>
      </c>
      <c r="AI821" s="406">
        <f t="shared" si="1956"/>
        <v>1402.3462</v>
      </c>
      <c r="AJ821" s="406">
        <f t="shared" ref="AJ821:AL821" si="1957">AJ458+AJ529+AJ600+AJ671+AJ742</f>
        <v>1418.5963929999998</v>
      </c>
      <c r="AK821" s="820">
        <f t="shared" si="1957"/>
        <v>1435.0903388950001</v>
      </c>
      <c r="AL821" s="398">
        <f t="shared" si="1957"/>
        <v>1435.0903388950001</v>
      </c>
      <c r="AM821" s="398">
        <f t="shared" si="1956"/>
        <v>1502.0557592287</v>
      </c>
      <c r="AN821" s="398">
        <f t="shared" si="1956"/>
        <v>1561.2085471901351</v>
      </c>
    </row>
    <row r="822" spans="1:40">
      <c r="A822" s="1828" t="s">
        <v>3022</v>
      </c>
      <c r="B822" s="1033"/>
      <c r="C822" s="398"/>
      <c r="D822" s="1033"/>
      <c r="E822" s="406"/>
      <c r="F822" s="406"/>
      <c r="G822" s="820"/>
      <c r="H822" s="820"/>
      <c r="I822" s="1033"/>
      <c r="J822" s="406"/>
      <c r="K822" s="406"/>
      <c r="L822" s="820"/>
      <c r="M822" s="820"/>
      <c r="N822" s="1033"/>
      <c r="O822" s="406"/>
      <c r="P822" s="406"/>
      <c r="Q822" s="820"/>
      <c r="R822" s="398"/>
      <c r="S822" s="406"/>
      <c r="T822" s="406"/>
      <c r="U822" s="406"/>
      <c r="V822" s="820"/>
      <c r="W822" s="398"/>
      <c r="X822" s="406"/>
      <c r="Y822" s="406"/>
      <c r="Z822" s="406"/>
      <c r="AA822" s="406">
        <f t="shared" ref="AA822:AN822" si="1958">AA459+AA530+AA601+AA672+AA743</f>
        <v>112</v>
      </c>
      <c r="AB822" s="398">
        <f t="shared" si="1958"/>
        <v>112</v>
      </c>
      <c r="AC822" s="406">
        <f t="shared" si="1958"/>
        <v>112</v>
      </c>
      <c r="AD822" s="406">
        <f t="shared" si="1958"/>
        <v>114.79999999999998</v>
      </c>
      <c r="AE822" s="406">
        <f t="shared" si="1958"/>
        <v>112</v>
      </c>
      <c r="AF822" s="820">
        <f>AF459+AF530+AF601+AF672+AF743</f>
        <v>287</v>
      </c>
      <c r="AG822" s="398">
        <f t="shared" si="1958"/>
        <v>287</v>
      </c>
      <c r="AH822" s="406">
        <f t="shared" si="1958"/>
        <v>287</v>
      </c>
      <c r="AI822" s="406">
        <f t="shared" si="1958"/>
        <v>287</v>
      </c>
      <c r="AJ822" s="406">
        <f t="shared" ref="AJ822:AL822" si="1959">AJ459+AJ530+AJ601+AJ672+AJ743</f>
        <v>287</v>
      </c>
      <c r="AK822" s="820">
        <f t="shared" si="1959"/>
        <v>287</v>
      </c>
      <c r="AL822" s="398">
        <f t="shared" si="1959"/>
        <v>287</v>
      </c>
      <c r="AM822" s="398">
        <f t="shared" si="1958"/>
        <v>287</v>
      </c>
      <c r="AN822" s="398">
        <f t="shared" si="1958"/>
        <v>287</v>
      </c>
    </row>
    <row r="823" spans="1:40">
      <c r="A823" s="130" t="str">
        <f>A$12</f>
        <v>Hilton Hotels &amp; Resorts (Upper Up)</v>
      </c>
      <c r="B823" s="1033">
        <f t="shared" ref="B823:Z823" si="1960">B460+B531+B602+B673+B744</f>
        <v>72599</v>
      </c>
      <c r="C823" s="398">
        <f t="shared" si="1960"/>
        <v>73421</v>
      </c>
      <c r="D823" s="1033">
        <f t="shared" si="1960"/>
        <v>69617</v>
      </c>
      <c r="E823" s="406">
        <f t="shared" si="1960"/>
        <v>69595</v>
      </c>
      <c r="F823" s="406">
        <f t="shared" si="1960"/>
        <v>68816</v>
      </c>
      <c r="G823" s="820">
        <f t="shared" si="1960"/>
        <v>66965</v>
      </c>
      <c r="H823" s="820">
        <f t="shared" si="1960"/>
        <v>66965</v>
      </c>
      <c r="I823" s="1033">
        <f t="shared" si="1960"/>
        <v>66960</v>
      </c>
      <c r="J823" s="406">
        <f t="shared" si="1960"/>
        <v>68207</v>
      </c>
      <c r="K823" s="406">
        <f t="shared" si="1960"/>
        <v>68207</v>
      </c>
      <c r="L823" s="820">
        <f t="shared" si="1960"/>
        <v>68263</v>
      </c>
      <c r="M823" s="820">
        <f t="shared" si="1960"/>
        <v>68263</v>
      </c>
      <c r="N823" s="1033">
        <f t="shared" si="1960"/>
        <v>67777</v>
      </c>
      <c r="O823" s="406">
        <f t="shared" si="1960"/>
        <v>67048</v>
      </c>
      <c r="P823" s="406">
        <f t="shared" si="1960"/>
        <v>67264</v>
      </c>
      <c r="Q823" s="820">
        <f t="shared" si="1960"/>
        <v>69083</v>
      </c>
      <c r="R823" s="398">
        <f t="shared" si="1960"/>
        <v>69083</v>
      </c>
      <c r="S823" s="406">
        <f t="shared" si="1960"/>
        <v>69741</v>
      </c>
      <c r="T823" s="406">
        <f t="shared" si="1960"/>
        <v>69531</v>
      </c>
      <c r="U823" s="406">
        <f t="shared" si="1960"/>
        <v>69929</v>
      </c>
      <c r="V823" s="820">
        <f t="shared" si="1960"/>
        <v>69887</v>
      </c>
      <c r="W823" s="398">
        <f>W460+W531+W602+W673+W744</f>
        <v>69887</v>
      </c>
      <c r="X823" s="406">
        <f t="shared" si="1960"/>
        <v>71913</v>
      </c>
      <c r="Y823" s="406">
        <f t="shared" si="1960"/>
        <v>72425</v>
      </c>
      <c r="Z823" s="406">
        <f t="shared" si="1960"/>
        <v>72515</v>
      </c>
      <c r="AA823" s="406">
        <f t="shared" ref="AA823:AN823" si="1961">AA460+AA531+AA602+AA673+AA744</f>
        <v>71589</v>
      </c>
      <c r="AB823" s="398">
        <f t="shared" si="1961"/>
        <v>71589</v>
      </c>
      <c r="AC823" s="406">
        <f t="shared" si="1961"/>
        <v>72500.738999999987</v>
      </c>
      <c r="AD823" s="406">
        <f t="shared" si="1961"/>
        <v>73602.412482999993</v>
      </c>
      <c r="AE823" s="406">
        <f t="shared" si="1961"/>
        <v>71848</v>
      </c>
      <c r="AF823" s="820">
        <f t="shared" si="1961"/>
        <v>72649</v>
      </c>
      <c r="AG823" s="398">
        <f t="shared" si="1961"/>
        <v>72649</v>
      </c>
      <c r="AH823" s="406">
        <f t="shared" si="1961"/>
        <v>73375.490000000005</v>
      </c>
      <c r="AI823" s="406">
        <f t="shared" si="1961"/>
        <v>74301.262564999997</v>
      </c>
      <c r="AJ823" s="406">
        <f t="shared" ref="AJ823:AL823" si="1962">AJ460+AJ531+AJ602+AJ673+AJ744</f>
        <v>75415.781503474995</v>
      </c>
      <c r="AK823" s="820">
        <f t="shared" si="1962"/>
        <v>76547.01822602711</v>
      </c>
      <c r="AL823" s="398">
        <f t="shared" si="1962"/>
        <v>76547.01822602711</v>
      </c>
      <c r="AM823" s="398">
        <f t="shared" si="1961"/>
        <v>80853.422194145736</v>
      </c>
      <c r="AN823" s="398">
        <f t="shared" si="1961"/>
        <v>84291.753169168282</v>
      </c>
    </row>
    <row r="824" spans="1:40">
      <c r="A824" s="1828" t="s">
        <v>2323</v>
      </c>
      <c r="B824" s="1033"/>
      <c r="C824" s="398"/>
      <c r="D824" s="1033"/>
      <c r="E824" s="406"/>
      <c r="F824" s="406"/>
      <c r="G824" s="820"/>
      <c r="H824" s="820"/>
      <c r="I824" s="1033"/>
      <c r="J824" s="406"/>
      <c r="K824" s="406"/>
      <c r="L824" s="820"/>
      <c r="M824" s="820"/>
      <c r="N824" s="1033"/>
      <c r="O824" s="406"/>
      <c r="P824" s="406">
        <f t="shared" ref="P824:Z824" si="1963">P461+P532+P603+P674+P745</f>
        <v>1811</v>
      </c>
      <c r="Q824" s="820">
        <f t="shared" si="1963"/>
        <v>2172</v>
      </c>
      <c r="R824" s="398">
        <f t="shared" si="1963"/>
        <v>2172</v>
      </c>
      <c r="S824" s="406">
        <f t="shared" si="1963"/>
        <v>2172</v>
      </c>
      <c r="T824" s="406">
        <f t="shared" si="1963"/>
        <v>2527</v>
      </c>
      <c r="U824" s="406">
        <f t="shared" si="1963"/>
        <v>3616</v>
      </c>
      <c r="V824" s="820">
        <f t="shared" si="1963"/>
        <v>3482</v>
      </c>
      <c r="W824" s="398">
        <f t="shared" si="1963"/>
        <v>3482</v>
      </c>
      <c r="X824" s="406">
        <f t="shared" si="1963"/>
        <v>3982</v>
      </c>
      <c r="Y824" s="406">
        <f t="shared" si="1963"/>
        <v>4544</v>
      </c>
      <c r="Z824" s="406">
        <f t="shared" si="1963"/>
        <v>5231</v>
      </c>
      <c r="AA824" s="406">
        <f t="shared" ref="AA824:AN824" si="1964">AA461+AA532+AA603+AA674+AA745</f>
        <v>5817</v>
      </c>
      <c r="AB824" s="398">
        <f t="shared" si="1964"/>
        <v>5817</v>
      </c>
      <c r="AC824" s="406">
        <f t="shared" si="1964"/>
        <v>5881.902</v>
      </c>
      <c r="AD824" s="406">
        <f t="shared" si="1964"/>
        <v>5956.4338740000003</v>
      </c>
      <c r="AE824" s="406">
        <f t="shared" si="1964"/>
        <v>7267</v>
      </c>
      <c r="AF824" s="820">
        <f t="shared" si="1964"/>
        <v>7729</v>
      </c>
      <c r="AG824" s="398">
        <f t="shared" si="1964"/>
        <v>7729</v>
      </c>
      <c r="AH824" s="406">
        <f t="shared" si="1964"/>
        <v>7805.0049999999992</v>
      </c>
      <c r="AI824" s="406">
        <f t="shared" si="1964"/>
        <v>7901.993665</v>
      </c>
      <c r="AJ824" s="406">
        <f t="shared" ref="AJ824:AL824" si="1965">AJ461+AJ532+AJ603+AJ674+AJ745</f>
        <v>8009.0635699749992</v>
      </c>
      <c r="AK824" s="820">
        <f t="shared" si="1965"/>
        <v>8117.7395235246231</v>
      </c>
      <c r="AL824" s="398">
        <f t="shared" si="1965"/>
        <v>8117.7395235246231</v>
      </c>
      <c r="AM824" s="398">
        <f t="shared" si="1964"/>
        <v>8508.7052665900337</v>
      </c>
      <c r="AN824" s="398">
        <f t="shared" si="1964"/>
        <v>8804.3964996424111</v>
      </c>
    </row>
    <row r="825" spans="1:40">
      <c r="A825" s="130" t="str">
        <f>A$14</f>
        <v>DoubleTree by Hilton (Upscale)</v>
      </c>
      <c r="B825" s="1033">
        <f t="shared" ref="B825:O825" si="1966">B462+B533+B604+B675+B746</f>
        <v>45280</v>
      </c>
      <c r="C825" s="398">
        <f t="shared" si="1966"/>
        <v>51043</v>
      </c>
      <c r="D825" s="1033">
        <f t="shared" si="1966"/>
        <v>54542</v>
      </c>
      <c r="E825" s="406">
        <f t="shared" si="1966"/>
        <v>56032</v>
      </c>
      <c r="F825" s="406">
        <f t="shared" si="1966"/>
        <v>57565</v>
      </c>
      <c r="G825" s="820">
        <f t="shared" si="1966"/>
        <v>60096</v>
      </c>
      <c r="H825" s="820">
        <f t="shared" si="1966"/>
        <v>60096</v>
      </c>
      <c r="I825" s="1033">
        <f t="shared" si="1966"/>
        <v>62937</v>
      </c>
      <c r="J825" s="406">
        <f t="shared" si="1966"/>
        <v>65339</v>
      </c>
      <c r="K825" s="406">
        <f t="shared" si="1966"/>
        <v>66781</v>
      </c>
      <c r="L825" s="820">
        <f t="shared" si="1966"/>
        <v>67311</v>
      </c>
      <c r="M825" s="820">
        <f t="shared" si="1966"/>
        <v>67311</v>
      </c>
      <c r="N825" s="1033">
        <f t="shared" si="1966"/>
        <v>68556</v>
      </c>
      <c r="O825" s="406">
        <f t="shared" si="1966"/>
        <v>69757</v>
      </c>
      <c r="P825" s="406">
        <f t="shared" ref="P825:Z825" si="1967">P462+P533+P604+P675+P746</f>
        <v>71211</v>
      </c>
      <c r="Q825" s="820">
        <f t="shared" si="1967"/>
        <v>72144</v>
      </c>
      <c r="R825" s="398">
        <f t="shared" si="1967"/>
        <v>72144</v>
      </c>
      <c r="S825" s="406">
        <f t="shared" si="1967"/>
        <v>73090</v>
      </c>
      <c r="T825" s="406">
        <f t="shared" si="1967"/>
        <v>75775</v>
      </c>
      <c r="U825" s="406">
        <f t="shared" si="1967"/>
        <v>78315</v>
      </c>
      <c r="V825" s="820">
        <f t="shared" si="1967"/>
        <v>80249</v>
      </c>
      <c r="W825" s="398">
        <f t="shared" si="1967"/>
        <v>80249</v>
      </c>
      <c r="X825" s="406">
        <f t="shared" si="1967"/>
        <v>81340</v>
      </c>
      <c r="Y825" s="406">
        <f t="shared" si="1967"/>
        <v>82392</v>
      </c>
      <c r="Z825" s="406">
        <f t="shared" si="1967"/>
        <v>83165</v>
      </c>
      <c r="AA825" s="406">
        <f t="shared" ref="AA825:AN825" si="1968">AA462+AA533+AA604+AA675+AA746</f>
        <v>86170</v>
      </c>
      <c r="AB825" s="398">
        <f t="shared" si="1968"/>
        <v>86170</v>
      </c>
      <c r="AC825" s="406">
        <f t="shared" si="1968"/>
        <v>87256.030000000013</v>
      </c>
      <c r="AD825" s="406">
        <f t="shared" si="1968"/>
        <v>88531.771709999986</v>
      </c>
      <c r="AE825" s="406">
        <f t="shared" si="1968"/>
        <v>90145</v>
      </c>
      <c r="AF825" s="820">
        <f t="shared" si="1968"/>
        <v>91238</v>
      </c>
      <c r="AG825" s="398">
        <f t="shared" si="1968"/>
        <v>91238</v>
      </c>
      <c r="AH825" s="406">
        <f t="shared" si="1968"/>
        <v>92150.37999999999</v>
      </c>
      <c r="AI825" s="406">
        <f t="shared" si="1968"/>
        <v>93324.459550000014</v>
      </c>
      <c r="AJ825" s="406">
        <f t="shared" ref="AJ825:AL825" si="1969">AJ462+AJ533+AJ604+AJ675+AJ746</f>
        <v>94724.32644325</v>
      </c>
      <c r="AK825" s="820">
        <f t="shared" si="1969"/>
        <v>96145.191339898753</v>
      </c>
      <c r="AL825" s="398">
        <f t="shared" si="1969"/>
        <v>96145.191339898753</v>
      </c>
      <c r="AM825" s="398">
        <f t="shared" si="1968"/>
        <v>101537.15612736931</v>
      </c>
      <c r="AN825" s="398">
        <f t="shared" si="1968"/>
        <v>105819.07841166953</v>
      </c>
    </row>
    <row r="826" spans="1:40">
      <c r="A826" s="130" t="str">
        <f>A$15</f>
        <v>Embassy Suites Hotels (Upper Up)</v>
      </c>
      <c r="B826" s="1033">
        <f t="shared" ref="B826:O826" si="1970">B463+B534+B605+B676+B747</f>
        <v>31227</v>
      </c>
      <c r="C826" s="398">
        <f t="shared" si="1970"/>
        <v>33082</v>
      </c>
      <c r="D826" s="1033">
        <f t="shared" si="1970"/>
        <v>33276</v>
      </c>
      <c r="E826" s="406">
        <f t="shared" si="1970"/>
        <v>33675</v>
      </c>
      <c r="F826" s="406">
        <f t="shared" si="1970"/>
        <v>34038</v>
      </c>
      <c r="G826" s="820">
        <f t="shared" si="1970"/>
        <v>34395</v>
      </c>
      <c r="H826" s="820">
        <f t="shared" si="1970"/>
        <v>34395</v>
      </c>
      <c r="I826" s="1033">
        <f t="shared" si="1970"/>
        <v>34648</v>
      </c>
      <c r="J826" s="406">
        <f t="shared" si="1970"/>
        <v>35291</v>
      </c>
      <c r="K826" s="406">
        <f t="shared" si="1970"/>
        <v>35733</v>
      </c>
      <c r="L826" s="820">
        <f t="shared" si="1970"/>
        <v>36010</v>
      </c>
      <c r="M826" s="820">
        <f t="shared" si="1970"/>
        <v>36010</v>
      </c>
      <c r="N826" s="1033">
        <f t="shared" si="1970"/>
        <v>36879</v>
      </c>
      <c r="O826" s="406">
        <f t="shared" si="1970"/>
        <v>37455</v>
      </c>
      <c r="P826" s="406">
        <f t="shared" ref="P826:Z826" si="1971">P463+P534+P605+P676+P747</f>
        <v>37676</v>
      </c>
      <c r="Q826" s="820">
        <f t="shared" si="1971"/>
        <v>37846</v>
      </c>
      <c r="R826" s="398">
        <f t="shared" si="1971"/>
        <v>37846</v>
      </c>
      <c r="S826" s="406">
        <f t="shared" si="1971"/>
        <v>38827</v>
      </c>
      <c r="T826" s="406">
        <f t="shared" si="1971"/>
        <v>40274</v>
      </c>
      <c r="U826" s="406">
        <f t="shared" si="1971"/>
        <v>40565</v>
      </c>
      <c r="V826" s="820">
        <f t="shared" si="1971"/>
        <v>40984</v>
      </c>
      <c r="W826" s="398">
        <f t="shared" si="1971"/>
        <v>40984</v>
      </c>
      <c r="X826" s="406">
        <f t="shared" si="1971"/>
        <v>41547</v>
      </c>
      <c r="Y826" s="406">
        <f t="shared" si="1971"/>
        <v>41666</v>
      </c>
      <c r="Z826" s="406">
        <f t="shared" si="1971"/>
        <v>42574</v>
      </c>
      <c r="AA826" s="406">
        <f t="shared" ref="AA826:AN826" si="1972">AA463+AA534+AA605+AA676+AA747</f>
        <v>42618</v>
      </c>
      <c r="AB826" s="398">
        <f t="shared" si="1972"/>
        <v>42618</v>
      </c>
      <c r="AC826" s="406">
        <f t="shared" si="1972"/>
        <v>43133.382000000005</v>
      </c>
      <c r="AD826" s="406">
        <f t="shared" si="1972"/>
        <v>43668.426374000002</v>
      </c>
      <c r="AE826" s="406">
        <f t="shared" si="1972"/>
        <v>43486</v>
      </c>
      <c r="AF826" s="820">
        <f t="shared" si="1972"/>
        <v>44981</v>
      </c>
      <c r="AG826" s="398">
        <f t="shared" si="1972"/>
        <v>44981</v>
      </c>
      <c r="AH826" s="406">
        <f t="shared" si="1972"/>
        <v>45430.810000000005</v>
      </c>
      <c r="AI826" s="406">
        <f t="shared" si="1972"/>
        <v>46039.452665000012</v>
      </c>
      <c r="AJ826" s="406">
        <f t="shared" ref="AJ826:AL826" si="1973">AJ463+AJ534+AJ605+AJ676+AJ747</f>
        <v>46730.044454975003</v>
      </c>
      <c r="AK826" s="820">
        <f t="shared" si="1973"/>
        <v>47430.995121799628</v>
      </c>
      <c r="AL826" s="398">
        <f t="shared" si="1973"/>
        <v>47430.995121799628</v>
      </c>
      <c r="AM826" s="398">
        <f t="shared" si="1972"/>
        <v>50046.646517472327</v>
      </c>
      <c r="AN826" s="398">
        <f t="shared" si="1972"/>
        <v>52063.23930579552</v>
      </c>
    </row>
    <row r="827" spans="1:40">
      <c r="A827" s="130" t="str">
        <f>A$16</f>
        <v>Hilton Garden Inn (Upscale)</v>
      </c>
      <c r="B827" s="1033">
        <f t="shared" ref="B827:O827" si="1974">B464+B535+B606+B677+B748</f>
        <v>67154</v>
      </c>
      <c r="C827" s="398">
        <f t="shared" si="1974"/>
        <v>69627</v>
      </c>
      <c r="D827" s="1033">
        <f t="shared" si="1974"/>
        <v>69510</v>
      </c>
      <c r="E827" s="406">
        <f t="shared" si="1974"/>
        <v>69944</v>
      </c>
      <c r="F827" s="406">
        <f t="shared" si="1974"/>
        <v>70582</v>
      </c>
      <c r="G827" s="820">
        <f t="shared" si="1974"/>
        <v>71838</v>
      </c>
      <c r="H827" s="820">
        <f t="shared" si="1974"/>
        <v>71838</v>
      </c>
      <c r="I827" s="1033">
        <f t="shared" si="1974"/>
        <v>72725</v>
      </c>
      <c r="J827" s="406">
        <f t="shared" si="1974"/>
        <v>73905</v>
      </c>
      <c r="K827" s="406">
        <f t="shared" si="1974"/>
        <v>74324</v>
      </c>
      <c r="L827" s="820">
        <f t="shared" si="1974"/>
        <v>74933</v>
      </c>
      <c r="M827" s="820">
        <f t="shared" si="1974"/>
        <v>74933</v>
      </c>
      <c r="N827" s="1033">
        <f t="shared" si="1974"/>
        <v>75914</v>
      </c>
      <c r="O827" s="406">
        <f t="shared" si="1974"/>
        <v>77085</v>
      </c>
      <c r="P827" s="406">
        <f t="shared" ref="P827:Z827" si="1975">P464+P535+P606+P677+P748</f>
        <v>78080</v>
      </c>
      <c r="Q827" s="820">
        <f t="shared" si="1975"/>
        <v>80359</v>
      </c>
      <c r="R827" s="398">
        <f t="shared" si="1975"/>
        <v>80359</v>
      </c>
      <c r="S827" s="406">
        <f t="shared" si="1975"/>
        <v>81077</v>
      </c>
      <c r="T827" s="406">
        <f t="shared" si="1975"/>
        <v>83710</v>
      </c>
      <c r="U827" s="406">
        <f t="shared" si="1975"/>
        <v>85596</v>
      </c>
      <c r="V827" s="820">
        <f t="shared" si="1975"/>
        <v>86711</v>
      </c>
      <c r="W827" s="398">
        <f t="shared" si="1975"/>
        <v>86711</v>
      </c>
      <c r="X827" s="406">
        <f t="shared" si="1975"/>
        <v>87970</v>
      </c>
      <c r="Y827" s="406">
        <f t="shared" si="1975"/>
        <v>90293</v>
      </c>
      <c r="Z827" s="406">
        <f t="shared" si="1975"/>
        <v>91647</v>
      </c>
      <c r="AA827" s="406">
        <f t="shared" ref="AA827:AN827" si="1976">AA464+AA535+AA606+AA677+AA748</f>
        <v>92721</v>
      </c>
      <c r="AB827" s="398">
        <f t="shared" si="1976"/>
        <v>92721</v>
      </c>
      <c r="AC827" s="406">
        <f t="shared" si="1976"/>
        <v>93867.294271823936</v>
      </c>
      <c r="AD827" s="406">
        <f t="shared" si="1976"/>
        <v>96238.80831786232</v>
      </c>
      <c r="AE827" s="406">
        <f t="shared" si="1976"/>
        <v>97477</v>
      </c>
      <c r="AF827" s="820">
        <f t="shared" si="1976"/>
        <v>99563</v>
      </c>
      <c r="AG827" s="398">
        <f t="shared" si="1976"/>
        <v>99563</v>
      </c>
      <c r="AH827" s="406">
        <f t="shared" si="1976"/>
        <v>100734.10800000001</v>
      </c>
      <c r="AI827" s="406">
        <f t="shared" si="1976"/>
        <v>102629.36776000001</v>
      </c>
      <c r="AJ827" s="406">
        <f t="shared" ref="AJ827:AL827" si="1977">AJ464+AJ535+AJ606+AJ677+AJ748</f>
        <v>104621.64680320001</v>
      </c>
      <c r="AK827" s="820">
        <f t="shared" si="1977"/>
        <v>107114.76209992</v>
      </c>
      <c r="AL827" s="398">
        <f t="shared" si="1977"/>
        <v>107114.76209992</v>
      </c>
      <c r="AM827" s="398">
        <f t="shared" si="1976"/>
        <v>114488.53318545401</v>
      </c>
      <c r="AN827" s="398">
        <f t="shared" si="1976"/>
        <v>121226.12717943324</v>
      </c>
    </row>
    <row r="828" spans="1:40">
      <c r="A828" s="130" t="str">
        <f>A$17</f>
        <v>Hampton Inn (Upper Mid)</v>
      </c>
      <c r="B828" s="1033">
        <f t="shared" ref="B828:O828" si="1978">B465+B536+B607+B678+B749</f>
        <v>173732</v>
      </c>
      <c r="C828" s="398">
        <f t="shared" si="1978"/>
        <v>176426</v>
      </c>
      <c r="D828" s="1033">
        <f t="shared" si="1978"/>
        <v>177325</v>
      </c>
      <c r="E828" s="406">
        <f t="shared" si="1978"/>
        <v>178770</v>
      </c>
      <c r="F828" s="406">
        <f t="shared" si="1978"/>
        <v>179590</v>
      </c>
      <c r="G828" s="820">
        <f t="shared" si="1978"/>
        <v>180736</v>
      </c>
      <c r="H828" s="820">
        <f t="shared" si="1978"/>
        <v>180736</v>
      </c>
      <c r="I828" s="1033">
        <f t="shared" si="1978"/>
        <v>178613</v>
      </c>
      <c r="J828" s="406">
        <f t="shared" si="1978"/>
        <v>180811</v>
      </c>
      <c r="K828" s="406">
        <f t="shared" si="1978"/>
        <v>181909</v>
      </c>
      <c r="L828" s="820">
        <f t="shared" si="1978"/>
        <v>183046</v>
      </c>
      <c r="M828" s="820">
        <f t="shared" si="1978"/>
        <v>183046</v>
      </c>
      <c r="N828" s="1033">
        <f t="shared" si="1978"/>
        <v>184321</v>
      </c>
      <c r="O828" s="406">
        <f t="shared" si="1978"/>
        <v>186234</v>
      </c>
      <c r="P828" s="406">
        <f t="shared" ref="P828:Z828" si="1979">P465+P536+P607+P678+P749</f>
        <v>189313</v>
      </c>
      <c r="Q828" s="820">
        <f t="shared" si="1979"/>
        <v>190618</v>
      </c>
      <c r="R828" s="398">
        <f t="shared" si="1979"/>
        <v>190618</v>
      </c>
      <c r="S828" s="406">
        <f t="shared" si="1979"/>
        <v>192699</v>
      </c>
      <c r="T828" s="406">
        <f t="shared" si="1979"/>
        <v>195956</v>
      </c>
      <c r="U828" s="406">
        <f t="shared" si="1979"/>
        <v>198329</v>
      </c>
      <c r="V828" s="820">
        <f t="shared" si="1979"/>
        <v>201111</v>
      </c>
      <c r="W828" s="398">
        <f t="shared" si="1979"/>
        <v>201111</v>
      </c>
      <c r="X828" s="406">
        <f t="shared" si="1979"/>
        <v>202824</v>
      </c>
      <c r="Y828" s="406">
        <f t="shared" si="1979"/>
        <v>205517</v>
      </c>
      <c r="Z828" s="406">
        <f t="shared" si="1979"/>
        <v>208719</v>
      </c>
      <c r="AA828" s="406">
        <f t="shared" ref="AA828:AN828" si="1980">AA465+AA536+AA607+AA678+AA749</f>
        <v>213482</v>
      </c>
      <c r="AB828" s="398">
        <f t="shared" si="1980"/>
        <v>213482</v>
      </c>
      <c r="AC828" s="406">
        <f t="shared" si="1980"/>
        <v>216101.57074906817</v>
      </c>
      <c r="AD828" s="406">
        <f t="shared" si="1980"/>
        <v>221563.2805165968</v>
      </c>
      <c r="AE828" s="406">
        <f t="shared" si="1980"/>
        <v>223676</v>
      </c>
      <c r="AF828" s="820">
        <f t="shared" si="1980"/>
        <v>227412</v>
      </c>
      <c r="AG828" s="398">
        <f t="shared" si="1980"/>
        <v>227412</v>
      </c>
      <c r="AH828" s="406">
        <f t="shared" si="1980"/>
        <v>230095.992</v>
      </c>
      <c r="AI828" s="406">
        <f t="shared" si="1980"/>
        <v>234470.90424</v>
      </c>
      <c r="AJ828" s="406">
        <f t="shared" ref="AJ828:AL828" si="1981">AJ465+AJ536+AJ607+AJ678+AJ749</f>
        <v>239045.6834868</v>
      </c>
      <c r="AK828" s="820">
        <f t="shared" si="1981"/>
        <v>244789.10873282995</v>
      </c>
      <c r="AL828" s="398">
        <f t="shared" si="1981"/>
        <v>244789.10873282995</v>
      </c>
      <c r="AM828" s="398">
        <f t="shared" si="1980"/>
        <v>261688.13875037097</v>
      </c>
      <c r="AN828" s="398">
        <f t="shared" si="1980"/>
        <v>277139.0470260107</v>
      </c>
    </row>
    <row r="829" spans="1:40">
      <c r="A829" s="130" t="str">
        <f>A$18</f>
        <v>Home2 Suites by Hilton (Upper Mid)</v>
      </c>
      <c r="B829" s="1033">
        <f t="shared" ref="B829:O829" si="1982">B466+B537+B608+B679+B750</f>
        <v>0</v>
      </c>
      <c r="C829" s="398">
        <f t="shared" si="1982"/>
        <v>749</v>
      </c>
      <c r="D829" s="1033">
        <f t="shared" si="1982"/>
        <v>749</v>
      </c>
      <c r="E829" s="406">
        <f t="shared" si="1982"/>
        <v>1073</v>
      </c>
      <c r="F829" s="406">
        <f t="shared" si="1982"/>
        <v>1243</v>
      </c>
      <c r="G829" s="820">
        <f t="shared" si="1982"/>
        <v>1365</v>
      </c>
      <c r="H829" s="820">
        <f t="shared" si="1982"/>
        <v>1365</v>
      </c>
      <c r="I829" s="1033">
        <f t="shared" si="1982"/>
        <v>1754</v>
      </c>
      <c r="J829" s="406">
        <f t="shared" si="1982"/>
        <v>1873</v>
      </c>
      <c r="K829" s="406">
        <f t="shared" si="1982"/>
        <v>2423</v>
      </c>
      <c r="L829" s="820">
        <f t="shared" si="1982"/>
        <v>2831</v>
      </c>
      <c r="M829" s="820">
        <f t="shared" si="1982"/>
        <v>2831</v>
      </c>
      <c r="N829" s="1033">
        <f t="shared" si="1982"/>
        <v>3122</v>
      </c>
      <c r="O829" s="406">
        <f t="shared" si="1982"/>
        <v>3534</v>
      </c>
      <c r="P829" s="406">
        <f t="shared" ref="P829:Z829" si="1983">P466+P537+P608+P679+P750</f>
        <v>4259</v>
      </c>
      <c r="Q829" s="820">
        <f t="shared" si="1983"/>
        <v>4629</v>
      </c>
      <c r="R829" s="398">
        <f t="shared" si="1983"/>
        <v>4629</v>
      </c>
      <c r="S829" s="406">
        <f t="shared" si="1983"/>
        <v>4918</v>
      </c>
      <c r="T829" s="406">
        <f t="shared" si="1983"/>
        <v>5886</v>
      </c>
      <c r="U829" s="406">
        <f t="shared" si="1983"/>
        <v>6970</v>
      </c>
      <c r="V829" s="820">
        <f t="shared" si="1983"/>
        <v>7503</v>
      </c>
      <c r="W829" s="398">
        <f t="shared" si="1983"/>
        <v>7503</v>
      </c>
      <c r="X829" s="406">
        <f t="shared" si="1983"/>
        <v>8553</v>
      </c>
      <c r="Y829" s="406">
        <f t="shared" si="1983"/>
        <v>9477</v>
      </c>
      <c r="Z829" s="406">
        <f t="shared" si="1983"/>
        <v>11889</v>
      </c>
      <c r="AA829" s="406">
        <f t="shared" ref="AA829:AN829" si="1984">AA466+AA537+AA608+AA679+AA750</f>
        <v>13349</v>
      </c>
      <c r="AB829" s="398">
        <f t="shared" si="1984"/>
        <v>13349</v>
      </c>
      <c r="AC829" s="406">
        <f t="shared" si="1984"/>
        <v>13510.608212000552</v>
      </c>
      <c r="AD829" s="406">
        <f t="shared" si="1984"/>
        <v>13852.296063872105</v>
      </c>
      <c r="AE829" s="406">
        <f t="shared" si="1984"/>
        <v>18456</v>
      </c>
      <c r="AF829" s="820">
        <f t="shared" si="1984"/>
        <v>21015</v>
      </c>
      <c r="AG829" s="398">
        <f t="shared" si="1984"/>
        <v>21015</v>
      </c>
      <c r="AH829" s="406">
        <f t="shared" si="1984"/>
        <v>21266.545999999998</v>
      </c>
      <c r="AI829" s="406">
        <f t="shared" si="1984"/>
        <v>21688.675220000001</v>
      </c>
      <c r="AJ829" s="406">
        <f t="shared" ref="AJ829:AL829" si="1985">AJ466+AJ537+AJ608+AJ679+AJ750</f>
        <v>22120.831865900003</v>
      </c>
      <c r="AK829" s="820">
        <f t="shared" si="1985"/>
        <v>22670.5704397925</v>
      </c>
      <c r="AL829" s="398">
        <f t="shared" si="1985"/>
        <v>22670.5704397925</v>
      </c>
      <c r="AM829" s="398">
        <f t="shared" si="1984"/>
        <v>24254.178914481654</v>
      </c>
      <c r="AN829" s="398">
        <f t="shared" si="1984"/>
        <v>25705.898305888451</v>
      </c>
    </row>
    <row r="830" spans="1:40">
      <c r="A830" s="130" t="str">
        <f>$A$90</f>
        <v>Tru by Hilton</v>
      </c>
      <c r="B830" s="1030"/>
      <c r="C830" s="508"/>
      <c r="D830" s="1030"/>
      <c r="E830" s="912"/>
      <c r="F830" s="912"/>
      <c r="G830" s="1041"/>
      <c r="H830" s="820"/>
      <c r="I830" s="1030"/>
      <c r="J830" s="912"/>
      <c r="K830" s="912"/>
      <c r="L830" s="1041"/>
      <c r="M830" s="820"/>
      <c r="N830" s="1030"/>
      <c r="O830" s="912"/>
      <c r="P830" s="912"/>
      <c r="Q830" s="1041"/>
      <c r="R830" s="820"/>
      <c r="S830" s="1030"/>
      <c r="T830" s="912"/>
      <c r="U830" s="912"/>
      <c r="V830" s="912"/>
      <c r="W830" s="398"/>
      <c r="X830" s="2791"/>
      <c r="Y830" s="2791"/>
      <c r="Z830" s="2791"/>
      <c r="AA830" s="2791"/>
      <c r="AB830" s="398"/>
      <c r="AC830" s="406"/>
      <c r="AD830" s="406"/>
      <c r="AE830" s="406">
        <f t="shared" ref="AE830:AN830" si="1986">AE467+AE538+AE609+AE680+AE751</f>
        <v>457</v>
      </c>
      <c r="AF830" s="820">
        <f t="shared" si="1986"/>
        <v>911</v>
      </c>
      <c r="AG830" s="820">
        <f t="shared" si="1986"/>
        <v>911</v>
      </c>
      <c r="AH830" s="406">
        <f t="shared" si="1986"/>
        <v>921.93200000000002</v>
      </c>
      <c r="AI830" s="406">
        <f t="shared" si="1986"/>
        <v>940.37063999999998</v>
      </c>
      <c r="AJ830" s="406">
        <f t="shared" si="1986"/>
        <v>959.17805280000005</v>
      </c>
      <c r="AK830" s="820">
        <f t="shared" si="1986"/>
        <v>983.15750412</v>
      </c>
      <c r="AL830" s="820">
        <f t="shared" si="1986"/>
        <v>983.15750412</v>
      </c>
      <c r="AM830" s="398">
        <f t="shared" si="1986"/>
        <v>1051.9785294084002</v>
      </c>
      <c r="AN830" s="398">
        <f t="shared" si="1986"/>
        <v>1115.0972411729042</v>
      </c>
    </row>
    <row r="831" spans="1:40">
      <c r="A831" s="130" t="str">
        <f>$A$91</f>
        <v>Tapestry Collection by Hilton</v>
      </c>
      <c r="B831" s="1030"/>
      <c r="C831" s="508"/>
      <c r="D831" s="1030"/>
      <c r="E831" s="912"/>
      <c r="F831" s="912"/>
      <c r="G831" s="1041"/>
      <c r="H831" s="820"/>
      <c r="I831" s="1030"/>
      <c r="J831" s="912"/>
      <c r="K831" s="912"/>
      <c r="L831" s="1041"/>
      <c r="M831" s="820"/>
      <c r="N831" s="1030"/>
      <c r="O831" s="912"/>
      <c r="P831" s="912"/>
      <c r="Q831" s="1041"/>
      <c r="R831" s="820"/>
      <c r="S831" s="1030"/>
      <c r="T831" s="912"/>
      <c r="U831" s="912"/>
      <c r="V831" s="912"/>
      <c r="W831" s="398"/>
      <c r="X831" s="2791"/>
      <c r="Y831" s="2791"/>
      <c r="Z831" s="2791"/>
      <c r="AA831" s="2791"/>
      <c r="AB831" s="398"/>
      <c r="AC831" s="406"/>
      <c r="AD831" s="406"/>
      <c r="AE831" s="406">
        <f t="shared" ref="AE831:AN831" si="1987">AE468+AE539+AE610+AE681+AE752</f>
        <v>58</v>
      </c>
      <c r="AF831" s="820">
        <f t="shared" si="1987"/>
        <v>467</v>
      </c>
      <c r="AG831" s="820">
        <f t="shared" si="1987"/>
        <v>467</v>
      </c>
      <c r="AH831" s="406">
        <f t="shared" si="1987"/>
        <v>472.60399999999998</v>
      </c>
      <c r="AI831" s="406">
        <f t="shared" si="1987"/>
        <v>482.05608000000001</v>
      </c>
      <c r="AJ831" s="406">
        <f t="shared" si="1987"/>
        <v>491.69720160000003</v>
      </c>
      <c r="AK831" s="820">
        <f t="shared" si="1987"/>
        <v>503.98963163999997</v>
      </c>
      <c r="AL831" s="820">
        <f t="shared" si="1987"/>
        <v>503.98963163999997</v>
      </c>
      <c r="AM831" s="398">
        <f t="shared" si="1987"/>
        <v>539.26890585479998</v>
      </c>
      <c r="AN831" s="398">
        <f t="shared" si="1987"/>
        <v>571.62504020608799</v>
      </c>
    </row>
    <row r="832" spans="1:40">
      <c r="A832" s="130" t="str">
        <f>A$21</f>
        <v>Homewood Suites by Hilton (Upscale)</v>
      </c>
      <c r="B832" s="1033">
        <f t="shared" ref="B832:O832" si="1988">B469+B540+B611+B682+B753</f>
        <v>28270</v>
      </c>
      <c r="C832" s="398">
        <f t="shared" si="1988"/>
        <v>29023</v>
      </c>
      <c r="D832" s="1033">
        <f t="shared" si="1988"/>
        <v>29121</v>
      </c>
      <c r="E832" s="406">
        <f t="shared" si="1988"/>
        <v>30028</v>
      </c>
      <c r="F832" s="406">
        <f t="shared" si="1988"/>
        <v>30680</v>
      </c>
      <c r="G832" s="820">
        <f t="shared" si="1988"/>
        <v>30885</v>
      </c>
      <c r="H832" s="820">
        <f t="shared" si="1988"/>
        <v>30885</v>
      </c>
      <c r="I832" s="1033">
        <f t="shared" si="1988"/>
        <v>30848</v>
      </c>
      <c r="J832" s="406">
        <f t="shared" si="1988"/>
        <v>31499</v>
      </c>
      <c r="K832" s="406">
        <f t="shared" si="1988"/>
        <v>31793</v>
      </c>
      <c r="L832" s="820">
        <f t="shared" si="1988"/>
        <v>32334</v>
      </c>
      <c r="M832" s="820">
        <f t="shared" si="1988"/>
        <v>32334</v>
      </c>
      <c r="N832" s="1033">
        <f t="shared" si="1988"/>
        <v>33004</v>
      </c>
      <c r="O832" s="406">
        <f t="shared" si="1988"/>
        <v>34075</v>
      </c>
      <c r="P832" s="406">
        <f t="shared" ref="P832:Z832" si="1989">P469+P540+P611+P682+P753</f>
        <v>35611</v>
      </c>
      <c r="Q832" s="820">
        <f t="shared" si="1989"/>
        <v>36659</v>
      </c>
      <c r="R832" s="398">
        <f t="shared" si="1989"/>
        <v>36659</v>
      </c>
      <c r="S832" s="406">
        <f t="shared" si="1989"/>
        <v>37508</v>
      </c>
      <c r="T832" s="406">
        <f t="shared" si="1989"/>
        <v>38157</v>
      </c>
      <c r="U832" s="406">
        <f t="shared" si="1989"/>
        <v>39178</v>
      </c>
      <c r="V832" s="820">
        <f t="shared" si="1989"/>
        <v>40490</v>
      </c>
      <c r="W832" s="398">
        <f t="shared" si="1989"/>
        <v>40490</v>
      </c>
      <c r="X832" s="406">
        <f t="shared" si="1989"/>
        <v>41314</v>
      </c>
      <c r="Y832" s="406">
        <f t="shared" si="1989"/>
        <v>41910</v>
      </c>
      <c r="Z832" s="406">
        <f t="shared" si="1989"/>
        <v>43100</v>
      </c>
      <c r="AA832" s="406">
        <f t="shared" ref="AA832:AN832" si="1990">AA469+AA540+AA611+AA682+AA753</f>
        <v>44198</v>
      </c>
      <c r="AB832" s="398">
        <f t="shared" si="1990"/>
        <v>44198</v>
      </c>
      <c r="AC832" s="406">
        <f t="shared" si="1990"/>
        <v>44735.364767107691</v>
      </c>
      <c r="AD832" s="406">
        <f t="shared" si="1990"/>
        <v>45866.504410668596</v>
      </c>
      <c r="AE832" s="406">
        <f t="shared" si="1990"/>
        <v>47520</v>
      </c>
      <c r="AF832" s="820">
        <f t="shared" si="1990"/>
        <v>48706</v>
      </c>
      <c r="AG832" s="398">
        <f t="shared" si="1990"/>
        <v>48706</v>
      </c>
      <c r="AH832" s="406">
        <f t="shared" si="1990"/>
        <v>49286.631999999998</v>
      </c>
      <c r="AI832" s="406">
        <f t="shared" si="1990"/>
        <v>50252.97264</v>
      </c>
      <c r="AJ832" s="406">
        <f t="shared" ref="AJ832:AL832" si="1991">AJ469+AJ540+AJ611+AJ682+AJ753</f>
        <v>51248.239132800001</v>
      </c>
      <c r="AK832" s="820">
        <f t="shared" si="1991"/>
        <v>52509.565402319997</v>
      </c>
      <c r="AL832" s="398">
        <f t="shared" si="1991"/>
        <v>52509.565402319997</v>
      </c>
      <c r="AM832" s="398">
        <f t="shared" si="1990"/>
        <v>56165.057076050405</v>
      </c>
      <c r="AN832" s="398">
        <f t="shared" si="1990"/>
        <v>59513.571921915514</v>
      </c>
    </row>
    <row r="833" spans="1:41" s="5" customFormat="1">
      <c r="A833" s="402" t="s">
        <v>1407</v>
      </c>
      <c r="B833" s="1031">
        <v>0</v>
      </c>
      <c r="C833" s="1029">
        <v>386</v>
      </c>
      <c r="D833" s="1031">
        <v>386</v>
      </c>
      <c r="E833" s="1039">
        <v>1029</v>
      </c>
      <c r="F833" s="1039">
        <v>788</v>
      </c>
      <c r="G833" s="1042">
        <v>1309</v>
      </c>
      <c r="H833" s="700">
        <f>G833</f>
        <v>1309</v>
      </c>
      <c r="I833" s="1031">
        <v>402</v>
      </c>
      <c r="J833" s="1039">
        <v>216</v>
      </c>
      <c r="K833" s="1039">
        <v>0</v>
      </c>
      <c r="L833" s="1042">
        <v>0</v>
      </c>
      <c r="M833" s="700">
        <f>L833</f>
        <v>0</v>
      </c>
      <c r="N833" s="1031">
        <v>0</v>
      </c>
      <c r="O833" s="1039">
        <v>0</v>
      </c>
      <c r="P833" s="1039">
        <v>0</v>
      </c>
      <c r="Q833" s="700">
        <f>P833</f>
        <v>0</v>
      </c>
      <c r="R833" s="700">
        <f>Q833</f>
        <v>0</v>
      </c>
      <c r="S833" s="615">
        <f>R833</f>
        <v>0</v>
      </c>
      <c r="T833" s="1039">
        <v>302</v>
      </c>
      <c r="U833" s="1039">
        <v>302</v>
      </c>
      <c r="V833" s="1039">
        <v>452</v>
      </c>
      <c r="W833" s="403">
        <f>V833</f>
        <v>452</v>
      </c>
      <c r="X833" s="1039">
        <v>452</v>
      </c>
      <c r="Y833" s="1039">
        <v>278</v>
      </c>
      <c r="Z833" s="1039">
        <f>407+112</f>
        <v>519</v>
      </c>
      <c r="AA833" s="1039">
        <f>1038</f>
        <v>1038</v>
      </c>
      <c r="AB833" s="403">
        <f t="shared" ref="AB833:AN833" si="1992">AA833</f>
        <v>1038</v>
      </c>
      <c r="AC833" s="615">
        <f t="shared" si="1992"/>
        <v>1038</v>
      </c>
      <c r="AD833" s="615">
        <f t="shared" si="1992"/>
        <v>1038</v>
      </c>
      <c r="AE833" s="4005">
        <v>760</v>
      </c>
      <c r="AF833" s="4005">
        <v>250</v>
      </c>
      <c r="AG833" s="700">
        <f t="shared" si="1992"/>
        <v>250</v>
      </c>
      <c r="AH833" s="615">
        <f t="shared" ref="AH833" si="1993">AG833</f>
        <v>250</v>
      </c>
      <c r="AI833" s="615">
        <f t="shared" ref="AI833" si="1994">AH833</f>
        <v>250</v>
      </c>
      <c r="AJ833" s="615">
        <f t="shared" ref="AJ833" si="1995">AI833</f>
        <v>250</v>
      </c>
      <c r="AK833" s="700">
        <f t="shared" ref="AK833" si="1996">AJ833</f>
        <v>250</v>
      </c>
      <c r="AL833" s="700">
        <f t="shared" ref="AL833" si="1997">AK833</f>
        <v>250</v>
      </c>
      <c r="AM833" s="403">
        <f t="shared" si="1992"/>
        <v>250</v>
      </c>
      <c r="AN833" s="403">
        <f t="shared" si="1992"/>
        <v>250</v>
      </c>
    </row>
    <row r="834" spans="1:41">
      <c r="A834" s="482" t="s">
        <v>1687</v>
      </c>
      <c r="B834" s="1032">
        <f t="shared" ref="B834:AN834" si="1998">SUM(B820:B833)</f>
        <v>421120</v>
      </c>
      <c r="C834" s="400">
        <f t="shared" si="1998"/>
        <v>436551</v>
      </c>
      <c r="D834" s="1032">
        <f t="shared" si="1998"/>
        <v>437320</v>
      </c>
      <c r="E834" s="405">
        <f t="shared" si="1998"/>
        <v>443576</v>
      </c>
      <c r="F834" s="405">
        <f t="shared" si="1998"/>
        <v>446271</v>
      </c>
      <c r="G834" s="821">
        <f t="shared" si="1998"/>
        <v>450558</v>
      </c>
      <c r="H834" s="821">
        <f t="shared" si="1998"/>
        <v>450558</v>
      </c>
      <c r="I834" s="1032">
        <f t="shared" si="1998"/>
        <v>451856</v>
      </c>
      <c r="J834" s="405">
        <f t="shared" si="1998"/>
        <v>460102</v>
      </c>
      <c r="K834" s="405">
        <f t="shared" si="1998"/>
        <v>463084</v>
      </c>
      <c r="L834" s="821">
        <f>SUM(L820:L833)</f>
        <v>466642</v>
      </c>
      <c r="M834" s="821">
        <f>SUM(M820:M833)</f>
        <v>466642</v>
      </c>
      <c r="N834" s="1032">
        <f t="shared" si="1998"/>
        <v>471487</v>
      </c>
      <c r="O834" s="405">
        <f t="shared" si="1998"/>
        <v>477102</v>
      </c>
      <c r="P834" s="405">
        <f t="shared" si="1998"/>
        <v>487395</v>
      </c>
      <c r="Q834" s="821">
        <f t="shared" si="1998"/>
        <v>495680</v>
      </c>
      <c r="R834" s="400">
        <f t="shared" si="1998"/>
        <v>495680</v>
      </c>
      <c r="S834" s="405">
        <f t="shared" ref="S834:AB834" si="1999">SUM(S820:S833)</f>
        <v>502202</v>
      </c>
      <c r="T834" s="405">
        <f t="shared" si="1999"/>
        <v>514288</v>
      </c>
      <c r="U834" s="405">
        <f t="shared" si="1999"/>
        <v>524970</v>
      </c>
      <c r="V834" s="821">
        <f t="shared" si="1999"/>
        <v>533039</v>
      </c>
      <c r="W834" s="400">
        <f t="shared" si="1999"/>
        <v>533039</v>
      </c>
      <c r="X834" s="405">
        <f t="shared" si="1999"/>
        <v>542065</v>
      </c>
      <c r="Y834" s="405">
        <f t="shared" si="1999"/>
        <v>550690</v>
      </c>
      <c r="Z834" s="405">
        <f>SUM(Z820:Z833)</f>
        <v>561669</v>
      </c>
      <c r="AA834" s="405">
        <f t="shared" si="1999"/>
        <v>573404</v>
      </c>
      <c r="AB834" s="400">
        <f t="shared" si="1999"/>
        <v>573404</v>
      </c>
      <c r="AC834" s="405">
        <f>SUM(AC820:AC833)</f>
        <v>580481.54100000032</v>
      </c>
      <c r="AD834" s="405">
        <f>SUM(AD820:AD833)</f>
        <v>592835.99999999977</v>
      </c>
      <c r="AE834" s="405">
        <f>SUM(AE820:AE833)</f>
        <v>603891</v>
      </c>
      <c r="AF834" s="821">
        <f>SUM(AF820:AF833)</f>
        <v>617573</v>
      </c>
      <c r="AG834" s="400">
        <f>SUM(AG820:AG833)</f>
        <v>617573</v>
      </c>
      <c r="AH834" s="405">
        <f t="shared" ref="AH834:AI834" si="2000">SUM(AH820:AH833)</f>
        <v>624461.95900000003</v>
      </c>
      <c r="AI834" s="405">
        <f t="shared" si="2000"/>
        <v>634974.63962500007</v>
      </c>
      <c r="AJ834" s="405">
        <f>SUM(AJ820:AJ833)</f>
        <v>646340.92398377496</v>
      </c>
      <c r="AK834" s="821">
        <f>SUM(AK820:AK833)</f>
        <v>659818.30596290762</v>
      </c>
      <c r="AL834" s="400">
        <f>SUM(AL820:AL833)</f>
        <v>659818.30596290762</v>
      </c>
      <c r="AM834" s="400">
        <f t="shared" si="1998"/>
        <v>702268.3058846948</v>
      </c>
      <c r="AN834" s="400">
        <f t="shared" si="1998"/>
        <v>739499.01553927455</v>
      </c>
    </row>
    <row r="835" spans="1:41">
      <c r="A835" s="394"/>
      <c r="B835" s="1033"/>
      <c r="C835" s="398"/>
      <c r="D835" s="1033"/>
      <c r="E835" s="406"/>
      <c r="F835" s="406"/>
      <c r="G835" s="820"/>
      <c r="H835" s="820"/>
      <c r="I835" s="1033"/>
      <c r="J835" s="406"/>
      <c r="K835" s="406"/>
      <c r="L835" s="820"/>
      <c r="M835" s="820"/>
      <c r="N835" s="1033"/>
      <c r="O835" s="406"/>
      <c r="P835" s="406"/>
      <c r="Q835" s="820"/>
      <c r="R835" s="398"/>
      <c r="S835" s="406"/>
      <c r="T835" s="406"/>
      <c r="U835" s="406"/>
      <c r="V835" s="820"/>
      <c r="W835" s="398"/>
      <c r="X835" s="406"/>
      <c r="Y835" s="406"/>
      <c r="Z835" s="406"/>
      <c r="AA835" s="406"/>
      <c r="AB835" s="398"/>
      <c r="AC835" s="406"/>
      <c r="AD835" s="406"/>
      <c r="AE835" s="406"/>
      <c r="AF835" s="820"/>
      <c r="AG835" s="398"/>
      <c r="AH835" s="406"/>
      <c r="AI835" s="406"/>
      <c r="AJ835" s="406"/>
      <c r="AK835" s="820"/>
      <c r="AL835" s="398"/>
      <c r="AM835" s="398"/>
      <c r="AN835" s="398"/>
    </row>
    <row r="836" spans="1:41">
      <c r="A836" s="394" t="s">
        <v>1394</v>
      </c>
      <c r="B836" s="1033">
        <f>B816+B796</f>
        <v>4853</v>
      </c>
      <c r="C836" s="398">
        <f t="shared" ref="C836:S836" si="2001">C816+C796</f>
        <v>4850</v>
      </c>
      <c r="D836" s="1033">
        <f t="shared" si="2001"/>
        <v>6101</v>
      </c>
      <c r="E836" s="406">
        <f t="shared" si="2001"/>
        <v>6101</v>
      </c>
      <c r="F836" s="406">
        <f t="shared" si="2001"/>
        <v>6101</v>
      </c>
      <c r="G836" s="820">
        <f t="shared" si="2001"/>
        <v>6281</v>
      </c>
      <c r="H836" s="820">
        <f>H816+H796</f>
        <v>6281</v>
      </c>
      <c r="I836" s="1033">
        <f t="shared" si="2001"/>
        <v>6354</v>
      </c>
      <c r="J836" s="406">
        <f t="shared" si="2001"/>
        <v>6404</v>
      </c>
      <c r="K836" s="406">
        <f t="shared" si="2001"/>
        <v>6404</v>
      </c>
      <c r="L836" s="820">
        <f>L816+L796</f>
        <v>6547</v>
      </c>
      <c r="M836" s="820">
        <f>M816+M796</f>
        <v>6547</v>
      </c>
      <c r="N836" s="1033">
        <f>N816+N796</f>
        <v>6673</v>
      </c>
      <c r="O836" s="406">
        <f t="shared" si="2001"/>
        <v>6758</v>
      </c>
      <c r="P836" s="406">
        <f t="shared" si="2001"/>
        <v>6794</v>
      </c>
      <c r="Q836" s="820">
        <f t="shared" si="2001"/>
        <v>6794</v>
      </c>
      <c r="R836" s="398">
        <f t="shared" si="2001"/>
        <v>6794</v>
      </c>
      <c r="S836" s="406">
        <f t="shared" si="2001"/>
        <v>6818</v>
      </c>
      <c r="T836" s="406">
        <f t="shared" ref="T836:AN836" si="2002">T816+T796</f>
        <v>6908</v>
      </c>
      <c r="U836" s="406">
        <f t="shared" si="2002"/>
        <v>7152</v>
      </c>
      <c r="V836" s="820">
        <f t="shared" si="2002"/>
        <v>7152</v>
      </c>
      <c r="W836" s="398">
        <f t="shared" si="2002"/>
        <v>7152</v>
      </c>
      <c r="X836" s="406">
        <f t="shared" si="2002"/>
        <v>7402</v>
      </c>
      <c r="Y836" s="406">
        <f t="shared" si="2002"/>
        <v>7645</v>
      </c>
      <c r="Z836" s="406">
        <f t="shared" si="2002"/>
        <v>7592</v>
      </c>
      <c r="AA836" s="406">
        <f t="shared" si="2002"/>
        <v>7657</v>
      </c>
      <c r="AB836" s="398">
        <f t="shared" si="2002"/>
        <v>7657</v>
      </c>
      <c r="AC836" s="406">
        <f t="shared" si="2002"/>
        <v>8085</v>
      </c>
      <c r="AD836" s="406">
        <f t="shared" si="2002"/>
        <v>8101</v>
      </c>
      <c r="AE836" s="406">
        <f t="shared" si="2002"/>
        <v>8101</v>
      </c>
      <c r="AF836" s="820">
        <f t="shared" si="2002"/>
        <v>8101</v>
      </c>
      <c r="AG836" s="398">
        <f t="shared" si="2002"/>
        <v>8101</v>
      </c>
      <c r="AH836" s="406">
        <f t="shared" si="2002"/>
        <v>8101</v>
      </c>
      <c r="AI836" s="406">
        <f t="shared" si="2002"/>
        <v>8101</v>
      </c>
      <c r="AJ836" s="406">
        <f t="shared" ref="AJ836:AL836" si="2003">AJ816+AJ796</f>
        <v>8101</v>
      </c>
      <c r="AK836" s="820">
        <f t="shared" si="2003"/>
        <v>8101</v>
      </c>
      <c r="AL836" s="398">
        <f t="shared" si="2003"/>
        <v>8101</v>
      </c>
      <c r="AM836" s="398">
        <f t="shared" si="2002"/>
        <v>8101</v>
      </c>
      <c r="AN836" s="398">
        <f t="shared" si="2002"/>
        <v>8101</v>
      </c>
    </row>
    <row r="837" spans="1:41">
      <c r="A837" s="485" t="s">
        <v>2068</v>
      </c>
      <c r="B837" s="1034">
        <f t="shared" ref="B837:R837" si="2004">B836+B834+B814+B794</f>
        <v>609634</v>
      </c>
      <c r="C837" s="476">
        <f t="shared" si="2004"/>
        <v>633238</v>
      </c>
      <c r="D837" s="1034">
        <f t="shared" si="2004"/>
        <v>636931</v>
      </c>
      <c r="E837" s="475">
        <f t="shared" si="2004"/>
        <v>642383</v>
      </c>
      <c r="F837" s="475">
        <f t="shared" si="2004"/>
        <v>645654</v>
      </c>
      <c r="G837" s="822">
        <f t="shared" si="2004"/>
        <v>652957</v>
      </c>
      <c r="H837" s="822">
        <f t="shared" si="2004"/>
        <v>652957</v>
      </c>
      <c r="I837" s="1034">
        <f t="shared" si="2004"/>
        <v>657618</v>
      </c>
      <c r="J837" s="475">
        <f t="shared" si="2004"/>
        <v>665667</v>
      </c>
      <c r="K837" s="475">
        <f t="shared" si="2004"/>
        <v>671926</v>
      </c>
      <c r="L837" s="822">
        <f t="shared" si="2004"/>
        <v>678630</v>
      </c>
      <c r="M837" s="822">
        <f t="shared" si="2004"/>
        <v>678630</v>
      </c>
      <c r="N837" s="1034">
        <f t="shared" si="2004"/>
        <v>686790</v>
      </c>
      <c r="O837" s="475">
        <f t="shared" si="2004"/>
        <v>693980</v>
      </c>
      <c r="P837" s="475">
        <f t="shared" si="2004"/>
        <v>705196</v>
      </c>
      <c r="Q837" s="822">
        <f t="shared" si="2004"/>
        <v>715062</v>
      </c>
      <c r="R837" s="476">
        <f t="shared" si="2004"/>
        <v>715062</v>
      </c>
      <c r="S837" s="475">
        <f t="shared" ref="S837:AA837" si="2005">S836+S834+S814+S794</f>
        <v>720701</v>
      </c>
      <c r="T837" s="475">
        <f t="shared" si="2005"/>
        <v>731851</v>
      </c>
      <c r="U837" s="475">
        <f t="shared" si="2005"/>
        <v>745074</v>
      </c>
      <c r="V837" s="822">
        <f t="shared" si="2005"/>
        <v>758502</v>
      </c>
      <c r="W837" s="476">
        <f t="shared" si="2005"/>
        <v>758502</v>
      </c>
      <c r="X837" s="475">
        <f t="shared" si="2005"/>
        <v>764748</v>
      </c>
      <c r="Y837" s="475">
        <f t="shared" si="2005"/>
        <v>775866</v>
      </c>
      <c r="Z837" s="475">
        <f t="shared" si="2005"/>
        <v>788864</v>
      </c>
      <c r="AA837" s="475">
        <f t="shared" si="2005"/>
        <v>804097</v>
      </c>
      <c r="AB837" s="476">
        <f>AB836+AB834+AB814+AB794</f>
        <v>804097</v>
      </c>
      <c r="AC837" s="3668">
        <f>AC772+AC701+AC630+AC559+AC488</f>
        <v>812341</v>
      </c>
      <c r="AD837" s="3668">
        <f>AD772+AD701+AD630+AD559+AD488</f>
        <v>825747</v>
      </c>
      <c r="AE837" s="475">
        <f t="shared" ref="AE837:AN837" si="2006">AE836+AE834+AE814+AE794</f>
        <v>837692</v>
      </c>
      <c r="AF837" s="822">
        <f t="shared" si="2006"/>
        <v>856115</v>
      </c>
      <c r="AG837" s="476">
        <f t="shared" si="2006"/>
        <v>856115</v>
      </c>
      <c r="AH837" s="475">
        <f t="shared" si="2006"/>
        <v>866067.49399999995</v>
      </c>
      <c r="AI837" s="475">
        <f t="shared" si="2006"/>
        <v>879624.53299400001</v>
      </c>
      <c r="AJ837" s="475">
        <f t="shared" ref="AJ837:AL837" si="2007">AJ836+AJ834+AJ814+AJ794</f>
        <v>893751.70950868994</v>
      </c>
      <c r="AK837" s="822">
        <f t="shared" si="2007"/>
        <v>910031.19499636116</v>
      </c>
      <c r="AL837" s="476">
        <f t="shared" si="2007"/>
        <v>910031.19499636116</v>
      </c>
      <c r="AM837" s="476">
        <f t="shared" si="2006"/>
        <v>962741.37989953847</v>
      </c>
      <c r="AN837" s="476">
        <f t="shared" si="2006"/>
        <v>1006862.2175990723</v>
      </c>
    </row>
    <row r="838" spans="1:41">
      <c r="A838" s="478" t="s">
        <v>598</v>
      </c>
      <c r="B838" s="1035"/>
      <c r="C838" s="480">
        <f>C837-B837</f>
        <v>23604</v>
      </c>
      <c r="D838" s="1035"/>
      <c r="E838" s="479"/>
      <c r="F838" s="479"/>
      <c r="G838" s="1040"/>
      <c r="H838" s="1040">
        <f t="shared" ref="H838:R838" si="2008">H837-C837</f>
        <v>19719</v>
      </c>
      <c r="I838" s="1035">
        <f t="shared" si="2008"/>
        <v>20687</v>
      </c>
      <c r="J838" s="479">
        <f t="shared" si="2008"/>
        <v>23284</v>
      </c>
      <c r="K838" s="479">
        <f t="shared" si="2008"/>
        <v>26272</v>
      </c>
      <c r="L838" s="1040">
        <f t="shared" si="2008"/>
        <v>25673</v>
      </c>
      <c r="M838" s="1040">
        <f>M837-H837</f>
        <v>25673</v>
      </c>
      <c r="N838" s="1035">
        <f t="shared" si="2008"/>
        <v>29172</v>
      </c>
      <c r="O838" s="479">
        <f t="shared" si="2008"/>
        <v>28313</v>
      </c>
      <c r="P838" s="479">
        <f t="shared" si="2008"/>
        <v>33270</v>
      </c>
      <c r="Q838" s="479">
        <f t="shared" si="2008"/>
        <v>36432</v>
      </c>
      <c r="R838" s="480">
        <f t="shared" si="2008"/>
        <v>36432</v>
      </c>
      <c r="S838" s="479">
        <f t="shared" ref="S838:AB838" si="2009">S837-N837</f>
        <v>33911</v>
      </c>
      <c r="T838" s="479">
        <f t="shared" si="2009"/>
        <v>37871</v>
      </c>
      <c r="U838" s="479">
        <f t="shared" si="2009"/>
        <v>39878</v>
      </c>
      <c r="V838" s="479">
        <f t="shared" si="2009"/>
        <v>43440</v>
      </c>
      <c r="W838" s="480">
        <f t="shared" si="2009"/>
        <v>43440</v>
      </c>
      <c r="X838" s="479">
        <f t="shared" si="2009"/>
        <v>44047</v>
      </c>
      <c r="Y838" s="479">
        <f t="shared" si="2009"/>
        <v>44015</v>
      </c>
      <c r="Z838" s="479">
        <f t="shared" si="2009"/>
        <v>43790</v>
      </c>
      <c r="AA838" s="479">
        <f t="shared" si="2009"/>
        <v>45595</v>
      </c>
      <c r="AB838" s="480">
        <f t="shared" si="2009"/>
        <v>45595</v>
      </c>
      <c r="AC838" s="479">
        <f>AC837-X837</f>
        <v>47593</v>
      </c>
      <c r="AD838" s="479">
        <f>AD837-Y837</f>
        <v>49881</v>
      </c>
      <c r="AE838" s="479">
        <f>AE837-Z837</f>
        <v>48828</v>
      </c>
      <c r="AF838" s="479">
        <f>AF837-AA837</f>
        <v>52018</v>
      </c>
      <c r="AG838" s="480">
        <f>AG837-AB837</f>
        <v>52018</v>
      </c>
      <c r="AH838" s="479">
        <f t="shared" ref="AH838:AI838" si="2010">AH837-AC837</f>
        <v>53726.493999999948</v>
      </c>
      <c r="AI838" s="479">
        <f t="shared" si="2010"/>
        <v>53877.532994000008</v>
      </c>
      <c r="AJ838" s="479">
        <f>AJ837-AE837</f>
        <v>56059.709508689935</v>
      </c>
      <c r="AK838" s="479">
        <f>AK837-AF837</f>
        <v>53916.194996361155</v>
      </c>
      <c r="AL838" s="480">
        <f>AL837-AG837</f>
        <v>53916.194996361155</v>
      </c>
      <c r="AM838" s="480">
        <f>AM837-AL837</f>
        <v>52710.184903177316</v>
      </c>
      <c r="AN838" s="480">
        <f>AN837-AM837</f>
        <v>44120.837699533789</v>
      </c>
    </row>
    <row r="839" spans="1:41">
      <c r="A839" s="477" t="s">
        <v>1423</v>
      </c>
      <c r="B839" s="1036"/>
      <c r="C839" s="445">
        <f>C838/B837</f>
        <v>3.8718312954986109E-2</v>
      </c>
      <c r="D839" s="1036"/>
      <c r="E839" s="437"/>
      <c r="F839" s="437"/>
      <c r="G839" s="589"/>
      <c r="H839" s="589">
        <f t="shared" ref="H839:R839" si="2011">H838/C837</f>
        <v>3.1139950539923376E-2</v>
      </c>
      <c r="I839" s="1036">
        <f t="shared" si="2011"/>
        <v>3.2479185343467346E-2</v>
      </c>
      <c r="J839" s="437">
        <f t="shared" si="2011"/>
        <v>3.6246289207528842E-2</v>
      </c>
      <c r="K839" s="437">
        <f t="shared" si="2011"/>
        <v>4.0690524646327601E-2</v>
      </c>
      <c r="L839" s="589">
        <f t="shared" si="2011"/>
        <v>3.9318056166026245E-2</v>
      </c>
      <c r="M839" s="589">
        <f>M838/H837</f>
        <v>3.9318056166026245E-2</v>
      </c>
      <c r="N839" s="1036">
        <f t="shared" si="2011"/>
        <v>4.4360099632309337E-2</v>
      </c>
      <c r="O839" s="481">
        <f t="shared" si="2011"/>
        <v>4.2533278651337679E-2</v>
      </c>
      <c r="P839" s="481">
        <f t="shared" si="2011"/>
        <v>4.9514381047913017E-2</v>
      </c>
      <c r="Q839" s="481">
        <f t="shared" si="2011"/>
        <v>5.3684629326731799E-2</v>
      </c>
      <c r="R839" s="445">
        <f t="shared" si="2011"/>
        <v>5.3684629326731799E-2</v>
      </c>
      <c r="S839" s="481">
        <f t="shared" ref="S839:AB839" si="2012">S838/N837</f>
        <v>4.9376082936559935E-2</v>
      </c>
      <c r="T839" s="481">
        <f t="shared" si="2012"/>
        <v>5.4570736908844633E-2</v>
      </c>
      <c r="U839" s="481">
        <f t="shared" si="2012"/>
        <v>5.6548817633679145E-2</v>
      </c>
      <c r="V839" s="481">
        <f t="shared" si="2012"/>
        <v>6.0749976925077824E-2</v>
      </c>
      <c r="W839" s="445">
        <f t="shared" si="2012"/>
        <v>6.0749976925077824E-2</v>
      </c>
      <c r="X839" s="481">
        <f t="shared" si="2012"/>
        <v>6.1116884810760636E-2</v>
      </c>
      <c r="Y839" s="481">
        <f t="shared" si="2012"/>
        <v>6.0142023444662913E-2</v>
      </c>
      <c r="Z839" s="481">
        <f t="shared" si="2012"/>
        <v>5.8772685666121753E-2</v>
      </c>
      <c r="AA839" s="481">
        <f t="shared" si="2012"/>
        <v>6.0111904780738877E-2</v>
      </c>
      <c r="AB839" s="445">
        <f t="shared" si="2012"/>
        <v>6.0111904780738877E-2</v>
      </c>
      <c r="AC839" s="481">
        <f>AC838/X837</f>
        <v>6.2233572366321981E-2</v>
      </c>
      <c r="AD839" s="481">
        <f>AD838/Y837</f>
        <v>6.4290740926912643E-2</v>
      </c>
      <c r="AE839" s="481">
        <f>AE838/Z837</f>
        <v>6.1896600681486287E-2</v>
      </c>
      <c r="AF839" s="481">
        <f>AF838/AA837</f>
        <v>6.469120019102173E-2</v>
      </c>
      <c r="AG839" s="445">
        <f>AG838/AB837</f>
        <v>6.469120019102173E-2</v>
      </c>
      <c r="AH839" s="481">
        <f t="shared" ref="AH839:AI839" si="2013">AH838/AC837</f>
        <v>6.6137858362436394E-2</v>
      </c>
      <c r="AI839" s="481">
        <f t="shared" si="2013"/>
        <v>6.5247022385791303E-2</v>
      </c>
      <c r="AJ839" s="481">
        <f>AJ838/AE837</f>
        <v>6.6921624545405636E-2</v>
      </c>
      <c r="AK839" s="481">
        <f>AK838/AF837</f>
        <v>6.2977748312272486E-2</v>
      </c>
      <c r="AL839" s="445">
        <f>AL838/AG837</f>
        <v>6.2977748312272486E-2</v>
      </c>
      <c r="AM839" s="445">
        <f>AM838/AL837</f>
        <v>5.7921294558905843E-2</v>
      </c>
      <c r="AN839" s="445">
        <f>AN838/AM837</f>
        <v>4.5828338347872588E-2</v>
      </c>
    </row>
    <row r="840" spans="1:41">
      <c r="A840" s="3775" t="s">
        <v>1167</v>
      </c>
      <c r="B840" s="405"/>
      <c r="C840" s="405"/>
      <c r="D840" s="405"/>
      <c r="E840" s="405"/>
      <c r="F840" s="405"/>
      <c r="G840" s="405"/>
      <c r="H840" s="405"/>
      <c r="I840" s="405"/>
      <c r="J840" s="405"/>
      <c r="K840" s="405"/>
      <c r="L840" s="405"/>
      <c r="M840" s="405"/>
      <c r="N840" s="405"/>
      <c r="O840" s="405"/>
      <c r="P840" s="405"/>
      <c r="Q840" s="405"/>
      <c r="R840" s="405"/>
      <c r="S840" s="405"/>
      <c r="T840" s="405"/>
      <c r="U840" s="405"/>
      <c r="V840" s="405"/>
      <c r="W840" s="405"/>
      <c r="X840" s="405"/>
      <c r="Y840" s="405"/>
      <c r="Z840" s="405"/>
      <c r="AA840" s="405"/>
      <c r="AB840" s="405"/>
      <c r="AC840" s="3774">
        <f t="shared" ref="AC840:AN840" si="2014">+AC834+AC817+AC797</f>
        <v>811591.8740000003</v>
      </c>
      <c r="AD840" s="3774">
        <f t="shared" si="2014"/>
        <v>825746.99999999977</v>
      </c>
      <c r="AE840" s="3774">
        <f t="shared" si="2014"/>
        <v>837692</v>
      </c>
      <c r="AF840" s="3774">
        <f>+AF834+AF817+AF797</f>
        <v>856115</v>
      </c>
      <c r="AG840" s="3774">
        <f t="shared" si="2014"/>
        <v>856115</v>
      </c>
      <c r="AH840" s="3774">
        <f t="shared" si="2014"/>
        <v>866067.49399999995</v>
      </c>
      <c r="AI840" s="3774">
        <f t="shared" si="2014"/>
        <v>879624.53299400001</v>
      </c>
      <c r="AJ840" s="3774">
        <f t="shared" ref="AJ840:AL840" si="2015">+AJ834+AJ817+AJ797</f>
        <v>893751.70950868994</v>
      </c>
      <c r="AK840" s="3774">
        <f t="shared" si="2015"/>
        <v>910031.19499636116</v>
      </c>
      <c r="AL840" s="3774">
        <f t="shared" si="2015"/>
        <v>910031.19499636116</v>
      </c>
      <c r="AM840" s="3774">
        <f t="shared" si="2014"/>
        <v>962741.37989953847</v>
      </c>
      <c r="AN840" s="3774">
        <f t="shared" si="2014"/>
        <v>1006862.2175990723</v>
      </c>
      <c r="AO840" s="15"/>
    </row>
    <row r="841" spans="1:41">
      <c r="A841" s="296"/>
      <c r="B841" s="405"/>
      <c r="C841" s="405"/>
      <c r="D841" s="405"/>
      <c r="E841" s="405"/>
      <c r="F841" s="405"/>
      <c r="G841" s="405"/>
      <c r="H841" s="405"/>
      <c r="I841" s="405"/>
      <c r="J841" s="405"/>
      <c r="K841" s="405"/>
      <c r="L841" s="405"/>
      <c r="M841" s="405"/>
      <c r="N841" s="405"/>
      <c r="O841" s="405"/>
      <c r="P841" s="405"/>
      <c r="Q841" s="405"/>
      <c r="R841" s="405"/>
      <c r="S841" s="405"/>
      <c r="T841" s="405"/>
      <c r="U841" s="405"/>
      <c r="V841" s="405"/>
      <c r="W841" s="3798">
        <f>W863/(W837-W836)*100</f>
        <v>7.9141545218606506</v>
      </c>
      <c r="X841" s="405"/>
      <c r="Y841" s="405"/>
      <c r="Z841" s="405"/>
      <c r="AA841" s="405"/>
      <c r="AB841" s="3798"/>
      <c r="AC841" s="405"/>
      <c r="AD841" s="405"/>
      <c r="AE841" s="405"/>
      <c r="AF841" s="405"/>
      <c r="AG841" s="405"/>
      <c r="AH841" s="405"/>
      <c r="AI841" s="405"/>
      <c r="AJ841" s="405"/>
      <c r="AK841" s="405"/>
      <c r="AL841" s="405"/>
      <c r="AM841" s="405"/>
      <c r="AN841" s="405"/>
      <c r="AO841" s="15"/>
    </row>
    <row r="842" spans="1:41" s="12" customFormat="1">
      <c r="A842" s="461" t="s">
        <v>1766</v>
      </c>
      <c r="B842" s="774" t="str">
        <f>B777</f>
        <v>2010</v>
      </c>
      <c r="C842" s="774" t="str">
        <f t="shared" ref="C842:AA842" si="2016">C777</f>
        <v>2011</v>
      </c>
      <c r="D842" s="773" t="str">
        <f t="shared" si="2016"/>
        <v>1Q12</v>
      </c>
      <c r="E842" s="773" t="str">
        <f t="shared" si="2016"/>
        <v>2Q12</v>
      </c>
      <c r="F842" s="773" t="str">
        <f t="shared" si="2016"/>
        <v>3Q12</v>
      </c>
      <c r="G842" s="773" t="str">
        <f t="shared" si="2016"/>
        <v>4Q12</v>
      </c>
      <c r="H842" s="774">
        <f t="shared" si="2016"/>
        <v>2012</v>
      </c>
      <c r="I842" s="773" t="str">
        <f t="shared" si="2016"/>
        <v>1Q13</v>
      </c>
      <c r="J842" s="773" t="str">
        <f t="shared" si="2016"/>
        <v>2Q13</v>
      </c>
      <c r="K842" s="773" t="str">
        <f t="shared" si="2016"/>
        <v>3Q13</v>
      </c>
      <c r="L842" s="773" t="str">
        <f>L777</f>
        <v>4Q13</v>
      </c>
      <c r="M842" s="774">
        <f>M777</f>
        <v>2013</v>
      </c>
      <c r="N842" s="773" t="str">
        <f t="shared" si="2016"/>
        <v>1Q14</v>
      </c>
      <c r="O842" s="773" t="str">
        <f t="shared" si="2016"/>
        <v>2Q14</v>
      </c>
      <c r="P842" s="773" t="str">
        <f t="shared" si="2016"/>
        <v>3Q14</v>
      </c>
      <c r="Q842" s="773" t="str">
        <f t="shared" si="2016"/>
        <v>4Q14</v>
      </c>
      <c r="R842" s="774">
        <f t="shared" si="2016"/>
        <v>2014</v>
      </c>
      <c r="S842" s="773" t="str">
        <f t="shared" si="2016"/>
        <v>1Q15</v>
      </c>
      <c r="T842" s="773" t="str">
        <f t="shared" si="2016"/>
        <v>2Q15</v>
      </c>
      <c r="U842" s="773" t="str">
        <f t="shared" si="2016"/>
        <v>3Q15</v>
      </c>
      <c r="V842" s="773" t="str">
        <f t="shared" si="2016"/>
        <v>4Q15</v>
      </c>
      <c r="W842" s="774">
        <f t="shared" si="2016"/>
        <v>2015</v>
      </c>
      <c r="X842" s="773" t="str">
        <f t="shared" si="2016"/>
        <v>1Q16</v>
      </c>
      <c r="Y842" s="773" t="str">
        <f t="shared" si="2016"/>
        <v>2Q16</v>
      </c>
      <c r="Z842" s="773" t="str">
        <f t="shared" si="2016"/>
        <v>3Q16</v>
      </c>
      <c r="AA842" s="773" t="str">
        <f t="shared" si="2016"/>
        <v>4Q16</v>
      </c>
      <c r="AB842" s="774">
        <f t="shared" ref="AB842:AN842" si="2017">AB777</f>
        <v>2016</v>
      </c>
      <c r="AC842" s="773" t="str">
        <f t="shared" si="2017"/>
        <v>1Q17</v>
      </c>
      <c r="AD842" s="773" t="str">
        <f t="shared" si="2017"/>
        <v>2Q17</v>
      </c>
      <c r="AE842" s="773" t="str">
        <f t="shared" si="2017"/>
        <v>3Q17</v>
      </c>
      <c r="AF842" s="773" t="str">
        <f t="shared" si="2017"/>
        <v>4Q17A</v>
      </c>
      <c r="AG842" s="776" t="str">
        <f t="shared" si="2017"/>
        <v>2017A</v>
      </c>
      <c r="AH842" s="773" t="str">
        <f t="shared" ref="AH842:AK842" si="2018">AH777</f>
        <v>1Q18E</v>
      </c>
      <c r="AI842" s="773" t="str">
        <f t="shared" si="2018"/>
        <v>2Q18E</v>
      </c>
      <c r="AJ842" s="773" t="str">
        <f t="shared" si="2018"/>
        <v>3Q18E</v>
      </c>
      <c r="AK842" s="773" t="str">
        <f t="shared" si="2018"/>
        <v>4Q18E</v>
      </c>
      <c r="AL842" s="776" t="str">
        <f t="shared" si="2017"/>
        <v>2018E</v>
      </c>
      <c r="AM842" s="776" t="str">
        <f t="shared" si="2017"/>
        <v>2019E</v>
      </c>
      <c r="AN842" s="776" t="str">
        <f t="shared" si="2017"/>
        <v>2020E</v>
      </c>
    </row>
    <row r="843" spans="1:41">
      <c r="A843" s="394"/>
      <c r="B843" s="138"/>
      <c r="C843" s="138"/>
      <c r="D843" s="135"/>
      <c r="E843" s="135"/>
      <c r="F843" s="135"/>
      <c r="G843" s="135"/>
      <c r="H843" s="138"/>
      <c r="I843" s="135"/>
      <c r="J843" s="135"/>
      <c r="K843" s="135"/>
      <c r="L843" s="135"/>
      <c r="M843" s="138"/>
      <c r="N843" s="135"/>
      <c r="O843" s="135"/>
      <c r="P843" s="135"/>
      <c r="Q843" s="135"/>
      <c r="R843" s="138"/>
      <c r="S843" s="135"/>
      <c r="T843" s="135"/>
      <c r="U843" s="135"/>
      <c r="V843" s="452"/>
      <c r="W843" s="452"/>
      <c r="X843" s="135"/>
      <c r="Y843" s="135"/>
      <c r="Z843" s="135"/>
      <c r="AA843" s="135"/>
      <c r="AB843" s="138"/>
      <c r="AC843" s="135"/>
      <c r="AD843" s="135"/>
      <c r="AE843" s="135"/>
      <c r="AF843" s="452"/>
      <c r="AG843" s="452"/>
      <c r="AH843" s="135"/>
      <c r="AI843" s="135"/>
      <c r="AJ843" s="135"/>
      <c r="AK843" s="452"/>
      <c r="AL843" s="452"/>
      <c r="AM843" s="452"/>
      <c r="AN843" s="452"/>
    </row>
    <row r="844" spans="1:41">
      <c r="A844" s="482" t="s">
        <v>243</v>
      </c>
      <c r="B844" s="138"/>
      <c r="C844" s="138"/>
      <c r="D844" s="135"/>
      <c r="E844" s="135"/>
      <c r="F844" s="135"/>
      <c r="G844" s="135"/>
      <c r="H844" s="138"/>
      <c r="I844" s="135"/>
      <c r="J844" s="135"/>
      <c r="K844" s="135"/>
      <c r="L844" s="135"/>
      <c r="M844" s="138"/>
      <c r="N844" s="135"/>
      <c r="O844" s="135"/>
      <c r="P844" s="135"/>
      <c r="Q844" s="135"/>
      <c r="R844" s="138"/>
      <c r="S844" s="135"/>
      <c r="T844" s="135"/>
      <c r="U844" s="135"/>
      <c r="V844" s="452"/>
      <c r="W844" s="452"/>
      <c r="X844" s="135"/>
      <c r="Y844" s="135"/>
      <c r="Z844" s="135"/>
      <c r="AA844" s="135"/>
      <c r="AB844" s="138"/>
      <c r="AC844" s="135"/>
      <c r="AD844" s="135"/>
      <c r="AE844" s="135"/>
      <c r="AF844" s="452"/>
      <c r="AG844" s="452"/>
      <c r="AH844" s="135"/>
      <c r="AI844" s="135"/>
      <c r="AJ844" s="135"/>
      <c r="AK844" s="452"/>
      <c r="AL844" s="452"/>
      <c r="AM844" s="452"/>
      <c r="AN844" s="452"/>
    </row>
    <row r="845" spans="1:41">
      <c r="A845" s="394" t="s">
        <v>1270</v>
      </c>
      <c r="B845" s="452">
        <f t="shared" ref="B845:AN845" si="2019">B425+B426</f>
        <v>1413</v>
      </c>
      <c r="C845" s="138">
        <f t="shared" si="2019"/>
        <v>1413</v>
      </c>
      <c r="D845" s="135">
        <f t="shared" si="2019"/>
        <v>1601</v>
      </c>
      <c r="E845" s="135">
        <f t="shared" si="2019"/>
        <v>1601</v>
      </c>
      <c r="F845" s="135">
        <f t="shared" si="2019"/>
        <v>1601</v>
      </c>
      <c r="G845" s="135">
        <f t="shared" si="2019"/>
        <v>1601</v>
      </c>
      <c r="H845" s="138">
        <f t="shared" si="2019"/>
        <v>1601</v>
      </c>
      <c r="I845" s="135">
        <f t="shared" si="2019"/>
        <v>1601</v>
      </c>
      <c r="J845" s="135">
        <f t="shared" si="2019"/>
        <v>1601</v>
      </c>
      <c r="K845" s="135">
        <f t="shared" si="2019"/>
        <v>1601</v>
      </c>
      <c r="L845" s="135">
        <f t="shared" si="2019"/>
        <v>1601</v>
      </c>
      <c r="M845" s="138">
        <f t="shared" si="2019"/>
        <v>1601</v>
      </c>
      <c r="N845" s="135">
        <f t="shared" si="2019"/>
        <v>1601</v>
      </c>
      <c r="O845" s="135">
        <f t="shared" si="2019"/>
        <v>1601</v>
      </c>
      <c r="P845" s="135">
        <f t="shared" si="2019"/>
        <v>1602</v>
      </c>
      <c r="Q845" s="135">
        <f t="shared" si="2019"/>
        <v>1602</v>
      </c>
      <c r="R845" s="138">
        <f t="shared" si="2019"/>
        <v>1602</v>
      </c>
      <c r="S845" s="135">
        <f t="shared" si="2019"/>
        <v>1148</v>
      </c>
      <c r="T845" s="135">
        <f t="shared" si="2019"/>
        <v>1148</v>
      </c>
      <c r="U845" s="135">
        <f t="shared" si="2019"/>
        <v>1148</v>
      </c>
      <c r="V845" s="135">
        <f t="shared" si="2019"/>
        <v>1148</v>
      </c>
      <c r="W845" s="138">
        <f t="shared" si="2019"/>
        <v>1148</v>
      </c>
      <c r="X845" s="135">
        <f t="shared" si="2019"/>
        <v>1148</v>
      </c>
      <c r="Y845" s="135">
        <f t="shared" si="2019"/>
        <v>1174</v>
      </c>
      <c r="Z845" s="135">
        <f t="shared" si="2019"/>
        <v>1174</v>
      </c>
      <c r="AA845" s="135">
        <f t="shared" si="2019"/>
        <v>1174</v>
      </c>
      <c r="AB845" s="138">
        <f t="shared" si="2019"/>
        <v>1174</v>
      </c>
      <c r="AC845" s="135">
        <f t="shared" si="2019"/>
        <v>215</v>
      </c>
      <c r="AD845" s="135">
        <f t="shared" si="2019"/>
        <v>215</v>
      </c>
      <c r="AE845" s="135">
        <f t="shared" si="2019"/>
        <v>215</v>
      </c>
      <c r="AF845" s="135">
        <f t="shared" si="2019"/>
        <v>215</v>
      </c>
      <c r="AG845" s="138">
        <f t="shared" si="2019"/>
        <v>215</v>
      </c>
      <c r="AH845" s="135">
        <f t="shared" ref="AH845:AL845" si="2020">AH425+AH426</f>
        <v>215</v>
      </c>
      <c r="AI845" s="135">
        <f t="shared" si="2020"/>
        <v>215</v>
      </c>
      <c r="AJ845" s="135">
        <f t="shared" si="2020"/>
        <v>215</v>
      </c>
      <c r="AK845" s="135">
        <f t="shared" si="2020"/>
        <v>215</v>
      </c>
      <c r="AL845" s="138">
        <f t="shared" si="2020"/>
        <v>215</v>
      </c>
      <c r="AM845" s="452">
        <f t="shared" si="2019"/>
        <v>215</v>
      </c>
      <c r="AN845" s="452">
        <f t="shared" si="2019"/>
        <v>215</v>
      </c>
    </row>
    <row r="846" spans="1:41">
      <c r="A846" s="578" t="s">
        <v>1423</v>
      </c>
      <c r="B846" s="614"/>
      <c r="C846" s="655">
        <f>C845/B845-1</f>
        <v>0</v>
      </c>
      <c r="D846" s="611"/>
      <c r="E846" s="611"/>
      <c r="F846" s="611"/>
      <c r="G846" s="611"/>
      <c r="H846" s="455">
        <f t="shared" ref="H846:R846" si="2021">H845/C845-1</f>
        <v>0.13305024769992913</v>
      </c>
      <c r="I846" s="611">
        <f t="shared" si="2021"/>
        <v>0</v>
      </c>
      <c r="J846" s="611">
        <f t="shared" si="2021"/>
        <v>0</v>
      </c>
      <c r="K846" s="611">
        <f t="shared" si="2021"/>
        <v>0</v>
      </c>
      <c r="L846" s="611">
        <f t="shared" si="2021"/>
        <v>0</v>
      </c>
      <c r="M846" s="455">
        <f>M845/H845-1</f>
        <v>0</v>
      </c>
      <c r="N846" s="611">
        <f t="shared" si="2021"/>
        <v>0</v>
      </c>
      <c r="O846" s="611">
        <f t="shared" si="2021"/>
        <v>0</v>
      </c>
      <c r="P846" s="611">
        <f t="shared" si="2021"/>
        <v>6.2460961898813672E-4</v>
      </c>
      <c r="Q846" s="611">
        <f t="shared" si="2021"/>
        <v>6.2460961898813672E-4</v>
      </c>
      <c r="R846" s="455">
        <f t="shared" si="2021"/>
        <v>6.2460961898813672E-4</v>
      </c>
      <c r="S846" s="611">
        <f t="shared" ref="S846:AB846" si="2022">S845/N845-1</f>
        <v>-0.28294815740162393</v>
      </c>
      <c r="T846" s="611">
        <f t="shared" si="2022"/>
        <v>-0.28294815740162393</v>
      </c>
      <c r="U846" s="611">
        <f t="shared" si="2022"/>
        <v>-0.28339575530586769</v>
      </c>
      <c r="V846" s="611">
        <f t="shared" si="2022"/>
        <v>-0.28339575530586769</v>
      </c>
      <c r="W846" s="455">
        <f t="shared" si="2022"/>
        <v>-0.28339575530586769</v>
      </c>
      <c r="X846" s="611">
        <f t="shared" si="2022"/>
        <v>0</v>
      </c>
      <c r="Y846" s="611">
        <f t="shared" si="2022"/>
        <v>2.2648083623693305E-2</v>
      </c>
      <c r="Z846" s="611">
        <f t="shared" si="2022"/>
        <v>2.2648083623693305E-2</v>
      </c>
      <c r="AA846" s="611">
        <f t="shared" si="2022"/>
        <v>2.2648083623693305E-2</v>
      </c>
      <c r="AB846" s="455">
        <f t="shared" si="2022"/>
        <v>2.2648083623693305E-2</v>
      </c>
      <c r="AC846" s="611">
        <f>AC845/X845-1</f>
        <v>-0.81271777003484325</v>
      </c>
      <c r="AD846" s="611">
        <f>AD845/Y845-1</f>
        <v>-0.81686541737649065</v>
      </c>
      <c r="AE846" s="611">
        <f>AE845/Z845-1</f>
        <v>-0.81686541737649065</v>
      </c>
      <c r="AF846" s="611">
        <f>AF845/AA845-1</f>
        <v>-0.81686541737649065</v>
      </c>
      <c r="AG846" s="455">
        <f>AG845/AB845-1</f>
        <v>-0.81686541737649065</v>
      </c>
      <c r="AH846" s="611">
        <f t="shared" ref="AH846:AK846" si="2023">AH845/AC845-1</f>
        <v>0</v>
      </c>
      <c r="AI846" s="611">
        <f t="shared" si="2023"/>
        <v>0</v>
      </c>
      <c r="AJ846" s="611">
        <f t="shared" si="2023"/>
        <v>0</v>
      </c>
      <c r="AK846" s="611">
        <f t="shared" si="2023"/>
        <v>0</v>
      </c>
      <c r="AL846" s="455">
        <f>AL845/AG845-1</f>
        <v>0</v>
      </c>
      <c r="AM846" s="655">
        <f>AM845/AL845-1</f>
        <v>0</v>
      </c>
      <c r="AN846" s="655">
        <f>AN845/AM845-1</f>
        <v>0</v>
      </c>
    </row>
    <row r="847" spans="1:41">
      <c r="A847" s="578" t="s">
        <v>446</v>
      </c>
      <c r="B847" s="138"/>
      <c r="C847" s="138"/>
      <c r="D847" s="417">
        <f>D845/C845-1</f>
        <v>0.13305024769992913</v>
      </c>
      <c r="E847" s="417">
        <f>E845/D845-1</f>
        <v>0</v>
      </c>
      <c r="F847" s="417">
        <f>F845/E845-1</f>
        <v>0</v>
      </c>
      <c r="G847" s="417">
        <f>G845/F845-1</f>
        <v>0</v>
      </c>
      <c r="H847" s="455"/>
      <c r="I847" s="417">
        <f>I845/H845-1</f>
        <v>0</v>
      </c>
      <c r="J847" s="417">
        <f>J845/I845-1</f>
        <v>0</v>
      </c>
      <c r="K847" s="417">
        <f>K845/J845-1</f>
        <v>0</v>
      </c>
      <c r="L847" s="417">
        <f>L845/K845-1</f>
        <v>0</v>
      </c>
      <c r="M847" s="455"/>
      <c r="N847" s="417">
        <f>N845/M845-1</f>
        <v>0</v>
      </c>
      <c r="O847" s="417">
        <f>O845/N845-1</f>
        <v>0</v>
      </c>
      <c r="P847" s="417">
        <f>P845/O845-1</f>
        <v>6.2460961898813672E-4</v>
      </c>
      <c r="Q847" s="417">
        <f>Q845/P845-1</f>
        <v>0</v>
      </c>
      <c r="R847" s="455"/>
      <c r="S847" s="417">
        <f>S845/R845-1</f>
        <v>-0.28339575530586769</v>
      </c>
      <c r="T847" s="417">
        <f>T845/S845-1</f>
        <v>0</v>
      </c>
      <c r="U847" s="417">
        <f>U845/T845-1</f>
        <v>0</v>
      </c>
      <c r="V847" s="417">
        <f>V845/U845-1</f>
        <v>0</v>
      </c>
      <c r="W847" s="455"/>
      <c r="X847" s="417">
        <f>X845/W845-1</f>
        <v>0</v>
      </c>
      <c r="Y847" s="417">
        <f>Y845/X845-1</f>
        <v>2.2648083623693305E-2</v>
      </c>
      <c r="Z847" s="417">
        <f>Z845/Y845-1</f>
        <v>0</v>
      </c>
      <c r="AA847" s="417">
        <f>AA845/Z845-1</f>
        <v>0</v>
      </c>
      <c r="AB847" s="455"/>
      <c r="AC847" s="417">
        <f>AC845/AB845-1</f>
        <v>-0.81686541737649065</v>
      </c>
      <c r="AD847" s="417">
        <f>AD845/AC845-1</f>
        <v>0</v>
      </c>
      <c r="AE847" s="417">
        <f>AE845/AD845-1</f>
        <v>0</v>
      </c>
      <c r="AF847" s="417">
        <f>AF845/AE845-1</f>
        <v>0</v>
      </c>
      <c r="AG847" s="455"/>
      <c r="AH847" s="417">
        <f t="shared" ref="AH847:AK847" si="2024">AH845/AG845-1</f>
        <v>0</v>
      </c>
      <c r="AI847" s="417">
        <f t="shared" si="2024"/>
        <v>0</v>
      </c>
      <c r="AJ847" s="417">
        <f t="shared" si="2024"/>
        <v>0</v>
      </c>
      <c r="AK847" s="417">
        <f t="shared" si="2024"/>
        <v>0</v>
      </c>
      <c r="AL847" s="455"/>
      <c r="AM847" s="655"/>
      <c r="AN847" s="655"/>
    </row>
    <row r="848" spans="1:41">
      <c r="A848" s="394" t="s">
        <v>1767</v>
      </c>
      <c r="B848" s="452">
        <f t="shared" ref="B848:AN848" si="2025">B428+B430+B431+B429</f>
        <v>30487</v>
      </c>
      <c r="C848" s="138">
        <f t="shared" si="2025"/>
        <v>30331</v>
      </c>
      <c r="D848" s="135">
        <f t="shared" si="2025"/>
        <v>30331</v>
      </c>
      <c r="E848" s="135">
        <f t="shared" si="2025"/>
        <v>30329</v>
      </c>
      <c r="F848" s="135">
        <f t="shared" si="2025"/>
        <v>30360</v>
      </c>
      <c r="G848" s="135">
        <f t="shared" si="2025"/>
        <v>30361</v>
      </c>
      <c r="H848" s="138">
        <f t="shared" si="2025"/>
        <v>30361</v>
      </c>
      <c r="I848" s="135">
        <f t="shared" si="2025"/>
        <v>30361</v>
      </c>
      <c r="J848" s="135">
        <f t="shared" si="2025"/>
        <v>30357</v>
      </c>
      <c r="K848" s="135">
        <f t="shared" si="2025"/>
        <v>30113</v>
      </c>
      <c r="L848" s="135">
        <f t="shared" si="2025"/>
        <v>30113</v>
      </c>
      <c r="M848" s="138">
        <f t="shared" si="2025"/>
        <v>30113</v>
      </c>
      <c r="N848" s="135">
        <f t="shared" si="2025"/>
        <v>29792</v>
      </c>
      <c r="O848" s="135">
        <f t="shared" si="2025"/>
        <v>29310</v>
      </c>
      <c r="P848" s="135">
        <f t="shared" si="2025"/>
        <v>27901</v>
      </c>
      <c r="Q848" s="135">
        <f t="shared" si="2025"/>
        <v>27901</v>
      </c>
      <c r="R848" s="138">
        <f t="shared" si="2025"/>
        <v>27901</v>
      </c>
      <c r="S848" s="135">
        <f t="shared" si="2025"/>
        <v>29930</v>
      </c>
      <c r="T848" s="135">
        <f t="shared" si="2025"/>
        <v>30157</v>
      </c>
      <c r="U848" s="135">
        <f t="shared" si="2025"/>
        <v>30157</v>
      </c>
      <c r="V848" s="135">
        <f t="shared" si="2025"/>
        <v>30154</v>
      </c>
      <c r="W848" s="138">
        <f t="shared" si="2025"/>
        <v>30154</v>
      </c>
      <c r="X848" s="135">
        <f t="shared" si="2025"/>
        <v>30101</v>
      </c>
      <c r="Y848" s="135">
        <f t="shared" si="2025"/>
        <v>29979</v>
      </c>
      <c r="Z848" s="135">
        <f t="shared" si="2025"/>
        <v>29977</v>
      </c>
      <c r="AA848" s="135">
        <f t="shared" si="2025"/>
        <v>29808</v>
      </c>
      <c r="AB848" s="138">
        <f t="shared" si="2025"/>
        <v>29808</v>
      </c>
      <c r="AC848" s="135">
        <f t="shared" si="2025"/>
        <v>2</v>
      </c>
      <c r="AD848" s="135">
        <f t="shared" si="2025"/>
        <v>2</v>
      </c>
      <c r="AE848" s="135">
        <f t="shared" si="2025"/>
        <v>0</v>
      </c>
      <c r="AF848" s="135">
        <f t="shared" si="2025"/>
        <v>0</v>
      </c>
      <c r="AG848" s="138">
        <f t="shared" si="2025"/>
        <v>0</v>
      </c>
      <c r="AH848" s="135">
        <f t="shared" ref="AH848:AL848" si="2026">AH428+AH430+AH431+AH429</f>
        <v>0</v>
      </c>
      <c r="AI848" s="135">
        <f t="shared" si="2026"/>
        <v>0</v>
      </c>
      <c r="AJ848" s="135">
        <f t="shared" si="2026"/>
        <v>0</v>
      </c>
      <c r="AK848" s="135">
        <f t="shared" si="2026"/>
        <v>0</v>
      </c>
      <c r="AL848" s="138">
        <f t="shared" si="2026"/>
        <v>0</v>
      </c>
      <c r="AM848" s="452">
        <f t="shared" si="2025"/>
        <v>0</v>
      </c>
      <c r="AN848" s="452">
        <f t="shared" si="2025"/>
        <v>0</v>
      </c>
    </row>
    <row r="849" spans="1:40">
      <c r="A849" s="578" t="s">
        <v>1423</v>
      </c>
      <c r="B849" s="614"/>
      <c r="C849" s="655">
        <f>C848/B848-1</f>
        <v>-5.1169350870863273E-3</v>
      </c>
      <c r="D849" s="611"/>
      <c r="E849" s="611"/>
      <c r="F849" s="611"/>
      <c r="G849" s="611"/>
      <c r="H849" s="455">
        <f t="shared" ref="H849:R849" si="2027">H848/C848-1</f>
        <v>9.890870726319001E-4</v>
      </c>
      <c r="I849" s="611">
        <f t="shared" si="2027"/>
        <v>9.890870726319001E-4</v>
      </c>
      <c r="J849" s="611">
        <f t="shared" si="2027"/>
        <v>9.2320881004970268E-4</v>
      </c>
      <c r="K849" s="611">
        <f t="shared" si="2027"/>
        <v>-8.1357048748352812E-3</v>
      </c>
      <c r="L849" s="611">
        <f t="shared" si="2027"/>
        <v>-8.1683739007278877E-3</v>
      </c>
      <c r="M849" s="455">
        <f>M848/H848-1</f>
        <v>-8.1683739007278877E-3</v>
      </c>
      <c r="N849" s="611">
        <f t="shared" si="2027"/>
        <v>-1.8741148183524903E-2</v>
      </c>
      <c r="O849" s="611">
        <f t="shared" si="2027"/>
        <v>-3.4489574068583884E-2</v>
      </c>
      <c r="P849" s="611">
        <f t="shared" si="2027"/>
        <v>-7.3456646631023137E-2</v>
      </c>
      <c r="Q849" s="611">
        <f t="shared" si="2027"/>
        <v>-7.3456646631023137E-2</v>
      </c>
      <c r="R849" s="455">
        <f t="shared" si="2027"/>
        <v>-7.3456646631023137E-2</v>
      </c>
      <c r="S849" s="611">
        <f t="shared" ref="S849:AB849" si="2028">S848/N848-1</f>
        <v>4.6321160042963605E-3</v>
      </c>
      <c r="T849" s="611">
        <f t="shared" si="2028"/>
        <v>2.889798703514157E-2</v>
      </c>
      <c r="U849" s="611">
        <f t="shared" si="2028"/>
        <v>8.085731694204501E-2</v>
      </c>
      <c r="V849" s="611">
        <f t="shared" si="2028"/>
        <v>8.0749793914196566E-2</v>
      </c>
      <c r="W849" s="455">
        <f t="shared" si="2028"/>
        <v>8.0749793914196566E-2</v>
      </c>
      <c r="X849" s="611">
        <f t="shared" si="2028"/>
        <v>5.7133311059138769E-3</v>
      </c>
      <c r="Y849" s="611">
        <f t="shared" si="2028"/>
        <v>-5.9024438770434173E-3</v>
      </c>
      <c r="Z849" s="611">
        <f t="shared" si="2028"/>
        <v>-5.968763471167593E-3</v>
      </c>
      <c r="AA849" s="611">
        <f t="shared" si="2028"/>
        <v>-1.1474431252901818E-2</v>
      </c>
      <c r="AB849" s="455">
        <f t="shared" si="2028"/>
        <v>-1.1474431252901818E-2</v>
      </c>
      <c r="AC849" s="611"/>
      <c r="AD849" s="611"/>
      <c r="AE849" s="611"/>
      <c r="AF849" s="611"/>
      <c r="AG849" s="455"/>
      <c r="AH849" s="611"/>
      <c r="AI849" s="611"/>
      <c r="AJ849" s="611"/>
      <c r="AK849" s="611"/>
      <c r="AL849" s="455"/>
      <c r="AM849" s="655"/>
      <c r="AN849" s="655"/>
    </row>
    <row r="850" spans="1:40">
      <c r="A850" s="578" t="s">
        <v>446</v>
      </c>
      <c r="B850" s="138"/>
      <c r="C850" s="138"/>
      <c r="D850" s="417">
        <f>D848/C848-1</f>
        <v>0</v>
      </c>
      <c r="E850" s="417">
        <f>E848/D848-1</f>
        <v>-6.5939138175430401E-5</v>
      </c>
      <c r="F850" s="417">
        <f>F848/E848-1</f>
        <v>1.0221240396979248E-3</v>
      </c>
      <c r="G850" s="417">
        <f>G848/F848-1</f>
        <v>3.2938076416355599E-5</v>
      </c>
      <c r="H850" s="455"/>
      <c r="I850" s="417">
        <f>I848/H848-1</f>
        <v>0</v>
      </c>
      <c r="J850" s="417">
        <f>J848/I848-1</f>
        <v>-1.3174796614079387E-4</v>
      </c>
      <c r="K850" s="417">
        <f>K848/J848-1</f>
        <v>-8.0376848832229841E-3</v>
      </c>
      <c r="L850" s="417">
        <f>L848/K848-1</f>
        <v>0</v>
      </c>
      <c r="M850" s="455"/>
      <c r="N850" s="417">
        <f>N848/M848-1</f>
        <v>-1.0659847906219877E-2</v>
      </c>
      <c r="O850" s="417">
        <f>O848/N848-1</f>
        <v>-1.6178839957035396E-2</v>
      </c>
      <c r="P850" s="417">
        <f>P848/O848-1</f>
        <v>-4.8072330262708962E-2</v>
      </c>
      <c r="Q850" s="417">
        <f>Q848/P848-1</f>
        <v>0</v>
      </c>
      <c r="R850" s="455"/>
      <c r="S850" s="417">
        <f>S848/R848-1</f>
        <v>7.2721407834844598E-2</v>
      </c>
      <c r="T850" s="417">
        <f>T848/S848-1</f>
        <v>7.58436351486802E-3</v>
      </c>
      <c r="U850" s="417">
        <f>U848/T848-1</f>
        <v>0</v>
      </c>
      <c r="V850" s="417">
        <f>V848/U848-1</f>
        <v>-9.9479391186152455E-5</v>
      </c>
      <c r="W850" s="455"/>
      <c r="X850" s="417">
        <f>X848/W848-1</f>
        <v>-1.7576440936525328E-3</v>
      </c>
      <c r="Y850" s="417">
        <f>Y848/X848-1</f>
        <v>-4.0530214943025333E-3</v>
      </c>
      <c r="Z850" s="417">
        <f>Z848/Y848-1</f>
        <v>-6.6713366022930209E-5</v>
      </c>
      <c r="AA850" s="417">
        <f>AA848/Z848-1</f>
        <v>-5.6376555359108904E-3</v>
      </c>
      <c r="AB850" s="455"/>
      <c r="AC850" s="417"/>
      <c r="AD850" s="417"/>
      <c r="AE850" s="417"/>
      <c r="AF850" s="417"/>
      <c r="AG850" s="455"/>
      <c r="AH850" s="417"/>
      <c r="AI850" s="417"/>
      <c r="AJ850" s="417"/>
      <c r="AK850" s="417"/>
      <c r="AL850" s="455"/>
      <c r="AM850" s="655"/>
      <c r="AN850" s="655"/>
    </row>
    <row r="851" spans="1:40">
      <c r="A851" s="394" t="s">
        <v>1867</v>
      </c>
      <c r="B851" s="138">
        <f t="shared" ref="B851:AN851" si="2029">B432+B433+B434+B437</f>
        <v>420</v>
      </c>
      <c r="C851" s="138">
        <f t="shared" si="2029"/>
        <v>420</v>
      </c>
      <c r="D851" s="135">
        <f t="shared" si="2029"/>
        <v>420</v>
      </c>
      <c r="E851" s="135">
        <f t="shared" si="2029"/>
        <v>420</v>
      </c>
      <c r="F851" s="135">
        <f t="shared" si="2029"/>
        <v>420</v>
      </c>
      <c r="G851" s="135">
        <f t="shared" si="2029"/>
        <v>420</v>
      </c>
      <c r="H851" s="138">
        <f t="shared" si="2029"/>
        <v>420</v>
      </c>
      <c r="I851" s="135">
        <f t="shared" si="2029"/>
        <v>420</v>
      </c>
      <c r="J851" s="135">
        <f t="shared" si="2029"/>
        <v>420</v>
      </c>
      <c r="K851" s="135">
        <f t="shared" si="2029"/>
        <v>420</v>
      </c>
      <c r="L851" s="135">
        <f t="shared" si="2029"/>
        <v>420</v>
      </c>
      <c r="M851" s="138">
        <f t="shared" si="2029"/>
        <v>420</v>
      </c>
      <c r="N851" s="135">
        <f t="shared" si="2029"/>
        <v>420</v>
      </c>
      <c r="O851" s="135">
        <f t="shared" si="2029"/>
        <v>420</v>
      </c>
      <c r="P851" s="135">
        <f t="shared" si="2029"/>
        <v>420</v>
      </c>
      <c r="Q851" s="135">
        <f t="shared" si="2029"/>
        <v>420</v>
      </c>
      <c r="R851" s="138">
        <f t="shared" si="2029"/>
        <v>420</v>
      </c>
      <c r="S851" s="135">
        <f t="shared" si="2029"/>
        <v>420</v>
      </c>
      <c r="T851" s="135">
        <f t="shared" si="2029"/>
        <v>420</v>
      </c>
      <c r="U851" s="135">
        <f t="shared" si="2029"/>
        <v>420</v>
      </c>
      <c r="V851" s="135">
        <f t="shared" si="2029"/>
        <v>420</v>
      </c>
      <c r="W851" s="138">
        <f t="shared" si="2029"/>
        <v>420</v>
      </c>
      <c r="X851" s="135">
        <f t="shared" si="2029"/>
        <v>420</v>
      </c>
      <c r="Y851" s="135">
        <f t="shared" si="2029"/>
        <v>420</v>
      </c>
      <c r="Z851" s="135">
        <f t="shared" si="2029"/>
        <v>420</v>
      </c>
      <c r="AA851" s="135">
        <f t="shared" si="2029"/>
        <v>420</v>
      </c>
      <c r="AB851" s="138">
        <f t="shared" si="2029"/>
        <v>420</v>
      </c>
      <c r="AC851" s="135">
        <f t="shared" si="2029"/>
        <v>0</v>
      </c>
      <c r="AD851" s="135">
        <f t="shared" si="2029"/>
        <v>0</v>
      </c>
      <c r="AE851" s="135">
        <f t="shared" si="2029"/>
        <v>0</v>
      </c>
      <c r="AF851" s="135">
        <f t="shared" si="2029"/>
        <v>0</v>
      </c>
      <c r="AG851" s="138">
        <f t="shared" si="2029"/>
        <v>0</v>
      </c>
      <c r="AH851" s="135">
        <f t="shared" ref="AH851:AL851" si="2030">AH432+AH433+AH434+AH437</f>
        <v>0</v>
      </c>
      <c r="AI851" s="135">
        <f t="shared" si="2030"/>
        <v>0</v>
      </c>
      <c r="AJ851" s="135">
        <f t="shared" si="2030"/>
        <v>0</v>
      </c>
      <c r="AK851" s="135">
        <f t="shared" si="2030"/>
        <v>0</v>
      </c>
      <c r="AL851" s="138">
        <f t="shared" si="2030"/>
        <v>0</v>
      </c>
      <c r="AM851" s="452">
        <f t="shared" si="2029"/>
        <v>0</v>
      </c>
      <c r="AN851" s="452">
        <f t="shared" si="2029"/>
        <v>0</v>
      </c>
    </row>
    <row r="852" spans="1:40">
      <c r="A852" s="578" t="s">
        <v>1423</v>
      </c>
      <c r="B852" s="614"/>
      <c r="C852" s="655">
        <f>C851/B851-1</f>
        <v>0</v>
      </c>
      <c r="D852" s="611"/>
      <c r="E852" s="611"/>
      <c r="F852" s="611"/>
      <c r="G852" s="611"/>
      <c r="H852" s="455">
        <f t="shared" ref="H852:R852" si="2031">H851/C851-1</f>
        <v>0</v>
      </c>
      <c r="I852" s="611">
        <f t="shared" si="2031"/>
        <v>0</v>
      </c>
      <c r="J852" s="611">
        <f t="shared" si="2031"/>
        <v>0</v>
      </c>
      <c r="K852" s="611">
        <f t="shared" si="2031"/>
        <v>0</v>
      </c>
      <c r="L852" s="611">
        <f t="shared" si="2031"/>
        <v>0</v>
      </c>
      <c r="M852" s="455">
        <f>M851/H851-1</f>
        <v>0</v>
      </c>
      <c r="N852" s="611">
        <f t="shared" si="2031"/>
        <v>0</v>
      </c>
      <c r="O852" s="611">
        <f t="shared" si="2031"/>
        <v>0</v>
      </c>
      <c r="P852" s="611">
        <f t="shared" si="2031"/>
        <v>0</v>
      </c>
      <c r="Q852" s="611">
        <f t="shared" si="2031"/>
        <v>0</v>
      </c>
      <c r="R852" s="455">
        <f t="shared" si="2031"/>
        <v>0</v>
      </c>
      <c r="S852" s="611">
        <f t="shared" ref="S852:AB852" si="2032">S851/N851-1</f>
        <v>0</v>
      </c>
      <c r="T852" s="611">
        <f t="shared" si="2032"/>
        <v>0</v>
      </c>
      <c r="U852" s="611">
        <f t="shared" si="2032"/>
        <v>0</v>
      </c>
      <c r="V852" s="611">
        <f t="shared" si="2032"/>
        <v>0</v>
      </c>
      <c r="W852" s="455">
        <f t="shared" si="2032"/>
        <v>0</v>
      </c>
      <c r="X852" s="611">
        <f t="shared" si="2032"/>
        <v>0</v>
      </c>
      <c r="Y852" s="611">
        <f t="shared" si="2032"/>
        <v>0</v>
      </c>
      <c r="Z852" s="611">
        <f t="shared" si="2032"/>
        <v>0</v>
      </c>
      <c r="AA852" s="611">
        <f t="shared" si="2032"/>
        <v>0</v>
      </c>
      <c r="AB852" s="455">
        <f t="shared" si="2032"/>
        <v>0</v>
      </c>
      <c r="AC852" s="611"/>
      <c r="AD852" s="611"/>
      <c r="AE852" s="611"/>
      <c r="AF852" s="611"/>
      <c r="AG852" s="455"/>
      <c r="AH852" s="611"/>
      <c r="AI852" s="611"/>
      <c r="AJ852" s="611"/>
      <c r="AK852" s="611"/>
      <c r="AL852" s="455"/>
      <c r="AM852" s="655"/>
      <c r="AN852" s="655"/>
    </row>
    <row r="853" spans="1:40">
      <c r="A853" s="578" t="s">
        <v>446</v>
      </c>
      <c r="B853" s="138"/>
      <c r="C853" s="138"/>
      <c r="D853" s="417">
        <f>D851/C851-1</f>
        <v>0</v>
      </c>
      <c r="E853" s="417">
        <f>E851/D851-1</f>
        <v>0</v>
      </c>
      <c r="F853" s="417">
        <f>F851/E851-1</f>
        <v>0</v>
      </c>
      <c r="G853" s="417">
        <f>G851/F851-1</f>
        <v>0</v>
      </c>
      <c r="H853" s="455"/>
      <c r="I853" s="417">
        <f>I851/H851-1</f>
        <v>0</v>
      </c>
      <c r="J853" s="417">
        <f>J851/I851-1</f>
        <v>0</v>
      </c>
      <c r="K853" s="417">
        <f>K851/J851-1</f>
        <v>0</v>
      </c>
      <c r="L853" s="417">
        <f>L851/K851-1</f>
        <v>0</v>
      </c>
      <c r="M853" s="455"/>
      <c r="N853" s="417">
        <f>N851/M851-1</f>
        <v>0</v>
      </c>
      <c r="O853" s="417">
        <f>O851/N851-1</f>
        <v>0</v>
      </c>
      <c r="P853" s="417">
        <f>P851/O851-1</f>
        <v>0</v>
      </c>
      <c r="Q853" s="417">
        <f>Q851/P851-1</f>
        <v>0</v>
      </c>
      <c r="R853" s="455"/>
      <c r="S853" s="417">
        <f>S851/R851-1</f>
        <v>0</v>
      </c>
      <c r="T853" s="417">
        <f>T851/S851-1</f>
        <v>0</v>
      </c>
      <c r="U853" s="417">
        <f>U851/T851-1</f>
        <v>0</v>
      </c>
      <c r="V853" s="417">
        <f>V851/U851-1</f>
        <v>0</v>
      </c>
      <c r="W853" s="455"/>
      <c r="X853" s="417">
        <f>X851/W851-1</f>
        <v>0</v>
      </c>
      <c r="Y853" s="417">
        <f>Y851/X851-1</f>
        <v>0</v>
      </c>
      <c r="Z853" s="417">
        <f>Z851/Y851-1</f>
        <v>0</v>
      </c>
      <c r="AA853" s="417">
        <f>AA851/Z851-1</f>
        <v>0</v>
      </c>
      <c r="AB853" s="455"/>
      <c r="AC853" s="417"/>
      <c r="AD853" s="417"/>
      <c r="AE853" s="417"/>
      <c r="AF853" s="417"/>
      <c r="AG853" s="455"/>
      <c r="AH853" s="417"/>
      <c r="AI853" s="417"/>
      <c r="AJ853" s="417"/>
      <c r="AK853" s="417"/>
      <c r="AL853" s="455"/>
      <c r="AM853" s="655"/>
      <c r="AN853" s="655"/>
    </row>
    <row r="854" spans="1:40" s="130" customFormat="1">
      <c r="A854" s="394" t="s">
        <v>1588</v>
      </c>
      <c r="B854" s="138">
        <f>B796</f>
        <v>4853</v>
      </c>
      <c r="C854" s="138"/>
      <c r="D854" s="135"/>
      <c r="E854" s="135"/>
      <c r="F854" s="135"/>
      <c r="G854" s="135"/>
      <c r="H854" s="138"/>
      <c r="I854" s="135"/>
      <c r="J854" s="135"/>
      <c r="K854" s="135"/>
      <c r="L854" s="135"/>
      <c r="M854" s="138"/>
      <c r="N854" s="135"/>
      <c r="O854" s="135"/>
      <c r="P854" s="135"/>
      <c r="Q854" s="135"/>
      <c r="R854" s="138"/>
      <c r="S854" s="135"/>
      <c r="T854" s="135"/>
      <c r="U854" s="135"/>
      <c r="V854" s="135"/>
      <c r="W854" s="138"/>
      <c r="X854" s="135"/>
      <c r="Y854" s="135"/>
      <c r="Z854" s="135"/>
      <c r="AA854" s="135"/>
      <c r="AB854" s="138"/>
      <c r="AC854" s="135"/>
      <c r="AD854" s="135"/>
      <c r="AE854" s="135"/>
      <c r="AF854" s="135"/>
      <c r="AG854" s="138"/>
      <c r="AH854" s="135"/>
      <c r="AI854" s="135"/>
      <c r="AJ854" s="135"/>
      <c r="AK854" s="135"/>
      <c r="AL854" s="138"/>
      <c r="AM854" s="452"/>
      <c r="AN854" s="452"/>
    </row>
    <row r="855" spans="1:40" s="130" customFormat="1">
      <c r="A855" s="578" t="s">
        <v>1423</v>
      </c>
      <c r="B855" s="614"/>
      <c r="C855" s="655"/>
      <c r="D855" s="611"/>
      <c r="E855" s="611"/>
      <c r="F855" s="611"/>
      <c r="G855" s="611"/>
      <c r="H855" s="1043"/>
      <c r="I855" s="1044"/>
      <c r="J855" s="1044"/>
      <c r="K855" s="1044"/>
      <c r="L855" s="611"/>
      <c r="M855" s="1043"/>
      <c r="N855" s="1044"/>
      <c r="O855" s="1044"/>
      <c r="P855" s="1044"/>
      <c r="Q855" s="1044"/>
      <c r="R855" s="1043"/>
      <c r="S855" s="1044"/>
      <c r="T855" s="1044"/>
      <c r="U855" s="1044"/>
      <c r="V855" s="1044"/>
      <c r="W855" s="1043"/>
      <c r="X855" s="3769"/>
      <c r="Y855" s="3769"/>
      <c r="Z855" s="3769"/>
      <c r="AA855" s="3769"/>
      <c r="AB855" s="1043"/>
      <c r="AC855" s="3769"/>
      <c r="AD855" s="3769"/>
      <c r="AE855" s="3769"/>
      <c r="AF855" s="1044"/>
      <c r="AG855" s="1043"/>
      <c r="AH855" s="3769"/>
      <c r="AI855" s="3769"/>
      <c r="AJ855" s="3769"/>
      <c r="AK855" s="1044"/>
      <c r="AL855" s="1043"/>
      <c r="AM855" s="1045"/>
      <c r="AN855" s="1045"/>
    </row>
    <row r="856" spans="1:40" s="130" customFormat="1">
      <c r="A856" s="578" t="s">
        <v>446</v>
      </c>
      <c r="B856" s="138"/>
      <c r="C856" s="138"/>
      <c r="D856" s="3769"/>
      <c r="E856" s="3769"/>
      <c r="F856" s="3769"/>
      <c r="G856" s="3769"/>
      <c r="H856" s="1043"/>
      <c r="I856" s="3769"/>
      <c r="J856" s="3769"/>
      <c r="K856" s="3769"/>
      <c r="L856" s="3769"/>
      <c r="M856" s="1043"/>
      <c r="N856" s="3769"/>
      <c r="O856" s="3769"/>
      <c r="P856" s="3769"/>
      <c r="Q856" s="3769"/>
      <c r="R856" s="1043"/>
      <c r="S856" s="3769"/>
      <c r="T856" s="3769"/>
      <c r="U856" s="3769"/>
      <c r="V856" s="3769"/>
      <c r="W856" s="1043"/>
      <c r="X856" s="3769"/>
      <c r="Y856" s="3769"/>
      <c r="Z856" s="3769"/>
      <c r="AA856" s="3769"/>
      <c r="AB856" s="1043"/>
      <c r="AC856" s="3769"/>
      <c r="AD856" s="3769"/>
      <c r="AE856" s="3769"/>
      <c r="AF856" s="3769"/>
      <c r="AG856" s="1043"/>
      <c r="AH856" s="3769"/>
      <c r="AI856" s="3769"/>
      <c r="AJ856" s="3769"/>
      <c r="AK856" s="3769"/>
      <c r="AL856" s="1043"/>
      <c r="AM856" s="1045"/>
      <c r="AN856" s="1045"/>
    </row>
    <row r="857" spans="1:40">
      <c r="A857" s="485" t="s">
        <v>1768</v>
      </c>
      <c r="B857" s="613">
        <f>B845+B848+B851+B854+B793</f>
        <v>37705</v>
      </c>
      <c r="C857" s="613">
        <f t="shared" ref="C857:R857" si="2033">C845+C848+C851+C854+C793</f>
        <v>32884</v>
      </c>
      <c r="D857" s="472">
        <f t="shared" si="2033"/>
        <v>32884</v>
      </c>
      <c r="E857" s="472">
        <f t="shared" si="2033"/>
        <v>32882</v>
      </c>
      <c r="F857" s="472">
        <f t="shared" si="2033"/>
        <v>32913</v>
      </c>
      <c r="G857" s="472">
        <f t="shared" si="2033"/>
        <v>32914</v>
      </c>
      <c r="H857" s="613">
        <f t="shared" si="2033"/>
        <v>32914</v>
      </c>
      <c r="I857" s="472">
        <f t="shared" si="2033"/>
        <v>32914</v>
      </c>
      <c r="J857" s="472">
        <f t="shared" si="2033"/>
        <v>33650</v>
      </c>
      <c r="K857" s="472">
        <f t="shared" si="2033"/>
        <v>33406</v>
      </c>
      <c r="L857" s="472">
        <f>L845+L848+L851+L854+L793</f>
        <v>33406</v>
      </c>
      <c r="M857" s="613">
        <f>M845+M848+M851+M854+M793</f>
        <v>33406</v>
      </c>
      <c r="N857" s="472">
        <f>N845+N848+N851+N854+N793</f>
        <v>33085</v>
      </c>
      <c r="O857" s="472">
        <f t="shared" si="2033"/>
        <v>32603</v>
      </c>
      <c r="P857" s="472">
        <f t="shared" si="2033"/>
        <v>31195</v>
      </c>
      <c r="Q857" s="472">
        <f t="shared" si="2033"/>
        <v>31195</v>
      </c>
      <c r="R857" s="613">
        <f t="shared" si="2033"/>
        <v>31195</v>
      </c>
      <c r="S857" s="472">
        <f t="shared" ref="S857:AN857" si="2034">S845+S848+S851+S854+S793</f>
        <v>32770</v>
      </c>
      <c r="T857" s="472">
        <f t="shared" si="2034"/>
        <v>32997</v>
      </c>
      <c r="U857" s="472">
        <f t="shared" si="2034"/>
        <v>32997</v>
      </c>
      <c r="V857" s="472">
        <f t="shared" si="2034"/>
        <v>32776</v>
      </c>
      <c r="W857" s="613">
        <f t="shared" si="2034"/>
        <v>32776</v>
      </c>
      <c r="X857" s="472">
        <f t="shared" si="2034"/>
        <v>31798</v>
      </c>
      <c r="Y857" s="472">
        <f t="shared" si="2034"/>
        <v>31702</v>
      </c>
      <c r="Z857" s="472">
        <f t="shared" si="2034"/>
        <v>31571</v>
      </c>
      <c r="AA857" s="472">
        <f t="shared" si="2034"/>
        <v>31402</v>
      </c>
      <c r="AB857" s="613">
        <f t="shared" si="2034"/>
        <v>31402</v>
      </c>
      <c r="AC857" s="472">
        <f t="shared" si="2034"/>
        <v>217</v>
      </c>
      <c r="AD857" s="472">
        <f t="shared" si="2034"/>
        <v>217</v>
      </c>
      <c r="AE857" s="472">
        <f t="shared" si="2034"/>
        <v>215</v>
      </c>
      <c r="AF857" s="472">
        <f t="shared" si="2034"/>
        <v>215</v>
      </c>
      <c r="AG857" s="613">
        <f t="shared" si="2034"/>
        <v>215</v>
      </c>
      <c r="AH857" s="472">
        <f t="shared" ref="AH857:AL857" si="2035">AH845+AH848+AH851+AH854+AH793</f>
        <v>215</v>
      </c>
      <c r="AI857" s="472">
        <f t="shared" si="2035"/>
        <v>215</v>
      </c>
      <c r="AJ857" s="472">
        <f t="shared" si="2035"/>
        <v>215</v>
      </c>
      <c r="AK857" s="472">
        <f t="shared" si="2035"/>
        <v>215</v>
      </c>
      <c r="AL857" s="613">
        <f t="shared" si="2035"/>
        <v>215</v>
      </c>
      <c r="AM857" s="688">
        <f t="shared" si="2034"/>
        <v>215</v>
      </c>
      <c r="AN857" s="688">
        <f t="shared" si="2034"/>
        <v>215</v>
      </c>
    </row>
    <row r="858" spans="1:40">
      <c r="A858" s="578" t="s">
        <v>1423</v>
      </c>
      <c r="B858" s="614"/>
      <c r="C858" s="655">
        <f>C857/B857-1</f>
        <v>-0.12786102638907304</v>
      </c>
      <c r="D858" s="611"/>
      <c r="E858" s="611"/>
      <c r="F858" s="611"/>
      <c r="G858" s="611"/>
      <c r="H858" s="455">
        <f t="shared" ref="H858:R858" si="2036">H857/C857-1</f>
        <v>9.1229777399348677E-4</v>
      </c>
      <c r="I858" s="611">
        <f t="shared" si="2036"/>
        <v>9.1229777399348677E-4</v>
      </c>
      <c r="J858" s="611">
        <f t="shared" si="2036"/>
        <v>2.3356243537497656E-2</v>
      </c>
      <c r="K858" s="611">
        <f t="shared" si="2036"/>
        <v>1.4978883723756553E-2</v>
      </c>
      <c r="L858" s="611">
        <f t="shared" si="2036"/>
        <v>1.494804642401415E-2</v>
      </c>
      <c r="M858" s="455">
        <f>M857/H857-1</f>
        <v>1.494804642401415E-2</v>
      </c>
      <c r="N858" s="611">
        <f t="shared" si="2036"/>
        <v>5.1953575985903555E-3</v>
      </c>
      <c r="O858" s="611">
        <f t="shared" si="2036"/>
        <v>-3.1114413075780112E-2</v>
      </c>
      <c r="P858" s="611">
        <f t="shared" si="2036"/>
        <v>-6.6185715140992585E-2</v>
      </c>
      <c r="Q858" s="611">
        <f t="shared" si="2036"/>
        <v>-6.6185715140992585E-2</v>
      </c>
      <c r="R858" s="455">
        <f t="shared" si="2036"/>
        <v>-6.6185715140992585E-2</v>
      </c>
      <c r="S858" s="611">
        <f t="shared" ref="S858:AB858" si="2037">S857/N857-1</f>
        <v>-9.5209309354692406E-3</v>
      </c>
      <c r="T858" s="611">
        <f t="shared" si="2037"/>
        <v>1.2084777474465458E-2</v>
      </c>
      <c r="U858" s="611">
        <f t="shared" si="2037"/>
        <v>5.7765667574931845E-2</v>
      </c>
      <c r="V858" s="611">
        <f t="shared" si="2037"/>
        <v>5.0681198910081715E-2</v>
      </c>
      <c r="W858" s="455">
        <f t="shared" si="2037"/>
        <v>5.0681198910081715E-2</v>
      </c>
      <c r="X858" s="611">
        <f t="shared" si="2037"/>
        <v>-2.9661275556911781E-2</v>
      </c>
      <c r="Y858" s="611">
        <f t="shared" si="2037"/>
        <v>-3.9245992059884216E-2</v>
      </c>
      <c r="Z858" s="611">
        <f t="shared" si="2037"/>
        <v>-4.3216049943934243E-2</v>
      </c>
      <c r="AA858" s="611">
        <f t="shared" si="2037"/>
        <v>-4.19209177446912E-2</v>
      </c>
      <c r="AB858" s="455">
        <f t="shared" si="2037"/>
        <v>-4.19209177446912E-2</v>
      </c>
      <c r="AC858" s="611">
        <f>AC857/X857-1</f>
        <v>-0.99317567142587582</v>
      </c>
      <c r="AD858" s="611">
        <f>AD857/Y857-1</f>
        <v>-0.99315500599331275</v>
      </c>
      <c r="AE858" s="611">
        <f>AE857/Z857-1</f>
        <v>-0.99318995280478917</v>
      </c>
      <c r="AF858" s="611">
        <f>AF857/AA857-1</f>
        <v>-0.99315330233743071</v>
      </c>
      <c r="AG858" s="455">
        <f>AG857/AB857-1</f>
        <v>-0.99315330233743071</v>
      </c>
      <c r="AH858" s="611">
        <f t="shared" ref="AH858:AK858" si="2038">AH857/AC857-1</f>
        <v>-9.2165898617511122E-3</v>
      </c>
      <c r="AI858" s="611">
        <f t="shared" si="2038"/>
        <v>-9.2165898617511122E-3</v>
      </c>
      <c r="AJ858" s="611">
        <f t="shared" si="2038"/>
        <v>0</v>
      </c>
      <c r="AK858" s="611">
        <f t="shared" si="2038"/>
        <v>0</v>
      </c>
      <c r="AL858" s="455">
        <f>AL857/AG857-1</f>
        <v>0</v>
      </c>
      <c r="AM858" s="655">
        <f>AM857/AL857-1</f>
        <v>0</v>
      </c>
      <c r="AN858" s="655">
        <f>AN857/AM857-1</f>
        <v>0</v>
      </c>
    </row>
    <row r="859" spans="1:40">
      <c r="A859" s="578" t="s">
        <v>446</v>
      </c>
      <c r="B859" s="455"/>
      <c r="C859" s="138"/>
      <c r="D859" s="417">
        <f>D857/C857-1</f>
        <v>0</v>
      </c>
      <c r="E859" s="417">
        <f>E857/D857-1</f>
        <v>-6.0819851599558383E-5</v>
      </c>
      <c r="F859" s="417">
        <f>F857/E857-1</f>
        <v>9.4276503862289474E-4</v>
      </c>
      <c r="G859" s="417">
        <f>G857/F857-1</f>
        <v>3.0383131285560694E-5</v>
      </c>
      <c r="H859" s="455"/>
      <c r="I859" s="417">
        <f>I857/H857-1</f>
        <v>0</v>
      </c>
      <c r="J859" s="417">
        <f>J857/I857-1</f>
        <v>2.2361305219663397E-2</v>
      </c>
      <c r="K859" s="417">
        <f>K857/J857-1</f>
        <v>-7.2511144130757987E-3</v>
      </c>
      <c r="L859" s="417">
        <f>L857/K857-1</f>
        <v>0</v>
      </c>
      <c r="M859" s="455"/>
      <c r="N859" s="417">
        <f>N857/M857-1</f>
        <v>-9.6090522660600142E-3</v>
      </c>
      <c r="O859" s="417">
        <f>O857/N857-1</f>
        <v>-1.4568535590146592E-2</v>
      </c>
      <c r="P859" s="417">
        <f>P857/O857-1</f>
        <v>-4.3186209857988489E-2</v>
      </c>
      <c r="Q859" s="417">
        <f>Q857/P857-1</f>
        <v>0</v>
      </c>
      <c r="R859" s="455"/>
      <c r="S859" s="417">
        <f>S857/R857-1</f>
        <v>5.04888603942939E-2</v>
      </c>
      <c r="T859" s="417">
        <f>T857/S857-1</f>
        <v>6.9270674397314824E-3</v>
      </c>
      <c r="U859" s="417">
        <f>U857/T857-1</f>
        <v>0</v>
      </c>
      <c r="V859" s="417">
        <f>V857/U857-1</f>
        <v>-6.6975785677485522E-3</v>
      </c>
      <c r="W859" s="455"/>
      <c r="X859" s="417">
        <f>X857/W857-1</f>
        <v>-2.9838906516963637E-2</v>
      </c>
      <c r="Y859" s="417">
        <f>Y857/X857-1</f>
        <v>-3.019057802377545E-3</v>
      </c>
      <c r="Z859" s="417">
        <f>Z857/Y857-1</f>
        <v>-4.1322314049586639E-3</v>
      </c>
      <c r="AA859" s="417">
        <f>AA857/Z857-1</f>
        <v>-5.353013841816856E-3</v>
      </c>
      <c r="AB859" s="455"/>
      <c r="AC859" s="417">
        <f>AC857/AB857-1</f>
        <v>-0.99308961212661617</v>
      </c>
      <c r="AD859" s="417">
        <f>AD857/AC857-1</f>
        <v>0</v>
      </c>
      <c r="AE859" s="417">
        <f>AE857/AD857-1</f>
        <v>-9.2165898617511122E-3</v>
      </c>
      <c r="AF859" s="417">
        <f>AF857/AE857-1</f>
        <v>0</v>
      </c>
      <c r="AG859" s="455"/>
      <c r="AH859" s="417">
        <f t="shared" ref="AH859:AK859" si="2039">AH857/AG857-1</f>
        <v>0</v>
      </c>
      <c r="AI859" s="417">
        <f t="shared" si="2039"/>
        <v>0</v>
      </c>
      <c r="AJ859" s="417">
        <f t="shared" si="2039"/>
        <v>0</v>
      </c>
      <c r="AK859" s="417">
        <f t="shared" si="2039"/>
        <v>0</v>
      </c>
      <c r="AL859" s="455"/>
      <c r="AM859" s="655"/>
      <c r="AN859" s="655"/>
    </row>
    <row r="860" spans="1:40">
      <c r="A860" s="485" t="s">
        <v>1769</v>
      </c>
      <c r="B860" s="613">
        <f t="shared" ref="B860:AN860" si="2040">B509+B580+B651+B722</f>
        <v>29621</v>
      </c>
      <c r="C860" s="613">
        <f t="shared" si="2040"/>
        <v>29643</v>
      </c>
      <c r="D860" s="472">
        <f t="shared" si="2040"/>
        <v>29625</v>
      </c>
      <c r="E860" s="472">
        <f t="shared" si="2040"/>
        <v>29629</v>
      </c>
      <c r="F860" s="472">
        <f t="shared" si="2040"/>
        <v>29629</v>
      </c>
      <c r="G860" s="472">
        <f t="shared" si="2040"/>
        <v>29629</v>
      </c>
      <c r="H860" s="613">
        <f t="shared" si="2040"/>
        <v>29629</v>
      </c>
      <c r="I860" s="472">
        <f t="shared" si="2040"/>
        <v>29182</v>
      </c>
      <c r="J860" s="472">
        <f t="shared" si="2040"/>
        <v>28848</v>
      </c>
      <c r="K860" s="472">
        <f t="shared" si="2040"/>
        <v>28845</v>
      </c>
      <c r="L860" s="472">
        <f t="shared" si="2040"/>
        <v>28264</v>
      </c>
      <c r="M860" s="613">
        <f t="shared" si="2040"/>
        <v>28264</v>
      </c>
      <c r="N860" s="472">
        <f t="shared" si="2040"/>
        <v>28263</v>
      </c>
      <c r="O860" s="472">
        <f t="shared" si="2040"/>
        <v>28227</v>
      </c>
      <c r="P860" s="472">
        <f t="shared" si="2040"/>
        <v>28135</v>
      </c>
      <c r="Q860" s="472">
        <f t="shared" si="2040"/>
        <v>27759</v>
      </c>
      <c r="R860" s="613">
        <f t="shared" si="2040"/>
        <v>27759</v>
      </c>
      <c r="S860" s="472">
        <f t="shared" si="2040"/>
        <v>27762</v>
      </c>
      <c r="T860" s="472">
        <f t="shared" si="2040"/>
        <v>27762</v>
      </c>
      <c r="U860" s="472">
        <f t="shared" si="2040"/>
        <v>26965</v>
      </c>
      <c r="V860" s="472">
        <f t="shared" si="2040"/>
        <v>26687</v>
      </c>
      <c r="W860" s="613">
        <f t="shared" si="2040"/>
        <v>26687</v>
      </c>
      <c r="X860" s="472">
        <f t="shared" si="2040"/>
        <v>26528</v>
      </c>
      <c r="Y860" s="472">
        <f t="shared" si="2040"/>
        <v>26294</v>
      </c>
      <c r="Z860" s="472">
        <f t="shared" si="2040"/>
        <v>26297</v>
      </c>
      <c r="AA860" s="472">
        <f t="shared" si="2040"/>
        <v>26314</v>
      </c>
      <c r="AB860" s="613">
        <f t="shared" si="2040"/>
        <v>26314</v>
      </c>
      <c r="AC860" s="472">
        <f t="shared" si="2040"/>
        <v>22081</v>
      </c>
      <c r="AD860" s="472">
        <f t="shared" si="2040"/>
        <v>22117</v>
      </c>
      <c r="AE860" s="472">
        <f t="shared" si="2040"/>
        <v>21989</v>
      </c>
      <c r="AF860" s="472">
        <f t="shared" si="2040"/>
        <v>21991</v>
      </c>
      <c r="AG860" s="613">
        <f t="shared" si="2040"/>
        <v>21991</v>
      </c>
      <c r="AH860" s="472">
        <f t="shared" ref="AH860:AL860" si="2041">AH509+AH580+AH651+AH722</f>
        <v>21991</v>
      </c>
      <c r="AI860" s="472">
        <f t="shared" si="2041"/>
        <v>21991</v>
      </c>
      <c r="AJ860" s="472">
        <f t="shared" si="2041"/>
        <v>21991</v>
      </c>
      <c r="AK860" s="472">
        <f t="shared" si="2041"/>
        <v>21991</v>
      </c>
      <c r="AL860" s="613">
        <f t="shared" si="2041"/>
        <v>21991</v>
      </c>
      <c r="AM860" s="688">
        <f t="shared" si="2040"/>
        <v>21991</v>
      </c>
      <c r="AN860" s="688">
        <f t="shared" si="2040"/>
        <v>21991</v>
      </c>
    </row>
    <row r="861" spans="1:40">
      <c r="A861" s="578" t="s">
        <v>1423</v>
      </c>
      <c r="B861" s="614"/>
      <c r="C861" s="655">
        <f>C860/B860-1</f>
        <v>7.4271631612710109E-4</v>
      </c>
      <c r="D861" s="611"/>
      <c r="E861" s="611"/>
      <c r="F861" s="611"/>
      <c r="G861" s="611"/>
      <c r="H861" s="455">
        <f t="shared" ref="H861:R861" si="2042">H860/C860-1</f>
        <v>-4.7228688054512524E-4</v>
      </c>
      <c r="I861" s="611">
        <f t="shared" si="2042"/>
        <v>-1.4953586497890248E-2</v>
      </c>
      <c r="J861" s="611">
        <f t="shared" si="2042"/>
        <v>-2.635931013534043E-2</v>
      </c>
      <c r="K861" s="611">
        <f t="shared" si="2042"/>
        <v>-2.6460562286948597E-2</v>
      </c>
      <c r="L861" s="611">
        <f t="shared" si="2042"/>
        <v>-4.6069728981740887E-2</v>
      </c>
      <c r="M861" s="455">
        <f>M860/H860-1</f>
        <v>-4.6069728981740887E-2</v>
      </c>
      <c r="N861" s="611">
        <f t="shared" si="2042"/>
        <v>-3.1492015626070846E-2</v>
      </c>
      <c r="O861" s="611">
        <f t="shared" si="2042"/>
        <v>-2.1526622296173081E-2</v>
      </c>
      <c r="P861" s="611">
        <f t="shared" si="2042"/>
        <v>-2.4614317906049621E-2</v>
      </c>
      <c r="Q861" s="611">
        <f t="shared" si="2042"/>
        <v>-1.7867251627512015E-2</v>
      </c>
      <c r="R861" s="455">
        <f t="shared" si="2042"/>
        <v>-1.7867251627512015E-2</v>
      </c>
      <c r="S861" s="611">
        <f t="shared" ref="S861:AB861" si="2043">S860/N860-1</f>
        <v>-1.7726356013162081E-2</v>
      </c>
      <c r="T861" s="611">
        <f t="shared" si="2043"/>
        <v>-1.6473589116803078E-2</v>
      </c>
      <c r="U861" s="611">
        <f t="shared" si="2043"/>
        <v>-4.1585214146081406E-2</v>
      </c>
      <c r="V861" s="611">
        <f t="shared" si="2043"/>
        <v>-3.8618105839547501E-2</v>
      </c>
      <c r="W861" s="455">
        <f t="shared" si="2043"/>
        <v>-3.8618105839547501E-2</v>
      </c>
      <c r="X861" s="611">
        <f t="shared" si="2043"/>
        <v>-4.4449247172393958E-2</v>
      </c>
      <c r="Y861" s="611">
        <f t="shared" si="2043"/>
        <v>-5.28780347237231E-2</v>
      </c>
      <c r="Z861" s="611">
        <f t="shared" si="2043"/>
        <v>-2.4772853699239761E-2</v>
      </c>
      <c r="AA861" s="611">
        <f t="shared" si="2043"/>
        <v>-1.3976842657473676E-2</v>
      </c>
      <c r="AB861" s="455">
        <f t="shared" si="2043"/>
        <v>-1.3976842657473676E-2</v>
      </c>
      <c r="AC861" s="611">
        <f>AC860/X860-1</f>
        <v>-0.16763419782870925</v>
      </c>
      <c r="AD861" s="611">
        <f>AD860/Y860-1</f>
        <v>-0.15885753403818359</v>
      </c>
      <c r="AE861" s="611">
        <f>AE860/Z860-1</f>
        <v>-0.16382096817127434</v>
      </c>
      <c r="AF861" s="611">
        <f>AF860/AA860-1</f>
        <v>-0.16428517139165466</v>
      </c>
      <c r="AG861" s="455">
        <f>AG860/AB860-1</f>
        <v>-0.16428517139165466</v>
      </c>
      <c r="AH861" s="611">
        <f t="shared" ref="AH861:AK861" si="2044">AH860/AC860-1</f>
        <v>-4.0759023594946209E-3</v>
      </c>
      <c r="AI861" s="611">
        <f t="shared" si="2044"/>
        <v>-5.6969751774652577E-3</v>
      </c>
      <c r="AJ861" s="611">
        <f t="shared" si="2044"/>
        <v>9.0954568193080121E-5</v>
      </c>
      <c r="AK861" s="611">
        <f t="shared" si="2044"/>
        <v>0</v>
      </c>
      <c r="AL861" s="455">
        <f>AL860/AG860-1</f>
        <v>0</v>
      </c>
      <c r="AM861" s="655">
        <f>AM860/AL860-1</f>
        <v>0</v>
      </c>
      <c r="AN861" s="655">
        <f>AN860/AM860-1</f>
        <v>0</v>
      </c>
    </row>
    <row r="862" spans="1:40">
      <c r="A862" s="578" t="s">
        <v>446</v>
      </c>
      <c r="B862" s="455"/>
      <c r="C862" s="138"/>
      <c r="D862" s="417">
        <f>D860/C860-1</f>
        <v>-6.0722598927231974E-4</v>
      </c>
      <c r="E862" s="417">
        <f>E860/D860-1</f>
        <v>1.3502109704632836E-4</v>
      </c>
      <c r="F862" s="417">
        <f>F860/E860-1</f>
        <v>0</v>
      </c>
      <c r="G862" s="417">
        <f>G860/F860-1</f>
        <v>0</v>
      </c>
      <c r="H862" s="455"/>
      <c r="I862" s="417">
        <f>I860/H860-1</f>
        <v>-1.5086570589625037E-2</v>
      </c>
      <c r="J862" s="417">
        <f>J860/I860-1</f>
        <v>-1.1445411555068175E-2</v>
      </c>
      <c r="K862" s="417">
        <f>K860/J860-1</f>
        <v>-1.0399334442601216E-4</v>
      </c>
      <c r="L862" s="417">
        <f>L860/K860-1</f>
        <v>-2.0142139018894056E-2</v>
      </c>
      <c r="M862" s="455"/>
      <c r="N862" s="417">
        <f>N860/M860-1</f>
        <v>-3.5380696292053315E-5</v>
      </c>
      <c r="O862" s="417">
        <f>O860/N860-1</f>
        <v>-1.273750132682272E-3</v>
      </c>
      <c r="P862" s="417">
        <f>P860/O860-1</f>
        <v>-3.259290749991095E-3</v>
      </c>
      <c r="Q862" s="417">
        <f>Q860/P860-1</f>
        <v>-1.3364137195663761E-2</v>
      </c>
      <c r="R862" s="455"/>
      <c r="S862" s="417">
        <f>S860/R860-1</f>
        <v>1.0807305738680384E-4</v>
      </c>
      <c r="T862" s="417">
        <f>T860/S860-1</f>
        <v>0</v>
      </c>
      <c r="U862" s="417">
        <f>U860/T860-1</f>
        <v>-2.8708306317988597E-2</v>
      </c>
      <c r="V862" s="417">
        <f>V860/U860-1</f>
        <v>-1.0309660671240506E-2</v>
      </c>
      <c r="W862" s="455"/>
      <c r="X862" s="417">
        <f>X860/W860-1</f>
        <v>-5.9579570577434904E-3</v>
      </c>
      <c r="Y862" s="417">
        <f>Y860/X860-1</f>
        <v>-8.8208685162847189E-3</v>
      </c>
      <c r="Z862" s="417">
        <f>Z860/Y860-1</f>
        <v>1.1409447022137087E-4</v>
      </c>
      <c r="AA862" s="417">
        <f>AA860/Z860-1</f>
        <v>6.4646157356351708E-4</v>
      </c>
      <c r="AB862" s="455"/>
      <c r="AC862" s="417">
        <f>AC860/AB860-1</f>
        <v>-0.16086493881583952</v>
      </c>
      <c r="AD862" s="417">
        <f>AD860/AC860-1</f>
        <v>1.6303609437977595E-3</v>
      </c>
      <c r="AE862" s="417">
        <f>AE860/AD860-1</f>
        <v>-5.7874033548853676E-3</v>
      </c>
      <c r="AF862" s="417">
        <f>AF860/AE860-1</f>
        <v>9.0954568193080121E-5</v>
      </c>
      <c r="AG862" s="455"/>
      <c r="AH862" s="417">
        <f t="shared" ref="AH862:AK862" si="2045">AH860/AG860-1</f>
        <v>0</v>
      </c>
      <c r="AI862" s="417">
        <f t="shared" si="2045"/>
        <v>0</v>
      </c>
      <c r="AJ862" s="417">
        <f t="shared" si="2045"/>
        <v>0</v>
      </c>
      <c r="AK862" s="417">
        <f t="shared" si="2045"/>
        <v>0</v>
      </c>
      <c r="AL862" s="455"/>
      <c r="AM862" s="655"/>
      <c r="AN862" s="655"/>
    </row>
    <row r="863" spans="1:40">
      <c r="A863" s="485" t="s">
        <v>568</v>
      </c>
      <c r="B863" s="613">
        <f>B860+B857</f>
        <v>67326</v>
      </c>
      <c r="C863" s="613">
        <f t="shared" ref="C863:R863" si="2046">C860+C857</f>
        <v>62527</v>
      </c>
      <c r="D863" s="472">
        <f t="shared" si="2046"/>
        <v>62509</v>
      </c>
      <c r="E863" s="472">
        <f t="shared" si="2046"/>
        <v>62511</v>
      </c>
      <c r="F863" s="472">
        <f t="shared" si="2046"/>
        <v>62542</v>
      </c>
      <c r="G863" s="472">
        <f t="shared" si="2046"/>
        <v>62543</v>
      </c>
      <c r="H863" s="613">
        <f t="shared" si="2046"/>
        <v>62543</v>
      </c>
      <c r="I863" s="472">
        <f t="shared" si="2046"/>
        <v>62096</v>
      </c>
      <c r="J863" s="472">
        <f t="shared" si="2046"/>
        <v>62498</v>
      </c>
      <c r="K863" s="472">
        <f t="shared" si="2046"/>
        <v>62251</v>
      </c>
      <c r="L863" s="472">
        <f>L860+L857</f>
        <v>61670</v>
      </c>
      <c r="M863" s="613">
        <f>M860+M857</f>
        <v>61670</v>
      </c>
      <c r="N863" s="472">
        <f>N860+N857</f>
        <v>61348</v>
      </c>
      <c r="O863" s="472">
        <f t="shared" si="2046"/>
        <v>60830</v>
      </c>
      <c r="P863" s="472">
        <f t="shared" si="2046"/>
        <v>59330</v>
      </c>
      <c r="Q863" s="472">
        <f t="shared" si="2046"/>
        <v>58954</v>
      </c>
      <c r="R863" s="613">
        <f t="shared" si="2046"/>
        <v>58954</v>
      </c>
      <c r="S863" s="472">
        <f t="shared" ref="S863:AN863" si="2047">S860+S857</f>
        <v>60532</v>
      </c>
      <c r="T863" s="472">
        <f t="shared" si="2047"/>
        <v>60759</v>
      </c>
      <c r="U863" s="472">
        <f t="shared" si="2047"/>
        <v>59962</v>
      </c>
      <c r="V863" s="472">
        <f t="shared" si="2047"/>
        <v>59463</v>
      </c>
      <c r="W863" s="613">
        <f t="shared" si="2047"/>
        <v>59463</v>
      </c>
      <c r="X863" s="472">
        <f t="shared" si="2047"/>
        <v>58326</v>
      </c>
      <c r="Y863" s="472">
        <f t="shared" si="2047"/>
        <v>57996</v>
      </c>
      <c r="Z863" s="472">
        <f t="shared" si="2047"/>
        <v>57868</v>
      </c>
      <c r="AA863" s="472">
        <f t="shared" si="2047"/>
        <v>57716</v>
      </c>
      <c r="AB863" s="613">
        <f t="shared" si="2047"/>
        <v>57716</v>
      </c>
      <c r="AC863" s="472">
        <f t="shared" si="2047"/>
        <v>22298</v>
      </c>
      <c r="AD863" s="472">
        <f t="shared" si="2047"/>
        <v>22334</v>
      </c>
      <c r="AE863" s="472">
        <f t="shared" si="2047"/>
        <v>22204</v>
      </c>
      <c r="AF863" s="472">
        <f t="shared" si="2047"/>
        <v>22206</v>
      </c>
      <c r="AG863" s="613">
        <f t="shared" si="2047"/>
        <v>22206</v>
      </c>
      <c r="AH863" s="472">
        <f t="shared" ref="AH863:AL863" si="2048">AH860+AH857</f>
        <v>22206</v>
      </c>
      <c r="AI863" s="472">
        <f t="shared" si="2048"/>
        <v>22206</v>
      </c>
      <c r="AJ863" s="472">
        <f t="shared" si="2048"/>
        <v>22206</v>
      </c>
      <c r="AK863" s="472">
        <f t="shared" si="2048"/>
        <v>22206</v>
      </c>
      <c r="AL863" s="613">
        <f t="shared" si="2048"/>
        <v>22206</v>
      </c>
      <c r="AM863" s="688">
        <f t="shared" si="2047"/>
        <v>22206</v>
      </c>
      <c r="AN863" s="688">
        <f t="shared" si="2047"/>
        <v>22206</v>
      </c>
    </row>
    <row r="864" spans="1:40">
      <c r="A864" s="578" t="s">
        <v>1423</v>
      </c>
      <c r="B864" s="614"/>
      <c r="C864" s="655">
        <f>C863/B863-1</f>
        <v>-7.128004040043967E-2</v>
      </c>
      <c r="D864" s="611"/>
      <c r="E864" s="611"/>
      <c r="F864" s="611"/>
      <c r="G864" s="611"/>
      <c r="H864" s="455">
        <f t="shared" ref="H864:R864" si="2049">H863/C863-1</f>
        <v>2.5588945575516497E-4</v>
      </c>
      <c r="I864" s="611">
        <f t="shared" si="2049"/>
        <v>-6.6070485850037164E-3</v>
      </c>
      <c r="J864" s="611">
        <f t="shared" si="2049"/>
        <v>-2.0796339844186829E-4</v>
      </c>
      <c r="K864" s="611">
        <f t="shared" si="2049"/>
        <v>-4.6528732691630825E-3</v>
      </c>
      <c r="L864" s="611">
        <f t="shared" si="2049"/>
        <v>-1.3958396623123259E-2</v>
      </c>
      <c r="M864" s="455">
        <f>M863/H863-1</f>
        <v>-1.3958396623123259E-2</v>
      </c>
      <c r="N864" s="611">
        <f t="shared" si="2049"/>
        <v>-1.2045864467920664E-2</v>
      </c>
      <c r="O864" s="611">
        <f t="shared" si="2049"/>
        <v>-2.6688854043329435E-2</v>
      </c>
      <c r="P864" s="611">
        <f t="shared" si="2049"/>
        <v>-4.6922940996931728E-2</v>
      </c>
      <c r="Q864" s="611">
        <f t="shared" si="2049"/>
        <v>-4.4040862656072655E-2</v>
      </c>
      <c r="R864" s="455">
        <f t="shared" si="2049"/>
        <v>-4.4040862656072655E-2</v>
      </c>
      <c r="S864" s="611">
        <f t="shared" ref="S864:AB864" si="2050">S863/N863-1</f>
        <v>-1.3301167112212298E-2</v>
      </c>
      <c r="T864" s="611">
        <f t="shared" si="2050"/>
        <v>-1.1671872431365804E-3</v>
      </c>
      <c r="U864" s="611">
        <f t="shared" si="2050"/>
        <v>1.0652283836170673E-2</v>
      </c>
      <c r="V864" s="611">
        <f t="shared" si="2050"/>
        <v>8.6338501204328288E-3</v>
      </c>
      <c r="W864" s="455">
        <f t="shared" si="2050"/>
        <v>8.6338501204328288E-3</v>
      </c>
      <c r="X864" s="611">
        <f t="shared" si="2050"/>
        <v>-3.6443533998546274E-2</v>
      </c>
      <c r="Y864" s="611">
        <f t="shared" si="2050"/>
        <v>-4.5474744482298934E-2</v>
      </c>
      <c r="Z864" s="611">
        <f t="shared" si="2050"/>
        <v>-3.4922117340982606E-2</v>
      </c>
      <c r="AA864" s="611">
        <f t="shared" si="2050"/>
        <v>-2.9379614213880911E-2</v>
      </c>
      <c r="AB864" s="455">
        <f t="shared" si="2050"/>
        <v>-2.9379614213880911E-2</v>
      </c>
      <c r="AC864" s="611">
        <f>AC863/X863-1</f>
        <v>-0.6177005109213729</v>
      </c>
      <c r="AD864" s="611">
        <f>AD863/Y863-1</f>
        <v>-0.61490447617077038</v>
      </c>
      <c r="AE864" s="611">
        <f>AE863/Z863-1</f>
        <v>-0.6162991636137416</v>
      </c>
      <c r="AF864" s="611">
        <f>AF863/AA863-1</f>
        <v>-0.61525400235636563</v>
      </c>
      <c r="AG864" s="455">
        <f>AG863/AB863-1</f>
        <v>-0.61525400235636563</v>
      </c>
      <c r="AH864" s="611">
        <f t="shared" ref="AH864:AK864" si="2051">AH863/AC863-1</f>
        <v>-4.1259305767333831E-3</v>
      </c>
      <c r="AI864" s="611">
        <f t="shared" si="2051"/>
        <v>-5.731172203814805E-3</v>
      </c>
      <c r="AJ864" s="611">
        <f t="shared" si="2051"/>
        <v>9.0073860565587083E-5</v>
      </c>
      <c r="AK864" s="611">
        <f t="shared" si="2051"/>
        <v>0</v>
      </c>
      <c r="AL864" s="455">
        <f>AL863/AG863-1</f>
        <v>0</v>
      </c>
      <c r="AM864" s="655">
        <f>AM863/AL863-1</f>
        <v>0</v>
      </c>
      <c r="AN864" s="655">
        <f>AN863/AM863-1</f>
        <v>0</v>
      </c>
    </row>
    <row r="865" spans="1:40">
      <c r="A865" s="578" t="s">
        <v>446</v>
      </c>
      <c r="B865" s="455"/>
      <c r="C865" s="138"/>
      <c r="D865" s="417">
        <f>D863/C863-1</f>
        <v>-2.8787563772447733E-4</v>
      </c>
      <c r="E865" s="417">
        <f>E863/D863-1</f>
        <v>3.1995392663519695E-5</v>
      </c>
      <c r="F865" s="417">
        <f>F863/E863-1</f>
        <v>4.9591271936133552E-4</v>
      </c>
      <c r="G865" s="417">
        <f>G863/F863-1</f>
        <v>1.5989255220505427E-5</v>
      </c>
      <c r="H865" s="455"/>
      <c r="I865" s="417">
        <f>I863/H863-1</f>
        <v>-7.1470828070288039E-3</v>
      </c>
      <c r="J865" s="417">
        <f>J863/I863-1</f>
        <v>6.4738469466631976E-3</v>
      </c>
      <c r="K865" s="417">
        <f>K863/J863-1</f>
        <v>-3.9521264680469903E-3</v>
      </c>
      <c r="L865" s="417">
        <f>L863/K863-1</f>
        <v>-9.3331834026763039E-3</v>
      </c>
      <c r="M865" s="455"/>
      <c r="N865" s="417">
        <f>N863/M863-1</f>
        <v>-5.2213393870601532E-3</v>
      </c>
      <c r="O865" s="417">
        <f>O863/N863-1</f>
        <v>-8.4436330442719809E-3</v>
      </c>
      <c r="P865" s="417">
        <f>P863/O863-1</f>
        <v>-2.4658885418379128E-2</v>
      </c>
      <c r="Q865" s="417">
        <f>Q863/P863-1</f>
        <v>-6.3374346873419363E-3</v>
      </c>
      <c r="R865" s="455"/>
      <c r="S865" s="417">
        <f>S863/R863-1</f>
        <v>2.6766631611086611E-2</v>
      </c>
      <c r="T865" s="417">
        <f>T863/S863-1</f>
        <v>3.7500826009384536E-3</v>
      </c>
      <c r="U865" s="417">
        <f>U863/T863-1</f>
        <v>-1.3117398245527379E-2</v>
      </c>
      <c r="V865" s="417">
        <f>V863/U863-1</f>
        <v>-8.3219372269103253E-3</v>
      </c>
      <c r="W865" s="455"/>
      <c r="X865" s="417">
        <f>X863/W863-1</f>
        <v>-1.9121134150648311E-2</v>
      </c>
      <c r="Y865" s="417">
        <f>Y863/X863-1</f>
        <v>-5.6578541302335639E-3</v>
      </c>
      <c r="Z865" s="417">
        <f>Z863/Y863-1</f>
        <v>-2.2070487619836321E-3</v>
      </c>
      <c r="AA865" s="417">
        <f>AA863/Z863-1</f>
        <v>-2.6266675883044321E-3</v>
      </c>
      <c r="AB865" s="455"/>
      <c r="AC865" s="417">
        <f>AC863/AB863-1</f>
        <v>-0.61365999029731788</v>
      </c>
      <c r="AD865" s="417">
        <f>AD863/AC863-1</f>
        <v>1.614494573504377E-3</v>
      </c>
      <c r="AE865" s="417">
        <f>AE863/AD863-1</f>
        <v>-5.8207217694994373E-3</v>
      </c>
      <c r="AF865" s="417">
        <f>AF863/AE863-1</f>
        <v>9.0073860565587083E-5</v>
      </c>
      <c r="AG865" s="455"/>
      <c r="AH865" s="417">
        <f t="shared" ref="AH865:AK865" si="2052">AH863/AG863-1</f>
        <v>0</v>
      </c>
      <c r="AI865" s="417">
        <f t="shared" si="2052"/>
        <v>0</v>
      </c>
      <c r="AJ865" s="417">
        <f t="shared" si="2052"/>
        <v>0</v>
      </c>
      <c r="AK865" s="417">
        <f t="shared" si="2052"/>
        <v>0</v>
      </c>
      <c r="AL865" s="455"/>
      <c r="AM865" s="655"/>
      <c r="AN865" s="655"/>
    </row>
    <row r="866" spans="1:40" ht="12.75" customHeight="1">
      <c r="A866" s="394"/>
      <c r="B866" s="138"/>
      <c r="C866" s="138"/>
      <c r="D866" s="135"/>
      <c r="E866" s="135"/>
      <c r="F866" s="135"/>
      <c r="G866" s="135"/>
      <c r="H866" s="138"/>
      <c r="I866" s="135"/>
      <c r="J866" s="135"/>
      <c r="K866" s="135"/>
      <c r="L866" s="135"/>
      <c r="M866" s="138"/>
      <c r="N866" s="135"/>
      <c r="O866" s="135"/>
      <c r="P866" s="135"/>
      <c r="Q866" s="135"/>
      <c r="R866" s="138"/>
      <c r="S866"/>
      <c r="T866"/>
      <c r="U866"/>
      <c r="V866"/>
      <c r="W866" s="138"/>
      <c r="X866" s="394"/>
      <c r="Y866" s="135"/>
      <c r="Z866" s="135"/>
      <c r="AA866" s="135"/>
      <c r="AB866" s="138"/>
      <c r="AC866" s="417">
        <f>+AC863/AC$837</f>
        <v>2.7449063878346655E-2</v>
      </c>
      <c r="AD866" s="135"/>
      <c r="AE866" s="135"/>
      <c r="AF866"/>
      <c r="AG866" s="138"/>
      <c r="AH866" s="417"/>
      <c r="AI866" s="135"/>
      <c r="AJ866" s="135"/>
      <c r="AK866"/>
      <c r="AL866" s="138"/>
      <c r="AM866" s="138"/>
      <c r="AN866" s="138"/>
    </row>
    <row r="867" spans="1:40" ht="12.75" customHeight="1">
      <c r="A867" s="394"/>
      <c r="B867" s="138"/>
      <c r="C867" s="138"/>
      <c r="D867" s="135"/>
      <c r="E867" s="135"/>
      <c r="F867" s="135"/>
      <c r="G867" s="135"/>
      <c r="H867" s="138"/>
      <c r="I867" s="135"/>
      <c r="J867" s="135"/>
      <c r="K867" s="135"/>
      <c r="L867" s="135"/>
      <c r="M867" s="138"/>
      <c r="N867" s="135"/>
      <c r="O867" s="135"/>
      <c r="P867" s="135"/>
      <c r="Q867" s="135"/>
      <c r="R867" s="138"/>
      <c r="S867" s="135"/>
      <c r="T867" s="135"/>
      <c r="U867" s="135"/>
      <c r="V867" s="452"/>
      <c r="W867" s="452"/>
      <c r="X867" s="135"/>
      <c r="Y867" s="135"/>
      <c r="Z867" s="135"/>
      <c r="AA867" s="135"/>
      <c r="AB867" s="138"/>
      <c r="AC867" s="135"/>
      <c r="AD867" s="135"/>
      <c r="AE867" s="135"/>
      <c r="AF867" s="452"/>
      <c r="AG867" s="452"/>
      <c r="AH867" s="135"/>
      <c r="AI867" s="135"/>
      <c r="AJ867" s="135"/>
      <c r="AK867" s="452"/>
      <c r="AL867" s="452"/>
      <c r="AM867" s="452"/>
      <c r="AN867" s="452"/>
    </row>
    <row r="868" spans="1:40" ht="12.75" customHeight="1">
      <c r="A868" s="482" t="s">
        <v>1765</v>
      </c>
      <c r="B868" s="138"/>
      <c r="C868" s="138"/>
      <c r="D868" s="135"/>
      <c r="E868" s="135"/>
      <c r="F868" s="135"/>
      <c r="G868" s="135"/>
      <c r="H868" s="138"/>
      <c r="I868" s="135"/>
      <c r="J868" s="135"/>
      <c r="K868" s="135"/>
      <c r="L868" s="135"/>
      <c r="M868" s="138"/>
      <c r="N868" s="135"/>
      <c r="O868" s="135"/>
      <c r="P868" s="135"/>
      <c r="Q868" s="135"/>
      <c r="R868" s="138"/>
      <c r="S868" s="135"/>
      <c r="T868" s="135"/>
      <c r="U868" s="135"/>
      <c r="V868" s="452"/>
      <c r="W868" s="452"/>
      <c r="X868" s="135"/>
      <c r="Y868" s="135"/>
      <c r="Z868" s="135"/>
      <c r="AA868" s="135"/>
      <c r="AB868" s="138"/>
      <c r="AC868" s="135"/>
      <c r="AD868" s="135"/>
      <c r="AE868" s="135"/>
      <c r="AF868" s="452"/>
      <c r="AG868" s="452"/>
      <c r="AH868" s="135"/>
      <c r="AI868" s="135"/>
      <c r="AJ868" s="135"/>
      <c r="AK868" s="452"/>
      <c r="AL868" s="452"/>
      <c r="AM868" s="452"/>
      <c r="AN868" s="452"/>
    </row>
    <row r="869" spans="1:40">
      <c r="A869" s="394" t="s">
        <v>1270</v>
      </c>
      <c r="B869" s="452">
        <f t="shared" ref="B869:AN869" si="2053">B441+B442</f>
        <v>5115</v>
      </c>
      <c r="C869" s="138">
        <f t="shared" si="2053"/>
        <v>5174</v>
      </c>
      <c r="D869" s="135">
        <f t="shared" si="2053"/>
        <v>5637</v>
      </c>
      <c r="E869" s="135">
        <f t="shared" si="2053"/>
        <v>5648</v>
      </c>
      <c r="F869" s="135">
        <f t="shared" si="2053"/>
        <v>6106</v>
      </c>
      <c r="G869" s="135">
        <f t="shared" si="2053"/>
        <v>6106</v>
      </c>
      <c r="H869" s="138">
        <f t="shared" si="2053"/>
        <v>6106</v>
      </c>
      <c r="I869" s="135">
        <f t="shared" si="2053"/>
        <v>6104</v>
      </c>
      <c r="J869" s="135">
        <f t="shared" si="2053"/>
        <v>6104</v>
      </c>
      <c r="K869" s="135">
        <f t="shared" si="2053"/>
        <v>7151</v>
      </c>
      <c r="L869" s="135">
        <f t="shared" si="2053"/>
        <v>7026</v>
      </c>
      <c r="M869" s="138">
        <f t="shared" si="2053"/>
        <v>7026</v>
      </c>
      <c r="N869" s="135">
        <f t="shared" si="2053"/>
        <v>7133</v>
      </c>
      <c r="O869" s="135">
        <f t="shared" si="2053"/>
        <v>7133</v>
      </c>
      <c r="P869" s="135">
        <f t="shared" si="2053"/>
        <v>6659</v>
      </c>
      <c r="Q869" s="135">
        <f t="shared" si="2053"/>
        <v>6659</v>
      </c>
      <c r="R869" s="138">
        <f t="shared" si="2053"/>
        <v>6659</v>
      </c>
      <c r="S869" s="135">
        <f t="shared" si="2053"/>
        <v>7115</v>
      </c>
      <c r="T869" s="135">
        <f t="shared" si="2053"/>
        <v>6896</v>
      </c>
      <c r="U869" s="135">
        <f t="shared" si="2053"/>
        <v>6584</v>
      </c>
      <c r="V869" s="452">
        <f t="shared" si="2053"/>
        <v>6552</v>
      </c>
      <c r="W869" s="452">
        <f t="shared" si="2053"/>
        <v>6552</v>
      </c>
      <c r="X869" s="135">
        <f t="shared" si="2053"/>
        <v>6564</v>
      </c>
      <c r="Y869" s="135">
        <f t="shared" si="2053"/>
        <v>6449</v>
      </c>
      <c r="Z869" s="135">
        <f t="shared" si="2053"/>
        <v>6438</v>
      </c>
      <c r="AA869" s="135">
        <f t="shared" si="2053"/>
        <v>6719</v>
      </c>
      <c r="AB869" s="138">
        <f t="shared" si="2053"/>
        <v>6719</v>
      </c>
      <c r="AC869" s="135">
        <f t="shared" si="2053"/>
        <v>6325.0329999999985</v>
      </c>
      <c r="AD869" s="135">
        <f t="shared" si="2053"/>
        <v>6369.3082309999982</v>
      </c>
      <c r="AE869" s="135">
        <f t="shared" si="2053"/>
        <v>6738</v>
      </c>
      <c r="AF869" s="452">
        <f t="shared" si="2053"/>
        <v>6738</v>
      </c>
      <c r="AG869" s="452">
        <f t="shared" si="2053"/>
        <v>6738</v>
      </c>
      <c r="AH869" s="135">
        <f t="shared" si="2053"/>
        <v>6805.38</v>
      </c>
      <c r="AI869" s="135">
        <f t="shared" si="2053"/>
        <v>6873.4338000000007</v>
      </c>
      <c r="AJ869" s="135">
        <f t="shared" si="2053"/>
        <v>6938.7314211000012</v>
      </c>
      <c r="AK869" s="452">
        <f t="shared" si="2053"/>
        <v>7008.1187353110008</v>
      </c>
      <c r="AL869" s="452">
        <f t="shared" ref="AL869" si="2054">AL441+AL442</f>
        <v>7008.1187353110008</v>
      </c>
      <c r="AM869" s="452">
        <f t="shared" si="2053"/>
        <v>7288.4434847234415</v>
      </c>
      <c r="AN869" s="452">
        <f t="shared" si="2053"/>
        <v>7434.2123544179103</v>
      </c>
    </row>
    <row r="870" spans="1:40">
      <c r="A870" s="578" t="s">
        <v>1423</v>
      </c>
      <c r="B870" s="614"/>
      <c r="C870" s="655">
        <f>C869/B869-1</f>
        <v>1.1534701857282448E-2</v>
      </c>
      <c r="D870" s="611"/>
      <c r="E870" s="611"/>
      <c r="F870" s="611"/>
      <c r="G870" s="611"/>
      <c r="H870" s="455">
        <f>H869/C869-1</f>
        <v>0.18013142636258217</v>
      </c>
      <c r="I870" s="611">
        <f>I869/D869-1</f>
        <v>8.2845485187156287E-2</v>
      </c>
      <c r="J870" s="611">
        <f>J869/E869-1</f>
        <v>8.0736543909348368E-2</v>
      </c>
      <c r="K870" s="611">
        <f>K869/F869-1</f>
        <v>0.17114313789715041</v>
      </c>
      <c r="L870" s="611">
        <f>L869/G869-1</f>
        <v>0.15067147068457265</v>
      </c>
      <c r="M870" s="455">
        <f t="shared" ref="M870:R870" si="2055">M869/H869-1</f>
        <v>0.15067147068457265</v>
      </c>
      <c r="N870" s="611">
        <f>N869/I869-1</f>
        <v>0.16857798165137616</v>
      </c>
      <c r="O870" s="611">
        <f t="shared" si="2055"/>
        <v>0.16857798165137616</v>
      </c>
      <c r="P870" s="611">
        <f t="shared" si="2055"/>
        <v>-6.8801566214515497E-2</v>
      </c>
      <c r="Q870" s="611">
        <f t="shared" si="2055"/>
        <v>-5.2234557358383116E-2</v>
      </c>
      <c r="R870" s="455">
        <f t="shared" si="2055"/>
        <v>-5.2234557358383116E-2</v>
      </c>
      <c r="S870" s="611">
        <f t="shared" ref="S870:AB870" si="2056">S869/N869-1</f>
        <v>-2.5234824057198679E-3</v>
      </c>
      <c r="T870" s="611">
        <f t="shared" si="2056"/>
        <v>-3.322585167531189E-2</v>
      </c>
      <c r="U870" s="611">
        <f t="shared" si="2056"/>
        <v>-1.1262952395254544E-2</v>
      </c>
      <c r="V870" s="690">
        <f t="shared" si="2056"/>
        <v>-1.6068478750563164E-2</v>
      </c>
      <c r="W870" s="655">
        <f t="shared" si="2056"/>
        <v>-1.6068478750563164E-2</v>
      </c>
      <c r="X870" s="611">
        <f t="shared" si="2056"/>
        <v>-7.7442023893183443E-2</v>
      </c>
      <c r="Y870" s="611">
        <f t="shared" si="2056"/>
        <v>-6.4820185614849146E-2</v>
      </c>
      <c r="Z870" s="611">
        <f t="shared" si="2056"/>
        <v>-2.2174969623329321E-2</v>
      </c>
      <c r="AA870" s="611">
        <f t="shared" si="2056"/>
        <v>2.5488400488400398E-2</v>
      </c>
      <c r="AB870" s="455">
        <f t="shared" si="2056"/>
        <v>2.5488400488400398E-2</v>
      </c>
      <c r="AC870" s="611">
        <f t="shared" ref="AC870:AL870" si="2057">AC869/X869-1</f>
        <v>-3.6405697745277465E-2</v>
      </c>
      <c r="AD870" s="611">
        <f t="shared" si="2057"/>
        <v>-1.2357228872693748E-2</v>
      </c>
      <c r="AE870" s="611">
        <f t="shared" si="2057"/>
        <v>4.6598322460391417E-2</v>
      </c>
      <c r="AF870" s="690">
        <f t="shared" si="2057"/>
        <v>2.8278017562137769E-3</v>
      </c>
      <c r="AG870" s="655">
        <f t="shared" si="2057"/>
        <v>2.8278017562137769E-3</v>
      </c>
      <c r="AH870" s="611">
        <f t="shared" si="2057"/>
        <v>7.5943793494832601E-2</v>
      </c>
      <c r="AI870" s="611">
        <f t="shared" si="2057"/>
        <v>7.9149187119941455E-2</v>
      </c>
      <c r="AJ870" s="611">
        <f t="shared" si="2057"/>
        <v>2.9790950000000205E-2</v>
      </c>
      <c r="AK870" s="690">
        <f t="shared" si="2057"/>
        <v>4.0088859500000185E-2</v>
      </c>
      <c r="AL870" s="655">
        <f t="shared" si="2057"/>
        <v>4.0088859500000185E-2</v>
      </c>
      <c r="AM870" s="691">
        <v>0.04</v>
      </c>
      <c r="AN870" s="691">
        <v>0.02</v>
      </c>
    </row>
    <row r="871" spans="1:40">
      <c r="A871" s="578" t="s">
        <v>446</v>
      </c>
      <c r="B871" s="138"/>
      <c r="C871" s="138"/>
      <c r="D871" s="417">
        <f>D869/C869-1</f>
        <v>8.948589099342863E-2</v>
      </c>
      <c r="E871" s="417">
        <f>E869/D869-1</f>
        <v>1.9513925847081115E-3</v>
      </c>
      <c r="F871" s="417">
        <f>F869/E869-1</f>
        <v>8.1090651558073601E-2</v>
      </c>
      <c r="G871" s="417">
        <f>G869/F869-1</f>
        <v>0</v>
      </c>
      <c r="H871" s="455"/>
      <c r="I871" s="417">
        <f>I869/H869-1</f>
        <v>-3.2754667540124682E-4</v>
      </c>
      <c r="J871" s="417">
        <f>J869/I869-1</f>
        <v>0</v>
      </c>
      <c r="K871" s="417">
        <f>K869/J869-1</f>
        <v>0.17152686762778502</v>
      </c>
      <c r="L871" s="417">
        <f>L869/K869-1</f>
        <v>-1.7480072717102502E-2</v>
      </c>
      <c r="M871" s="455"/>
      <c r="N871" s="417">
        <f>N869/M869-1</f>
        <v>1.5229148875604892E-2</v>
      </c>
      <c r="O871" s="417">
        <f>O869/N869-1</f>
        <v>0</v>
      </c>
      <c r="P871" s="417">
        <f>P869/O869-1</f>
        <v>-6.6451703350623892E-2</v>
      </c>
      <c r="Q871" s="417">
        <f>Q869/P869-1</f>
        <v>0</v>
      </c>
      <c r="R871" s="455"/>
      <c r="S871" s="417">
        <f>S869/R869-1</f>
        <v>6.8478750563147672E-2</v>
      </c>
      <c r="T871" s="417">
        <f>T869/S869-1</f>
        <v>-3.0780042164441301E-2</v>
      </c>
      <c r="U871" s="417">
        <f>U869/T869-1</f>
        <v>-4.5243619489559128E-2</v>
      </c>
      <c r="V871" s="417">
        <f>V869/U869-1</f>
        <v>-4.860267314702349E-3</v>
      </c>
      <c r="W871" s="455"/>
      <c r="X871" s="417">
        <f>X869/W869-1</f>
        <v>1.831501831501825E-3</v>
      </c>
      <c r="Y871" s="417">
        <f>Y869/X869-1</f>
        <v>-1.7519804996953048E-2</v>
      </c>
      <c r="Z871" s="417">
        <f>Z869/Y869-1</f>
        <v>-1.7056908047758945E-3</v>
      </c>
      <c r="AA871" s="417">
        <f>AA869/Z869-1</f>
        <v>4.3647095371233346E-2</v>
      </c>
      <c r="AB871" s="455"/>
      <c r="AC871" s="558">
        <v>7.0000000000000001E-3</v>
      </c>
      <c r="AD871" s="558">
        <v>7.0000000000000001E-3</v>
      </c>
      <c r="AE871" s="417">
        <f>AE869/AD869-1</f>
        <v>5.7885684854368513E-2</v>
      </c>
      <c r="AF871" s="691">
        <v>7.0000000000000001E-3</v>
      </c>
      <c r="AG871" s="655"/>
      <c r="AH871" s="3924">
        <v>0.01</v>
      </c>
      <c r="AI871" s="3924">
        <v>0.01</v>
      </c>
      <c r="AJ871" s="3924">
        <v>9.4999999999999998E-3</v>
      </c>
      <c r="AK871" s="691">
        <v>0.01</v>
      </c>
      <c r="AL871" s="655"/>
      <c r="AM871" s="655"/>
      <c r="AN871" s="655"/>
    </row>
    <row r="872" spans="1:40">
      <c r="A872" s="394" t="s">
        <v>1767</v>
      </c>
      <c r="B872" s="452">
        <f t="shared" ref="B872:AN872" si="2058">B444+B446+B447+B445</f>
        <v>47132</v>
      </c>
      <c r="C872" s="138">
        <f t="shared" si="2058"/>
        <v>44238</v>
      </c>
      <c r="D872" s="135">
        <f t="shared" si="2058"/>
        <v>45249</v>
      </c>
      <c r="E872" s="135">
        <f t="shared" si="2058"/>
        <v>44216</v>
      </c>
      <c r="F872" s="135">
        <f t="shared" si="2058"/>
        <v>43994</v>
      </c>
      <c r="G872" s="135">
        <f t="shared" si="2058"/>
        <v>43622</v>
      </c>
      <c r="H872" s="138">
        <f t="shared" si="2058"/>
        <v>43622</v>
      </c>
      <c r="I872" s="135">
        <f t="shared" si="2058"/>
        <v>43677</v>
      </c>
      <c r="J872" s="135">
        <f t="shared" si="2058"/>
        <v>43940</v>
      </c>
      <c r="K872" s="135">
        <f t="shared" si="2058"/>
        <v>43889</v>
      </c>
      <c r="L872" s="135">
        <f t="shared" si="2058"/>
        <v>43466</v>
      </c>
      <c r="M872" s="138">
        <f t="shared" si="2058"/>
        <v>43466</v>
      </c>
      <c r="N872" s="135">
        <f t="shared" si="2058"/>
        <v>43338</v>
      </c>
      <c r="O872" s="135">
        <f t="shared" si="2058"/>
        <v>42831</v>
      </c>
      <c r="P872" s="135">
        <f t="shared" si="2058"/>
        <v>44322</v>
      </c>
      <c r="Q872" s="135">
        <f t="shared" si="2058"/>
        <v>45470</v>
      </c>
      <c r="R872" s="138">
        <f t="shared" si="2058"/>
        <v>45470</v>
      </c>
      <c r="S872" s="135">
        <f t="shared" si="2058"/>
        <v>43582</v>
      </c>
      <c r="T872" s="135">
        <f t="shared" si="2058"/>
        <v>42350</v>
      </c>
      <c r="U872" s="135">
        <f t="shared" si="2058"/>
        <v>41827</v>
      </c>
      <c r="V872" s="135">
        <f t="shared" si="2058"/>
        <v>42470</v>
      </c>
      <c r="W872" s="138">
        <f t="shared" si="2058"/>
        <v>42470</v>
      </c>
      <c r="X872" s="135">
        <f t="shared" si="2058"/>
        <v>41821</v>
      </c>
      <c r="Y872" s="135">
        <f t="shared" si="2058"/>
        <v>41716</v>
      </c>
      <c r="Z872" s="135">
        <f t="shared" si="2058"/>
        <v>42164</v>
      </c>
      <c r="AA872" s="135">
        <f t="shared" si="2058"/>
        <v>41970</v>
      </c>
      <c r="AB872" s="138">
        <f t="shared" si="2058"/>
        <v>41970</v>
      </c>
      <c r="AC872" s="135">
        <f t="shared" si="2058"/>
        <v>72062.789999999994</v>
      </c>
      <c r="AD872" s="135">
        <f t="shared" si="2058"/>
        <v>72567.229529999982</v>
      </c>
      <c r="AE872" s="135">
        <f t="shared" si="2058"/>
        <v>73350</v>
      </c>
      <c r="AF872" s="452">
        <f t="shared" si="2058"/>
        <v>73837</v>
      </c>
      <c r="AG872" s="452">
        <f t="shared" si="2058"/>
        <v>73837</v>
      </c>
      <c r="AH872" s="135">
        <f t="shared" ref="AH872:AL872" si="2059">AH444+AH446+AH447+AH445</f>
        <v>74914.84</v>
      </c>
      <c r="AI872" s="135">
        <f t="shared" si="2059"/>
        <v>75943.207143999985</v>
      </c>
      <c r="AJ872" s="135">
        <f t="shared" si="2059"/>
        <v>76682.829215439997</v>
      </c>
      <c r="AK872" s="452">
        <f t="shared" si="2059"/>
        <v>77429.847507594386</v>
      </c>
      <c r="AL872" s="452">
        <f t="shared" si="2059"/>
        <v>77429.847507594386</v>
      </c>
      <c r="AM872" s="452">
        <f t="shared" si="2058"/>
        <v>81202.289882974117</v>
      </c>
      <c r="AN872" s="452">
        <f t="shared" si="2058"/>
        <v>83578.928579463332</v>
      </c>
    </row>
    <row r="873" spans="1:40">
      <c r="A873" s="578" t="s">
        <v>1423</v>
      </c>
      <c r="B873" s="614"/>
      <c r="C873" s="655">
        <f>C872/B872-1</f>
        <v>-6.1402019859119084E-2</v>
      </c>
      <c r="D873" s="611"/>
      <c r="E873" s="611"/>
      <c r="F873" s="611"/>
      <c r="G873" s="611"/>
      <c r="H873" s="455">
        <f t="shared" ref="H873:U873" si="2060">H872/C872-1</f>
        <v>-1.3924680139246748E-2</v>
      </c>
      <c r="I873" s="611">
        <f t="shared" si="2060"/>
        <v>-3.4741099250812146E-2</v>
      </c>
      <c r="J873" s="611">
        <f t="shared" si="2060"/>
        <v>-6.2420843133706994E-3</v>
      </c>
      <c r="K873" s="611">
        <f t="shared" si="2060"/>
        <v>-2.3866890939673313E-3</v>
      </c>
      <c r="L873" s="611">
        <f t="shared" si="2060"/>
        <v>-3.5761771583145974E-3</v>
      </c>
      <c r="M873" s="455">
        <f>M872/H872-1</f>
        <v>-3.5761771583145974E-3</v>
      </c>
      <c r="N873" s="611">
        <f t="shared" si="2060"/>
        <v>-7.7615220825606457E-3</v>
      </c>
      <c r="O873" s="611">
        <f t="shared" si="2060"/>
        <v>-2.5238962221210692E-2</v>
      </c>
      <c r="P873" s="611">
        <f t="shared" si="2060"/>
        <v>9.8657978081069242E-3</v>
      </c>
      <c r="Q873" s="611">
        <f t="shared" si="2060"/>
        <v>4.6105001610454055E-2</v>
      </c>
      <c r="R873" s="455">
        <f t="shared" si="2060"/>
        <v>4.6105001610454055E-2</v>
      </c>
      <c r="S873" s="611">
        <f t="shared" si="2060"/>
        <v>5.6301629055333091E-3</v>
      </c>
      <c r="T873" s="611">
        <f t="shared" si="2060"/>
        <v>-1.1230183745418065E-2</v>
      </c>
      <c r="U873" s="611">
        <f t="shared" si="2060"/>
        <v>-5.6292586074635609E-2</v>
      </c>
      <c r="V873" s="611">
        <f t="shared" ref="V873:AB873" si="2061">V872/Q872-1</f>
        <v>-6.5977567627006795E-2</v>
      </c>
      <c r="W873" s="455">
        <f t="shared" si="2061"/>
        <v>-6.5977567627006795E-2</v>
      </c>
      <c r="X873" s="611">
        <f t="shared" si="2061"/>
        <v>-4.0406589876554544E-2</v>
      </c>
      <c r="Y873" s="611">
        <f t="shared" si="2061"/>
        <v>-1.4970484061393119E-2</v>
      </c>
      <c r="Z873" s="611">
        <f t="shared" si="2061"/>
        <v>8.0569966767878309E-3</v>
      </c>
      <c r="AA873" s="611">
        <f t="shared" si="2061"/>
        <v>-1.1773016246762413E-2</v>
      </c>
      <c r="AB873" s="455">
        <f t="shared" si="2061"/>
        <v>-1.1773016246762413E-2</v>
      </c>
      <c r="AC873" s="611">
        <f t="shared" ref="AC873:AL873" si="2062">AC872/X872-1</f>
        <v>0.72312450682671381</v>
      </c>
      <c r="AD873" s="611">
        <f t="shared" si="2062"/>
        <v>0.73955387692971475</v>
      </c>
      <c r="AE873" s="611">
        <f t="shared" si="2062"/>
        <v>0.73963570818707902</v>
      </c>
      <c r="AF873" s="690">
        <f t="shared" si="2062"/>
        <v>0.75928043840838688</v>
      </c>
      <c r="AG873" s="655">
        <f t="shared" si="2062"/>
        <v>0.75928043840838688</v>
      </c>
      <c r="AH873" s="611">
        <f t="shared" si="2062"/>
        <v>3.9577290859818204E-2</v>
      </c>
      <c r="AI873" s="611">
        <f t="shared" si="2062"/>
        <v>4.6522068375289827E-2</v>
      </c>
      <c r="AJ873" s="611">
        <f t="shared" si="2062"/>
        <v>4.5437344450443007E-2</v>
      </c>
      <c r="AK873" s="690">
        <f t="shared" si="2062"/>
        <v>4.8659175042246927E-2</v>
      </c>
      <c r="AL873" s="655">
        <f t="shared" si="2062"/>
        <v>4.8659175042246927E-2</v>
      </c>
      <c r="AM873" s="691">
        <v>0.05</v>
      </c>
      <c r="AN873" s="691">
        <v>0.03</v>
      </c>
    </row>
    <row r="874" spans="1:40">
      <c r="A874" s="578" t="s">
        <v>446</v>
      </c>
      <c r="B874" s="138"/>
      <c r="C874" s="138"/>
      <c r="D874" s="417">
        <f>D872/C872-1</f>
        <v>2.2853655228536551E-2</v>
      </c>
      <c r="E874" s="417">
        <f>E872/D872-1</f>
        <v>-2.2829233795221948E-2</v>
      </c>
      <c r="F874" s="417">
        <f>F872/E872-1</f>
        <v>-5.0208069477112316E-3</v>
      </c>
      <c r="G874" s="417">
        <f>G872/F872-1</f>
        <v>-8.455698504341469E-3</v>
      </c>
      <c r="H874" s="455"/>
      <c r="I874" s="417">
        <f>I872/H872-1</f>
        <v>1.260831690431452E-3</v>
      </c>
      <c r="J874" s="417">
        <f>J872/I872-1</f>
        <v>6.0214758339629526E-3</v>
      </c>
      <c r="K874" s="417">
        <f>K872/J872-1</f>
        <v>-1.1606736458807942E-3</v>
      </c>
      <c r="L874" s="417">
        <f>L872/K872-1</f>
        <v>-9.6379502836702047E-3</v>
      </c>
      <c r="M874" s="455"/>
      <c r="N874" s="417">
        <f>N872/M872-1</f>
        <v>-2.9448304421847427E-3</v>
      </c>
      <c r="O874" s="417">
        <f>O872/N872-1</f>
        <v>-1.1698740135677732E-2</v>
      </c>
      <c r="P874" s="417">
        <f>P872/O872-1</f>
        <v>3.4811234853260542E-2</v>
      </c>
      <c r="Q874" s="417">
        <f>Q872/P872-1</f>
        <v>2.5901358241956496E-2</v>
      </c>
      <c r="R874" s="455"/>
      <c r="S874" s="417">
        <f>S872/R872-1</f>
        <v>-4.1521882559929613E-2</v>
      </c>
      <c r="T874" s="417">
        <f>T872/S872-1</f>
        <v>-2.8268551236749095E-2</v>
      </c>
      <c r="U874" s="417">
        <f>U872/T872-1</f>
        <v>-1.234946871310505E-2</v>
      </c>
      <c r="V874" s="417">
        <f>V872/U872-1</f>
        <v>1.5372845291319104E-2</v>
      </c>
      <c r="W874" s="455"/>
      <c r="X874" s="417">
        <f>X872/W872-1</f>
        <v>-1.5281375088297633E-2</v>
      </c>
      <c r="Y874" s="417">
        <f>Y872/X872-1</f>
        <v>-2.5107003658448868E-3</v>
      </c>
      <c r="Z874" s="417">
        <f>Z872/Y872-1</f>
        <v>1.073928468693075E-2</v>
      </c>
      <c r="AA874" s="417">
        <f>AA872/Z872-1</f>
        <v>-4.6010814913196585E-3</v>
      </c>
      <c r="AB874" s="455"/>
      <c r="AC874" s="558">
        <v>7.0000000000000001E-3</v>
      </c>
      <c r="AD874" s="558">
        <v>7.0000000000000001E-3</v>
      </c>
      <c r="AE874" s="417">
        <f>AE872/AD872-1</f>
        <v>1.0786831398550412E-2</v>
      </c>
      <c r="AF874" s="691">
        <v>7.0000000000000001E-3</v>
      </c>
      <c r="AG874" s="655"/>
      <c r="AH874" s="3924">
        <v>1.4999999999999999E-2</v>
      </c>
      <c r="AI874" s="3924">
        <v>1.41E-2</v>
      </c>
      <c r="AJ874" s="3924">
        <v>0.01</v>
      </c>
      <c r="AK874" s="3924">
        <v>0.01</v>
      </c>
      <c r="AL874" s="455"/>
      <c r="AM874" s="655"/>
      <c r="AN874" s="655"/>
    </row>
    <row r="875" spans="1:40">
      <c r="A875" s="394" t="s">
        <v>1867</v>
      </c>
      <c r="B875" s="138">
        <f t="shared" ref="B875:AN875" si="2063">B448+B449+B450+B453</f>
        <v>10501</v>
      </c>
      <c r="C875" s="138">
        <f t="shared" si="2063"/>
        <v>10321</v>
      </c>
      <c r="D875" s="135">
        <f t="shared" si="2063"/>
        <v>10321</v>
      </c>
      <c r="E875" s="135">
        <f t="shared" si="2063"/>
        <v>9750</v>
      </c>
      <c r="F875" s="135">
        <f t="shared" si="2063"/>
        <v>9048</v>
      </c>
      <c r="G875" s="135">
        <f t="shared" si="2063"/>
        <v>9048</v>
      </c>
      <c r="H875" s="138">
        <f t="shared" si="2063"/>
        <v>9048</v>
      </c>
      <c r="I875" s="135">
        <f t="shared" si="2063"/>
        <v>12193</v>
      </c>
      <c r="J875" s="135">
        <f t="shared" si="2063"/>
        <v>11305</v>
      </c>
      <c r="K875" s="135">
        <f t="shared" si="2063"/>
        <v>11533</v>
      </c>
      <c r="L875" s="135">
        <f t="shared" si="2063"/>
        <v>11215</v>
      </c>
      <c r="M875" s="138">
        <f t="shared" si="2063"/>
        <v>11215</v>
      </c>
      <c r="N875" s="135">
        <f t="shared" si="2063"/>
        <v>11140</v>
      </c>
      <c r="O875" s="135">
        <f t="shared" si="2063"/>
        <v>11140</v>
      </c>
      <c r="P875" s="135">
        <f t="shared" si="2063"/>
        <v>10525</v>
      </c>
      <c r="Q875" s="135">
        <f t="shared" si="2063"/>
        <v>9657</v>
      </c>
      <c r="R875" s="138">
        <f t="shared" si="2063"/>
        <v>9657</v>
      </c>
      <c r="S875" s="135">
        <f t="shared" si="2063"/>
        <v>9685</v>
      </c>
      <c r="T875" s="135">
        <f t="shared" si="2063"/>
        <v>9529</v>
      </c>
      <c r="U875" s="135">
        <f t="shared" si="2063"/>
        <v>9295</v>
      </c>
      <c r="V875" s="135">
        <f t="shared" si="2063"/>
        <v>9295</v>
      </c>
      <c r="W875" s="138">
        <f t="shared" si="2063"/>
        <v>9295</v>
      </c>
      <c r="X875" s="135">
        <f t="shared" si="2063"/>
        <v>9295</v>
      </c>
      <c r="Y875" s="135">
        <f t="shared" si="2063"/>
        <v>9187</v>
      </c>
      <c r="Z875" s="135">
        <f t="shared" si="2063"/>
        <v>9187</v>
      </c>
      <c r="AA875" s="135">
        <f t="shared" si="2063"/>
        <v>9109</v>
      </c>
      <c r="AB875" s="138">
        <f t="shared" si="2063"/>
        <v>9109</v>
      </c>
      <c r="AC875" s="135">
        <f t="shared" si="2063"/>
        <v>9711.18</v>
      </c>
      <c r="AD875" s="135">
        <f t="shared" si="2063"/>
        <v>9814.7878799999999</v>
      </c>
      <c r="AE875" s="135">
        <f t="shared" si="2063"/>
        <v>8718</v>
      </c>
      <c r="AF875" s="452">
        <f t="shared" si="2063"/>
        <v>8477</v>
      </c>
      <c r="AG875" s="452">
        <f t="shared" si="2063"/>
        <v>8477</v>
      </c>
      <c r="AH875" s="135">
        <f t="shared" ref="AH875:AL875" si="2064">AH448+AH449+AH450+AH453</f>
        <v>8646.5400000000009</v>
      </c>
      <c r="AI875" s="135">
        <f t="shared" si="2064"/>
        <v>8819.470800000001</v>
      </c>
      <c r="AJ875" s="135">
        <f t="shared" si="2064"/>
        <v>8973.8115390000003</v>
      </c>
      <c r="AK875" s="452">
        <f t="shared" si="2064"/>
        <v>9130.8532409325016</v>
      </c>
      <c r="AL875" s="452">
        <f t="shared" si="2064"/>
        <v>9130.8532409325016</v>
      </c>
      <c r="AM875" s="452">
        <f t="shared" si="2063"/>
        <v>9770.0129677977766</v>
      </c>
      <c r="AN875" s="452">
        <f t="shared" si="2063"/>
        <v>10258.513616187665</v>
      </c>
    </row>
    <row r="876" spans="1:40">
      <c r="A876" s="578" t="s">
        <v>1423</v>
      </c>
      <c r="B876" s="614"/>
      <c r="C876" s="655">
        <f>C875/B875-1</f>
        <v>-1.7141224645271902E-2</v>
      </c>
      <c r="D876" s="611"/>
      <c r="E876" s="611"/>
      <c r="F876" s="611"/>
      <c r="G876" s="611"/>
      <c r="H876" s="455">
        <f t="shared" ref="H876:U876" si="2065">H875/C875-1</f>
        <v>-0.123340761554113</v>
      </c>
      <c r="I876" s="611">
        <f t="shared" si="2065"/>
        <v>0.18137777347156292</v>
      </c>
      <c r="J876" s="611">
        <f t="shared" si="2065"/>
        <v>0.1594871794871795</v>
      </c>
      <c r="K876" s="611">
        <f t="shared" si="2065"/>
        <v>0.27464633068081334</v>
      </c>
      <c r="L876" s="611">
        <f t="shared" si="2065"/>
        <v>0.23950044208664889</v>
      </c>
      <c r="M876" s="455">
        <f>M875/H875-1</f>
        <v>0.23950044208664889</v>
      </c>
      <c r="N876" s="611">
        <f t="shared" si="2065"/>
        <v>-8.636102681866642E-2</v>
      </c>
      <c r="O876" s="611">
        <f t="shared" si="2065"/>
        <v>-1.4595311808934142E-2</v>
      </c>
      <c r="P876" s="611">
        <f t="shared" si="2065"/>
        <v>-8.7401369981791377E-2</v>
      </c>
      <c r="Q876" s="611">
        <f t="shared" si="2065"/>
        <v>-0.13892108782880075</v>
      </c>
      <c r="R876" s="455">
        <f t="shared" si="2065"/>
        <v>-0.13892108782880075</v>
      </c>
      <c r="S876" s="611">
        <f t="shared" si="2065"/>
        <v>-0.13061041292639142</v>
      </c>
      <c r="T876" s="611">
        <f t="shared" si="2065"/>
        <v>-0.14461400359066423</v>
      </c>
      <c r="U876" s="611">
        <f t="shared" si="2065"/>
        <v>-0.11686460807600951</v>
      </c>
      <c r="V876" s="611">
        <f t="shared" ref="V876:AB876" si="2066">V875/Q875-1</f>
        <v>-3.7485761623692659E-2</v>
      </c>
      <c r="W876" s="455">
        <f t="shared" si="2066"/>
        <v>-3.7485761623692659E-2</v>
      </c>
      <c r="X876" s="611">
        <f t="shared" si="2066"/>
        <v>-4.0268456375838979E-2</v>
      </c>
      <c r="Y876" s="611">
        <f t="shared" si="2066"/>
        <v>-3.589043971035788E-2</v>
      </c>
      <c r="Z876" s="611">
        <f t="shared" si="2066"/>
        <v>-1.1619150080688589E-2</v>
      </c>
      <c r="AA876" s="611">
        <f t="shared" si="2066"/>
        <v>-2.0010758472296941E-2</v>
      </c>
      <c r="AB876" s="455">
        <f t="shared" si="2066"/>
        <v>-2.0010758472296941E-2</v>
      </c>
      <c r="AC876" s="611">
        <f t="shared" ref="AC876:AL876" si="2067">AC875/X875-1</f>
        <v>4.477461000537919E-2</v>
      </c>
      <c r="AD876" s="611">
        <f t="shared" si="2067"/>
        <v>6.8334372482856232E-2</v>
      </c>
      <c r="AE876" s="611">
        <f t="shared" si="2067"/>
        <v>-5.1050397300533401E-2</v>
      </c>
      <c r="AF876" s="690">
        <f t="shared" si="2067"/>
        <v>-6.9381929959380861E-2</v>
      </c>
      <c r="AG876" s="655">
        <f t="shared" si="2067"/>
        <v>-6.9381929959380861E-2</v>
      </c>
      <c r="AH876" s="611">
        <f t="shared" si="2067"/>
        <v>-0.10963034358337498</v>
      </c>
      <c r="AI876" s="611">
        <f t="shared" si="2067"/>
        <v>-0.10140994305421491</v>
      </c>
      <c r="AJ876" s="611">
        <f t="shared" si="2067"/>
        <v>2.9342915691672466E-2</v>
      </c>
      <c r="AK876" s="690">
        <f t="shared" si="2067"/>
        <v>7.7132622500000192E-2</v>
      </c>
      <c r="AL876" s="655">
        <f t="shared" si="2067"/>
        <v>7.7132622500000192E-2</v>
      </c>
      <c r="AM876" s="691">
        <v>7.0000000000000007E-2</v>
      </c>
      <c r="AN876" s="691">
        <v>0.05</v>
      </c>
    </row>
    <row r="877" spans="1:40">
      <c r="A877" s="578" t="s">
        <v>446</v>
      </c>
      <c r="B877" s="138"/>
      <c r="C877" s="138"/>
      <c r="D877" s="417">
        <f>D875/C875-1</f>
        <v>0</v>
      </c>
      <c r="E877" s="417">
        <f>E875/D875-1</f>
        <v>-5.5324096502276876E-2</v>
      </c>
      <c r="F877" s="417">
        <f>F875/E875-1</f>
        <v>-7.1999999999999953E-2</v>
      </c>
      <c r="G877" s="417">
        <f>G875/F875-1</f>
        <v>0</v>
      </c>
      <c r="H877" s="455"/>
      <c r="I877" s="417">
        <f>I875/H875-1</f>
        <v>0.34759062776304162</v>
      </c>
      <c r="J877" s="417">
        <f>J875/I875-1</f>
        <v>-7.282867218896083E-2</v>
      </c>
      <c r="K877" s="417">
        <f>K875/J875-1</f>
        <v>2.0168067226890685E-2</v>
      </c>
      <c r="L877" s="417">
        <f>L875/K875-1</f>
        <v>-2.7573051244255575E-2</v>
      </c>
      <c r="M877" s="455"/>
      <c r="N877" s="417">
        <f>N875/M875-1</f>
        <v>-6.6874721355327793E-3</v>
      </c>
      <c r="O877" s="417">
        <f>O875/N875-1</f>
        <v>0</v>
      </c>
      <c r="P877" s="417">
        <f>P875/O875-1</f>
        <v>-5.5206463195691224E-2</v>
      </c>
      <c r="Q877" s="417">
        <f>Q875/P875-1</f>
        <v>-8.2470308788598623E-2</v>
      </c>
      <c r="R877" s="455"/>
      <c r="S877" s="417">
        <f>S875/R875-1</f>
        <v>2.8994511753133168E-3</v>
      </c>
      <c r="T877" s="417">
        <f>T875/S875-1</f>
        <v>-1.6107382550335614E-2</v>
      </c>
      <c r="U877" s="417">
        <f>U875/T875-1</f>
        <v>-2.4556616643929052E-2</v>
      </c>
      <c r="V877" s="417">
        <f>V875/U875-1</f>
        <v>0</v>
      </c>
      <c r="W877" s="456"/>
      <c r="X877" s="417">
        <f>X875/W875-1</f>
        <v>0</v>
      </c>
      <c r="Y877" s="417">
        <f>Y875/X875-1</f>
        <v>-1.1619150080688589E-2</v>
      </c>
      <c r="Z877" s="417">
        <f>Z875/Y875-1</f>
        <v>0</v>
      </c>
      <c r="AA877" s="417">
        <f>AA875/Z875-1</f>
        <v>-8.4902579732230032E-3</v>
      </c>
      <c r="AB877" s="456"/>
      <c r="AC877" s="558">
        <v>0.02</v>
      </c>
      <c r="AD877" s="558">
        <v>0.02</v>
      </c>
      <c r="AE877" s="417">
        <f>AE875/AD875-1</f>
        <v>-0.11174850576597484</v>
      </c>
      <c r="AF877" s="2400">
        <v>1.9E-2</v>
      </c>
      <c r="AG877" s="655"/>
      <c r="AH877" s="3924">
        <v>0.02</v>
      </c>
      <c r="AI877" s="3924">
        <v>0.02</v>
      </c>
      <c r="AJ877" s="3924">
        <v>1.7500000000000002E-2</v>
      </c>
      <c r="AK877" s="2400">
        <v>1.7500000000000002E-2</v>
      </c>
      <c r="AL877" s="655"/>
      <c r="AM877" s="655"/>
      <c r="AN877" s="655"/>
    </row>
    <row r="878" spans="1:40">
      <c r="A878" s="485" t="s">
        <v>447</v>
      </c>
      <c r="B878" s="613">
        <f t="shared" ref="B878:W878" si="2068">B869+B872+B875+B813</f>
        <v>64315</v>
      </c>
      <c r="C878" s="613">
        <f t="shared" si="2068"/>
        <v>64253</v>
      </c>
      <c r="D878" s="613">
        <f t="shared" si="2068"/>
        <v>64057</v>
      </c>
      <c r="E878" s="613">
        <f t="shared" si="2068"/>
        <v>62031</v>
      </c>
      <c r="F878" s="613">
        <f t="shared" si="2068"/>
        <v>61533</v>
      </c>
      <c r="G878" s="613">
        <f t="shared" si="2068"/>
        <v>61097</v>
      </c>
      <c r="H878" s="613">
        <f t="shared" si="2068"/>
        <v>61097</v>
      </c>
      <c r="I878" s="202">
        <f t="shared" si="2068"/>
        <v>63580</v>
      </c>
      <c r="J878" s="472">
        <f t="shared" si="2068"/>
        <v>62234</v>
      </c>
      <c r="K878" s="472">
        <f t="shared" si="2068"/>
        <v>63284</v>
      </c>
      <c r="L878" s="688">
        <f>L869+L872+L875+L813</f>
        <v>62802</v>
      </c>
      <c r="M878" s="613">
        <f>M869+M872+M875+M813</f>
        <v>62802</v>
      </c>
      <c r="N878" s="202">
        <f>N869+N872+N875+N813</f>
        <v>62443</v>
      </c>
      <c r="O878" s="472">
        <f t="shared" si="2068"/>
        <v>62048</v>
      </c>
      <c r="P878" s="472">
        <f t="shared" si="2068"/>
        <v>62450</v>
      </c>
      <c r="Q878" s="472">
        <f>Q869+Q872+Q875+Q813</f>
        <v>63011</v>
      </c>
      <c r="R878" s="613">
        <f t="shared" si="2068"/>
        <v>63011</v>
      </c>
      <c r="S878" s="202">
        <f>S869+S872+S875+S813</f>
        <v>61339</v>
      </c>
      <c r="T878" s="472">
        <f>T869+T872+T875+T813</f>
        <v>59732</v>
      </c>
      <c r="U878" s="472">
        <f>U869+U872+U875+U813</f>
        <v>58663</v>
      </c>
      <c r="V878" s="688">
        <f t="shared" si="2068"/>
        <v>59274</v>
      </c>
      <c r="W878" s="613">
        <f t="shared" si="2068"/>
        <v>59274</v>
      </c>
      <c r="X878" s="472">
        <f t="shared" ref="X878:AN878" si="2069">X869+X872+X875+X813</f>
        <v>58537</v>
      </c>
      <c r="Y878" s="472">
        <f t="shared" si="2069"/>
        <v>58692</v>
      </c>
      <c r="Z878" s="472">
        <f t="shared" si="2069"/>
        <v>58677</v>
      </c>
      <c r="AA878" s="472">
        <f t="shared" si="2069"/>
        <v>58686</v>
      </c>
      <c r="AB878" s="613">
        <f t="shared" si="2069"/>
        <v>58686</v>
      </c>
      <c r="AC878" s="472">
        <f>AC869+AC872+AC875+AC813</f>
        <v>88987.002999999997</v>
      </c>
      <c r="AD878" s="472">
        <f>AD869+AD872+AD875+AD813</f>
        <v>89639.325640999989</v>
      </c>
      <c r="AE878" s="3901">
        <f>AE869+AE872+AE875+AE813</f>
        <v>89694</v>
      </c>
      <c r="AF878" s="3899">
        <f>AF869+AF872+AF875+AF813</f>
        <v>90812</v>
      </c>
      <c r="AG878" s="3899">
        <f>AG869+AG872+AG875+AG813</f>
        <v>90812</v>
      </c>
      <c r="AH878" s="3901">
        <f t="shared" ref="AH878:AK878" si="2070">AH869+AH872+AH875+AH813</f>
        <v>92126.760000000009</v>
      </c>
      <c r="AI878" s="3901">
        <f t="shared" si="2070"/>
        <v>93396.11174399998</v>
      </c>
      <c r="AJ878" s="3901">
        <f t="shared" si="2070"/>
        <v>94355.372175540004</v>
      </c>
      <c r="AK878" s="3899">
        <f t="shared" si="2070"/>
        <v>95328.819483837884</v>
      </c>
      <c r="AL878" s="3899">
        <f>AL869+AL872+AL875+AL813</f>
        <v>95328.819483837884</v>
      </c>
      <c r="AM878" s="613">
        <f t="shared" si="2069"/>
        <v>100020.74633549534</v>
      </c>
      <c r="AN878" s="613">
        <f t="shared" si="2069"/>
        <v>103031.6545500689</v>
      </c>
    </row>
    <row r="879" spans="1:40">
      <c r="A879" s="578" t="s">
        <v>1423</v>
      </c>
      <c r="B879" s="614"/>
      <c r="C879" s="655">
        <f>C878/B878-1</f>
        <v>-9.640052864805515E-4</v>
      </c>
      <c r="D879" s="611"/>
      <c r="E879" s="611"/>
      <c r="F879" s="611"/>
      <c r="G879" s="611"/>
      <c r="H879" s="455">
        <f t="shared" ref="H879:U879" si="2071">H878/C878-1</f>
        <v>-4.911832910525582E-2</v>
      </c>
      <c r="I879" s="611">
        <f t="shared" si="2071"/>
        <v>-7.4464929672011237E-3</v>
      </c>
      <c r="J879" s="611">
        <f t="shared" si="2071"/>
        <v>3.2725572697522853E-3</v>
      </c>
      <c r="K879" s="611">
        <f t="shared" si="2071"/>
        <v>2.8456275494450178E-2</v>
      </c>
      <c r="L879" s="611">
        <f t="shared" si="2071"/>
        <v>2.7906443851580365E-2</v>
      </c>
      <c r="M879" s="455">
        <f>M878/H878-1</f>
        <v>2.7906443851580365E-2</v>
      </c>
      <c r="N879" s="611">
        <f t="shared" si="2071"/>
        <v>-1.7882982069833298E-2</v>
      </c>
      <c r="O879" s="611">
        <f t="shared" si="2071"/>
        <v>-2.9887199922872254E-3</v>
      </c>
      <c r="P879" s="611">
        <f t="shared" si="2071"/>
        <v>-1.3178686555843533E-2</v>
      </c>
      <c r="Q879" s="611">
        <f t="shared" si="2071"/>
        <v>3.3279194930098122E-3</v>
      </c>
      <c r="R879" s="455">
        <f t="shared" si="2071"/>
        <v>3.3279194930098122E-3</v>
      </c>
      <c r="S879" s="611">
        <f t="shared" si="2071"/>
        <v>-1.7680124273337317E-2</v>
      </c>
      <c r="T879" s="611">
        <f t="shared" si="2071"/>
        <v>-3.7325941206807656E-2</v>
      </c>
      <c r="U879" s="611">
        <f t="shared" si="2071"/>
        <v>-6.064051240992796E-2</v>
      </c>
      <c r="V879" s="611">
        <f t="shared" ref="V879:AB879" si="2072">V878/Q878-1</f>
        <v>-5.9307105108631797E-2</v>
      </c>
      <c r="W879" s="455">
        <f t="shared" si="2072"/>
        <v>-5.9307105108631797E-2</v>
      </c>
      <c r="X879" s="611">
        <f t="shared" si="2072"/>
        <v>-4.5680562121977908E-2</v>
      </c>
      <c r="Y879" s="611">
        <f t="shared" si="2072"/>
        <v>-1.7411102926404576E-2</v>
      </c>
      <c r="Z879" s="611">
        <f t="shared" si="2072"/>
        <v>2.3865127934130648E-4</v>
      </c>
      <c r="AA879" s="611">
        <f t="shared" si="2072"/>
        <v>-9.9200323919425015E-3</v>
      </c>
      <c r="AB879" s="455">
        <f t="shared" si="2072"/>
        <v>-9.9200323919425015E-3</v>
      </c>
      <c r="AC879" s="3047">
        <f>(AC878-($AB$857-AC857))/X878-1</f>
        <v>-1.2556109810888838E-2</v>
      </c>
      <c r="AD879" s="3047">
        <f>(AD878-($AB$857-AD857))/Y878-1</f>
        <v>-4.0495188270975868E-3</v>
      </c>
      <c r="AE879" s="3047">
        <f>(AE878-($AB$857-AE857))/Z878-1</f>
        <v>-2.8972169674659209E-3</v>
      </c>
      <c r="AF879" s="3902">
        <f>(AF878-($AB$857-AF857))/AA878-1</f>
        <v>1.6000408956139411E-2</v>
      </c>
      <c r="AG879" s="3900">
        <f>(AG878-(AB857-AG857))/AB878-1</f>
        <v>1.6000408956139411E-2</v>
      </c>
      <c r="AH879" s="3926">
        <f>AH878/AC878-1</f>
        <v>3.528332109353105E-2</v>
      </c>
      <c r="AI879" s="3927">
        <f t="shared" ref="AI879:AK879" si="2073">AI878/AD878-1</f>
        <v>4.1910021925484875E-2</v>
      </c>
      <c r="AJ879" s="3927">
        <f t="shared" si="2073"/>
        <v>5.1969721224831122E-2</v>
      </c>
      <c r="AK879" s="3992">
        <f t="shared" si="2073"/>
        <v>4.9738134650022969E-2</v>
      </c>
      <c r="AL879" s="3900">
        <f>(AL878-(AG857-AL857))/AG878-1</f>
        <v>4.9738134650022969E-2</v>
      </c>
      <c r="AM879" s="655">
        <f>AM878/AL878-1</f>
        <v>4.9218346320263784E-2</v>
      </c>
      <c r="AN879" s="655">
        <f>AN878/AM878-1</f>
        <v>3.0102836910196551E-2</v>
      </c>
    </row>
    <row r="880" spans="1:40">
      <c r="A880" s="578" t="s">
        <v>446</v>
      </c>
      <c r="B880" s="455"/>
      <c r="C880" s="138"/>
      <c r="D880" s="417">
        <f>D878/C878-1</f>
        <v>-3.0504412245342394E-3</v>
      </c>
      <c r="E880" s="417">
        <f>E878/D878-1</f>
        <v>-3.1628081240145489E-2</v>
      </c>
      <c r="F880" s="417">
        <f>F878/E878-1</f>
        <v>-8.028243942544866E-3</v>
      </c>
      <c r="G880" s="417">
        <f>G878/F878-1</f>
        <v>-7.0856288495604325E-3</v>
      </c>
      <c r="H880" s="455"/>
      <c r="I880" s="417">
        <f>I878/H878-1</f>
        <v>4.0640293304090136E-2</v>
      </c>
      <c r="J880" s="417">
        <f>J878/I878-1</f>
        <v>-2.1170179301667202E-2</v>
      </c>
      <c r="K880" s="417">
        <f>K878/J878-1</f>
        <v>1.6871806408072842E-2</v>
      </c>
      <c r="L880" s="417">
        <f>L878/K878-1</f>
        <v>-7.616459136590592E-3</v>
      </c>
      <c r="M880" s="455"/>
      <c r="N880" s="417">
        <f>N878/M878-1</f>
        <v>-5.7163784592847433E-3</v>
      </c>
      <c r="O880" s="417">
        <f>O878/N878-1</f>
        <v>-6.3257691014204642E-3</v>
      </c>
      <c r="P880" s="417">
        <f>P878/O878-1</f>
        <v>6.4788550799381728E-3</v>
      </c>
      <c r="Q880" s="417">
        <f>Q878/P878-1</f>
        <v>8.9831865492393526E-3</v>
      </c>
      <c r="R880" s="455"/>
      <c r="S880" s="417">
        <f>S878/R878-1</f>
        <v>-2.6535049435812752E-2</v>
      </c>
      <c r="T880" s="417">
        <f>T878/S878-1</f>
        <v>-2.6198666427558304E-2</v>
      </c>
      <c r="U880" s="417">
        <f>U878/T878-1</f>
        <v>-1.7896604834929386E-2</v>
      </c>
      <c r="V880" s="417">
        <f>V878/U878-1</f>
        <v>1.0415423691253478E-2</v>
      </c>
      <c r="W880" s="455"/>
      <c r="X880" s="417">
        <f>X878/W878-1</f>
        <v>-1.2433782096703427E-2</v>
      </c>
      <c r="Y880" s="417">
        <f>Y878/X878-1</f>
        <v>2.6478979107231737E-3</v>
      </c>
      <c r="Z880" s="417">
        <f>Z878/Y878-1</f>
        <v>-2.5557145777954648E-4</v>
      </c>
      <c r="AA880" s="417">
        <f>AA878/Z878-1</f>
        <v>1.5338207474813181E-4</v>
      </c>
      <c r="AB880" s="455"/>
      <c r="AC880" s="417">
        <f>AC878/AB878-1</f>
        <v>0.51632421701939135</v>
      </c>
      <c r="AD880" s="417">
        <f>AD878/AC878-1</f>
        <v>7.3305383821049563E-3</v>
      </c>
      <c r="AE880" s="417">
        <f>AE878/AD878-1</f>
        <v>6.0993719674984348E-4</v>
      </c>
      <c r="AF880" s="417">
        <f>AF878/AE878-1</f>
        <v>1.2464601868575453E-2</v>
      </c>
      <c r="AG880" s="455"/>
      <c r="AH880" s="417"/>
      <c r="AI880" s="417"/>
      <c r="AJ880" s="417"/>
      <c r="AK880" s="417"/>
      <c r="AL880" s="455"/>
      <c r="AM880" s="655"/>
      <c r="AN880" s="655"/>
    </row>
    <row r="881" spans="1:40">
      <c r="A881" s="1102" t="s">
        <v>1868</v>
      </c>
      <c r="B881" s="1105"/>
      <c r="C881" s="1104">
        <f>C878-B878</f>
        <v>-62</v>
      </c>
      <c r="D881" s="1103"/>
      <c r="E881" s="1103"/>
      <c r="F881" s="1103"/>
      <c r="G881" s="1103"/>
      <c r="H881" s="1104">
        <f>H878-C878</f>
        <v>-3156</v>
      </c>
      <c r="I881" s="1103"/>
      <c r="J881" s="1103"/>
      <c r="K881" s="1103"/>
      <c r="L881" s="1105"/>
      <c r="M881" s="1104">
        <f>M878-H878</f>
        <v>1705</v>
      </c>
      <c r="N881" s="1103"/>
      <c r="O881" s="1103"/>
      <c r="P881" s="1103"/>
      <c r="Q881" s="1105"/>
      <c r="R881" s="1104">
        <f>R878-M878</f>
        <v>209</v>
      </c>
      <c r="S881" s="1103"/>
      <c r="T881" s="1103"/>
      <c r="U881" s="1103"/>
      <c r="V881" s="1105"/>
      <c r="W881" s="1104">
        <f>W878-R878</f>
        <v>-3737</v>
      </c>
      <c r="X881" s="1103"/>
      <c r="Y881" s="1103"/>
      <c r="Z881" s="1103"/>
      <c r="AA881" s="1103"/>
      <c r="AB881" s="2688">
        <f>AB878-W878</f>
        <v>-588</v>
      </c>
      <c r="AC881" s="1103"/>
      <c r="AD881" s="1103"/>
      <c r="AE881" s="1103"/>
      <c r="AF881" s="1105"/>
      <c r="AG881" s="1104">
        <f>AG878-AB878</f>
        <v>32126</v>
      </c>
      <c r="AH881" s="1103"/>
      <c r="AI881" s="1103"/>
      <c r="AJ881" s="1103"/>
      <c r="AK881" s="1105"/>
      <c r="AL881" s="1104">
        <f>AL878-AG878</f>
        <v>4516.819483837884</v>
      </c>
      <c r="AM881" s="1104">
        <f>AM878-AL878</f>
        <v>4691.9268516574521</v>
      </c>
      <c r="AN881" s="1104">
        <f>AN878-AM878</f>
        <v>3010.9082145735592</v>
      </c>
    </row>
    <row r="882" spans="1:40">
      <c r="A882" s="485" t="s">
        <v>448</v>
      </c>
      <c r="B882" s="613">
        <f t="shared" ref="B882:AN882" si="2074">B525+B596+B667+B738</f>
        <v>56873</v>
      </c>
      <c r="C882" s="613">
        <f t="shared" si="2074"/>
        <v>65057</v>
      </c>
      <c r="D882" s="472">
        <f t="shared" si="2074"/>
        <v>66944</v>
      </c>
      <c r="E882" s="472">
        <f t="shared" si="2074"/>
        <v>68164</v>
      </c>
      <c r="F882" s="472">
        <f t="shared" si="2074"/>
        <v>69207</v>
      </c>
      <c r="G882" s="472">
        <f t="shared" si="2074"/>
        <v>72478</v>
      </c>
      <c r="H882" s="613">
        <f t="shared" si="2074"/>
        <v>72478</v>
      </c>
      <c r="I882" s="472">
        <f t="shared" si="2074"/>
        <v>73732</v>
      </c>
      <c r="J882" s="472">
        <f t="shared" si="2074"/>
        <v>74429</v>
      </c>
      <c r="K882" s="472">
        <f t="shared" si="2074"/>
        <v>76903</v>
      </c>
      <c r="L882" s="472">
        <f t="shared" si="2074"/>
        <v>80969</v>
      </c>
      <c r="M882" s="613">
        <f t="shared" si="2074"/>
        <v>80969</v>
      </c>
      <c r="N882" s="472">
        <f t="shared" si="2074"/>
        <v>84839</v>
      </c>
      <c r="O882" s="472">
        <f t="shared" si="2074"/>
        <v>87242</v>
      </c>
      <c r="P882" s="472">
        <f t="shared" si="2074"/>
        <v>89227</v>
      </c>
      <c r="Q882" s="688">
        <f t="shared" si="2074"/>
        <v>90623</v>
      </c>
      <c r="R882" s="688">
        <f t="shared" si="2074"/>
        <v>90623</v>
      </c>
      <c r="S882" s="472">
        <f t="shared" si="2074"/>
        <v>89810</v>
      </c>
      <c r="T882" s="472">
        <f t="shared" si="2074"/>
        <v>90164</v>
      </c>
      <c r="U882" s="472">
        <f t="shared" si="2074"/>
        <v>94327</v>
      </c>
      <c r="V882" s="472">
        <f t="shared" si="2074"/>
        <v>99574</v>
      </c>
      <c r="W882" s="613">
        <f t="shared" si="2074"/>
        <v>99574</v>
      </c>
      <c r="X882" s="472">
        <f t="shared" si="2074"/>
        <v>98418</v>
      </c>
      <c r="Y882" s="472">
        <f t="shared" si="2074"/>
        <v>100843</v>
      </c>
      <c r="Z882" s="472">
        <f t="shared" si="2074"/>
        <v>103058</v>
      </c>
      <c r="AA882" s="472">
        <f t="shared" si="2074"/>
        <v>106634</v>
      </c>
      <c r="AB882" s="2603">
        <f t="shared" si="2074"/>
        <v>106634</v>
      </c>
      <c r="AC882" s="472">
        <f t="shared" si="2074"/>
        <v>111740.32999999999</v>
      </c>
      <c r="AD882" s="472">
        <f t="shared" si="2074"/>
        <v>112836.674359</v>
      </c>
      <c r="AE882" s="472">
        <f t="shared" si="2074"/>
        <v>113802</v>
      </c>
      <c r="AF882" s="472">
        <f t="shared" si="2074"/>
        <v>117423</v>
      </c>
      <c r="AG882" s="2603">
        <f t="shared" si="2074"/>
        <v>117423</v>
      </c>
      <c r="AH882" s="472">
        <f t="shared" si="2074"/>
        <v>119171.77499999999</v>
      </c>
      <c r="AI882" s="472">
        <f t="shared" si="2074"/>
        <v>120946.78162499997</v>
      </c>
      <c r="AJ882" s="472">
        <f t="shared" si="2074"/>
        <v>122748.41334937498</v>
      </c>
      <c r="AK882" s="472">
        <f t="shared" si="2074"/>
        <v>124577.06954961558</v>
      </c>
      <c r="AL882" s="2603">
        <f t="shared" ref="AL882" si="2075">AL525+AL596+AL667+AL738</f>
        <v>124577.06954961558</v>
      </c>
      <c r="AM882" s="688">
        <f t="shared" si="2074"/>
        <v>130145.32767934827</v>
      </c>
      <c r="AN882" s="688">
        <f t="shared" si="2074"/>
        <v>134024.54750972873</v>
      </c>
    </row>
    <row r="883" spans="1:40">
      <c r="A883" s="578" t="s">
        <v>1423</v>
      </c>
      <c r="B883" s="614"/>
      <c r="C883" s="655">
        <f>C882/B882-1</f>
        <v>0.14389956569901363</v>
      </c>
      <c r="D883" s="611"/>
      <c r="E883" s="611"/>
      <c r="F883" s="611"/>
      <c r="G883" s="611"/>
      <c r="H883" s="455">
        <f t="shared" ref="H883:U883" si="2076">H882/C882-1</f>
        <v>0.11406920085463512</v>
      </c>
      <c r="I883" s="611">
        <f t="shared" si="2076"/>
        <v>0.10139818355640529</v>
      </c>
      <c r="J883" s="611">
        <f t="shared" si="2076"/>
        <v>9.1910685992605989E-2</v>
      </c>
      <c r="K883" s="611">
        <f t="shared" si="2076"/>
        <v>0.11120262401202186</v>
      </c>
      <c r="L883" s="611">
        <f t="shared" si="2076"/>
        <v>0.11715279119180999</v>
      </c>
      <c r="M883" s="455">
        <f>M882/H882-1</f>
        <v>0.11715279119180999</v>
      </c>
      <c r="N883" s="611">
        <f t="shared" si="2076"/>
        <v>0.15064015624152338</v>
      </c>
      <c r="O883" s="611">
        <f t="shared" si="2076"/>
        <v>0.17215064020744597</v>
      </c>
      <c r="P883" s="611">
        <f t="shared" si="2076"/>
        <v>0.16025382624865081</v>
      </c>
      <c r="Q883" s="690">
        <f t="shared" si="2076"/>
        <v>0.11923081673232971</v>
      </c>
      <c r="R883" s="655">
        <f t="shared" si="2076"/>
        <v>0.11923081673232971</v>
      </c>
      <c r="S883" s="611">
        <f t="shared" si="2076"/>
        <v>5.8593335612159514E-2</v>
      </c>
      <c r="T883" s="611">
        <f t="shared" si="2076"/>
        <v>3.3493042341991242E-2</v>
      </c>
      <c r="U883" s="611">
        <f t="shared" si="2076"/>
        <v>5.7157586829098772E-2</v>
      </c>
      <c r="V883" s="611">
        <f t="shared" ref="V883:AB883" si="2077">V882/Q882-1</f>
        <v>9.8771834964633598E-2</v>
      </c>
      <c r="W883" s="745">
        <f t="shared" si="2077"/>
        <v>9.8771834964633598E-2</v>
      </c>
      <c r="X883" s="611">
        <f t="shared" si="2077"/>
        <v>9.5846787662843713E-2</v>
      </c>
      <c r="Y883" s="611">
        <f t="shared" si="2077"/>
        <v>0.11843973204383129</v>
      </c>
      <c r="Z883" s="611">
        <f t="shared" si="2077"/>
        <v>9.2560984659747492E-2</v>
      </c>
      <c r="AA883" s="611">
        <f t="shared" si="2077"/>
        <v>7.0902042701910029E-2</v>
      </c>
      <c r="AB883" s="455">
        <f t="shared" si="2077"/>
        <v>7.0902042701910029E-2</v>
      </c>
      <c r="AC883" s="3047">
        <f>(AC882-($AB$860-AC860))/X882-1</f>
        <v>9.2354345749761091E-2</v>
      </c>
      <c r="AD883" s="3047">
        <f>(AD882-($AB$860-AD860))/Y882-1</f>
        <v>7.7314978322739369E-2</v>
      </c>
      <c r="AE883" s="3047">
        <f>(AE882-($AB$860-AE860))/Z882-1</f>
        <v>6.2285315065303104E-2</v>
      </c>
      <c r="AF883" s="3047">
        <f>(AF882-($AB$860-AF860))/AA882-1</f>
        <v>6.0637320179304899E-2</v>
      </c>
      <c r="AG883" s="3491">
        <f>(AG882-($AB$860-AG860))/AB882-1</f>
        <v>6.0637320179304899E-2</v>
      </c>
      <c r="AH883" s="611">
        <f>AH882/AC882-1</f>
        <v>6.6506381357563704E-2</v>
      </c>
      <c r="AI883" s="611">
        <f t="shared" ref="AI883" si="2078">AI882/AD882-1</f>
        <v>7.1874745618582647E-2</v>
      </c>
      <c r="AJ883" s="611">
        <f t="shared" ref="AJ883:AK883" si="2079">AJ882/AE882-1</f>
        <v>7.8613849926846502E-2</v>
      </c>
      <c r="AK883" s="611">
        <f t="shared" si="2079"/>
        <v>6.0925624022683644E-2</v>
      </c>
      <c r="AL883" s="3491">
        <f t="shared" ref="AL883" si="2080">AL882/AG882-1</f>
        <v>6.0925624022683644E-2</v>
      </c>
      <c r="AM883" s="691">
        <v>4.4999999999999998E-2</v>
      </c>
      <c r="AN883" s="691">
        <v>0.03</v>
      </c>
    </row>
    <row r="884" spans="1:40">
      <c r="A884" s="578" t="s">
        <v>446</v>
      </c>
      <c r="B884" s="455"/>
      <c r="C884" s="138"/>
      <c r="D884" s="417">
        <f>D882/C882-1</f>
        <v>2.9005333784219989E-2</v>
      </c>
      <c r="E884" s="417">
        <f>E882/D882-1</f>
        <v>1.8224187380497137E-2</v>
      </c>
      <c r="F884" s="417">
        <f>F882/E882-1</f>
        <v>1.5301332081450569E-2</v>
      </c>
      <c r="G884" s="417">
        <f>G882/F882-1</f>
        <v>4.7264005086190775E-2</v>
      </c>
      <c r="H884" s="455"/>
      <c r="I884" s="417">
        <f>I882/H882-1</f>
        <v>1.7301801926101756E-2</v>
      </c>
      <c r="J884" s="417">
        <f>J882/I882-1</f>
        <v>9.4531546682579126E-3</v>
      </c>
      <c r="K884" s="417">
        <f>K882/J882-1</f>
        <v>3.323973182496065E-2</v>
      </c>
      <c r="L884" s="417">
        <f>L882/K882-1</f>
        <v>5.2871799539679909E-2</v>
      </c>
      <c r="M884" s="455"/>
      <c r="N884" s="417">
        <f>N882/M882-1</f>
        <v>4.779607010090281E-2</v>
      </c>
      <c r="O884" s="417">
        <f>O882/N882-1</f>
        <v>2.8324237673711394E-2</v>
      </c>
      <c r="P884" s="417">
        <f>P882/O882-1</f>
        <v>2.2752802549230955E-2</v>
      </c>
      <c r="Q884" s="655">
        <f>Q882/P882-1</f>
        <v>1.5645488473220004E-2</v>
      </c>
      <c r="R884" s="655"/>
      <c r="S884" s="417">
        <f>S882/R882-1</f>
        <v>-8.9712324685786715E-3</v>
      </c>
      <c r="T884" s="417">
        <f>T882/S882-1</f>
        <v>3.9416546041644018E-3</v>
      </c>
      <c r="U884" s="417">
        <f>U882/T882-1</f>
        <v>4.6171420966239385E-2</v>
      </c>
      <c r="V884" s="417">
        <f>V882/U882-1</f>
        <v>5.5625642710994683E-2</v>
      </c>
      <c r="W884" s="455"/>
      <c r="X884" s="417">
        <f>X882/W882-1</f>
        <v>-1.160945628376886E-2</v>
      </c>
      <c r="Y884" s="417">
        <f>Y882/X882-1</f>
        <v>2.4639801662297511E-2</v>
      </c>
      <c r="Z884" s="417">
        <f>Z882/Y882-1</f>
        <v>2.1964836428904233E-2</v>
      </c>
      <c r="AA884" s="417">
        <f>AA882/Z882-1</f>
        <v>3.4698907411360613E-2</v>
      </c>
      <c r="AB884" s="456"/>
      <c r="AC884" s="558">
        <v>0.01</v>
      </c>
      <c r="AD884" s="3770">
        <v>9.8292177207805337E-3</v>
      </c>
      <c r="AE884" s="417">
        <f>AE882/AD882-1</f>
        <v>8.5550699405472219E-3</v>
      </c>
      <c r="AF884" s="2400">
        <v>0.02</v>
      </c>
      <c r="AG884" s="655"/>
      <c r="AH884" s="3924">
        <v>1.4999999999999999E-2</v>
      </c>
      <c r="AI884" s="3924">
        <v>1.4999999999999999E-2</v>
      </c>
      <c r="AJ884" s="3924">
        <v>1.4999999999999999E-2</v>
      </c>
      <c r="AK884" s="2400">
        <v>1.4999999999999999E-2</v>
      </c>
      <c r="AL884" s="655"/>
      <c r="AM884" s="655"/>
      <c r="AN884" s="655"/>
    </row>
    <row r="885" spans="1:40">
      <c r="A885" s="1102" t="s">
        <v>1868</v>
      </c>
      <c r="B885" s="1105"/>
      <c r="C885" s="1104">
        <f>C882-B882</f>
        <v>8184</v>
      </c>
      <c r="D885" s="1103"/>
      <c r="E885" s="1103"/>
      <c r="F885" s="1103"/>
      <c r="G885" s="1103"/>
      <c r="H885" s="1104">
        <f>H882-C882</f>
        <v>7421</v>
      </c>
      <c r="I885" s="1103"/>
      <c r="J885" s="1103"/>
      <c r="K885" s="1103"/>
      <c r="L885" s="1105"/>
      <c r="M885" s="1104">
        <f>M882-H882</f>
        <v>8491</v>
      </c>
      <c r="N885" s="1103"/>
      <c r="O885" s="1103"/>
      <c r="P885" s="1103"/>
      <c r="Q885" s="1105"/>
      <c r="R885" s="1104">
        <f>R882-M882</f>
        <v>9654</v>
      </c>
      <c r="S885" s="1103"/>
      <c r="T885" s="1103"/>
      <c r="U885" s="1103"/>
      <c r="V885" s="2393"/>
      <c r="W885" s="2688">
        <f>W882-R882</f>
        <v>8951</v>
      </c>
      <c r="X885" s="2393"/>
      <c r="Y885" s="2393"/>
      <c r="Z885" s="2393"/>
      <c r="AA885" s="2393"/>
      <c r="AB885" s="2688">
        <f>AB882-W882</f>
        <v>7060</v>
      </c>
      <c r="AC885" s="2393"/>
      <c r="AD885" s="2393"/>
      <c r="AE885" s="2393"/>
      <c r="AF885" s="1104"/>
      <c r="AG885" s="1104">
        <f>AG882-AB882</f>
        <v>10789</v>
      </c>
      <c r="AH885" s="2393"/>
      <c r="AI885" s="2393"/>
      <c r="AJ885" s="2393"/>
      <c r="AK885" s="1104"/>
      <c r="AL885" s="1104">
        <f>AL882-AG882</f>
        <v>7154.0695496155822</v>
      </c>
      <c r="AM885" s="1104">
        <f>AM882-AL882</f>
        <v>5568.2581297326833</v>
      </c>
      <c r="AN885" s="1104">
        <f>AN882-AM882</f>
        <v>3879.2198303804616</v>
      </c>
    </row>
    <row r="886" spans="1:40">
      <c r="A886" s="485" t="s">
        <v>453</v>
      </c>
      <c r="B886" s="613">
        <f>B882+B878</f>
        <v>121188</v>
      </c>
      <c r="C886" s="613">
        <f t="shared" ref="C886:R886" si="2081">C882+C878</f>
        <v>129310</v>
      </c>
      <c r="D886" s="472">
        <f t="shared" si="2081"/>
        <v>131001</v>
      </c>
      <c r="E886" s="472">
        <f t="shared" si="2081"/>
        <v>130195</v>
      </c>
      <c r="F886" s="472">
        <f t="shared" si="2081"/>
        <v>130740</v>
      </c>
      <c r="G886" s="472">
        <f t="shared" si="2081"/>
        <v>133575</v>
      </c>
      <c r="H886" s="613">
        <f t="shared" si="2081"/>
        <v>133575</v>
      </c>
      <c r="I886" s="472">
        <f t="shared" si="2081"/>
        <v>137312</v>
      </c>
      <c r="J886" s="472">
        <f>J882+J878</f>
        <v>136663</v>
      </c>
      <c r="K886" s="472">
        <f t="shared" si="2081"/>
        <v>140187</v>
      </c>
      <c r="L886" s="472">
        <f>L882+L878</f>
        <v>143771</v>
      </c>
      <c r="M886" s="613">
        <f>M882+M878</f>
        <v>143771</v>
      </c>
      <c r="N886" s="472">
        <f>N882+N878</f>
        <v>147282</v>
      </c>
      <c r="O886" s="472">
        <f t="shared" si="2081"/>
        <v>149290</v>
      </c>
      <c r="P886" s="472">
        <f t="shared" si="2081"/>
        <v>151677</v>
      </c>
      <c r="Q886" s="472">
        <f>Q882+Q878</f>
        <v>153634</v>
      </c>
      <c r="R886" s="613">
        <f t="shared" si="2081"/>
        <v>153634</v>
      </c>
      <c r="S886" s="472">
        <f t="shared" ref="S886:AN886" si="2082">S882+S878</f>
        <v>151149</v>
      </c>
      <c r="T886" s="472">
        <f t="shared" si="2082"/>
        <v>149896</v>
      </c>
      <c r="U886" s="472">
        <f t="shared" si="2082"/>
        <v>152990</v>
      </c>
      <c r="V886" s="472">
        <f t="shared" si="2082"/>
        <v>158848</v>
      </c>
      <c r="W886" s="613">
        <f t="shared" si="2082"/>
        <v>158848</v>
      </c>
      <c r="X886" s="472">
        <f t="shared" si="2082"/>
        <v>156955</v>
      </c>
      <c r="Y886" s="472">
        <f t="shared" si="2082"/>
        <v>159535</v>
      </c>
      <c r="Z886" s="472">
        <f t="shared" si="2082"/>
        <v>161735</v>
      </c>
      <c r="AA886" s="472">
        <f t="shared" si="2082"/>
        <v>165320</v>
      </c>
      <c r="AB886" s="613">
        <f t="shared" si="2082"/>
        <v>165320</v>
      </c>
      <c r="AC886" s="472">
        <f t="shared" si="2082"/>
        <v>200727.33299999998</v>
      </c>
      <c r="AD886" s="472">
        <f t="shared" si="2082"/>
        <v>202476</v>
      </c>
      <c r="AE886" s="472">
        <f t="shared" si="2082"/>
        <v>203496</v>
      </c>
      <c r="AF886" s="472">
        <f t="shared" si="2082"/>
        <v>208235</v>
      </c>
      <c r="AG886" s="613">
        <f t="shared" si="2082"/>
        <v>208235</v>
      </c>
      <c r="AH886" s="472">
        <f t="shared" si="2082"/>
        <v>211298.535</v>
      </c>
      <c r="AI886" s="472">
        <f t="shared" si="2082"/>
        <v>214342.89336899994</v>
      </c>
      <c r="AJ886" s="472">
        <f t="shared" si="2082"/>
        <v>217103.78552491497</v>
      </c>
      <c r="AK886" s="472">
        <f t="shared" si="2082"/>
        <v>219905.88903345348</v>
      </c>
      <c r="AL886" s="613">
        <f t="shared" ref="AL886" si="2083">AL882+AL878</f>
        <v>219905.88903345348</v>
      </c>
      <c r="AM886" s="688">
        <f t="shared" si="2082"/>
        <v>230166.07401484362</v>
      </c>
      <c r="AN886" s="688">
        <f t="shared" si="2082"/>
        <v>237056.20205979762</v>
      </c>
    </row>
    <row r="887" spans="1:40">
      <c r="A887" s="578" t="s">
        <v>1423</v>
      </c>
      <c r="B887" s="614"/>
      <c r="C887" s="655">
        <f>C886/B886-1</f>
        <v>6.7019836947552536E-2</v>
      </c>
      <c r="D887" s="611"/>
      <c r="E887" s="611"/>
      <c r="F887" s="611"/>
      <c r="G887" s="611"/>
      <c r="H887" s="455">
        <f t="shared" ref="H887:U887" si="2084">H886/C886-1</f>
        <v>3.29827546206789E-2</v>
      </c>
      <c r="I887" s="611">
        <f t="shared" si="2084"/>
        <v>4.817520476942927E-2</v>
      </c>
      <c r="J887" s="611">
        <f t="shared" si="2084"/>
        <v>4.9679327163101528E-2</v>
      </c>
      <c r="K887" s="611">
        <f t="shared" si="2084"/>
        <v>7.2257916475447548E-2</v>
      </c>
      <c r="L887" s="611">
        <f t="shared" si="2084"/>
        <v>7.6331648886393433E-2</v>
      </c>
      <c r="M887" s="455">
        <f>M886/H886-1</f>
        <v>7.6331648886393433E-2</v>
      </c>
      <c r="N887" s="611">
        <f t="shared" si="2084"/>
        <v>7.2608366348170694E-2</v>
      </c>
      <c r="O887" s="611">
        <f t="shared" si="2084"/>
        <v>9.2395161821414717E-2</v>
      </c>
      <c r="P887" s="611">
        <f t="shared" si="2084"/>
        <v>8.1961950822829532E-2</v>
      </c>
      <c r="Q887" s="611">
        <f t="shared" si="2084"/>
        <v>6.860215203344211E-2</v>
      </c>
      <c r="R887" s="455">
        <f t="shared" si="2084"/>
        <v>6.860215203344211E-2</v>
      </c>
      <c r="S887" s="611">
        <f t="shared" si="2084"/>
        <v>2.625575426732385E-2</v>
      </c>
      <c r="T887" s="611">
        <f t="shared" si="2084"/>
        <v>4.0592136110924049E-3</v>
      </c>
      <c r="U887" s="611">
        <f t="shared" si="2084"/>
        <v>8.6565530700106752E-3</v>
      </c>
      <c r="V887" s="611">
        <f t="shared" ref="V887:AB887" si="2085">V886/Q886-1</f>
        <v>3.3937800226512271E-2</v>
      </c>
      <c r="W887" s="455">
        <f t="shared" si="2085"/>
        <v>3.3937800226512271E-2</v>
      </c>
      <c r="X887" s="611">
        <f t="shared" si="2085"/>
        <v>3.8412427472229282E-2</v>
      </c>
      <c r="Y887" s="611">
        <f t="shared" si="2085"/>
        <v>6.4304584511928331E-2</v>
      </c>
      <c r="Z887" s="611">
        <f t="shared" si="2085"/>
        <v>5.7160598731943235E-2</v>
      </c>
      <c r="AA887" s="611">
        <f t="shared" si="2085"/>
        <v>4.0743352135374611E-2</v>
      </c>
      <c r="AB887" s="455">
        <f t="shared" si="2085"/>
        <v>4.0743352135374611E-2</v>
      </c>
      <c r="AC887" s="3047">
        <f>(AC886-($AB$863-AC863))/X886-1</f>
        <v>5.3227568411327919E-2</v>
      </c>
      <c r="AD887" s="3047">
        <f>(AD886-($AB$863-AD863))/Y886-1</f>
        <v>4.7381452345880204E-2</v>
      </c>
      <c r="AE887" s="3047">
        <f>(AE886-($AB$863-AE863))/Z886-1</f>
        <v>3.863727702723585E-2</v>
      </c>
      <c r="AF887" s="3047">
        <f>(AF886-($AB$863-AF863))/AA886-1</f>
        <v>4.4791918703121159E-2</v>
      </c>
      <c r="AG887" s="3491">
        <f>(AG886-($AB$863-AG863))/AB886-1</f>
        <v>4.4791918703121159E-2</v>
      </c>
      <c r="AH887" s="3926">
        <f>AH886/AC886-1</f>
        <v>5.2664486903734264E-2</v>
      </c>
      <c r="AI887" s="3927">
        <f t="shared" ref="AI887" si="2086">AI886/AD886-1</f>
        <v>5.8608888801635395E-2</v>
      </c>
      <c r="AJ887" s="3927">
        <f t="shared" ref="AJ887:AK887" si="2087">AJ886/AE886-1</f>
        <v>6.6870039336964782E-2</v>
      </c>
      <c r="AK887" s="3927">
        <f t="shared" si="2087"/>
        <v>5.6046721413083755E-2</v>
      </c>
      <c r="AL887" s="3491">
        <f>(AL886-($AB$863-AL863))/AG886-1</f>
        <v>-0.11448176803393528</v>
      </c>
      <c r="AM887" s="655">
        <f>AM886/AL886-1</f>
        <v>4.6657163327851192E-2</v>
      </c>
      <c r="AN887" s="655">
        <f>AN886/AM886-1</f>
        <v>2.9935463227780623E-2</v>
      </c>
    </row>
    <row r="888" spans="1:40">
      <c r="A888" s="578" t="s">
        <v>446</v>
      </c>
      <c r="B888" s="455"/>
      <c r="C888" s="138"/>
      <c r="D888" s="417">
        <f>D886/C886-1</f>
        <v>1.3077101538937486E-2</v>
      </c>
      <c r="E888" s="417">
        <f>E886/D886-1</f>
        <v>-6.1526247891237063E-3</v>
      </c>
      <c r="F888" s="417">
        <f>F886/E886-1</f>
        <v>4.1860286493335952E-3</v>
      </c>
      <c r="G888" s="417">
        <f>G886/F886-1</f>
        <v>2.1684258834327563E-2</v>
      </c>
      <c r="H888" s="455"/>
      <c r="I888" s="417">
        <f>I886/H886-1</f>
        <v>2.7976792064383416E-2</v>
      </c>
      <c r="J888" s="417">
        <f>J886/I886-1</f>
        <v>-4.7264623630854929E-3</v>
      </c>
      <c r="K888" s="417">
        <f>K886/J886-1</f>
        <v>2.5786057674718199E-2</v>
      </c>
      <c r="L888" s="417">
        <f>L886/K886-1</f>
        <v>2.5565851327155942E-2</v>
      </c>
      <c r="M888" s="455"/>
      <c r="N888" s="417">
        <f>N886/M886-1</f>
        <v>2.44207802686216E-2</v>
      </c>
      <c r="O888" s="417">
        <f>O886/N886-1</f>
        <v>1.3633709482489431E-2</v>
      </c>
      <c r="P888" s="417">
        <f>P886/O886-1</f>
        <v>1.5989014669435253E-2</v>
      </c>
      <c r="Q888" s="417">
        <f>Q886/P886-1</f>
        <v>1.290241763747968E-2</v>
      </c>
      <c r="R888" s="455"/>
      <c r="S888" s="417">
        <f>S886/R886-1</f>
        <v>-1.6174805056172414E-2</v>
      </c>
      <c r="T888" s="417">
        <f>T886/S886-1</f>
        <v>-8.2898332109375694E-3</v>
      </c>
      <c r="U888" s="417">
        <f>U886/T886-1</f>
        <v>2.0640977744569522E-2</v>
      </c>
      <c r="V888" s="417">
        <f>V886/U886-1</f>
        <v>3.8290084319236639E-2</v>
      </c>
      <c r="W888" s="455"/>
      <c r="X888" s="417">
        <f>X886/W886-1</f>
        <v>-1.1917052780016091E-2</v>
      </c>
      <c r="Y888" s="417">
        <f>Y886/X886-1</f>
        <v>1.6437832499761162E-2</v>
      </c>
      <c r="Z888" s="417">
        <f>Z886/Y886-1</f>
        <v>1.3790077412479951E-2</v>
      </c>
      <c r="AA888" s="417">
        <f>AA886/Z886-1</f>
        <v>2.2165888645005793E-2</v>
      </c>
      <c r="AB888" s="455"/>
      <c r="AC888" s="417">
        <f>AC886/AB886-1</f>
        <v>0.21417452818775695</v>
      </c>
      <c r="AD888" s="417">
        <f>AD886/AC886-1</f>
        <v>8.711653634136729E-3</v>
      </c>
      <c r="AE888" s="417">
        <f>AE886/AD886-1</f>
        <v>5.0376340899662697E-3</v>
      </c>
      <c r="AF888" s="417">
        <f>AF886/AE886-1</f>
        <v>2.328792703542093E-2</v>
      </c>
      <c r="AG888" s="455"/>
      <c r="AH888" s="417"/>
      <c r="AI888" s="417"/>
      <c r="AJ888" s="417"/>
      <c r="AK888" s="417"/>
      <c r="AL888" s="455"/>
      <c r="AM888" s="655"/>
      <c r="AN888" s="655"/>
    </row>
    <row r="889" spans="1:40">
      <c r="A889" s="1102" t="s">
        <v>1868</v>
      </c>
      <c r="B889" s="1105"/>
      <c r="C889" s="1104">
        <f>C886-B886</f>
        <v>8122</v>
      </c>
      <c r="D889" s="1103"/>
      <c r="E889" s="1103"/>
      <c r="F889" s="1103"/>
      <c r="G889" s="1103"/>
      <c r="H889" s="1104">
        <f>H886-C886</f>
        <v>4265</v>
      </c>
      <c r="I889" s="1103"/>
      <c r="J889" s="1103"/>
      <c r="K889" s="1103"/>
      <c r="L889" s="1105"/>
      <c r="M889" s="1104">
        <f>M886-H886</f>
        <v>10196</v>
      </c>
      <c r="N889" s="1103"/>
      <c r="O889" s="1103"/>
      <c r="P889" s="1103"/>
      <c r="Q889" s="1105"/>
      <c r="R889" s="1104">
        <f>R886-M886</f>
        <v>9863</v>
      </c>
      <c r="S889" s="1103"/>
      <c r="T889" s="1103"/>
      <c r="U889" s="1103"/>
      <c r="V889" s="1103"/>
      <c r="W889" s="2688">
        <f>W886-R886</f>
        <v>5214</v>
      </c>
      <c r="X889" s="2393"/>
      <c r="Y889" s="2393"/>
      <c r="Z889" s="2393"/>
      <c r="AA889" s="2393"/>
      <c r="AB889" s="2688">
        <f>AB886-W886</f>
        <v>6472</v>
      </c>
      <c r="AC889" s="2393"/>
      <c r="AD889" s="2393"/>
      <c r="AE889" s="2393"/>
      <c r="AF889" s="1105"/>
      <c r="AG889" s="1104">
        <f>AG886-AB886</f>
        <v>42915</v>
      </c>
      <c r="AH889" s="2393"/>
      <c r="AI889" s="2393"/>
      <c r="AJ889" s="2393"/>
      <c r="AK889" s="1105"/>
      <c r="AL889" s="1104">
        <f>AL886-AG886</f>
        <v>11670.889033453481</v>
      </c>
      <c r="AM889" s="1104">
        <f>AM886-AL886</f>
        <v>10260.184981390135</v>
      </c>
      <c r="AN889" s="1104">
        <f>AN886-AM886</f>
        <v>6890.1280449540063</v>
      </c>
    </row>
    <row r="890" spans="1:40">
      <c r="A890" s="578"/>
      <c r="B890" s="455"/>
      <c r="C890" s="138"/>
      <c r="D890" s="417"/>
      <c r="E890" s="417"/>
      <c r="F890" s="417"/>
      <c r="G890" s="417"/>
      <c r="H890" s="455"/>
      <c r="I890" s="417"/>
      <c r="J890" s="417"/>
      <c r="K890" s="417"/>
      <c r="L890" s="417"/>
      <c r="M890" s="455"/>
      <c r="N890" s="417"/>
      <c r="O890" s="417"/>
      <c r="P890" s="417"/>
      <c r="Q890" s="417"/>
      <c r="R890" s="455"/>
      <c r="S890" s="417"/>
      <c r="T890" s="417"/>
      <c r="U890" s="417"/>
      <c r="V890" s="417"/>
      <c r="W890" s="455"/>
      <c r="X890" s="417"/>
      <c r="Y890" s="417"/>
      <c r="Z890" s="417"/>
      <c r="AA890" s="417"/>
      <c r="AB890" s="455"/>
      <c r="AC890" s="417"/>
      <c r="AD890" s="417"/>
      <c r="AE890" s="417"/>
      <c r="AF890" s="417"/>
      <c r="AG890" s="455"/>
      <c r="AH890" s="417"/>
      <c r="AI890" s="417"/>
      <c r="AJ890" s="417"/>
      <c r="AK890" s="417"/>
      <c r="AL890" s="455"/>
      <c r="AM890" s="655"/>
      <c r="AN890" s="655"/>
    </row>
    <row r="891" spans="1:40" s="130" customFormat="1">
      <c r="A891" s="394" t="s">
        <v>1588</v>
      </c>
      <c r="B891" s="138">
        <f t="shared" ref="B891:R891" si="2088">B816</f>
        <v>0</v>
      </c>
      <c r="C891" s="138">
        <f t="shared" si="2088"/>
        <v>4850</v>
      </c>
      <c r="D891" s="135">
        <f t="shared" si="2088"/>
        <v>6101</v>
      </c>
      <c r="E891" s="135">
        <f t="shared" si="2088"/>
        <v>6101</v>
      </c>
      <c r="F891" s="135">
        <f t="shared" si="2088"/>
        <v>6101</v>
      </c>
      <c r="G891" s="135">
        <f t="shared" si="2088"/>
        <v>6281</v>
      </c>
      <c r="H891" s="138">
        <f t="shared" si="2088"/>
        <v>6281</v>
      </c>
      <c r="I891" s="135">
        <f t="shared" si="2088"/>
        <v>6354</v>
      </c>
      <c r="J891" s="135">
        <f t="shared" si="2088"/>
        <v>6404</v>
      </c>
      <c r="K891" s="135">
        <f t="shared" si="2088"/>
        <v>6404</v>
      </c>
      <c r="L891" s="135">
        <f>L816</f>
        <v>6547</v>
      </c>
      <c r="M891" s="138">
        <f>M816</f>
        <v>6547</v>
      </c>
      <c r="N891" s="135">
        <f>N816</f>
        <v>6673</v>
      </c>
      <c r="O891" s="135">
        <f t="shared" si="2088"/>
        <v>6758</v>
      </c>
      <c r="P891" s="135">
        <f>P816</f>
        <v>6794</v>
      </c>
      <c r="Q891" s="135">
        <f>Q816</f>
        <v>6794</v>
      </c>
      <c r="R891" s="138">
        <f t="shared" si="2088"/>
        <v>6794</v>
      </c>
      <c r="S891" s="135">
        <f t="shared" ref="S891:AN891" si="2089">S816</f>
        <v>6818</v>
      </c>
      <c r="T891" s="135">
        <f t="shared" si="2089"/>
        <v>6908</v>
      </c>
      <c r="U891" s="135">
        <f t="shared" si="2089"/>
        <v>7152</v>
      </c>
      <c r="V891" s="135">
        <f t="shared" si="2089"/>
        <v>7152</v>
      </c>
      <c r="W891" s="138">
        <f t="shared" si="2089"/>
        <v>7152</v>
      </c>
      <c r="X891" s="394">
        <f t="shared" si="2089"/>
        <v>7402</v>
      </c>
      <c r="Y891" s="135">
        <f t="shared" si="2089"/>
        <v>7645</v>
      </c>
      <c r="Z891" s="135">
        <f t="shared" si="2089"/>
        <v>7592</v>
      </c>
      <c r="AA891" s="135">
        <f t="shared" si="2089"/>
        <v>7657</v>
      </c>
      <c r="AB891" s="138">
        <f t="shared" si="2089"/>
        <v>7657</v>
      </c>
      <c r="AC891" s="135">
        <f t="shared" si="2089"/>
        <v>8085</v>
      </c>
      <c r="AD891" s="135">
        <f t="shared" si="2089"/>
        <v>8101</v>
      </c>
      <c r="AE891" s="135">
        <f t="shared" si="2089"/>
        <v>8101</v>
      </c>
      <c r="AF891" s="135">
        <f t="shared" si="2089"/>
        <v>8101</v>
      </c>
      <c r="AG891" s="138">
        <f t="shared" si="2089"/>
        <v>8101</v>
      </c>
      <c r="AH891" s="135">
        <f t="shared" ref="AH891:AL891" si="2090">AH816</f>
        <v>8101</v>
      </c>
      <c r="AI891" s="135">
        <f t="shared" si="2090"/>
        <v>8101</v>
      </c>
      <c r="AJ891" s="135">
        <f t="shared" si="2090"/>
        <v>8101</v>
      </c>
      <c r="AK891" s="135">
        <f t="shared" si="2090"/>
        <v>8101</v>
      </c>
      <c r="AL891" s="138">
        <f t="shared" si="2090"/>
        <v>8101</v>
      </c>
      <c r="AM891" s="452">
        <f t="shared" si="2089"/>
        <v>8101</v>
      </c>
      <c r="AN891" s="452">
        <f t="shared" si="2089"/>
        <v>8101</v>
      </c>
    </row>
    <row r="892" spans="1:40" s="130" customFormat="1">
      <c r="A892" s="578" t="s">
        <v>1423</v>
      </c>
      <c r="B892" s="614"/>
      <c r="C892" s="1045" t="str">
        <f>IF(ISERROR(C891/B891-1),"NM",C891/B891-1)</f>
        <v>NM</v>
      </c>
      <c r="D892" s="611"/>
      <c r="E892" s="611"/>
      <c r="F892" s="611"/>
      <c r="G892" s="611"/>
      <c r="H892" s="455">
        <f t="shared" ref="H892:U892" si="2091">H891/C891-1</f>
        <v>0.29505154639175268</v>
      </c>
      <c r="I892" s="611">
        <f t="shared" si="2091"/>
        <v>4.1468611702999425E-2</v>
      </c>
      <c r="J892" s="611">
        <f t="shared" si="2091"/>
        <v>4.9663989509916462E-2</v>
      </c>
      <c r="K892" s="611">
        <f t="shared" si="2091"/>
        <v>4.9663989509916462E-2</v>
      </c>
      <c r="L892" s="611">
        <f t="shared" si="2091"/>
        <v>4.2349944276389051E-2</v>
      </c>
      <c r="M892" s="455">
        <f>M891/H891-1</f>
        <v>4.2349944276389051E-2</v>
      </c>
      <c r="N892" s="611">
        <f t="shared" si="2091"/>
        <v>5.0204595530374485E-2</v>
      </c>
      <c r="O892" s="611">
        <f t="shared" si="2091"/>
        <v>5.5277951280449766E-2</v>
      </c>
      <c r="P892" s="611">
        <f t="shared" si="2091"/>
        <v>6.0899437851342997E-2</v>
      </c>
      <c r="Q892" s="611">
        <f t="shared" si="2091"/>
        <v>3.7727203299221079E-2</v>
      </c>
      <c r="R892" s="455">
        <f t="shared" si="2091"/>
        <v>3.7727203299221079E-2</v>
      </c>
      <c r="S892" s="611">
        <f t="shared" si="2091"/>
        <v>2.1729357110744862E-2</v>
      </c>
      <c r="T892" s="611">
        <f t="shared" si="2091"/>
        <v>2.2195915951464862E-2</v>
      </c>
      <c r="U892" s="611">
        <f t="shared" si="2091"/>
        <v>5.2693553135119142E-2</v>
      </c>
      <c r="V892" s="611">
        <f t="shared" ref="V892:AB892" si="2092">V891/Q891-1</f>
        <v>5.2693553135119142E-2</v>
      </c>
      <c r="W892" s="455">
        <f t="shared" si="2092"/>
        <v>5.2693553135119142E-2</v>
      </c>
      <c r="X892" s="2379">
        <f t="shared" si="2092"/>
        <v>8.5655617483132884E-2</v>
      </c>
      <c r="Y892" s="611">
        <f t="shared" si="2092"/>
        <v>0.1066878980891719</v>
      </c>
      <c r="Z892" s="611">
        <f t="shared" si="2092"/>
        <v>6.1521252796420622E-2</v>
      </c>
      <c r="AA892" s="611">
        <f t="shared" si="2092"/>
        <v>7.0609619686800906E-2</v>
      </c>
      <c r="AB892" s="455">
        <f t="shared" si="2092"/>
        <v>7.0609619686800906E-2</v>
      </c>
      <c r="AC892" s="611">
        <f t="shared" ref="AC892:AL892" si="2093">AC891/X891-1</f>
        <v>9.227235882194007E-2</v>
      </c>
      <c r="AD892" s="611">
        <f t="shared" si="2093"/>
        <v>5.9646827992151819E-2</v>
      </c>
      <c r="AE892" s="611">
        <f t="shared" si="2093"/>
        <v>6.7044257112750305E-2</v>
      </c>
      <c r="AF892" s="611">
        <f t="shared" si="2093"/>
        <v>5.7986156458142979E-2</v>
      </c>
      <c r="AG892" s="455">
        <f t="shared" si="2093"/>
        <v>5.7986156458142979E-2</v>
      </c>
      <c r="AH892" s="611">
        <f t="shared" si="2093"/>
        <v>1.9789734075448262E-3</v>
      </c>
      <c r="AI892" s="611">
        <f t="shared" si="2093"/>
        <v>0</v>
      </c>
      <c r="AJ892" s="611">
        <f t="shared" si="2093"/>
        <v>0</v>
      </c>
      <c r="AK892" s="611">
        <f t="shared" si="2093"/>
        <v>0</v>
      </c>
      <c r="AL892" s="455">
        <f t="shared" si="2093"/>
        <v>0</v>
      </c>
      <c r="AM892" s="691">
        <v>0</v>
      </c>
      <c r="AN892" s="691">
        <v>0</v>
      </c>
    </row>
    <row r="893" spans="1:40" s="130" customFormat="1">
      <c r="A893" s="578" t="s">
        <v>446</v>
      </c>
      <c r="B893" s="138"/>
      <c r="C893" s="138"/>
      <c r="D893" s="417">
        <f>D891/C891-1</f>
        <v>0.25793814432989692</v>
      </c>
      <c r="E893" s="417">
        <f>E891/D891-1</f>
        <v>0</v>
      </c>
      <c r="F893" s="417">
        <f>F891/E891-1</f>
        <v>0</v>
      </c>
      <c r="G893" s="417">
        <f>G891/F891-1</f>
        <v>2.9503360104900844E-2</v>
      </c>
      <c r="H893" s="455"/>
      <c r="I893" s="417">
        <f>I891/H891-1</f>
        <v>1.1622353128482699E-2</v>
      </c>
      <c r="J893" s="417">
        <f>J891/I891-1</f>
        <v>7.8690588605603295E-3</v>
      </c>
      <c r="K893" s="417">
        <f>K891/J891-1</f>
        <v>0</v>
      </c>
      <c r="L893" s="417">
        <f>L891/K891-1</f>
        <v>2.2329793878825832E-2</v>
      </c>
      <c r="M893" s="455"/>
      <c r="N893" s="417">
        <f>N891/M891-1</f>
        <v>1.924545593401561E-2</v>
      </c>
      <c r="O893" s="417">
        <f>O891/N891-1</f>
        <v>1.27378989959539E-2</v>
      </c>
      <c r="P893" s="417">
        <f>P891/O891-1</f>
        <v>5.3270198283514869E-3</v>
      </c>
      <c r="Q893" s="417">
        <f>Q891/P891-1</f>
        <v>0</v>
      </c>
      <c r="R893" s="455"/>
      <c r="S893" s="417">
        <f>S891/R891-1</f>
        <v>3.5325287017957674E-3</v>
      </c>
      <c r="T893" s="417">
        <f>T891/S891-1</f>
        <v>1.3200352009386851E-2</v>
      </c>
      <c r="U893" s="417">
        <f>U891/T891-1</f>
        <v>3.5321366531557707E-2</v>
      </c>
      <c r="V893" s="417">
        <f>V891/U891-1</f>
        <v>0</v>
      </c>
      <c r="W893" s="456"/>
      <c r="X893" s="417">
        <f>X891/W891-1</f>
        <v>3.4955257270693485E-2</v>
      </c>
      <c r="Y893" s="417">
        <f>Y891/X891-1</f>
        <v>3.2828965144555466E-2</v>
      </c>
      <c r="Z893" s="417">
        <f>Z891/Y891-1</f>
        <v>-6.93263570961411E-3</v>
      </c>
      <c r="AA893" s="417">
        <f>AA891/Z891-1</f>
        <v>8.5616438356164171E-3</v>
      </c>
      <c r="AB893" s="456"/>
      <c r="AC893" s="558">
        <v>0</v>
      </c>
      <c r="AD893" s="558">
        <v>0</v>
      </c>
      <c r="AE893" s="417">
        <f>AE891/AD891-1</f>
        <v>0</v>
      </c>
      <c r="AF893" s="2400">
        <v>0</v>
      </c>
      <c r="AG893" s="655"/>
      <c r="AH893" s="3924">
        <v>0</v>
      </c>
      <c r="AI893" s="3924">
        <v>0</v>
      </c>
      <c r="AJ893" s="3924">
        <v>0</v>
      </c>
      <c r="AK893" s="2400">
        <v>0</v>
      </c>
      <c r="AL893" s="655"/>
      <c r="AM893" s="655"/>
      <c r="AN893" s="655"/>
    </row>
    <row r="894" spans="1:40">
      <c r="A894" s="485" t="s">
        <v>1874</v>
      </c>
      <c r="B894" s="613"/>
      <c r="C894" s="613">
        <f>C886+C891</f>
        <v>134160</v>
      </c>
      <c r="D894" s="613">
        <f t="shared" ref="D894:W894" si="2094">D886+D891</f>
        <v>137102</v>
      </c>
      <c r="E894" s="613">
        <f t="shared" si="2094"/>
        <v>136296</v>
      </c>
      <c r="F894" s="613">
        <f t="shared" si="2094"/>
        <v>136841</v>
      </c>
      <c r="G894" s="613">
        <f t="shared" si="2094"/>
        <v>139856</v>
      </c>
      <c r="H894" s="613">
        <f t="shared" si="2094"/>
        <v>139856</v>
      </c>
      <c r="I894" s="202">
        <f t="shared" si="2094"/>
        <v>143666</v>
      </c>
      <c r="J894" s="472">
        <f t="shared" si="2094"/>
        <v>143067</v>
      </c>
      <c r="K894" s="472">
        <f>K886+K891</f>
        <v>146591</v>
      </c>
      <c r="L894" s="688">
        <f>L886+L891</f>
        <v>150318</v>
      </c>
      <c r="M894" s="613">
        <f>M886+M891</f>
        <v>150318</v>
      </c>
      <c r="N894" s="202">
        <f>N886+N891</f>
        <v>153955</v>
      </c>
      <c r="O894" s="472">
        <f t="shared" si="2094"/>
        <v>156048</v>
      </c>
      <c r="P894" s="472">
        <f>P886+P891</f>
        <v>158471</v>
      </c>
      <c r="Q894" s="688">
        <f t="shared" si="2094"/>
        <v>160428</v>
      </c>
      <c r="R894" s="613">
        <f t="shared" si="2094"/>
        <v>160428</v>
      </c>
      <c r="S894" s="202">
        <f>S886+S891</f>
        <v>157967</v>
      </c>
      <c r="T894" s="472">
        <f>T886+T891</f>
        <v>156804</v>
      </c>
      <c r="U894" s="472">
        <f>U886+U891</f>
        <v>160142</v>
      </c>
      <c r="V894" s="688">
        <f t="shared" si="2094"/>
        <v>166000</v>
      </c>
      <c r="W894" s="613">
        <f t="shared" si="2094"/>
        <v>166000</v>
      </c>
      <c r="X894" s="202">
        <f t="shared" ref="X894:AN894" si="2095">X886+X891</f>
        <v>164357</v>
      </c>
      <c r="Y894" s="472">
        <f t="shared" si="2095"/>
        <v>167180</v>
      </c>
      <c r="Z894" s="472">
        <f t="shared" si="2095"/>
        <v>169327</v>
      </c>
      <c r="AA894" s="472">
        <f t="shared" si="2095"/>
        <v>172977</v>
      </c>
      <c r="AB894" s="613">
        <f t="shared" si="2095"/>
        <v>172977</v>
      </c>
      <c r="AC894" s="472">
        <f>AC886+AC891</f>
        <v>208812.33299999998</v>
      </c>
      <c r="AD894" s="472">
        <f>AD886+AD891</f>
        <v>210577</v>
      </c>
      <c r="AE894" s="472">
        <f>AE886+AE891</f>
        <v>211597</v>
      </c>
      <c r="AF894" s="688">
        <f>AF886+AF891</f>
        <v>216336</v>
      </c>
      <c r="AG894" s="613">
        <f>AG886+AG891</f>
        <v>216336</v>
      </c>
      <c r="AH894" s="472">
        <f t="shared" ref="AH894:AK894" si="2096">AH886+AH891</f>
        <v>219399.535</v>
      </c>
      <c r="AI894" s="472">
        <f t="shared" si="2096"/>
        <v>222443.89336899994</v>
      </c>
      <c r="AJ894" s="472">
        <f t="shared" si="2096"/>
        <v>225204.78552491497</v>
      </c>
      <c r="AK894" s="688">
        <f t="shared" si="2096"/>
        <v>228006.88903345348</v>
      </c>
      <c r="AL894" s="613">
        <f>AL886+AL891</f>
        <v>228006.88903345348</v>
      </c>
      <c r="AM894" s="613">
        <f t="shared" si="2095"/>
        <v>238267.07401484362</v>
      </c>
      <c r="AN894" s="613">
        <f t="shared" si="2095"/>
        <v>245157.20205979762</v>
      </c>
    </row>
    <row r="895" spans="1:40">
      <c r="A895" s="578"/>
      <c r="B895" s="455"/>
      <c r="C895" s="138"/>
      <c r="D895" s="417"/>
      <c r="E895" s="417"/>
      <c r="F895" s="417"/>
      <c r="G895" s="417"/>
      <c r="H895" s="455"/>
      <c r="I895" s="417"/>
      <c r="J895" s="417"/>
      <c r="K895" s="417"/>
      <c r="L895" s="417"/>
      <c r="M895" s="455"/>
      <c r="N895" s="417"/>
      <c r="O895" s="417"/>
      <c r="P895" s="417"/>
      <c r="Q895" s="417"/>
      <c r="R895" s="455"/>
      <c r="S895" s="417"/>
      <c r="T895" s="417"/>
      <c r="U895" s="417"/>
      <c r="V895" s="655"/>
      <c r="W895" s="655"/>
      <c r="X895" s="2021"/>
      <c r="Y895" s="417"/>
      <c r="Z895" s="417"/>
      <c r="AA895" s="417"/>
      <c r="AB895" s="455"/>
      <c r="AC895" s="417">
        <f>+AC894/AC$837</f>
        <v>0.25705009718824973</v>
      </c>
      <c r="AD895" s="417"/>
      <c r="AE895" s="417"/>
      <c r="AF895" s="655"/>
      <c r="AG895" s="655"/>
      <c r="AH895" s="417"/>
      <c r="AI895" s="417"/>
      <c r="AJ895" s="417"/>
      <c r="AK895" s="655"/>
      <c r="AL895" s="655"/>
      <c r="AM895" s="655"/>
      <c r="AN895" s="655"/>
    </row>
    <row r="896" spans="1:40">
      <c r="A896" s="394"/>
      <c r="B896" s="138"/>
      <c r="C896" s="138"/>
      <c r="D896" s="135"/>
      <c r="E896" s="135"/>
      <c r="F896" s="135"/>
      <c r="G896" s="135"/>
      <c r="H896" s="138"/>
      <c r="I896" s="135"/>
      <c r="J896" s="135"/>
      <c r="K896" s="135"/>
      <c r="L896" s="135"/>
      <c r="M896" s="138"/>
      <c r="N896" s="135"/>
      <c r="O896" s="135"/>
      <c r="P896" s="135"/>
      <c r="Q896" s="135"/>
      <c r="R896" s="138"/>
      <c r="S896" s="135"/>
      <c r="T896" s="135"/>
      <c r="U896" s="135"/>
      <c r="V896" s="452"/>
      <c r="W896" s="452"/>
      <c r="X896" s="394"/>
      <c r="Y896" s="135"/>
      <c r="Z896" s="135"/>
      <c r="AA896" s="135"/>
      <c r="AB896" s="138"/>
      <c r="AC896" s="135"/>
      <c r="AD896" s="135"/>
      <c r="AE896" s="135"/>
      <c r="AF896" s="452"/>
      <c r="AG896" s="452"/>
      <c r="AH896" s="135"/>
      <c r="AI896" s="135"/>
      <c r="AJ896" s="135"/>
      <c r="AK896" s="452"/>
      <c r="AL896" s="452"/>
      <c r="AM896" s="452"/>
      <c r="AN896" s="452"/>
    </row>
    <row r="897" spans="1:41">
      <c r="A897" s="482" t="s">
        <v>449</v>
      </c>
      <c r="B897" s="138"/>
      <c r="C897" s="138"/>
      <c r="D897" s="135"/>
      <c r="E897" s="135"/>
      <c r="F897" s="135"/>
      <c r="G897" s="135"/>
      <c r="H897" s="138"/>
      <c r="I897" s="135"/>
      <c r="J897" s="135"/>
      <c r="K897" s="135"/>
      <c r="L897" s="135"/>
      <c r="M897" s="138"/>
      <c r="N897" s="135"/>
      <c r="O897" s="135"/>
      <c r="P897" s="135"/>
      <c r="Q897" s="135"/>
      <c r="R897" s="138"/>
      <c r="S897" s="135"/>
      <c r="T897" s="135"/>
      <c r="U897" s="135"/>
      <c r="V897" s="452"/>
      <c r="W897" s="452"/>
      <c r="X897" s="394"/>
      <c r="Y897" s="135"/>
      <c r="Z897" s="135"/>
      <c r="AA897" s="135"/>
      <c r="AB897" s="138"/>
      <c r="AC897" s="135"/>
      <c r="AD897" s="135"/>
      <c r="AE897" s="135"/>
      <c r="AF897" s="452"/>
      <c r="AG897" s="452"/>
      <c r="AH897" s="135"/>
      <c r="AI897" s="135"/>
      <c r="AJ897" s="135"/>
      <c r="AK897" s="452"/>
      <c r="AL897" s="452"/>
      <c r="AM897" s="452"/>
      <c r="AN897" s="452"/>
    </row>
    <row r="898" spans="1:41">
      <c r="A898" s="394" t="s">
        <v>1270</v>
      </c>
      <c r="B898" s="452">
        <f t="shared" ref="B898:AN898" si="2097">B457+B458</f>
        <v>1508</v>
      </c>
      <c r="C898" s="138">
        <f t="shared" si="2097"/>
        <v>1508</v>
      </c>
      <c r="D898" s="135">
        <f t="shared" si="2097"/>
        <v>1508</v>
      </c>
      <c r="E898" s="135">
        <f t="shared" si="2097"/>
        <v>1508</v>
      </c>
      <c r="F898" s="135">
        <f t="shared" si="2097"/>
        <v>1047</v>
      </c>
      <c r="G898" s="135">
        <f t="shared" si="2097"/>
        <v>1047</v>
      </c>
      <c r="H898" s="138">
        <f t="shared" si="2097"/>
        <v>1047</v>
      </c>
      <c r="I898" s="135">
        <f t="shared" si="2097"/>
        <v>1047</v>
      </c>
      <c r="J898" s="135">
        <f t="shared" si="2097"/>
        <v>1047</v>
      </c>
      <c r="K898" s="135">
        <f t="shared" si="2097"/>
        <v>0</v>
      </c>
      <c r="L898" s="135">
        <f t="shared" si="2097"/>
        <v>0</v>
      </c>
      <c r="M898" s="138">
        <f t="shared" si="2097"/>
        <v>0</v>
      </c>
      <c r="N898" s="135">
        <f t="shared" si="2097"/>
        <v>0</v>
      </c>
      <c r="O898" s="135">
        <f t="shared" si="2097"/>
        <v>0</v>
      </c>
      <c r="P898" s="135">
        <f t="shared" si="2097"/>
        <v>0</v>
      </c>
      <c r="Q898" s="135">
        <f t="shared" si="2097"/>
        <v>0</v>
      </c>
      <c r="R898" s="138">
        <f t="shared" si="2097"/>
        <v>0</v>
      </c>
      <c r="S898" s="135">
        <f t="shared" si="2097"/>
        <v>0</v>
      </c>
      <c r="T898" s="135">
        <f t="shared" si="2097"/>
        <v>0</v>
      </c>
      <c r="U898" s="135">
        <f t="shared" si="2097"/>
        <v>0</v>
      </c>
      <c r="V898" s="452">
        <f t="shared" si="2097"/>
        <v>0</v>
      </c>
      <c r="W898" s="452">
        <f t="shared" si="2097"/>
        <v>0</v>
      </c>
      <c r="X898" s="394">
        <f t="shared" si="2097"/>
        <v>0</v>
      </c>
      <c r="Y898" s="135">
        <f t="shared" si="2097"/>
        <v>0</v>
      </c>
      <c r="Z898" s="135">
        <f t="shared" si="2097"/>
        <v>0</v>
      </c>
      <c r="AA898" s="135">
        <f t="shared" si="2097"/>
        <v>0</v>
      </c>
      <c r="AB898" s="138">
        <f t="shared" si="2097"/>
        <v>0</v>
      </c>
      <c r="AC898" s="135">
        <f t="shared" si="2097"/>
        <v>0</v>
      </c>
      <c r="AD898" s="135">
        <f t="shared" si="2097"/>
        <v>0</v>
      </c>
      <c r="AE898" s="135">
        <f t="shared" si="2097"/>
        <v>319</v>
      </c>
      <c r="AF898" s="452">
        <f t="shared" si="2097"/>
        <v>319</v>
      </c>
      <c r="AG898" s="452">
        <f t="shared" si="2097"/>
        <v>319</v>
      </c>
      <c r="AH898" s="135">
        <f t="shared" ref="AH898:AL898" si="2098">AH457+AH458</f>
        <v>319</v>
      </c>
      <c r="AI898" s="135">
        <f t="shared" si="2098"/>
        <v>319</v>
      </c>
      <c r="AJ898" s="135">
        <f t="shared" si="2098"/>
        <v>319</v>
      </c>
      <c r="AK898" s="452">
        <f t="shared" si="2098"/>
        <v>319</v>
      </c>
      <c r="AL898" s="452">
        <f t="shared" si="2098"/>
        <v>319</v>
      </c>
      <c r="AM898" s="452">
        <f t="shared" si="2097"/>
        <v>319</v>
      </c>
      <c r="AN898" s="452">
        <f t="shared" si="2097"/>
        <v>319</v>
      </c>
    </row>
    <row r="899" spans="1:41">
      <c r="A899" s="578" t="s">
        <v>1423</v>
      </c>
      <c r="B899" s="614"/>
      <c r="C899" s="655">
        <f>C898/B898-1</f>
        <v>0</v>
      </c>
      <c r="D899" s="611"/>
      <c r="E899" s="611"/>
      <c r="F899" s="611"/>
      <c r="G899" s="611"/>
      <c r="H899" s="455">
        <f t="shared" ref="H899:N899" si="2099">H898/C898-1</f>
        <v>-0.3057029177718833</v>
      </c>
      <c r="I899" s="611">
        <f t="shared" si="2099"/>
        <v>-0.3057029177718833</v>
      </c>
      <c r="J899" s="611">
        <f t="shared" si="2099"/>
        <v>-0.3057029177718833</v>
      </c>
      <c r="K899" s="611">
        <f t="shared" si="2099"/>
        <v>-1</v>
      </c>
      <c r="L899" s="611">
        <f t="shared" si="2099"/>
        <v>-1</v>
      </c>
      <c r="M899" s="455">
        <f t="shared" si="2099"/>
        <v>-1</v>
      </c>
      <c r="N899" s="611">
        <f t="shared" si="2099"/>
        <v>-1</v>
      </c>
      <c r="O899" s="1044">
        <f t="shared" ref="O899:W899" si="2100">IF(ISERROR(O898/J898-1),"NM",O898/J898-1)</f>
        <v>-1</v>
      </c>
      <c r="P899" s="1044" t="str">
        <f t="shared" si="2100"/>
        <v>NM</v>
      </c>
      <c r="Q899" s="1044" t="str">
        <f t="shared" si="2100"/>
        <v>NM</v>
      </c>
      <c r="R899" s="1043" t="str">
        <f t="shared" si="2100"/>
        <v>NM</v>
      </c>
      <c r="S899" s="1044" t="str">
        <f t="shared" si="2100"/>
        <v>NM</v>
      </c>
      <c r="T899" s="1044" t="str">
        <f t="shared" si="2100"/>
        <v>NM</v>
      </c>
      <c r="U899" s="1044" t="str">
        <f t="shared" si="2100"/>
        <v>NM</v>
      </c>
      <c r="V899" s="2401" t="str">
        <f t="shared" si="2100"/>
        <v>NM</v>
      </c>
      <c r="W899" s="1045" t="str">
        <f t="shared" si="2100"/>
        <v>NM</v>
      </c>
      <c r="X899" s="2544" t="str">
        <f t="shared" ref="X899:AG899" si="2101">IF(ISERROR(X898/S898-1),"NM",X898/S898-1)</f>
        <v>NM</v>
      </c>
      <c r="Y899" s="1044" t="str">
        <f t="shared" si="2101"/>
        <v>NM</v>
      </c>
      <c r="Z899" s="1044" t="str">
        <f t="shared" si="2101"/>
        <v>NM</v>
      </c>
      <c r="AA899" s="1044" t="str">
        <f t="shared" si="2101"/>
        <v>NM</v>
      </c>
      <c r="AB899" s="1043" t="str">
        <f t="shared" si="2101"/>
        <v>NM</v>
      </c>
      <c r="AC899" s="1044" t="str">
        <f t="shared" si="2101"/>
        <v>NM</v>
      </c>
      <c r="AD899" s="1044" t="str">
        <f t="shared" si="2101"/>
        <v>NM</v>
      </c>
      <c r="AE899" s="1044" t="str">
        <f t="shared" si="2101"/>
        <v>NM</v>
      </c>
      <c r="AF899" s="2401" t="str">
        <f t="shared" si="2101"/>
        <v>NM</v>
      </c>
      <c r="AG899" s="1045" t="str">
        <f t="shared" si="2101"/>
        <v>NM</v>
      </c>
      <c r="AH899" s="1044" t="str">
        <f t="shared" ref="AH899" si="2102">IF(ISERROR(AH898/AC898-1),"NM",AH898/AC898-1)</f>
        <v>NM</v>
      </c>
      <c r="AI899" s="1044" t="str">
        <f t="shared" ref="AI899" si="2103">IF(ISERROR(AI898/AD898-1),"NM",AI898/AD898-1)</f>
        <v>NM</v>
      </c>
      <c r="AJ899" s="1044">
        <f t="shared" ref="AJ899" si="2104">IF(ISERROR(AJ898/AE898-1),"NM",AJ898/AE898-1)</f>
        <v>0</v>
      </c>
      <c r="AK899" s="2401">
        <f t="shared" ref="AK899" si="2105">IF(ISERROR(AK898/AF898-1),"NM",AK898/AF898-1)</f>
        <v>0</v>
      </c>
      <c r="AL899" s="1045">
        <f t="shared" ref="AL899" si="2106">IF(ISERROR(AL898/AG898-1),"NM",AL898/AG898-1)</f>
        <v>0</v>
      </c>
      <c r="AM899" s="457">
        <v>0</v>
      </c>
      <c r="AN899" s="457">
        <v>0</v>
      </c>
    </row>
    <row r="900" spans="1:41">
      <c r="A900" s="578" t="s">
        <v>446</v>
      </c>
      <c r="B900" s="138"/>
      <c r="C900" s="138"/>
      <c r="D900" s="417">
        <f>D898/C898-1</f>
        <v>0</v>
      </c>
      <c r="E900" s="417">
        <f>E898/D898-1</f>
        <v>0</v>
      </c>
      <c r="F900" s="417">
        <f>F898/E898-1</f>
        <v>-0.3057029177718833</v>
      </c>
      <c r="G900" s="417">
        <f>G898/F898-1</f>
        <v>0</v>
      </c>
      <c r="H900" s="455"/>
      <c r="I900" s="417">
        <f>I898/H898-1</f>
        <v>0</v>
      </c>
      <c r="J900" s="417">
        <f>J898/I898-1</f>
        <v>0</v>
      </c>
      <c r="K900" s="417">
        <f>K898/J898-1</f>
        <v>-1</v>
      </c>
      <c r="L900" s="417"/>
      <c r="M900" s="455"/>
      <c r="N900" s="417"/>
      <c r="O900" s="417"/>
      <c r="P900" s="417"/>
      <c r="Q900" s="417"/>
      <c r="R900" s="455"/>
      <c r="S900" s="417"/>
      <c r="T900" s="417"/>
      <c r="U900" s="417"/>
      <c r="V900" s="691"/>
      <c r="W900" s="655"/>
      <c r="X900" s="2219"/>
      <c r="Y900" s="558"/>
      <c r="Z900" s="558"/>
      <c r="AA900" s="558"/>
      <c r="AB900" s="455"/>
      <c r="AC900" s="558">
        <v>0</v>
      </c>
      <c r="AD900" s="558">
        <v>0</v>
      </c>
      <c r="AE900" s="558">
        <v>0</v>
      </c>
      <c r="AF900" s="691">
        <v>0</v>
      </c>
      <c r="AG900" s="655"/>
      <c r="AH900" s="3924">
        <v>0</v>
      </c>
      <c r="AI900" s="3924">
        <v>0</v>
      </c>
      <c r="AJ900" s="3924">
        <v>0</v>
      </c>
      <c r="AK900" s="691">
        <v>0</v>
      </c>
      <c r="AL900" s="655"/>
      <c r="AM900" s="655"/>
      <c r="AN900" s="655"/>
    </row>
    <row r="901" spans="1:41">
      <c r="A901" s="394" t="s">
        <v>1767</v>
      </c>
      <c r="B901" s="452">
        <f t="shared" ref="B901:AN901" si="2107">B460+B462+B463+B461</f>
        <v>130482</v>
      </c>
      <c r="C901" s="138">
        <f t="shared" si="2107"/>
        <v>136205</v>
      </c>
      <c r="D901" s="135">
        <f t="shared" si="2107"/>
        <v>135129</v>
      </c>
      <c r="E901" s="135">
        <f t="shared" si="2107"/>
        <v>136812</v>
      </c>
      <c r="F901" s="135">
        <f t="shared" si="2107"/>
        <v>138133</v>
      </c>
      <c r="G901" s="135">
        <f t="shared" si="2107"/>
        <v>139503</v>
      </c>
      <c r="H901" s="138">
        <f t="shared" si="2107"/>
        <v>139503</v>
      </c>
      <c r="I901" s="135">
        <f t="shared" si="2107"/>
        <v>142369</v>
      </c>
      <c r="J901" s="135">
        <f t="shared" si="2107"/>
        <v>144921</v>
      </c>
      <c r="K901" s="135">
        <f t="shared" si="2107"/>
        <v>146594</v>
      </c>
      <c r="L901" s="135">
        <f t="shared" si="2107"/>
        <v>147152</v>
      </c>
      <c r="M901" s="138">
        <f t="shared" si="2107"/>
        <v>147152</v>
      </c>
      <c r="N901" s="135">
        <f t="shared" si="2107"/>
        <v>148404</v>
      </c>
      <c r="O901" s="135">
        <f t="shared" si="2107"/>
        <v>148871</v>
      </c>
      <c r="P901" s="135">
        <f t="shared" si="2107"/>
        <v>151550</v>
      </c>
      <c r="Q901" s="135">
        <f t="shared" si="2107"/>
        <v>152481</v>
      </c>
      <c r="R901" s="138">
        <f t="shared" si="2107"/>
        <v>152481</v>
      </c>
      <c r="S901" s="135">
        <f t="shared" si="2107"/>
        <v>154659</v>
      </c>
      <c r="T901" s="135">
        <f t="shared" si="2107"/>
        <v>157786</v>
      </c>
      <c r="U901" s="135">
        <f t="shared" si="2107"/>
        <v>159645</v>
      </c>
      <c r="V901" s="452">
        <f t="shared" si="2107"/>
        <v>160851</v>
      </c>
      <c r="W901" s="452">
        <f t="shared" si="2107"/>
        <v>160851</v>
      </c>
      <c r="X901" s="394">
        <f t="shared" si="2107"/>
        <v>163203</v>
      </c>
      <c r="Y901" s="135">
        <f t="shared" si="2107"/>
        <v>164822</v>
      </c>
      <c r="Z901" s="135">
        <f t="shared" si="2107"/>
        <v>166807</v>
      </c>
      <c r="AA901" s="135">
        <f t="shared" si="2107"/>
        <v>169089</v>
      </c>
      <c r="AB901" s="138">
        <f t="shared" si="2107"/>
        <v>169089</v>
      </c>
      <c r="AC901" s="135">
        <f t="shared" si="2107"/>
        <v>171118.068</v>
      </c>
      <c r="AD901" s="135">
        <f t="shared" si="2107"/>
        <v>173171.48481600001</v>
      </c>
      <c r="AE901" s="135">
        <f t="shared" si="2107"/>
        <v>173388</v>
      </c>
      <c r="AF901" s="452">
        <f t="shared" si="2107"/>
        <v>175122</v>
      </c>
      <c r="AG901" s="452">
        <f t="shared" si="2107"/>
        <v>175122</v>
      </c>
      <c r="AH901" s="135">
        <f t="shared" ref="AH901:AL901" si="2108">AH460+AH462+AH463+AH461</f>
        <v>176873.22</v>
      </c>
      <c r="AI901" s="135">
        <f t="shared" si="2108"/>
        <v>179261.00847000003</v>
      </c>
      <c r="AJ901" s="135">
        <f t="shared" si="2108"/>
        <v>181949.92359705002</v>
      </c>
      <c r="AK901" s="452">
        <f t="shared" si="2108"/>
        <v>184679.17245100575</v>
      </c>
      <c r="AL901" s="452">
        <f t="shared" si="2108"/>
        <v>184679.17245100575</v>
      </c>
      <c r="AM901" s="452">
        <f t="shared" si="2107"/>
        <v>194836.52693581104</v>
      </c>
      <c r="AN901" s="452">
        <f t="shared" si="2107"/>
        <v>202629.98801324351</v>
      </c>
    </row>
    <row r="902" spans="1:41">
      <c r="A902" s="578" t="s">
        <v>1423</v>
      </c>
      <c r="B902" s="614"/>
      <c r="C902" s="655">
        <f>C901/B901-1</f>
        <v>4.3860455848316215E-2</v>
      </c>
      <c r="D902" s="611"/>
      <c r="E902" s="611"/>
      <c r="F902" s="611"/>
      <c r="G902" s="611"/>
      <c r="H902" s="455">
        <f t="shared" ref="H902:U902" si="2109">H901/C901-1</f>
        <v>2.4213501706985774E-2</v>
      </c>
      <c r="I902" s="611">
        <f t="shared" si="2109"/>
        <v>5.3578432460833714E-2</v>
      </c>
      <c r="J902" s="611">
        <f t="shared" si="2109"/>
        <v>5.9271116568722082E-2</v>
      </c>
      <c r="K902" s="611">
        <f t="shared" si="2109"/>
        <v>6.1252560937647083E-2</v>
      </c>
      <c r="L902" s="611">
        <f t="shared" si="2109"/>
        <v>5.4830362071066618E-2</v>
      </c>
      <c r="M902" s="455">
        <f>M901/H901-1</f>
        <v>5.4830362071066618E-2</v>
      </c>
      <c r="N902" s="611">
        <f t="shared" si="2109"/>
        <v>4.2389846104137874E-2</v>
      </c>
      <c r="O902" s="611">
        <f t="shared" si="2109"/>
        <v>2.7256229255939513E-2</v>
      </c>
      <c r="P902" s="611">
        <f t="shared" si="2109"/>
        <v>3.3807659249355471E-2</v>
      </c>
      <c r="Q902" s="611">
        <f t="shared" si="2109"/>
        <v>3.6214254648254895E-2</v>
      </c>
      <c r="R902" s="455">
        <f t="shared" si="2109"/>
        <v>3.6214254648254895E-2</v>
      </c>
      <c r="S902" s="611">
        <f t="shared" si="2109"/>
        <v>4.2148459610253042E-2</v>
      </c>
      <c r="T902" s="611">
        <f t="shared" si="2109"/>
        <v>5.9884060696844932E-2</v>
      </c>
      <c r="U902" s="611">
        <f t="shared" si="2109"/>
        <v>5.3414714615638292E-2</v>
      </c>
      <c r="V902" s="690">
        <f t="shared" ref="V902:AB902" si="2110">V901/Q901-1</f>
        <v>5.4892084915497685E-2</v>
      </c>
      <c r="W902" s="655">
        <f t="shared" si="2110"/>
        <v>5.4892084915497685E-2</v>
      </c>
      <c r="X902" s="2379">
        <f t="shared" si="2110"/>
        <v>5.5244117704110307E-2</v>
      </c>
      <c r="Y902" s="611">
        <f t="shared" si="2110"/>
        <v>4.4592042386523589E-2</v>
      </c>
      <c r="Z902" s="611">
        <f t="shared" si="2110"/>
        <v>4.4862037646027142E-2</v>
      </c>
      <c r="AA902" s="611">
        <f t="shared" si="2110"/>
        <v>5.1215099688531662E-2</v>
      </c>
      <c r="AB902" s="455">
        <f t="shared" si="2110"/>
        <v>5.1215099688531662E-2</v>
      </c>
      <c r="AC902" s="611">
        <f t="shared" ref="AC902:AL902" si="2111">AC901/X901-1</f>
        <v>4.849829966360919E-2</v>
      </c>
      <c r="AD902" s="611">
        <f t="shared" si="2111"/>
        <v>5.065758706968726E-2</v>
      </c>
      <c r="AE902" s="611">
        <f t="shared" si="2111"/>
        <v>3.9452780758601147E-2</v>
      </c>
      <c r="AF902" s="690">
        <f t="shared" si="2111"/>
        <v>3.5679435090396172E-2</v>
      </c>
      <c r="AG902" s="655">
        <f t="shared" si="2111"/>
        <v>3.5679435090396172E-2</v>
      </c>
      <c r="AH902" s="611">
        <f t="shared" si="2111"/>
        <v>3.3632637787845976E-2</v>
      </c>
      <c r="AI902" s="611">
        <f t="shared" si="2111"/>
        <v>3.5164701974290447E-2</v>
      </c>
      <c r="AJ902" s="611">
        <f t="shared" si="2111"/>
        <v>4.9380139323655703E-2</v>
      </c>
      <c r="AK902" s="690">
        <f t="shared" si="2111"/>
        <v>5.4574367874999918E-2</v>
      </c>
      <c r="AL902" s="655">
        <f t="shared" si="2111"/>
        <v>5.4574367874999918E-2</v>
      </c>
      <c r="AM902" s="457">
        <v>5.5E-2</v>
      </c>
      <c r="AN902" s="457">
        <v>0.04</v>
      </c>
    </row>
    <row r="903" spans="1:41">
      <c r="A903" s="578" t="s">
        <v>446</v>
      </c>
      <c r="B903" s="138"/>
      <c r="C903" s="138"/>
      <c r="D903" s="417">
        <f>D901/C901-1</f>
        <v>-7.8998568334496255E-3</v>
      </c>
      <c r="E903" s="417">
        <f>E901/D901-1</f>
        <v>1.2454765446351157E-2</v>
      </c>
      <c r="F903" s="417">
        <f>F901/E901-1</f>
        <v>9.655585767330388E-3</v>
      </c>
      <c r="G903" s="417">
        <f>G901/F901-1</f>
        <v>9.917977601297201E-3</v>
      </c>
      <c r="H903" s="455"/>
      <c r="I903" s="417">
        <f>I901/H901-1</f>
        <v>2.0544361053167259E-2</v>
      </c>
      <c r="J903" s="417">
        <f>J901/I901-1</f>
        <v>1.7925250581236174E-2</v>
      </c>
      <c r="K903" s="417">
        <f>K901/J901-1</f>
        <v>1.1544220644351011E-2</v>
      </c>
      <c r="L903" s="417">
        <f>L901/K901-1</f>
        <v>3.8064313682688589E-3</v>
      </c>
      <c r="M903" s="455"/>
      <c r="N903" s="417">
        <f>N901/M901-1</f>
        <v>8.508209198651695E-3</v>
      </c>
      <c r="O903" s="417">
        <f>O901/N901-1</f>
        <v>3.1468154497182876E-3</v>
      </c>
      <c r="P903" s="417">
        <f>P901/O901-1</f>
        <v>1.7995445721463499E-2</v>
      </c>
      <c r="Q903" s="417">
        <f>Q901/P901-1</f>
        <v>6.1431870669745869E-3</v>
      </c>
      <c r="R903" s="455"/>
      <c r="S903" s="417">
        <f>S901/R901-1</f>
        <v>1.4283746827473687E-2</v>
      </c>
      <c r="T903" s="417">
        <f>T901/S901-1</f>
        <v>2.0218674632578759E-2</v>
      </c>
      <c r="U903" s="417">
        <f>U901/T901-1</f>
        <v>1.1781780386092455E-2</v>
      </c>
      <c r="V903" s="417">
        <f>V901/U901-1</f>
        <v>7.5542610166305924E-3</v>
      </c>
      <c r="W903" s="455"/>
      <c r="X903" s="417">
        <f>X901/W901-1</f>
        <v>1.4622228024693706E-2</v>
      </c>
      <c r="Y903" s="417">
        <f>Y901/X901-1</f>
        <v>9.920160781358156E-3</v>
      </c>
      <c r="Z903" s="417">
        <f>Z901/Y901-1</f>
        <v>1.2043295191175973E-2</v>
      </c>
      <c r="AA903" s="417">
        <f>AA901/Z901-1</f>
        <v>1.3680481034968661E-2</v>
      </c>
      <c r="AB903" s="455"/>
      <c r="AC903" s="558">
        <v>1.2E-2</v>
      </c>
      <c r="AD903" s="558">
        <v>1.2E-2</v>
      </c>
      <c r="AE903" s="558">
        <v>1.2E-2</v>
      </c>
      <c r="AF903" s="691">
        <v>1.2E-2</v>
      </c>
      <c r="AG903" s="655"/>
      <c r="AH903" s="3924">
        <v>0.01</v>
      </c>
      <c r="AI903" s="3924">
        <v>1.35E-2</v>
      </c>
      <c r="AJ903" s="3924">
        <v>1.4999999999999999E-2</v>
      </c>
      <c r="AK903" s="691">
        <v>1.4999999999999999E-2</v>
      </c>
      <c r="AL903" s="655"/>
      <c r="AM903" s="655"/>
      <c r="AN903" s="655"/>
    </row>
    <row r="904" spans="1:41">
      <c r="A904" s="394" t="s">
        <v>1867</v>
      </c>
      <c r="B904" s="138">
        <f t="shared" ref="B904:AN904" si="2112">B464+B465+B466+B469</f>
        <v>256846</v>
      </c>
      <c r="C904" s="138">
        <f t="shared" si="2112"/>
        <v>263281</v>
      </c>
      <c r="D904" s="135">
        <f t="shared" si="2112"/>
        <v>264089</v>
      </c>
      <c r="E904" s="135">
        <f t="shared" si="2112"/>
        <v>266416</v>
      </c>
      <c r="F904" s="135">
        <f t="shared" si="2112"/>
        <v>268452</v>
      </c>
      <c r="G904" s="135">
        <f t="shared" si="2112"/>
        <v>270970</v>
      </c>
      <c r="H904" s="138">
        <f t="shared" si="2112"/>
        <v>270970</v>
      </c>
      <c r="I904" s="135">
        <f t="shared" si="2112"/>
        <v>269619</v>
      </c>
      <c r="J904" s="135">
        <f t="shared" si="2112"/>
        <v>272757</v>
      </c>
      <c r="K904" s="135">
        <f t="shared" si="2112"/>
        <v>274853</v>
      </c>
      <c r="L904" s="135">
        <f t="shared" si="2112"/>
        <v>277381</v>
      </c>
      <c r="M904" s="138">
        <f t="shared" si="2112"/>
        <v>277381</v>
      </c>
      <c r="N904" s="135">
        <f t="shared" si="2112"/>
        <v>279426</v>
      </c>
      <c r="O904" s="135">
        <f t="shared" si="2112"/>
        <v>283469</v>
      </c>
      <c r="P904" s="135">
        <f t="shared" si="2112"/>
        <v>289246</v>
      </c>
      <c r="Q904" s="135">
        <f t="shared" si="2112"/>
        <v>292982</v>
      </c>
      <c r="R904" s="138">
        <f t="shared" si="2112"/>
        <v>292982</v>
      </c>
      <c r="S904" s="135">
        <f t="shared" si="2112"/>
        <v>296110</v>
      </c>
      <c r="T904" s="135">
        <f t="shared" si="2112"/>
        <v>301309</v>
      </c>
      <c r="U904" s="135">
        <f t="shared" si="2112"/>
        <v>306718</v>
      </c>
      <c r="V904" s="135">
        <f t="shared" si="2112"/>
        <v>310997</v>
      </c>
      <c r="W904" s="138">
        <f t="shared" si="2112"/>
        <v>310997</v>
      </c>
      <c r="X904" s="394">
        <f t="shared" si="2112"/>
        <v>315096</v>
      </c>
      <c r="Y904" s="135">
        <f t="shared" si="2112"/>
        <v>320477</v>
      </c>
      <c r="Z904" s="135">
        <f t="shared" si="2112"/>
        <v>327214</v>
      </c>
      <c r="AA904" s="135">
        <f t="shared" si="2112"/>
        <v>334485</v>
      </c>
      <c r="AB904" s="3545">
        <f t="shared" si="2112"/>
        <v>334485</v>
      </c>
      <c r="AC904" s="3778">
        <f>+AC837-AC863-AC886-AC901-AC911</f>
        <v>348382.98900000006</v>
      </c>
      <c r="AD904" s="135">
        <f t="shared" si="2112"/>
        <v>347074.31493399979</v>
      </c>
      <c r="AE904" s="135">
        <f t="shared" si="2112"/>
        <v>352309</v>
      </c>
      <c r="AF904" s="452">
        <f t="shared" si="2112"/>
        <v>360159</v>
      </c>
      <c r="AG904" s="1374">
        <f t="shared" si="2112"/>
        <v>360159</v>
      </c>
      <c r="AH904" s="135">
        <f t="shared" ref="AH904:AL904" si="2113">AH464+AH465+AH466+AH469</f>
        <v>364480.90799999994</v>
      </c>
      <c r="AI904" s="135">
        <f t="shared" si="2113"/>
        <v>371770.52616000001</v>
      </c>
      <c r="AJ904" s="135">
        <f t="shared" si="2113"/>
        <v>379205.93668320001</v>
      </c>
      <c r="AK904" s="452">
        <f t="shared" si="2113"/>
        <v>388686.08510028</v>
      </c>
      <c r="AL904" s="1374">
        <f t="shared" si="2113"/>
        <v>388686.08510028</v>
      </c>
      <c r="AM904" s="452">
        <f t="shared" si="2112"/>
        <v>415894.1110572996</v>
      </c>
      <c r="AN904" s="452">
        <f t="shared" si="2112"/>
        <v>440847.7577207376</v>
      </c>
    </row>
    <row r="905" spans="1:41">
      <c r="A905" s="578" t="s">
        <v>1423</v>
      </c>
      <c r="B905" s="614"/>
      <c r="C905" s="655">
        <f>C904/B904-1</f>
        <v>2.5053923362637454E-2</v>
      </c>
      <c r="D905" s="611"/>
      <c r="E905" s="611"/>
      <c r="F905" s="611"/>
      <c r="G905" s="611"/>
      <c r="H905" s="455">
        <f t="shared" ref="H905:U905" si="2114">H904/C904-1</f>
        <v>2.9204538117068912E-2</v>
      </c>
      <c r="I905" s="611">
        <f t="shared" si="2114"/>
        <v>2.0939910408990903E-2</v>
      </c>
      <c r="J905" s="611">
        <f t="shared" si="2114"/>
        <v>2.380112305567228E-2</v>
      </c>
      <c r="K905" s="611">
        <f t="shared" si="2114"/>
        <v>2.384411365905259E-2</v>
      </c>
      <c r="L905" s="611">
        <f t="shared" si="2114"/>
        <v>2.3659445695095371E-2</v>
      </c>
      <c r="M905" s="455">
        <f>M904/H904-1</f>
        <v>2.3659445695095371E-2</v>
      </c>
      <c r="N905" s="611">
        <f t="shared" si="2114"/>
        <v>3.637354934184911E-2</v>
      </c>
      <c r="O905" s="611">
        <f t="shared" si="2114"/>
        <v>3.9273052570603095E-2</v>
      </c>
      <c r="P905" s="611">
        <f t="shared" si="2114"/>
        <v>5.2366173918421799E-2</v>
      </c>
      <c r="Q905" s="611">
        <f t="shared" si="2114"/>
        <v>5.6243938842242214E-2</v>
      </c>
      <c r="R905" s="455">
        <f t="shared" si="2114"/>
        <v>5.6243938842242214E-2</v>
      </c>
      <c r="S905" s="611">
        <f t="shared" si="2114"/>
        <v>5.970811592335723E-2</v>
      </c>
      <c r="T905" s="611">
        <f t="shared" si="2114"/>
        <v>6.2934571328787214E-2</v>
      </c>
      <c r="U905" s="611">
        <f t="shared" si="2114"/>
        <v>6.0405329719339207E-2</v>
      </c>
      <c r="V905" s="611">
        <f t="shared" ref="V905:AB905" si="2115">V904/Q904-1</f>
        <v>6.1488419083766344E-2</v>
      </c>
      <c r="W905" s="455">
        <f t="shared" si="2115"/>
        <v>6.1488419083766344E-2</v>
      </c>
      <c r="X905" s="2379">
        <f t="shared" si="2115"/>
        <v>6.4118064232886463E-2</v>
      </c>
      <c r="Y905" s="611">
        <f t="shared" si="2115"/>
        <v>6.3615756582113381E-2</v>
      </c>
      <c r="Z905" s="611">
        <f t="shared" si="2115"/>
        <v>6.6823596919646011E-2</v>
      </c>
      <c r="AA905" s="611">
        <f t="shared" si="2115"/>
        <v>7.5524844291102511E-2</v>
      </c>
      <c r="AB905" s="455">
        <f t="shared" si="2115"/>
        <v>7.5524844291102511E-2</v>
      </c>
      <c r="AC905" s="611">
        <f>AC904/X904-1</f>
        <v>0.1056407856653212</v>
      </c>
      <c r="AD905" s="611">
        <f>AD904/Y904-1</f>
        <v>8.2992897880346472E-2</v>
      </c>
      <c r="AE905" s="611">
        <f>AE904/Z904-1</f>
        <v>7.669292878666556E-2</v>
      </c>
      <c r="AF905" s="690">
        <f>AF904/AA904-1</f>
        <v>7.675680523790307E-2</v>
      </c>
      <c r="AG905" s="655">
        <f>AG904/AB904-1</f>
        <v>7.675680523790307E-2</v>
      </c>
      <c r="AH905" s="611">
        <f t="shared" ref="AH905:AK905" si="2116">AH904/AC904-1</f>
        <v>4.6207534547560547E-2</v>
      </c>
      <c r="AI905" s="611">
        <f t="shared" si="2116"/>
        <v>7.115539860878628E-2</v>
      </c>
      <c r="AJ905" s="611">
        <f t="shared" si="2116"/>
        <v>7.634473341072745E-2</v>
      </c>
      <c r="AK905" s="690">
        <f t="shared" si="2116"/>
        <v>7.9206920000000069E-2</v>
      </c>
      <c r="AL905" s="655">
        <f>AL904/AG904-1</f>
        <v>7.9206920000000069E-2</v>
      </c>
      <c r="AM905" s="457">
        <v>7.0000000000000007E-2</v>
      </c>
      <c r="AN905" s="457">
        <v>0.06</v>
      </c>
    </row>
    <row r="906" spans="1:41">
      <c r="A906" s="578" t="s">
        <v>446</v>
      </c>
      <c r="B906" s="138"/>
      <c r="C906" s="138"/>
      <c r="D906" s="417"/>
      <c r="E906" s="417">
        <f>E904/D904-1</f>
        <v>8.8114234216494225E-3</v>
      </c>
      <c r="F906" s="417">
        <f>F904/E904-1</f>
        <v>7.6421836526334719E-3</v>
      </c>
      <c r="G906" s="417">
        <f>G904/F904-1</f>
        <v>9.3797028891571266E-3</v>
      </c>
      <c r="H906" s="455"/>
      <c r="I906" s="417">
        <f>I904/H904-1</f>
        <v>-4.9857917850684164E-3</v>
      </c>
      <c r="J906" s="417">
        <f>J904/I904-1</f>
        <v>1.1638645644409307E-2</v>
      </c>
      <c r="K906" s="417">
        <f>K904/J904-1</f>
        <v>7.6844957232995448E-3</v>
      </c>
      <c r="L906" s="417">
        <f>L904/K904-1</f>
        <v>9.197643831429847E-3</v>
      </c>
      <c r="M906" s="455"/>
      <c r="N906" s="417">
        <f>N904/M904-1</f>
        <v>7.3725309231706948E-3</v>
      </c>
      <c r="O906" s="417">
        <f>O904/N904-1</f>
        <v>1.446894705574997E-2</v>
      </c>
      <c r="P906" s="417">
        <f>P904/O904-1</f>
        <v>2.0379653507085482E-2</v>
      </c>
      <c r="Q906" s="417">
        <f>Q904/P904-1</f>
        <v>1.2916341107569229E-2</v>
      </c>
      <c r="R906" s="455"/>
      <c r="S906" s="417">
        <f>S904/R904-1</f>
        <v>1.0676423807606028E-2</v>
      </c>
      <c r="T906" s="417">
        <f>T904/S904-1</f>
        <v>1.7557664381479876E-2</v>
      </c>
      <c r="U906" s="417">
        <f>U904/T904-1</f>
        <v>1.7951670876077408E-2</v>
      </c>
      <c r="V906" s="417">
        <f>V904/U904-1</f>
        <v>1.3950925605931142E-2</v>
      </c>
      <c r="W906" s="456"/>
      <c r="X906" s="417">
        <f>X904/W904-1</f>
        <v>1.3180191448792122E-2</v>
      </c>
      <c r="Y906" s="612">
        <f>Y904/X904-1</f>
        <v>1.7077335161347573E-2</v>
      </c>
      <c r="Z906" s="612">
        <f>Z904/Y904-1</f>
        <v>2.1021789395182733E-2</v>
      </c>
      <c r="AA906" s="612">
        <f>AA904/Z904-1</f>
        <v>2.2220931867218408E-2</v>
      </c>
      <c r="AB906" s="456"/>
      <c r="AC906" s="3770">
        <v>1.2036004604093953E-2</v>
      </c>
      <c r="AD906" s="3770">
        <v>2.5297421353356876E-2</v>
      </c>
      <c r="AE906" s="558">
        <v>2.3E-2</v>
      </c>
      <c r="AF906" s="691">
        <v>2.3E-2</v>
      </c>
      <c r="AG906" s="655"/>
      <c r="AH906" s="3924">
        <v>1.2E-2</v>
      </c>
      <c r="AI906" s="3924">
        <v>0.02</v>
      </c>
      <c r="AJ906" s="3924">
        <v>0.02</v>
      </c>
      <c r="AK906" s="691">
        <v>2.5000000000000001E-2</v>
      </c>
      <c r="AL906" s="655"/>
      <c r="AM906" s="655"/>
      <c r="AN906" s="655"/>
    </row>
    <row r="907" spans="1:41">
      <c r="A907" s="485" t="s">
        <v>450</v>
      </c>
      <c r="B907" s="613">
        <f t="shared" ref="B907:R907" si="2117">B898+B901+B904+B833</f>
        <v>388836</v>
      </c>
      <c r="C907" s="613">
        <f t="shared" si="2117"/>
        <v>401380</v>
      </c>
      <c r="D907" s="613">
        <f t="shared" si="2117"/>
        <v>401112</v>
      </c>
      <c r="E907" s="613">
        <f t="shared" si="2117"/>
        <v>405765</v>
      </c>
      <c r="F907" s="613">
        <f t="shared" si="2117"/>
        <v>408420</v>
      </c>
      <c r="G907" s="613">
        <f t="shared" si="2117"/>
        <v>412829</v>
      </c>
      <c r="H907" s="613">
        <f t="shared" si="2117"/>
        <v>412829</v>
      </c>
      <c r="I907" s="202">
        <f t="shared" si="2117"/>
        <v>413437</v>
      </c>
      <c r="J907" s="472">
        <f t="shared" si="2117"/>
        <v>418941</v>
      </c>
      <c r="K907" s="472">
        <f t="shared" si="2117"/>
        <v>421447</v>
      </c>
      <c r="L907" s="688">
        <f>L898+L901+L904+L833</f>
        <v>424533</v>
      </c>
      <c r="M907" s="613">
        <f>M898+M901+M904+M833</f>
        <v>424533</v>
      </c>
      <c r="N907" s="202">
        <f>N898+N901+N904+N833</f>
        <v>427830</v>
      </c>
      <c r="O907" s="472">
        <f t="shared" si="2117"/>
        <v>432340</v>
      </c>
      <c r="P907" s="472">
        <f>P898+P901+P904+P833</f>
        <v>440796</v>
      </c>
      <c r="Q907" s="472">
        <f>Q898+Q901+Q904+Q833</f>
        <v>445463</v>
      </c>
      <c r="R907" s="613">
        <f t="shared" si="2117"/>
        <v>445463</v>
      </c>
      <c r="S907" s="472">
        <f t="shared" ref="S907:AN907" si="2118">S898+S901+S904+S833</f>
        <v>450769</v>
      </c>
      <c r="T907" s="472">
        <f t="shared" si="2118"/>
        <v>459397</v>
      </c>
      <c r="U907" s="472">
        <f t="shared" si="2118"/>
        <v>466665</v>
      </c>
      <c r="V907" s="688">
        <f t="shared" si="2118"/>
        <v>472300</v>
      </c>
      <c r="W907" s="688">
        <f t="shared" si="2118"/>
        <v>472300</v>
      </c>
      <c r="X907" s="202">
        <f t="shared" si="2118"/>
        <v>478751</v>
      </c>
      <c r="Y907" s="472">
        <f t="shared" si="2118"/>
        <v>485577</v>
      </c>
      <c r="Z907" s="472">
        <f t="shared" si="2118"/>
        <v>494540</v>
      </c>
      <c r="AA907" s="472">
        <f t="shared" si="2118"/>
        <v>504612</v>
      </c>
      <c r="AB907" s="613">
        <f t="shared" si="2118"/>
        <v>504612</v>
      </c>
      <c r="AC907" s="472">
        <f t="shared" si="2118"/>
        <v>520539.05700000003</v>
      </c>
      <c r="AD907" s="472">
        <f t="shared" si="2118"/>
        <v>521283.79974999977</v>
      </c>
      <c r="AE907" s="472">
        <f t="shared" si="2118"/>
        <v>526776</v>
      </c>
      <c r="AF907" s="688">
        <f t="shared" si="2118"/>
        <v>535850</v>
      </c>
      <c r="AG907" s="688">
        <f t="shared" si="2118"/>
        <v>535850</v>
      </c>
      <c r="AH907" s="472">
        <f t="shared" si="2118"/>
        <v>541923.12799999991</v>
      </c>
      <c r="AI907" s="472">
        <f t="shared" si="2118"/>
        <v>551600.53463000001</v>
      </c>
      <c r="AJ907" s="472">
        <f t="shared" si="2118"/>
        <v>561724.86028024997</v>
      </c>
      <c r="AK907" s="688">
        <f t="shared" si="2118"/>
        <v>573934.25755128579</v>
      </c>
      <c r="AL907" s="688">
        <f t="shared" ref="AL907" si="2119">AL898+AL901+AL904+AL833</f>
        <v>573934.25755128579</v>
      </c>
      <c r="AM907" s="613">
        <f t="shared" si="2118"/>
        <v>611299.63799311058</v>
      </c>
      <c r="AN907" s="613">
        <f t="shared" si="2118"/>
        <v>644046.74573398114</v>
      </c>
      <c r="AO907" s="130"/>
    </row>
    <row r="908" spans="1:41">
      <c r="A908" s="578" t="s">
        <v>1423</v>
      </c>
      <c r="B908" s="614"/>
      <c r="C908" s="655">
        <f>C907/B907-1</f>
        <v>3.2260387412688107E-2</v>
      </c>
      <c r="D908" s="611"/>
      <c r="E908" s="611"/>
      <c r="F908" s="611"/>
      <c r="G908" s="611"/>
      <c r="H908" s="455">
        <f t="shared" ref="H908:U908" si="2120">H907/C907-1</f>
        <v>2.8524091883003644E-2</v>
      </c>
      <c r="I908" s="611">
        <f t="shared" si="2120"/>
        <v>3.0727078721155099E-2</v>
      </c>
      <c r="J908" s="611">
        <f t="shared" si="2120"/>
        <v>3.2471997338360925E-2</v>
      </c>
      <c r="K908" s="611">
        <f t="shared" si="2120"/>
        <v>3.1896087361049874E-2</v>
      </c>
      <c r="L908" s="611">
        <f t="shared" si="2120"/>
        <v>2.8350721485167041E-2</v>
      </c>
      <c r="M908" s="455">
        <f>M907/H907-1</f>
        <v>2.8350721485167041E-2</v>
      </c>
      <c r="N908" s="611">
        <f t="shared" si="2120"/>
        <v>3.4813042857799292E-2</v>
      </c>
      <c r="O908" s="611">
        <f t="shared" si="2120"/>
        <v>3.1983023862548698E-2</v>
      </c>
      <c r="P908" s="611">
        <f t="shared" si="2120"/>
        <v>4.5910873727894597E-2</v>
      </c>
      <c r="Q908" s="611">
        <f t="shared" si="2120"/>
        <v>4.9301232177475063E-2</v>
      </c>
      <c r="R908" s="455">
        <f t="shared" si="2120"/>
        <v>4.9301232177475063E-2</v>
      </c>
      <c r="S908" s="611">
        <f t="shared" si="2120"/>
        <v>5.3617090900591302E-2</v>
      </c>
      <c r="T908" s="611">
        <f t="shared" si="2120"/>
        <v>6.2582689549891324E-2</v>
      </c>
      <c r="U908" s="611">
        <f t="shared" si="2120"/>
        <v>5.8687011678871803E-2</v>
      </c>
      <c r="V908" s="611">
        <f t="shared" ref="V908:AB908" si="2121">V907/Q907-1</f>
        <v>6.0245183101626854E-2</v>
      </c>
      <c r="W908" s="455">
        <f t="shared" si="2121"/>
        <v>6.0245183101626854E-2</v>
      </c>
      <c r="X908" s="2545">
        <f t="shared" si="2121"/>
        <v>6.207614099461134E-2</v>
      </c>
      <c r="Y908" s="2546">
        <f t="shared" si="2121"/>
        <v>5.6987746981369103E-2</v>
      </c>
      <c r="Z908" s="2546">
        <f t="shared" si="2121"/>
        <v>5.9732356186986468E-2</v>
      </c>
      <c r="AA908" s="2546">
        <f t="shared" si="2121"/>
        <v>6.841414355282649E-2</v>
      </c>
      <c r="AB908" s="455">
        <f t="shared" si="2121"/>
        <v>6.841414355282649E-2</v>
      </c>
      <c r="AC908" s="2546">
        <f>AC907/X907-1</f>
        <v>8.7285576426994416E-2</v>
      </c>
      <c r="AD908" s="2546">
        <f>AD907/Y907-1</f>
        <v>7.3534783875677245E-2</v>
      </c>
      <c r="AE908" s="2546">
        <f>AE907/Z907-1</f>
        <v>6.51838071743438E-2</v>
      </c>
      <c r="AF908" s="611">
        <f>AF907/AA907-1</f>
        <v>6.1904988387117221E-2</v>
      </c>
      <c r="AG908" s="455">
        <f>AG907/AB907-1</f>
        <v>6.1904988387117221E-2</v>
      </c>
      <c r="AH908" s="2546">
        <f t="shared" ref="AH908:AK908" si="2122">AH907/AC907-1</f>
        <v>4.1080627308240247E-2</v>
      </c>
      <c r="AI908" s="2546">
        <f t="shared" si="2122"/>
        <v>5.8157830522528542E-2</v>
      </c>
      <c r="AJ908" s="2546">
        <f t="shared" si="2122"/>
        <v>6.6344822619576416E-2</v>
      </c>
      <c r="AK908" s="611">
        <f t="shared" si="2122"/>
        <v>7.1072609034777967E-2</v>
      </c>
      <c r="AL908" s="455">
        <f>AL907/AG907-1</f>
        <v>7.1072609034777967E-2</v>
      </c>
      <c r="AM908" s="655">
        <f>AM907/AL907-1</f>
        <v>6.5103938212794032E-2</v>
      </c>
      <c r="AN908" s="655">
        <f>AN907/AM907-1</f>
        <v>5.3569650144696501E-2</v>
      </c>
    </row>
    <row r="909" spans="1:41">
      <c r="A909" s="578" t="s">
        <v>446</v>
      </c>
      <c r="B909" s="455"/>
      <c r="C909" s="138"/>
      <c r="D909" s="417">
        <f>D907/C907-1</f>
        <v>-6.676964472569491E-4</v>
      </c>
      <c r="E909" s="417">
        <f>E907/D907-1</f>
        <v>1.1600251301382203E-2</v>
      </c>
      <c r="F909" s="417">
        <f>F907/E907-1</f>
        <v>6.5431961849840015E-3</v>
      </c>
      <c r="G909" s="417">
        <f>G907/F907-1</f>
        <v>1.0795259781597455E-2</v>
      </c>
      <c r="H909" s="455"/>
      <c r="I909" s="417">
        <f>I907/H907-1</f>
        <v>1.4727647524761522E-3</v>
      </c>
      <c r="J909" s="417">
        <f>J907/I907-1</f>
        <v>1.3312790098612304E-2</v>
      </c>
      <c r="K909" s="417">
        <f>K907/J907-1</f>
        <v>5.9817492200573419E-3</v>
      </c>
      <c r="L909" s="417">
        <f>L907/K907-1</f>
        <v>7.32239166490678E-3</v>
      </c>
      <c r="M909" s="455"/>
      <c r="N909" s="417">
        <f>N907/M907-1</f>
        <v>7.7661807209332689E-3</v>
      </c>
      <c r="O909" s="417">
        <f>O907/N907-1</f>
        <v>1.0541570249865684E-2</v>
      </c>
      <c r="P909" s="417">
        <f>P907/O907-1</f>
        <v>1.9558680667992823E-2</v>
      </c>
      <c r="Q909" s="417">
        <f>Q907/P907-1</f>
        <v>1.0587664134883212E-2</v>
      </c>
      <c r="R909" s="455"/>
      <c r="S909" s="417">
        <f>S907/R907-1</f>
        <v>1.1911202501666773E-2</v>
      </c>
      <c r="T909" s="417">
        <f>T907/S907-1</f>
        <v>1.9140624133425321E-2</v>
      </c>
      <c r="U909" s="417">
        <f>U907/T907-1</f>
        <v>1.5820738925156341E-2</v>
      </c>
      <c r="V909" s="417">
        <f>V907/U907-1</f>
        <v>1.207504312515395E-2</v>
      </c>
      <c r="W909" s="455"/>
      <c r="X909" s="2021">
        <f>X907/W907-1</f>
        <v>1.3658691509633725E-2</v>
      </c>
      <c r="Y909" s="417">
        <f>Y907/X907-1</f>
        <v>1.4257933664890476E-2</v>
      </c>
      <c r="Z909" s="417">
        <f>Z907/Y907-1</f>
        <v>1.84584525214333E-2</v>
      </c>
      <c r="AA909" s="417">
        <f>AA907/Z907-1</f>
        <v>2.0366401100012199E-2</v>
      </c>
      <c r="AB909" s="455"/>
      <c r="AC909" s="2021">
        <f>AC907/AB907-1</f>
        <v>3.1562977099236722E-2</v>
      </c>
      <c r="AD909" s="612">
        <f>AD907/AC907-1</f>
        <v>1.4307144487712975E-3</v>
      </c>
      <c r="AE909" s="417">
        <f>AE907/AD907-1</f>
        <v>1.0535912016897964E-2</v>
      </c>
      <c r="AF909" s="417">
        <f>AF907/AE907-1</f>
        <v>1.7225537989581818E-2</v>
      </c>
      <c r="AG909" s="455"/>
      <c r="AH909" s="417">
        <f t="shared" ref="AH909:AK909" si="2123">AH907/AG907-1</f>
        <v>1.1333634412615368E-2</v>
      </c>
      <c r="AI909" s="417">
        <f t="shared" si="2123"/>
        <v>1.7857526519887035E-2</v>
      </c>
      <c r="AJ909" s="417">
        <f t="shared" si="2123"/>
        <v>1.8354452207050675E-2</v>
      </c>
      <c r="AK909" s="417">
        <f t="shared" si="2123"/>
        <v>2.1735547301475089E-2</v>
      </c>
      <c r="AL909" s="455"/>
      <c r="AM909" s="655"/>
      <c r="AN909" s="655"/>
    </row>
    <row r="910" spans="1:41">
      <c r="A910" s="1102" t="s">
        <v>1868</v>
      </c>
      <c r="B910" s="1105"/>
      <c r="C910" s="1104">
        <f>C907-B907</f>
        <v>12544</v>
      </c>
      <c r="D910" s="1103"/>
      <c r="E910" s="1103"/>
      <c r="F910" s="1103"/>
      <c r="G910" s="1103"/>
      <c r="H910" s="1104">
        <f>H907-C907</f>
        <v>11449</v>
      </c>
      <c r="I910" s="1103"/>
      <c r="J910" s="1103"/>
      <c r="K910" s="1103"/>
      <c r="L910" s="1103"/>
      <c r="M910" s="1104">
        <f>M907-H907</f>
        <v>11704</v>
      </c>
      <c r="N910" s="1103"/>
      <c r="O910" s="1103"/>
      <c r="P910" s="1103"/>
      <c r="Q910" s="1105"/>
      <c r="R910" s="1104">
        <f>R907-M907</f>
        <v>20930</v>
      </c>
      <c r="S910" s="2466"/>
      <c r="T910" s="1103"/>
      <c r="U910" s="1103"/>
      <c r="V910" s="1105"/>
      <c r="W910" s="1104">
        <f>W907-R907</f>
        <v>26837</v>
      </c>
      <c r="X910" s="2466"/>
      <c r="Y910" s="1103"/>
      <c r="Z910" s="1103"/>
      <c r="AA910" s="1103"/>
      <c r="AB910" s="2688">
        <f>AB907-W907</f>
        <v>32312</v>
      </c>
      <c r="AC910" s="1103"/>
      <c r="AD910" s="1103"/>
      <c r="AE910" s="1103"/>
      <c r="AF910" s="1105"/>
      <c r="AG910" s="1104">
        <f>AG907-AB907</f>
        <v>31238</v>
      </c>
      <c r="AH910" s="1103"/>
      <c r="AI910" s="1103"/>
      <c r="AJ910" s="1103"/>
      <c r="AK910" s="1105"/>
      <c r="AL910" s="1104">
        <f>AL907-AG907</f>
        <v>38084.257551285787</v>
      </c>
      <c r="AM910" s="1104">
        <f>AM907-AL907</f>
        <v>37365.380441824789</v>
      </c>
      <c r="AN910" s="1104">
        <f>AN907-AM907</f>
        <v>32747.107740870561</v>
      </c>
    </row>
    <row r="911" spans="1:41">
      <c r="A911" s="485" t="s">
        <v>451</v>
      </c>
      <c r="B911" s="613">
        <f t="shared" ref="B911:AN911" si="2124">B541+B612+B683+B754</f>
        <v>32284</v>
      </c>
      <c r="C911" s="613">
        <f t="shared" si="2124"/>
        <v>35171</v>
      </c>
      <c r="D911" s="472">
        <f t="shared" si="2124"/>
        <v>36208</v>
      </c>
      <c r="E911" s="472">
        <f t="shared" si="2124"/>
        <v>37811</v>
      </c>
      <c r="F911" s="472">
        <f t="shared" si="2124"/>
        <v>37851</v>
      </c>
      <c r="G911" s="472">
        <f t="shared" si="2124"/>
        <v>37729</v>
      </c>
      <c r="H911" s="613">
        <f t="shared" si="2124"/>
        <v>37729</v>
      </c>
      <c r="I911" s="472">
        <f t="shared" si="2124"/>
        <v>38419</v>
      </c>
      <c r="J911" s="472">
        <f t="shared" si="2124"/>
        <v>41161</v>
      </c>
      <c r="K911" s="472">
        <f t="shared" si="2124"/>
        <v>41637</v>
      </c>
      <c r="L911" s="472">
        <f t="shared" si="2124"/>
        <v>42109</v>
      </c>
      <c r="M911" s="613">
        <f t="shared" si="2124"/>
        <v>42109</v>
      </c>
      <c r="N911" s="472">
        <f t="shared" si="2124"/>
        <v>43657</v>
      </c>
      <c r="O911" s="472">
        <f t="shared" si="2124"/>
        <v>44762</v>
      </c>
      <c r="P911" s="472">
        <f t="shared" si="2124"/>
        <v>46599</v>
      </c>
      <c r="Q911" s="472">
        <f t="shared" si="2124"/>
        <v>50217</v>
      </c>
      <c r="R911" s="613">
        <f t="shared" si="2124"/>
        <v>50217</v>
      </c>
      <c r="S911" s="202">
        <f t="shared" si="2124"/>
        <v>51433</v>
      </c>
      <c r="T911" s="472">
        <f t="shared" si="2124"/>
        <v>54891</v>
      </c>
      <c r="U911" s="472">
        <f t="shared" si="2124"/>
        <v>58305</v>
      </c>
      <c r="V911" s="472">
        <f t="shared" si="2124"/>
        <v>60739</v>
      </c>
      <c r="W911" s="613">
        <f t="shared" si="2124"/>
        <v>60739</v>
      </c>
      <c r="X911" s="202">
        <f t="shared" si="2124"/>
        <v>63314</v>
      </c>
      <c r="Y911" s="472">
        <f t="shared" si="2124"/>
        <v>65113</v>
      </c>
      <c r="Z911" s="472">
        <f t="shared" si="2124"/>
        <v>67129</v>
      </c>
      <c r="AA911" s="472">
        <f t="shared" si="2124"/>
        <v>68792</v>
      </c>
      <c r="AB911" s="613">
        <f t="shared" si="2124"/>
        <v>68792</v>
      </c>
      <c r="AC911" s="472">
        <f t="shared" si="2124"/>
        <v>69814.609999999986</v>
      </c>
      <c r="AD911" s="472">
        <f t="shared" si="2124"/>
        <v>71552.20024999998</v>
      </c>
      <c r="AE911" s="472">
        <f t="shared" si="2124"/>
        <v>76600</v>
      </c>
      <c r="AF911" s="472">
        <f t="shared" si="2124"/>
        <v>80345</v>
      </c>
      <c r="AG911" s="613">
        <f t="shared" si="2124"/>
        <v>80345</v>
      </c>
      <c r="AH911" s="472">
        <f t="shared" ref="AH911:AL911" si="2125">AH541+AH612+AH683+AH754</f>
        <v>81144.294999999984</v>
      </c>
      <c r="AI911" s="472">
        <f t="shared" si="2125"/>
        <v>81951.678274999998</v>
      </c>
      <c r="AJ911" s="472">
        <f t="shared" si="2125"/>
        <v>83165.188449124995</v>
      </c>
      <c r="AK911" s="472">
        <f t="shared" si="2125"/>
        <v>84396.901275861863</v>
      </c>
      <c r="AL911" s="613">
        <f t="shared" si="2125"/>
        <v>84396.901275861863</v>
      </c>
      <c r="AM911" s="688">
        <f t="shared" si="2124"/>
        <v>89377.42045632092</v>
      </c>
      <c r="AN911" s="688">
        <f t="shared" si="2124"/>
        <v>93765.547523914516</v>
      </c>
    </row>
    <row r="912" spans="1:41">
      <c r="A912" s="578" t="s">
        <v>1423</v>
      </c>
      <c r="B912" s="614"/>
      <c r="C912" s="655">
        <f>C911/B911-1</f>
        <v>8.9425102217816965E-2</v>
      </c>
      <c r="D912" s="611"/>
      <c r="E912" s="611"/>
      <c r="F912" s="611"/>
      <c r="G912" s="611"/>
      <c r="H912" s="455">
        <f t="shared" ref="H912:U912" si="2126">H911/C911-1</f>
        <v>7.2730374456228208E-2</v>
      </c>
      <c r="I912" s="611">
        <f t="shared" si="2126"/>
        <v>6.1063853292090187E-2</v>
      </c>
      <c r="J912" s="611">
        <f t="shared" si="2126"/>
        <v>8.8598555975774262E-2</v>
      </c>
      <c r="K912" s="611">
        <f t="shared" si="2126"/>
        <v>0.10002377744313229</v>
      </c>
      <c r="L912" s="611">
        <f t="shared" si="2126"/>
        <v>0.11609107052930101</v>
      </c>
      <c r="M912" s="455">
        <f>M911/H911-1</f>
        <v>0.11609107052930101</v>
      </c>
      <c r="N912" s="611">
        <f t="shared" si="2126"/>
        <v>0.13633879070251709</v>
      </c>
      <c r="O912" s="611">
        <f t="shared" si="2126"/>
        <v>8.7485726780204498E-2</v>
      </c>
      <c r="P912" s="611">
        <f t="shared" si="2126"/>
        <v>0.11917285106996189</v>
      </c>
      <c r="Q912" s="611">
        <f t="shared" si="2126"/>
        <v>0.19254791137286564</v>
      </c>
      <c r="R912" s="455">
        <f t="shared" si="2126"/>
        <v>0.19254791137286564</v>
      </c>
      <c r="S912" s="2379">
        <f t="shared" si="2126"/>
        <v>0.17811576608562207</v>
      </c>
      <c r="T912" s="611">
        <f t="shared" si="2126"/>
        <v>0.2262856887538538</v>
      </c>
      <c r="U912" s="611">
        <f t="shared" si="2126"/>
        <v>0.25120710744865771</v>
      </c>
      <c r="V912" s="611">
        <f t="shared" ref="V912:AB912" si="2127">V911/Q911-1</f>
        <v>0.20953063703526698</v>
      </c>
      <c r="W912" s="455">
        <f t="shared" si="2127"/>
        <v>0.20953063703526698</v>
      </c>
      <c r="X912" s="2379">
        <f t="shared" si="2127"/>
        <v>0.23099955281628537</v>
      </c>
      <c r="Y912" s="2546">
        <f t="shared" si="2127"/>
        <v>0.18622360678435435</v>
      </c>
      <c r="Z912" s="611">
        <f t="shared" si="2127"/>
        <v>0.15134208043907038</v>
      </c>
      <c r="AA912" s="611">
        <f t="shared" si="2127"/>
        <v>0.13258367770295854</v>
      </c>
      <c r="AB912" s="455">
        <f t="shared" si="2127"/>
        <v>0.13258367770295854</v>
      </c>
      <c r="AC912" s="611">
        <f t="shared" ref="AC912:AL912" si="2128">AC911/X911-1</f>
        <v>0.10267255267397402</v>
      </c>
      <c r="AD912" s="611">
        <f t="shared" si="2128"/>
        <v>9.8892698078724361E-2</v>
      </c>
      <c r="AE912" s="611">
        <f t="shared" si="2128"/>
        <v>0.14108656467398584</v>
      </c>
      <c r="AF912" s="611">
        <f t="shared" si="2128"/>
        <v>0.16794103965577389</v>
      </c>
      <c r="AG912" s="455">
        <f t="shared" si="2128"/>
        <v>0.16794103965577389</v>
      </c>
      <c r="AH912" s="611">
        <f t="shared" si="2128"/>
        <v>0.16228243629807571</v>
      </c>
      <c r="AI912" s="611">
        <f t="shared" si="2128"/>
        <v>0.14534113540414872</v>
      </c>
      <c r="AJ912" s="611">
        <f t="shared" si="2128"/>
        <v>8.5707421006853801E-2</v>
      </c>
      <c r="AK912" s="611">
        <f t="shared" si="2128"/>
        <v>5.0431281048750609E-2</v>
      </c>
      <c r="AL912" s="455">
        <f t="shared" si="2128"/>
        <v>5.0431281048750609E-2</v>
      </c>
      <c r="AM912" s="457">
        <v>0.06</v>
      </c>
      <c r="AN912" s="457">
        <v>0.05</v>
      </c>
    </row>
    <row r="913" spans="1:41">
      <c r="A913" s="578" t="s">
        <v>446</v>
      </c>
      <c r="B913" s="455"/>
      <c r="C913" s="138"/>
      <c r="D913" s="417">
        <f>D911/C911-1</f>
        <v>2.9484518495351386E-2</v>
      </c>
      <c r="E913" s="417">
        <f>E911/D911-1</f>
        <v>4.4271984091913463E-2</v>
      </c>
      <c r="F913" s="417">
        <f>F911/E911-1</f>
        <v>1.0578932056808377E-3</v>
      </c>
      <c r="G913" s="417">
        <f>G911/F911-1</f>
        <v>-3.2231645134871423E-3</v>
      </c>
      <c r="H913" s="455"/>
      <c r="I913" s="417">
        <f>I911/H911-1</f>
        <v>1.8288319329958336E-2</v>
      </c>
      <c r="J913" s="417">
        <f>J911/I911-1</f>
        <v>7.1370936255498618E-2</v>
      </c>
      <c r="K913" s="417">
        <f>K911/J911-1</f>
        <v>1.1564344889579914E-2</v>
      </c>
      <c r="L913" s="417">
        <f>L911/K911-1</f>
        <v>1.1336071282753268E-2</v>
      </c>
      <c r="M913" s="455"/>
      <c r="N913" s="417">
        <f>N911/M911-1</f>
        <v>3.6761737395806016E-2</v>
      </c>
      <c r="O913" s="417">
        <f>O911/N911-1</f>
        <v>2.5310946698124059E-2</v>
      </c>
      <c r="P913" s="417">
        <f>P911/O911-1</f>
        <v>4.1039274384522484E-2</v>
      </c>
      <c r="Q913" s="417">
        <f>Q911/P911-1</f>
        <v>7.7641151097663119E-2</v>
      </c>
      <c r="R913" s="455"/>
      <c r="S913" s="2021">
        <f>S911/R911-1</f>
        <v>2.4214907302307909E-2</v>
      </c>
      <c r="T913" s="417">
        <f>T911/S911-1</f>
        <v>6.7233099371998506E-2</v>
      </c>
      <c r="U913" s="417">
        <f>U911/T911-1</f>
        <v>6.2195988413401126E-2</v>
      </c>
      <c r="V913" s="417">
        <f>V911/U911-1</f>
        <v>4.1745990909870523E-2</v>
      </c>
      <c r="W913" s="456"/>
      <c r="X913" s="417">
        <f>X911/W911-1</f>
        <v>4.239450764747521E-2</v>
      </c>
      <c r="Y913" s="612">
        <f>Y911/X911-1</f>
        <v>2.8413936885996804E-2</v>
      </c>
      <c r="Z913" s="612">
        <f>Z911/Y911-1</f>
        <v>3.0961559135656458E-2</v>
      </c>
      <c r="AA913" s="612">
        <f>AA911/Z911-1</f>
        <v>2.4773197872752561E-2</v>
      </c>
      <c r="AB913" s="456"/>
      <c r="AC913" s="558">
        <v>1.4999999999999999E-2</v>
      </c>
      <c r="AD913" s="558">
        <v>2.5000000000000001E-2</v>
      </c>
      <c r="AE913" s="558">
        <v>2.5000000000000001E-2</v>
      </c>
      <c r="AF913" s="691">
        <v>2.5000000000000001E-2</v>
      </c>
      <c r="AG913" s="655"/>
      <c r="AH913" s="558">
        <v>0.01</v>
      </c>
      <c r="AI913" s="558">
        <v>0.01</v>
      </c>
      <c r="AJ913" s="558">
        <v>1.4999999999999999E-2</v>
      </c>
      <c r="AK913" s="558">
        <v>1.4999999999999999E-2</v>
      </c>
      <c r="AL913" s="456"/>
      <c r="AM913" s="655"/>
      <c r="AN913" s="655"/>
    </row>
    <row r="914" spans="1:41">
      <c r="A914" s="1102" t="s">
        <v>1868</v>
      </c>
      <c r="B914" s="1105"/>
      <c r="C914" s="1104">
        <f>C911-B911</f>
        <v>2887</v>
      </c>
      <c r="D914" s="1103"/>
      <c r="E914" s="1103"/>
      <c r="F914" s="1103"/>
      <c r="G914" s="1103"/>
      <c r="H914" s="1104">
        <f>H911-C911</f>
        <v>2558</v>
      </c>
      <c r="I914" s="1103"/>
      <c r="J914" s="1103"/>
      <c r="K914" s="1103"/>
      <c r="L914" s="1103"/>
      <c r="M914" s="1104">
        <f>M911-H911</f>
        <v>4380</v>
      </c>
      <c r="N914" s="1103"/>
      <c r="O914" s="1103"/>
      <c r="P914" s="1103"/>
      <c r="Q914" s="1105"/>
      <c r="R914" s="1104">
        <f>R911-M911</f>
        <v>8108</v>
      </c>
      <c r="S914" s="2466"/>
      <c r="T914" s="1103"/>
      <c r="U914" s="1103"/>
      <c r="V914" s="1104"/>
      <c r="W914" s="1104">
        <f>W911-R911</f>
        <v>10522</v>
      </c>
      <c r="X914" s="2547"/>
      <c r="Y914" s="2393"/>
      <c r="Z914" s="2393"/>
      <c r="AA914" s="2393"/>
      <c r="AB914" s="2688">
        <f>AB911-W911</f>
        <v>8053</v>
      </c>
      <c r="AC914" s="2393"/>
      <c r="AD914" s="2393"/>
      <c r="AE914" s="2393"/>
      <c r="AF914" s="1104"/>
      <c r="AG914" s="1104">
        <f>AG911-AB911</f>
        <v>11553</v>
      </c>
      <c r="AH914" s="2393"/>
      <c r="AI914" s="2393"/>
      <c r="AJ914" s="2393"/>
      <c r="AK914" s="1104"/>
      <c r="AL914" s="1104">
        <f>AL911-AG911</f>
        <v>4051.9012758618628</v>
      </c>
      <c r="AM914" s="1104">
        <f>AM911-AL911</f>
        <v>4980.5191804590577</v>
      </c>
      <c r="AN914" s="1104">
        <f>AN911-AM911</f>
        <v>4388.1270675935957</v>
      </c>
    </row>
    <row r="915" spans="1:41">
      <c r="A915" s="485" t="s">
        <v>452</v>
      </c>
      <c r="B915" s="613">
        <f>B911+B907</f>
        <v>421120</v>
      </c>
      <c r="C915" s="613">
        <f t="shared" ref="C915:O915" si="2129">C911+C907</f>
        <v>436551</v>
      </c>
      <c r="D915" s="472">
        <f t="shared" si="2129"/>
        <v>437320</v>
      </c>
      <c r="E915" s="472">
        <f t="shared" si="2129"/>
        <v>443576</v>
      </c>
      <c r="F915" s="472">
        <f t="shared" si="2129"/>
        <v>446271</v>
      </c>
      <c r="G915" s="472">
        <f t="shared" si="2129"/>
        <v>450558</v>
      </c>
      <c r="H915" s="613">
        <f t="shared" si="2129"/>
        <v>450558</v>
      </c>
      <c r="I915" s="472">
        <f t="shared" si="2129"/>
        <v>451856</v>
      </c>
      <c r="J915" s="472">
        <f t="shared" si="2129"/>
        <v>460102</v>
      </c>
      <c r="K915" s="472">
        <f t="shared" si="2129"/>
        <v>463084</v>
      </c>
      <c r="L915" s="472">
        <f>L911+L907</f>
        <v>466642</v>
      </c>
      <c r="M915" s="613">
        <f>M911+M907</f>
        <v>466642</v>
      </c>
      <c r="N915" s="472">
        <f>N911+N907</f>
        <v>471487</v>
      </c>
      <c r="O915" s="472">
        <f t="shared" si="2129"/>
        <v>477102</v>
      </c>
      <c r="P915" s="472">
        <f t="shared" ref="P915:U915" si="2130">P911+P907</f>
        <v>487395</v>
      </c>
      <c r="Q915" s="688">
        <f t="shared" si="2130"/>
        <v>495680</v>
      </c>
      <c r="R915" s="688">
        <f t="shared" si="2130"/>
        <v>495680</v>
      </c>
      <c r="S915" s="202">
        <f t="shared" si="2130"/>
        <v>502202</v>
      </c>
      <c r="T915" s="472">
        <f t="shared" si="2130"/>
        <v>514288</v>
      </c>
      <c r="U915" s="472">
        <f t="shared" si="2130"/>
        <v>524970</v>
      </c>
      <c r="V915" s="472">
        <f t="shared" ref="V915:AN915" si="2131">V911+V907</f>
        <v>533039</v>
      </c>
      <c r="W915" s="613">
        <f t="shared" si="2131"/>
        <v>533039</v>
      </c>
      <c r="X915" s="202">
        <f t="shared" si="2131"/>
        <v>542065</v>
      </c>
      <c r="Y915" s="472">
        <f t="shared" si="2131"/>
        <v>550690</v>
      </c>
      <c r="Z915" s="472">
        <f t="shared" si="2131"/>
        <v>561669</v>
      </c>
      <c r="AA915" s="472">
        <f t="shared" si="2131"/>
        <v>573404</v>
      </c>
      <c r="AB915" s="613">
        <f t="shared" si="2131"/>
        <v>573404</v>
      </c>
      <c r="AC915" s="472">
        <f t="shared" si="2131"/>
        <v>590353.66700000002</v>
      </c>
      <c r="AD915" s="472">
        <f t="shared" si="2131"/>
        <v>592835.99999999977</v>
      </c>
      <c r="AE915" s="472">
        <f t="shared" si="2131"/>
        <v>603376</v>
      </c>
      <c r="AF915" s="472">
        <f t="shared" si="2131"/>
        <v>616195</v>
      </c>
      <c r="AG915" s="613">
        <f t="shared" si="2131"/>
        <v>616195</v>
      </c>
      <c r="AH915" s="472">
        <f t="shared" si="2131"/>
        <v>623067.42299999995</v>
      </c>
      <c r="AI915" s="472">
        <f t="shared" si="2131"/>
        <v>633552.21290499996</v>
      </c>
      <c r="AJ915" s="472">
        <f t="shared" si="2131"/>
        <v>644890.048729375</v>
      </c>
      <c r="AK915" s="472">
        <f t="shared" si="2131"/>
        <v>658331.15882714768</v>
      </c>
      <c r="AL915" s="613">
        <f t="shared" ref="AL915" si="2132">AL911+AL907</f>
        <v>658331.15882714768</v>
      </c>
      <c r="AM915" s="688">
        <f t="shared" si="2131"/>
        <v>700677.05844943156</v>
      </c>
      <c r="AN915" s="688">
        <f t="shared" si="2131"/>
        <v>737812.29325789562</v>
      </c>
    </row>
    <row r="916" spans="1:41">
      <c r="A916" s="578" t="s">
        <v>1423</v>
      </c>
      <c r="B916" s="614"/>
      <c r="C916" s="655">
        <f>C915/B915-1</f>
        <v>3.6642762158054731E-2</v>
      </c>
      <c r="D916" s="611"/>
      <c r="E916" s="611"/>
      <c r="F916" s="611"/>
      <c r="G916" s="611"/>
      <c r="H916" s="455">
        <f t="shared" ref="H916:U916" si="2133">H915/C915-1</f>
        <v>3.2085598246253122E-2</v>
      </c>
      <c r="I916" s="611">
        <f t="shared" si="2133"/>
        <v>3.323881825665409E-2</v>
      </c>
      <c r="J916" s="611">
        <f t="shared" si="2133"/>
        <v>3.7256298807870625E-2</v>
      </c>
      <c r="K916" s="611">
        <f t="shared" si="2133"/>
        <v>3.7674417562422846E-2</v>
      </c>
      <c r="L916" s="611">
        <f t="shared" si="2133"/>
        <v>3.5697956755845084E-2</v>
      </c>
      <c r="M916" s="455">
        <f>M915/H915-1</f>
        <v>3.5697956755845084E-2</v>
      </c>
      <c r="N916" s="611">
        <f t="shared" si="2133"/>
        <v>4.3445256896002205E-2</v>
      </c>
      <c r="O916" s="611">
        <f t="shared" si="2133"/>
        <v>3.6948328848820378E-2</v>
      </c>
      <c r="P916" s="611">
        <f t="shared" si="2133"/>
        <v>5.2498034913752045E-2</v>
      </c>
      <c r="Q916" s="690">
        <f t="shared" si="2133"/>
        <v>6.22275748861012E-2</v>
      </c>
      <c r="R916" s="655">
        <f t="shared" si="2133"/>
        <v>6.22275748861012E-2</v>
      </c>
      <c r="S916" s="2379">
        <f t="shared" si="2133"/>
        <v>6.5144956276631083E-2</v>
      </c>
      <c r="T916" s="611">
        <f t="shared" si="2133"/>
        <v>7.7941404563384831E-2</v>
      </c>
      <c r="U916" s="611">
        <f t="shared" si="2133"/>
        <v>7.7093527836764819E-2</v>
      </c>
      <c r="V916" s="611">
        <f t="shared" ref="V916:AA916" si="2134">V915/Q915-1</f>
        <v>7.536918979987095E-2</v>
      </c>
      <c r="W916" s="455">
        <f t="shared" si="2134"/>
        <v>7.536918979987095E-2</v>
      </c>
      <c r="X916" s="2379">
        <f t="shared" si="2134"/>
        <v>7.9376426218931817E-2</v>
      </c>
      <c r="Y916" s="611">
        <f t="shared" si="2134"/>
        <v>7.0781352082879723E-2</v>
      </c>
      <c r="Z916" s="611">
        <f t="shared" si="2134"/>
        <v>6.9906851820104032E-2</v>
      </c>
      <c r="AA916" s="611">
        <f t="shared" si="2134"/>
        <v>7.5726166378069948E-2</v>
      </c>
      <c r="AB916" s="455">
        <f t="shared" ref="AB916:AG916" si="2135">AB915/W915-1</f>
        <v>7.5726166378069948E-2</v>
      </c>
      <c r="AC916" s="611">
        <f t="shared" si="2135"/>
        <v>8.9082798188409251E-2</v>
      </c>
      <c r="AD916" s="611">
        <f t="shared" si="2135"/>
        <v>7.6533076685612267E-2</v>
      </c>
      <c r="AE916" s="611">
        <f t="shared" si="2135"/>
        <v>7.4255477870418307E-2</v>
      </c>
      <c r="AF916" s="611">
        <f t="shared" si="2135"/>
        <v>7.4626266994998192E-2</v>
      </c>
      <c r="AG916" s="455">
        <f t="shared" si="2135"/>
        <v>7.4626266994998192E-2</v>
      </c>
      <c r="AH916" s="611">
        <f t="shared" ref="AH916" si="2136">AH915/AC915-1</f>
        <v>5.5413827047507747E-2</v>
      </c>
      <c r="AI916" s="611">
        <f t="shared" ref="AI916" si="2137">AI915/AD915-1</f>
        <v>6.8680398803379283E-2</v>
      </c>
      <c r="AJ916" s="611">
        <f t="shared" ref="AJ916" si="2138">AJ915/AE915-1</f>
        <v>6.8802949950569792E-2</v>
      </c>
      <c r="AK916" s="611">
        <f t="shared" ref="AK916:AL916" si="2139">AK915/AF915-1</f>
        <v>6.8381208590053033E-2</v>
      </c>
      <c r="AL916" s="455">
        <f t="shared" si="2139"/>
        <v>6.8381208590053033E-2</v>
      </c>
      <c r="AM916" s="655">
        <f>AM915/AL915-1</f>
        <v>6.432309796444291E-2</v>
      </c>
      <c r="AN916" s="655">
        <f>AN915/AM915-1</f>
        <v>5.2999073340067371E-2</v>
      </c>
    </row>
    <row r="917" spans="1:41">
      <c r="A917" s="578" t="s">
        <v>446</v>
      </c>
      <c r="B917" s="455"/>
      <c r="C917" s="138"/>
      <c r="D917" s="417">
        <f>D915/C915-1</f>
        <v>1.761535307444051E-3</v>
      </c>
      <c r="E917" s="417">
        <f>E915/D915-1</f>
        <v>1.4305314186408014E-2</v>
      </c>
      <c r="F917" s="417">
        <f>F915/E915-1</f>
        <v>6.075621764928707E-3</v>
      </c>
      <c r="G917" s="417">
        <f>G915/F915-1</f>
        <v>9.6062706292812106E-3</v>
      </c>
      <c r="H917" s="455"/>
      <c r="I917" s="417">
        <f>I915/H915-1</f>
        <v>2.8808721629622891E-3</v>
      </c>
      <c r="J917" s="417">
        <f>J915/I915-1</f>
        <v>1.8249176728869276E-2</v>
      </c>
      <c r="K917" s="417">
        <f>K915/J915-1</f>
        <v>6.4811715663048997E-3</v>
      </c>
      <c r="L917" s="417">
        <f>L915/K915-1</f>
        <v>7.6832712855550156E-3</v>
      </c>
      <c r="M917" s="455"/>
      <c r="N917" s="417">
        <f>N915/M915-1</f>
        <v>1.0382691656559029E-2</v>
      </c>
      <c r="O917" s="417">
        <f>O915/N915-1</f>
        <v>1.1909130050245187E-2</v>
      </c>
      <c r="P917" s="417">
        <f>P915/O915-1</f>
        <v>2.1574003043374423E-2</v>
      </c>
      <c r="Q917" s="655">
        <f>Q915/P915-1</f>
        <v>1.6998533017367867E-2</v>
      </c>
      <c r="R917" s="655"/>
      <c r="S917" s="2021">
        <f>S915/R915-1</f>
        <v>1.3157682375726232E-2</v>
      </c>
      <c r="T917" s="417">
        <f>T915/S915-1</f>
        <v>2.4066013277525666E-2</v>
      </c>
      <c r="U917" s="417">
        <f>U915/T915-1</f>
        <v>2.0770463242385517E-2</v>
      </c>
      <c r="V917" s="417">
        <f>V915/U915-1</f>
        <v>1.5370402118216386E-2</v>
      </c>
      <c r="W917" s="455"/>
      <c r="X917" s="2021">
        <f>X915/W915-1</f>
        <v>1.6933094951776528E-2</v>
      </c>
      <c r="Y917" s="417">
        <f>Y915/X915-1</f>
        <v>1.5911375941999539E-2</v>
      </c>
      <c r="Z917" s="417">
        <f>Z915/Y915-1</f>
        <v>1.9936806551780428E-2</v>
      </c>
      <c r="AA917" s="417">
        <f>AA915/Z915-1</f>
        <v>2.089308827797165E-2</v>
      </c>
      <c r="AB917" s="455"/>
      <c r="AC917" s="2021">
        <f>AC915/AB915-1</f>
        <v>2.9559729265927759E-2</v>
      </c>
      <c r="AD917" s="417">
        <f>AD915/AC915-1</f>
        <v>4.2048235468989947E-3</v>
      </c>
      <c r="AE917" s="417">
        <f>AE915/AD915-1</f>
        <v>1.7778947297397929E-2</v>
      </c>
      <c r="AF917" s="417">
        <f>AF915/AE915-1</f>
        <v>2.124545888467555E-2</v>
      </c>
      <c r="AG917" s="455"/>
      <c r="AH917" s="417">
        <f t="shared" ref="AH917:AK917" si="2140">AH915/AG915-1</f>
        <v>1.1153000267772217E-2</v>
      </c>
      <c r="AI917" s="417">
        <f t="shared" si="2140"/>
        <v>1.6827697160793464E-2</v>
      </c>
      <c r="AJ917" s="417">
        <f t="shared" si="2140"/>
        <v>1.7895661310041167E-2</v>
      </c>
      <c r="AK917" s="417">
        <f t="shared" si="2140"/>
        <v>2.0842483341549034E-2</v>
      </c>
      <c r="AL917" s="455"/>
      <c r="AM917" s="655"/>
      <c r="AN917" s="655"/>
    </row>
    <row r="918" spans="1:41">
      <c r="A918" s="1102" t="s">
        <v>1868</v>
      </c>
      <c r="B918" s="1105"/>
      <c r="C918" s="1104">
        <f>C915-B915</f>
        <v>15431</v>
      </c>
      <c r="D918" s="1103"/>
      <c r="E918" s="1103"/>
      <c r="F918" s="1103"/>
      <c r="G918" s="1103"/>
      <c r="H918" s="1104">
        <f>H915-C915</f>
        <v>14007</v>
      </c>
      <c r="I918" s="1103"/>
      <c r="J918" s="1103"/>
      <c r="K918" s="1103"/>
      <c r="L918" s="1105"/>
      <c r="M918" s="1104">
        <f>M915-H915</f>
        <v>16084</v>
      </c>
      <c r="N918" s="1103"/>
      <c r="O918" s="1103"/>
      <c r="P918" s="1103"/>
      <c r="Q918" s="1105"/>
      <c r="R918" s="1104">
        <f>R915-M915</f>
        <v>29038</v>
      </c>
      <c r="S918" s="2466"/>
      <c r="T918" s="1103"/>
      <c r="U918" s="1103"/>
      <c r="V918" s="1105"/>
      <c r="W918" s="1104">
        <f>W915-R915</f>
        <v>37359</v>
      </c>
      <c r="X918" s="2466"/>
      <c r="Y918" s="1103"/>
      <c r="Z918" s="1103"/>
      <c r="AA918" s="1103"/>
      <c r="AB918" s="1104">
        <f>AB915-W915</f>
        <v>40365</v>
      </c>
      <c r="AC918" s="1103"/>
      <c r="AD918" s="1103"/>
      <c r="AE918" s="1103"/>
      <c r="AF918" s="1105"/>
      <c r="AG918" s="1104">
        <f>AG915-AB915</f>
        <v>42791</v>
      </c>
      <c r="AH918" s="1103"/>
      <c r="AI918" s="1103"/>
      <c r="AJ918" s="1103"/>
      <c r="AK918" s="1105"/>
      <c r="AL918" s="1104">
        <f>AL915-AG915</f>
        <v>42136.158827147679</v>
      </c>
      <c r="AM918" s="1104">
        <f>AM915-AL915</f>
        <v>42345.899622283876</v>
      </c>
      <c r="AN918" s="1104">
        <f>AN915-AM915</f>
        <v>37135.234808464069</v>
      </c>
      <c r="AO918" s="130"/>
    </row>
    <row r="919" spans="1:41">
      <c r="A919" s="394"/>
      <c r="B919" s="138"/>
      <c r="C919" s="138"/>
      <c r="D919" s="135"/>
      <c r="E919" s="135"/>
      <c r="F919" s="135"/>
      <c r="G919" s="135"/>
      <c r="H919" s="138"/>
      <c r="I919" s="135"/>
      <c r="J919" s="135"/>
      <c r="K919" s="135"/>
      <c r="L919" s="1982"/>
      <c r="M919" s="452"/>
      <c r="N919" s="135"/>
      <c r="O919" s="135"/>
      <c r="P919" s="135"/>
      <c r="Q919" s="135"/>
      <c r="R919" s="138"/>
      <c r="S919" s="395"/>
      <c r="T919" s="439"/>
      <c r="U919" s="439"/>
      <c r="V919" s="135"/>
      <c r="W919" s="138"/>
      <c r="X919" s="394"/>
      <c r="Y919" s="135"/>
      <c r="Z919" s="135"/>
      <c r="AA919" s="135"/>
      <c r="AB919" s="455"/>
      <c r="AC919" s="135"/>
      <c r="AD919" s="135"/>
      <c r="AE919" s="135"/>
      <c r="AF919" s="135"/>
      <c r="AG919" s="138"/>
      <c r="AH919" s="135"/>
      <c r="AI919" s="135"/>
      <c r="AJ919" s="135"/>
      <c r="AK919" s="135"/>
      <c r="AL919" s="138"/>
      <c r="AM919" s="452"/>
      <c r="AN919" s="452"/>
    </row>
    <row r="920" spans="1:41">
      <c r="A920" s="202" t="s">
        <v>1632</v>
      </c>
      <c r="B920" s="555">
        <f t="shared" ref="B920:R920" si="2141">B915+B886</f>
        <v>542308</v>
      </c>
      <c r="C920" s="555">
        <f t="shared" si="2141"/>
        <v>565861</v>
      </c>
      <c r="D920" s="554">
        <f t="shared" si="2141"/>
        <v>568321</v>
      </c>
      <c r="E920" s="554">
        <f t="shared" si="2141"/>
        <v>573771</v>
      </c>
      <c r="F920" s="554">
        <f t="shared" si="2141"/>
        <v>577011</v>
      </c>
      <c r="G920" s="554">
        <f t="shared" si="2141"/>
        <v>584133</v>
      </c>
      <c r="H920" s="555">
        <f t="shared" si="2141"/>
        <v>584133</v>
      </c>
      <c r="I920" s="554">
        <f t="shared" si="2141"/>
        <v>589168</v>
      </c>
      <c r="J920" s="554">
        <f t="shared" si="2141"/>
        <v>596765</v>
      </c>
      <c r="K920" s="554">
        <f t="shared" si="2141"/>
        <v>603271</v>
      </c>
      <c r="L920" s="684">
        <f>L915+L886</f>
        <v>610413</v>
      </c>
      <c r="M920" s="684">
        <f>M915+M886</f>
        <v>610413</v>
      </c>
      <c r="N920" s="554">
        <f>N915+N886</f>
        <v>618769</v>
      </c>
      <c r="O920" s="554">
        <f t="shared" si="2141"/>
        <v>626392</v>
      </c>
      <c r="P920" s="554">
        <f>P915+P886</f>
        <v>639072</v>
      </c>
      <c r="Q920" s="554">
        <f>Q915+Q886</f>
        <v>649314</v>
      </c>
      <c r="R920" s="555">
        <f t="shared" si="2141"/>
        <v>649314</v>
      </c>
      <c r="S920" s="554">
        <f t="shared" ref="S920:AN920" si="2142">S915+S886</f>
        <v>653351</v>
      </c>
      <c r="T920" s="554">
        <f t="shared" si="2142"/>
        <v>664184</v>
      </c>
      <c r="U920" s="554">
        <f t="shared" si="2142"/>
        <v>677960</v>
      </c>
      <c r="V920" s="554">
        <f t="shared" si="2142"/>
        <v>691887</v>
      </c>
      <c r="W920" s="555">
        <f t="shared" si="2142"/>
        <v>691887</v>
      </c>
      <c r="X920" s="2496">
        <f t="shared" si="2142"/>
        <v>699020</v>
      </c>
      <c r="Y920" s="554">
        <f t="shared" si="2142"/>
        <v>710225</v>
      </c>
      <c r="Z920" s="554">
        <f t="shared" si="2142"/>
        <v>723404</v>
      </c>
      <c r="AA920" s="554">
        <f t="shared" si="2142"/>
        <v>738724</v>
      </c>
      <c r="AB920" s="555">
        <f t="shared" si="2142"/>
        <v>738724</v>
      </c>
      <c r="AC920" s="554">
        <f t="shared" si="2142"/>
        <v>791081</v>
      </c>
      <c r="AD920" s="554">
        <f t="shared" si="2142"/>
        <v>795311.99999999977</v>
      </c>
      <c r="AE920" s="554">
        <f t="shared" si="2142"/>
        <v>806872</v>
      </c>
      <c r="AF920" s="554">
        <f t="shared" si="2142"/>
        <v>824430</v>
      </c>
      <c r="AG920" s="555">
        <f t="shared" si="2142"/>
        <v>824430</v>
      </c>
      <c r="AH920" s="554">
        <f t="shared" ref="AH920:AL920" si="2143">AH915+AH886</f>
        <v>834365.95799999998</v>
      </c>
      <c r="AI920" s="554">
        <f t="shared" si="2143"/>
        <v>847895.1062739999</v>
      </c>
      <c r="AJ920" s="554">
        <f t="shared" si="2143"/>
        <v>861993.83425428998</v>
      </c>
      <c r="AK920" s="554">
        <f t="shared" si="2143"/>
        <v>878237.04786060122</v>
      </c>
      <c r="AL920" s="555">
        <f t="shared" si="2143"/>
        <v>878237.04786060122</v>
      </c>
      <c r="AM920" s="684">
        <f t="shared" si="2142"/>
        <v>930843.13246427523</v>
      </c>
      <c r="AN920" s="684">
        <f t="shared" si="2142"/>
        <v>974868.49531769322</v>
      </c>
    </row>
    <row r="921" spans="1:41">
      <c r="A921" s="578" t="s">
        <v>1423</v>
      </c>
      <c r="B921" s="614"/>
      <c r="C921" s="614">
        <f>C920/B920-1</f>
        <v>4.3431039188062792E-2</v>
      </c>
      <c r="D921" s="611"/>
      <c r="E921" s="611"/>
      <c r="F921" s="611"/>
      <c r="G921" s="611"/>
      <c r="H921" s="614">
        <f t="shared" ref="H921:U921" si="2144">H920/C920-1</f>
        <v>3.2290615539858791E-2</v>
      </c>
      <c r="I921" s="611">
        <f t="shared" si="2144"/>
        <v>3.6681734442330916E-2</v>
      </c>
      <c r="J921" s="611">
        <f t="shared" si="2144"/>
        <v>4.0075221647660753E-2</v>
      </c>
      <c r="K921" s="611">
        <f t="shared" si="2144"/>
        <v>4.5510397548746973E-2</v>
      </c>
      <c r="L921" s="690">
        <f t="shared" si="2144"/>
        <v>4.4989754045739572E-2</v>
      </c>
      <c r="M921" s="690">
        <f>M920/H920-1</f>
        <v>4.4989754045739572E-2</v>
      </c>
      <c r="N921" s="611">
        <f t="shared" si="2144"/>
        <v>5.02420362273579E-2</v>
      </c>
      <c r="O921" s="611">
        <f t="shared" si="2144"/>
        <v>4.9646008060124203E-2</v>
      </c>
      <c r="P921" s="611">
        <f t="shared" si="2144"/>
        <v>5.9344805236784204E-2</v>
      </c>
      <c r="Q921" s="611">
        <f t="shared" si="2144"/>
        <v>6.3728983491504909E-2</v>
      </c>
      <c r="R921" s="614">
        <f t="shared" si="2144"/>
        <v>6.3728983491504909E-2</v>
      </c>
      <c r="S921" s="611">
        <f t="shared" si="2144"/>
        <v>5.5888384841515926E-2</v>
      </c>
      <c r="T921" s="611">
        <f t="shared" si="2144"/>
        <v>6.0332826728310751E-2</v>
      </c>
      <c r="U921" s="611">
        <f t="shared" si="2144"/>
        <v>6.0850733563667214E-2</v>
      </c>
      <c r="V921" s="611">
        <f t="shared" ref="V921:AB921" si="2145">V920/Q920-1</f>
        <v>6.5566120551843854E-2</v>
      </c>
      <c r="W921" s="614">
        <f t="shared" si="2145"/>
        <v>6.5566120551843854E-2</v>
      </c>
      <c r="X921" s="2379">
        <f t="shared" si="2145"/>
        <v>6.9899640468905622E-2</v>
      </c>
      <c r="Y921" s="611">
        <f t="shared" si="2145"/>
        <v>6.9319646363056098E-2</v>
      </c>
      <c r="Z921" s="611">
        <f t="shared" si="2145"/>
        <v>6.7030503274529529E-2</v>
      </c>
      <c r="AA921" s="611">
        <f t="shared" si="2145"/>
        <v>6.7694580184336495E-2</v>
      </c>
      <c r="AB921" s="614">
        <f t="shared" si="2145"/>
        <v>6.7694580184336495E-2</v>
      </c>
      <c r="AC921" s="611">
        <f>AC920/X920-1</f>
        <v>0.13170009441789943</v>
      </c>
      <c r="AD921" s="611">
        <f>AD920/Y920-1</f>
        <v>0.11980287936921363</v>
      </c>
      <c r="AE921" s="611">
        <f>AE920/Z920-1</f>
        <v>0.1153822760172738</v>
      </c>
      <c r="AF921" s="611">
        <f>AF920/AA920-1</f>
        <v>0.11601897325658839</v>
      </c>
      <c r="AG921" s="3048">
        <f>(AG920-(AB863-AC863))/AB920-1</f>
        <v>6.8074138649888205E-2</v>
      </c>
      <c r="AH921" s="611">
        <f t="shared" ref="AH921:AK921" si="2146">AH920/AC920-1</f>
        <v>5.4716214900876192E-2</v>
      </c>
      <c r="AI921" s="611">
        <f t="shared" si="2146"/>
        <v>6.6116324504094104E-2</v>
      </c>
      <c r="AJ921" s="611">
        <f t="shared" si="2146"/>
        <v>6.8315462990771847E-2</v>
      </c>
      <c r="AK921" s="611">
        <f t="shared" si="2146"/>
        <v>6.5265756778139172E-2</v>
      </c>
      <c r="AL921" s="3048">
        <f>(AL920-(AG863-AH863))/AG920-1</f>
        <v>6.5265756778139172E-2</v>
      </c>
      <c r="AM921" s="690">
        <f>AM920/AL920-1</f>
        <v>5.9899641824292527E-2</v>
      </c>
      <c r="AN921" s="690">
        <f>AN920/AM920-1</f>
        <v>4.7296221369616864E-2</v>
      </c>
    </row>
    <row r="922" spans="1:41">
      <c r="A922" s="477" t="s">
        <v>446</v>
      </c>
      <c r="B922" s="456"/>
      <c r="C922" s="456"/>
      <c r="D922" s="612">
        <f>D920/C920-1</f>
        <v>4.3473573898891171E-3</v>
      </c>
      <c r="E922" s="612">
        <f>E920/D920-1</f>
        <v>9.5896509191109036E-3</v>
      </c>
      <c r="F922" s="612">
        <f>F920/E920-1</f>
        <v>5.6468521413595152E-3</v>
      </c>
      <c r="G922" s="612">
        <f>G920/F920-1</f>
        <v>1.2342918939153735E-2</v>
      </c>
      <c r="H922" s="456"/>
      <c r="I922" s="612">
        <f>I920/H920-1</f>
        <v>8.6196123143187364E-3</v>
      </c>
      <c r="J922" s="612">
        <f>J920/I920-1</f>
        <v>1.289445455286109E-2</v>
      </c>
      <c r="K922" s="612">
        <f>K920/J920-1</f>
        <v>1.0902113897430343E-2</v>
      </c>
      <c r="L922" s="693">
        <f>L920/K920-1</f>
        <v>1.1838792184606817E-2</v>
      </c>
      <c r="M922" s="693"/>
      <c r="N922" s="612">
        <f>N920/M920-1</f>
        <v>1.368909246690353E-2</v>
      </c>
      <c r="O922" s="612">
        <f>O920/N920-1</f>
        <v>1.2319621700505268E-2</v>
      </c>
      <c r="P922" s="612">
        <f>P920/O920-1</f>
        <v>2.0242914979757165E-2</v>
      </c>
      <c r="Q922" s="612">
        <f>Q920/P920-1</f>
        <v>1.6026363226678608E-2</v>
      </c>
      <c r="R922" s="456"/>
      <c r="S922" s="612">
        <f>S920/R920-1</f>
        <v>6.2173309061563931E-3</v>
      </c>
      <c r="T922" s="612">
        <f>T920/S920-1</f>
        <v>1.6580674094016867E-2</v>
      </c>
      <c r="U922" s="612">
        <f>U920/T920-1</f>
        <v>2.0741240379172021E-2</v>
      </c>
      <c r="V922" s="612">
        <f>V920/U920-1</f>
        <v>2.0542509882588877E-2</v>
      </c>
      <c r="W922" s="456"/>
      <c r="X922" s="2022">
        <f>X920/W920-1</f>
        <v>1.0309486953794522E-2</v>
      </c>
      <c r="Y922" s="612">
        <f>Y920/X920-1</f>
        <v>1.6029584275128128E-2</v>
      </c>
      <c r="Z922" s="612">
        <f>Z920/Y920-1</f>
        <v>1.8556091379492434E-2</v>
      </c>
      <c r="AA922" s="612">
        <f>AA920/Z920-1</f>
        <v>2.1177654533289791E-2</v>
      </c>
      <c r="AB922" s="456"/>
      <c r="AC922" s="2022">
        <f>AC920/AB920-1</f>
        <v>7.0874914040967907E-2</v>
      </c>
      <c r="AD922" s="612">
        <f>AD920/AC920-1</f>
        <v>5.3483777261744692E-3</v>
      </c>
      <c r="AE922" s="612">
        <f>AE920/AD920-1</f>
        <v>1.453517613213462E-2</v>
      </c>
      <c r="AF922" s="612">
        <f>AF920/AE920-1</f>
        <v>2.1760576646605578E-2</v>
      </c>
      <c r="AG922" s="456"/>
      <c r="AH922" s="612">
        <f t="shared" ref="AH922:AK922" si="2147">AH920/AG920-1</f>
        <v>1.2051912230268247E-2</v>
      </c>
      <c r="AI922" s="612">
        <f t="shared" si="2147"/>
        <v>1.621488526021575E-2</v>
      </c>
      <c r="AJ922" s="612">
        <f t="shared" si="2147"/>
        <v>1.6627915264478599E-2</v>
      </c>
      <c r="AK922" s="612">
        <f t="shared" si="2147"/>
        <v>1.8843770060563481E-2</v>
      </c>
      <c r="AL922" s="456"/>
      <c r="AM922" s="693"/>
      <c r="AN922" s="693"/>
    </row>
    <row r="923" spans="1:41" s="122" customFormat="1">
      <c r="A923" s="1102" t="s">
        <v>1868</v>
      </c>
      <c r="B923" s="1105"/>
      <c r="C923" s="1104">
        <f>C920-B920</f>
        <v>23553</v>
      </c>
      <c r="D923" s="1103"/>
      <c r="E923" s="1103"/>
      <c r="F923" s="1103"/>
      <c r="G923" s="1103"/>
      <c r="H923" s="1104">
        <f>H920-C920</f>
        <v>18272</v>
      </c>
      <c r="I923" s="1103"/>
      <c r="J923" s="1103"/>
      <c r="K923" s="1103"/>
      <c r="L923" s="1105"/>
      <c r="M923" s="1104">
        <f>M920-H920</f>
        <v>26280</v>
      </c>
      <c r="N923" s="1103"/>
      <c r="O923" s="1103"/>
      <c r="P923" s="1103"/>
      <c r="Q923" s="1105"/>
      <c r="R923" s="1104">
        <f>R920-M920</f>
        <v>38901</v>
      </c>
      <c r="S923" s="1103"/>
      <c r="T923" s="1103"/>
      <c r="U923" s="1103"/>
      <c r="V923" s="1105"/>
      <c r="W923" s="1104">
        <f>W920-R920</f>
        <v>42573</v>
      </c>
      <c r="X923" s="2393"/>
      <c r="Y923" s="2393"/>
      <c r="Z923" s="2393"/>
      <c r="AA923" s="2393"/>
      <c r="AB923" s="1104">
        <f>AB920-W920</f>
        <v>46837</v>
      </c>
      <c r="AC923" s="2393"/>
      <c r="AD923" s="2393"/>
      <c r="AE923" s="2393"/>
      <c r="AF923" s="1105"/>
      <c r="AG923" s="3490">
        <f>AG920-AB920-(AB863-AC863)</f>
        <v>50288</v>
      </c>
      <c r="AH923" s="2393"/>
      <c r="AI923" s="2393"/>
      <c r="AJ923" s="2393"/>
      <c r="AK923" s="1105"/>
      <c r="AL923" s="3490">
        <f>AL920-AG920-(AG863-AH863)</f>
        <v>53807.047860601218</v>
      </c>
      <c r="AM923" s="1104">
        <f>AM920-AL920</f>
        <v>52606.084603674011</v>
      </c>
      <c r="AN923" s="1104">
        <f>AN920-AM920</f>
        <v>44025.362853417988</v>
      </c>
      <c r="AO923" s="435"/>
    </row>
    <row r="924" spans="1:41" ht="15.75">
      <c r="A924" s="1828" t="s">
        <v>1420</v>
      </c>
      <c r="B924" s="130"/>
      <c r="C924" s="130"/>
      <c r="D924" s="130"/>
      <c r="E924" s="130"/>
      <c r="F924" s="130"/>
      <c r="G924" s="130"/>
      <c r="H924" s="130"/>
      <c r="I924" s="130"/>
      <c r="J924" s="130"/>
      <c r="K924" s="130"/>
      <c r="L924" s="130"/>
      <c r="M924" s="130"/>
      <c r="N924" s="220"/>
      <c r="O924"/>
      <c r="P924"/>
      <c r="Q924"/>
      <c r="R924"/>
      <c r="S924" s="135"/>
      <c r="T924" s="135"/>
      <c r="U924" s="135"/>
      <c r="V924" s="135"/>
      <c r="W924" s="2649" t="s">
        <v>2420</v>
      </c>
      <c r="X924" s="135"/>
      <c r="Y924" s="135"/>
      <c r="Z924" s="135"/>
      <c r="AA924" s="135"/>
      <c r="AB924" s="2649" t="s">
        <v>2421</v>
      </c>
      <c r="AC924" s="135"/>
      <c r="AD924" s="135"/>
      <c r="AE924" s="135"/>
      <c r="AF924" s="135"/>
      <c r="AG924" s="2649" t="s">
        <v>2813</v>
      </c>
      <c r="AH924" s="135"/>
      <c r="AI924" s="135"/>
      <c r="AJ924" s="135"/>
      <c r="AK924" s="135"/>
      <c r="AL924" s="2649">
        <v>6.5000000000000002E-2</v>
      </c>
      <c r="AM924" s="130"/>
      <c r="AN924" s="130"/>
    </row>
    <row r="925" spans="1:41" ht="15.75">
      <c r="A925" s="3493" t="s">
        <v>2940</v>
      </c>
      <c r="B925" s="130"/>
      <c r="C925" s="130"/>
      <c r="D925" s="130"/>
      <c r="E925" s="130"/>
      <c r="F925" s="130"/>
      <c r="G925" s="130"/>
      <c r="H925" s="130"/>
      <c r="I925" s="130"/>
      <c r="J925" s="130"/>
      <c r="K925" s="130"/>
      <c r="L925" s="130"/>
      <c r="M925" s="130"/>
      <c r="N925" s="220"/>
      <c r="O925"/>
      <c r="P925"/>
      <c r="Q925"/>
      <c r="R925"/>
      <c r="S925" s="135"/>
      <c r="T925" s="135"/>
      <c r="U925" s="135"/>
      <c r="V925" s="135"/>
      <c r="W925" s="3492"/>
      <c r="X925" s="135"/>
      <c r="Y925" s="135"/>
      <c r="Z925" s="135"/>
      <c r="AA925" s="135"/>
      <c r="AB925" s="3492"/>
      <c r="AC925" s="135"/>
      <c r="AD925" s="135"/>
      <c r="AE925" s="135"/>
      <c r="AF925" s="135"/>
      <c r="AG925" s="3492"/>
      <c r="AH925" s="135"/>
      <c r="AI925" s="135"/>
      <c r="AJ925" s="135"/>
      <c r="AK925" s="135"/>
      <c r="AL925" s="3492"/>
      <c r="AM925" s="3494" t="s">
        <v>2941</v>
      </c>
      <c r="AN925" s="130"/>
    </row>
    <row r="926" spans="1:41" ht="15.75">
      <c r="N926"/>
      <c r="O926"/>
      <c r="P926"/>
      <c r="Q926"/>
      <c r="R926"/>
      <c r="S926"/>
      <c r="T926"/>
      <c r="U926"/>
      <c r="V926"/>
      <c r="W926"/>
      <c r="X926" s="2310"/>
      <c r="Y926" s="2310"/>
      <c r="Z926" s="2310"/>
      <c r="AA926" s="2310"/>
      <c r="AB926"/>
      <c r="AC926" s="2310"/>
      <c r="AD926" s="2310"/>
      <c r="AE926" s="2310"/>
      <c r="AF926"/>
      <c r="AG926"/>
      <c r="AH926" s="2310"/>
      <c r="AI926" s="2310"/>
      <c r="AJ926" s="2310"/>
      <c r="AK926"/>
      <c r="AL926"/>
      <c r="AM926" s="122">
        <f>SUM(AG923:AM923)</f>
        <v>156701.13246427523</v>
      </c>
      <c r="AN926"/>
    </row>
    <row r="927" spans="1:41">
      <c r="A927" s="202" t="s">
        <v>1870</v>
      </c>
      <c r="B927" s="555"/>
      <c r="C927" s="555"/>
      <c r="D927" s="554"/>
      <c r="E927" s="554"/>
      <c r="F927" s="554"/>
      <c r="G927" s="554"/>
      <c r="H927" s="555"/>
      <c r="I927" s="554"/>
      <c r="J927" s="554"/>
      <c r="K927" s="554"/>
      <c r="L927" s="684"/>
      <c r="M927" s="684"/>
      <c r="N927" s="554"/>
      <c r="O927" s="554"/>
      <c r="P927" s="554"/>
      <c r="Q927" s="554"/>
      <c r="R927" s="555"/>
      <c r="S927" s="554"/>
      <c r="T927" s="554"/>
      <c r="U927" s="554"/>
      <c r="V927" s="684"/>
      <c r="W927" s="684"/>
      <c r="X927" s="554"/>
      <c r="Y927" s="554"/>
      <c r="Z927" s="554"/>
      <c r="AA927" s="554"/>
      <c r="AB927" s="684"/>
      <c r="AC927" s="554"/>
      <c r="AD927" s="554"/>
      <c r="AE927" s="554"/>
      <c r="AF927" s="684"/>
      <c r="AG927" s="684"/>
      <c r="AH927" s="554"/>
      <c r="AI927" s="554"/>
      <c r="AJ927" s="554"/>
      <c r="AK927" s="684"/>
      <c r="AL927" s="684"/>
      <c r="AM927" s="684"/>
      <c r="AN927" s="684"/>
    </row>
    <row r="928" spans="1:41">
      <c r="A928" s="3" t="s">
        <v>1270</v>
      </c>
      <c r="B928" s="3">
        <f t="shared" ref="B928:J928" si="2148">B780+B781+B800+B801+B820+B821</f>
        <v>15412</v>
      </c>
      <c r="C928" s="208">
        <f t="shared" si="2148"/>
        <v>15085</v>
      </c>
      <c r="D928" s="3">
        <f t="shared" si="2148"/>
        <v>15945</v>
      </c>
      <c r="E928" s="3">
        <f t="shared" si="2148"/>
        <v>16591</v>
      </c>
      <c r="F928" s="3">
        <f t="shared" si="2148"/>
        <v>16900</v>
      </c>
      <c r="G928" s="3">
        <f t="shared" si="2148"/>
        <v>17384</v>
      </c>
      <c r="H928" s="474">
        <f t="shared" si="2148"/>
        <v>17384</v>
      </c>
      <c r="I928" s="3">
        <f t="shared" si="2148"/>
        <v>17780</v>
      </c>
      <c r="J928" s="3">
        <f t="shared" si="2148"/>
        <v>17885</v>
      </c>
      <c r="K928" s="3">
        <f t="shared" ref="K928:R928" si="2149">K780+K781+K800+K801+K820+K821</f>
        <v>18212</v>
      </c>
      <c r="L928" s="474">
        <f t="shared" si="2149"/>
        <v>18406</v>
      </c>
      <c r="M928" s="474">
        <f t="shared" si="2149"/>
        <v>18406</v>
      </c>
      <c r="N928" s="3">
        <f t="shared" si="2149"/>
        <v>18654</v>
      </c>
      <c r="O928" s="3">
        <f t="shared" si="2149"/>
        <v>18937</v>
      </c>
      <c r="P928" s="3">
        <f t="shared" si="2149"/>
        <v>18747</v>
      </c>
      <c r="Q928" s="474">
        <f t="shared" si="2149"/>
        <v>18744</v>
      </c>
      <c r="R928" s="474">
        <f t="shared" si="2149"/>
        <v>18744</v>
      </c>
      <c r="S928" s="3">
        <f t="shared" ref="S928:AB928" si="2150">S780+S781+S800+S801+S820+S821</f>
        <v>18651</v>
      </c>
      <c r="T928" s="3">
        <f t="shared" si="2150"/>
        <v>18434</v>
      </c>
      <c r="U928" s="3">
        <f t="shared" si="2150"/>
        <v>18122</v>
      </c>
      <c r="V928" s="474">
        <f t="shared" si="2150"/>
        <v>18088</v>
      </c>
      <c r="W928" s="474">
        <f t="shared" si="2150"/>
        <v>18088</v>
      </c>
      <c r="X928" s="3">
        <f t="shared" si="2150"/>
        <v>18410</v>
      </c>
      <c r="Y928" s="3">
        <f t="shared" si="2150"/>
        <v>19117</v>
      </c>
      <c r="Z928" s="3">
        <f t="shared" si="2150"/>
        <v>19467</v>
      </c>
      <c r="AA928" s="3">
        <f t="shared" si="2150"/>
        <v>19757</v>
      </c>
      <c r="AB928" s="474">
        <f t="shared" si="2150"/>
        <v>19757</v>
      </c>
      <c r="AC928" s="3">
        <f t="shared" ref="AC928:AN928" si="2151">AC780+AC781+AC800+AC801+AC820+AC821</f>
        <v>18330.532999999996</v>
      </c>
      <c r="AD928" s="3">
        <f t="shared" si="2151"/>
        <v>18515.673900504833</v>
      </c>
      <c r="AE928" s="3">
        <f t="shared" si="2151"/>
        <v>20028</v>
      </c>
      <c r="AF928" s="474">
        <f t="shared" si="2151"/>
        <v>20288</v>
      </c>
      <c r="AG928" s="474">
        <f t="shared" si="2151"/>
        <v>20288</v>
      </c>
      <c r="AH928" s="3">
        <f t="shared" si="2151"/>
        <v>20521.774999999998</v>
      </c>
      <c r="AI928" s="3">
        <f t="shared" si="2151"/>
        <v>20758.617424999997</v>
      </c>
      <c r="AJ928" s="3">
        <f t="shared" ref="AJ928:AL928" si="2152">AJ780+AJ781+AJ800+AJ801+AJ820+AJ821</f>
        <v>21005.567800474997</v>
      </c>
      <c r="AK928" s="474">
        <f t="shared" si="2152"/>
        <v>21259.332660376622</v>
      </c>
      <c r="AL928" s="474">
        <f t="shared" si="2152"/>
        <v>21259.332660376622</v>
      </c>
      <c r="AM928" s="208">
        <f t="shared" si="2151"/>
        <v>22133.34015553254</v>
      </c>
      <c r="AN928" s="208">
        <f t="shared" si="2151"/>
        <v>22716.790333701221</v>
      </c>
    </row>
    <row r="929" spans="1:41">
      <c r="A929" s="3" t="s">
        <v>1693</v>
      </c>
      <c r="B929" s="3">
        <f t="shared" ref="B929:M929" si="2153">B783+B786+B803+B806+B823+B826+B824+B804</f>
        <v>243319</v>
      </c>
      <c r="C929" s="208">
        <f t="shared" si="2153"/>
        <v>247018</v>
      </c>
      <c r="D929" s="3">
        <f t="shared" si="2153"/>
        <v>244808</v>
      </c>
      <c r="E929" s="3">
        <f t="shared" si="2153"/>
        <v>245382</v>
      </c>
      <c r="F929" s="3">
        <f t="shared" si="2153"/>
        <v>244949</v>
      </c>
      <c r="G929" s="3">
        <f t="shared" si="2153"/>
        <v>244632</v>
      </c>
      <c r="H929" s="474">
        <f t="shared" si="2153"/>
        <v>244632</v>
      </c>
      <c r="I929" s="3">
        <f t="shared" si="2153"/>
        <v>244464</v>
      </c>
      <c r="J929" s="3">
        <f t="shared" si="2153"/>
        <v>245916</v>
      </c>
      <c r="K929" s="3">
        <f t="shared" si="2153"/>
        <v>247442</v>
      </c>
      <c r="L929" s="474">
        <f t="shared" si="2153"/>
        <v>248037</v>
      </c>
      <c r="M929" s="474">
        <f t="shared" si="2153"/>
        <v>248037</v>
      </c>
      <c r="N929" s="3">
        <f>N783+N786+N803+N806+N823+N826+N824+N804+N784</f>
        <v>250629</v>
      </c>
      <c r="O929" s="3">
        <f t="shared" ref="O929:AN929" si="2154">O783+O786+O803+O806+O823+O826+O824+O804+O784</f>
        <v>250173</v>
      </c>
      <c r="P929" s="3">
        <f t="shared" si="2154"/>
        <v>253549</v>
      </c>
      <c r="Q929" s="474">
        <f t="shared" si="2154"/>
        <v>256357</v>
      </c>
      <c r="R929" s="474">
        <f t="shared" si="2154"/>
        <v>256357</v>
      </c>
      <c r="S929" s="3">
        <f t="shared" si="2154"/>
        <v>257271</v>
      </c>
      <c r="T929" s="3">
        <f t="shared" si="2154"/>
        <v>258474</v>
      </c>
      <c r="U929" s="3">
        <f t="shared" si="2154"/>
        <v>261518</v>
      </c>
      <c r="V929" s="474">
        <f t="shared" si="2154"/>
        <v>264623</v>
      </c>
      <c r="W929" s="474">
        <f t="shared" si="2154"/>
        <v>264623</v>
      </c>
      <c r="X929" s="3">
        <f t="shared" ref="X929:AI929" si="2155">X783+X786+X803+X806+X823+X826+X824+X804+X784</f>
        <v>265671</v>
      </c>
      <c r="Y929" s="3">
        <f t="shared" si="2155"/>
        <v>266723</v>
      </c>
      <c r="Z929" s="3">
        <f t="shared" si="2155"/>
        <v>269199</v>
      </c>
      <c r="AA929" s="3">
        <f t="shared" si="2155"/>
        <v>270593</v>
      </c>
      <c r="AB929" s="474">
        <f t="shared" si="2155"/>
        <v>270593</v>
      </c>
      <c r="AC929" s="3">
        <f t="shared" si="2155"/>
        <v>272972.61300000001</v>
      </c>
      <c r="AD929" s="3">
        <f t="shared" si="2155"/>
        <v>275831.01384509727</v>
      </c>
      <c r="AE929" s="3">
        <f>AE783+AE786+AE803+AE806+AE823+AE826+AE824+AE804+AE784</f>
        <v>274817</v>
      </c>
      <c r="AF929" s="474">
        <f t="shared" si="2155"/>
        <v>279187</v>
      </c>
      <c r="AG929" s="474">
        <f t="shared" si="2155"/>
        <v>279187</v>
      </c>
      <c r="AH929" s="3">
        <f t="shared" si="2155"/>
        <v>282393.19</v>
      </c>
      <c r="AI929" s="3">
        <f t="shared" si="2155"/>
        <v>285953.32795399998</v>
      </c>
      <c r="AJ929" s="3">
        <f>AJ783+AJ786+AJ803+AJ806+AJ823+AJ826+AJ824+AJ804+AJ784</f>
        <v>289570.81570138998</v>
      </c>
      <c r="AK929" s="474">
        <f t="shared" ref="AK929:AL929" si="2156">AK783+AK786+AK803+AK806+AK823+AK826+AK824+AK804+AK784</f>
        <v>293239.49759327166</v>
      </c>
      <c r="AL929" s="474">
        <f t="shared" si="2156"/>
        <v>293239.49759327166</v>
      </c>
      <c r="AM929" s="208">
        <f t="shared" si="2154"/>
        <v>307056.36640969035</v>
      </c>
      <c r="AN929" s="208">
        <f t="shared" si="2154"/>
        <v>317129.33917903295</v>
      </c>
    </row>
    <row r="930" spans="1:41">
      <c r="A930" s="3" t="s">
        <v>1271</v>
      </c>
      <c r="B930" s="3">
        <f t="shared" ref="B930:J930" si="2157">B785+B787+B792+B805+B807+B812+B825+B827+B832</f>
        <v>165670</v>
      </c>
      <c r="C930" s="208">
        <f t="shared" si="2157"/>
        <v>178823</v>
      </c>
      <c r="D930" s="3">
        <f t="shared" si="2157"/>
        <v>183454</v>
      </c>
      <c r="E930" s="3">
        <f t="shared" si="2157"/>
        <v>185707</v>
      </c>
      <c r="F930" s="3">
        <f t="shared" si="2157"/>
        <v>188299</v>
      </c>
      <c r="G930" s="3">
        <f t="shared" si="2157"/>
        <v>193493</v>
      </c>
      <c r="H930" s="474">
        <f t="shared" si="2157"/>
        <v>193493</v>
      </c>
      <c r="I930" s="3">
        <f t="shared" si="2157"/>
        <v>198499</v>
      </c>
      <c r="J930" s="3">
        <f t="shared" si="2157"/>
        <v>202945</v>
      </c>
      <c r="K930" s="3">
        <f t="shared" ref="K930:R930" si="2158">K785+K787+K792+K805+K807+K812+K825+K827+K832</f>
        <v>205781</v>
      </c>
      <c r="L930" s="474">
        <f t="shared" si="2158"/>
        <v>209710</v>
      </c>
      <c r="M930" s="474">
        <f t="shared" si="2158"/>
        <v>209710</v>
      </c>
      <c r="N930" s="3">
        <f t="shared" si="2158"/>
        <v>213561</v>
      </c>
      <c r="O930" s="3">
        <f t="shared" si="2158"/>
        <v>217960</v>
      </c>
      <c r="P930" s="3">
        <f t="shared" si="2158"/>
        <v>222042</v>
      </c>
      <c r="Q930" s="474">
        <f t="shared" si="2158"/>
        <v>227030</v>
      </c>
      <c r="R930" s="474">
        <f t="shared" si="2158"/>
        <v>227030</v>
      </c>
      <c r="S930" s="3">
        <f t="shared" ref="S930:AB930" si="2159">S785+S787+S792+S805+S807+S812+S825+S827+S832</f>
        <v>229684</v>
      </c>
      <c r="T930" s="3">
        <f t="shared" si="2159"/>
        <v>235111</v>
      </c>
      <c r="U930" s="3">
        <f t="shared" si="2159"/>
        <v>241546</v>
      </c>
      <c r="V930" s="474">
        <f t="shared" si="2159"/>
        <v>248204</v>
      </c>
      <c r="W930" s="474">
        <f t="shared" si="2159"/>
        <v>248204</v>
      </c>
      <c r="X930" s="3">
        <f t="shared" si="2159"/>
        <v>251092</v>
      </c>
      <c r="Y930" s="3">
        <f t="shared" si="2159"/>
        <v>255999</v>
      </c>
      <c r="Z930" s="3">
        <f t="shared" si="2159"/>
        <v>260885</v>
      </c>
      <c r="AA930" s="3">
        <f t="shared" si="2159"/>
        <v>267589</v>
      </c>
      <c r="AB930" s="474">
        <f t="shared" si="2159"/>
        <v>267589</v>
      </c>
      <c r="AC930" s="3">
        <f t="shared" ref="AC930:AN930" si="2160">AC785+AC787+AC792+AC805+AC807+AC812+AC825+AC827+AC832</f>
        <v>270766.60903893167</v>
      </c>
      <c r="AD930" s="3">
        <f t="shared" si="2160"/>
        <v>275977.45723418682</v>
      </c>
      <c r="AE930" s="3">
        <f t="shared" si="2160"/>
        <v>280322</v>
      </c>
      <c r="AF930" s="474">
        <f t="shared" si="2160"/>
        <v>286515</v>
      </c>
      <c r="AG930" s="474">
        <f t="shared" si="2160"/>
        <v>286515</v>
      </c>
      <c r="AH930" s="3">
        <f t="shared" si="2160"/>
        <v>289897.59499999997</v>
      </c>
      <c r="AI930" s="3">
        <f t="shared" si="2160"/>
        <v>294651.61293499998</v>
      </c>
      <c r="AJ930" s="3">
        <f t="shared" ref="AJ930:AL930" si="2161">AJ785+AJ787+AJ792+AJ805+AJ807+AJ812+AJ825+AJ827+AJ832</f>
        <v>299709.65096622502</v>
      </c>
      <c r="AK930" s="474">
        <f t="shared" si="2161"/>
        <v>305565.1340537229</v>
      </c>
      <c r="AL930" s="474">
        <f t="shared" si="2161"/>
        <v>305565.1340537229</v>
      </c>
      <c r="AM930" s="208">
        <f t="shared" si="2160"/>
        <v>324363.34985630889</v>
      </c>
      <c r="AN930" s="208">
        <f t="shared" si="2160"/>
        <v>340358.12733889907</v>
      </c>
    </row>
    <row r="931" spans="1:41">
      <c r="A931" s="3" t="s">
        <v>1871</v>
      </c>
      <c r="B931" s="3">
        <f t="shared" ref="B931:J931" si="2162">B788+B808+B828+B789+B793+B809+B813+B829+B833</f>
        <v>180380</v>
      </c>
      <c r="C931" s="208">
        <f t="shared" si="2162"/>
        <v>187462</v>
      </c>
      <c r="D931" s="3">
        <f t="shared" si="2162"/>
        <v>186623</v>
      </c>
      <c r="E931" s="3">
        <f t="shared" si="2162"/>
        <v>188602</v>
      </c>
      <c r="F931" s="3">
        <f t="shared" si="2162"/>
        <v>189405</v>
      </c>
      <c r="G931" s="3">
        <f t="shared" si="2162"/>
        <v>191167</v>
      </c>
      <c r="H931" s="474">
        <f t="shared" si="2162"/>
        <v>191167</v>
      </c>
      <c r="I931" s="3">
        <f t="shared" si="2162"/>
        <v>190521</v>
      </c>
      <c r="J931" s="3">
        <f t="shared" si="2162"/>
        <v>192517</v>
      </c>
      <c r="K931" s="3">
        <f t="shared" ref="K931:R931" si="2163">K788+K808+K828+K789+K793+K809+K813+K829+K833</f>
        <v>194087</v>
      </c>
      <c r="L931" s="474">
        <f t="shared" si="2163"/>
        <v>195930</v>
      </c>
      <c r="M931" s="474">
        <f t="shared" si="2163"/>
        <v>195930</v>
      </c>
      <c r="N931" s="3">
        <f t="shared" si="2163"/>
        <v>197273</v>
      </c>
      <c r="O931" s="3">
        <f t="shared" si="2163"/>
        <v>200152</v>
      </c>
      <c r="P931" s="3">
        <f t="shared" si="2163"/>
        <v>204064</v>
      </c>
      <c r="Q931" s="474">
        <f t="shared" si="2163"/>
        <v>206137</v>
      </c>
      <c r="R931" s="474">
        <f t="shared" si="2163"/>
        <v>206137</v>
      </c>
      <c r="S931" s="3">
        <f t="shared" ref="S931:AB931" si="2164">S788+S808+S828+S789+S793+S809+S813+S829+S833</f>
        <v>208277</v>
      </c>
      <c r="T931" s="3">
        <f t="shared" si="2164"/>
        <v>212924</v>
      </c>
      <c r="U931" s="3">
        <f t="shared" si="2164"/>
        <v>216736</v>
      </c>
      <c r="V931" s="474">
        <f t="shared" si="2164"/>
        <v>220435</v>
      </c>
      <c r="W931" s="474">
        <f t="shared" si="2164"/>
        <v>220435</v>
      </c>
      <c r="X931" s="3">
        <f t="shared" si="2164"/>
        <v>222173</v>
      </c>
      <c r="Y931" s="3">
        <f t="shared" si="2164"/>
        <v>226382</v>
      </c>
      <c r="Z931" s="3">
        <f t="shared" si="2164"/>
        <v>231721</v>
      </c>
      <c r="AA931" s="3">
        <f t="shared" si="2164"/>
        <v>238389</v>
      </c>
      <c r="AB931" s="474">
        <f t="shared" si="2164"/>
        <v>238389</v>
      </c>
      <c r="AC931" s="3">
        <f t="shared" ref="AC931:AN931" si="2165">AC788+AC808+AC828+AC789+AC793+AC809+AC813+AC829+AC833</f>
        <v>241325.11896106871</v>
      </c>
      <c r="AD931" s="3">
        <f t="shared" si="2165"/>
        <v>247207.05502021086</v>
      </c>
      <c r="AE931" s="3">
        <f t="shared" si="2165"/>
        <v>253797</v>
      </c>
      <c r="AF931" s="474">
        <f t="shared" si="2165"/>
        <v>260359</v>
      </c>
      <c r="AG931" s="474">
        <f t="shared" si="2165"/>
        <v>260359</v>
      </c>
      <c r="AH931" s="3">
        <f t="shared" si="2165"/>
        <v>263472.39799999999</v>
      </c>
      <c r="AI931" s="3">
        <f t="shared" si="2165"/>
        <v>268450.54796</v>
      </c>
      <c r="AJ931" s="3">
        <f t="shared" ref="AJ931:AL931" si="2166">AJ788+AJ808+AJ828+AJ789+AJ793+AJ809+AJ813+AJ829+AJ833</f>
        <v>273626.79978619999</v>
      </c>
      <c r="AK931" s="474">
        <f t="shared" si="2166"/>
        <v>280092.08355322992</v>
      </c>
      <c r="AL931" s="474">
        <f t="shared" si="2166"/>
        <v>280092.08355322992</v>
      </c>
      <c r="AM931" s="208">
        <f t="shared" si="2165"/>
        <v>299209.07604274334</v>
      </c>
      <c r="AN931" s="208">
        <f t="shared" si="2165"/>
        <v>316583.23846606002</v>
      </c>
    </row>
    <row r="932" spans="1:41" ht="4.5" customHeight="1">
      <c r="A932" s="120" t="s">
        <v>1873</v>
      </c>
      <c r="B932" s="123" t="s">
        <v>1872</v>
      </c>
      <c r="C932" s="818" t="s">
        <v>1872</v>
      </c>
      <c r="D932" s="123" t="s">
        <v>1872</v>
      </c>
      <c r="E932" s="123" t="s">
        <v>1872</v>
      </c>
      <c r="F932" s="123" t="s">
        <v>1872</v>
      </c>
      <c r="G932" s="123" t="s">
        <v>1872</v>
      </c>
      <c r="H932" s="1106" t="s">
        <v>1872</v>
      </c>
      <c r="I932" s="123" t="s">
        <v>1872</v>
      </c>
      <c r="J932" s="123" t="s">
        <v>1872</v>
      </c>
      <c r="K932" s="123" t="s">
        <v>1872</v>
      </c>
      <c r="L932" s="1106" t="s">
        <v>1872</v>
      </c>
      <c r="M932" s="1106" t="s">
        <v>1872</v>
      </c>
      <c r="N932" s="123" t="s">
        <v>1872</v>
      </c>
      <c r="O932" s="123" t="s">
        <v>1872</v>
      </c>
      <c r="P932" s="123" t="s">
        <v>1872</v>
      </c>
      <c r="Q932" s="1106" t="s">
        <v>1872</v>
      </c>
      <c r="R932" s="1106" t="s">
        <v>1872</v>
      </c>
      <c r="S932" s="123" t="s">
        <v>1872</v>
      </c>
      <c r="T932" s="123" t="s">
        <v>1872</v>
      </c>
      <c r="U932" s="123" t="s">
        <v>1872</v>
      </c>
      <c r="V932" s="1106" t="s">
        <v>1872</v>
      </c>
      <c r="W932" s="1106" t="s">
        <v>1872</v>
      </c>
      <c r="X932" s="123" t="s">
        <v>1872</v>
      </c>
      <c r="Y932" s="123" t="s">
        <v>1872</v>
      </c>
      <c r="Z932" s="123" t="s">
        <v>1872</v>
      </c>
      <c r="AA932" s="123" t="s">
        <v>1872</v>
      </c>
      <c r="AB932" s="1106" t="s">
        <v>1872</v>
      </c>
      <c r="AC932" s="123" t="s">
        <v>1872</v>
      </c>
      <c r="AD932" s="123" t="s">
        <v>1872</v>
      </c>
      <c r="AE932" s="123" t="s">
        <v>1872</v>
      </c>
      <c r="AF932" s="1106" t="s">
        <v>1872</v>
      </c>
      <c r="AG932" s="1106" t="s">
        <v>1872</v>
      </c>
      <c r="AH932" s="123" t="s">
        <v>1872</v>
      </c>
      <c r="AI932" s="123" t="s">
        <v>1872</v>
      </c>
      <c r="AJ932" s="123" t="s">
        <v>1872</v>
      </c>
      <c r="AK932" s="1106" t="s">
        <v>1872</v>
      </c>
      <c r="AL932" s="1106" t="s">
        <v>1872</v>
      </c>
      <c r="AM932" s="818" t="s">
        <v>1872</v>
      </c>
      <c r="AN932" s="818" t="s">
        <v>1872</v>
      </c>
    </row>
    <row r="933" spans="1:41">
      <c r="A933" s="3" t="s">
        <v>1687</v>
      </c>
      <c r="B933" s="3">
        <f t="shared" ref="B933:J933" si="2167">SUM(B928:B931)</f>
        <v>604781</v>
      </c>
      <c r="C933" s="208">
        <f t="shared" si="2167"/>
        <v>628388</v>
      </c>
      <c r="D933" s="3">
        <f t="shared" si="2167"/>
        <v>630830</v>
      </c>
      <c r="E933" s="3">
        <f t="shared" si="2167"/>
        <v>636282</v>
      </c>
      <c r="F933" s="3">
        <f t="shared" si="2167"/>
        <v>639553</v>
      </c>
      <c r="G933" s="3">
        <f t="shared" si="2167"/>
        <v>646676</v>
      </c>
      <c r="H933" s="474">
        <f t="shared" si="2167"/>
        <v>646676</v>
      </c>
      <c r="I933" s="3">
        <f t="shared" si="2167"/>
        <v>651264</v>
      </c>
      <c r="J933" s="3">
        <f t="shared" si="2167"/>
        <v>659263</v>
      </c>
      <c r="K933" s="3">
        <f t="shared" ref="K933:R933" si="2168">SUM(K928:K931)</f>
        <v>665522</v>
      </c>
      <c r="L933" s="474">
        <f t="shared" si="2168"/>
        <v>672083</v>
      </c>
      <c r="M933" s="474">
        <f t="shared" si="2168"/>
        <v>672083</v>
      </c>
      <c r="N933" s="3">
        <f t="shared" si="2168"/>
        <v>680117</v>
      </c>
      <c r="O933" s="3">
        <f t="shared" si="2168"/>
        <v>687222</v>
      </c>
      <c r="P933" s="3">
        <f t="shared" si="2168"/>
        <v>698402</v>
      </c>
      <c r="Q933" s="474">
        <f t="shared" si="2168"/>
        <v>708268</v>
      </c>
      <c r="R933" s="474">
        <f t="shared" si="2168"/>
        <v>708268</v>
      </c>
      <c r="S933" s="3">
        <f t="shared" ref="S933:AB933" si="2169">SUM(S928:S931)</f>
        <v>713883</v>
      </c>
      <c r="T933" s="3">
        <f t="shared" si="2169"/>
        <v>724943</v>
      </c>
      <c r="U933" s="3">
        <f t="shared" si="2169"/>
        <v>737922</v>
      </c>
      <c r="V933" s="452">
        <f t="shared" si="2169"/>
        <v>751350</v>
      </c>
      <c r="W933" s="452">
        <f t="shared" si="2169"/>
        <v>751350</v>
      </c>
      <c r="X933" s="3">
        <f t="shared" si="2169"/>
        <v>757346</v>
      </c>
      <c r="Y933" s="3">
        <f t="shared" si="2169"/>
        <v>768221</v>
      </c>
      <c r="Z933" s="3">
        <f t="shared" si="2169"/>
        <v>781272</v>
      </c>
      <c r="AA933" s="3">
        <f t="shared" si="2169"/>
        <v>796328</v>
      </c>
      <c r="AB933" s="452">
        <f t="shared" si="2169"/>
        <v>796328</v>
      </c>
      <c r="AC933" s="3">
        <f t="shared" ref="AC933:AN933" si="2170">SUM(AC928:AC931)</f>
        <v>803394.87400000042</v>
      </c>
      <c r="AD933" s="3">
        <f t="shared" si="2170"/>
        <v>817531.19999999972</v>
      </c>
      <c r="AE933" s="3">
        <f t="shared" si="2170"/>
        <v>828964</v>
      </c>
      <c r="AF933" s="452">
        <f t="shared" si="2170"/>
        <v>846349</v>
      </c>
      <c r="AG933" s="452">
        <f t="shared" si="2170"/>
        <v>846349</v>
      </c>
      <c r="AH933" s="3">
        <f t="shared" si="2170"/>
        <v>856284.9580000001</v>
      </c>
      <c r="AI933" s="3">
        <f t="shared" si="2170"/>
        <v>869814.10627400002</v>
      </c>
      <c r="AJ933" s="3">
        <f t="shared" ref="AJ933:AL933" si="2171">SUM(AJ928:AJ931)</f>
        <v>883912.83425428998</v>
      </c>
      <c r="AK933" s="452">
        <f t="shared" si="2171"/>
        <v>900156.0478606011</v>
      </c>
      <c r="AL933" s="452">
        <f t="shared" si="2171"/>
        <v>900156.0478606011</v>
      </c>
      <c r="AM933" s="138">
        <f t="shared" si="2170"/>
        <v>952762.13246427523</v>
      </c>
      <c r="AN933" s="138">
        <f t="shared" si="2170"/>
        <v>996787.49531769333</v>
      </c>
      <c r="AO933" s="130"/>
    </row>
    <row r="934" spans="1:41">
      <c r="C934" s="208"/>
      <c r="H934" s="474"/>
      <c r="L934" s="474"/>
      <c r="M934" s="474"/>
      <c r="Q934" s="474"/>
      <c r="R934" s="474"/>
      <c r="S934" s="3"/>
      <c r="T934" s="3"/>
      <c r="U934" s="3"/>
      <c r="V934" s="474"/>
      <c r="W934" s="474"/>
      <c r="X934" s="3"/>
      <c r="Y934" s="3"/>
      <c r="Z934" s="3"/>
      <c r="AA934" s="3"/>
      <c r="AB934" s="474"/>
      <c r="AC934" s="3"/>
      <c r="AD934" s="3"/>
      <c r="AE934" s="3"/>
      <c r="AF934" s="474"/>
      <c r="AG934" s="474"/>
      <c r="AH934" s="3"/>
      <c r="AI934" s="3"/>
      <c r="AJ934" s="3"/>
      <c r="AK934" s="474"/>
      <c r="AL934" s="474"/>
      <c r="AM934" s="208"/>
      <c r="AN934" s="208"/>
    </row>
    <row r="935" spans="1:41">
      <c r="A935" s="3" t="s">
        <v>1270</v>
      </c>
      <c r="B935" s="121">
        <f t="shared" ref="B935:J935" si="2172">B928/B$933</f>
        <v>2.5483604809013509E-2</v>
      </c>
      <c r="C935" s="245">
        <f t="shared" si="2172"/>
        <v>2.4005868985403921E-2</v>
      </c>
      <c r="D935" s="121">
        <f t="shared" si="2172"/>
        <v>2.5276223388234549E-2</v>
      </c>
      <c r="E935" s="121">
        <f t="shared" si="2172"/>
        <v>2.6074916467855449E-2</v>
      </c>
      <c r="F935" s="121">
        <f t="shared" si="2172"/>
        <v>2.6424706005600786E-2</v>
      </c>
      <c r="G935" s="121">
        <f t="shared" si="2172"/>
        <v>2.6882086237930588E-2</v>
      </c>
      <c r="H935" s="582">
        <f t="shared" si="2172"/>
        <v>2.6882086237930588E-2</v>
      </c>
      <c r="I935" s="121">
        <f t="shared" si="2172"/>
        <v>2.7300756682389939E-2</v>
      </c>
      <c r="J935" s="121">
        <f t="shared" si="2172"/>
        <v>2.7128778651312146E-2</v>
      </c>
      <c r="K935" s="121">
        <f t="shared" ref="K935:R935" si="2173">K928/K$933</f>
        <v>2.7364985680413269E-2</v>
      </c>
      <c r="L935" s="582">
        <f t="shared" si="2173"/>
        <v>2.7386498393799575E-2</v>
      </c>
      <c r="M935" s="582">
        <f t="shared" si="2173"/>
        <v>2.7386498393799575E-2</v>
      </c>
      <c r="N935" s="121">
        <f t="shared" si="2173"/>
        <v>2.7427633774776985E-2</v>
      </c>
      <c r="O935" s="121">
        <f t="shared" si="2173"/>
        <v>2.7555869864468834E-2</v>
      </c>
      <c r="P935" s="121">
        <f t="shared" si="2173"/>
        <v>2.6842706636006197E-2</v>
      </c>
      <c r="Q935" s="582">
        <f t="shared" si="2173"/>
        <v>2.6464558613406224E-2</v>
      </c>
      <c r="R935" s="582">
        <f t="shared" si="2173"/>
        <v>2.6464558613406224E-2</v>
      </c>
      <c r="S935" s="121">
        <f t="shared" ref="S935:W938" si="2174">S928/S$933</f>
        <v>2.612612991204441E-2</v>
      </c>
      <c r="T935" s="121">
        <f t="shared" si="2174"/>
        <v>2.5428206079650399E-2</v>
      </c>
      <c r="U935" s="121">
        <f t="shared" si="2174"/>
        <v>2.4558151132504518E-2</v>
      </c>
      <c r="V935" s="582">
        <f t="shared" si="2174"/>
        <v>2.4074000133093763E-2</v>
      </c>
      <c r="W935" s="582">
        <f t="shared" si="2174"/>
        <v>2.4074000133093763E-2</v>
      </c>
      <c r="X935" s="121">
        <f t="shared" ref="X935:AB938" si="2175">X928/X$933</f>
        <v>2.4308572303808298E-2</v>
      </c>
      <c r="Y935" s="121">
        <f t="shared" si="2175"/>
        <v>2.4884766232633578E-2</v>
      </c>
      <c r="Z935" s="121">
        <f t="shared" si="2175"/>
        <v>2.4917058335637267E-2</v>
      </c>
      <c r="AA935" s="121">
        <f t="shared" si="2175"/>
        <v>2.4810128489768036E-2</v>
      </c>
      <c r="AB935" s="582">
        <f t="shared" si="2175"/>
        <v>2.4810128489768036E-2</v>
      </c>
      <c r="AC935" s="121">
        <f t="shared" ref="AC935:AI938" si="2176">AC928/AC$933</f>
        <v>2.2816342988018601E-2</v>
      </c>
      <c r="AD935" s="121">
        <f t="shared" si="2176"/>
        <v>2.2648278011291604E-2</v>
      </c>
      <c r="AE935" s="121">
        <f t="shared" si="2176"/>
        <v>2.4160277165232748E-2</v>
      </c>
      <c r="AF935" s="582">
        <f t="shared" si="2176"/>
        <v>2.3971198642640329E-2</v>
      </c>
      <c r="AG935" s="582">
        <f t="shared" si="2176"/>
        <v>2.3971198642640329E-2</v>
      </c>
      <c r="AH935" s="121">
        <f t="shared" si="2176"/>
        <v>2.3966058037422626E-2</v>
      </c>
      <c r="AI935" s="121">
        <f t="shared" si="2176"/>
        <v>2.3865579179812507E-2</v>
      </c>
      <c r="AJ935" s="121">
        <f t="shared" ref="AJ935:AL935" si="2177">AJ928/AJ$933</f>
        <v>2.3764297775126515E-2</v>
      </c>
      <c r="AK935" s="582">
        <f t="shared" si="2177"/>
        <v>2.3617385797611017E-2</v>
      </c>
      <c r="AL935" s="582">
        <f t="shared" si="2177"/>
        <v>2.3617385797611017E-2</v>
      </c>
      <c r="AM935" s="245">
        <f t="shared" ref="AM935:AN938" si="2178">AM928/AM$933</f>
        <v>2.3230709325407044E-2</v>
      </c>
      <c r="AN935" s="245">
        <f t="shared" si="2178"/>
        <v>2.2790003326096091E-2</v>
      </c>
    </row>
    <row r="936" spans="1:41">
      <c r="A936" s="3" t="s">
        <v>1693</v>
      </c>
      <c r="B936" s="121">
        <f t="shared" ref="B936:J936" si="2179">B929/B$933</f>
        <v>0.40232580057905259</v>
      </c>
      <c r="C936" s="245">
        <f t="shared" si="2179"/>
        <v>0.39309789493115721</v>
      </c>
      <c r="D936" s="121">
        <f t="shared" si="2179"/>
        <v>0.3880728563955424</v>
      </c>
      <c r="E936" s="121">
        <f t="shared" si="2179"/>
        <v>0.38564975906909199</v>
      </c>
      <c r="F936" s="121">
        <f t="shared" si="2179"/>
        <v>0.38300031428200632</v>
      </c>
      <c r="G936" s="121">
        <f t="shared" si="2179"/>
        <v>0.37829144733993531</v>
      </c>
      <c r="H936" s="582">
        <f t="shared" si="2179"/>
        <v>0.37829144733993531</v>
      </c>
      <c r="I936" s="121">
        <f t="shared" si="2179"/>
        <v>0.37536851415094341</v>
      </c>
      <c r="J936" s="121">
        <f t="shared" si="2179"/>
        <v>0.37301653513089617</v>
      </c>
      <c r="K936" s="121">
        <f t="shared" ref="K936:R938" si="2180">K929/K$933</f>
        <v>0.37180138297456733</v>
      </c>
      <c r="L936" s="582">
        <f t="shared" si="2180"/>
        <v>0.36905709562658184</v>
      </c>
      <c r="M936" s="582">
        <f t="shared" si="2180"/>
        <v>0.36905709562658184</v>
      </c>
      <c r="N936" s="121">
        <f t="shared" si="2180"/>
        <v>0.36850865365812058</v>
      </c>
      <c r="O936" s="121">
        <f t="shared" si="2180"/>
        <v>0.36403520259828703</v>
      </c>
      <c r="P936" s="121">
        <f t="shared" si="2180"/>
        <v>0.36304162931950368</v>
      </c>
      <c r="Q936" s="582">
        <f t="shared" si="2180"/>
        <v>0.36194914919211374</v>
      </c>
      <c r="R936" s="582">
        <f t="shared" si="2180"/>
        <v>0.36194914919211374</v>
      </c>
      <c r="S936" s="121">
        <f t="shared" si="2174"/>
        <v>0.36038258370069043</v>
      </c>
      <c r="T936" s="121">
        <f t="shared" si="2174"/>
        <v>0.3565438937957881</v>
      </c>
      <c r="U936" s="121">
        <f t="shared" si="2174"/>
        <v>0.35439789029192786</v>
      </c>
      <c r="V936" s="582">
        <f t="shared" si="2174"/>
        <v>0.35219671258401541</v>
      </c>
      <c r="W936" s="582">
        <f t="shared" si="2174"/>
        <v>0.35219671258401541</v>
      </c>
      <c r="X936" s="121">
        <f t="shared" si="2175"/>
        <v>0.35079210823058415</v>
      </c>
      <c r="Y936" s="121">
        <f t="shared" si="2175"/>
        <v>0.34719566374780175</v>
      </c>
      <c r="Z936" s="121">
        <f t="shared" si="2175"/>
        <v>0.3445650170491199</v>
      </c>
      <c r="AA936" s="121">
        <f t="shared" si="2175"/>
        <v>0.33980093629760599</v>
      </c>
      <c r="AB936" s="582">
        <f t="shared" si="2175"/>
        <v>0.33980093629760599</v>
      </c>
      <c r="AC936" s="121">
        <f t="shared" si="2176"/>
        <v>0.33977390425819404</v>
      </c>
      <c r="AD936" s="121">
        <f t="shared" si="2176"/>
        <v>0.33739509127614625</v>
      </c>
      <c r="AE936" s="121">
        <f>AE929/AE$933</f>
        <v>0.33151861842010028</v>
      </c>
      <c r="AF936" s="582">
        <f t="shared" si="2176"/>
        <v>0.32987219220439795</v>
      </c>
      <c r="AG936" s="582">
        <f t="shared" si="2176"/>
        <v>0.32987219220439795</v>
      </c>
      <c r="AH936" s="121">
        <f t="shared" si="2176"/>
        <v>0.32978880145177086</v>
      </c>
      <c r="AI936" s="121">
        <f t="shared" si="2176"/>
        <v>0.32875223095533684</v>
      </c>
      <c r="AJ936" s="121">
        <f>AJ929/AJ$933</f>
        <v>0.32760109875051807</v>
      </c>
      <c r="AK936" s="582">
        <f t="shared" ref="AK936:AL936" si="2181">AK929/AK$933</f>
        <v>0.3257651807041827</v>
      </c>
      <c r="AL936" s="582">
        <f t="shared" si="2181"/>
        <v>0.3257651807041827</v>
      </c>
      <c r="AM936" s="245">
        <f t="shared" si="2178"/>
        <v>0.32228019559877263</v>
      </c>
      <c r="AN936" s="245">
        <f t="shared" si="2178"/>
        <v>0.31815140204779391</v>
      </c>
    </row>
    <row r="937" spans="1:41">
      <c r="A937" s="3" t="s">
        <v>1271</v>
      </c>
      <c r="B937" s="121">
        <f t="shared" ref="B937:J937" si="2182">B930/B$933</f>
        <v>0.27393387027700938</v>
      </c>
      <c r="C937" s="245">
        <f t="shared" si="2182"/>
        <v>0.28457418028351911</v>
      </c>
      <c r="D937" s="121">
        <f t="shared" si="2182"/>
        <v>0.29081368990060713</v>
      </c>
      <c r="E937" s="121">
        <f t="shared" si="2182"/>
        <v>0.29186272753276066</v>
      </c>
      <c r="F937" s="121">
        <f t="shared" si="2182"/>
        <v>0.29442282344074688</v>
      </c>
      <c r="G937" s="121">
        <f t="shared" si="2182"/>
        <v>0.29921166086262674</v>
      </c>
      <c r="H937" s="582">
        <f t="shared" si="2182"/>
        <v>0.29921166086262674</v>
      </c>
      <c r="I937" s="121">
        <f t="shared" si="2182"/>
        <v>0.30479037686713839</v>
      </c>
      <c r="J937" s="121">
        <f t="shared" si="2182"/>
        <v>0.30783617463743607</v>
      </c>
      <c r="K937" s="121">
        <f t="shared" si="2180"/>
        <v>0.30920240052169573</v>
      </c>
      <c r="L937" s="582">
        <f t="shared" si="2180"/>
        <v>0.31202991297205851</v>
      </c>
      <c r="M937" s="582">
        <f t="shared" si="2180"/>
        <v>0.31202991297205851</v>
      </c>
      <c r="N937" s="121">
        <f t="shared" si="2180"/>
        <v>0.31400626656884034</v>
      </c>
      <c r="O937" s="121">
        <f t="shared" si="2180"/>
        <v>0.31716097563814893</v>
      </c>
      <c r="P937" s="121">
        <f t="shared" si="2180"/>
        <v>0.31792864281602862</v>
      </c>
      <c r="Q937" s="582">
        <f t="shared" si="2180"/>
        <v>0.32054250650883565</v>
      </c>
      <c r="R937" s="582">
        <f t="shared" si="2180"/>
        <v>0.32054250650883565</v>
      </c>
      <c r="S937" s="121">
        <f t="shared" si="2174"/>
        <v>0.32173899644619636</v>
      </c>
      <c r="T937" s="121">
        <f t="shared" si="2174"/>
        <v>0.32431653247220815</v>
      </c>
      <c r="U937" s="121">
        <f t="shared" si="2174"/>
        <v>0.32733269911996121</v>
      </c>
      <c r="V937" s="582">
        <f t="shared" si="2174"/>
        <v>0.33034404738138018</v>
      </c>
      <c r="W937" s="582">
        <f t="shared" si="2174"/>
        <v>0.33034404738138018</v>
      </c>
      <c r="X937" s="121">
        <f t="shared" si="2175"/>
        <v>0.33154199005474383</v>
      </c>
      <c r="Y937" s="121">
        <f t="shared" si="2175"/>
        <v>0.33323613907977001</v>
      </c>
      <c r="Z937" s="121">
        <f t="shared" si="2175"/>
        <v>0.33392339671714844</v>
      </c>
      <c r="AA937" s="121">
        <f t="shared" si="2175"/>
        <v>0.33602862137209794</v>
      </c>
      <c r="AB937" s="582">
        <f t="shared" si="2175"/>
        <v>0.33602862137209794</v>
      </c>
      <c r="AC937" s="121">
        <f t="shared" si="2176"/>
        <v>0.33702805158666166</v>
      </c>
      <c r="AD937" s="121">
        <f t="shared" si="2176"/>
        <v>0.33757422008381688</v>
      </c>
      <c r="AE937" s="121">
        <f t="shared" si="2176"/>
        <v>0.33815943756303046</v>
      </c>
      <c r="AF937" s="582">
        <f t="shared" si="2176"/>
        <v>0.33853055890655037</v>
      </c>
      <c r="AG937" s="582">
        <f t="shared" si="2176"/>
        <v>0.33853055890655037</v>
      </c>
      <c r="AH937" s="121">
        <f t="shared" si="2176"/>
        <v>0.33855271226193834</v>
      </c>
      <c r="AI937" s="121">
        <f t="shared" si="2176"/>
        <v>0.33875239641397792</v>
      </c>
      <c r="AJ937" s="121">
        <f t="shared" ref="AJ937:AL937" si="2183">AJ930/AJ$933</f>
        <v>0.33907150043711498</v>
      </c>
      <c r="AK937" s="582">
        <f t="shared" si="2183"/>
        <v>0.3394579581839825</v>
      </c>
      <c r="AL937" s="582">
        <f t="shared" si="2183"/>
        <v>0.3394579581839825</v>
      </c>
      <c r="AM937" s="245">
        <f t="shared" si="2178"/>
        <v>0.34044525784978258</v>
      </c>
      <c r="AN937" s="245">
        <f t="shared" si="2178"/>
        <v>0.34145505329641107</v>
      </c>
    </row>
    <row r="938" spans="1:41">
      <c r="A938" s="3" t="s">
        <v>1871</v>
      </c>
      <c r="B938" s="121">
        <f t="shared" ref="B938:J938" si="2184">B931/B$933</f>
        <v>0.29825672433492456</v>
      </c>
      <c r="C938" s="245">
        <f t="shared" si="2184"/>
        <v>0.29832205579991977</v>
      </c>
      <c r="D938" s="121">
        <f t="shared" si="2184"/>
        <v>0.29583723031561593</v>
      </c>
      <c r="E938" s="121">
        <f t="shared" si="2184"/>
        <v>0.29641259693029193</v>
      </c>
      <c r="F938" s="121">
        <f t="shared" si="2184"/>
        <v>0.29615215627164598</v>
      </c>
      <c r="G938" s="121">
        <f t="shared" si="2184"/>
        <v>0.29561480555950737</v>
      </c>
      <c r="H938" s="582">
        <f t="shared" si="2184"/>
        <v>0.29561480555950737</v>
      </c>
      <c r="I938" s="121">
        <f t="shared" si="2184"/>
        <v>0.29254035229952829</v>
      </c>
      <c r="J938" s="121">
        <f t="shared" si="2184"/>
        <v>0.29201851158035563</v>
      </c>
      <c r="K938" s="121">
        <f t="shared" si="2180"/>
        <v>0.29163123082332365</v>
      </c>
      <c r="L938" s="582">
        <f t="shared" si="2180"/>
        <v>0.29152649300756006</v>
      </c>
      <c r="M938" s="582">
        <f t="shared" si="2180"/>
        <v>0.29152649300756006</v>
      </c>
      <c r="N938" s="121">
        <f t="shared" si="2180"/>
        <v>0.29005744599826205</v>
      </c>
      <c r="O938" s="121">
        <f t="shared" si="2180"/>
        <v>0.29124795189909519</v>
      </c>
      <c r="P938" s="121">
        <f t="shared" si="2180"/>
        <v>0.29218702122846152</v>
      </c>
      <c r="Q938" s="582">
        <f t="shared" si="2180"/>
        <v>0.29104378568564443</v>
      </c>
      <c r="R938" s="582">
        <f t="shared" si="2180"/>
        <v>0.29104378568564443</v>
      </c>
      <c r="S938" s="121">
        <f t="shared" si="2174"/>
        <v>0.29175228994106878</v>
      </c>
      <c r="T938" s="121">
        <f t="shared" si="2174"/>
        <v>0.29371136765235334</v>
      </c>
      <c r="U938" s="121">
        <f t="shared" si="2174"/>
        <v>0.29371125945560644</v>
      </c>
      <c r="V938" s="582">
        <f t="shared" si="2174"/>
        <v>0.29338523990151061</v>
      </c>
      <c r="W938" s="582">
        <f t="shared" si="2174"/>
        <v>0.29338523990151061</v>
      </c>
      <c r="X938" s="121">
        <f t="shared" si="2175"/>
        <v>0.29335732941086373</v>
      </c>
      <c r="Y938" s="121">
        <f t="shared" si="2175"/>
        <v>0.29468343093979465</v>
      </c>
      <c r="Z938" s="121">
        <f t="shared" si="2175"/>
        <v>0.29659452789809437</v>
      </c>
      <c r="AA938" s="121">
        <f t="shared" si="2175"/>
        <v>0.29936031384052803</v>
      </c>
      <c r="AB938" s="582">
        <f t="shared" si="2175"/>
        <v>0.29936031384052803</v>
      </c>
      <c r="AC938" s="121">
        <f t="shared" si="2176"/>
        <v>0.3003817011671257</v>
      </c>
      <c r="AD938" s="121">
        <f t="shared" si="2176"/>
        <v>0.30238241062874532</v>
      </c>
      <c r="AE938" s="121">
        <f t="shared" si="2176"/>
        <v>0.30616166685163648</v>
      </c>
      <c r="AF938" s="582">
        <f t="shared" si="2176"/>
        <v>0.30762605024641138</v>
      </c>
      <c r="AG938" s="582">
        <f t="shared" si="2176"/>
        <v>0.30762605024641138</v>
      </c>
      <c r="AH938" s="121">
        <f t="shared" si="2176"/>
        <v>0.307692428248868</v>
      </c>
      <c r="AI938" s="121">
        <f t="shared" si="2176"/>
        <v>0.3086297934508726</v>
      </c>
      <c r="AJ938" s="121">
        <f t="shared" ref="AJ938:AL938" si="2185">AJ931/AJ$933</f>
        <v>0.30956310303724044</v>
      </c>
      <c r="AK938" s="582">
        <f t="shared" si="2185"/>
        <v>0.31115947531422378</v>
      </c>
      <c r="AL938" s="582">
        <f t="shared" si="2185"/>
        <v>0.31115947531422378</v>
      </c>
      <c r="AM938" s="245">
        <f t="shared" si="2178"/>
        <v>0.31404383722603763</v>
      </c>
      <c r="AN938" s="245">
        <f t="shared" si="2178"/>
        <v>0.31760354132969887</v>
      </c>
    </row>
    <row r="939" spans="1:41" ht="4.5" customHeight="1">
      <c r="A939" s="120" t="s">
        <v>1873</v>
      </c>
      <c r="B939" s="123" t="s">
        <v>1872</v>
      </c>
      <c r="C939" s="818" t="s">
        <v>1872</v>
      </c>
      <c r="D939" s="123" t="s">
        <v>1872</v>
      </c>
      <c r="E939" s="123" t="s">
        <v>1872</v>
      </c>
      <c r="F939" s="123" t="s">
        <v>1872</v>
      </c>
      <c r="G939" s="123" t="s">
        <v>1872</v>
      </c>
      <c r="H939" s="1106" t="s">
        <v>1872</v>
      </c>
      <c r="I939" s="123" t="s">
        <v>1872</v>
      </c>
      <c r="J939" s="123" t="s">
        <v>1872</v>
      </c>
      <c r="K939" s="123" t="s">
        <v>1872</v>
      </c>
      <c r="L939" s="1106" t="s">
        <v>1872</v>
      </c>
      <c r="M939" s="1106" t="s">
        <v>1872</v>
      </c>
      <c r="N939" s="123" t="s">
        <v>1872</v>
      </c>
      <c r="O939" s="123" t="s">
        <v>1872</v>
      </c>
      <c r="P939" s="123" t="s">
        <v>1872</v>
      </c>
      <c r="Q939" s="1106" t="s">
        <v>1872</v>
      </c>
      <c r="R939" s="1106" t="s">
        <v>1872</v>
      </c>
      <c r="S939" s="123" t="s">
        <v>1872</v>
      </c>
      <c r="T939" s="123" t="s">
        <v>1872</v>
      </c>
      <c r="U939" s="123" t="s">
        <v>1872</v>
      </c>
      <c r="V939" s="1106" t="s">
        <v>1872</v>
      </c>
      <c r="W939" s="1106" t="s">
        <v>1872</v>
      </c>
      <c r="X939" s="123" t="s">
        <v>1872</v>
      </c>
      <c r="Y939" s="123" t="s">
        <v>1872</v>
      </c>
      <c r="Z939" s="123" t="s">
        <v>1872</v>
      </c>
      <c r="AA939" s="123" t="s">
        <v>1872</v>
      </c>
      <c r="AB939" s="1106" t="s">
        <v>1872</v>
      </c>
      <c r="AC939" s="123" t="s">
        <v>1872</v>
      </c>
      <c r="AD939" s="123" t="s">
        <v>1872</v>
      </c>
      <c r="AE939" s="123" t="s">
        <v>1872</v>
      </c>
      <c r="AF939" s="1106" t="s">
        <v>1872</v>
      </c>
      <c r="AG939" s="1106" t="s">
        <v>1872</v>
      </c>
      <c r="AH939" s="123" t="s">
        <v>1872</v>
      </c>
      <c r="AI939" s="123" t="s">
        <v>1872</v>
      </c>
      <c r="AJ939" s="123" t="s">
        <v>1872</v>
      </c>
      <c r="AK939" s="1106" t="s">
        <v>1872</v>
      </c>
      <c r="AL939" s="1106" t="s">
        <v>1872</v>
      </c>
      <c r="AM939" s="818" t="s">
        <v>1872</v>
      </c>
      <c r="AN939" s="818" t="s">
        <v>1872</v>
      </c>
    </row>
    <row r="940" spans="1:41">
      <c r="A940" s="3" t="s">
        <v>1687</v>
      </c>
      <c r="B940" s="121">
        <f t="shared" ref="B940:J940" si="2186">SUM(B935:B938)</f>
        <v>1</v>
      </c>
      <c r="C940" s="245">
        <f t="shared" si="2186"/>
        <v>1</v>
      </c>
      <c r="D940" s="121">
        <f t="shared" si="2186"/>
        <v>1</v>
      </c>
      <c r="E940" s="121">
        <f t="shared" si="2186"/>
        <v>1</v>
      </c>
      <c r="F940" s="121">
        <f t="shared" si="2186"/>
        <v>1</v>
      </c>
      <c r="G940" s="121">
        <f t="shared" si="2186"/>
        <v>1</v>
      </c>
      <c r="H940" s="582">
        <f t="shared" si="2186"/>
        <v>1</v>
      </c>
      <c r="I940" s="121">
        <f t="shared" si="2186"/>
        <v>1</v>
      </c>
      <c r="J940" s="121">
        <f t="shared" si="2186"/>
        <v>1</v>
      </c>
      <c r="K940" s="121">
        <f t="shared" ref="K940:R940" si="2187">SUM(K935:K938)</f>
        <v>1</v>
      </c>
      <c r="L940" s="582">
        <f t="shared" si="2187"/>
        <v>1</v>
      </c>
      <c r="M940" s="582">
        <f t="shared" si="2187"/>
        <v>1</v>
      </c>
      <c r="N940" s="121">
        <f t="shared" si="2187"/>
        <v>1</v>
      </c>
      <c r="O940" s="121">
        <f t="shared" si="2187"/>
        <v>1</v>
      </c>
      <c r="P940" s="121">
        <f t="shared" si="2187"/>
        <v>1</v>
      </c>
      <c r="Q940" s="582">
        <f t="shared" si="2187"/>
        <v>1</v>
      </c>
      <c r="R940" s="582">
        <f t="shared" si="2187"/>
        <v>1</v>
      </c>
      <c r="S940" s="121">
        <f t="shared" ref="S940:AB940" si="2188">SUM(S935:S938)</f>
        <v>1</v>
      </c>
      <c r="T940" s="121">
        <f t="shared" si="2188"/>
        <v>1</v>
      </c>
      <c r="U940" s="121">
        <f t="shared" si="2188"/>
        <v>1</v>
      </c>
      <c r="V940" s="582">
        <f t="shared" si="2188"/>
        <v>1</v>
      </c>
      <c r="W940" s="582">
        <f t="shared" si="2188"/>
        <v>1</v>
      </c>
      <c r="X940" s="121">
        <f t="shared" si="2188"/>
        <v>1</v>
      </c>
      <c r="Y940" s="121">
        <f t="shared" si="2188"/>
        <v>1</v>
      </c>
      <c r="Z940" s="121">
        <f t="shared" si="2188"/>
        <v>1</v>
      </c>
      <c r="AA940" s="121">
        <f t="shared" si="2188"/>
        <v>1</v>
      </c>
      <c r="AB940" s="582">
        <f t="shared" si="2188"/>
        <v>1</v>
      </c>
      <c r="AC940" s="121">
        <f t="shared" ref="AC940:AN940" si="2189">SUM(AC935:AC938)</f>
        <v>1</v>
      </c>
      <c r="AD940" s="121">
        <f t="shared" si="2189"/>
        <v>1</v>
      </c>
      <c r="AE940" s="121">
        <f t="shared" si="2189"/>
        <v>1</v>
      </c>
      <c r="AF940" s="582">
        <f t="shared" si="2189"/>
        <v>1</v>
      </c>
      <c r="AG940" s="582">
        <f t="shared" si="2189"/>
        <v>1</v>
      </c>
      <c r="AH940" s="121">
        <f t="shared" si="2189"/>
        <v>0.99999999999999978</v>
      </c>
      <c r="AI940" s="121">
        <f t="shared" si="2189"/>
        <v>0.99999999999999989</v>
      </c>
      <c r="AJ940" s="121">
        <f t="shared" ref="AJ940:AL940" si="2190">SUM(AJ935:AJ938)</f>
        <v>1</v>
      </c>
      <c r="AK940" s="582">
        <f t="shared" si="2190"/>
        <v>1</v>
      </c>
      <c r="AL940" s="582">
        <f t="shared" si="2190"/>
        <v>1</v>
      </c>
      <c r="AM940" s="245">
        <f t="shared" si="2189"/>
        <v>1</v>
      </c>
      <c r="AN940" s="245">
        <f t="shared" si="2189"/>
        <v>1</v>
      </c>
    </row>
    <row r="941" spans="1:41">
      <c r="C941" s="208"/>
      <c r="H941" s="474"/>
      <c r="L941" s="474"/>
      <c r="M941" s="474"/>
      <c r="Q941" s="474"/>
      <c r="R941" s="474"/>
      <c r="S941" s="3"/>
      <c r="T941" s="3"/>
      <c r="U941" s="3"/>
      <c r="V941" s="474"/>
      <c r="W941" s="474"/>
      <c r="X941" s="3"/>
      <c r="Y941" s="3"/>
      <c r="Z941" s="3"/>
      <c r="AA941" s="3"/>
      <c r="AB941" s="474"/>
      <c r="AC941" s="3"/>
      <c r="AD941" s="3"/>
      <c r="AE941" s="3"/>
      <c r="AF941" s="474"/>
      <c r="AG941" s="474"/>
      <c r="AH941" s="3"/>
      <c r="AI941" s="3"/>
      <c r="AJ941" s="3"/>
      <c r="AK941" s="474"/>
      <c r="AL941" s="474"/>
      <c r="AM941" s="208"/>
      <c r="AN941" s="208"/>
    </row>
    <row r="942" spans="1:41">
      <c r="C942" s="208"/>
      <c r="H942" s="474"/>
      <c r="L942" s="474"/>
      <c r="M942" s="474"/>
      <c r="Q942" s="474"/>
      <c r="R942" s="474"/>
      <c r="S942" s="3"/>
      <c r="T942" s="3"/>
      <c r="U942" s="3"/>
      <c r="V942" s="474"/>
      <c r="W942" s="474"/>
      <c r="X942" s="3"/>
      <c r="Y942" s="7"/>
      <c r="Z942" s="7"/>
      <c r="AA942" s="7"/>
      <c r="AB942" s="474"/>
      <c r="AC942" s="3"/>
      <c r="AD942" s="3"/>
      <c r="AE942" s="3"/>
      <c r="AF942" s="474"/>
      <c r="AG942" s="474"/>
      <c r="AH942" s="3"/>
      <c r="AI942" s="3"/>
      <c r="AJ942" s="3"/>
      <c r="AK942" s="474"/>
      <c r="AL942" s="474"/>
      <c r="AM942" s="208"/>
      <c r="AN942" s="208"/>
    </row>
    <row r="943" spans="1:41">
      <c r="A943" s="3" t="s">
        <v>444</v>
      </c>
      <c r="C943" s="208"/>
      <c r="H943" s="474"/>
      <c r="L943" s="474"/>
      <c r="M943" s="474"/>
      <c r="Q943" s="474"/>
      <c r="R943" s="474"/>
      <c r="S943" s="3"/>
      <c r="T943" s="3"/>
      <c r="U943" s="3"/>
      <c r="V943" s="474"/>
      <c r="W943" s="474"/>
      <c r="X943" s="3"/>
      <c r="Y943" s="128"/>
      <c r="Z943" s="3"/>
      <c r="AA943" s="3"/>
      <c r="AB943" s="474"/>
      <c r="AC943" s="3"/>
      <c r="AD943" s="3"/>
      <c r="AE943" s="3"/>
      <c r="AF943" s="786"/>
      <c r="AG943" s="474"/>
      <c r="AH943" s="3"/>
      <c r="AI943" s="3"/>
      <c r="AJ943" s="3"/>
      <c r="AK943" s="474"/>
      <c r="AL943" s="474"/>
      <c r="AM943" s="208"/>
      <c r="AN943" s="208"/>
    </row>
    <row r="944" spans="1:41">
      <c r="A944" s="3" t="s">
        <v>2076</v>
      </c>
      <c r="C944" s="208"/>
      <c r="H944" s="474"/>
      <c r="K944" s="2722">
        <v>186000</v>
      </c>
      <c r="L944" s="2825">
        <v>195000</v>
      </c>
      <c r="M944" s="2825"/>
      <c r="N944" s="2722">
        <v>200000</v>
      </c>
      <c r="O944" s="2722">
        <v>210000</v>
      </c>
      <c r="P944" s="2722">
        <v>215000</v>
      </c>
      <c r="Q944" s="2825">
        <v>230000</v>
      </c>
      <c r="R944" s="2825"/>
      <c r="S944" s="2722">
        <v>240000</v>
      </c>
      <c r="T944" s="2722">
        <v>250000</v>
      </c>
      <c r="U944" s="2722">
        <v>260000</v>
      </c>
      <c r="V944" s="2825">
        <v>275000</v>
      </c>
      <c r="W944" s="2825"/>
      <c r="X944" s="2722">
        <v>281000</v>
      </c>
      <c r="Y944" s="2722">
        <v>288000</v>
      </c>
      <c r="Z944" s="2722">
        <v>300000</v>
      </c>
      <c r="AA944" s="2722">
        <v>310000</v>
      </c>
      <c r="AB944" s="208"/>
      <c r="AC944" s="2722">
        <v>325000</v>
      </c>
      <c r="AD944" s="2722">
        <v>332000</v>
      </c>
      <c r="AE944" s="2722">
        <v>335000</v>
      </c>
      <c r="AF944" s="2722">
        <v>345000</v>
      </c>
      <c r="AG944" s="208">
        <f>+AF944</f>
        <v>345000</v>
      </c>
      <c r="AH944" s="2722"/>
      <c r="AI944" s="2722"/>
      <c r="AJ944" s="3"/>
      <c r="AK944" s="474"/>
      <c r="AL944" s="474"/>
      <c r="AM944" s="208"/>
      <c r="AN944" s="208"/>
    </row>
    <row r="945" spans="1:40">
      <c r="A945" s="1734" t="s">
        <v>1650</v>
      </c>
      <c r="C945" s="208"/>
      <c r="H945" s="474"/>
      <c r="K945" s="7">
        <f>+K944/K933</f>
        <v>0.27947986693152144</v>
      </c>
      <c r="L945" s="786">
        <f>+L944/L933</f>
        <v>0.29014273534667595</v>
      </c>
      <c r="M945" s="2825"/>
      <c r="N945" s="7">
        <f>+N944/N933</f>
        <v>0.29406705022812252</v>
      </c>
      <c r="O945" s="7">
        <f>+O944/O933</f>
        <v>0.30557811013035091</v>
      </c>
      <c r="P945" s="7">
        <f>+P944/P933</f>
        <v>0.30784562472616056</v>
      </c>
      <c r="Q945" s="786">
        <f>+Q944/Q933</f>
        <v>0.32473583445814297</v>
      </c>
      <c r="R945" s="2825"/>
      <c r="S945" s="7">
        <f>+S944/S933</f>
        <v>0.33618954366471815</v>
      </c>
      <c r="T945" s="7">
        <f>+T944/T933</f>
        <v>0.34485469892115655</v>
      </c>
      <c r="U945" s="7">
        <f>+U944/U933</f>
        <v>0.35234076230279082</v>
      </c>
      <c r="V945" s="786">
        <f>+V944/V933</f>
        <v>0.36600785253210888</v>
      </c>
      <c r="W945" s="2825"/>
      <c r="X945" s="7">
        <f>+X944/X933</f>
        <v>0.37103252674471116</v>
      </c>
      <c r="Y945" s="7">
        <f>+Y944/Y933</f>
        <v>0.37489212088708845</v>
      </c>
      <c r="Z945" s="7">
        <f>+Z944/Z933</f>
        <v>0.3839891868644979</v>
      </c>
      <c r="AA945" s="7">
        <f>+AA944/AA933</f>
        <v>0.3892868265337901</v>
      </c>
      <c r="AB945" s="208"/>
      <c r="AC945" s="7">
        <f>+AC944/AC933</f>
        <v>0.40453332541427173</v>
      </c>
      <c r="AD945" s="7">
        <f>+AD944/AD933</f>
        <v>0.40610070906162371</v>
      </c>
      <c r="AE945" s="7">
        <f>+AE944/AE933</f>
        <v>0.40411887609112096</v>
      </c>
      <c r="AF945" s="7">
        <f>+AF944/AF933</f>
        <v>0.40763325767502534</v>
      </c>
      <c r="AG945" s="226">
        <f>+AG944/AG933</f>
        <v>0.40763325767502534</v>
      </c>
      <c r="AH945" s="7"/>
      <c r="AI945" s="7"/>
      <c r="AJ945" s="3"/>
      <c r="AK945" s="474"/>
      <c r="AL945" s="474"/>
      <c r="AM945" s="208"/>
      <c r="AN945" s="208"/>
    </row>
    <row r="946" spans="1:40">
      <c r="A946" s="3" t="s">
        <v>1869</v>
      </c>
      <c r="B946" s="121"/>
      <c r="C946" s="245"/>
      <c r="D946" s="121"/>
      <c r="E946" s="121"/>
      <c r="F946" s="121"/>
      <c r="G946" s="121"/>
      <c r="H946" s="582"/>
      <c r="I946" s="121"/>
      <c r="J946" s="121"/>
      <c r="K946" s="2826">
        <v>0.6</v>
      </c>
      <c r="L946" s="2812">
        <v>0.6</v>
      </c>
      <c r="M946" s="2812"/>
      <c r="N946" s="2826">
        <v>0.57999999999999996</v>
      </c>
      <c r="O946" s="2826">
        <v>0.56000000000000005</v>
      </c>
      <c r="P946" s="2826">
        <v>0.56000000000000005</v>
      </c>
      <c r="Q946" s="2812">
        <v>0.56521739130434778</v>
      </c>
      <c r="R946" s="2812"/>
      <c r="S946" s="2826"/>
      <c r="T946" s="2826"/>
      <c r="U946" s="2826"/>
      <c r="V946" s="2812">
        <f>142000/V944</f>
        <v>0.51636363636363636</v>
      </c>
      <c r="W946" s="2812"/>
      <c r="X946" s="2826">
        <f>145000/X944</f>
        <v>0.51601423487544484</v>
      </c>
      <c r="Y946" s="2826">
        <f>145000/Y944</f>
        <v>0.50347222222222221</v>
      </c>
      <c r="Z946" s="121">
        <f>148000/Z944</f>
        <v>0.49333333333333335</v>
      </c>
      <c r="AA946" s="121">
        <f>148000/AA944</f>
        <v>0.47741935483870968</v>
      </c>
      <c r="AB946" s="245"/>
      <c r="AC946" s="2826">
        <f>166/325</f>
        <v>0.51076923076923075</v>
      </c>
      <c r="AD946" s="2826">
        <f>166/325</f>
        <v>0.51076923076923075</v>
      </c>
      <c r="AE946" s="1844"/>
      <c r="AF946" s="582"/>
      <c r="AG946" s="582">
        <f>180000/AG944</f>
        <v>0.52173913043478259</v>
      </c>
      <c r="AH946" s="2826"/>
      <c r="AI946" s="2826"/>
      <c r="AJ946" s="121"/>
      <c r="AK946" s="582"/>
      <c r="AL946" s="582"/>
      <c r="AM946" s="245"/>
      <c r="AN946" s="245"/>
    </row>
    <row r="947" spans="1:40">
      <c r="A947" s="3" t="s">
        <v>244</v>
      </c>
      <c r="C947" s="208"/>
      <c r="H947" s="474"/>
      <c r="K947" s="2827">
        <v>0.5</v>
      </c>
      <c r="L947" s="2825"/>
      <c r="M947" s="2825"/>
      <c r="N947" s="2722"/>
      <c r="O947" s="2722"/>
      <c r="P947" s="2722">
        <v>109000</v>
      </c>
      <c r="Q947" s="2825"/>
      <c r="R947" s="2825"/>
      <c r="S947" s="2722"/>
      <c r="T947" s="2722"/>
      <c r="U947" s="2722"/>
      <c r="V947" s="2825"/>
      <c r="W947" s="2825"/>
      <c r="X947" s="2722"/>
      <c r="Y947" s="2722"/>
      <c r="Z947" s="3"/>
      <c r="AA947" s="3"/>
      <c r="AB947" s="208"/>
      <c r="AC947" s="2722"/>
      <c r="AD947" s="2722"/>
      <c r="AE947" s="130"/>
      <c r="AF947" s="474"/>
      <c r="AG947" s="474"/>
      <c r="AH947" s="2722"/>
      <c r="AI947" s="2722"/>
      <c r="AJ947" s="3"/>
      <c r="AK947" s="474"/>
      <c r="AL947" s="474"/>
      <c r="AM947" s="208"/>
      <c r="AN947" s="208"/>
    </row>
    <row r="948" spans="1:40">
      <c r="A948" s="3" t="s">
        <v>2326</v>
      </c>
      <c r="B948" s="121"/>
      <c r="C948" s="245"/>
      <c r="D948" s="121"/>
      <c r="E948" s="121"/>
      <c r="F948" s="121"/>
      <c r="G948" s="121"/>
      <c r="H948" s="582"/>
      <c r="I948" s="121"/>
      <c r="J948" s="121"/>
      <c r="K948" s="2826"/>
      <c r="L948" s="2812"/>
      <c r="M948" s="2812"/>
      <c r="N948" s="2826"/>
      <c r="O948" s="2826"/>
      <c r="P948" s="2826"/>
      <c r="Q948" s="2828" t="s">
        <v>2337</v>
      </c>
      <c r="R948" s="2812"/>
      <c r="S948" s="2826">
        <v>0.52500000000000002</v>
      </c>
      <c r="T948" s="2826"/>
      <c r="U948" s="2826"/>
      <c r="V948" s="2812"/>
      <c r="W948" s="2812"/>
      <c r="X948" s="2826">
        <f>139000/X944</f>
        <v>0.49466192170818507</v>
      </c>
      <c r="Y948" s="2826">
        <f>139000/Y944</f>
        <v>0.4826388888888889</v>
      </c>
      <c r="Z948" s="2826">
        <v>0.5</v>
      </c>
      <c r="AA948" s="2826">
        <v>0.5</v>
      </c>
      <c r="AB948" s="245"/>
      <c r="AC948" s="2826">
        <f>168/325</f>
        <v>0.51692307692307693</v>
      </c>
      <c r="AD948" s="2826">
        <f>168/325</f>
        <v>0.51692307692307693</v>
      </c>
      <c r="AE948" s="1844"/>
      <c r="AF948" s="582"/>
      <c r="AG948" s="582"/>
      <c r="AH948" s="2826"/>
      <c r="AI948" s="2826"/>
      <c r="AJ948" s="121"/>
      <c r="AK948" s="582"/>
      <c r="AL948" s="582"/>
      <c r="AM948" s="245"/>
      <c r="AN948" s="245"/>
    </row>
    <row r="949" spans="1:40">
      <c r="AE949" s="135"/>
    </row>
  </sheetData>
  <phoneticPr fontId="12" type="noConversion"/>
  <pageMargins left="0.75" right="0.75" top="1" bottom="1" header="0.5" footer="0.5"/>
  <pageSetup orientation="portrait" r:id="rId1"/>
  <headerFooter alignWithMargins="0"/>
  <ignoredErrors>
    <ignoredError sqref="AM46 R46:R47 AM47:AN47 AM30:AN34 R30:R34 AM44:AN44 R44 R28 AM28:AN28 AM25:AN25 AM26:AN26 R25:R26" 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BF505"/>
  <sheetViews>
    <sheetView showGridLines="0" zoomScale="85" zoomScaleNormal="85" workbookViewId="0">
      <pane xSplit="1" ySplit="6" topLeftCell="H7" activePane="bottomRight" state="frozen"/>
      <selection activeCell="AD45" sqref="AD45"/>
      <selection pane="topRight" activeCell="AD45" sqref="AD45"/>
      <selection pane="bottomLeft" activeCell="AD45" sqref="AD45"/>
      <selection pane="bottomRight" activeCell="AF15" sqref="AF15"/>
    </sheetView>
  </sheetViews>
  <sheetFormatPr defaultRowHeight="12.75" outlineLevelCol="1"/>
  <cols>
    <col min="1" max="1" width="30.625" style="3" customWidth="1"/>
    <col min="2" max="3" width="7.625" style="3" customWidth="1"/>
    <col min="4" max="4" width="8.125" style="3" hidden="1" customWidth="1" outlineLevel="1"/>
    <col min="5" max="7" width="7.625" style="3" hidden="1" customWidth="1" outlineLevel="1"/>
    <col min="8" max="8" width="7.625" style="3" customWidth="1" collapsed="1"/>
    <col min="9" max="12" width="7.625" style="3" hidden="1" customWidth="1" outlineLevel="1"/>
    <col min="13" max="13" width="7.625" style="3" customWidth="1" collapsed="1"/>
    <col min="14" max="17" width="7.625" style="3" hidden="1" customWidth="1" outlineLevel="1"/>
    <col min="18" max="18" width="7.625" style="3" customWidth="1" collapsed="1"/>
    <col min="19" max="22" width="7.625" style="15" hidden="1" customWidth="1" outlineLevel="1"/>
    <col min="23" max="23" width="7.625" style="3" customWidth="1" collapsed="1"/>
    <col min="24" max="27" width="7.625" style="15" customWidth="1" outlineLevel="1"/>
    <col min="28" max="28" width="7.625" style="3" customWidth="1"/>
    <col min="29" max="32" width="7.625" style="15" customWidth="1" outlineLevel="1"/>
    <col min="33" max="33" width="7.625" style="3" customWidth="1"/>
    <col min="34" max="37" width="7.625" style="15" customWidth="1" outlineLevel="1"/>
    <col min="38" max="38" width="7.625" style="3" customWidth="1"/>
    <col min="39" max="40" width="8.625" style="3" customWidth="1"/>
    <col min="41" max="41" width="2.375" style="3" customWidth="1"/>
    <col min="42" max="42" width="9" style="3" customWidth="1"/>
    <col min="43" max="16384" width="9" style="3"/>
  </cols>
  <sheetData>
    <row r="1" spans="1:46">
      <c r="A1" s="2" t="s">
        <v>1389</v>
      </c>
      <c r="B1" s="2"/>
    </row>
    <row r="2" spans="1:46">
      <c r="A2" s="2"/>
      <c r="B2" s="2"/>
    </row>
    <row r="3" spans="1:46">
      <c r="A3" s="532" t="s">
        <v>1738</v>
      </c>
      <c r="B3" s="534">
        <f>+Hilton!E$3</f>
        <v>40543</v>
      </c>
      <c r="C3" s="534">
        <f>+Hilton!F$3</f>
        <v>40908</v>
      </c>
      <c r="D3" s="533">
        <f>+Hilton!G$3</f>
        <v>40999</v>
      </c>
      <c r="E3" s="533">
        <f>+Hilton!H$3</f>
        <v>41090</v>
      </c>
      <c r="F3" s="533">
        <f>+Hilton!I$3</f>
        <v>41182</v>
      </c>
      <c r="G3" s="533">
        <f>+Hilton!J$3</f>
        <v>41274</v>
      </c>
      <c r="H3" s="534">
        <f>+Hilton!K$3</f>
        <v>41274</v>
      </c>
      <c r="I3" s="533">
        <f>+Hilton!L$3</f>
        <v>41364</v>
      </c>
      <c r="J3" s="533">
        <f>+Hilton!M$3</f>
        <v>41455</v>
      </c>
      <c r="K3" s="533">
        <f>+Hilton!N$3</f>
        <v>41547</v>
      </c>
      <c r="L3" s="533">
        <f>+Hilton!O$3</f>
        <v>41639</v>
      </c>
      <c r="M3" s="534">
        <f>+Hilton!P$3</f>
        <v>41639</v>
      </c>
      <c r="N3" s="533">
        <f>+Hilton!Q$3</f>
        <v>41729</v>
      </c>
      <c r="O3" s="533">
        <f>+Hilton!R$3</f>
        <v>41820</v>
      </c>
      <c r="P3" s="533">
        <f>+Hilton!S$3</f>
        <v>41912</v>
      </c>
      <c r="Q3" s="533">
        <f>+Hilton!T$3</f>
        <v>42004</v>
      </c>
      <c r="R3" s="534">
        <f>+Hilton!U$3</f>
        <v>42004</v>
      </c>
      <c r="S3" s="533">
        <f>+Hilton!V$3</f>
        <v>42094</v>
      </c>
      <c r="T3" s="533">
        <f>+Hilton!W$3</f>
        <v>42185</v>
      </c>
      <c r="U3" s="533">
        <f>+Hilton!X$3</f>
        <v>42277</v>
      </c>
      <c r="V3" s="533">
        <f>+Hilton!Y$3</f>
        <v>42369</v>
      </c>
      <c r="W3" s="534">
        <f>+Hilton!Z$3</f>
        <v>42369</v>
      </c>
      <c r="X3" s="533">
        <f>+Hilton!AA$3</f>
        <v>42460</v>
      </c>
      <c r="Y3" s="533">
        <f>+Hilton!AB$3</f>
        <v>42551</v>
      </c>
      <c r="Z3" s="533">
        <f>+Hilton!AC$3</f>
        <v>42643</v>
      </c>
      <c r="AA3" s="533">
        <f>+Hilton!AD$3</f>
        <v>42735</v>
      </c>
      <c r="AB3" s="534">
        <f>+Hilton!AE$3</f>
        <v>42735</v>
      </c>
      <c r="AC3" s="533">
        <f>+Hilton!AF$3</f>
        <v>42825</v>
      </c>
      <c r="AD3" s="533">
        <f>+Hilton!AG$3</f>
        <v>42916</v>
      </c>
      <c r="AE3" s="533">
        <f>+Hilton!AH$3</f>
        <v>43008</v>
      </c>
      <c r="AF3" s="533">
        <f>+Hilton!AI$3</f>
        <v>43100</v>
      </c>
      <c r="AG3" s="534">
        <f>+Hilton!AJ$3</f>
        <v>43100</v>
      </c>
      <c r="AH3" s="533">
        <f>Hilton!AK3</f>
        <v>43190</v>
      </c>
      <c r="AI3" s="533">
        <f>Hilton!AL3</f>
        <v>43281</v>
      </c>
      <c r="AJ3" s="533">
        <f>Hilton!AM3</f>
        <v>43373</v>
      </c>
      <c r="AK3" s="533">
        <f>Hilton!AN3</f>
        <v>43465</v>
      </c>
      <c r="AL3" s="534">
        <f>+Hilton!AO$3</f>
        <v>43465</v>
      </c>
      <c r="AM3" s="534">
        <f>+Hilton!AP$3</f>
        <v>43830</v>
      </c>
      <c r="AN3" s="534">
        <f>+Hilton!AQ$3</f>
        <v>44196</v>
      </c>
    </row>
    <row r="4" spans="1:46">
      <c r="A4" s="538" t="s">
        <v>1344</v>
      </c>
      <c r="B4" s="540" t="str">
        <f>+Hilton!E$5</f>
        <v>2010</v>
      </c>
      <c r="C4" s="540" t="str">
        <f>+Hilton!F$5</f>
        <v>2011</v>
      </c>
      <c r="D4" s="539" t="str">
        <f>+Hilton!G$5</f>
        <v>1Q12</v>
      </c>
      <c r="E4" s="539" t="str">
        <f>+Hilton!H$5</f>
        <v>2Q12</v>
      </c>
      <c r="F4" s="539" t="str">
        <f>+Hilton!I$5</f>
        <v>3Q12</v>
      </c>
      <c r="G4" s="539" t="str">
        <f>+Hilton!J$5</f>
        <v>4Q12</v>
      </c>
      <c r="H4" s="1500">
        <f>+Hilton!K$5</f>
        <v>2012</v>
      </c>
      <c r="I4" s="539" t="str">
        <f>+Hilton!L$5</f>
        <v>1Q13</v>
      </c>
      <c r="J4" s="539" t="str">
        <f>+Hilton!M$5</f>
        <v>2Q13</v>
      </c>
      <c r="K4" s="539" t="str">
        <f>+Hilton!N$5</f>
        <v>3Q13</v>
      </c>
      <c r="L4" s="539" t="str">
        <f>+Hilton!O$5</f>
        <v>4Q13</v>
      </c>
      <c r="M4" s="2041">
        <f>+Hilton!P$5</f>
        <v>2013</v>
      </c>
      <c r="N4" s="539" t="str">
        <f>+Hilton!Q$5</f>
        <v>1Q14</v>
      </c>
      <c r="O4" s="539" t="str">
        <f>+Hilton!R$5</f>
        <v>2Q14</v>
      </c>
      <c r="P4" s="539" t="str">
        <f>+Hilton!S$5</f>
        <v>3Q14</v>
      </c>
      <c r="Q4" s="539" t="str">
        <f>+Hilton!T$5</f>
        <v>4Q14</v>
      </c>
      <c r="R4" s="2041">
        <f>+Hilton!U$5</f>
        <v>2014</v>
      </c>
      <c r="S4" s="539" t="str">
        <f>+Hilton!V$5</f>
        <v>1Q15</v>
      </c>
      <c r="T4" s="539" t="str">
        <f>+Hilton!W$5</f>
        <v>2Q15</v>
      </c>
      <c r="U4" s="539" t="str">
        <f>+Hilton!X$5</f>
        <v>3Q15</v>
      </c>
      <c r="V4" s="539" t="str">
        <f>+Hilton!Y$5</f>
        <v>4Q15</v>
      </c>
      <c r="W4" s="2041">
        <f>+Hilton!Z$5</f>
        <v>2015</v>
      </c>
      <c r="X4" s="539" t="str">
        <f>+Hilton!AA$5</f>
        <v>1Q16</v>
      </c>
      <c r="Y4" s="539" t="str">
        <f>+Hilton!AB$5</f>
        <v>2Q16</v>
      </c>
      <c r="Z4" s="539" t="str">
        <f>+Hilton!AC$5</f>
        <v>3Q16</v>
      </c>
      <c r="AA4" s="539" t="str">
        <f>+Hilton!AD$5</f>
        <v>4Q16</v>
      </c>
      <c r="AB4" s="2041">
        <f>+Hilton!AE$5</f>
        <v>2016</v>
      </c>
      <c r="AC4" s="539" t="str">
        <f>+Hilton!AF$5</f>
        <v>1Q17</v>
      </c>
      <c r="AD4" s="539" t="str">
        <f>+Hilton!AG$5</f>
        <v>2Q17</v>
      </c>
      <c r="AE4" s="539" t="str">
        <f>+Hilton!AH$5</f>
        <v>3Q17</v>
      </c>
      <c r="AF4" s="539" t="str">
        <f>+Hilton!AI$5</f>
        <v>4Q17A</v>
      </c>
      <c r="AG4" s="540" t="str">
        <f>+Hilton!AJ$5</f>
        <v>2017A</v>
      </c>
      <c r="AH4" s="539" t="str">
        <f>Hilton!AK5</f>
        <v>1Q18E</v>
      </c>
      <c r="AI4" s="539" t="str">
        <f>Hilton!AL5</f>
        <v>2Q18E</v>
      </c>
      <c r="AJ4" s="539" t="str">
        <f>Hilton!AM5</f>
        <v>3Q18E</v>
      </c>
      <c r="AK4" s="539" t="str">
        <f>Hilton!AN5</f>
        <v>4Q18E</v>
      </c>
      <c r="AL4" s="540" t="str">
        <f>+Hilton!AO$5</f>
        <v>2018E</v>
      </c>
      <c r="AM4" s="540" t="str">
        <f>+Hilton!AP$5</f>
        <v>2019E</v>
      </c>
      <c r="AN4" s="540" t="str">
        <f>+Hilton!AQ$5</f>
        <v>2020E</v>
      </c>
    </row>
    <row r="5" spans="1:46" s="130" customFormat="1">
      <c r="A5" s="721" t="str">
        <f>+Hilton!A$6</f>
        <v>Days in the Quarter</v>
      </c>
      <c r="B5" s="565">
        <f>+Hilton!E$6</f>
        <v>365</v>
      </c>
      <c r="C5" s="565">
        <f>+Hilton!F$6</f>
        <v>365</v>
      </c>
      <c r="D5" s="565">
        <f>+Hilton!G$6</f>
        <v>91</v>
      </c>
      <c r="E5" s="565">
        <f>+Hilton!H$6</f>
        <v>91</v>
      </c>
      <c r="F5" s="565">
        <f>+Hilton!I$6</f>
        <v>92</v>
      </c>
      <c r="G5" s="565">
        <f>+Hilton!J$6</f>
        <v>92</v>
      </c>
      <c r="H5" s="565">
        <f>+Hilton!K$6</f>
        <v>366</v>
      </c>
      <c r="I5" s="565">
        <f>+Hilton!L$6</f>
        <v>90</v>
      </c>
      <c r="J5" s="565">
        <f>+Hilton!M$6</f>
        <v>91</v>
      </c>
      <c r="K5" s="565">
        <f>+Hilton!N$6</f>
        <v>92</v>
      </c>
      <c r="L5" s="565">
        <f>+Hilton!O$6</f>
        <v>92</v>
      </c>
      <c r="M5" s="565">
        <f>+Hilton!P$6</f>
        <v>365</v>
      </c>
      <c r="N5" s="565">
        <f>+Hilton!Q$6</f>
        <v>90</v>
      </c>
      <c r="O5" s="565">
        <f>+Hilton!R$6</f>
        <v>91</v>
      </c>
      <c r="P5" s="565">
        <f>+Hilton!S$6</f>
        <v>92</v>
      </c>
      <c r="Q5" s="565">
        <f>+Hilton!T$6</f>
        <v>92</v>
      </c>
      <c r="R5" s="565">
        <f>+Hilton!U$6</f>
        <v>365</v>
      </c>
      <c r="S5" s="565">
        <f>+Hilton!V$6</f>
        <v>90</v>
      </c>
      <c r="T5" s="565">
        <f>+Hilton!W$6</f>
        <v>91</v>
      </c>
      <c r="U5" s="565">
        <f>+Hilton!X$6</f>
        <v>92</v>
      </c>
      <c r="V5" s="565">
        <f>+Hilton!Y$6</f>
        <v>92</v>
      </c>
      <c r="W5" s="566">
        <f>+Hilton!Z$6</f>
        <v>365</v>
      </c>
      <c r="X5" s="565">
        <f>+Hilton!AA$6</f>
        <v>91</v>
      </c>
      <c r="Y5" s="565">
        <f>+Hilton!AB$6</f>
        <v>91</v>
      </c>
      <c r="Z5" s="565">
        <f>+Hilton!AC$6</f>
        <v>92</v>
      </c>
      <c r="AA5" s="565">
        <f>+Hilton!AD$6</f>
        <v>92</v>
      </c>
      <c r="AB5" s="566">
        <f>+Hilton!AE$6</f>
        <v>366</v>
      </c>
      <c r="AC5" s="565">
        <f>+Hilton!AF$6</f>
        <v>90</v>
      </c>
      <c r="AD5" s="565">
        <f>+Hilton!AG$6</f>
        <v>91</v>
      </c>
      <c r="AE5" s="565">
        <f>+Hilton!AH$6</f>
        <v>92</v>
      </c>
      <c r="AF5" s="565">
        <f>+Hilton!AI$6</f>
        <v>92</v>
      </c>
      <c r="AG5" s="566">
        <f>+Hilton!AJ$6</f>
        <v>365</v>
      </c>
      <c r="AH5" s="565">
        <f>+Hilton!AK$6</f>
        <v>90</v>
      </c>
      <c r="AI5" s="565">
        <f>+Hilton!AL$6</f>
        <v>91</v>
      </c>
      <c r="AJ5" s="565">
        <f>+Hilton!AM$6</f>
        <v>92</v>
      </c>
      <c r="AK5" s="565">
        <f>+Hilton!AN$6</f>
        <v>92</v>
      </c>
      <c r="AL5" s="566">
        <f>+Hilton!AO$6</f>
        <v>365</v>
      </c>
      <c r="AM5" s="566">
        <f>+Hilton!AP$6</f>
        <v>365</v>
      </c>
      <c r="AN5" s="566">
        <f>+Hilton!AQ$6</f>
        <v>366</v>
      </c>
    </row>
    <row r="6" spans="1:46" s="130" customFormat="1">
      <c r="A6" s="140"/>
      <c r="B6" s="512"/>
      <c r="C6" s="512"/>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c r="AF6" s="512"/>
      <c r="AG6" s="512"/>
      <c r="AH6" s="512"/>
      <c r="AI6" s="512"/>
      <c r="AJ6" s="512"/>
      <c r="AK6" s="512"/>
      <c r="AL6" s="512"/>
      <c r="AM6" s="512"/>
      <c r="AN6" s="512"/>
      <c r="AT6" s="1828"/>
    </row>
    <row r="7" spans="1:46" s="775" customFormat="1">
      <c r="A7" s="461" t="s">
        <v>569</v>
      </c>
      <c r="B7" s="774" t="str">
        <f t="shared" ref="B7:AN7" si="0">+B$4</f>
        <v>2010</v>
      </c>
      <c r="C7" s="774" t="str">
        <f t="shared" si="0"/>
        <v>2011</v>
      </c>
      <c r="D7" s="773" t="str">
        <f t="shared" si="0"/>
        <v>1Q12</v>
      </c>
      <c r="E7" s="773" t="str">
        <f t="shared" si="0"/>
        <v>2Q12</v>
      </c>
      <c r="F7" s="773" t="str">
        <f t="shared" si="0"/>
        <v>3Q12</v>
      </c>
      <c r="G7" s="773" t="str">
        <f t="shared" si="0"/>
        <v>4Q12</v>
      </c>
      <c r="H7" s="774">
        <f t="shared" si="0"/>
        <v>2012</v>
      </c>
      <c r="I7" s="773" t="str">
        <f t="shared" si="0"/>
        <v>1Q13</v>
      </c>
      <c r="J7" s="773" t="str">
        <f t="shared" si="0"/>
        <v>2Q13</v>
      </c>
      <c r="K7" s="773" t="str">
        <f t="shared" si="0"/>
        <v>3Q13</v>
      </c>
      <c r="L7" s="773" t="str">
        <f t="shared" si="0"/>
        <v>4Q13</v>
      </c>
      <c r="M7" s="774">
        <f t="shared" si="0"/>
        <v>2013</v>
      </c>
      <c r="N7" s="773" t="str">
        <f t="shared" si="0"/>
        <v>1Q14</v>
      </c>
      <c r="O7" s="773" t="str">
        <f t="shared" si="0"/>
        <v>2Q14</v>
      </c>
      <c r="P7" s="773" t="str">
        <f t="shared" si="0"/>
        <v>3Q14</v>
      </c>
      <c r="Q7" s="773" t="str">
        <f t="shared" si="0"/>
        <v>4Q14</v>
      </c>
      <c r="R7" s="774">
        <f t="shared" si="0"/>
        <v>2014</v>
      </c>
      <c r="S7" s="773" t="str">
        <f t="shared" si="0"/>
        <v>1Q15</v>
      </c>
      <c r="T7" s="773" t="str">
        <f t="shared" si="0"/>
        <v>2Q15</v>
      </c>
      <c r="U7" s="773" t="str">
        <f t="shared" si="0"/>
        <v>3Q15</v>
      </c>
      <c r="V7" s="773" t="str">
        <f t="shared" si="0"/>
        <v>4Q15</v>
      </c>
      <c r="W7" s="774">
        <f t="shared" si="0"/>
        <v>2015</v>
      </c>
      <c r="X7" s="773" t="str">
        <f t="shared" si="0"/>
        <v>1Q16</v>
      </c>
      <c r="Y7" s="773" t="str">
        <f t="shared" si="0"/>
        <v>2Q16</v>
      </c>
      <c r="Z7" s="773" t="str">
        <f t="shared" si="0"/>
        <v>3Q16</v>
      </c>
      <c r="AA7" s="773" t="str">
        <f t="shared" si="0"/>
        <v>4Q16</v>
      </c>
      <c r="AB7" s="774">
        <f t="shared" si="0"/>
        <v>2016</v>
      </c>
      <c r="AC7" s="773" t="str">
        <f t="shared" si="0"/>
        <v>1Q17</v>
      </c>
      <c r="AD7" s="773" t="str">
        <f t="shared" si="0"/>
        <v>2Q17</v>
      </c>
      <c r="AE7" s="773" t="str">
        <f t="shared" si="0"/>
        <v>3Q17</v>
      </c>
      <c r="AF7" s="773" t="str">
        <f t="shared" si="0"/>
        <v>4Q17A</v>
      </c>
      <c r="AG7" s="774" t="str">
        <f t="shared" si="0"/>
        <v>2017A</v>
      </c>
      <c r="AH7" s="773" t="str">
        <f>Hilton!AK5</f>
        <v>1Q18E</v>
      </c>
      <c r="AI7" s="1049" t="str">
        <f>AI4</f>
        <v>2Q18E</v>
      </c>
      <c r="AJ7" s="1049" t="str">
        <f>AJ4</f>
        <v>3Q18E</v>
      </c>
      <c r="AK7" s="1049" t="str">
        <f>AK4</f>
        <v>4Q18E</v>
      </c>
      <c r="AL7" s="774" t="str">
        <f t="shared" si="0"/>
        <v>2018E</v>
      </c>
      <c r="AM7" s="774" t="str">
        <f t="shared" si="0"/>
        <v>2019E</v>
      </c>
      <c r="AN7" s="774" t="str">
        <f t="shared" si="0"/>
        <v>2020E</v>
      </c>
    </row>
    <row r="8" spans="1:46" s="130" customFormat="1">
      <c r="A8" s="482"/>
      <c r="B8" s="397"/>
      <c r="C8" s="442"/>
      <c r="D8" s="203"/>
      <c r="E8" s="203"/>
      <c r="F8" s="203"/>
      <c r="G8" s="203"/>
      <c r="H8" s="442"/>
      <c r="I8" s="203"/>
      <c r="J8" s="203"/>
      <c r="K8" s="203"/>
      <c r="L8" s="203"/>
      <c r="M8" s="442"/>
      <c r="N8" s="203"/>
      <c r="O8" s="203"/>
      <c r="P8" s="203"/>
      <c r="Q8" s="203"/>
      <c r="R8" s="442"/>
      <c r="S8" s="2372"/>
      <c r="T8" s="2373"/>
      <c r="U8" s="2373"/>
      <c r="V8" s="2374"/>
      <c r="W8" s="442"/>
      <c r="X8" s="2372"/>
      <c r="Y8" s="2373"/>
      <c r="Z8" s="2373"/>
      <c r="AA8" s="2374"/>
      <c r="AB8" s="442"/>
      <c r="AC8" s="2373"/>
      <c r="AD8" s="2373"/>
      <c r="AE8" s="2373"/>
      <c r="AF8" s="2374"/>
      <c r="AG8" s="442"/>
      <c r="AH8" s="2373"/>
      <c r="AI8" s="2373"/>
      <c r="AJ8" s="2373"/>
      <c r="AK8" s="2374"/>
      <c r="AL8" s="442"/>
      <c r="AM8" s="442"/>
      <c r="AN8" s="442"/>
    </row>
    <row r="9" spans="1:46">
      <c r="A9" s="2020" t="s">
        <v>1729</v>
      </c>
      <c r="B9" s="216"/>
      <c r="C9" s="443"/>
      <c r="D9" s="436"/>
      <c r="E9" s="436"/>
      <c r="F9" s="436"/>
      <c r="G9" s="436"/>
      <c r="H9" s="443"/>
      <c r="I9" s="436"/>
      <c r="J9" s="436"/>
      <c r="K9" s="436"/>
      <c r="L9" s="656"/>
      <c r="M9" s="443"/>
      <c r="N9" s="436"/>
      <c r="O9" s="436"/>
      <c r="P9" s="436"/>
      <c r="Q9" s="436"/>
      <c r="R9" s="443"/>
      <c r="S9" s="2375"/>
      <c r="T9" s="436"/>
      <c r="U9" s="436"/>
      <c r="V9" s="2376"/>
      <c r="W9" s="216"/>
      <c r="X9" s="1516"/>
      <c r="Y9" s="6"/>
      <c r="Z9" s="6"/>
      <c r="AA9" s="1560"/>
      <c r="AB9" s="216"/>
      <c r="AC9" s="6"/>
      <c r="AD9" s="6"/>
      <c r="AE9" s="6"/>
      <c r="AF9" s="1560"/>
      <c r="AG9" s="216"/>
      <c r="AH9" s="6"/>
      <c r="AI9" s="6"/>
      <c r="AJ9" s="6"/>
      <c r="AK9" s="1560"/>
      <c r="AL9" s="216"/>
      <c r="AM9" s="216"/>
      <c r="AN9" s="216"/>
    </row>
    <row r="10" spans="1:46">
      <c r="A10" s="2021" t="s">
        <v>2171</v>
      </c>
      <c r="B10" s="567">
        <f>B218</f>
        <v>5.2999999999999999E-2</v>
      </c>
      <c r="C10" s="567">
        <f>C218</f>
        <v>6.7000000000000004E-2</v>
      </c>
      <c r="D10" s="128">
        <f>D218</f>
        <v>7.0000000000000062E-2</v>
      </c>
      <c r="E10" s="128">
        <f t="shared" ref="E10:K10" si="1">E218</f>
        <v>6.899999999999995E-2</v>
      </c>
      <c r="F10" s="128">
        <f t="shared" si="1"/>
        <v>4.8000000000000043E-2</v>
      </c>
      <c r="G10" s="128">
        <f t="shared" si="1"/>
        <v>5.8999999999999941E-2</v>
      </c>
      <c r="H10" s="1339">
        <f t="shared" si="1"/>
        <v>6.0999999999999999E-2</v>
      </c>
      <c r="I10" s="128">
        <f t="shared" si="1"/>
        <v>5.5E-2</v>
      </c>
      <c r="J10" s="128">
        <f t="shared" si="1"/>
        <v>5.1999999999999998E-2</v>
      </c>
      <c r="K10" s="128">
        <f t="shared" si="1"/>
        <v>5.1999999999999998E-2</v>
      </c>
      <c r="L10" s="128">
        <f t="shared" ref="L10:R10" si="2">L218</f>
        <v>4.7E-2</v>
      </c>
      <c r="M10" s="1339">
        <f t="shared" si="2"/>
        <v>5.1999999999999998E-2</v>
      </c>
      <c r="N10" s="128">
        <f t="shared" si="2"/>
        <v>6.7000000000000004E-2</v>
      </c>
      <c r="O10" s="128">
        <f t="shared" si="2"/>
        <v>7.2999999999999995E-2</v>
      </c>
      <c r="P10" s="128">
        <f t="shared" si="2"/>
        <v>8.7999999999999995E-2</v>
      </c>
      <c r="Q10" s="128">
        <f t="shared" si="2"/>
        <v>6.8000000000000005E-2</v>
      </c>
      <c r="R10" s="1339">
        <f t="shared" si="2"/>
        <v>7.3999999999999996E-2</v>
      </c>
      <c r="S10" s="128">
        <f t="shared" ref="S10:Y10" si="3">S218</f>
        <v>6.5000000000000002E-2</v>
      </c>
      <c r="T10" s="128">
        <f t="shared" si="3"/>
        <v>0.05</v>
      </c>
      <c r="U10" s="128">
        <f t="shared" si="3"/>
        <v>5.0999999999999997E-2</v>
      </c>
      <c r="V10" s="128">
        <f t="shared" si="3"/>
        <v>3.7999999999999999E-2</v>
      </c>
      <c r="W10" s="1339">
        <f t="shared" si="3"/>
        <v>5.1999999999999998E-2</v>
      </c>
      <c r="X10" s="2621">
        <f t="shared" si="3"/>
        <v>1.7999999999999999E-2</v>
      </c>
      <c r="Y10" s="2621">
        <f t="shared" si="3"/>
        <v>2.9000000000000001E-2</v>
      </c>
      <c r="Z10" s="2621">
        <f t="shared" ref="Z10:AN10" si="4">Z218</f>
        <v>1.4999999999999999E-2</v>
      </c>
      <c r="AA10" s="3089">
        <f t="shared" si="4"/>
        <v>8.9999999999999993E-3</v>
      </c>
      <c r="AB10" s="2851">
        <f t="shared" si="4"/>
        <v>1.9E-2</v>
      </c>
      <c r="AC10" s="3089">
        <f t="shared" si="4"/>
        <v>2.5000000000000001E-2</v>
      </c>
      <c r="AD10" s="3089">
        <f t="shared" si="4"/>
        <v>5.0000000000000001E-3</v>
      </c>
      <c r="AE10" s="3089">
        <f t="shared" ref="AE10" si="5">AE218</f>
        <v>-1E-3</v>
      </c>
      <c r="AF10" s="1991">
        <f t="shared" si="4"/>
        <v>3.2000000000000001E-2</v>
      </c>
      <c r="AG10" s="1994">
        <f t="shared" si="4"/>
        <v>1.4999999999999999E-2</v>
      </c>
      <c r="AH10" s="3089">
        <f t="shared" ref="AH10:AL10" si="6">AH218</f>
        <v>1.2500000000000001E-2</v>
      </c>
      <c r="AI10" s="3089">
        <f t="shared" si="6"/>
        <v>0.02</v>
      </c>
      <c r="AJ10" s="1991">
        <f t="shared" si="6"/>
        <v>0.02</v>
      </c>
      <c r="AK10" s="1991">
        <f t="shared" si="6"/>
        <v>1.4999999999999999E-2</v>
      </c>
      <c r="AL10" s="3972">
        <f t="shared" si="6"/>
        <v>1.6875000000000001E-2</v>
      </c>
      <c r="AM10" s="1339">
        <f t="shared" si="4"/>
        <v>1.2999999999999999E-2</v>
      </c>
      <c r="AN10" s="1339">
        <f t="shared" si="4"/>
        <v>-0.03</v>
      </c>
    </row>
    <row r="11" spans="1:46">
      <c r="A11" s="2021" t="s">
        <v>208</v>
      </c>
      <c r="B11" s="567">
        <f t="shared" ref="B11:R11" si="7">B237</f>
        <v>7.0000000000000062E-2</v>
      </c>
      <c r="C11" s="567">
        <f t="shared" si="7"/>
        <v>7.9160496294379934E-2</v>
      </c>
      <c r="D11" s="128">
        <f t="shared" si="7"/>
        <v>4.4000000000000039E-2</v>
      </c>
      <c r="E11" s="128">
        <f t="shared" si="7"/>
        <v>5.2999999999999936E-2</v>
      </c>
      <c r="F11" s="128">
        <f t="shared" si="7"/>
        <v>4.2999999999999927E-2</v>
      </c>
      <c r="G11" s="128">
        <f t="shared" si="7"/>
        <v>3.499999999999992E-2</v>
      </c>
      <c r="H11" s="226">
        <f t="shared" si="7"/>
        <v>1.4066586398332914E-2</v>
      </c>
      <c r="I11" s="128">
        <f t="shared" si="7"/>
        <v>-2.8580886913448511E-3</v>
      </c>
      <c r="J11" s="128">
        <f t="shared" si="7"/>
        <v>1.026781457508541E-2</v>
      </c>
      <c r="K11" s="128">
        <f t="shared" si="7"/>
        <v>2.3840575829098265E-2</v>
      </c>
      <c r="L11" s="128">
        <f>L237</f>
        <v>0.04</v>
      </c>
      <c r="M11" s="226">
        <f>M237</f>
        <v>1.7678841071379514E-2</v>
      </c>
      <c r="N11" s="128">
        <f>N237</f>
        <v>0.05</v>
      </c>
      <c r="O11" s="128">
        <f t="shared" si="7"/>
        <v>0.06</v>
      </c>
      <c r="P11" s="128">
        <f t="shared" si="7"/>
        <v>8.3000000000000004E-2</v>
      </c>
      <c r="Q11" s="128">
        <f t="shared" si="7"/>
        <v>6.5000000000000002E-2</v>
      </c>
      <c r="R11" s="226">
        <f t="shared" si="7"/>
        <v>6.4951401364892858E-2</v>
      </c>
      <c r="S11" s="128">
        <f t="shared" ref="S11:AA11" si="8">S237</f>
        <v>6.6000000000000003E-2</v>
      </c>
      <c r="T11" s="128">
        <f t="shared" si="8"/>
        <v>5.0999999999999997E-2</v>
      </c>
      <c r="U11" s="128">
        <f t="shared" si="8"/>
        <v>5.1999999999999998E-2</v>
      </c>
      <c r="V11" s="128">
        <f t="shared" si="8"/>
        <v>3.7999999999999999E-2</v>
      </c>
      <c r="W11" s="226">
        <f t="shared" si="8"/>
        <v>5.1694213664527311E-2</v>
      </c>
      <c r="X11" s="128">
        <f t="shared" si="8"/>
        <v>1.9E-2</v>
      </c>
      <c r="Y11" s="128">
        <f t="shared" si="8"/>
        <v>2.8000000000000001E-2</v>
      </c>
      <c r="Z11" s="128">
        <f t="shared" si="8"/>
        <v>1.7000000000000001E-2</v>
      </c>
      <c r="AA11" s="1784">
        <f t="shared" si="8"/>
        <v>5.0000000000000001E-3</v>
      </c>
      <c r="AB11" s="1990">
        <f t="shared" ref="AB11:AN11" si="9">AB237</f>
        <v>1.7310952464866247E-2</v>
      </c>
      <c r="AC11" s="1784">
        <f t="shared" si="9"/>
        <v>2.8000000000000001E-2</v>
      </c>
      <c r="AD11" s="1784">
        <f t="shared" si="9"/>
        <v>6.5000000000000002E-2</v>
      </c>
      <c r="AE11" s="1784">
        <f t="shared" ref="AE11" si="10">AE237</f>
        <v>3.4000000000000002E-2</v>
      </c>
      <c r="AF11" s="1991">
        <f t="shared" si="9"/>
        <v>6.2E-2</v>
      </c>
      <c r="AG11" s="1992">
        <f t="shared" si="9"/>
        <v>5.2999999999999999E-2</v>
      </c>
      <c r="AH11" s="1784">
        <f t="shared" ref="AH11:AL11" si="11">AH237</f>
        <v>0.03</v>
      </c>
      <c r="AI11" s="1784">
        <f t="shared" si="11"/>
        <v>0.03</v>
      </c>
      <c r="AJ11" s="1991">
        <f t="shared" si="11"/>
        <v>0.03</v>
      </c>
      <c r="AK11" s="1991">
        <f t="shared" si="11"/>
        <v>0.03</v>
      </c>
      <c r="AL11" s="1990">
        <f t="shared" si="11"/>
        <v>3.0000000000000027E-2</v>
      </c>
      <c r="AM11" s="226">
        <f t="shared" si="9"/>
        <v>1.4999999999999999E-2</v>
      </c>
      <c r="AN11" s="226">
        <f t="shared" si="9"/>
        <v>-0.03</v>
      </c>
    </row>
    <row r="12" spans="1:46">
      <c r="A12" s="2021" t="s">
        <v>2218</v>
      </c>
      <c r="B12" s="567">
        <f>B253</f>
        <v>7.6000000000000068E-2</v>
      </c>
      <c r="C12" s="567">
        <f t="shared" ref="C12:K12" si="12">C253</f>
        <v>9.0906817053286959E-2</v>
      </c>
      <c r="D12" s="128">
        <f t="shared" si="12"/>
        <v>-4.0000000000001146E-3</v>
      </c>
      <c r="E12" s="128">
        <f t="shared" si="12"/>
        <v>1.2000000000000011E-2</v>
      </c>
      <c r="F12" s="128">
        <f t="shared" si="12"/>
        <v>5.0000000000000044E-2</v>
      </c>
      <c r="G12" s="128">
        <f t="shared" si="12"/>
        <v>3.6999999999999922E-2</v>
      </c>
      <c r="H12" s="226">
        <f t="shared" si="12"/>
        <v>-7.9296957472282492E-2</v>
      </c>
      <c r="I12" s="128">
        <f t="shared" si="12"/>
        <v>1.2691977758956918E-2</v>
      </c>
      <c r="J12" s="128">
        <f t="shared" si="12"/>
        <v>3.7735703575343837E-2</v>
      </c>
      <c r="K12" s="128">
        <f t="shared" si="12"/>
        <v>2.0227161903575652E-2</v>
      </c>
      <c r="L12" s="128">
        <f t="shared" ref="L12:R12" si="13">L253</f>
        <v>4.6000000000000041E-2</v>
      </c>
      <c r="M12" s="226">
        <f t="shared" si="13"/>
        <v>3.8195523159392897E-2</v>
      </c>
      <c r="N12" s="128">
        <f t="shared" si="13"/>
        <v>6.4999999999999947E-2</v>
      </c>
      <c r="O12" s="128">
        <f t="shared" si="13"/>
        <v>4.4000000000000039E-2</v>
      </c>
      <c r="P12" s="128">
        <f t="shared" si="13"/>
        <v>6.6000000000000059E-2</v>
      </c>
      <c r="Q12" s="128">
        <f t="shared" si="13"/>
        <v>6.899999999999995E-2</v>
      </c>
      <c r="R12" s="226">
        <f t="shared" si="13"/>
        <v>6.0999999999999943E-2</v>
      </c>
      <c r="S12" s="128">
        <f t="shared" ref="S12:AA12" si="14">S253</f>
        <v>5.4999999999999938E-2</v>
      </c>
      <c r="T12" s="128">
        <f t="shared" si="14"/>
        <v>4.6000000000000041E-2</v>
      </c>
      <c r="U12" s="128">
        <f t="shared" si="14"/>
        <v>8.8000000000000078E-2</v>
      </c>
      <c r="V12" s="128">
        <f t="shared" si="14"/>
        <v>5.0000000000000044E-2</v>
      </c>
      <c r="W12" s="226">
        <f t="shared" si="14"/>
        <v>6.0999999999999943E-2</v>
      </c>
      <c r="X12" s="128">
        <f t="shared" si="14"/>
        <v>2.8999999999999915E-2</v>
      </c>
      <c r="Y12" s="128">
        <f t="shared" si="14"/>
        <v>1.2999999999999901E-2</v>
      </c>
      <c r="Z12" s="128">
        <f t="shared" si="14"/>
        <v>-7.0000000000000062E-3</v>
      </c>
      <c r="AA12" s="1784">
        <f t="shared" si="14"/>
        <v>2.1999999999999999E-2</v>
      </c>
      <c r="AB12" s="1990">
        <f t="shared" ref="AB12:AN12" si="15">AB253</f>
        <v>1.0999999999999999E-2</v>
      </c>
      <c r="AC12" s="1784">
        <f t="shared" si="15"/>
        <v>8.4000000000000005E-2</v>
      </c>
      <c r="AD12" s="1784">
        <f t="shared" si="15"/>
        <v>6.5000000000000002E-2</v>
      </c>
      <c r="AE12" s="1784">
        <f t="shared" ref="AE12" si="16">AE253</f>
        <v>0.08</v>
      </c>
      <c r="AF12" s="1991">
        <f t="shared" si="15"/>
        <v>3.9E-2</v>
      </c>
      <c r="AG12" s="1992">
        <f t="shared" si="15"/>
        <v>6.6000000000000003E-2</v>
      </c>
      <c r="AH12" s="1784">
        <f t="shared" ref="AH12:AL12" si="17">AH253</f>
        <v>0.04</v>
      </c>
      <c r="AI12" s="1784">
        <f t="shared" si="17"/>
        <v>0.04</v>
      </c>
      <c r="AJ12" s="1991">
        <f t="shared" si="17"/>
        <v>0.04</v>
      </c>
      <c r="AK12" s="1991">
        <f t="shared" si="17"/>
        <v>0.04</v>
      </c>
      <c r="AL12" s="1990">
        <f t="shared" si="17"/>
        <v>4.0000000000000258E-2</v>
      </c>
      <c r="AM12" s="226">
        <f t="shared" si="15"/>
        <v>0.02</v>
      </c>
      <c r="AN12" s="226">
        <f t="shared" si="15"/>
        <v>-0.03</v>
      </c>
    </row>
    <row r="13" spans="1:46">
      <c r="A13" s="2021" t="s">
        <v>209</v>
      </c>
      <c r="B13" s="567">
        <f>B269</f>
        <v>5.8000000000000052E-2</v>
      </c>
      <c r="C13" s="567">
        <f t="shared" ref="C13:K13" si="18">C269</f>
        <v>-1.4955882673934551E-2</v>
      </c>
      <c r="D13" s="128">
        <f t="shared" si="18"/>
        <v>4.2999999999999927E-2</v>
      </c>
      <c r="E13" s="128">
        <f t="shared" si="18"/>
        <v>4.2000000000000037E-2</v>
      </c>
      <c r="F13" s="417">
        <f t="shared" si="18"/>
        <v>2.2999999999999909E-2</v>
      </c>
      <c r="G13" s="417">
        <f t="shared" si="18"/>
        <v>7.8999999999999959E-2</v>
      </c>
      <c r="H13" s="455">
        <f t="shared" si="18"/>
        <v>-7.386806625897091E-2</v>
      </c>
      <c r="I13" s="128">
        <f t="shared" si="18"/>
        <v>6.1946597155315697E-3</v>
      </c>
      <c r="J13" s="128">
        <f t="shared" si="18"/>
        <v>0.16622502089707059</v>
      </c>
      <c r="K13" s="417">
        <f t="shared" si="18"/>
        <v>-0.19126784584807943</v>
      </c>
      <c r="L13" s="417">
        <f t="shared" ref="L13:R13" si="19">L269</f>
        <v>-3.2000000000000139E-2</v>
      </c>
      <c r="M13" s="455">
        <f t="shared" si="19"/>
        <v>-3.7564832034553408E-3</v>
      </c>
      <c r="N13" s="128">
        <f t="shared" si="19"/>
        <v>-6.0000000000000053E-3</v>
      </c>
      <c r="O13" s="128">
        <f t="shared" si="19"/>
        <v>-3.400000000000003E-2</v>
      </c>
      <c r="P13" s="417">
        <f t="shared" si="19"/>
        <v>0.15500000000000003</v>
      </c>
      <c r="Q13" s="417">
        <f t="shared" si="19"/>
        <v>6.6999999999999948E-2</v>
      </c>
      <c r="R13" s="455">
        <f t="shared" si="19"/>
        <v>4.4000000000000039E-2</v>
      </c>
      <c r="S13" s="417">
        <f t="shared" ref="S13:AA13" si="20">S269</f>
        <v>5.4000000000000048E-2</v>
      </c>
      <c r="T13" s="417">
        <f t="shared" si="20"/>
        <v>2.4999999999999911E-2</v>
      </c>
      <c r="U13" s="417">
        <f t="shared" si="20"/>
        <v>9.099999999999997E-2</v>
      </c>
      <c r="V13" s="417">
        <f t="shared" si="20"/>
        <v>-8.7999999999999967E-2</v>
      </c>
      <c r="W13" s="455">
        <f t="shared" si="20"/>
        <v>1.6999999999999904E-2</v>
      </c>
      <c r="X13" s="417">
        <f t="shared" si="20"/>
        <v>-4.7000000000000042E-2</v>
      </c>
      <c r="Y13" s="417">
        <f t="shared" si="20"/>
        <v>8.0999999999999961E-2</v>
      </c>
      <c r="Z13" s="417">
        <f t="shared" si="20"/>
        <v>-2.6000000000000023E-2</v>
      </c>
      <c r="AA13" s="1991">
        <f t="shared" si="20"/>
        <v>-5.7000000000000002E-2</v>
      </c>
      <c r="AB13" s="1992">
        <f t="shared" ref="AB13:AN13" si="21">AB269</f>
        <v>-1.4999999999999999E-2</v>
      </c>
      <c r="AC13" s="1991">
        <f t="shared" si="21"/>
        <v>-2.1000000000000001E-2</v>
      </c>
      <c r="AD13" s="1991">
        <f t="shared" si="21"/>
        <v>9.6000000000000002E-2</v>
      </c>
      <c r="AE13" s="1991">
        <f t="shared" ref="AE13" si="22">AE269</f>
        <v>2E-3</v>
      </c>
      <c r="AF13" s="1991">
        <f t="shared" si="21"/>
        <v>6.0999999999999999E-2</v>
      </c>
      <c r="AG13" s="1992">
        <f t="shared" si="21"/>
        <v>3.5999999999999997E-2</v>
      </c>
      <c r="AH13" s="1991">
        <f t="shared" ref="AH13:AL13" si="23">AH269</f>
        <v>2.5000000000000001E-2</v>
      </c>
      <c r="AI13" s="1991">
        <f t="shared" si="23"/>
        <v>1.4999999999999999E-2</v>
      </c>
      <c r="AJ13" s="1991">
        <f t="shared" si="23"/>
        <v>4.4999999999999998E-2</v>
      </c>
      <c r="AK13" s="1991">
        <f t="shared" si="23"/>
        <v>0.02</v>
      </c>
      <c r="AL13" s="1992">
        <f t="shared" si="23"/>
        <v>2.5540816099760555E-2</v>
      </c>
      <c r="AM13" s="455">
        <f t="shared" si="21"/>
        <v>1.4999999999999999E-2</v>
      </c>
      <c r="AN13" s="455">
        <f t="shared" si="21"/>
        <v>-0.03</v>
      </c>
    </row>
    <row r="14" spans="1:46">
      <c r="A14" s="2022" t="s">
        <v>1688</v>
      </c>
      <c r="B14" s="1395">
        <f>B285</f>
        <v>9.2999999999999972E-2</v>
      </c>
      <c r="C14" s="1395">
        <f t="shared" ref="C14:K14" si="24">C285</f>
        <v>0.10765333655084919</v>
      </c>
      <c r="D14" s="441">
        <f t="shared" si="24"/>
        <v>0.1160000000000001</v>
      </c>
      <c r="E14" s="441">
        <f t="shared" si="24"/>
        <v>0.18599999999999994</v>
      </c>
      <c r="F14" s="612">
        <f t="shared" si="24"/>
        <v>6.2999999999999945E-2</v>
      </c>
      <c r="G14" s="612">
        <f t="shared" si="24"/>
        <v>3.499999999999992E-2</v>
      </c>
      <c r="H14" s="456">
        <f t="shared" si="24"/>
        <v>-6.231014919235367E-2</v>
      </c>
      <c r="I14" s="441">
        <f t="shared" si="24"/>
        <v>5.206064624357909E-3</v>
      </c>
      <c r="J14" s="441">
        <f t="shared" si="24"/>
        <v>-4.8651755827657461E-2</v>
      </c>
      <c r="K14" s="612">
        <f t="shared" si="24"/>
        <v>-7.6025400552350075E-2</v>
      </c>
      <c r="L14" s="612">
        <f t="shared" ref="L14:R14" si="25">L285</f>
        <v>8.6000000000000076E-2</v>
      </c>
      <c r="M14" s="456">
        <f t="shared" si="25"/>
        <v>-3.6272514619235641E-2</v>
      </c>
      <c r="N14" s="441">
        <f t="shared" si="25"/>
        <v>8.6999999999999966E-2</v>
      </c>
      <c r="O14" s="441">
        <f t="shared" si="25"/>
        <v>4.8000000000000043E-2</v>
      </c>
      <c r="P14" s="612">
        <f t="shared" si="25"/>
        <v>3.400000000000003E-2</v>
      </c>
      <c r="Q14" s="612">
        <f t="shared" si="25"/>
        <v>2.8999999999999915E-2</v>
      </c>
      <c r="R14" s="456">
        <f t="shared" si="25"/>
        <v>4.8999999999999932E-2</v>
      </c>
      <c r="S14" s="612">
        <f t="shared" ref="S14:AA14" si="26">S285</f>
        <v>0.10099999999999998</v>
      </c>
      <c r="T14" s="612">
        <f t="shared" si="26"/>
        <v>9.4000000000000083E-2</v>
      </c>
      <c r="U14" s="612">
        <f t="shared" si="26"/>
        <v>0.10200000000000009</v>
      </c>
      <c r="V14" s="612">
        <f t="shared" si="26"/>
        <v>6.6999999999999948E-2</v>
      </c>
      <c r="W14" s="456">
        <f t="shared" si="26"/>
        <v>9.2999999999999972E-2</v>
      </c>
      <c r="X14" s="612">
        <f t="shared" si="26"/>
        <v>7.0999999999999952E-2</v>
      </c>
      <c r="Y14" s="612">
        <f t="shared" si="26"/>
        <v>3.6000000000000032E-2</v>
      </c>
      <c r="Z14" s="612">
        <f t="shared" si="26"/>
        <v>6.0000000000000053E-3</v>
      </c>
      <c r="AA14" s="3594">
        <f t="shared" si="26"/>
        <v>1.4999999999999999E-2</v>
      </c>
      <c r="AB14" s="2852">
        <f t="shared" ref="AB14:AN14" si="27">AB285</f>
        <v>3.5000000000000003E-2</v>
      </c>
      <c r="AC14" s="3594">
        <f t="shared" si="27"/>
        <v>5.5E-2</v>
      </c>
      <c r="AD14" s="3594">
        <f t="shared" si="27"/>
        <v>6.9000000000000006E-2</v>
      </c>
      <c r="AE14" s="3594">
        <f t="shared" ref="AE14" si="28">AE285</f>
        <v>8.3000000000000004E-2</v>
      </c>
      <c r="AF14" s="3594">
        <f t="shared" si="27"/>
        <v>7.5999999999999998E-2</v>
      </c>
      <c r="AG14" s="2852">
        <f t="shared" si="27"/>
        <v>7.2999999999999995E-2</v>
      </c>
      <c r="AH14" s="3594">
        <f t="shared" ref="AH14:AL14" si="29">AH285</f>
        <v>0.06</v>
      </c>
      <c r="AI14" s="3594">
        <f t="shared" si="29"/>
        <v>0.06</v>
      </c>
      <c r="AJ14" s="3594">
        <f t="shared" si="29"/>
        <v>0.06</v>
      </c>
      <c r="AK14" s="3594">
        <f t="shared" si="29"/>
        <v>0.06</v>
      </c>
      <c r="AL14" s="2852">
        <f t="shared" si="29"/>
        <v>5.9999999999999831E-2</v>
      </c>
      <c r="AM14" s="456">
        <f t="shared" si="27"/>
        <v>0.04</v>
      </c>
      <c r="AN14" s="456">
        <f t="shared" si="27"/>
        <v>-0.02</v>
      </c>
    </row>
    <row r="15" spans="1:46" s="130" customFormat="1">
      <c r="A15" s="507" t="s">
        <v>788</v>
      </c>
      <c r="B15" s="903">
        <f>B215</f>
        <v>5.8000000000000003E-2</v>
      </c>
      <c r="C15" s="903">
        <f t="shared" ref="C15:K15" si="30">C215</f>
        <v>5.8999999999999997E-2</v>
      </c>
      <c r="D15" s="730">
        <f t="shared" si="30"/>
        <v>6.4000000000000001E-2</v>
      </c>
      <c r="E15" s="730">
        <f t="shared" si="30"/>
        <v>6.7000000000000004E-2</v>
      </c>
      <c r="F15" s="730">
        <f t="shared" si="30"/>
        <v>4.8000000000000001E-2</v>
      </c>
      <c r="G15" s="730">
        <f t="shared" si="30"/>
        <v>5.5E-2</v>
      </c>
      <c r="H15" s="903">
        <f t="shared" si="30"/>
        <v>5.7000000000000002E-2</v>
      </c>
      <c r="I15" s="730">
        <f t="shared" si="30"/>
        <v>5.3999999999999999E-2</v>
      </c>
      <c r="J15" s="730">
        <f t="shared" si="30"/>
        <v>5.3999999999999999E-2</v>
      </c>
      <c r="K15" s="730">
        <f t="shared" si="30"/>
        <v>5.0999999999999997E-2</v>
      </c>
      <c r="L15" s="730">
        <f t="shared" ref="L15:R15" si="31">L215</f>
        <v>4.7E-2</v>
      </c>
      <c r="M15" s="903">
        <f t="shared" si="31"/>
        <v>5.1999999999999998E-2</v>
      </c>
      <c r="N15" s="730">
        <f t="shared" si="31"/>
        <v>6.6000000000000003E-2</v>
      </c>
      <c r="O15" s="730">
        <f t="shared" si="31"/>
        <v>6.7000000000000004E-2</v>
      </c>
      <c r="P15" s="730">
        <f t="shared" si="31"/>
        <v>8.4000000000000005E-2</v>
      </c>
      <c r="Q15" s="730">
        <f t="shared" si="31"/>
        <v>6.6000000000000003E-2</v>
      </c>
      <c r="R15" s="903">
        <f t="shared" si="31"/>
        <v>7.0999999999999994E-2</v>
      </c>
      <c r="S15" s="730">
        <f t="shared" ref="S15:AD15" si="32">S215</f>
        <v>6.6000000000000003E-2</v>
      </c>
      <c r="T15" s="730">
        <f t="shared" si="32"/>
        <v>5.1999999999999998E-2</v>
      </c>
      <c r="U15" s="730">
        <f t="shared" si="32"/>
        <v>5.8000000000000003E-2</v>
      </c>
      <c r="V15" s="730">
        <f t="shared" si="32"/>
        <v>3.6999999999999998E-2</v>
      </c>
      <c r="W15" s="903">
        <f t="shared" si="32"/>
        <v>5.3999999999999999E-2</v>
      </c>
      <c r="X15" s="2814">
        <f t="shared" si="32"/>
        <v>2.1000000000000001E-2</v>
      </c>
      <c r="Y15" s="2814">
        <f t="shared" si="32"/>
        <v>2.9000000000000001E-2</v>
      </c>
      <c r="Z15" s="2814">
        <f t="shared" si="32"/>
        <v>1.2999999999999999E-2</v>
      </c>
      <c r="AA15" s="730">
        <f t="shared" si="32"/>
        <v>8.9999999999999993E-3</v>
      </c>
      <c r="AB15" s="903">
        <f t="shared" si="32"/>
        <v>1.7999999999999999E-2</v>
      </c>
      <c r="AC15" s="730">
        <f t="shared" si="32"/>
        <v>0.03</v>
      </c>
      <c r="AD15" s="730">
        <f t="shared" si="32"/>
        <v>1.7999999999999999E-2</v>
      </c>
      <c r="AE15" s="730">
        <f t="shared" ref="AE15:AG15" si="33">AE215</f>
        <v>1.2999999999999999E-2</v>
      </c>
      <c r="AF15" s="730">
        <f t="shared" si="33"/>
        <v>3.7999999999999999E-2</v>
      </c>
      <c r="AG15" s="903">
        <f t="shared" si="33"/>
        <v>2.5000000000000001E-2</v>
      </c>
      <c r="AH15" s="1392">
        <f t="shared" ref="AH15:AL15" si="34">AH10*AH26+AH11*AH27+AH12*AH28+AH13*AH29+AH14*AH30</f>
        <v>2.0277252468729544E-2</v>
      </c>
      <c r="AI15" s="1392">
        <f t="shared" si="34"/>
        <v>2.5537626903077044E-2</v>
      </c>
      <c r="AJ15" s="1392">
        <f t="shared" si="34"/>
        <v>2.6335441171213739E-2</v>
      </c>
      <c r="AK15" s="1392">
        <f t="shared" si="34"/>
        <v>2.1913834049441375E-2</v>
      </c>
      <c r="AL15" s="1393">
        <f t="shared" si="34"/>
        <v>2.3457210246139646E-2</v>
      </c>
      <c r="AM15" s="1393">
        <f t="shared" ref="AM15:AN15" si="35">AM10*AM26+AM11*AM27+AM12*AM28+AM13*AM29+AM14*AM30</f>
        <v>1.5937306656940566E-2</v>
      </c>
      <c r="AN15" s="1393">
        <f t="shared" si="35"/>
        <v>-2.9226213866005338E-2</v>
      </c>
    </row>
    <row r="16" spans="1:46" s="130" customFormat="1">
      <c r="A16" s="648"/>
      <c r="B16" s="138"/>
      <c r="C16" s="446"/>
      <c r="D16" s="246"/>
      <c r="E16" s="246"/>
      <c r="F16" s="246"/>
      <c r="G16" s="246"/>
      <c r="H16" s="446"/>
      <c r="I16" s="246"/>
      <c r="J16" s="246"/>
      <c r="K16" s="246"/>
      <c r="L16" s="246"/>
      <c r="M16" s="446"/>
      <c r="N16" s="246"/>
      <c r="O16" s="246"/>
      <c r="P16" s="246"/>
      <c r="Q16" s="246"/>
      <c r="R16" s="446"/>
      <c r="S16" s="1336"/>
      <c r="T16" s="246"/>
      <c r="U16" s="246"/>
      <c r="V16" s="1338"/>
      <c r="W16" s="138"/>
      <c r="X16" s="394"/>
      <c r="Y16" s="135"/>
      <c r="Z16" s="417"/>
      <c r="AA16" s="655"/>
      <c r="AB16" s="455"/>
      <c r="AC16" s="417"/>
      <c r="AD16" s="417"/>
      <c r="AE16" s="417"/>
      <c r="AF16" s="655"/>
      <c r="AG16" s="455"/>
      <c r="AH16" s="417"/>
      <c r="AI16" s="417"/>
      <c r="AJ16" s="417"/>
      <c r="AK16" s="655"/>
      <c r="AL16" s="455"/>
      <c r="AM16" s="455"/>
      <c r="AN16" s="455"/>
    </row>
    <row r="17" spans="1:47" s="130" customFormat="1">
      <c r="A17" s="2020" t="s">
        <v>2076</v>
      </c>
      <c r="B17" s="221"/>
      <c r="C17" s="447"/>
      <c r="D17" s="440"/>
      <c r="E17" s="440"/>
      <c r="F17" s="440"/>
      <c r="G17" s="440"/>
      <c r="H17" s="447"/>
      <c r="I17" s="440"/>
      <c r="J17" s="440"/>
      <c r="K17" s="440"/>
      <c r="L17" s="440"/>
      <c r="M17" s="447"/>
      <c r="N17" s="440"/>
      <c r="O17" s="440"/>
      <c r="P17" s="440"/>
      <c r="Q17" s="440"/>
      <c r="R17" s="447"/>
      <c r="S17" s="2377"/>
      <c r="T17" s="440"/>
      <c r="U17" s="440"/>
      <c r="V17" s="2378"/>
      <c r="W17" s="221"/>
      <c r="X17" s="395"/>
      <c r="Y17" s="439"/>
      <c r="Z17" s="439"/>
      <c r="AA17" s="2495"/>
      <c r="AB17" s="221"/>
      <c r="AC17" s="439"/>
      <c r="AD17" s="439"/>
      <c r="AE17" s="439"/>
      <c r="AF17" s="2495"/>
      <c r="AG17" s="221"/>
      <c r="AH17" s="439"/>
      <c r="AI17" s="439"/>
      <c r="AJ17" s="439"/>
      <c r="AK17" s="2495"/>
      <c r="AL17" s="221"/>
      <c r="AM17" s="221"/>
      <c r="AN17" s="221"/>
    </row>
    <row r="18" spans="1:47" s="130" customFormat="1">
      <c r="A18" s="2021" t="s">
        <v>2171</v>
      </c>
      <c r="B18" s="138">
        <f>'QTR Rooms'!B907+'QTR Rooms'!B878+'QTR Rooms'!B857</f>
        <v>490856</v>
      </c>
      <c r="C18" s="138">
        <f>'QTR Rooms'!C907+'QTR Rooms'!C878+'QTR Rooms'!C857</f>
        <v>498517</v>
      </c>
      <c r="D18" s="139">
        <f>'QTR Rooms'!D907+'QTR Rooms'!D878+'QTR Rooms'!D857</f>
        <v>498053</v>
      </c>
      <c r="E18" s="139">
        <f>'QTR Rooms'!E907+'QTR Rooms'!E878+'QTR Rooms'!E857</f>
        <v>500678</v>
      </c>
      <c r="F18" s="139">
        <f>'QTR Rooms'!F907+'QTR Rooms'!F878+'QTR Rooms'!F857</f>
        <v>502866</v>
      </c>
      <c r="G18" s="139">
        <f>'QTR Rooms'!G907+'QTR Rooms'!G878+'QTR Rooms'!G857</f>
        <v>506840</v>
      </c>
      <c r="H18" s="449">
        <f>'QTR Rooms'!H907+'QTR Rooms'!H878+'QTR Rooms'!H857</f>
        <v>506840</v>
      </c>
      <c r="I18" s="139">
        <f>'QTR Rooms'!I907+'QTR Rooms'!I878+'QTR Rooms'!I857</f>
        <v>509931</v>
      </c>
      <c r="J18" s="139">
        <f>'QTR Rooms'!J907+'QTR Rooms'!J878+'QTR Rooms'!J857</f>
        <v>514825</v>
      </c>
      <c r="K18" s="139">
        <f>'QTR Rooms'!K907+'QTR Rooms'!K878+'QTR Rooms'!K857</f>
        <v>518137</v>
      </c>
      <c r="L18" s="139">
        <f>'QTR Rooms'!L907+'QTR Rooms'!L878+'QTR Rooms'!L857</f>
        <v>520741</v>
      </c>
      <c r="M18" s="449">
        <f>'QTR Rooms'!M907+'QTR Rooms'!M878+'QTR Rooms'!M857</f>
        <v>520741</v>
      </c>
      <c r="N18" s="139">
        <f>'QTR Rooms'!N907+'QTR Rooms'!N878+'QTR Rooms'!N857</f>
        <v>523358</v>
      </c>
      <c r="O18" s="139">
        <f>'QTR Rooms'!O907+'QTR Rooms'!O878+'QTR Rooms'!O857</f>
        <v>526991</v>
      </c>
      <c r="P18" s="139">
        <f>'QTR Rooms'!P907+'QTR Rooms'!P878+'QTR Rooms'!P857</f>
        <v>534441</v>
      </c>
      <c r="Q18" s="139">
        <f>'QTR Rooms'!Q907+'QTR Rooms'!Q878+'QTR Rooms'!Q857</f>
        <v>539669</v>
      </c>
      <c r="R18" s="449">
        <f>'QTR Rooms'!R907+'QTR Rooms'!R878+'QTR Rooms'!R857</f>
        <v>539669</v>
      </c>
      <c r="S18" s="139">
        <f>'QTR Rooms'!S907+'QTR Rooms'!S878+'QTR Rooms'!S857</f>
        <v>544878</v>
      </c>
      <c r="T18" s="139">
        <f>'QTR Rooms'!T907+'QTR Rooms'!T878+'QTR Rooms'!T857</f>
        <v>552126</v>
      </c>
      <c r="U18" s="139">
        <f>'QTR Rooms'!U907+'QTR Rooms'!U878+'QTR Rooms'!U857</f>
        <v>558325</v>
      </c>
      <c r="V18" s="139">
        <f>'QTR Rooms'!V907+'QTR Rooms'!V878+'QTR Rooms'!V857</f>
        <v>564350</v>
      </c>
      <c r="W18" s="449">
        <f>'QTR Rooms'!W907+'QTR Rooms'!W878+'QTR Rooms'!W857</f>
        <v>564350</v>
      </c>
      <c r="X18" s="139">
        <f>'QTR Rooms'!X907+'QTR Rooms'!X878+'QTR Rooms'!X857</f>
        <v>569086</v>
      </c>
      <c r="Y18" s="139">
        <f>'QTR Rooms'!Y907+'QTR Rooms'!Y878+'QTR Rooms'!Y857</f>
        <v>575971</v>
      </c>
      <c r="Z18" s="139">
        <f>'QTR Rooms'!Z907+'QTR Rooms'!Z878+'QTR Rooms'!Z857</f>
        <v>584788</v>
      </c>
      <c r="AA18" s="139">
        <f>'QTR Rooms'!AA907+'QTR Rooms'!AA878+'QTR Rooms'!AA857</f>
        <v>594700</v>
      </c>
      <c r="AB18" s="449">
        <f>'QTR Rooms'!AB907+'QTR Rooms'!AB878+'QTR Rooms'!AB857</f>
        <v>594700</v>
      </c>
      <c r="AC18" s="139">
        <f>'QTR Rooms'!AC907+'QTR Rooms'!AC878+'QTR Rooms'!AC857</f>
        <v>609743.06000000006</v>
      </c>
      <c r="AD18" s="139">
        <f>'QTR Rooms'!AD907+'QTR Rooms'!AD878+'QTR Rooms'!AD857</f>
        <v>611140.12539099972</v>
      </c>
      <c r="AE18" s="139">
        <f>'QTR Rooms'!AE907+'QTR Rooms'!AE878+'QTR Rooms'!AE857</f>
        <v>616685</v>
      </c>
      <c r="AF18" s="139">
        <f>'QTR Rooms'!AF907+'QTR Rooms'!AF878+'QTR Rooms'!AF857</f>
        <v>626877</v>
      </c>
      <c r="AG18" s="449">
        <f>'QTR Rooms'!AG907+'QTR Rooms'!AG878+'QTR Rooms'!AG857</f>
        <v>626877</v>
      </c>
      <c r="AH18" s="139">
        <f>'QTR Rooms'!AH907+'QTR Rooms'!AH878+'QTR Rooms'!AH857</f>
        <v>634264.88799999992</v>
      </c>
      <c r="AI18" s="139">
        <f>'QTR Rooms'!AI907+'QTR Rooms'!AI878+'QTR Rooms'!AI857</f>
        <v>645211.646374</v>
      </c>
      <c r="AJ18" s="139">
        <f>'QTR Rooms'!AJ907+'QTR Rooms'!AJ878+'QTR Rooms'!AJ857</f>
        <v>656295.23245578993</v>
      </c>
      <c r="AK18" s="139">
        <f>'QTR Rooms'!AK907+'QTR Rooms'!AK878+'QTR Rooms'!AK857</f>
        <v>669478.07703512372</v>
      </c>
      <c r="AL18" s="3973">
        <f>'QTR Rooms'!AL907+'QTR Rooms'!AL878+'QTR Rooms'!AL857</f>
        <v>669478.07703512372</v>
      </c>
      <c r="AM18" s="449">
        <f>'QTR Rooms'!AM907+'QTR Rooms'!AM878+'QTR Rooms'!AM857</f>
        <v>711535.38432860596</v>
      </c>
      <c r="AN18" s="449">
        <f>'QTR Rooms'!AN907+'QTR Rooms'!AN878+'QTR Rooms'!AN857</f>
        <v>747293.40028405003</v>
      </c>
      <c r="AU18" s="130">
        <f>AK18</f>
        <v>669478.07703512372</v>
      </c>
    </row>
    <row r="19" spans="1:47" s="130" customFormat="1">
      <c r="A19" s="2021" t="s">
        <v>208</v>
      </c>
      <c r="B19" s="138">
        <f>'QTR Rooms'!B559</f>
        <v>30271</v>
      </c>
      <c r="C19" s="138">
        <f>'QTR Rooms'!C559</f>
        <v>31133</v>
      </c>
      <c r="D19" s="139">
        <f>'QTR Rooms'!D559</f>
        <v>31378</v>
      </c>
      <c r="E19" s="139">
        <f>'QTR Rooms'!E559</f>
        <v>31676</v>
      </c>
      <c r="F19" s="139">
        <f>'QTR Rooms'!F559</f>
        <v>31660</v>
      </c>
      <c r="G19" s="139">
        <f>'QTR Rooms'!G559</f>
        <v>32583</v>
      </c>
      <c r="H19" s="450">
        <f>'QTR Rooms'!H559</f>
        <v>32583</v>
      </c>
      <c r="I19" s="139">
        <f>'QTR Rooms'!I559</f>
        <v>33091</v>
      </c>
      <c r="J19" s="139">
        <f>'QTR Rooms'!J559</f>
        <v>33111</v>
      </c>
      <c r="K19" s="139">
        <f>'QTR Rooms'!K559</f>
        <v>32755</v>
      </c>
      <c r="L19" s="139">
        <f>'QTR Rooms'!L559</f>
        <v>33423</v>
      </c>
      <c r="M19" s="450">
        <f>'QTR Rooms'!M559</f>
        <v>33423</v>
      </c>
      <c r="N19" s="139">
        <f>'QTR Rooms'!N559</f>
        <v>34326</v>
      </c>
      <c r="O19" s="139">
        <f>'QTR Rooms'!O559</f>
        <v>35152</v>
      </c>
      <c r="P19" s="139">
        <f>'QTR Rooms'!P559</f>
        <v>36155</v>
      </c>
      <c r="Q19" s="139">
        <f>'QTR Rooms'!Q559</f>
        <v>36307</v>
      </c>
      <c r="R19" s="450">
        <f>'QTR Rooms'!R559</f>
        <v>36307</v>
      </c>
      <c r="S19" s="139">
        <f>'QTR Rooms'!S559</f>
        <v>36893</v>
      </c>
      <c r="T19" s="139">
        <f>'QTR Rooms'!T559</f>
        <v>38262</v>
      </c>
      <c r="U19" s="139">
        <f>'QTR Rooms'!U559</f>
        <v>40022</v>
      </c>
      <c r="V19" s="139">
        <f>'QTR Rooms'!V559</f>
        <v>41461</v>
      </c>
      <c r="W19" s="450">
        <f>'QTR Rooms'!W559</f>
        <v>41461</v>
      </c>
      <c r="X19" s="139">
        <f>'QTR Rooms'!X559</f>
        <v>41639</v>
      </c>
      <c r="Y19" s="139">
        <f>'QTR Rooms'!Y559</f>
        <v>42077</v>
      </c>
      <c r="Z19" s="139">
        <f>'QTR Rooms'!Z559</f>
        <v>42277</v>
      </c>
      <c r="AA19" s="139">
        <f>'QTR Rooms'!AA559</f>
        <v>43283</v>
      </c>
      <c r="AB19" s="450">
        <f>'QTR Rooms'!AB559</f>
        <v>43283</v>
      </c>
      <c r="AC19" s="139">
        <f>'QTR Rooms'!AC559</f>
        <v>43376</v>
      </c>
      <c r="AD19" s="139">
        <f>'QTR Rooms'!AD559</f>
        <v>44434</v>
      </c>
      <c r="AE19" s="139">
        <f>'QTR Rooms'!AE559</f>
        <v>45403</v>
      </c>
      <c r="AF19" s="139">
        <f>'QTR Rooms'!AF559</f>
        <v>47127</v>
      </c>
      <c r="AG19" s="450">
        <f>'QTR Rooms'!AG559</f>
        <v>47127</v>
      </c>
      <c r="AH19" s="139">
        <f>'QTR Rooms'!AH559</f>
        <v>47670.695</v>
      </c>
      <c r="AI19" s="139">
        <f>'QTR Rooms'!AI559</f>
        <v>48221.000324999994</v>
      </c>
      <c r="AJ19" s="139">
        <f>'QTR Rooms'!AJ559</f>
        <v>48935.615329874992</v>
      </c>
      <c r="AK19" s="139">
        <f>'QTR Rooms'!AK559</f>
        <v>49660.949559823115</v>
      </c>
      <c r="AL19" s="2762">
        <f>'QTR Rooms'!AL559</f>
        <v>49660.949559823115</v>
      </c>
      <c r="AM19" s="450">
        <f>'QTR Rooms'!AM559</f>
        <v>52356.731042169573</v>
      </c>
      <c r="AN19" s="450">
        <f>'QTR Rooms'!AN559</f>
        <v>54598.522409812911</v>
      </c>
      <c r="AU19" s="130">
        <f t="shared" ref="AU19:AU23" si="36">AK19</f>
        <v>49660.949559823115</v>
      </c>
    </row>
    <row r="20" spans="1:47" s="130" customFormat="1">
      <c r="A20" s="2021" t="s">
        <v>2218</v>
      </c>
      <c r="B20" s="138">
        <f>'QTR Rooms'!B630</f>
        <v>47770</v>
      </c>
      <c r="C20" s="138">
        <f>'QTR Rooms'!C630</f>
        <v>52689</v>
      </c>
      <c r="D20" s="139">
        <f>'QTR Rooms'!D630</f>
        <v>53700</v>
      </c>
      <c r="E20" s="139">
        <f>'QTR Rooms'!E630</f>
        <v>54695</v>
      </c>
      <c r="F20" s="139">
        <f>'QTR Rooms'!F630</f>
        <v>55488</v>
      </c>
      <c r="G20" s="139">
        <f>'QTR Rooms'!G630</f>
        <v>56147</v>
      </c>
      <c r="H20" s="450">
        <f>'QTR Rooms'!H630</f>
        <v>56147</v>
      </c>
      <c r="I20" s="139">
        <f>'QTR Rooms'!I630</f>
        <v>56267</v>
      </c>
      <c r="J20" s="139">
        <f>'QTR Rooms'!J630</f>
        <v>57397</v>
      </c>
      <c r="K20" s="139">
        <f>'QTR Rooms'!K630</f>
        <v>58689</v>
      </c>
      <c r="L20" s="139">
        <f>'QTR Rooms'!L630</f>
        <v>58716</v>
      </c>
      <c r="M20" s="450">
        <f>'QTR Rooms'!M630</f>
        <v>58716</v>
      </c>
      <c r="N20" s="139">
        <f>'QTR Rooms'!N630</f>
        <v>61490</v>
      </c>
      <c r="O20" s="139">
        <f>'QTR Rooms'!O630</f>
        <v>63122</v>
      </c>
      <c r="P20" s="139">
        <f>'QTR Rooms'!P630</f>
        <v>64353</v>
      </c>
      <c r="Q20" s="139">
        <f>'QTR Rooms'!Q630</f>
        <v>66105</v>
      </c>
      <c r="R20" s="450">
        <f>'QTR Rooms'!R630</f>
        <v>66105</v>
      </c>
      <c r="S20" s="139">
        <f>'QTR Rooms'!S630</f>
        <v>66535</v>
      </c>
      <c r="T20" s="139">
        <f>'QTR Rooms'!T630</f>
        <v>68197</v>
      </c>
      <c r="U20" s="139">
        <f>'QTR Rooms'!U630</f>
        <v>69994</v>
      </c>
      <c r="V20" s="139">
        <f>'QTR Rooms'!V630</f>
        <v>72296</v>
      </c>
      <c r="W20" s="450">
        <f>'QTR Rooms'!W630</f>
        <v>72296</v>
      </c>
      <c r="X20" s="139">
        <f>'QTR Rooms'!X630</f>
        <v>72776</v>
      </c>
      <c r="Y20" s="139">
        <f>'QTR Rooms'!Y630</f>
        <v>73985</v>
      </c>
      <c r="Z20" s="139">
        <f>'QTR Rooms'!Z630</f>
        <v>75560</v>
      </c>
      <c r="AA20" s="139">
        <f>'QTR Rooms'!AA630</f>
        <v>75962</v>
      </c>
      <c r="AB20" s="450">
        <f>'QTR Rooms'!AB630</f>
        <v>75962</v>
      </c>
      <c r="AC20" s="139">
        <f>'QTR Rooms'!AC630</f>
        <v>77532</v>
      </c>
      <c r="AD20" s="139">
        <f>'QTR Rooms'!AD630</f>
        <v>78576</v>
      </c>
      <c r="AE20" s="139">
        <f>'QTR Rooms'!AE630</f>
        <v>80462</v>
      </c>
      <c r="AF20" s="139">
        <f>'QTR Rooms'!AF630</f>
        <v>81759</v>
      </c>
      <c r="AG20" s="450">
        <f>'QTR Rooms'!AG630</f>
        <v>81759</v>
      </c>
      <c r="AH20" s="139">
        <f>'QTR Rooms'!AH630</f>
        <v>82550.14</v>
      </c>
      <c r="AI20" s="139">
        <f>'QTR Rooms'!AI630</f>
        <v>83351.2641</v>
      </c>
      <c r="AJ20" s="139">
        <f>'QTR Rooms'!AJ630</f>
        <v>84354.588061499977</v>
      </c>
      <c r="AK20" s="139">
        <f>'QTR Rooms'!AK630</f>
        <v>85372.961882422489</v>
      </c>
      <c r="AL20" s="2762">
        <f>'QTR Rooms'!AL630</f>
        <v>85372.961882422489</v>
      </c>
      <c r="AM20" s="450">
        <f>'QTR Rooms'!AM630</f>
        <v>89067.581949091735</v>
      </c>
      <c r="AN20" s="450">
        <f>'QTR Rooms'!AN630</f>
        <v>92084.775526068319</v>
      </c>
      <c r="AU20" s="130">
        <f t="shared" si="36"/>
        <v>85372.961882422489</v>
      </c>
    </row>
    <row r="21" spans="1:47" s="130" customFormat="1">
      <c r="A21" s="2021" t="s">
        <v>209</v>
      </c>
      <c r="B21" s="138">
        <f>'QTR Rooms'!B701</f>
        <v>14345</v>
      </c>
      <c r="C21" s="138">
        <f>'QTR Rooms'!C701</f>
        <v>15988</v>
      </c>
      <c r="D21" s="139">
        <f>'QTR Rooms'!D701</f>
        <v>16018</v>
      </c>
      <c r="E21" s="139">
        <f>'QTR Rooms'!E701</f>
        <v>16707</v>
      </c>
      <c r="F21" s="139">
        <f>'QTR Rooms'!F701</f>
        <v>16707</v>
      </c>
      <c r="G21" s="139">
        <f>'QTR Rooms'!G701</f>
        <v>16793</v>
      </c>
      <c r="H21" s="450">
        <f>'QTR Rooms'!H701</f>
        <v>16793</v>
      </c>
      <c r="I21" s="139">
        <f>'QTR Rooms'!I701</f>
        <v>17107</v>
      </c>
      <c r="J21" s="139">
        <f>'QTR Rooms'!J701</f>
        <v>17292</v>
      </c>
      <c r="K21" s="139">
        <f>'QTR Rooms'!K701</f>
        <v>18652</v>
      </c>
      <c r="L21" s="139">
        <f>'QTR Rooms'!L701</f>
        <v>19514</v>
      </c>
      <c r="M21" s="450">
        <f>'QTR Rooms'!M701</f>
        <v>19514</v>
      </c>
      <c r="N21" s="139">
        <f>'QTR Rooms'!N701</f>
        <v>20216</v>
      </c>
      <c r="O21" s="139">
        <f>'QTR Rooms'!O701</f>
        <v>20682</v>
      </c>
      <c r="P21" s="139">
        <f>'QTR Rooms'!P701</f>
        <v>20767</v>
      </c>
      <c r="Q21" s="139">
        <f>'QTR Rooms'!Q701</f>
        <v>20783</v>
      </c>
      <c r="R21" s="450">
        <f>'QTR Rooms'!R701</f>
        <v>20783</v>
      </c>
      <c r="S21" s="139">
        <f>'QTR Rooms'!S701</f>
        <v>20583</v>
      </c>
      <c r="T21" s="139">
        <f>'QTR Rooms'!T701</f>
        <v>20806</v>
      </c>
      <c r="U21" s="139">
        <f>'QTR Rooms'!U701</f>
        <v>21095</v>
      </c>
      <c r="V21" s="139">
        <f>'QTR Rooms'!V701</f>
        <v>22209</v>
      </c>
      <c r="W21" s="450">
        <f>'QTR Rooms'!W701</f>
        <v>22209</v>
      </c>
      <c r="X21" s="139">
        <f>'QTR Rooms'!X701</f>
        <v>22309</v>
      </c>
      <c r="Y21" s="139">
        <f>'QTR Rooms'!Y701</f>
        <v>22987</v>
      </c>
      <c r="Z21" s="139">
        <f>'QTR Rooms'!Z701</f>
        <v>22990</v>
      </c>
      <c r="AA21" s="139">
        <f>'QTR Rooms'!AA701</f>
        <v>23191</v>
      </c>
      <c r="AB21" s="450">
        <f>'QTR Rooms'!AB701</f>
        <v>23191</v>
      </c>
      <c r="AC21" s="139">
        <f>'QTR Rooms'!AC701</f>
        <v>23439</v>
      </c>
      <c r="AD21" s="139">
        <f>'QTR Rooms'!AD701</f>
        <v>24279</v>
      </c>
      <c r="AE21" s="139">
        <f>'QTR Rooms'!AE701</f>
        <v>23161</v>
      </c>
      <c r="AF21" s="139">
        <f>'QTR Rooms'!AF701</f>
        <v>23036</v>
      </c>
      <c r="AG21" s="450">
        <f>'QTR Rooms'!AG701</f>
        <v>23036</v>
      </c>
      <c r="AH21" s="139">
        <f>'QTR Rooms'!AH701</f>
        <v>23333.88</v>
      </c>
      <c r="AI21" s="139">
        <f>'QTR Rooms'!AI701</f>
        <v>23636.17355</v>
      </c>
      <c r="AJ21" s="139">
        <f>'QTR Rooms'!AJ701</f>
        <v>23948.521153249996</v>
      </c>
      <c r="AK21" s="139">
        <f>'QTR Rooms'!AK701</f>
        <v>24265.553970548743</v>
      </c>
      <c r="AL21" s="2762">
        <f>'QTR Rooms'!AL701</f>
        <v>24265.553970548743</v>
      </c>
      <c r="AM21" s="450">
        <f>'QTR Rooms'!AM701</f>
        <v>25248.148937929822</v>
      </c>
      <c r="AN21" s="450">
        <f>'QTR Rooms'!AN701</f>
        <v>25945.55519410608</v>
      </c>
      <c r="AU21" s="130">
        <f t="shared" si="36"/>
        <v>24265.553970548743</v>
      </c>
    </row>
    <row r="22" spans="1:47" s="130" customFormat="1">
      <c r="A22" s="2022" t="s">
        <v>1688</v>
      </c>
      <c r="B22" s="221">
        <f>'QTR Rooms'!B772</f>
        <v>26392</v>
      </c>
      <c r="C22" s="221">
        <f>'QTR Rooms'!C772</f>
        <v>30061</v>
      </c>
      <c r="D22" s="448">
        <f>'QTR Rooms'!D772</f>
        <v>31681</v>
      </c>
      <c r="E22" s="448">
        <f>'QTR Rooms'!E772</f>
        <v>32526</v>
      </c>
      <c r="F22" s="448">
        <f>'QTR Rooms'!F772</f>
        <v>32832</v>
      </c>
      <c r="G22" s="448">
        <f>'QTR Rooms'!G772</f>
        <v>34313</v>
      </c>
      <c r="H22" s="451">
        <f>'QTR Rooms'!H772</f>
        <v>34313</v>
      </c>
      <c r="I22" s="448">
        <f>'QTR Rooms'!I772</f>
        <v>34868</v>
      </c>
      <c r="J22" s="448">
        <f>'QTR Rooms'!J772</f>
        <v>36638</v>
      </c>
      <c r="K22" s="448">
        <f>'QTR Rooms'!K772</f>
        <v>37289</v>
      </c>
      <c r="L22" s="448">
        <f>'QTR Rooms'!L772</f>
        <v>39689</v>
      </c>
      <c r="M22" s="451">
        <f>'QTR Rooms'!M772</f>
        <v>39689</v>
      </c>
      <c r="N22" s="448">
        <f>'QTR Rooms'!N772</f>
        <v>40727</v>
      </c>
      <c r="O22" s="448">
        <f>'QTR Rooms'!O772</f>
        <v>41275</v>
      </c>
      <c r="P22" s="448">
        <f>'QTR Rooms'!P772</f>
        <v>42686</v>
      </c>
      <c r="Q22" s="448">
        <f>'QTR Rooms'!Q772</f>
        <v>45404</v>
      </c>
      <c r="R22" s="451">
        <f>'QTR Rooms'!R772</f>
        <v>45404</v>
      </c>
      <c r="S22" s="448">
        <f>'QTR Rooms'!S772</f>
        <v>44994</v>
      </c>
      <c r="T22" s="448">
        <f>'QTR Rooms'!T772</f>
        <v>45552</v>
      </c>
      <c r="U22" s="448">
        <f>'QTR Rooms'!U772</f>
        <v>48486</v>
      </c>
      <c r="V22" s="448">
        <f>'QTR Rooms'!V772</f>
        <v>51034</v>
      </c>
      <c r="W22" s="451">
        <f>'QTR Rooms'!W772</f>
        <v>51034</v>
      </c>
      <c r="X22" s="448">
        <f>'QTR Rooms'!X772</f>
        <v>51536</v>
      </c>
      <c r="Y22" s="448">
        <f>'QTR Rooms'!Y772</f>
        <v>53201</v>
      </c>
      <c r="Z22" s="448">
        <f>'QTR Rooms'!Z772</f>
        <v>55657</v>
      </c>
      <c r="AA22" s="448">
        <f>'QTR Rooms'!AA772</f>
        <v>59304</v>
      </c>
      <c r="AB22" s="451">
        <f>'QTR Rooms'!AB772</f>
        <v>59304</v>
      </c>
      <c r="AC22" s="448">
        <f>'QTR Rooms'!AC772</f>
        <v>59880</v>
      </c>
      <c r="AD22" s="448">
        <f>'QTR Rooms'!AD772</f>
        <v>62795</v>
      </c>
      <c r="AE22" s="448">
        <f>'QTR Rooms'!AE772</f>
        <v>64376</v>
      </c>
      <c r="AF22" s="448">
        <f>'QTR Rooms'!AF772</f>
        <v>67837</v>
      </c>
      <c r="AG22" s="451">
        <f>'QTR Rooms'!AG772</f>
        <v>67837</v>
      </c>
      <c r="AH22" s="448">
        <f>'QTR Rooms'!AH772</f>
        <v>68752.354999999996</v>
      </c>
      <c r="AI22" s="448">
        <f>'QTR Rooms'!AI772</f>
        <v>69681.021924999979</v>
      </c>
      <c r="AJ22" s="448">
        <f>'QTR Rooms'!AJ772</f>
        <v>70665.877253874976</v>
      </c>
      <c r="AK22" s="448">
        <f>'QTR Rooms'!AK772</f>
        <v>71665.505412683109</v>
      </c>
      <c r="AL22" s="3974">
        <f>'QTR Rooms'!AL772</f>
        <v>71665.505412683109</v>
      </c>
      <c r="AM22" s="451">
        <f>'QTR Rooms'!AM772</f>
        <v>74841.286206478035</v>
      </c>
      <c r="AN22" s="451">
        <f>'QTR Rooms'!AN772</f>
        <v>77152.241903655915</v>
      </c>
      <c r="AU22" s="130">
        <f t="shared" si="36"/>
        <v>71665.505412683109</v>
      </c>
    </row>
    <row r="23" spans="1:47" s="130" customFormat="1">
      <c r="A23" s="507" t="s">
        <v>168</v>
      </c>
      <c r="B23" s="555">
        <f>SUM(B18:B22)</f>
        <v>609634</v>
      </c>
      <c r="C23" s="555">
        <f t="shared" ref="C23:AN23" si="37">SUM(C18:C22)</f>
        <v>628388</v>
      </c>
      <c r="D23" s="554">
        <f t="shared" si="37"/>
        <v>630830</v>
      </c>
      <c r="E23" s="554">
        <f t="shared" si="37"/>
        <v>636282</v>
      </c>
      <c r="F23" s="554">
        <f t="shared" si="37"/>
        <v>639553</v>
      </c>
      <c r="G23" s="554">
        <f t="shared" si="37"/>
        <v>646676</v>
      </c>
      <c r="H23" s="555">
        <f t="shared" si="37"/>
        <v>646676</v>
      </c>
      <c r="I23" s="554">
        <f t="shared" si="37"/>
        <v>651264</v>
      </c>
      <c r="J23" s="554">
        <f t="shared" si="37"/>
        <v>659263</v>
      </c>
      <c r="K23" s="554">
        <f t="shared" si="37"/>
        <v>665522</v>
      </c>
      <c r="L23" s="554">
        <f>SUM(L18:L22)</f>
        <v>672083</v>
      </c>
      <c r="M23" s="555">
        <f>SUM(M18:M22)</f>
        <v>672083</v>
      </c>
      <c r="N23" s="554">
        <f t="shared" si="37"/>
        <v>680117</v>
      </c>
      <c r="O23" s="554">
        <f t="shared" si="37"/>
        <v>687222</v>
      </c>
      <c r="P23" s="554">
        <f t="shared" si="37"/>
        <v>698402</v>
      </c>
      <c r="Q23" s="554">
        <f t="shared" si="37"/>
        <v>708268</v>
      </c>
      <c r="R23" s="555">
        <f t="shared" si="37"/>
        <v>708268</v>
      </c>
      <c r="S23" s="554">
        <f>SUM(S18:S22)</f>
        <v>713883</v>
      </c>
      <c r="T23" s="554">
        <f>SUM(T18:T22)</f>
        <v>724943</v>
      </c>
      <c r="U23" s="554">
        <f>SUM(U18:U22)</f>
        <v>737922</v>
      </c>
      <c r="V23" s="554">
        <f>SUM(V18:V22)</f>
        <v>751350</v>
      </c>
      <c r="W23" s="555">
        <f t="shared" si="37"/>
        <v>751350</v>
      </c>
      <c r="X23" s="554">
        <f t="shared" si="37"/>
        <v>757346</v>
      </c>
      <c r="Y23" s="554">
        <f t="shared" si="37"/>
        <v>768221</v>
      </c>
      <c r="Z23" s="554">
        <f t="shared" si="37"/>
        <v>781272</v>
      </c>
      <c r="AA23" s="554">
        <f t="shared" si="37"/>
        <v>796440</v>
      </c>
      <c r="AB23" s="555">
        <f t="shared" ref="AB23:AG23" si="38">SUM(AB18:AB22)</f>
        <v>796440</v>
      </c>
      <c r="AC23" s="554">
        <f t="shared" si="38"/>
        <v>813970.06</v>
      </c>
      <c r="AD23" s="554">
        <f t="shared" si="38"/>
        <v>821224.12539099972</v>
      </c>
      <c r="AE23" s="554">
        <f t="shared" si="38"/>
        <v>830087</v>
      </c>
      <c r="AF23" s="554">
        <f t="shared" si="38"/>
        <v>846636</v>
      </c>
      <c r="AG23" s="555">
        <f t="shared" si="38"/>
        <v>846636</v>
      </c>
      <c r="AH23" s="554">
        <f t="shared" ref="AH23:AL23" si="39">SUM(AH18:AH22)</f>
        <v>856571.95799999987</v>
      </c>
      <c r="AI23" s="554">
        <f t="shared" si="39"/>
        <v>870101.10627400002</v>
      </c>
      <c r="AJ23" s="554">
        <f t="shared" si="39"/>
        <v>884199.83425428998</v>
      </c>
      <c r="AK23" s="554">
        <f t="shared" si="39"/>
        <v>900443.04786060122</v>
      </c>
      <c r="AL23" s="555">
        <f t="shared" si="39"/>
        <v>900443.04786060122</v>
      </c>
      <c r="AM23" s="555">
        <f t="shared" si="37"/>
        <v>953049.13246427511</v>
      </c>
      <c r="AN23" s="555">
        <f t="shared" si="37"/>
        <v>997074.49531769322</v>
      </c>
      <c r="AU23" s="130">
        <f t="shared" si="36"/>
        <v>900443.04786060122</v>
      </c>
    </row>
    <row r="24" spans="1:47" s="130" customFormat="1">
      <c r="A24" s="648"/>
      <c r="B24" s="138"/>
      <c r="C24" s="446"/>
      <c r="D24" s="246"/>
      <c r="E24" s="246"/>
      <c r="F24" s="246"/>
      <c r="G24" s="246"/>
      <c r="H24" s="1333"/>
      <c r="I24" s="1335"/>
      <c r="J24" s="905"/>
      <c r="K24" s="905"/>
      <c r="L24" s="246"/>
      <c r="M24" s="1333"/>
      <c r="N24" s="1335"/>
      <c r="O24" s="905"/>
      <c r="P24" s="905"/>
      <c r="Q24" s="1337"/>
      <c r="R24" s="1333"/>
      <c r="S24" s="1335"/>
      <c r="T24" s="905"/>
      <c r="U24" s="905"/>
      <c r="V24" s="1337"/>
      <c r="W24" s="1333"/>
      <c r="X24" s="1335"/>
      <c r="Y24" s="905"/>
      <c r="Z24" s="905"/>
      <c r="AA24" s="1337"/>
      <c r="AB24" s="1333"/>
      <c r="AC24" s="905"/>
      <c r="AD24" s="905"/>
      <c r="AE24" s="905"/>
      <c r="AF24" s="1337"/>
      <c r="AG24" s="1333"/>
      <c r="AH24" s="905"/>
      <c r="AI24" s="905"/>
      <c r="AJ24" s="905"/>
      <c r="AK24" s="1337"/>
      <c r="AL24" s="1333"/>
      <c r="AM24" s="1333"/>
      <c r="AN24" s="1333"/>
    </row>
    <row r="25" spans="1:47" s="135" customFormat="1">
      <c r="A25" s="648" t="s">
        <v>1196</v>
      </c>
      <c r="B25" s="138"/>
      <c r="C25" s="446"/>
      <c r="D25" s="246"/>
      <c r="E25" s="246"/>
      <c r="F25" s="246"/>
      <c r="G25" s="246"/>
      <c r="H25" s="446"/>
      <c r="I25" s="1336"/>
      <c r="J25" s="246"/>
      <c r="K25" s="246"/>
      <c r="L25" s="246"/>
      <c r="M25" s="446"/>
      <c r="N25" s="1336"/>
      <c r="O25" s="246"/>
      <c r="P25" s="246"/>
      <c r="Q25" s="1338"/>
      <c r="R25" s="446"/>
      <c r="S25" s="1336"/>
      <c r="T25" s="246"/>
      <c r="U25" s="246"/>
      <c r="V25" s="1338"/>
      <c r="W25" s="446"/>
      <c r="X25" s="1336"/>
      <c r="Y25" s="246"/>
      <c r="Z25" s="246"/>
      <c r="AA25" s="1338"/>
      <c r="AB25" s="446"/>
      <c r="AC25" s="246"/>
      <c r="AD25" s="246"/>
      <c r="AE25" s="246"/>
      <c r="AF25" s="1338"/>
      <c r="AG25" s="446"/>
      <c r="AH25" s="246"/>
      <c r="AI25" s="246"/>
      <c r="AJ25" s="246"/>
      <c r="AK25" s="1338"/>
      <c r="AL25" s="446"/>
      <c r="AM25" s="446"/>
      <c r="AN25" s="446"/>
    </row>
    <row r="26" spans="1:47" s="130" customFormat="1">
      <c r="A26" s="2021" t="s">
        <v>2171</v>
      </c>
      <c r="B26" s="453">
        <f>B18/B$23</f>
        <v>0.80516506625286643</v>
      </c>
      <c r="C26" s="453">
        <f t="shared" ref="C26:V30" si="40">C18/C$23</f>
        <v>0.79332673443795876</v>
      </c>
      <c r="D26" s="365">
        <f t="shared" si="40"/>
        <v>0.78952015598497216</v>
      </c>
      <c r="E26" s="365">
        <f t="shared" si="40"/>
        <v>0.78688065983321864</v>
      </c>
      <c r="F26" s="365">
        <f t="shared" si="40"/>
        <v>0.78627729054511508</v>
      </c>
      <c r="G26" s="365">
        <f t="shared" si="40"/>
        <v>0.78376188384909906</v>
      </c>
      <c r="H26" s="453">
        <f t="shared" si="40"/>
        <v>0.78376188384909906</v>
      </c>
      <c r="I26" s="365">
        <f t="shared" si="40"/>
        <v>0.78298662293632071</v>
      </c>
      <c r="J26" s="365">
        <f t="shared" si="40"/>
        <v>0.78090989483711359</v>
      </c>
      <c r="K26" s="365">
        <f t="shared" si="40"/>
        <v>0.77854225705536406</v>
      </c>
      <c r="L26" s="365">
        <f t="shared" ref="L26:N30" si="41">L18/L$23</f>
        <v>0.77481650331878649</v>
      </c>
      <c r="M26" s="453">
        <f t="shared" si="41"/>
        <v>0.77481650331878649</v>
      </c>
      <c r="N26" s="365">
        <f t="shared" si="41"/>
        <v>0.76951171636644866</v>
      </c>
      <c r="O26" s="365">
        <f t="shared" si="40"/>
        <v>0.76684244683668445</v>
      </c>
      <c r="P26" s="365">
        <f t="shared" si="40"/>
        <v>0.76523406290359997</v>
      </c>
      <c r="Q26" s="365">
        <f t="shared" si="40"/>
        <v>0.76195592628778941</v>
      </c>
      <c r="R26" s="453">
        <f t="shared" si="40"/>
        <v>0.76195592628778941</v>
      </c>
      <c r="S26" s="365">
        <f t="shared" si="40"/>
        <v>0.7632595257206013</v>
      </c>
      <c r="T26" s="365">
        <f t="shared" ref="T26:AB26" si="42">T18/T$23</f>
        <v>0.76161298198617</v>
      </c>
      <c r="U26" s="365">
        <f t="shared" si="42"/>
        <v>0.75661790812579111</v>
      </c>
      <c r="V26" s="365">
        <f t="shared" si="42"/>
        <v>0.75111466027816598</v>
      </c>
      <c r="W26" s="453">
        <f t="shared" si="42"/>
        <v>0.75111466027816598</v>
      </c>
      <c r="X26" s="365">
        <f t="shared" si="42"/>
        <v>0.75142141108555405</v>
      </c>
      <c r="Y26" s="365">
        <f t="shared" si="42"/>
        <v>0.74974649222033762</v>
      </c>
      <c r="Z26" s="365">
        <f t="shared" si="42"/>
        <v>0.74850756202705326</v>
      </c>
      <c r="AA26" s="365">
        <f t="shared" si="42"/>
        <v>0.7466978052332881</v>
      </c>
      <c r="AB26" s="453">
        <f t="shared" si="42"/>
        <v>0.7466978052332881</v>
      </c>
      <c r="AC26" s="365">
        <f t="shared" ref="AC26:AG30" si="43">AC18/AC$23</f>
        <v>0.74909765108559401</v>
      </c>
      <c r="AD26" s="365">
        <f t="shared" si="43"/>
        <v>0.74418189443719129</v>
      </c>
      <c r="AE26" s="365">
        <f t="shared" si="43"/>
        <v>0.74291610397464358</v>
      </c>
      <c r="AF26" s="365">
        <f t="shared" si="43"/>
        <v>0.74043272433489715</v>
      </c>
      <c r="AG26" s="453">
        <f t="shared" si="43"/>
        <v>0.74043272433489715</v>
      </c>
      <c r="AH26" s="365">
        <f t="shared" ref="AH26:AL26" si="44">AH18/AH$23</f>
        <v>0.7404688912312023</v>
      </c>
      <c r="AI26" s="365">
        <f t="shared" si="44"/>
        <v>0.74153640504718432</v>
      </c>
      <c r="AJ26" s="365">
        <f t="shared" si="44"/>
        <v>0.74224763116958892</v>
      </c>
      <c r="AK26" s="365">
        <f t="shared" si="44"/>
        <v>0.74349852400522565</v>
      </c>
      <c r="AL26" s="453">
        <f t="shared" si="44"/>
        <v>0.74349852400522565</v>
      </c>
      <c r="AM26" s="453">
        <f t="shared" ref="AM26:AN30" si="45">AM18/AM$23</f>
        <v>0.74658835530210998</v>
      </c>
      <c r="AN26" s="453">
        <f t="shared" si="45"/>
        <v>0.74948602515997909</v>
      </c>
    </row>
    <row r="27" spans="1:47" s="130" customFormat="1">
      <c r="A27" s="2021" t="s">
        <v>208</v>
      </c>
      <c r="B27" s="453">
        <f>B19/B$23</f>
        <v>4.9654382793610591E-2</v>
      </c>
      <c r="C27" s="453">
        <f t="shared" ref="C27:Q27" si="46">C19/C$23</f>
        <v>4.9544230634576088E-2</v>
      </c>
      <c r="D27" s="365">
        <f t="shared" si="46"/>
        <v>4.9740817652933436E-2</v>
      </c>
      <c r="E27" s="365">
        <f t="shared" si="46"/>
        <v>4.9782957870881148E-2</v>
      </c>
      <c r="F27" s="365">
        <f t="shared" si="46"/>
        <v>4.9503324978539702E-2</v>
      </c>
      <c r="G27" s="365">
        <f t="shared" si="46"/>
        <v>5.0385355262913732E-2</v>
      </c>
      <c r="H27" s="453">
        <f t="shared" si="46"/>
        <v>5.0385355262913732E-2</v>
      </c>
      <c r="I27" s="365">
        <f t="shared" si="46"/>
        <v>5.0810424036949686E-2</v>
      </c>
      <c r="J27" s="365">
        <f t="shared" si="46"/>
        <v>5.02242655814144E-2</v>
      </c>
      <c r="K27" s="365">
        <f t="shared" si="46"/>
        <v>4.921700559861282E-2</v>
      </c>
      <c r="L27" s="365">
        <f t="shared" si="41"/>
        <v>4.9730464838420252E-2</v>
      </c>
      <c r="M27" s="453">
        <f t="shared" si="41"/>
        <v>4.9730464838420252E-2</v>
      </c>
      <c r="N27" s="365">
        <f t="shared" si="41"/>
        <v>5.0470727830652665E-2</v>
      </c>
      <c r="O27" s="365">
        <f t="shared" si="46"/>
        <v>5.115086536810521E-2</v>
      </c>
      <c r="P27" s="365">
        <f t="shared" si="46"/>
        <v>5.1768179358020167E-2</v>
      </c>
      <c r="Q27" s="365">
        <f t="shared" si="46"/>
        <v>5.1261669311616506E-2</v>
      </c>
      <c r="R27" s="453">
        <f t="shared" si="40"/>
        <v>5.1261669311616506E-2</v>
      </c>
      <c r="S27" s="365">
        <f t="shared" si="40"/>
        <v>5.1679336810093533E-2</v>
      </c>
      <c r="T27" s="365">
        <f t="shared" si="40"/>
        <v>5.2779321960485168E-2</v>
      </c>
      <c r="U27" s="365">
        <f t="shared" si="40"/>
        <v>5.4236084572624209E-2</v>
      </c>
      <c r="V27" s="365">
        <f t="shared" si="40"/>
        <v>5.5182005723031877E-2</v>
      </c>
      <c r="W27" s="453">
        <f t="shared" ref="W27:AB30" si="47">W19/W$23</f>
        <v>5.5182005723031877E-2</v>
      </c>
      <c r="X27" s="365">
        <f t="shared" si="47"/>
        <v>5.4980154381220739E-2</v>
      </c>
      <c r="Y27" s="365">
        <f t="shared" si="47"/>
        <v>5.4771999203354245E-2</v>
      </c>
      <c r="Z27" s="365">
        <f t="shared" si="47"/>
        <v>5.4113036176901261E-2</v>
      </c>
      <c r="AA27" s="365">
        <f t="shared" si="47"/>
        <v>5.4345587866003714E-2</v>
      </c>
      <c r="AB27" s="453">
        <f t="shared" si="47"/>
        <v>5.4345587866003714E-2</v>
      </c>
      <c r="AC27" s="365">
        <f t="shared" si="43"/>
        <v>5.3289429343383952E-2</v>
      </c>
      <c r="AD27" s="365">
        <f t="shared" si="43"/>
        <v>5.4107031961395637E-2</v>
      </c>
      <c r="AE27" s="365">
        <f t="shared" si="43"/>
        <v>5.4696676372476619E-2</v>
      </c>
      <c r="AF27" s="365">
        <f t="shared" si="43"/>
        <v>5.5663827193740877E-2</v>
      </c>
      <c r="AG27" s="453">
        <f t="shared" si="43"/>
        <v>5.5663827193740877E-2</v>
      </c>
      <c r="AH27" s="365">
        <f t="shared" ref="AH27:AL27" si="48">AH19/AH$23</f>
        <v>5.5652878377323682E-2</v>
      </c>
      <c r="AI27" s="365">
        <f t="shared" si="48"/>
        <v>5.5419996569703145E-2</v>
      </c>
      <c r="AJ27" s="365">
        <f t="shared" si="48"/>
        <v>5.5344519908382427E-2</v>
      </c>
      <c r="AK27" s="365">
        <f t="shared" si="48"/>
        <v>5.5151683027388085E-2</v>
      </c>
      <c r="AL27" s="453">
        <f t="shared" si="48"/>
        <v>5.5151683027388085E-2</v>
      </c>
      <c r="AM27" s="453">
        <f t="shared" si="45"/>
        <v>5.4936025078572912E-2</v>
      </c>
      <c r="AN27" s="453">
        <f t="shared" si="45"/>
        <v>5.4758719299520781E-2</v>
      </c>
    </row>
    <row r="28" spans="1:47" s="130" customFormat="1">
      <c r="A28" s="2021" t="s">
        <v>2218</v>
      </c>
      <c r="B28" s="453">
        <f>B20/B$23</f>
        <v>7.8358490504138553E-2</v>
      </c>
      <c r="C28" s="453">
        <f t="shared" si="40"/>
        <v>8.3847877426048878E-2</v>
      </c>
      <c r="D28" s="365">
        <f t="shared" si="40"/>
        <v>8.5125945183329901E-2</v>
      </c>
      <c r="E28" s="365">
        <f t="shared" si="40"/>
        <v>8.5960313194464094E-2</v>
      </c>
      <c r="F28" s="365">
        <f t="shared" si="40"/>
        <v>8.6760596854365477E-2</v>
      </c>
      <c r="G28" s="365">
        <f t="shared" si="40"/>
        <v>8.6824004601995436E-2</v>
      </c>
      <c r="H28" s="453">
        <f t="shared" si="40"/>
        <v>8.6824004601995436E-2</v>
      </c>
      <c r="I28" s="365">
        <f t="shared" si="40"/>
        <v>8.6396607213050314E-2</v>
      </c>
      <c r="J28" s="365">
        <f t="shared" si="40"/>
        <v>8.7062371162950139E-2</v>
      </c>
      <c r="K28" s="365">
        <f t="shared" si="40"/>
        <v>8.8184913496473449E-2</v>
      </c>
      <c r="L28" s="365">
        <f t="shared" si="41"/>
        <v>8.73642094800791E-2</v>
      </c>
      <c r="M28" s="453">
        <f t="shared" si="41"/>
        <v>8.73642094800791E-2</v>
      </c>
      <c r="N28" s="365">
        <f t="shared" si="41"/>
        <v>9.0410914592636268E-2</v>
      </c>
      <c r="O28" s="365">
        <f t="shared" si="40"/>
        <v>9.1850959369752419E-2</v>
      </c>
      <c r="P28" s="365">
        <f t="shared" si="40"/>
        <v>9.2143206920942383E-2</v>
      </c>
      <c r="Q28" s="365">
        <f t="shared" si="40"/>
        <v>9.3333314508067561E-2</v>
      </c>
      <c r="R28" s="453">
        <f t="shared" si="40"/>
        <v>9.3333314508067561E-2</v>
      </c>
      <c r="S28" s="365">
        <f t="shared" si="40"/>
        <v>9.3201547032216767E-2</v>
      </c>
      <c r="T28" s="365">
        <f t="shared" ref="T28:V30" si="49">T20/T$23</f>
        <v>9.4072223609304451E-2</v>
      </c>
      <c r="U28" s="365">
        <f t="shared" si="49"/>
        <v>9.4852843525467467E-2</v>
      </c>
      <c r="V28" s="365">
        <f t="shared" si="49"/>
        <v>9.6221468024223059E-2</v>
      </c>
      <c r="W28" s="453">
        <f t="shared" si="47"/>
        <v>9.6221468024223059E-2</v>
      </c>
      <c r="X28" s="365">
        <f t="shared" si="47"/>
        <v>9.6093463225527032E-2</v>
      </c>
      <c r="Y28" s="365">
        <f t="shared" si="47"/>
        <v>9.6306922096636258E-2</v>
      </c>
      <c r="Z28" s="365">
        <f t="shared" si="47"/>
        <v>9.6714076531604867E-2</v>
      </c>
      <c r="AA28" s="365">
        <f t="shared" si="47"/>
        <v>9.5376927326603383E-2</v>
      </c>
      <c r="AB28" s="453">
        <f t="shared" si="47"/>
        <v>9.5376927326603383E-2</v>
      </c>
      <c r="AC28" s="365">
        <f t="shared" si="43"/>
        <v>9.5251660730617041E-2</v>
      </c>
      <c r="AD28" s="365">
        <f t="shared" si="43"/>
        <v>9.568155339151603E-2</v>
      </c>
      <c r="AE28" s="365">
        <f t="shared" si="43"/>
        <v>9.6932008331656799E-2</v>
      </c>
      <c r="AF28" s="365">
        <f t="shared" si="43"/>
        <v>9.6569245815202751E-2</v>
      </c>
      <c r="AG28" s="453">
        <f t="shared" si="43"/>
        <v>9.6569245815202751E-2</v>
      </c>
      <c r="AH28" s="365">
        <f t="shared" ref="AH28:AL28" si="50">AH20/AH$23</f>
        <v>9.6372685597536228E-2</v>
      </c>
      <c r="AI28" s="365">
        <f t="shared" si="50"/>
        <v>9.5794917968708093E-2</v>
      </c>
      <c r="AJ28" s="365">
        <f t="shared" si="50"/>
        <v>9.540217583578528E-2</v>
      </c>
      <c r="AK28" s="365">
        <f t="shared" si="50"/>
        <v>9.4812172835654115E-2</v>
      </c>
      <c r="AL28" s="453">
        <f t="shared" si="50"/>
        <v>9.4812172835654115E-2</v>
      </c>
      <c r="AM28" s="453">
        <f t="shared" si="45"/>
        <v>9.345539376211584E-2</v>
      </c>
      <c r="AN28" s="453">
        <f t="shared" si="45"/>
        <v>9.2354960395138561E-2</v>
      </c>
    </row>
    <row r="29" spans="1:47" s="130" customFormat="1">
      <c r="A29" s="2021" t="s">
        <v>209</v>
      </c>
      <c r="B29" s="453">
        <f>B21/B$23</f>
        <v>2.3530511749672755E-2</v>
      </c>
      <c r="C29" s="453">
        <f t="shared" si="40"/>
        <v>2.5442879240214645E-2</v>
      </c>
      <c r="D29" s="365">
        <f t="shared" si="40"/>
        <v>2.5391943946863657E-2</v>
      </c>
      <c r="E29" s="365">
        <f t="shared" si="40"/>
        <v>2.6257225569794526E-2</v>
      </c>
      <c r="F29" s="365">
        <f t="shared" si="40"/>
        <v>2.6122932735832684E-2</v>
      </c>
      <c r="G29" s="365">
        <f t="shared" si="40"/>
        <v>2.5968181902529242E-2</v>
      </c>
      <c r="H29" s="453">
        <f t="shared" si="40"/>
        <v>2.5968181902529242E-2</v>
      </c>
      <c r="I29" s="365">
        <f t="shared" si="40"/>
        <v>2.6267381584119495E-2</v>
      </c>
      <c r="J29" s="365">
        <f t="shared" si="40"/>
        <v>2.6229289373133333E-2</v>
      </c>
      <c r="K29" s="365">
        <f t="shared" si="40"/>
        <v>2.8026120849498588E-2</v>
      </c>
      <c r="L29" s="365">
        <f t="shared" si="41"/>
        <v>2.9035104295154022E-2</v>
      </c>
      <c r="M29" s="453">
        <f t="shared" si="41"/>
        <v>2.9035104295154022E-2</v>
      </c>
      <c r="N29" s="365">
        <f t="shared" si="41"/>
        <v>2.9724297437058622E-2</v>
      </c>
      <c r="O29" s="365">
        <f t="shared" si="40"/>
        <v>3.0095078446266271E-2</v>
      </c>
      <c r="P29" s="365">
        <f t="shared" si="40"/>
        <v>2.9735023668317102E-2</v>
      </c>
      <c r="Q29" s="365">
        <f t="shared" si="40"/>
        <v>2.9343412380624285E-2</v>
      </c>
      <c r="R29" s="453">
        <f t="shared" si="40"/>
        <v>2.9343412380624285E-2</v>
      </c>
      <c r="S29" s="365">
        <f t="shared" si="40"/>
        <v>2.8832455738545391E-2</v>
      </c>
      <c r="T29" s="365">
        <f t="shared" si="49"/>
        <v>2.8700187463014334E-2</v>
      </c>
      <c r="U29" s="365">
        <f t="shared" si="49"/>
        <v>2.8587032233759125E-2</v>
      </c>
      <c r="V29" s="365">
        <f t="shared" si="49"/>
        <v>2.9558794170493112E-2</v>
      </c>
      <c r="W29" s="453">
        <f t="shared" si="47"/>
        <v>2.9558794170493112E-2</v>
      </c>
      <c r="X29" s="365">
        <f t="shared" si="47"/>
        <v>2.9456813662447547E-2</v>
      </c>
      <c r="Y29" s="365">
        <f t="shared" si="47"/>
        <v>2.992237910705383E-2</v>
      </c>
      <c r="Z29" s="365">
        <f t="shared" si="47"/>
        <v>2.9426371353382687E-2</v>
      </c>
      <c r="AA29" s="365">
        <f t="shared" si="47"/>
        <v>2.9118326553161569E-2</v>
      </c>
      <c r="AB29" s="453">
        <f t="shared" si="47"/>
        <v>2.9118326553161569E-2</v>
      </c>
      <c r="AC29" s="365">
        <f t="shared" si="43"/>
        <v>2.8795899446227787E-2</v>
      </c>
      <c r="AD29" s="365">
        <f t="shared" si="43"/>
        <v>2.9564401786711183E-2</v>
      </c>
      <c r="AE29" s="365">
        <f t="shared" si="43"/>
        <v>2.7901894620684337E-2</v>
      </c>
      <c r="AF29" s="365">
        <f t="shared" si="43"/>
        <v>2.7208859533494913E-2</v>
      </c>
      <c r="AG29" s="453">
        <f t="shared" si="43"/>
        <v>2.7208859533494913E-2</v>
      </c>
      <c r="AH29" s="365">
        <f t="shared" ref="AH29:AL29" si="51">AH21/AH$23</f>
        <v>2.7241003843368878E-2</v>
      </c>
      <c r="AI29" s="365">
        <f t="shared" si="51"/>
        <v>2.7164858634896195E-2</v>
      </c>
      <c r="AJ29" s="365">
        <f t="shared" si="51"/>
        <v>2.708496453570083E-2</v>
      </c>
      <c r="AK29" s="365">
        <f t="shared" si="51"/>
        <v>2.6948460569718703E-2</v>
      </c>
      <c r="AL29" s="453">
        <f t="shared" si="51"/>
        <v>2.6948460569718703E-2</v>
      </c>
      <c r="AM29" s="453">
        <f t="shared" si="45"/>
        <v>2.6491969907832893E-2</v>
      </c>
      <c r="AN29" s="453">
        <f t="shared" si="45"/>
        <v>2.6021681745895194E-2</v>
      </c>
    </row>
    <row r="30" spans="1:47" s="130" customFormat="1">
      <c r="A30" s="2021" t="s">
        <v>1688</v>
      </c>
      <c r="B30" s="653">
        <f>B22/B$23</f>
        <v>4.3291548699711628E-2</v>
      </c>
      <c r="C30" s="653">
        <f t="shared" si="40"/>
        <v>4.7838278261201676E-2</v>
      </c>
      <c r="D30" s="652">
        <f t="shared" si="40"/>
        <v>5.0221137231900831E-2</v>
      </c>
      <c r="E30" s="652">
        <f t="shared" si="40"/>
        <v>5.1118843531641631E-2</v>
      </c>
      <c r="F30" s="652">
        <f t="shared" si="40"/>
        <v>5.1335854886147045E-2</v>
      </c>
      <c r="G30" s="652">
        <f t="shared" si="40"/>
        <v>5.3060574383462504E-2</v>
      </c>
      <c r="H30" s="653">
        <f t="shared" si="40"/>
        <v>5.3060574383462504E-2</v>
      </c>
      <c r="I30" s="652">
        <f t="shared" si="40"/>
        <v>5.3538964229559748E-2</v>
      </c>
      <c r="J30" s="652">
        <f t="shared" si="40"/>
        <v>5.5574179045388562E-2</v>
      </c>
      <c r="K30" s="652">
        <f t="shared" si="40"/>
        <v>5.6029703000051084E-2</v>
      </c>
      <c r="L30" s="652">
        <f t="shared" si="41"/>
        <v>5.9053718067560108E-2</v>
      </c>
      <c r="M30" s="653">
        <f t="shared" si="41"/>
        <v>5.9053718067560108E-2</v>
      </c>
      <c r="N30" s="652">
        <f t="shared" si="41"/>
        <v>5.9882343773203728E-2</v>
      </c>
      <c r="O30" s="652">
        <f t="shared" si="40"/>
        <v>6.0060649979191583E-2</v>
      </c>
      <c r="P30" s="652">
        <f t="shared" si="40"/>
        <v>6.1119527149120417E-2</v>
      </c>
      <c r="Q30" s="652">
        <f t="shared" si="40"/>
        <v>6.410567751190227E-2</v>
      </c>
      <c r="R30" s="653">
        <f t="shared" si="40"/>
        <v>6.410567751190227E-2</v>
      </c>
      <c r="S30" s="652">
        <f t="shared" si="40"/>
        <v>6.3027134698543041E-2</v>
      </c>
      <c r="T30" s="652">
        <f t="shared" si="49"/>
        <v>6.2835284981026099E-2</v>
      </c>
      <c r="U30" s="652">
        <f t="shared" si="49"/>
        <v>6.5706131542358132E-2</v>
      </c>
      <c r="V30" s="652">
        <f t="shared" si="49"/>
        <v>6.792307180408598E-2</v>
      </c>
      <c r="W30" s="653">
        <f t="shared" si="47"/>
        <v>6.792307180408598E-2</v>
      </c>
      <c r="X30" s="652">
        <f t="shared" si="47"/>
        <v>6.8048157645250656E-2</v>
      </c>
      <c r="Y30" s="652">
        <f t="shared" si="47"/>
        <v>6.925220737261803E-2</v>
      </c>
      <c r="Z30" s="652">
        <f t="shared" si="47"/>
        <v>7.1238953911057862E-2</v>
      </c>
      <c r="AA30" s="652">
        <f t="shared" si="47"/>
        <v>7.44613530209432E-2</v>
      </c>
      <c r="AB30" s="653">
        <f t="shared" si="47"/>
        <v>7.44613530209432E-2</v>
      </c>
      <c r="AC30" s="652">
        <f t="shared" si="43"/>
        <v>7.3565359394177215E-2</v>
      </c>
      <c r="AD30" s="652">
        <f t="shared" si="43"/>
        <v>7.6465118423185832E-2</v>
      </c>
      <c r="AE30" s="652">
        <f t="shared" si="43"/>
        <v>7.7553316700538624E-2</v>
      </c>
      <c r="AF30" s="652">
        <f t="shared" si="43"/>
        <v>8.0125343122664283E-2</v>
      </c>
      <c r="AG30" s="653">
        <f t="shared" si="43"/>
        <v>8.0125343122664283E-2</v>
      </c>
      <c r="AH30" s="652">
        <f t="shared" ref="AH30:AL30" si="52">AH22/AH$23</f>
        <v>8.0264540950568924E-2</v>
      </c>
      <c r="AI30" s="652">
        <f t="shared" si="52"/>
        <v>8.0083821779508249E-2</v>
      </c>
      <c r="AJ30" s="652">
        <f t="shared" si="52"/>
        <v>7.9920708550542369E-2</v>
      </c>
      <c r="AK30" s="652">
        <f t="shared" si="52"/>
        <v>7.9589159562013456E-2</v>
      </c>
      <c r="AL30" s="653">
        <f t="shared" si="52"/>
        <v>7.9589159562013456E-2</v>
      </c>
      <c r="AM30" s="653">
        <f t="shared" si="45"/>
        <v>7.8528255949368325E-2</v>
      </c>
      <c r="AN30" s="653">
        <f t="shared" si="45"/>
        <v>7.7378613399466459E-2</v>
      </c>
    </row>
    <row r="31" spans="1:47" s="130" customFormat="1">
      <c r="A31" s="648" t="s">
        <v>168</v>
      </c>
      <c r="B31" s="446">
        <f>SUM(B26:B30)</f>
        <v>1</v>
      </c>
      <c r="C31" s="446">
        <f t="shared" ref="C31:AN31" si="53">SUM(C26:C30)</f>
        <v>1</v>
      </c>
      <c r="D31" s="246">
        <f t="shared" si="53"/>
        <v>1</v>
      </c>
      <c r="E31" s="246">
        <f t="shared" si="53"/>
        <v>1</v>
      </c>
      <c r="F31" s="246">
        <f t="shared" si="53"/>
        <v>0.99999999999999989</v>
      </c>
      <c r="G31" s="246">
        <f t="shared" si="53"/>
        <v>1</v>
      </c>
      <c r="H31" s="446">
        <f t="shared" si="53"/>
        <v>1</v>
      </c>
      <c r="I31" s="246">
        <f t="shared" si="53"/>
        <v>0.99999999999999989</v>
      </c>
      <c r="J31" s="246">
        <f t="shared" si="53"/>
        <v>0.99999999999999989</v>
      </c>
      <c r="K31" s="246">
        <f t="shared" si="53"/>
        <v>1</v>
      </c>
      <c r="L31" s="246">
        <f>SUM(L26:L30)</f>
        <v>0.99999999999999989</v>
      </c>
      <c r="M31" s="446">
        <f>SUM(M26:M30)</f>
        <v>0.99999999999999989</v>
      </c>
      <c r="N31" s="246">
        <f t="shared" si="53"/>
        <v>1</v>
      </c>
      <c r="O31" s="246">
        <f t="shared" si="53"/>
        <v>0.99999999999999989</v>
      </c>
      <c r="P31" s="246">
        <f t="shared" si="53"/>
        <v>1</v>
      </c>
      <c r="Q31" s="246">
        <f t="shared" si="53"/>
        <v>1</v>
      </c>
      <c r="R31" s="446">
        <f t="shared" si="53"/>
        <v>1</v>
      </c>
      <c r="S31" s="246">
        <f t="shared" ref="S31:AB31" si="54">SUM(S26:S30)</f>
        <v>1</v>
      </c>
      <c r="T31" s="246">
        <f t="shared" si="54"/>
        <v>1</v>
      </c>
      <c r="U31" s="246">
        <f t="shared" si="54"/>
        <v>1</v>
      </c>
      <c r="V31" s="246">
        <f t="shared" si="54"/>
        <v>1</v>
      </c>
      <c r="W31" s="446">
        <f t="shared" si="54"/>
        <v>1</v>
      </c>
      <c r="X31" s="246">
        <f t="shared" si="54"/>
        <v>1</v>
      </c>
      <c r="Y31" s="246">
        <f t="shared" si="54"/>
        <v>1</v>
      </c>
      <c r="Z31" s="246">
        <f t="shared" si="54"/>
        <v>0.99999999999999989</v>
      </c>
      <c r="AA31" s="246">
        <f t="shared" si="54"/>
        <v>1</v>
      </c>
      <c r="AB31" s="446">
        <f t="shared" si="54"/>
        <v>1</v>
      </c>
      <c r="AC31" s="246">
        <f>SUM(AC26:AC30)</f>
        <v>1</v>
      </c>
      <c r="AD31" s="246">
        <f>SUM(AD26:AD30)</f>
        <v>1</v>
      </c>
      <c r="AE31" s="246">
        <f>SUM(AE26:AE30)</f>
        <v>1</v>
      </c>
      <c r="AF31" s="246">
        <f>SUM(AF26:AF30)</f>
        <v>1</v>
      </c>
      <c r="AG31" s="446">
        <f>SUM(AG26:AG30)</f>
        <v>1</v>
      </c>
      <c r="AH31" s="246">
        <f t="shared" ref="AH31:AK31" si="55">SUM(AH26:AH30)</f>
        <v>1</v>
      </c>
      <c r="AI31" s="246">
        <f t="shared" si="55"/>
        <v>1</v>
      </c>
      <c r="AJ31" s="246">
        <f t="shared" si="55"/>
        <v>0.99999999999999978</v>
      </c>
      <c r="AK31" s="246">
        <f t="shared" si="55"/>
        <v>1</v>
      </c>
      <c r="AL31" s="446">
        <f>SUM(AL26:AL30)</f>
        <v>1</v>
      </c>
      <c r="AM31" s="446">
        <f t="shared" si="53"/>
        <v>0.99999999999999989</v>
      </c>
      <c r="AN31" s="446">
        <f t="shared" si="53"/>
        <v>1</v>
      </c>
    </row>
    <row r="32" spans="1:47" s="130" customFormat="1">
      <c r="A32" s="648"/>
      <c r="B32" s="138"/>
      <c r="C32" s="446"/>
      <c r="D32" s="246"/>
      <c r="E32" s="246"/>
      <c r="F32" s="246"/>
      <c r="G32" s="246"/>
      <c r="H32" s="446"/>
      <c r="I32" s="246"/>
      <c r="J32" s="246"/>
      <c r="K32" s="246"/>
      <c r="L32" s="246"/>
      <c r="M32" s="446"/>
      <c r="N32" s="246"/>
      <c r="O32" s="246"/>
      <c r="P32" s="246"/>
      <c r="Q32" s="246"/>
      <c r="R32" s="446"/>
      <c r="S32" s="246"/>
      <c r="T32" s="246"/>
      <c r="U32" s="246"/>
      <c r="V32" s="246"/>
      <c r="W32" s="446"/>
      <c r="X32" s="1336"/>
      <c r="Y32" s="246"/>
      <c r="Z32" s="246"/>
      <c r="AA32" s="1338"/>
      <c r="AB32" s="138"/>
      <c r="AC32" s="246"/>
      <c r="AD32" s="246"/>
      <c r="AE32" s="246"/>
      <c r="AF32" s="1338"/>
      <c r="AG32" s="138"/>
      <c r="AH32" s="246"/>
      <c r="AI32" s="246"/>
      <c r="AJ32" s="246"/>
      <c r="AK32" s="1338"/>
      <c r="AL32" s="138"/>
      <c r="AM32" s="138"/>
      <c r="AN32" s="138"/>
    </row>
    <row r="33" spans="1:40" s="130" customFormat="1">
      <c r="A33" s="2020" t="s">
        <v>787</v>
      </c>
      <c r="B33" s="221"/>
      <c r="C33" s="447"/>
      <c r="D33" s="246"/>
      <c r="E33" s="246"/>
      <c r="F33" s="440"/>
      <c r="G33" s="246"/>
      <c r="H33" s="447"/>
      <c r="I33" s="246"/>
      <c r="J33" s="246"/>
      <c r="K33" s="246"/>
      <c r="L33" s="246"/>
      <c r="M33" s="447"/>
      <c r="N33" s="246"/>
      <c r="O33" s="246"/>
      <c r="P33" s="246"/>
      <c r="Q33" s="246"/>
      <c r="R33" s="447"/>
      <c r="S33" s="246"/>
      <c r="T33" s="246"/>
      <c r="U33" s="246"/>
      <c r="V33" s="246"/>
      <c r="W33" s="447"/>
      <c r="X33" s="2377"/>
      <c r="Y33" s="440"/>
      <c r="Z33" s="440"/>
      <c r="AA33" s="2378"/>
      <c r="AB33" s="221"/>
      <c r="AC33" s="440"/>
      <c r="AD33" s="440"/>
      <c r="AE33" s="440"/>
      <c r="AF33" s="2378"/>
      <c r="AG33" s="221"/>
      <c r="AH33" s="440"/>
      <c r="AI33" s="440"/>
      <c r="AJ33" s="440"/>
      <c r="AK33" s="2378"/>
      <c r="AL33" s="221"/>
      <c r="AM33" s="221"/>
      <c r="AN33" s="221"/>
    </row>
    <row r="34" spans="1:40" s="130" customFormat="1">
      <c r="A34" s="2021" t="s">
        <v>2171</v>
      </c>
      <c r="B34" s="458">
        <f>B223</f>
        <v>81.140940831522073</v>
      </c>
      <c r="C34" s="458">
        <f t="shared" ref="C34:R34" si="56">C223</f>
        <v>85.239443256938458</v>
      </c>
      <c r="D34" s="459">
        <f t="shared" si="56"/>
        <v>83.828322695604712</v>
      </c>
      <c r="E34" s="459">
        <f t="shared" si="56"/>
        <v>96.738933715339854</v>
      </c>
      <c r="F34" s="135">
        <f t="shared" si="56"/>
        <v>94.512241348083435</v>
      </c>
      <c r="G34" s="459">
        <f t="shared" si="56"/>
        <v>84.413670926169914</v>
      </c>
      <c r="H34" s="458">
        <f t="shared" si="56"/>
        <v>89.87104989788871</v>
      </c>
      <c r="I34" s="459">
        <f t="shared" si="56"/>
        <v>89.049377455651381</v>
      </c>
      <c r="J34" s="459">
        <f t="shared" si="56"/>
        <v>102.78814089588579</v>
      </c>
      <c r="K34" s="459">
        <f t="shared" si="56"/>
        <v>100.68842797928735</v>
      </c>
      <c r="L34" s="459">
        <f>L223</f>
        <v>89.17</v>
      </c>
      <c r="M34" s="458">
        <f>M223</f>
        <v>95.438740182544294</v>
      </c>
      <c r="N34" s="459">
        <f>N223</f>
        <v>95.01</v>
      </c>
      <c r="O34" s="459">
        <f t="shared" si="56"/>
        <v>112.2</v>
      </c>
      <c r="P34" s="459">
        <f t="shared" si="56"/>
        <v>110.57</v>
      </c>
      <c r="Q34" s="459">
        <f t="shared" si="56"/>
        <v>96.64</v>
      </c>
      <c r="R34" s="458">
        <f t="shared" si="56"/>
        <v>103.44</v>
      </c>
      <c r="S34" s="459">
        <f t="shared" ref="S34:AN34" si="57">S223</f>
        <v>98.72</v>
      </c>
      <c r="T34" s="459">
        <f t="shared" si="57"/>
        <v>114.16</v>
      </c>
      <c r="U34" s="459">
        <f t="shared" si="57"/>
        <v>114.55</v>
      </c>
      <c r="V34" s="459">
        <f t="shared" si="57"/>
        <v>98.44</v>
      </c>
      <c r="W34" s="458">
        <f t="shared" si="57"/>
        <v>106.89</v>
      </c>
      <c r="X34" s="459">
        <f t="shared" si="57"/>
        <v>101.16</v>
      </c>
      <c r="Y34" s="459">
        <f t="shared" si="57"/>
        <v>118.48</v>
      </c>
      <c r="Z34" s="459">
        <f t="shared" si="57"/>
        <v>117.1</v>
      </c>
      <c r="AA34" s="459">
        <f t="shared" si="57"/>
        <v>98.71</v>
      </c>
      <c r="AB34" s="458">
        <f t="shared" si="57"/>
        <v>107.95</v>
      </c>
      <c r="AC34" s="459">
        <f t="shared" si="57"/>
        <v>103.91</v>
      </c>
      <c r="AD34" s="459">
        <f t="shared" si="57"/>
        <v>119.89</v>
      </c>
      <c r="AE34" s="459">
        <f t="shared" si="57"/>
        <v>117.61</v>
      </c>
      <c r="AF34" s="459">
        <f t="shared" si="57"/>
        <v>104.7</v>
      </c>
      <c r="AG34" s="458">
        <f t="shared" si="57"/>
        <v>111.93</v>
      </c>
      <c r="AH34" s="459">
        <f t="shared" ref="AH34:AL34" si="58">AH223</f>
        <v>105.20887499999999</v>
      </c>
      <c r="AI34" s="459">
        <f t="shared" si="58"/>
        <v>122.2878</v>
      </c>
      <c r="AJ34" s="459">
        <f t="shared" si="58"/>
        <v>119.9622</v>
      </c>
      <c r="AK34" s="459">
        <f t="shared" si="58"/>
        <v>106.2705</v>
      </c>
      <c r="AL34" s="138">
        <f t="shared" si="58"/>
        <v>113.45314232876713</v>
      </c>
      <c r="AM34" s="138">
        <f t="shared" si="57"/>
        <v>114.92803317904109</v>
      </c>
      <c r="AN34" s="138">
        <f t="shared" si="57"/>
        <v>111.48019218366986</v>
      </c>
    </row>
    <row r="35" spans="1:40" s="130" customFormat="1">
      <c r="A35" s="2021" t="s">
        <v>208</v>
      </c>
      <c r="B35" s="138">
        <f t="shared" ref="B35:R35" si="59">B242</f>
        <v>90.588072519231559</v>
      </c>
      <c r="C35" s="138">
        <f t="shared" si="59"/>
        <v>97.759069298205205</v>
      </c>
      <c r="D35" s="135">
        <f t="shared" si="59"/>
        <v>98.587851996175814</v>
      </c>
      <c r="E35" s="135">
        <f t="shared" si="59"/>
        <v>100.73754461564837</v>
      </c>
      <c r="F35" s="135">
        <f t="shared" si="59"/>
        <v>104.5307766680298</v>
      </c>
      <c r="G35" s="135">
        <f t="shared" si="59"/>
        <v>92.6921384608343</v>
      </c>
      <c r="H35" s="138">
        <f t="shared" si="59"/>
        <v>99.134205692709017</v>
      </c>
      <c r="I35" s="135">
        <f t="shared" si="59"/>
        <v>98.306079171281567</v>
      </c>
      <c r="J35" s="135">
        <f t="shared" si="59"/>
        <v>101.77189904451124</v>
      </c>
      <c r="K35" s="135">
        <f t="shared" si="59"/>
        <v>107.0228505756585</v>
      </c>
      <c r="L35" s="135">
        <f>L242</f>
        <v>96.399823999267682</v>
      </c>
      <c r="M35" s="138">
        <f>M242</f>
        <v>100.88678355988787</v>
      </c>
      <c r="N35" s="135">
        <f>N242</f>
        <v>103.22138312984565</v>
      </c>
      <c r="O35" s="135">
        <f t="shared" si="59"/>
        <v>107.87821298718193</v>
      </c>
      <c r="P35" s="135">
        <f t="shared" si="59"/>
        <v>115.90574717343814</v>
      </c>
      <c r="Q35" s="135">
        <f t="shared" si="59"/>
        <v>102.66581255922007</v>
      </c>
      <c r="R35" s="138">
        <f t="shared" si="59"/>
        <v>107.43952153129923</v>
      </c>
      <c r="S35" s="135">
        <f t="shared" ref="S35:AN35" si="60">S242</f>
        <v>110.03399441641547</v>
      </c>
      <c r="T35" s="135">
        <f t="shared" si="60"/>
        <v>113.3800018495282</v>
      </c>
      <c r="U35" s="135">
        <f t="shared" si="60"/>
        <v>121.93284602645693</v>
      </c>
      <c r="V35" s="135">
        <f t="shared" si="60"/>
        <v>106.56711343647044</v>
      </c>
      <c r="W35" s="138">
        <f t="shared" si="60"/>
        <v>112.99352311335279</v>
      </c>
      <c r="X35" s="135">
        <f t="shared" si="60"/>
        <v>112.12464031032735</v>
      </c>
      <c r="Y35" s="135">
        <f t="shared" si="60"/>
        <v>116.55464190131499</v>
      </c>
      <c r="Z35" s="135">
        <f t="shared" si="60"/>
        <v>124.00570440890668</v>
      </c>
      <c r="AA35" s="135">
        <f t="shared" si="60"/>
        <v>107.09994900365278</v>
      </c>
      <c r="AB35" s="138">
        <f t="shared" si="60"/>
        <v>114.9495486208058</v>
      </c>
      <c r="AC35" s="135">
        <f t="shared" si="60"/>
        <v>83.07</v>
      </c>
      <c r="AD35" s="135">
        <f t="shared" si="60"/>
        <v>91.24</v>
      </c>
      <c r="AE35" s="135">
        <f t="shared" si="60"/>
        <v>98.46</v>
      </c>
      <c r="AF35" s="135">
        <f t="shared" si="60"/>
        <v>85.48</v>
      </c>
      <c r="AG35" s="138">
        <f t="shared" si="60"/>
        <v>89.04</v>
      </c>
      <c r="AH35" s="135">
        <f t="shared" ref="AH35:AL35" si="61">AH242</f>
        <v>85.562100000000001</v>
      </c>
      <c r="AI35" s="135">
        <f t="shared" si="61"/>
        <v>93.977199999999996</v>
      </c>
      <c r="AJ35" s="135">
        <f t="shared" si="61"/>
        <v>101.41379999999999</v>
      </c>
      <c r="AK35" s="135">
        <f t="shared" si="61"/>
        <v>88.04440000000001</v>
      </c>
      <c r="AL35" s="138">
        <f t="shared" si="61"/>
        <v>92.281283835616449</v>
      </c>
      <c r="AM35" s="138">
        <f t="shared" si="60"/>
        <v>93.66550309315069</v>
      </c>
      <c r="AN35" s="138">
        <f t="shared" si="60"/>
        <v>90.855538000356162</v>
      </c>
    </row>
    <row r="36" spans="1:40" s="130" customFormat="1">
      <c r="A36" s="2021" t="s">
        <v>2218</v>
      </c>
      <c r="B36" s="138">
        <f>B258</f>
        <v>116.20879898699</v>
      </c>
      <c r="C36" s="138">
        <f t="shared" ref="C36:R36" si="62">C258</f>
        <v>126.7729710164825</v>
      </c>
      <c r="D36" s="135">
        <f t="shared" si="62"/>
        <v>97.028329715589578</v>
      </c>
      <c r="E36" s="135">
        <f t="shared" si="62"/>
        <v>127.0242675935978</v>
      </c>
      <c r="F36" s="135">
        <f t="shared" si="62"/>
        <v>128.08303283033337</v>
      </c>
      <c r="G36" s="135">
        <f t="shared" si="62"/>
        <v>114.64336772042925</v>
      </c>
      <c r="H36" s="138">
        <f t="shared" si="62"/>
        <v>116.72026012515359</v>
      </c>
      <c r="I36" s="135">
        <f t="shared" si="62"/>
        <v>98.259811118328585</v>
      </c>
      <c r="J36" s="135">
        <f t="shared" si="62"/>
        <v>131.81761770238495</v>
      </c>
      <c r="K36" s="135">
        <f t="shared" si="62"/>
        <v>130.67378907249352</v>
      </c>
      <c r="L36" s="135">
        <f>L258</f>
        <v>123.58</v>
      </c>
      <c r="M36" s="138">
        <f>M258</f>
        <v>121.17845152393426</v>
      </c>
      <c r="N36" s="135">
        <f>N258</f>
        <v>105.72</v>
      </c>
      <c r="O36" s="135">
        <f t="shared" si="62"/>
        <v>141.59</v>
      </c>
      <c r="P36" s="135">
        <f t="shared" si="62"/>
        <v>140.55000000000001</v>
      </c>
      <c r="Q36" s="135">
        <f t="shared" si="62"/>
        <v>123.53</v>
      </c>
      <c r="R36" s="138">
        <f t="shared" si="62"/>
        <v>128.65</v>
      </c>
      <c r="S36" s="135">
        <f t="shared" ref="S36:AN36" si="63">S258</f>
        <v>95.81</v>
      </c>
      <c r="T36" s="135">
        <f t="shared" si="63"/>
        <v>127.22</v>
      </c>
      <c r="U36" s="135">
        <f t="shared" si="63"/>
        <v>135.21</v>
      </c>
      <c r="V36" s="135">
        <f t="shared" si="63"/>
        <v>117.34</v>
      </c>
      <c r="W36" s="138">
        <f t="shared" si="63"/>
        <v>119.24</v>
      </c>
      <c r="X36" s="135">
        <f t="shared" si="63"/>
        <v>88.64</v>
      </c>
      <c r="Y36" s="135">
        <f t="shared" si="63"/>
        <v>119.76</v>
      </c>
      <c r="Z36" s="135">
        <f t="shared" si="63"/>
        <v>118.36</v>
      </c>
      <c r="AA36" s="135">
        <f t="shared" si="63"/>
        <v>104.76</v>
      </c>
      <c r="AB36" s="138">
        <f t="shared" si="63"/>
        <v>107.95</v>
      </c>
      <c r="AC36" s="135">
        <f t="shared" si="63"/>
        <v>83.42</v>
      </c>
      <c r="AD36" s="135">
        <f t="shared" si="63"/>
        <v>113.69</v>
      </c>
      <c r="AE36" s="135">
        <f t="shared" si="63"/>
        <v>121.65</v>
      </c>
      <c r="AF36" s="135">
        <f t="shared" si="63"/>
        <v>107.22</v>
      </c>
      <c r="AG36" s="138">
        <f t="shared" si="63"/>
        <v>106.37</v>
      </c>
      <c r="AH36" s="135">
        <f t="shared" ref="AH36:AL36" si="64">AH258</f>
        <v>86.756799999999998</v>
      </c>
      <c r="AI36" s="135">
        <f t="shared" si="64"/>
        <v>118.2376</v>
      </c>
      <c r="AJ36" s="135">
        <f t="shared" si="64"/>
        <v>126.51600000000001</v>
      </c>
      <c r="AK36" s="135">
        <f t="shared" si="64"/>
        <v>111.50880000000001</v>
      </c>
      <c r="AL36" s="138">
        <f t="shared" si="64"/>
        <v>110.86579506849316</v>
      </c>
      <c r="AM36" s="138">
        <f t="shared" si="63"/>
        <v>113.08311096986301</v>
      </c>
      <c r="AN36" s="138">
        <f t="shared" si="63"/>
        <v>109.69061764076712</v>
      </c>
    </row>
    <row r="37" spans="1:40" s="130" customFormat="1">
      <c r="A37" s="2021" t="s">
        <v>209</v>
      </c>
      <c r="B37" s="138">
        <f>B274</f>
        <v>109.45656051852097</v>
      </c>
      <c r="C37" s="138">
        <f t="shared" ref="C37:R37" si="65">C274</f>
        <v>107.81954104151356</v>
      </c>
      <c r="D37" s="135">
        <f t="shared" si="65"/>
        <v>106.43281553554371</v>
      </c>
      <c r="E37" s="135">
        <f t="shared" si="65"/>
        <v>89.488762247810698</v>
      </c>
      <c r="F37" s="135">
        <f t="shared" si="65"/>
        <v>104.78434308374874</v>
      </c>
      <c r="G37" s="135">
        <f t="shared" si="65"/>
        <v>98.673378180369014</v>
      </c>
      <c r="H37" s="138">
        <f t="shared" si="65"/>
        <v>99.855120039847208</v>
      </c>
      <c r="I37" s="135">
        <f t="shared" si="65"/>
        <v>107.09213061035236</v>
      </c>
      <c r="J37" s="135">
        <f t="shared" si="65"/>
        <v>104.36403362250601</v>
      </c>
      <c r="K37" s="135">
        <f t="shared" si="65"/>
        <v>84.742467503514021</v>
      </c>
      <c r="L37" s="135">
        <f>L274</f>
        <v>101.94</v>
      </c>
      <c r="M37" s="138">
        <f>M274</f>
        <v>99.480015958638504</v>
      </c>
      <c r="N37" s="135">
        <f>N274</f>
        <v>107.51</v>
      </c>
      <c r="O37" s="135">
        <f t="shared" si="65"/>
        <v>96.67</v>
      </c>
      <c r="P37" s="135">
        <f t="shared" si="65"/>
        <v>106.32</v>
      </c>
      <c r="Q37" s="135">
        <f t="shared" si="65"/>
        <v>110.22</v>
      </c>
      <c r="R37" s="138">
        <f t="shared" si="65"/>
        <v>104.93</v>
      </c>
      <c r="S37" s="135">
        <f t="shared" ref="S37:AN37" si="66">S274</f>
        <v>104.72</v>
      </c>
      <c r="T37" s="135">
        <f t="shared" si="66"/>
        <v>94.42</v>
      </c>
      <c r="U37" s="135">
        <f t="shared" si="66"/>
        <v>104.46</v>
      </c>
      <c r="V37" s="135">
        <f t="shared" si="66"/>
        <v>99.25</v>
      </c>
      <c r="W37" s="138">
        <f t="shared" si="66"/>
        <v>101.53</v>
      </c>
      <c r="X37" s="135">
        <f t="shared" si="66"/>
        <v>108.46</v>
      </c>
      <c r="Y37" s="135">
        <f t="shared" si="66"/>
        <v>104.04</v>
      </c>
      <c r="Z37" s="135">
        <f t="shared" si="66"/>
        <v>108.37</v>
      </c>
      <c r="AA37" s="135">
        <f t="shared" si="66"/>
        <v>98.82</v>
      </c>
      <c r="AB37" s="138">
        <f t="shared" si="66"/>
        <v>104.94</v>
      </c>
      <c r="AC37" s="135">
        <f t="shared" si="66"/>
        <v>100.75</v>
      </c>
      <c r="AD37" s="135">
        <f t="shared" si="66"/>
        <v>109.96</v>
      </c>
      <c r="AE37" s="135">
        <f t="shared" si="66"/>
        <v>90.93</v>
      </c>
      <c r="AF37" s="135">
        <f t="shared" si="66"/>
        <v>102.81</v>
      </c>
      <c r="AG37" s="138">
        <f t="shared" si="66"/>
        <v>97.42</v>
      </c>
      <c r="AH37" s="135">
        <f t="shared" ref="AH37:AL37" si="67">AH274</f>
        <v>103.26875</v>
      </c>
      <c r="AI37" s="135">
        <f t="shared" si="67"/>
        <v>111.60939999999998</v>
      </c>
      <c r="AJ37" s="135">
        <f t="shared" si="67"/>
        <v>95.021850000000001</v>
      </c>
      <c r="AK37" s="135">
        <f t="shared" si="67"/>
        <v>104.86620000000001</v>
      </c>
      <c r="AL37" s="138">
        <f t="shared" si="67"/>
        <v>103.67217397260275</v>
      </c>
      <c r="AM37" s="138">
        <f t="shared" si="66"/>
        <v>105.22725658219179</v>
      </c>
      <c r="AN37" s="138">
        <f t="shared" si="66"/>
        <v>102.07043888472603</v>
      </c>
    </row>
    <row r="38" spans="1:40" s="130" customFormat="1">
      <c r="A38" s="2022" t="s">
        <v>1688</v>
      </c>
      <c r="B38" s="221">
        <f>B290</f>
        <v>118.52483233957277</v>
      </c>
      <c r="C38" s="221">
        <f t="shared" ref="C38:R38" si="68">C290</f>
        <v>131.28442600505778</v>
      </c>
      <c r="D38" s="439">
        <f t="shared" si="68"/>
        <v>124.39965848599361</v>
      </c>
      <c r="E38" s="439">
        <f t="shared" si="68"/>
        <v>114.16739268884702</v>
      </c>
      <c r="F38" s="439">
        <f t="shared" si="68"/>
        <v>122.10857036081654</v>
      </c>
      <c r="G38" s="439">
        <f t="shared" si="68"/>
        <v>131.65761840387742</v>
      </c>
      <c r="H38" s="221">
        <f t="shared" si="68"/>
        <v>123.10407383405011</v>
      </c>
      <c r="I38" s="439">
        <f t="shared" si="68"/>
        <v>125.04729114731975</v>
      </c>
      <c r="J38" s="439">
        <f t="shared" si="68"/>
        <v>108.61294857626895</v>
      </c>
      <c r="K38" s="439">
        <f t="shared" si="68"/>
        <v>112.82521738826064</v>
      </c>
      <c r="L38" s="439">
        <f>L290</f>
        <v>128.1</v>
      </c>
      <c r="M38" s="221">
        <f>M290</f>
        <v>118.63877951621707</v>
      </c>
      <c r="N38" s="439">
        <f>N290</f>
        <v>109.46</v>
      </c>
      <c r="O38" s="439">
        <f t="shared" si="68"/>
        <v>105.17</v>
      </c>
      <c r="P38" s="439">
        <f t="shared" si="68"/>
        <v>112.62</v>
      </c>
      <c r="Q38" s="439">
        <f t="shared" si="68"/>
        <v>116.8</v>
      </c>
      <c r="R38" s="221">
        <f t="shared" si="68"/>
        <v>111.15</v>
      </c>
      <c r="S38" s="439">
        <f t="shared" ref="S38:AN38" si="69">S290</f>
        <v>96.99</v>
      </c>
      <c r="T38" s="439">
        <f t="shared" si="69"/>
        <v>95.02</v>
      </c>
      <c r="U38" s="439">
        <f t="shared" si="69"/>
        <v>97.73</v>
      </c>
      <c r="V38" s="439">
        <f t="shared" si="69"/>
        <v>100.88</v>
      </c>
      <c r="W38" s="221">
        <f t="shared" si="69"/>
        <v>96.85</v>
      </c>
      <c r="X38" s="439">
        <f t="shared" si="69"/>
        <v>99.24</v>
      </c>
      <c r="Y38" s="439">
        <f t="shared" si="69"/>
        <v>98.25</v>
      </c>
      <c r="Z38" s="439">
        <f t="shared" si="69"/>
        <v>107.78</v>
      </c>
      <c r="AA38" s="439">
        <f t="shared" si="69"/>
        <v>108.28</v>
      </c>
      <c r="AB38" s="221">
        <f t="shared" si="69"/>
        <v>104.26</v>
      </c>
      <c r="AC38" s="439">
        <f t="shared" si="69"/>
        <v>97.52</v>
      </c>
      <c r="AD38" s="439">
        <f t="shared" si="69"/>
        <v>97.89</v>
      </c>
      <c r="AE38" s="439">
        <f t="shared" si="69"/>
        <v>107.23</v>
      </c>
      <c r="AF38" s="439">
        <f t="shared" si="69"/>
        <v>108.97</v>
      </c>
      <c r="AG38" s="221">
        <f t="shared" si="69"/>
        <v>102.39</v>
      </c>
      <c r="AH38" s="439">
        <f t="shared" ref="AH38:AL38" si="70">AH290</f>
        <v>103.3712</v>
      </c>
      <c r="AI38" s="439">
        <f t="shared" si="70"/>
        <v>103.7634</v>
      </c>
      <c r="AJ38" s="439">
        <f t="shared" si="70"/>
        <v>113.66380000000001</v>
      </c>
      <c r="AK38" s="439">
        <f t="shared" si="70"/>
        <v>115.5082</v>
      </c>
      <c r="AL38" s="221">
        <f t="shared" si="70"/>
        <v>109.12246958904109</v>
      </c>
      <c r="AM38" s="221">
        <f t="shared" si="69"/>
        <v>113.48736837260273</v>
      </c>
      <c r="AN38" s="221">
        <f t="shared" si="69"/>
        <v>111.21762100515068</v>
      </c>
    </row>
    <row r="39" spans="1:40" s="130" customFormat="1">
      <c r="A39" s="648"/>
      <c r="B39" s="138"/>
      <c r="C39" s="446"/>
      <c r="D39" s="246"/>
      <c r="E39" s="246"/>
      <c r="F39" s="246"/>
      <c r="G39" s="246"/>
      <c r="H39" s="446"/>
      <c r="I39" s="246"/>
      <c r="J39" s="246"/>
      <c r="K39" s="246"/>
      <c r="L39" s="246"/>
      <c r="M39" s="446"/>
      <c r="N39" s="246"/>
      <c r="O39" s="246"/>
      <c r="P39" s="246"/>
      <c r="Q39" s="246"/>
      <c r="R39" s="446"/>
      <c r="S39" s="246"/>
      <c r="T39" s="246"/>
      <c r="U39" s="246"/>
      <c r="V39" s="246"/>
      <c r="W39" s="446"/>
      <c r="X39" s="1336"/>
      <c r="Y39" s="246"/>
      <c r="Z39" s="246"/>
      <c r="AA39" s="1338"/>
      <c r="AB39" s="138"/>
      <c r="AC39" s="246"/>
      <c r="AD39" s="246"/>
      <c r="AE39" s="246"/>
      <c r="AF39" s="1338"/>
      <c r="AG39" s="138"/>
      <c r="AH39" s="246"/>
      <c r="AI39" s="246"/>
      <c r="AJ39" s="246"/>
      <c r="AK39" s="1338"/>
      <c r="AL39" s="138"/>
      <c r="AM39" s="138"/>
      <c r="AN39" s="138"/>
    </row>
    <row r="40" spans="1:40" s="1828" customFormat="1">
      <c r="A40" s="2767" t="s">
        <v>2474</v>
      </c>
      <c r="B40" s="2768"/>
      <c r="C40" s="446"/>
      <c r="D40" s="246"/>
      <c r="E40" s="246"/>
      <c r="F40" s="246"/>
      <c r="G40" s="246"/>
      <c r="H40" s="446"/>
      <c r="I40" s="246"/>
      <c r="J40" s="246"/>
      <c r="K40" s="246"/>
      <c r="L40" s="246"/>
      <c r="M40" s="446"/>
      <c r="N40" s="246"/>
      <c r="O40" s="246"/>
      <c r="P40" s="246"/>
      <c r="Q40" s="246"/>
      <c r="R40" s="446"/>
      <c r="S40" s="246"/>
      <c r="T40" s="246"/>
      <c r="U40" s="246"/>
      <c r="V40" s="246"/>
      <c r="W40" s="446"/>
      <c r="X40" s="1336"/>
      <c r="Y40" s="246"/>
      <c r="Z40" s="246"/>
      <c r="AA40" s="1338"/>
      <c r="AB40" s="2768"/>
      <c r="AC40" s="246"/>
      <c r="AD40" s="246"/>
      <c r="AE40" s="246"/>
      <c r="AF40" s="1338"/>
      <c r="AG40" s="2768"/>
      <c r="AH40" s="246"/>
      <c r="AI40" s="246"/>
      <c r="AJ40" s="246"/>
      <c r="AK40" s="1338"/>
      <c r="AL40" s="2768"/>
      <c r="AM40" s="2768"/>
      <c r="AN40" s="2768"/>
    </row>
    <row r="41" spans="1:40" s="1828" customFormat="1">
      <c r="A41" s="2769" t="s">
        <v>2171</v>
      </c>
      <c r="B41" s="2768"/>
      <c r="C41" s="446"/>
      <c r="D41" s="246"/>
      <c r="E41" s="246"/>
      <c r="F41" s="246"/>
      <c r="G41" s="246"/>
      <c r="H41" s="446"/>
      <c r="I41" s="246"/>
      <c r="J41" s="246"/>
      <c r="K41" s="246"/>
      <c r="L41" s="246"/>
      <c r="M41" s="446"/>
      <c r="N41" s="2770">
        <f>+(N18*N34*N$5)/1000000</f>
        <v>4475.1819222000004</v>
      </c>
      <c r="O41" s="2770">
        <f t="shared" ref="O41:AN41" si="71">+(O18*O34*O$5)/1000000</f>
        <v>5380.6835081999998</v>
      </c>
      <c r="P41" s="2770">
        <f t="shared" si="71"/>
        <v>5436.5690060400002</v>
      </c>
      <c r="Q41" s="2770">
        <f t="shared" si="71"/>
        <v>4798.1323187200005</v>
      </c>
      <c r="R41" s="2771">
        <f t="shared" si="71"/>
        <v>20375.526896400002</v>
      </c>
      <c r="S41" s="2770">
        <f t="shared" si="71"/>
        <v>4841.1320544</v>
      </c>
      <c r="T41" s="2770">
        <f t="shared" si="71"/>
        <v>5735.7940785599994</v>
      </c>
      <c r="U41" s="2770">
        <f t="shared" si="71"/>
        <v>5883.9638450000002</v>
      </c>
      <c r="V41" s="2770">
        <f t="shared" si="71"/>
        <v>5111.024488</v>
      </c>
      <c r="W41" s="2771">
        <f t="shared" si="71"/>
        <v>22018.030597500001</v>
      </c>
      <c r="X41" s="2772">
        <f t="shared" si="71"/>
        <v>5238.7553181599997</v>
      </c>
      <c r="Y41" s="2770">
        <f t="shared" si="71"/>
        <v>6209.9350112799993</v>
      </c>
      <c r="Z41" s="2770">
        <f t="shared" si="71"/>
        <v>6300.0380815999997</v>
      </c>
      <c r="AA41" s="2773">
        <f t="shared" si="71"/>
        <v>5400.6610039999996</v>
      </c>
      <c r="AB41" s="2774">
        <f t="shared" si="71"/>
        <v>23496.418590000001</v>
      </c>
      <c r="AC41" s="2770">
        <f t="shared" ref="AC41:AG45" si="72">+(AC18*AC34*AC$5)/1000000</f>
        <v>5702.2561228140003</v>
      </c>
      <c r="AD41" s="2770">
        <f t="shared" si="72"/>
        <v>6667.5326566145532</v>
      </c>
      <c r="AE41" s="2770">
        <f t="shared" si="72"/>
        <v>6672.6057021999995</v>
      </c>
      <c r="AF41" s="2773">
        <f>+(AF18*AF34*AF$5)/1000000</f>
        <v>6038.3300147999998</v>
      </c>
      <c r="AG41" s="2774">
        <f t="shared" si="72"/>
        <v>25610.715052650001</v>
      </c>
      <c r="AH41" s="2770">
        <f t="shared" ref="AH41:AL41" si="73">+(AH18*AH34*AH$5)/1000000</f>
        <v>6005.7265786632879</v>
      </c>
      <c r="AI41" s="2770">
        <f t="shared" si="73"/>
        <v>7180.0376620203533</v>
      </c>
      <c r="AJ41" s="2770">
        <f t="shared" si="73"/>
        <v>7243.2170340115317</v>
      </c>
      <c r="AK41" s="2770">
        <f t="shared" si="73"/>
        <v>6545.4108386716234</v>
      </c>
      <c r="AL41" s="2774">
        <f t="shared" si="73"/>
        <v>27723.352919347151</v>
      </c>
      <c r="AM41" s="2774">
        <f t="shared" si="71"/>
        <v>29848.007224235622</v>
      </c>
      <c r="AN41" s="2774">
        <f t="shared" si="71"/>
        <v>30490.878748538969</v>
      </c>
    </row>
    <row r="42" spans="1:40" s="1828" customFormat="1">
      <c r="A42" s="2769" t="s">
        <v>208</v>
      </c>
      <c r="B42" s="2768"/>
      <c r="C42" s="446"/>
      <c r="D42" s="246"/>
      <c r="E42" s="246"/>
      <c r="F42" s="246"/>
      <c r="G42" s="246"/>
      <c r="H42" s="446"/>
      <c r="I42" s="246"/>
      <c r="J42" s="246"/>
      <c r="K42" s="246"/>
      <c r="L42" s="246"/>
      <c r="M42" s="446"/>
      <c r="N42" s="2770">
        <f t="shared" ref="N42:AN45" si="74">+(N19*N35*N$5)/1000000</f>
        <v>318.88594775835742</v>
      </c>
      <c r="O42" s="2770">
        <f t="shared" si="74"/>
        <v>345.08427980621315</v>
      </c>
      <c r="P42" s="2770">
        <f t="shared" si="74"/>
        <v>385.53265059312042</v>
      </c>
      <c r="Q42" s="2770">
        <f t="shared" si="74"/>
        <v>342.92886440605952</v>
      </c>
      <c r="R42" s="2771">
        <f t="shared" si="74"/>
        <v>1423.7944485064618</v>
      </c>
      <c r="S42" s="2770">
        <f t="shared" si="74"/>
        <v>365.35357404043339</v>
      </c>
      <c r="T42" s="2770">
        <f t="shared" si="74"/>
        <v>394.77125239976493</v>
      </c>
      <c r="U42" s="2770">
        <f t="shared" si="74"/>
        <v>448.9596654577191</v>
      </c>
      <c r="V42" s="2770">
        <f t="shared" si="74"/>
        <v>406.49087629743411</v>
      </c>
      <c r="W42" s="2771">
        <f t="shared" si="74"/>
        <v>1709.9609285579929</v>
      </c>
      <c r="X42" s="2772">
        <f t="shared" si="74"/>
        <v>424.85696870723655</v>
      </c>
      <c r="Y42" s="2770">
        <f t="shared" si="74"/>
        <v>446.28853972262846</v>
      </c>
      <c r="Z42" s="2770">
        <f t="shared" si="74"/>
        <v>482.31820320717196</v>
      </c>
      <c r="AA42" s="2773">
        <f t="shared" si="74"/>
        <v>426.47585253070957</v>
      </c>
      <c r="AB42" s="2774">
        <f t="shared" si="74"/>
        <v>1820.9822405412874</v>
      </c>
      <c r="AC42" s="2770">
        <f t="shared" si="72"/>
        <v>324.29198880000001</v>
      </c>
      <c r="AD42" s="2770">
        <f t="shared" si="72"/>
        <v>368.92839255999996</v>
      </c>
      <c r="AE42" s="2770">
        <f t="shared" si="72"/>
        <v>411.27490295999996</v>
      </c>
      <c r="AF42" s="2773">
        <f t="shared" si="72"/>
        <v>370.61426832000001</v>
      </c>
      <c r="AG42" s="2774">
        <f t="shared" si="72"/>
        <v>1531.6086491999999</v>
      </c>
      <c r="AH42" s="2770">
        <f t="shared" ref="AH42:AL42" si="75">+(AH19*AH35*AH$5)/1000000</f>
        <v>367.09242953935507</v>
      </c>
      <c r="AI42" s="2770">
        <f t="shared" si="75"/>
        <v>412.3823878485756</v>
      </c>
      <c r="AJ42" s="2770">
        <f t="shared" si="75"/>
        <v>456.5726969465606</v>
      </c>
      <c r="AK42" s="2770">
        <f t="shared" si="75"/>
        <v>402.25790268308998</v>
      </c>
      <c r="AL42" s="2774">
        <f t="shared" si="75"/>
        <v>1672.7133063848378</v>
      </c>
      <c r="AM42" s="2774">
        <f t="shared" si="74"/>
        <v>1789.9671369828216</v>
      </c>
      <c r="AN42" s="2774">
        <f t="shared" si="74"/>
        <v>1815.5715946899079</v>
      </c>
    </row>
    <row r="43" spans="1:40" s="1828" customFormat="1">
      <c r="A43" s="2769" t="s">
        <v>2218</v>
      </c>
      <c r="B43" s="2768"/>
      <c r="C43" s="446"/>
      <c r="D43" s="246"/>
      <c r="E43" s="246"/>
      <c r="F43" s="246"/>
      <c r="G43" s="246"/>
      <c r="H43" s="446"/>
      <c r="I43" s="246"/>
      <c r="J43" s="246"/>
      <c r="K43" s="246"/>
      <c r="L43" s="246"/>
      <c r="M43" s="446"/>
      <c r="N43" s="2770">
        <f t="shared" si="74"/>
        <v>585.06505200000004</v>
      </c>
      <c r="O43" s="2770">
        <f t="shared" si="74"/>
        <v>813.30740218000005</v>
      </c>
      <c r="P43" s="2770">
        <f t="shared" si="74"/>
        <v>832.12290180000002</v>
      </c>
      <c r="Q43" s="2770">
        <f t="shared" si="74"/>
        <v>751.2674598000001</v>
      </c>
      <c r="R43" s="2771">
        <f t="shared" si="74"/>
        <v>3104.1090112500001</v>
      </c>
      <c r="S43" s="2770">
        <f t="shared" si="74"/>
        <v>573.72465150000005</v>
      </c>
      <c r="T43" s="2770">
        <f t="shared" si="74"/>
        <v>789.5180329399999</v>
      </c>
      <c r="U43" s="2770">
        <f t="shared" si="74"/>
        <v>870.67776408000009</v>
      </c>
      <c r="V43" s="2770">
        <f t="shared" si="74"/>
        <v>780.45556288000012</v>
      </c>
      <c r="W43" s="2771">
        <f t="shared" si="74"/>
        <v>3146.5098896</v>
      </c>
      <c r="X43" s="2772">
        <f t="shared" si="74"/>
        <v>587.02868223999997</v>
      </c>
      <c r="Y43" s="2770">
        <f t="shared" si="74"/>
        <v>806.30036760000007</v>
      </c>
      <c r="Z43" s="2770">
        <f t="shared" si="74"/>
        <v>822.78190719999998</v>
      </c>
      <c r="AA43" s="2773">
        <f t="shared" si="74"/>
        <v>732.11567903999992</v>
      </c>
      <c r="AB43" s="2774">
        <f t="shared" si="74"/>
        <v>3001.2358314000003</v>
      </c>
      <c r="AC43" s="2770">
        <f t="shared" si="72"/>
        <v>582.0947496</v>
      </c>
      <c r="AD43" s="2770">
        <f t="shared" si="72"/>
        <v>812.93079503999991</v>
      </c>
      <c r="AE43" s="2770">
        <f t="shared" si="72"/>
        <v>900.51461160000008</v>
      </c>
      <c r="AF43" s="2773">
        <f t="shared" si="72"/>
        <v>806.49039816000004</v>
      </c>
      <c r="AG43" s="2774">
        <f t="shared" si="72"/>
        <v>3174.29726295</v>
      </c>
      <c r="AH43" s="2770">
        <f t="shared" ref="AH43:AL43" si="76">+(AH20*AH36*AH$5)/1000000</f>
        <v>644.56073873567993</v>
      </c>
      <c r="AI43" s="2770">
        <f t="shared" si="76"/>
        <v>896.82806159766449</v>
      </c>
      <c r="AJ43" s="2770">
        <f t="shared" si="76"/>
        <v>981.84286581336335</v>
      </c>
      <c r="AK43" s="2770">
        <f t="shared" si="76"/>
        <v>875.82496093983002</v>
      </c>
      <c r="AL43" s="2774">
        <f t="shared" si="76"/>
        <v>3454.7035732031286</v>
      </c>
      <c r="AM43" s="2774">
        <f t="shared" si="74"/>
        <v>3676.2943274787758</v>
      </c>
      <c r="AN43" s="2774">
        <f t="shared" si="74"/>
        <v>3696.9059404122936</v>
      </c>
    </row>
    <row r="44" spans="1:40" s="1828" customFormat="1">
      <c r="A44" s="2769" t="s">
        <v>209</v>
      </c>
      <c r="B44" s="2768"/>
      <c r="C44" s="446"/>
      <c r="D44" s="246"/>
      <c r="E44" s="246"/>
      <c r="F44" s="246"/>
      <c r="G44" s="246"/>
      <c r="H44" s="446"/>
      <c r="I44" s="246"/>
      <c r="J44" s="246"/>
      <c r="K44" s="246"/>
      <c r="L44" s="246"/>
      <c r="M44" s="446"/>
      <c r="N44" s="2770">
        <f t="shared" si="74"/>
        <v>195.6079944</v>
      </c>
      <c r="O44" s="2770">
        <f t="shared" si="74"/>
        <v>181.93893353999999</v>
      </c>
      <c r="P44" s="2770">
        <f t="shared" si="74"/>
        <v>203.13116448</v>
      </c>
      <c r="Q44" s="2770">
        <f t="shared" si="74"/>
        <v>210.74460791999999</v>
      </c>
      <c r="R44" s="2771">
        <f t="shared" si="74"/>
        <v>795.97746934999998</v>
      </c>
      <c r="S44" s="2770">
        <f t="shared" si="74"/>
        <v>193.99065839999997</v>
      </c>
      <c r="T44" s="2770">
        <f t="shared" si="74"/>
        <v>178.76972931999998</v>
      </c>
      <c r="U44" s="2770">
        <f t="shared" si="74"/>
        <v>202.72970039999998</v>
      </c>
      <c r="V44" s="2770">
        <f t="shared" si="74"/>
        <v>202.790379</v>
      </c>
      <c r="W44" s="2771">
        <f t="shared" si="74"/>
        <v>823.03111604999992</v>
      </c>
      <c r="X44" s="2772">
        <f t="shared" si="74"/>
        <v>220.18670673999998</v>
      </c>
      <c r="Y44" s="2770">
        <f t="shared" si="74"/>
        <v>217.63264068000001</v>
      </c>
      <c r="Z44" s="2770">
        <f t="shared" si="74"/>
        <v>229.21121960000002</v>
      </c>
      <c r="AA44" s="2773">
        <f t="shared" si="74"/>
        <v>210.83958503999997</v>
      </c>
      <c r="AB44" s="2774">
        <f t="shared" si="74"/>
        <v>890.72085563999997</v>
      </c>
      <c r="AC44" s="2770">
        <f t="shared" si="72"/>
        <v>212.53313249999999</v>
      </c>
      <c r="AD44" s="2770">
        <f t="shared" si="72"/>
        <v>242.94441444</v>
      </c>
      <c r="AE44" s="2770">
        <f t="shared" si="72"/>
        <v>193.75473516</v>
      </c>
      <c r="AF44" s="2773">
        <f t="shared" si="72"/>
        <v>217.88646672000002</v>
      </c>
      <c r="AG44" s="2774">
        <f t="shared" si="72"/>
        <v>819.12099880000005</v>
      </c>
      <c r="AH44" s="2770">
        <f t="shared" ref="AH44:AL44" si="77">+(AH21*AH37*AH$5)/1000000</f>
        <v>216.86945582250002</v>
      </c>
      <c r="AI44" s="2770">
        <f t="shared" si="77"/>
        <v>240.05974248723459</v>
      </c>
      <c r="AJ44" s="2770">
        <f t="shared" si="77"/>
        <v>209.35821619662727</v>
      </c>
      <c r="AK44" s="2770">
        <f t="shared" si="77"/>
        <v>234.106552092345</v>
      </c>
      <c r="AL44" s="2774">
        <f t="shared" si="77"/>
        <v>918.21689746335335</v>
      </c>
      <c r="AM44" s="2774">
        <f t="shared" si="74"/>
        <v>969.72960797868097</v>
      </c>
      <c r="AN44" s="2774">
        <f t="shared" si="74"/>
        <v>969.26835931192647</v>
      </c>
    </row>
    <row r="45" spans="1:40" s="1828" customFormat="1">
      <c r="A45" s="2769" t="s">
        <v>1688</v>
      </c>
      <c r="B45" s="2768"/>
      <c r="C45" s="446"/>
      <c r="D45" s="246"/>
      <c r="E45" s="246"/>
      <c r="F45" s="246"/>
      <c r="G45" s="246"/>
      <c r="H45" s="446"/>
      <c r="I45" s="246"/>
      <c r="J45" s="246"/>
      <c r="K45" s="246"/>
      <c r="L45" s="246"/>
      <c r="M45" s="446"/>
      <c r="N45" s="2770">
        <f t="shared" si="74"/>
        <v>401.2179678</v>
      </c>
      <c r="O45" s="2770">
        <f t="shared" si="74"/>
        <v>395.02114925000001</v>
      </c>
      <c r="P45" s="2770">
        <f t="shared" si="74"/>
        <v>442.27135344000004</v>
      </c>
      <c r="Q45" s="2770">
        <f t="shared" si="74"/>
        <v>487.89322240000001</v>
      </c>
      <c r="R45" s="2771">
        <f t="shared" si="74"/>
        <v>1842.0289290000003</v>
      </c>
      <c r="S45" s="2770">
        <f t="shared" si="74"/>
        <v>392.75712539999995</v>
      </c>
      <c r="T45" s="2770">
        <f t="shared" si="74"/>
        <v>393.87994463999996</v>
      </c>
      <c r="U45" s="2770">
        <f t="shared" si="74"/>
        <v>435.94538376000003</v>
      </c>
      <c r="V45" s="2770">
        <f t="shared" si="74"/>
        <v>473.64451263999996</v>
      </c>
      <c r="W45" s="2771">
        <f t="shared" si="74"/>
        <v>1804.0646584999997</v>
      </c>
      <c r="X45" s="2772">
        <f t="shared" si="74"/>
        <v>465.41337023999995</v>
      </c>
      <c r="Y45" s="2770">
        <f t="shared" si="74"/>
        <v>475.65684075000001</v>
      </c>
      <c r="Z45" s="2770">
        <f t="shared" si="74"/>
        <v>551.8814543200001</v>
      </c>
      <c r="AA45" s="2773">
        <f t="shared" si="74"/>
        <v>590.77221503999999</v>
      </c>
      <c r="AB45" s="2774">
        <f t="shared" si="74"/>
        <v>2262.99082464</v>
      </c>
      <c r="AC45" s="2770">
        <f t="shared" si="72"/>
        <v>525.55478399999993</v>
      </c>
      <c r="AD45" s="2770">
        <f t="shared" si="72"/>
        <v>559.37723204999998</v>
      </c>
      <c r="AE45" s="2770">
        <f t="shared" si="72"/>
        <v>635.07954016000008</v>
      </c>
      <c r="AF45" s="2773">
        <f t="shared" si="72"/>
        <v>680.08220587999995</v>
      </c>
      <c r="AG45" s="2774">
        <f t="shared" si="72"/>
        <v>2535.22810695</v>
      </c>
      <c r="AH45" s="2770">
        <f t="shared" ref="AH45:AL45" si="78">+(AH22*AH38*AH$5)/1000000</f>
        <v>639.63120952583995</v>
      </c>
      <c r="AI45" s="2770">
        <f t="shared" si="78"/>
        <v>657.96091728754141</v>
      </c>
      <c r="AJ45" s="2770">
        <f t="shared" si="78"/>
        <v>738.95799678882759</v>
      </c>
      <c r="AK45" s="2770">
        <f t="shared" si="78"/>
        <v>761.57172497245404</v>
      </c>
      <c r="AL45" s="2774">
        <f t="shared" si="78"/>
        <v>2854.4156812672518</v>
      </c>
      <c r="AM45" s="2774">
        <f t="shared" si="74"/>
        <v>3100.1423252757972</v>
      </c>
      <c r="AN45" s="2774">
        <f t="shared" si="74"/>
        <v>3140.532100704294</v>
      </c>
    </row>
    <row r="46" spans="1:40" s="1828" customFormat="1">
      <c r="A46" s="648" t="s">
        <v>168</v>
      </c>
      <c r="B46" s="2768"/>
      <c r="C46" s="446"/>
      <c r="D46" s="246"/>
      <c r="E46" s="246"/>
      <c r="F46" s="246"/>
      <c r="G46" s="246"/>
      <c r="H46" s="446"/>
      <c r="I46" s="246"/>
      <c r="J46" s="246"/>
      <c r="K46" s="246"/>
      <c r="L46" s="246"/>
      <c r="M46" s="446"/>
      <c r="N46" s="2775">
        <f>SUM(N41:N45)</f>
        <v>5975.9588841583582</v>
      </c>
      <c r="O46" s="2775">
        <f t="shared" ref="O46:AN46" si="79">SUM(O41:O45)</f>
        <v>7116.0352729762135</v>
      </c>
      <c r="P46" s="2775">
        <f t="shared" si="79"/>
        <v>7299.6270763531211</v>
      </c>
      <c r="Q46" s="2775">
        <f t="shared" si="79"/>
        <v>6590.9664732460606</v>
      </c>
      <c r="R46" s="2776">
        <f t="shared" si="79"/>
        <v>27541.436754506463</v>
      </c>
      <c r="S46" s="2775">
        <f t="shared" si="79"/>
        <v>6366.9580637404324</v>
      </c>
      <c r="T46" s="2775">
        <f t="shared" si="79"/>
        <v>7492.7330378597644</v>
      </c>
      <c r="U46" s="2775">
        <f t="shared" si="79"/>
        <v>7842.2763586977198</v>
      </c>
      <c r="V46" s="2775">
        <f t="shared" si="79"/>
        <v>6974.405818817434</v>
      </c>
      <c r="W46" s="2776">
        <f t="shared" si="79"/>
        <v>29501.597190207991</v>
      </c>
      <c r="X46" s="2777">
        <f t="shared" si="79"/>
        <v>6936.2410460872361</v>
      </c>
      <c r="Y46" s="2775">
        <f t="shared" si="79"/>
        <v>8155.8134000326272</v>
      </c>
      <c r="Z46" s="2775">
        <f t="shared" si="79"/>
        <v>8386.2308659271712</v>
      </c>
      <c r="AA46" s="2778">
        <f t="shared" si="79"/>
        <v>7360.8643356507091</v>
      </c>
      <c r="AB46" s="2780">
        <f t="shared" si="79"/>
        <v>31472.348342221292</v>
      </c>
      <c r="AC46" s="2775">
        <f>SUM(AC41:AC45)</f>
        <v>7346.7307777139995</v>
      </c>
      <c r="AD46" s="2775">
        <f>SUM(AD41:AD45)</f>
        <v>8651.7134907045529</v>
      </c>
      <c r="AE46" s="2775">
        <f>SUM(AE41:AE45)</f>
        <v>8813.2294920799995</v>
      </c>
      <c r="AF46" s="2778">
        <f>SUM(AF41:AF45)</f>
        <v>8113.4033538799995</v>
      </c>
      <c r="AG46" s="2780">
        <f>SUM(AG41:AG45)</f>
        <v>33670.97007055</v>
      </c>
      <c r="AH46" s="2775">
        <f t="shared" ref="AH46:AK46" si="80">SUM(AH41:AH45)</f>
        <v>7873.8804122866622</v>
      </c>
      <c r="AI46" s="2775">
        <f t="shared" si="80"/>
        <v>9387.2687712413681</v>
      </c>
      <c r="AJ46" s="2775">
        <f t="shared" si="80"/>
        <v>9629.9488097569101</v>
      </c>
      <c r="AK46" s="2775">
        <f t="shared" si="80"/>
        <v>8819.171979359342</v>
      </c>
      <c r="AL46" s="2780">
        <f>SUM(AL41:AL45)</f>
        <v>36623.40237766572</v>
      </c>
      <c r="AM46" s="2780">
        <f t="shared" si="79"/>
        <v>39384.140621951701</v>
      </c>
      <c r="AN46" s="2780">
        <f t="shared" si="79"/>
        <v>40113.156743657397</v>
      </c>
    </row>
    <row r="47" spans="1:40" s="1828" customFormat="1">
      <c r="A47" s="648"/>
      <c r="B47" s="2768"/>
      <c r="C47" s="446"/>
      <c r="D47" s="246"/>
      <c r="E47" s="246"/>
      <c r="F47" s="246"/>
      <c r="G47" s="246"/>
      <c r="H47" s="446"/>
      <c r="I47" s="246"/>
      <c r="J47" s="246"/>
      <c r="K47" s="246"/>
      <c r="L47" s="246"/>
      <c r="M47" s="446"/>
      <c r="N47" s="246"/>
      <c r="O47" s="246"/>
      <c r="P47" s="246"/>
      <c r="Q47" s="246"/>
      <c r="R47" s="446"/>
      <c r="S47" s="246"/>
      <c r="T47" s="246"/>
      <c r="U47" s="246"/>
      <c r="V47" s="246"/>
      <c r="W47" s="446"/>
      <c r="X47" s="1336"/>
      <c r="Y47" s="246"/>
      <c r="Z47" s="246"/>
      <c r="AA47" s="1338"/>
      <c r="AB47" s="2768"/>
      <c r="AC47" s="246"/>
      <c r="AD47" s="246"/>
      <c r="AE47" s="246"/>
      <c r="AF47" s="1338"/>
      <c r="AG47" s="2768"/>
      <c r="AH47" s="246"/>
      <c r="AI47" s="246"/>
      <c r="AJ47" s="246"/>
      <c r="AK47" s="1338"/>
      <c r="AL47" s="2768"/>
      <c r="AM47" s="2768"/>
      <c r="AN47" s="2768"/>
    </row>
    <row r="48" spans="1:40" s="1828" customFormat="1">
      <c r="A48" s="2767" t="s">
        <v>2475</v>
      </c>
      <c r="B48" s="2768"/>
      <c r="C48" s="446"/>
      <c r="D48" s="246"/>
      <c r="E48" s="246"/>
      <c r="F48" s="246"/>
      <c r="G48" s="246"/>
      <c r="H48" s="446"/>
      <c r="I48" s="246"/>
      <c r="J48" s="246"/>
      <c r="K48" s="246"/>
      <c r="L48" s="246"/>
      <c r="M48" s="446"/>
      <c r="N48" s="246"/>
      <c r="O48" s="246"/>
      <c r="P48" s="246"/>
      <c r="Q48" s="246"/>
      <c r="R48" s="446"/>
      <c r="S48" s="246"/>
      <c r="T48" s="246"/>
      <c r="U48" s="246"/>
      <c r="V48" s="246"/>
      <c r="W48" s="446"/>
      <c r="X48" s="1336"/>
      <c r="Y48" s="246"/>
      <c r="Z48" s="246"/>
      <c r="AA48" s="1338"/>
      <c r="AB48" s="2768"/>
      <c r="AC48" s="246"/>
      <c r="AD48" s="246"/>
      <c r="AE48" s="246"/>
      <c r="AF48" s="1338"/>
      <c r="AG48" s="2768"/>
      <c r="AH48" s="246"/>
      <c r="AI48" s="246"/>
      <c r="AJ48" s="246"/>
      <c r="AK48" s="1338"/>
      <c r="AL48" s="2768"/>
      <c r="AM48" s="2768"/>
      <c r="AN48" s="2768"/>
    </row>
    <row r="49" spans="1:40" s="1828" customFormat="1">
      <c r="A49" s="2769" t="s">
        <v>2171</v>
      </c>
      <c r="B49" s="2768"/>
      <c r="C49" s="446"/>
      <c r="D49" s="246"/>
      <c r="E49" s="246"/>
      <c r="F49" s="246"/>
      <c r="G49" s="246"/>
      <c r="H49" s="446"/>
      <c r="I49" s="246"/>
      <c r="J49" s="246"/>
      <c r="K49" s="246"/>
      <c r="L49" s="246"/>
      <c r="M49" s="446"/>
      <c r="N49" s="1991">
        <f>+N41/N$46</f>
        <v>0.74886424236673377</v>
      </c>
      <c r="O49" s="1991">
        <f t="shared" ref="O49:AN49" si="81">+O41/O$46</f>
        <v>0.75613502488297535</v>
      </c>
      <c r="P49" s="1991">
        <f t="shared" si="81"/>
        <v>0.74477352735615354</v>
      </c>
      <c r="Q49" s="1991">
        <f t="shared" si="81"/>
        <v>0.72798615168147163</v>
      </c>
      <c r="R49" s="1992">
        <f t="shared" si="81"/>
        <v>0.73981350639109489</v>
      </c>
      <c r="S49" s="1991">
        <f t="shared" si="81"/>
        <v>0.7603524329726703</v>
      </c>
      <c r="T49" s="1991">
        <f t="shared" si="81"/>
        <v>0.76551427223922297</v>
      </c>
      <c r="U49" s="1991">
        <f t="shared" si="81"/>
        <v>0.75028774502115159</v>
      </c>
      <c r="V49" s="1991">
        <f t="shared" si="81"/>
        <v>0.73282579488135013</v>
      </c>
      <c r="W49" s="1992">
        <f t="shared" si="81"/>
        <v>0.74633351053983288</v>
      </c>
      <c r="X49" s="2769">
        <f t="shared" si="81"/>
        <v>0.75527296173122538</v>
      </c>
      <c r="Y49" s="1991">
        <f t="shared" si="81"/>
        <v>0.76141210038659746</v>
      </c>
      <c r="Z49" s="1991">
        <f t="shared" si="81"/>
        <v>0.75123594643652536</v>
      </c>
      <c r="AA49" s="2779">
        <f t="shared" si="81"/>
        <v>0.73369929912212883</v>
      </c>
      <c r="AB49" s="1992">
        <f t="shared" si="81"/>
        <v>0.74657341532022592</v>
      </c>
      <c r="AC49" s="1991">
        <f t="shared" ref="AC49:AG53" si="82">+AC41/AC$46</f>
        <v>0.77616239050320934</v>
      </c>
      <c r="AD49" s="1991">
        <f t="shared" si="82"/>
        <v>0.77066036268748217</v>
      </c>
      <c r="AE49" s="1991">
        <f t="shared" si="82"/>
        <v>0.7571124419483608</v>
      </c>
      <c r="AF49" s="2779">
        <f t="shared" si="82"/>
        <v>0.74424131913919256</v>
      </c>
      <c r="AG49" s="1992">
        <f t="shared" si="82"/>
        <v>0.7606170834694832</v>
      </c>
      <c r="AH49" s="1991">
        <f t="shared" ref="AH49:AL49" si="83">+AH41/AH$46</f>
        <v>0.76274038519708209</v>
      </c>
      <c r="AI49" s="1991">
        <f t="shared" si="83"/>
        <v>0.76486972270539011</v>
      </c>
      <c r="AJ49" s="1991">
        <f t="shared" si="83"/>
        <v>0.75215529979482554</v>
      </c>
      <c r="AK49" s="1991">
        <f t="shared" si="83"/>
        <v>0.74217974816578036</v>
      </c>
      <c r="AL49" s="1992">
        <f t="shared" si="83"/>
        <v>0.75698463603845445</v>
      </c>
      <c r="AM49" s="1992">
        <f t="shared" si="81"/>
        <v>0.75786869417176306</v>
      </c>
      <c r="AN49" s="1992">
        <f t="shared" si="81"/>
        <v>0.76012164645606251</v>
      </c>
    </row>
    <row r="50" spans="1:40" s="1828" customFormat="1">
      <c r="A50" s="2769" t="s">
        <v>208</v>
      </c>
      <c r="B50" s="2768"/>
      <c r="C50" s="446"/>
      <c r="D50" s="246"/>
      <c r="E50" s="246"/>
      <c r="F50" s="246"/>
      <c r="G50" s="246"/>
      <c r="H50" s="446"/>
      <c r="I50" s="246"/>
      <c r="J50" s="246"/>
      <c r="K50" s="246"/>
      <c r="L50" s="246"/>
      <c r="M50" s="446"/>
      <c r="N50" s="1991">
        <f t="shared" ref="N50:AN53" si="84">+N42/N$46</f>
        <v>5.3361469504700026E-2</v>
      </c>
      <c r="O50" s="1991">
        <f t="shared" si="84"/>
        <v>4.8493896751285348E-2</v>
      </c>
      <c r="P50" s="1991">
        <f t="shared" si="84"/>
        <v>5.2815389959034967E-2</v>
      </c>
      <c r="Q50" s="1991">
        <f t="shared" si="84"/>
        <v>5.2030133334476904E-2</v>
      </c>
      <c r="R50" s="1992">
        <f t="shared" si="84"/>
        <v>5.1696447835950086E-2</v>
      </c>
      <c r="S50" s="1991">
        <f t="shared" si="84"/>
        <v>5.7382751760390434E-2</v>
      </c>
      <c r="T50" s="1991">
        <f t="shared" si="84"/>
        <v>5.268721712158158E-2</v>
      </c>
      <c r="U50" s="1991">
        <f t="shared" si="84"/>
        <v>5.7248641200942432E-2</v>
      </c>
      <c r="V50" s="1991">
        <f t="shared" si="84"/>
        <v>5.8283226823522848E-2</v>
      </c>
      <c r="W50" s="1992">
        <f t="shared" si="84"/>
        <v>5.7961639077817581E-2</v>
      </c>
      <c r="X50" s="2769">
        <f t="shared" si="84"/>
        <v>6.1251759545885479E-2</v>
      </c>
      <c r="Y50" s="1991">
        <f t="shared" si="84"/>
        <v>5.4720298004959637E-2</v>
      </c>
      <c r="Z50" s="1991">
        <f t="shared" si="84"/>
        <v>5.7513108202971883E-2</v>
      </c>
      <c r="AA50" s="2779">
        <f t="shared" si="84"/>
        <v>5.7938284566007914E-2</v>
      </c>
      <c r="AB50" s="1992">
        <f t="shared" si="84"/>
        <v>5.7859751065934092E-2</v>
      </c>
      <c r="AC50" s="1991">
        <f t="shared" si="82"/>
        <v>4.4140992587305118E-2</v>
      </c>
      <c r="AD50" s="1991">
        <f t="shared" si="82"/>
        <v>4.2642234160479145E-2</v>
      </c>
      <c r="AE50" s="1991">
        <f t="shared" si="82"/>
        <v>4.6665629588970962E-2</v>
      </c>
      <c r="AF50" s="2779">
        <f t="shared" si="82"/>
        <v>4.567926086686723E-2</v>
      </c>
      <c r="AG50" s="1992">
        <f t="shared" si="82"/>
        <v>4.5487511823712121E-2</v>
      </c>
      <c r="AH50" s="1991">
        <f t="shared" ref="AH50:AL50" si="85">+AH42/AH$46</f>
        <v>4.6621539865722615E-2</v>
      </c>
      <c r="AI50" s="1991">
        <f t="shared" si="85"/>
        <v>4.3929964923550641E-2</v>
      </c>
      <c r="AJ50" s="1991">
        <f t="shared" si="85"/>
        <v>4.7411747036907238E-2</v>
      </c>
      <c r="AK50" s="1991">
        <f t="shared" si="85"/>
        <v>4.5611753986037076E-2</v>
      </c>
      <c r="AL50" s="1992">
        <f t="shared" si="85"/>
        <v>4.5673345396355612E-2</v>
      </c>
      <c r="AM50" s="1992">
        <f t="shared" si="84"/>
        <v>4.5448932202551098E-2</v>
      </c>
      <c r="AN50" s="1992">
        <f t="shared" si="84"/>
        <v>4.5261249477130269E-2</v>
      </c>
    </row>
    <row r="51" spans="1:40" s="1828" customFormat="1">
      <c r="A51" s="2769" t="s">
        <v>2218</v>
      </c>
      <c r="B51" s="2768"/>
      <c r="C51" s="446"/>
      <c r="D51" s="246"/>
      <c r="E51" s="246"/>
      <c r="F51" s="246"/>
      <c r="G51" s="246"/>
      <c r="H51" s="446"/>
      <c r="I51" s="246"/>
      <c r="J51" s="246"/>
      <c r="K51" s="246"/>
      <c r="L51" s="246"/>
      <c r="M51" s="446"/>
      <c r="N51" s="1991">
        <f t="shared" si="84"/>
        <v>9.7903125396485963E-2</v>
      </c>
      <c r="O51" s="1991">
        <f t="shared" si="84"/>
        <v>0.1142922106174218</v>
      </c>
      <c r="P51" s="1991">
        <f t="shared" si="84"/>
        <v>0.1139952620998451</v>
      </c>
      <c r="Q51" s="1991">
        <f t="shared" si="84"/>
        <v>0.11398441531291841</v>
      </c>
      <c r="R51" s="1992">
        <f t="shared" si="84"/>
        <v>0.11270686561920525</v>
      </c>
      <c r="S51" s="1991">
        <f t="shared" si="84"/>
        <v>9.0109695361013709E-2</v>
      </c>
      <c r="T51" s="1991">
        <f t="shared" si="84"/>
        <v>0.10537116816396264</v>
      </c>
      <c r="U51" s="1991">
        <f t="shared" si="84"/>
        <v>0.11102360134431477</v>
      </c>
      <c r="V51" s="1991">
        <f t="shared" si="84"/>
        <v>0.11190280335771063</v>
      </c>
      <c r="W51" s="1992">
        <f t="shared" si="84"/>
        <v>0.10665557763917854</v>
      </c>
      <c r="X51" s="2769">
        <f t="shared" si="84"/>
        <v>8.4632105248295175E-2</v>
      </c>
      <c r="Y51" s="1991">
        <f t="shared" si="84"/>
        <v>9.8862042086050483E-2</v>
      </c>
      <c r="Z51" s="1991">
        <f t="shared" si="84"/>
        <v>9.8111048974685505E-2</v>
      </c>
      <c r="AA51" s="2779">
        <f t="shared" si="84"/>
        <v>9.9460558659417275E-2</v>
      </c>
      <c r="AB51" s="1992">
        <f t="shared" si="84"/>
        <v>9.536103880032791E-2</v>
      </c>
      <c r="AC51" s="1991">
        <f t="shared" si="82"/>
        <v>7.9231806256704007E-2</v>
      </c>
      <c r="AD51" s="1991">
        <f t="shared" si="82"/>
        <v>9.396182570232095E-2</v>
      </c>
      <c r="AE51" s="1991">
        <f t="shared" si="82"/>
        <v>0.10217759703287503</v>
      </c>
      <c r="AF51" s="2779">
        <f t="shared" si="82"/>
        <v>9.9402231466073909E-2</v>
      </c>
      <c r="AG51" s="1992">
        <f t="shared" si="82"/>
        <v>9.4274006846222988E-2</v>
      </c>
      <c r="AH51" s="1991">
        <f t="shared" ref="AH51:AL51" si="86">+AH43/AH$46</f>
        <v>8.186062081027877E-2</v>
      </c>
      <c r="AI51" s="1991">
        <f t="shared" si="86"/>
        <v>9.553663407882465E-2</v>
      </c>
      <c r="AJ51" s="1991">
        <f t="shared" si="86"/>
        <v>0.10195722585966147</v>
      </c>
      <c r="AK51" s="1991">
        <f t="shared" si="86"/>
        <v>9.9309205330119124E-2</v>
      </c>
      <c r="AL51" s="1992">
        <f t="shared" si="86"/>
        <v>9.4330492224008453E-2</v>
      </c>
      <c r="AM51" s="1992">
        <f t="shared" si="84"/>
        <v>9.3344535882286195E-2</v>
      </c>
      <c r="AN51" s="1992">
        <f t="shared" si="84"/>
        <v>9.2161929913352938E-2</v>
      </c>
    </row>
    <row r="52" spans="1:40" s="1828" customFormat="1">
      <c r="A52" s="2769" t="s">
        <v>209</v>
      </c>
      <c r="B52" s="2768"/>
      <c r="C52" s="446"/>
      <c r="D52" s="246"/>
      <c r="E52" s="246"/>
      <c r="F52" s="246"/>
      <c r="G52" s="246"/>
      <c r="H52" s="446"/>
      <c r="I52" s="246"/>
      <c r="J52" s="246"/>
      <c r="K52" s="246"/>
      <c r="L52" s="246"/>
      <c r="M52" s="446"/>
      <c r="N52" s="1991">
        <f t="shared" si="84"/>
        <v>3.2732486650558508E-2</v>
      </c>
      <c r="O52" s="1991">
        <f t="shared" si="84"/>
        <v>2.5567458080334358E-2</v>
      </c>
      <c r="P52" s="1991">
        <f t="shared" si="84"/>
        <v>2.7827608500444644E-2</v>
      </c>
      <c r="Q52" s="1991">
        <f t="shared" si="84"/>
        <v>3.1974765578834448E-2</v>
      </c>
      <c r="R52" s="1992">
        <f t="shared" si="84"/>
        <v>2.8901087348675022E-2</v>
      </c>
      <c r="S52" s="1991">
        <f t="shared" si="84"/>
        <v>3.0468342410604036E-2</v>
      </c>
      <c r="T52" s="1991">
        <f t="shared" si="84"/>
        <v>2.3859081648405299E-2</v>
      </c>
      <c r="U52" s="1991">
        <f t="shared" si="84"/>
        <v>2.5850874303244405E-2</v>
      </c>
      <c r="V52" s="1991">
        <f t="shared" si="84"/>
        <v>2.9076366398533535E-2</v>
      </c>
      <c r="W52" s="1992">
        <f t="shared" si="84"/>
        <v>2.789784941959603E-2</v>
      </c>
      <c r="X52" s="2769">
        <f t="shared" si="84"/>
        <v>3.1744385074997973E-2</v>
      </c>
      <c r="Y52" s="1991">
        <f t="shared" si="84"/>
        <v>2.6684357525777792E-2</v>
      </c>
      <c r="Z52" s="1991">
        <f t="shared" si="84"/>
        <v>2.7331851849115379E-2</v>
      </c>
      <c r="AA52" s="2779">
        <f t="shared" si="84"/>
        <v>2.8643318967155166E-2</v>
      </c>
      <c r="AB52" s="1992">
        <f t="shared" si="84"/>
        <v>2.8301696649851379E-2</v>
      </c>
      <c r="AC52" s="1991">
        <f t="shared" si="82"/>
        <v>2.8928939814251851E-2</v>
      </c>
      <c r="AD52" s="1991">
        <f t="shared" si="82"/>
        <v>2.8080496967568421E-2</v>
      </c>
      <c r="AE52" s="1991">
        <f t="shared" si="82"/>
        <v>2.1984533062950139E-2</v>
      </c>
      <c r="AF52" s="2779">
        <f t="shared" si="82"/>
        <v>2.685512567494899E-2</v>
      </c>
      <c r="AG52" s="1992">
        <f t="shared" si="82"/>
        <v>2.432721709780606E-2</v>
      </c>
      <c r="AH52" s="1991">
        <f t="shared" ref="AH52:AL52" si="87">+AH44/AH$46</f>
        <v>2.7542894286797875E-2</v>
      </c>
      <c r="AI52" s="1991">
        <f t="shared" si="87"/>
        <v>2.5572906064293844E-2</v>
      </c>
      <c r="AJ52" s="1991">
        <f t="shared" si="87"/>
        <v>2.1740324931375427E-2</v>
      </c>
      <c r="AK52" s="1991">
        <f t="shared" si="87"/>
        <v>2.6545185040075768E-2</v>
      </c>
      <c r="AL52" s="1992">
        <f t="shared" si="87"/>
        <v>2.5071862193320284E-2</v>
      </c>
      <c r="AM52" s="1992">
        <f t="shared" si="84"/>
        <v>2.4622337638063856E-2</v>
      </c>
      <c r="AN52" s="1992">
        <f t="shared" si="84"/>
        <v>2.4163352824760793E-2</v>
      </c>
    </row>
    <row r="53" spans="1:40" s="1828" customFormat="1">
      <c r="A53" s="2769" t="s">
        <v>1688</v>
      </c>
      <c r="B53" s="2768"/>
      <c r="C53" s="446"/>
      <c r="D53" s="246"/>
      <c r="E53" s="246"/>
      <c r="F53" s="246"/>
      <c r="G53" s="246"/>
      <c r="H53" s="446"/>
      <c r="I53" s="246"/>
      <c r="J53" s="246"/>
      <c r="K53" s="246"/>
      <c r="L53" s="246"/>
      <c r="M53" s="446"/>
      <c r="N53" s="1991">
        <f t="shared" si="84"/>
        <v>6.7138676081521728E-2</v>
      </c>
      <c r="O53" s="1991">
        <f t="shared" si="84"/>
        <v>5.5511409667983028E-2</v>
      </c>
      <c r="P53" s="1991">
        <f t="shared" si="84"/>
        <v>6.0588212084521711E-2</v>
      </c>
      <c r="Q53" s="1991">
        <f t="shared" si="84"/>
        <v>7.4024534092298588E-2</v>
      </c>
      <c r="R53" s="1992">
        <f t="shared" si="84"/>
        <v>6.688209280507483E-2</v>
      </c>
      <c r="S53" s="1991">
        <f t="shared" si="84"/>
        <v>6.1686777495321643E-2</v>
      </c>
      <c r="T53" s="1991">
        <f t="shared" si="84"/>
        <v>5.2568260826827543E-2</v>
      </c>
      <c r="U53" s="1991">
        <f t="shared" si="84"/>
        <v>5.5589138130346716E-2</v>
      </c>
      <c r="V53" s="1991">
        <f t="shared" si="84"/>
        <v>6.7911808538882831E-2</v>
      </c>
      <c r="W53" s="1992">
        <f t="shared" si="84"/>
        <v>6.1151423323575003E-2</v>
      </c>
      <c r="X53" s="2769">
        <f t="shared" si="84"/>
        <v>6.7098788399596015E-2</v>
      </c>
      <c r="Y53" s="1991">
        <f t="shared" si="84"/>
        <v>5.8321201996614731E-2</v>
      </c>
      <c r="Z53" s="1991">
        <f t="shared" si="84"/>
        <v>6.5808044536701985E-2</v>
      </c>
      <c r="AA53" s="2779">
        <f t="shared" si="84"/>
        <v>8.0258538685290828E-2</v>
      </c>
      <c r="AB53" s="1992">
        <f t="shared" si="84"/>
        <v>7.1904098163660571E-2</v>
      </c>
      <c r="AC53" s="1991">
        <f t="shared" si="82"/>
        <v>7.1535870838529761E-2</v>
      </c>
      <c r="AD53" s="1991">
        <f t="shared" si="82"/>
        <v>6.4655080482149324E-2</v>
      </c>
      <c r="AE53" s="1991">
        <f t="shared" si="82"/>
        <v>7.2059798366843134E-2</v>
      </c>
      <c r="AF53" s="2779">
        <f t="shared" si="82"/>
        <v>8.3822062852917378E-2</v>
      </c>
      <c r="AG53" s="1992">
        <f t="shared" si="82"/>
        <v>7.5294180762775637E-2</v>
      </c>
      <c r="AH53" s="1991">
        <f t="shared" ref="AH53:AL53" si="88">+AH45/AH$46</f>
        <v>8.1234559840118778E-2</v>
      </c>
      <c r="AI53" s="1991">
        <f t="shared" si="88"/>
        <v>7.0090772227940898E-2</v>
      </c>
      <c r="AJ53" s="1991">
        <f t="shared" si="88"/>
        <v>7.6735402377230408E-2</v>
      </c>
      <c r="AK53" s="1991">
        <f t="shared" si="88"/>
        <v>8.635410747798769E-2</v>
      </c>
      <c r="AL53" s="1992">
        <f t="shared" si="88"/>
        <v>7.7939664147861312E-2</v>
      </c>
      <c r="AM53" s="1992">
        <f t="shared" si="84"/>
        <v>7.8715500105335748E-2</v>
      </c>
      <c r="AN53" s="1992">
        <f t="shared" si="84"/>
        <v>7.8291821328693306E-2</v>
      </c>
    </row>
    <row r="54" spans="1:40" s="1828" customFormat="1">
      <c r="A54" s="648" t="s">
        <v>168</v>
      </c>
      <c r="B54" s="2768"/>
      <c r="C54" s="446"/>
      <c r="D54" s="246"/>
      <c r="E54" s="246"/>
      <c r="F54" s="246"/>
      <c r="G54" s="246"/>
      <c r="H54" s="446"/>
      <c r="I54" s="246"/>
      <c r="J54" s="246"/>
      <c r="K54" s="246"/>
      <c r="L54" s="246"/>
      <c r="M54" s="446"/>
      <c r="N54" s="1991">
        <f>SUM(N49:N53)</f>
        <v>0.99999999999999989</v>
      </c>
      <c r="O54" s="1991">
        <f t="shared" ref="O54:AN54" si="89">SUM(O49:O53)</f>
        <v>0.99999999999999989</v>
      </c>
      <c r="P54" s="1991">
        <f t="shared" si="89"/>
        <v>1</v>
      </c>
      <c r="Q54" s="1991">
        <f t="shared" si="89"/>
        <v>1</v>
      </c>
      <c r="R54" s="1992">
        <f t="shared" si="89"/>
        <v>1</v>
      </c>
      <c r="S54" s="1991">
        <f t="shared" si="89"/>
        <v>1</v>
      </c>
      <c r="T54" s="1991">
        <f t="shared" si="89"/>
        <v>1</v>
      </c>
      <c r="U54" s="1991">
        <f t="shared" si="89"/>
        <v>0.99999999999999989</v>
      </c>
      <c r="V54" s="1991">
        <f t="shared" si="89"/>
        <v>0.99999999999999989</v>
      </c>
      <c r="W54" s="1992">
        <f t="shared" si="89"/>
        <v>1</v>
      </c>
      <c r="X54" s="2769">
        <f t="shared" si="89"/>
        <v>1</v>
      </c>
      <c r="Y54" s="1991">
        <f t="shared" si="89"/>
        <v>1.0000000000000002</v>
      </c>
      <c r="Z54" s="1991">
        <f t="shared" si="89"/>
        <v>1</v>
      </c>
      <c r="AA54" s="2779">
        <f t="shared" si="89"/>
        <v>1</v>
      </c>
      <c r="AB54" s="1992">
        <f t="shared" si="89"/>
        <v>0.99999999999999989</v>
      </c>
      <c r="AC54" s="1991">
        <f>SUM(AC49:AC53)</f>
        <v>1</v>
      </c>
      <c r="AD54" s="1991">
        <f>SUM(AD49:AD53)</f>
        <v>1</v>
      </c>
      <c r="AE54" s="1991">
        <f>SUM(AE49:AE53)</f>
        <v>1</v>
      </c>
      <c r="AF54" s="2779">
        <f>SUM(AF49:AF53)</f>
        <v>1</v>
      </c>
      <c r="AG54" s="1992">
        <f>SUM(AG49:AG53)</f>
        <v>1</v>
      </c>
      <c r="AH54" s="1991">
        <f t="shared" ref="AH54:AK54" si="90">SUM(AH49:AH53)</f>
        <v>1.0000000000000002</v>
      </c>
      <c r="AI54" s="1991">
        <f t="shared" si="90"/>
        <v>1</v>
      </c>
      <c r="AJ54" s="1991">
        <f t="shared" si="90"/>
        <v>1</v>
      </c>
      <c r="AK54" s="1991">
        <f t="shared" si="90"/>
        <v>1</v>
      </c>
      <c r="AL54" s="1992">
        <f>SUM(AL49:AL53)</f>
        <v>1</v>
      </c>
      <c r="AM54" s="1992">
        <f t="shared" si="89"/>
        <v>1</v>
      </c>
      <c r="AN54" s="1992">
        <f t="shared" si="89"/>
        <v>0.99999999999999978</v>
      </c>
    </row>
    <row r="55" spans="1:40" s="130" customFormat="1">
      <c r="A55" s="648"/>
      <c r="B55" s="138"/>
      <c r="C55" s="446"/>
      <c r="D55" s="246"/>
      <c r="E55" s="246"/>
      <c r="F55" s="246"/>
      <c r="G55" s="246"/>
      <c r="H55" s="446"/>
      <c r="I55" s="246"/>
      <c r="J55" s="246"/>
      <c r="K55" s="246"/>
      <c r="L55" s="246"/>
      <c r="M55" s="446"/>
      <c r="N55" s="246"/>
      <c r="O55" s="246"/>
      <c r="P55" s="246"/>
      <c r="Q55" s="246"/>
      <c r="R55" s="446"/>
      <c r="S55" s="246"/>
      <c r="T55" s="246"/>
      <c r="U55" s="246"/>
      <c r="V55" s="246"/>
      <c r="W55" s="446"/>
      <c r="X55" s="1336"/>
      <c r="Y55" s="246"/>
      <c r="Z55" s="246"/>
      <c r="AA55" s="1338"/>
      <c r="AB55" s="138"/>
      <c r="AC55" s="246"/>
      <c r="AD55" s="246"/>
      <c r="AE55" s="246"/>
      <c r="AF55" s="1338"/>
      <c r="AG55" s="138"/>
      <c r="AH55" s="246"/>
      <c r="AI55" s="246"/>
      <c r="AJ55" s="246"/>
      <c r="AK55" s="1338"/>
      <c r="AL55" s="138"/>
      <c r="AM55" s="138"/>
      <c r="AN55" s="138"/>
    </row>
    <row r="56" spans="1:40" s="130" customFormat="1">
      <c r="A56" s="648" t="s">
        <v>1182</v>
      </c>
      <c r="B56" s="138"/>
      <c r="C56" s="446"/>
      <c r="D56" s="246"/>
      <c r="E56" s="246"/>
      <c r="F56" s="246"/>
      <c r="G56" s="246"/>
      <c r="H56" s="446"/>
      <c r="I56" s="246"/>
      <c r="J56" s="246"/>
      <c r="K56" s="246"/>
      <c r="L56" s="246"/>
      <c r="M56" s="446"/>
      <c r="N56" s="246"/>
      <c r="O56" s="246"/>
      <c r="P56" s="246"/>
      <c r="Q56" s="246"/>
      <c r="R56" s="446"/>
      <c r="S56" s="246"/>
      <c r="T56" s="246"/>
      <c r="U56" s="246"/>
      <c r="V56" s="246"/>
      <c r="W56" s="446"/>
      <c r="X56" s="1336"/>
      <c r="Y56" s="246"/>
      <c r="Z56" s="246"/>
      <c r="AA56" s="1338"/>
      <c r="AB56" s="138"/>
      <c r="AC56" s="246"/>
      <c r="AD56" s="246"/>
      <c r="AE56" s="246"/>
      <c r="AF56" s="1338"/>
      <c r="AG56" s="138"/>
      <c r="AH56" s="246"/>
      <c r="AI56" s="246"/>
      <c r="AJ56" s="246"/>
      <c r="AK56" s="1338"/>
      <c r="AL56" s="138"/>
      <c r="AM56" s="138"/>
      <c r="AN56" s="138"/>
    </row>
    <row r="57" spans="1:40" s="130" customFormat="1">
      <c r="A57" s="2021" t="s">
        <v>432</v>
      </c>
      <c r="B57" s="614">
        <f t="shared" ref="B57:R57" si="91">B454</f>
        <v>0</v>
      </c>
      <c r="C57" s="614">
        <f t="shared" si="91"/>
        <v>6.7000000000000004E-2</v>
      </c>
      <c r="D57" s="611">
        <f t="shared" si="91"/>
        <v>0</v>
      </c>
      <c r="E57" s="611">
        <f t="shared" si="91"/>
        <v>0</v>
      </c>
      <c r="F57" s="611">
        <f t="shared" si="91"/>
        <v>0</v>
      </c>
      <c r="G57" s="611">
        <f t="shared" si="91"/>
        <v>0</v>
      </c>
      <c r="H57" s="614">
        <f t="shared" si="91"/>
        <v>6.0999999999999999E-2</v>
      </c>
      <c r="I57" s="611">
        <f t="shared" si="91"/>
        <v>5.5E-2</v>
      </c>
      <c r="J57" s="611">
        <f t="shared" si="91"/>
        <v>5.1999999999999998E-2</v>
      </c>
      <c r="K57" s="611">
        <f t="shared" si="91"/>
        <v>5.1999999999999998E-2</v>
      </c>
      <c r="L57" s="611">
        <f>L454</f>
        <v>4.7E-2</v>
      </c>
      <c r="M57" s="614">
        <f>M454</f>
        <v>5.1999999999999998E-2</v>
      </c>
      <c r="N57" s="611">
        <f>N454</f>
        <v>6.7000000000000004E-2</v>
      </c>
      <c r="O57" s="611">
        <f t="shared" si="91"/>
        <v>7.2999999999999995E-2</v>
      </c>
      <c r="P57" s="611">
        <f t="shared" si="91"/>
        <v>8.7999999999999995E-2</v>
      </c>
      <c r="Q57" s="611">
        <f t="shared" si="91"/>
        <v>6.8000000000000005E-2</v>
      </c>
      <c r="R57" s="614">
        <f t="shared" si="91"/>
        <v>7.3999999999999996E-2</v>
      </c>
      <c r="S57" s="611">
        <f t="shared" ref="S57:AN57" si="92">S454</f>
        <v>6.5000000000000002E-2</v>
      </c>
      <c r="T57" s="611">
        <f t="shared" si="92"/>
        <v>0.05</v>
      </c>
      <c r="U57" s="611">
        <f t="shared" si="92"/>
        <v>5.0999999999999997E-2</v>
      </c>
      <c r="V57" s="611">
        <f t="shared" si="92"/>
        <v>3.7999999999999999E-2</v>
      </c>
      <c r="W57" s="614">
        <f t="shared" si="92"/>
        <v>5.1999999999999998E-2</v>
      </c>
      <c r="X57" s="611">
        <f t="shared" si="92"/>
        <v>1.7999999999999999E-2</v>
      </c>
      <c r="Y57" s="611">
        <f t="shared" si="92"/>
        <v>2.9000000000000001E-2</v>
      </c>
      <c r="Z57" s="611">
        <f t="shared" si="92"/>
        <v>1.4999999999999999E-2</v>
      </c>
      <c r="AA57" s="611">
        <f t="shared" si="92"/>
        <v>8.9999999999999993E-3</v>
      </c>
      <c r="AB57" s="614">
        <f t="shared" si="92"/>
        <v>1.7749999999999998E-2</v>
      </c>
      <c r="AC57" s="611">
        <f t="shared" si="92"/>
        <v>2.5000000000000001E-2</v>
      </c>
      <c r="AD57" s="611">
        <f t="shared" si="92"/>
        <v>5.0000000000000001E-3</v>
      </c>
      <c r="AE57" s="611">
        <f t="shared" si="92"/>
        <v>-1E-3</v>
      </c>
      <c r="AF57" s="611">
        <f t="shared" si="92"/>
        <v>3.2000000000000001E-2</v>
      </c>
      <c r="AG57" s="614">
        <f t="shared" si="92"/>
        <v>1.525E-2</v>
      </c>
      <c r="AH57" s="611">
        <f t="shared" ref="AH57:AL57" si="93">AH454</f>
        <v>1.2500000000000001E-2</v>
      </c>
      <c r="AI57" s="611">
        <f t="shared" si="93"/>
        <v>0.02</v>
      </c>
      <c r="AJ57" s="611">
        <f t="shared" si="93"/>
        <v>0.02</v>
      </c>
      <c r="AK57" s="611">
        <f t="shared" si="93"/>
        <v>1.4999999999999999E-2</v>
      </c>
      <c r="AL57" s="614">
        <f t="shared" si="93"/>
        <v>1.6875000000000001E-2</v>
      </c>
      <c r="AM57" s="614">
        <f t="shared" si="92"/>
        <v>1.2999999999999999E-2</v>
      </c>
      <c r="AN57" s="614">
        <f t="shared" si="92"/>
        <v>-0.03</v>
      </c>
    </row>
    <row r="58" spans="1:40" s="130" customFormat="1">
      <c r="A58" s="2021" t="s">
        <v>1183</v>
      </c>
      <c r="B58" s="614">
        <f t="shared" ref="B58:R58" si="94">B459</f>
        <v>0</v>
      </c>
      <c r="C58" s="614">
        <f t="shared" si="94"/>
        <v>7.8109542113398656E-2</v>
      </c>
      <c r="D58" s="611">
        <f t="shared" si="94"/>
        <v>0</v>
      </c>
      <c r="E58" s="611">
        <f t="shared" si="94"/>
        <v>0</v>
      </c>
      <c r="F58" s="611">
        <f t="shared" si="94"/>
        <v>0</v>
      </c>
      <c r="G58" s="611">
        <f t="shared" si="94"/>
        <v>0</v>
      </c>
      <c r="H58" s="614">
        <f t="shared" si="94"/>
        <v>-6.1049301235761133E-2</v>
      </c>
      <c r="I58" s="611">
        <f t="shared" si="94"/>
        <v>6.5352869653908519E-3</v>
      </c>
      <c r="J58" s="611">
        <f t="shared" si="94"/>
        <v>2.451756484843147E-2</v>
      </c>
      <c r="K58" s="611">
        <f t="shared" si="94"/>
        <v>-4.6733501107215969E-2</v>
      </c>
      <c r="L58" s="611">
        <f>L459</f>
        <v>4.8930600640666067E-2</v>
      </c>
      <c r="M58" s="614">
        <f>M459</f>
        <v>-4.2105348531188032E-4</v>
      </c>
      <c r="N58" s="611">
        <f>N459</f>
        <v>5.7841509044647368E-2</v>
      </c>
      <c r="O58" s="611">
        <f t="shared" si="94"/>
        <v>3.4480932856898502E-2</v>
      </c>
      <c r="P58" s="611">
        <f t="shared" si="94"/>
        <v>7.1643135353921944E-2</v>
      </c>
      <c r="Q58" s="611">
        <f t="shared" si="94"/>
        <v>5.1826980620118833E-2</v>
      </c>
      <c r="R58" s="614">
        <f t="shared" si="94"/>
        <v>5.4383015947899696E-2</v>
      </c>
      <c r="S58" s="611">
        <f t="shared" ref="S58:AN58" si="95">S459</f>
        <v>7.437793686844954E-2</v>
      </c>
      <c r="T58" s="611">
        <f t="shared" si="95"/>
        <v>6.0729827024897723E-2</v>
      </c>
      <c r="U58" s="611">
        <f t="shared" si="95"/>
        <v>8.9052971305265821E-2</v>
      </c>
      <c r="V58" s="611">
        <f t="shared" si="95"/>
        <v>3.1535007090929018E-2</v>
      </c>
      <c r="W58" s="614">
        <f t="shared" si="95"/>
        <v>6.3868276422398285E-2</v>
      </c>
      <c r="X58" s="611">
        <f t="shared" si="95"/>
        <v>3.2350722493491857E-2</v>
      </c>
      <c r="Y58" s="611">
        <f t="shared" si="95"/>
        <v>3.620464597162807E-2</v>
      </c>
      <c r="Z58" s="611">
        <f t="shared" si="95"/>
        <v>-1.9569263732620041E-3</v>
      </c>
      <c r="AA58" s="611">
        <f t="shared" si="95"/>
        <v>4.1503278385651822E-3</v>
      </c>
      <c r="AB58" s="614">
        <f t="shared" si="95"/>
        <v>1.7543016058768575E-2</v>
      </c>
      <c r="AC58" s="611">
        <f t="shared" si="95"/>
        <v>4.400299060685002E-2</v>
      </c>
      <c r="AD58" s="611">
        <f t="shared" si="95"/>
        <v>7.2590279076812148E-2</v>
      </c>
      <c r="AE58" s="611">
        <f t="shared" si="95"/>
        <v>6.5047904547667443E-2</v>
      </c>
      <c r="AF58" s="611">
        <f t="shared" si="95"/>
        <v>6.3193124887356067E-2</v>
      </c>
      <c r="AG58" s="614">
        <f t="shared" si="95"/>
        <v>6.1097271547031887E-2</v>
      </c>
      <c r="AH58" s="611">
        <f t="shared" ref="AH58:AL58" si="96">AH459</f>
        <v>4.6420654680281781E-2</v>
      </c>
      <c r="AI58" s="611">
        <f t="shared" si="96"/>
        <v>4.3853492171179162E-2</v>
      </c>
      <c r="AJ58" s="611">
        <f t="shared" si="96"/>
        <v>4.9238869547858707E-2</v>
      </c>
      <c r="AK58" s="611">
        <f t="shared" si="96"/>
        <v>4.5907437340496737E-2</v>
      </c>
      <c r="AL58" s="614">
        <f t="shared" si="96"/>
        <v>4.6488349664768905E-2</v>
      </c>
      <c r="AM58" s="614">
        <f t="shared" si="95"/>
        <v>2.8543126135241917E-2</v>
      </c>
      <c r="AN58" s="614">
        <f t="shared" si="95"/>
        <v>-2.5046219691496646E-2</v>
      </c>
    </row>
    <row r="59" spans="1:40" s="130" customFormat="1">
      <c r="A59" s="2022" t="s">
        <v>433</v>
      </c>
      <c r="B59" s="670">
        <f t="shared" ref="B59:R59" si="97">B464</f>
        <v>0</v>
      </c>
      <c r="C59" s="670">
        <f t="shared" si="97"/>
        <v>6.7000000000000004E-2</v>
      </c>
      <c r="D59" s="679">
        <f t="shared" si="97"/>
        <v>0</v>
      </c>
      <c r="E59" s="679">
        <f t="shared" si="97"/>
        <v>0</v>
      </c>
      <c r="F59" s="679">
        <f t="shared" si="97"/>
        <v>0</v>
      </c>
      <c r="G59" s="679">
        <f t="shared" si="97"/>
        <v>0</v>
      </c>
      <c r="H59" s="670">
        <f t="shared" si="97"/>
        <v>6.0999999999999999E-2</v>
      </c>
      <c r="I59" s="679">
        <f t="shared" si="97"/>
        <v>5.5E-2</v>
      </c>
      <c r="J59" s="679">
        <f t="shared" si="97"/>
        <v>5.1999999999999998E-2</v>
      </c>
      <c r="K59" s="679">
        <f t="shared" si="97"/>
        <v>5.1999999999999998E-2</v>
      </c>
      <c r="L59" s="679">
        <f>L464</f>
        <v>4.7E-2</v>
      </c>
      <c r="M59" s="670">
        <f>M464</f>
        <v>5.1999999999999998E-2</v>
      </c>
      <c r="N59" s="679">
        <f>N464</f>
        <v>6.7000000000000004E-2</v>
      </c>
      <c r="O59" s="679">
        <f t="shared" si="97"/>
        <v>7.2999999999999995E-2</v>
      </c>
      <c r="P59" s="679">
        <f t="shared" si="97"/>
        <v>8.7999999999999995E-2</v>
      </c>
      <c r="Q59" s="679">
        <f t="shared" si="97"/>
        <v>6.8000000000000005E-2</v>
      </c>
      <c r="R59" s="670">
        <f t="shared" si="97"/>
        <v>7.3999999999999996E-2</v>
      </c>
      <c r="S59" s="679">
        <f t="shared" ref="S59:AN59" si="98">S464</f>
        <v>6.5000000000000002E-2</v>
      </c>
      <c r="T59" s="679">
        <f t="shared" si="98"/>
        <v>0.05</v>
      </c>
      <c r="U59" s="679">
        <f t="shared" si="98"/>
        <v>5.0999999999999997E-2</v>
      </c>
      <c r="V59" s="679">
        <f t="shared" si="98"/>
        <v>3.7999999999999999E-2</v>
      </c>
      <c r="W59" s="670">
        <f t="shared" si="98"/>
        <v>5.1999999999999998E-2</v>
      </c>
      <c r="X59" s="679">
        <f t="shared" si="98"/>
        <v>1.7999999999999999E-2</v>
      </c>
      <c r="Y59" s="679">
        <f t="shared" si="98"/>
        <v>2.9000000000000001E-2</v>
      </c>
      <c r="Z59" s="679">
        <f t="shared" si="98"/>
        <v>1.4999999999999999E-2</v>
      </c>
      <c r="AA59" s="679">
        <f t="shared" si="98"/>
        <v>8.9999999999999993E-3</v>
      </c>
      <c r="AB59" s="670">
        <f t="shared" si="98"/>
        <v>1.7749999999999998E-2</v>
      </c>
      <c r="AC59" s="679">
        <f t="shared" si="98"/>
        <v>2.5000000000000001E-2</v>
      </c>
      <c r="AD59" s="679">
        <f t="shared" si="98"/>
        <v>5.0000000000000001E-3</v>
      </c>
      <c r="AE59" s="679">
        <f t="shared" si="98"/>
        <v>-1E-3</v>
      </c>
      <c r="AF59" s="679">
        <f t="shared" si="98"/>
        <v>3.2000000000000001E-2</v>
      </c>
      <c r="AG59" s="670">
        <f t="shared" si="98"/>
        <v>1.525E-2</v>
      </c>
      <c r="AH59" s="679">
        <f t="shared" ref="AH59:AL59" si="99">AH464</f>
        <v>1.2500000000000001E-2</v>
      </c>
      <c r="AI59" s="679">
        <f t="shared" si="99"/>
        <v>0.02</v>
      </c>
      <c r="AJ59" s="679">
        <f t="shared" si="99"/>
        <v>0.02</v>
      </c>
      <c r="AK59" s="679">
        <f t="shared" si="99"/>
        <v>1.4999999999999999E-2</v>
      </c>
      <c r="AL59" s="670">
        <f t="shared" si="99"/>
        <v>1.6875000000000001E-2</v>
      </c>
      <c r="AM59" s="670">
        <f t="shared" si="98"/>
        <v>1.2999999999999999E-2</v>
      </c>
      <c r="AN59" s="670">
        <f t="shared" si="98"/>
        <v>-0.03</v>
      </c>
    </row>
    <row r="60" spans="1:40" s="130" customFormat="1">
      <c r="A60" s="473"/>
      <c r="B60" s="135"/>
      <c r="C60" s="246"/>
      <c r="D60" s="246"/>
      <c r="E60" s="246"/>
      <c r="F60" s="246"/>
      <c r="G60" s="246"/>
      <c r="H60" s="246"/>
      <c r="I60" s="246"/>
      <c r="J60" s="246"/>
      <c r="K60" s="246"/>
      <c r="L60" s="246"/>
      <c r="M60" s="246"/>
      <c r="N60" s="246"/>
      <c r="O60" s="246"/>
      <c r="P60" s="246"/>
      <c r="Q60" s="246"/>
      <c r="R60" s="246"/>
      <c r="S60" s="246"/>
      <c r="T60" s="246"/>
      <c r="U60" s="246"/>
      <c r="V60" s="246"/>
      <c r="W60" s="135"/>
      <c r="X60" s="135"/>
      <c r="Y60" s="135"/>
      <c r="Z60" s="135"/>
      <c r="AA60" s="135"/>
      <c r="AB60" s="135"/>
      <c r="AC60" s="135"/>
      <c r="AD60" s="135"/>
      <c r="AE60" s="135"/>
      <c r="AF60" s="135"/>
      <c r="AG60" s="135"/>
      <c r="AH60" s="135"/>
      <c r="AI60" s="135"/>
      <c r="AJ60" s="135"/>
      <c r="AK60" s="135"/>
      <c r="AL60" s="135"/>
      <c r="AM60" s="135"/>
      <c r="AN60" s="135"/>
    </row>
    <row r="62" spans="1:40" s="12" customFormat="1">
      <c r="A62" s="461" t="s">
        <v>1234</v>
      </c>
      <c r="B62" s="1050" t="str">
        <f>B$4</f>
        <v>2010</v>
      </c>
      <c r="C62" s="774" t="str">
        <f t="shared" ref="C62:AN62" si="100">C$4</f>
        <v>2011</v>
      </c>
      <c r="D62" s="773" t="str">
        <f t="shared" si="100"/>
        <v>1Q12</v>
      </c>
      <c r="E62" s="773" t="str">
        <f t="shared" si="100"/>
        <v>2Q12</v>
      </c>
      <c r="F62" s="1049" t="str">
        <f t="shared" si="100"/>
        <v>3Q12</v>
      </c>
      <c r="G62" s="773" t="str">
        <f t="shared" si="100"/>
        <v>4Q12</v>
      </c>
      <c r="H62" s="774">
        <f t="shared" si="100"/>
        <v>2012</v>
      </c>
      <c r="I62" s="773" t="str">
        <f t="shared" si="100"/>
        <v>1Q13</v>
      </c>
      <c r="J62" s="773" t="str">
        <f t="shared" si="100"/>
        <v>2Q13</v>
      </c>
      <c r="K62" s="773" t="str">
        <f t="shared" si="100"/>
        <v>3Q13</v>
      </c>
      <c r="L62" s="773" t="str">
        <f t="shared" si="100"/>
        <v>4Q13</v>
      </c>
      <c r="M62" s="774">
        <f t="shared" si="100"/>
        <v>2013</v>
      </c>
      <c r="N62" s="773" t="str">
        <f t="shared" si="100"/>
        <v>1Q14</v>
      </c>
      <c r="O62" s="773" t="str">
        <f t="shared" si="100"/>
        <v>2Q14</v>
      </c>
      <c r="P62" s="773" t="str">
        <f t="shared" si="100"/>
        <v>3Q14</v>
      </c>
      <c r="Q62" s="773" t="str">
        <f t="shared" si="100"/>
        <v>4Q14</v>
      </c>
      <c r="R62" s="774">
        <f t="shared" si="100"/>
        <v>2014</v>
      </c>
      <c r="S62" s="773" t="str">
        <f t="shared" si="100"/>
        <v>1Q15</v>
      </c>
      <c r="T62" s="773" t="str">
        <f t="shared" si="100"/>
        <v>2Q15</v>
      </c>
      <c r="U62" s="773" t="str">
        <f t="shared" si="100"/>
        <v>3Q15</v>
      </c>
      <c r="V62" s="773" t="str">
        <f t="shared" si="100"/>
        <v>4Q15</v>
      </c>
      <c r="W62" s="774">
        <f t="shared" si="100"/>
        <v>2015</v>
      </c>
      <c r="X62" s="773" t="str">
        <f t="shared" si="100"/>
        <v>1Q16</v>
      </c>
      <c r="Y62" s="773" t="str">
        <f t="shared" si="100"/>
        <v>2Q16</v>
      </c>
      <c r="Z62" s="773" t="str">
        <f t="shared" si="100"/>
        <v>3Q16</v>
      </c>
      <c r="AA62" s="773" t="str">
        <f t="shared" si="100"/>
        <v>4Q16</v>
      </c>
      <c r="AB62" s="774">
        <f t="shared" si="100"/>
        <v>2016</v>
      </c>
      <c r="AC62" s="773" t="str">
        <f t="shared" si="100"/>
        <v>1Q17</v>
      </c>
      <c r="AD62" s="773" t="str">
        <f t="shared" si="100"/>
        <v>2Q17</v>
      </c>
      <c r="AE62" s="773" t="str">
        <f t="shared" si="100"/>
        <v>3Q17</v>
      </c>
      <c r="AF62" s="773" t="str">
        <f t="shared" si="100"/>
        <v>4Q17A</v>
      </c>
      <c r="AG62" s="774" t="str">
        <f t="shared" si="100"/>
        <v>2017A</v>
      </c>
      <c r="AH62" s="1049" t="str">
        <f>AH4</f>
        <v>1Q18E</v>
      </c>
      <c r="AI62" s="1049" t="str">
        <f>AI4</f>
        <v>2Q18E</v>
      </c>
      <c r="AJ62" s="1049" t="str">
        <f>AJ4</f>
        <v>3Q18E</v>
      </c>
      <c r="AK62" s="1049" t="str">
        <f>AK4</f>
        <v>4Q18E</v>
      </c>
      <c r="AL62" s="774" t="str">
        <f t="shared" si="100"/>
        <v>2018E</v>
      </c>
      <c r="AM62" s="774" t="str">
        <f t="shared" si="100"/>
        <v>2019E</v>
      </c>
      <c r="AN62" s="774" t="str">
        <f t="shared" si="100"/>
        <v>2020E</v>
      </c>
    </row>
    <row r="63" spans="1:40">
      <c r="A63" s="13"/>
      <c r="B63" s="208"/>
      <c r="C63" s="208"/>
      <c r="D63" s="15"/>
      <c r="E63" s="15"/>
      <c r="F63" s="15"/>
      <c r="G63" s="15"/>
      <c r="H63" s="208"/>
      <c r="I63" s="15"/>
      <c r="J63" s="15"/>
      <c r="K63" s="15"/>
      <c r="L63" s="15"/>
      <c r="M63" s="208"/>
      <c r="N63" s="15"/>
      <c r="O63" s="15"/>
      <c r="P63" s="15"/>
      <c r="Q63" s="15"/>
      <c r="R63" s="208"/>
      <c r="S63" s="13"/>
      <c r="V63" s="474"/>
      <c r="W63" s="208"/>
      <c r="X63" s="13"/>
      <c r="AA63" s="474"/>
      <c r="AB63" s="208"/>
      <c r="AC63" s="3766" t="s">
        <v>3037</v>
      </c>
      <c r="AF63" s="474"/>
      <c r="AG63" s="208"/>
      <c r="AH63" s="3766"/>
      <c r="AK63" s="474"/>
      <c r="AL63" s="208"/>
      <c r="AM63" s="208"/>
      <c r="AN63" s="208"/>
    </row>
    <row r="64" spans="1:40">
      <c r="A64" s="202" t="s">
        <v>1354</v>
      </c>
      <c r="B64" s="553"/>
      <c r="C64" s="553"/>
      <c r="D64" s="470"/>
      <c r="E64" s="470"/>
      <c r="F64" s="470"/>
      <c r="G64" s="470"/>
      <c r="H64" s="553"/>
      <c r="I64" s="470"/>
      <c r="J64" s="470"/>
      <c r="K64" s="470"/>
      <c r="L64" s="470"/>
      <c r="M64" s="553"/>
      <c r="N64" s="470"/>
      <c r="O64" s="470"/>
      <c r="P64" s="470"/>
      <c r="Q64" s="470"/>
      <c r="R64" s="553"/>
      <c r="S64" s="2380"/>
      <c r="T64" s="470"/>
      <c r="U64" s="470"/>
      <c r="V64" s="785"/>
      <c r="W64" s="553"/>
      <c r="X64" s="2380"/>
      <c r="Y64" s="470"/>
      <c r="Z64" s="470"/>
      <c r="AA64" s="785"/>
      <c r="AB64" s="553"/>
      <c r="AC64" s="470"/>
      <c r="AD64" s="470"/>
      <c r="AE64" s="470"/>
      <c r="AF64" s="785"/>
      <c r="AG64" s="553"/>
      <c r="AH64" s="470"/>
      <c r="AI64" s="470"/>
      <c r="AJ64" s="470"/>
      <c r="AK64" s="785"/>
      <c r="AL64" s="553"/>
      <c r="AM64" s="553"/>
      <c r="AN64" s="553"/>
    </row>
    <row r="65" spans="1:58">
      <c r="A65" s="744" t="s">
        <v>2086</v>
      </c>
      <c r="B65" s="746"/>
      <c r="C65" s="457">
        <v>4.2999999999999997E-2</v>
      </c>
      <c r="D65" s="558">
        <v>0.03</v>
      </c>
      <c r="E65" s="558">
        <v>4.2999999999999997E-2</v>
      </c>
      <c r="F65" s="558">
        <v>4.3999999999999997E-2</v>
      </c>
      <c r="G65" s="558">
        <v>5.2999999999999999E-2</v>
      </c>
      <c r="H65" s="1067">
        <v>4.2000000000000003E-2</v>
      </c>
      <c r="I65" s="417">
        <f t="shared" ref="I65:K66" si="101">+I71/I76-1</f>
        <v>5.2999999999999936E-2</v>
      </c>
      <c r="J65" s="417">
        <f t="shared" si="101"/>
        <v>5.0999999999999934E-2</v>
      </c>
      <c r="K65" s="417">
        <f t="shared" si="101"/>
        <v>3.0000000000000027E-2</v>
      </c>
      <c r="L65" s="1993">
        <f>L71/L76-1</f>
        <v>4.6000000000000041E-2</v>
      </c>
      <c r="M65" s="1994">
        <f>+M71/M76-1</f>
        <v>4.7108949980364079E-2</v>
      </c>
      <c r="N65" s="417">
        <f>+N71/N76-1</f>
        <v>5.0999999999999934E-2</v>
      </c>
      <c r="O65" s="1122">
        <f>O71/O76-1</f>
        <v>4.8000000000000043E-2</v>
      </c>
      <c r="P65" s="1122">
        <f>P71/P76-1</f>
        <v>7.2999999999999954E-2</v>
      </c>
      <c r="Q65" s="1125">
        <f>Q71/Q76-1</f>
        <v>5.8999999999999941E-2</v>
      </c>
      <c r="R65" s="745">
        <f>+R71/R76-1</f>
        <v>5.8000000000000052E-2</v>
      </c>
      <c r="S65" s="1122">
        <f>S71/S76-1</f>
        <v>4.2999999999999927E-2</v>
      </c>
      <c r="T65" s="1122">
        <f>T71/T76-1</f>
        <v>5.2000000000000046E-2</v>
      </c>
      <c r="U65" s="1122">
        <f>U71/U76-1</f>
        <v>6.0000000000000053E-2</v>
      </c>
      <c r="V65" s="1125">
        <f>V71/V76-1</f>
        <v>3.6000000000000032E-2</v>
      </c>
      <c r="W65" s="745">
        <f>AVERAGE(S65:V65)</f>
        <v>4.7750000000000015E-2</v>
      </c>
      <c r="X65" s="1122">
        <f>X71/X76-1</f>
        <v>3.0999999999999917E-2</v>
      </c>
      <c r="Y65" s="1122">
        <f>Y71/Y76-1</f>
        <v>6.9999999999998952E-3</v>
      </c>
      <c r="Z65" s="1122">
        <f>Z71/Z76-1</f>
        <v>0</v>
      </c>
      <c r="AA65" s="3596">
        <v>-3.0000000000000001E-3</v>
      </c>
      <c r="AB65" s="1994">
        <f>+AB71/AB76-1</f>
        <v>1.1509127086819504E-3</v>
      </c>
      <c r="AC65" s="3669">
        <v>0.03</v>
      </c>
      <c r="AD65" s="3669">
        <v>5.1999999999999998E-2</v>
      </c>
      <c r="AE65" s="3669">
        <v>6.2E-2</v>
      </c>
      <c r="AF65" s="3669">
        <v>0.04</v>
      </c>
      <c r="AG65" s="4071">
        <v>5.3999999999999999E-2</v>
      </c>
      <c r="AH65" s="1122">
        <f t="shared" ref="AH65:AK65" si="102">AH71/AH76-1</f>
        <v>5.3887796623161677E-2</v>
      </c>
      <c r="AI65" s="1122">
        <f t="shared" si="102"/>
        <v>4.7722881853532906E-2</v>
      </c>
      <c r="AJ65" s="1122">
        <f t="shared" si="102"/>
        <v>5.0133539171170582E-2</v>
      </c>
      <c r="AK65" s="1122">
        <f t="shared" si="102"/>
        <v>5.0967160754962659E-2</v>
      </c>
      <c r="AL65" s="3975">
        <f>+AL71/AL76-1</f>
        <v>5.0727154939713692E-2</v>
      </c>
      <c r="AM65" s="2403">
        <f>AM71/AM76-1</f>
        <v>2.8305916432210143E-2</v>
      </c>
      <c r="AN65" s="2403">
        <f>AN71/AN76-1</f>
        <v>-3.117919866591512E-2</v>
      </c>
      <c r="AO65" s="130"/>
    </row>
    <row r="66" spans="1:58">
      <c r="A66" s="744" t="s">
        <v>45</v>
      </c>
      <c r="B66" s="455"/>
      <c r="C66" s="455"/>
      <c r="D66" s="417"/>
      <c r="E66" s="417"/>
      <c r="F66" s="417"/>
      <c r="G66" s="417"/>
      <c r="H66" s="455"/>
      <c r="I66" s="417">
        <f t="shared" si="101"/>
        <v>2.8999999999999915E-2</v>
      </c>
      <c r="J66" s="417">
        <f t="shared" si="101"/>
        <v>3.8999999999999924E-2</v>
      </c>
      <c r="K66" s="417">
        <f t="shared" si="101"/>
        <v>2.8999999999999915E-2</v>
      </c>
      <c r="L66" s="1991">
        <f>+L72/L77-1</f>
        <v>3.400000000000003E-2</v>
      </c>
      <c r="M66" s="1992">
        <f>+M72/M77-1</f>
        <v>4.4558738697537681E-2</v>
      </c>
      <c r="N66" s="417">
        <f>+N72/N77-1</f>
        <v>3.6000000000000032E-2</v>
      </c>
      <c r="O66" s="417">
        <f>+O72/O77-1</f>
        <v>3.0000000000000027E-2</v>
      </c>
      <c r="P66" s="417">
        <f>+P72/P77-1</f>
        <v>3.2999999999999918E-2</v>
      </c>
      <c r="Q66" s="417">
        <f>+Q72/Q77-1</f>
        <v>1.8999999999999906E-2</v>
      </c>
      <c r="R66" s="455">
        <f>+R72/R77-1</f>
        <v>2.8999999999999915E-2</v>
      </c>
      <c r="S66" s="417">
        <f t="shared" ref="S66:Z66" si="103">+S72/S77-1</f>
        <v>1.6999999999999904E-2</v>
      </c>
      <c r="T66" s="417">
        <f t="shared" si="103"/>
        <v>2.2999999999999909E-2</v>
      </c>
      <c r="U66" s="417">
        <f>+U72/U77-1</f>
        <v>4.2999999999999927E-2</v>
      </c>
      <c r="V66" s="417">
        <f t="shared" si="103"/>
        <v>3.400000000000003E-2</v>
      </c>
      <c r="W66" s="455">
        <f>+AVERAGE(S66:V66)</f>
        <v>2.9249999999999943E-2</v>
      </c>
      <c r="X66" s="417">
        <f t="shared" si="103"/>
        <v>4.2999999999999927E-2</v>
      </c>
      <c r="Y66" s="417">
        <f t="shared" si="103"/>
        <v>4.0000000000000036E-3</v>
      </c>
      <c r="Z66" s="417">
        <f t="shared" si="103"/>
        <v>4.9999999999998934E-3</v>
      </c>
      <c r="AA66" s="558">
        <v>-5.0000000000000001E-3</v>
      </c>
      <c r="AB66" s="1992">
        <f>+AVERAGE(X66:AA66)</f>
        <v>1.1749999999999957E-2</v>
      </c>
      <c r="AC66" s="3670">
        <v>6.0000000000000001E-3</v>
      </c>
      <c r="AD66" s="3670">
        <v>0.03</v>
      </c>
      <c r="AE66" s="3670">
        <v>0.05</v>
      </c>
      <c r="AF66" s="3670">
        <v>3.5000000000000003E-2</v>
      </c>
      <c r="AG66" s="4072">
        <v>3.1E-2</v>
      </c>
      <c r="AH66" s="417">
        <f t="shared" ref="AH66:AK66" si="104">+AH72/AH77-1</f>
        <v>1.3022814354696877E-2</v>
      </c>
      <c r="AI66" s="417">
        <f t="shared" si="104"/>
        <v>1.303104676867739E-2</v>
      </c>
      <c r="AJ66" s="417">
        <f t="shared" si="104"/>
        <v>1.2999999999999678E-2</v>
      </c>
      <c r="AK66" s="417">
        <f t="shared" si="104"/>
        <v>1.3055885788619381E-2</v>
      </c>
      <c r="AL66" s="1992">
        <f>+AVERAGE(AH66:AK66)</f>
        <v>1.3027436727998332E-2</v>
      </c>
      <c r="AM66" s="455">
        <f>+AM72/AM77-1</f>
        <v>9.9999999999997868E-3</v>
      </c>
      <c r="AN66" s="455">
        <f>+AN72/AN77-1</f>
        <v>-1.9135295758643256E-4</v>
      </c>
      <c r="AO66" s="130"/>
    </row>
    <row r="67" spans="1:58">
      <c r="A67" s="744" t="s">
        <v>2077</v>
      </c>
      <c r="B67" s="455"/>
      <c r="C67" s="455"/>
      <c r="D67" s="417"/>
      <c r="E67" s="417"/>
      <c r="F67" s="417"/>
      <c r="G67" s="417"/>
      <c r="H67" s="455"/>
      <c r="I67" s="417">
        <f t="shared" ref="I67:S67" si="105">I73-I78</f>
        <v>1.7000000000000015E-2</v>
      </c>
      <c r="J67" s="417">
        <f t="shared" si="105"/>
        <v>1.0000000000000009E-2</v>
      </c>
      <c r="K67" s="417">
        <f t="shared" si="105"/>
        <v>1.0000000000000009E-3</v>
      </c>
      <c r="L67" s="1991">
        <f t="shared" si="105"/>
        <v>8.0000000000000071E-3</v>
      </c>
      <c r="M67" s="1992">
        <f t="shared" si="105"/>
        <v>1.8415353180045724E-3</v>
      </c>
      <c r="N67" s="417">
        <f>N73-N78</f>
        <v>1.0000000000000009E-2</v>
      </c>
      <c r="O67" s="417">
        <f t="shared" si="105"/>
        <v>1.4000000000000012E-2</v>
      </c>
      <c r="P67" s="417">
        <f t="shared" si="105"/>
        <v>3.0000000000000027E-2</v>
      </c>
      <c r="Q67" s="417">
        <f t="shared" si="105"/>
        <v>2.9000000000000026E-2</v>
      </c>
      <c r="R67" s="455">
        <f t="shared" si="105"/>
        <v>2.1000000000000019E-2</v>
      </c>
      <c r="S67" s="417">
        <f t="shared" si="105"/>
        <v>1.9000000000000017E-2</v>
      </c>
      <c r="T67" s="417">
        <f>T73-T78</f>
        <v>2.300000000000002E-2</v>
      </c>
      <c r="U67" s="417">
        <f>U73-U78</f>
        <v>1.3000000000000012E-2</v>
      </c>
      <c r="V67" s="417">
        <f>V73-V78</f>
        <v>1.0000000000000009E-3</v>
      </c>
      <c r="W67" s="455">
        <f>+AVERAGE(S67:V67)</f>
        <v>1.4000000000000012E-2</v>
      </c>
      <c r="X67" s="417">
        <f>X73-X78</f>
        <v>-7.0000000000000062E-3</v>
      </c>
      <c r="Y67" s="417">
        <f>Y73-Y78</f>
        <v>-1.3000000000000012E-2</v>
      </c>
      <c r="Z67" s="417">
        <f>Z73-Z78</f>
        <v>-4.0000000000000036E-3</v>
      </c>
      <c r="AA67" s="558">
        <v>1E-3</v>
      </c>
      <c r="AB67" s="1992">
        <f>+AVERAGE(X67:AA67)</f>
        <v>-5.7500000000000051E-3</v>
      </c>
      <c r="AC67" s="3670">
        <v>1.6E-2</v>
      </c>
      <c r="AD67" s="3670">
        <v>1.7000000000000001E-2</v>
      </c>
      <c r="AE67" s="3670">
        <v>8.9999999999999993E-3</v>
      </c>
      <c r="AF67" s="3670">
        <v>3.0000000000000001E-3</v>
      </c>
      <c r="AG67" s="4072">
        <v>1.6E-2</v>
      </c>
      <c r="AH67" s="417">
        <f t="shared" ref="AH67:AK67" si="106">AH73-AH78</f>
        <v>3.0024624595072491E-2</v>
      </c>
      <c r="AI67" s="417">
        <f t="shared" si="106"/>
        <v>2.8268992156166295E-2</v>
      </c>
      <c r="AJ67" s="417">
        <f t="shared" si="106"/>
        <v>3.1560095468883942E-2</v>
      </c>
      <c r="AK67" s="417">
        <f t="shared" si="106"/>
        <v>2.9784709586968772E-2</v>
      </c>
      <c r="AL67" s="1992">
        <f>+AVERAGE(AH67:AK67)</f>
        <v>2.9909605451772875E-2</v>
      </c>
      <c r="AM67" s="455">
        <f>AM73-AM78</f>
        <v>1.5167835573838051E-2</v>
      </c>
      <c r="AN67" s="455">
        <f>AN73-AN78</f>
        <v>-2.640760209930415E-2</v>
      </c>
      <c r="AO67" s="130"/>
      <c r="AP67" s="15"/>
    </row>
    <row r="68" spans="1:58" s="729" customFormat="1" ht="12.75" customHeight="1">
      <c r="A68" s="543" t="s">
        <v>1879</v>
      </c>
      <c r="B68" s="353"/>
      <c r="C68" s="353"/>
      <c r="D68" s="1121"/>
      <c r="E68" s="241"/>
      <c r="F68" s="241"/>
      <c r="G68" s="1120"/>
      <c r="H68" s="1120"/>
      <c r="I68" s="241"/>
      <c r="J68" s="241"/>
      <c r="K68" s="241"/>
      <c r="L68" s="1127">
        <v>5.8999999999999997E-2</v>
      </c>
      <c r="M68" s="1117">
        <v>4.9000000000000002E-2</v>
      </c>
      <c r="N68" s="1118"/>
      <c r="O68" s="1118"/>
      <c r="P68" s="1118"/>
      <c r="Q68" s="1119"/>
      <c r="R68" s="2414" t="s">
        <v>1629</v>
      </c>
      <c r="S68" s="2411"/>
      <c r="T68" s="1377"/>
      <c r="U68" s="1377"/>
      <c r="V68" s="2381"/>
      <c r="W68" s="2412" t="s">
        <v>1833</v>
      </c>
      <c r="X68" s="1377"/>
      <c r="Y68" s="1377"/>
      <c r="Z68" s="1377"/>
      <c r="AA68" s="1377"/>
      <c r="AB68" s="1143" t="s">
        <v>2550</v>
      </c>
      <c r="AC68" s="3671" t="s">
        <v>2550</v>
      </c>
      <c r="AD68" s="1377"/>
      <c r="AE68" s="1377"/>
      <c r="AF68" s="1377"/>
      <c r="AG68" s="1143" t="s">
        <v>2550</v>
      </c>
      <c r="AH68" s="1377"/>
      <c r="AI68" s="1377"/>
      <c r="AJ68" s="1377"/>
      <c r="AK68" s="1377"/>
      <c r="AL68" s="3976"/>
      <c r="AM68" s="1143"/>
      <c r="AN68" s="1143"/>
      <c r="AP68" s="327"/>
      <c r="AR68" s="902"/>
      <c r="AS68" s="902"/>
      <c r="AT68" s="902"/>
      <c r="AU68" s="902"/>
      <c r="AV68" s="902"/>
      <c r="AW68" s="902"/>
      <c r="AX68" s="902"/>
      <c r="AY68" s="902"/>
      <c r="AZ68" s="902"/>
      <c r="BA68" s="902"/>
      <c r="BB68" s="902"/>
      <c r="BC68" s="902"/>
      <c r="BD68" s="902"/>
      <c r="BE68" s="902"/>
      <c r="BF68" s="902"/>
    </row>
    <row r="69" spans="1:58">
      <c r="A69" s="744"/>
      <c r="B69" s="457"/>
      <c r="C69" s="457"/>
      <c r="D69" s="135"/>
      <c r="E69" s="135"/>
      <c r="F69" s="135"/>
      <c r="G69" s="135"/>
      <c r="H69" s="208"/>
      <c r="I69" s="15"/>
      <c r="J69" s="15"/>
      <c r="K69" s="15"/>
      <c r="L69" s="1995"/>
      <c r="M69" s="1996"/>
      <c r="N69" s="15"/>
      <c r="O69" s="15"/>
      <c r="P69" s="15"/>
      <c r="Q69" s="1110"/>
      <c r="R69" s="208"/>
      <c r="S69" s="13"/>
      <c r="V69" s="474"/>
      <c r="W69" s="208"/>
      <c r="AA69" s="1777"/>
      <c r="AB69" s="1996"/>
      <c r="AG69" s="208"/>
      <c r="AL69" s="1996"/>
      <c r="AM69" s="208"/>
      <c r="AN69" s="208"/>
    </row>
    <row r="70" spans="1:58">
      <c r="A70" s="747" t="s">
        <v>2132</v>
      </c>
      <c r="B70" s="750"/>
      <c r="C70" s="748"/>
      <c r="D70" s="139"/>
      <c r="E70" s="139"/>
      <c r="F70" s="139"/>
      <c r="G70" s="139"/>
      <c r="H70" s="208"/>
      <c r="I70" s="650"/>
      <c r="J70" s="650"/>
      <c r="K70" s="650"/>
      <c r="L70" s="1997"/>
      <c r="M70" s="1996"/>
      <c r="N70" s="650"/>
      <c r="O70" s="650"/>
      <c r="P70" s="650"/>
      <c r="Q70" s="650"/>
      <c r="R70" s="208"/>
      <c r="S70" s="13"/>
      <c r="V70" s="474"/>
      <c r="W70" s="208"/>
      <c r="AA70" s="1777"/>
      <c r="AB70" s="1996"/>
      <c r="AG70" s="208"/>
      <c r="AL70" s="1996"/>
      <c r="AM70" s="208"/>
      <c r="AN70" s="208"/>
    </row>
    <row r="71" spans="1:58" s="726" customFormat="1">
      <c r="A71" s="751" t="s">
        <v>2086</v>
      </c>
      <c r="B71" s="752"/>
      <c r="C71" s="752"/>
      <c r="D71" s="598">
        <f t="shared" ref="D71:F73" si="107">I76</f>
        <v>123.06742640075974</v>
      </c>
      <c r="E71" s="598">
        <f t="shared" si="107"/>
        <v>146.12749762131307</v>
      </c>
      <c r="F71" s="598">
        <f>K76</f>
        <v>144.44660194174756</v>
      </c>
      <c r="G71" s="1351">
        <f>G72*G73</f>
        <v>134.62703451475107</v>
      </c>
      <c r="H71" s="1126">
        <f>H72*H73</f>
        <v>136.88163732619009</v>
      </c>
      <c r="I71" s="560">
        <v>129.59</v>
      </c>
      <c r="J71" s="560">
        <v>153.58000000000001</v>
      </c>
      <c r="K71" s="762">
        <v>148.78</v>
      </c>
      <c r="L71" s="762">
        <v>141.44</v>
      </c>
      <c r="M71" s="1999">
        <f>M72*M73</f>
        <v>143.32998753221992</v>
      </c>
      <c r="N71" s="560">
        <v>136.87</v>
      </c>
      <c r="O71" s="560">
        <v>162.04</v>
      </c>
      <c r="P71" s="560">
        <v>163.21</v>
      </c>
      <c r="Q71" s="560">
        <v>151.66999999999999</v>
      </c>
      <c r="R71" s="2410">
        <v>154.25</v>
      </c>
      <c r="S71" s="560">
        <v>131.51</v>
      </c>
      <c r="T71" s="560">
        <v>156.04</v>
      </c>
      <c r="U71" s="560">
        <v>157.02000000000001</v>
      </c>
      <c r="V71" s="560">
        <v>142.37</v>
      </c>
      <c r="W71" s="2410">
        <v>146.71</v>
      </c>
      <c r="X71" s="560">
        <v>134.01</v>
      </c>
      <c r="Y71" s="560">
        <v>156.82</v>
      </c>
      <c r="Z71" s="560">
        <v>155.59</v>
      </c>
      <c r="AA71" s="560">
        <v>141.49</v>
      </c>
      <c r="AB71" s="1999">
        <f t="shared" ref="AB71:AN71" si="108">AB72*AB73</f>
        <v>146.87885040349073</v>
      </c>
      <c r="AC71" s="1130">
        <f t="shared" ref="AC71" si="109">AC72*AC73</f>
        <v>126.39133125414841</v>
      </c>
      <c r="AD71" s="3882">
        <v>141.9</v>
      </c>
      <c r="AE71" s="3882">
        <v>149.32</v>
      </c>
      <c r="AF71" s="3882">
        <v>138.61000000000001</v>
      </c>
      <c r="AG71" s="4073">
        <v>135.75</v>
      </c>
      <c r="AH71" s="1130">
        <f t="shared" ref="AH71:AL71" si="110">AH72*AH73</f>
        <v>133.20065157704482</v>
      </c>
      <c r="AI71" s="1130">
        <f t="shared" si="110"/>
        <v>166.01373536691639</v>
      </c>
      <c r="AJ71" s="1130">
        <f t="shared" si="110"/>
        <v>165.11652491837143</v>
      </c>
      <c r="AK71" s="1130">
        <f t="shared" si="110"/>
        <v>147.76203371985196</v>
      </c>
      <c r="AL71" s="3977">
        <f t="shared" si="110"/>
        <v>152.83930370565216</v>
      </c>
      <c r="AM71" s="3782">
        <f t="shared" si="108"/>
        <v>157.16556026390154</v>
      </c>
      <c r="AN71" s="3782">
        <f t="shared" si="108"/>
        <v>152.2652640369935</v>
      </c>
    </row>
    <row r="72" spans="1:58" s="14" customFormat="1">
      <c r="A72" s="753" t="s">
        <v>45</v>
      </c>
      <c r="B72" s="755"/>
      <c r="C72" s="755"/>
      <c r="D72" s="650">
        <f t="shared" si="107"/>
        <v>176.33624878522838</v>
      </c>
      <c r="E72" s="650">
        <f t="shared" si="107"/>
        <v>186.48700673724736</v>
      </c>
      <c r="F72" s="650">
        <f t="shared" si="107"/>
        <v>182.79883381924199</v>
      </c>
      <c r="G72" s="650">
        <f>(G88*G$96)+(G104*G$112)</f>
        <v>180.2626193179093</v>
      </c>
      <c r="H72" s="662">
        <f>SUMPRODUCT(D72:G72,D$5:G$5)/H$5</f>
        <v>181.47150257148417</v>
      </c>
      <c r="I72" s="561">
        <v>181.45</v>
      </c>
      <c r="J72" s="561">
        <v>193.76</v>
      </c>
      <c r="K72" s="749">
        <v>188.1</v>
      </c>
      <c r="L72" s="749">
        <v>194.79</v>
      </c>
      <c r="M72" s="2000">
        <f>SUMPRODUCT(I72:L72,I$5:L$5)/M$5</f>
        <v>189.55764383561646</v>
      </c>
      <c r="N72" s="561">
        <v>188.2</v>
      </c>
      <c r="O72" s="561">
        <v>200.79</v>
      </c>
      <c r="P72" s="561">
        <v>198.54</v>
      </c>
      <c r="Q72" s="561">
        <v>199.02</v>
      </c>
      <c r="R72" s="649">
        <v>198.17</v>
      </c>
      <c r="S72" s="561">
        <v>178.71</v>
      </c>
      <c r="T72" s="561">
        <v>189.12</v>
      </c>
      <c r="U72" s="561">
        <v>188.71</v>
      </c>
      <c r="V72" s="561">
        <v>188.33</v>
      </c>
      <c r="W72" s="649">
        <v>186.48</v>
      </c>
      <c r="X72" s="561">
        <v>182.31</v>
      </c>
      <c r="Y72" s="561">
        <v>192.24</v>
      </c>
      <c r="Z72" s="561">
        <v>187.5</v>
      </c>
      <c r="AA72" s="561">
        <v>184.43</v>
      </c>
      <c r="AB72" s="2762">
        <f>SUMPRODUCT(X72:AA72,X$5:AA$5)/AB$5</f>
        <v>186.61642076502733</v>
      </c>
      <c r="AC72" s="139">
        <f>(AC88*AC$96)+(AC104*AC$112)</f>
        <v>169.81277660982747</v>
      </c>
      <c r="AD72" s="3883">
        <v>178.84</v>
      </c>
      <c r="AE72" s="3883">
        <v>181.65</v>
      </c>
      <c r="AF72" s="3883">
        <v>181.11</v>
      </c>
      <c r="AG72" s="4074">
        <v>175.39</v>
      </c>
      <c r="AH72" s="139">
        <f t="shared" ref="AH72:AN73" si="111">(AH88*AH$96)+(AH104*AH$112)</f>
        <v>172.02267722109488</v>
      </c>
      <c r="AI72" s="139">
        <f t="shared" si="111"/>
        <v>194.45295196429527</v>
      </c>
      <c r="AJ72" s="139">
        <f t="shared" si="111"/>
        <v>185.00098716309216</v>
      </c>
      <c r="AK72" s="139">
        <f t="shared" si="111"/>
        <v>178.95701787685329</v>
      </c>
      <c r="AL72" s="2762">
        <f t="shared" ref="AL72" si="112">(AL88*AL$96)+(AL104*AL$112)</f>
        <v>182.6339617597929</v>
      </c>
      <c r="AM72" s="450">
        <f t="shared" si="111"/>
        <v>184.46030137739081</v>
      </c>
      <c r="AN72" s="450">
        <f t="shared" si="111"/>
        <v>184.42500435316495</v>
      </c>
      <c r="AO72" s="2402"/>
    </row>
    <row r="73" spans="1:58" s="256" customFormat="1">
      <c r="A73" s="756" t="s">
        <v>2077</v>
      </c>
      <c r="B73" s="758"/>
      <c r="C73" s="758"/>
      <c r="D73" s="611">
        <f t="shared" si="107"/>
        <v>0.69699999999999995</v>
      </c>
      <c r="E73" s="611">
        <f t="shared" si="107"/>
        <v>0.78300000000000003</v>
      </c>
      <c r="F73" s="611">
        <f t="shared" si="107"/>
        <v>0.79</v>
      </c>
      <c r="G73" s="128">
        <f>(G89*G$96)+(G105*G$112)</f>
        <v>0.74683833522536491</v>
      </c>
      <c r="H73" s="614">
        <f>SUMPRODUCT(D73:G73,D$5:G$5)/H$5</f>
        <v>0.75428723180528301</v>
      </c>
      <c r="I73" s="757">
        <v>0.71399999999999997</v>
      </c>
      <c r="J73" s="757">
        <v>0.79300000000000004</v>
      </c>
      <c r="K73" s="757">
        <v>0.79100000000000004</v>
      </c>
      <c r="L73" s="757">
        <v>0.72599999999999998</v>
      </c>
      <c r="M73" s="2001">
        <f>SUMPRODUCT(I73:L73,I$5:L$5)/M$5</f>
        <v>0.75612876712328758</v>
      </c>
      <c r="N73" s="757">
        <v>0.72699999999999998</v>
      </c>
      <c r="O73" s="757">
        <v>0.80700000000000005</v>
      </c>
      <c r="P73" s="757">
        <v>0.82199999999999995</v>
      </c>
      <c r="Q73" s="757">
        <v>0.76200000000000001</v>
      </c>
      <c r="R73" s="758">
        <v>0.77800000000000002</v>
      </c>
      <c r="S73" s="757">
        <v>0.73599999999999999</v>
      </c>
      <c r="T73" s="757">
        <v>0.82499999999999996</v>
      </c>
      <c r="U73" s="757">
        <v>0.83199999999999996</v>
      </c>
      <c r="V73" s="757">
        <v>0.75600000000000001</v>
      </c>
      <c r="W73" s="758">
        <v>0.78700000000000003</v>
      </c>
      <c r="X73" s="757">
        <v>0.73499999999999999</v>
      </c>
      <c r="Y73" s="757">
        <v>0.81599999999999995</v>
      </c>
      <c r="Z73" s="757">
        <v>0.83</v>
      </c>
      <c r="AA73" s="757">
        <v>0.76700000000000002</v>
      </c>
      <c r="AB73" s="2001">
        <f>SUMPRODUCT(X73:AA73,X$5:AA$5)/AB$5</f>
        <v>0.78706284153005479</v>
      </c>
      <c r="AC73" s="417">
        <f t="shared" ref="AC73" si="113">(AC89*AC$96)+(AC105*AC$112)</f>
        <v>0.74429812513196869</v>
      </c>
      <c r="AD73" s="3670">
        <v>0.79300000000000004</v>
      </c>
      <c r="AE73" s="3670">
        <v>0.82199999999999995</v>
      </c>
      <c r="AF73" s="3670">
        <v>0.76500000000000001</v>
      </c>
      <c r="AG73" s="4075">
        <v>0.77400000000000002</v>
      </c>
      <c r="AH73" s="417">
        <f t="shared" ref="AH73:AK73" si="114">(AH89*AH$96)+(AH105*AH$112)</f>
        <v>0.77432030316471911</v>
      </c>
      <c r="AI73" s="417">
        <f t="shared" si="114"/>
        <v>0.85374757076148289</v>
      </c>
      <c r="AJ73" s="417">
        <f t="shared" si="114"/>
        <v>0.89251699382992433</v>
      </c>
      <c r="AK73" s="417">
        <f t="shared" si="114"/>
        <v>0.82568448822460982</v>
      </c>
      <c r="AL73" s="1992">
        <f>SUMPRODUCT(AH73:AK73,AH$5:AK$5)/AL$5</f>
        <v>0.83686134951544333</v>
      </c>
      <c r="AM73" s="455">
        <f t="shared" si="111"/>
        <v>0.85202918508928138</v>
      </c>
      <c r="AN73" s="455">
        <f t="shared" si="111"/>
        <v>0.82562158298997723</v>
      </c>
    </row>
    <row r="74" spans="1:58">
      <c r="A74" s="744"/>
      <c r="B74" s="457"/>
      <c r="C74" s="457"/>
      <c r="D74" s="558"/>
      <c r="E74" s="558"/>
      <c r="F74" s="558"/>
      <c r="G74" s="558"/>
      <c r="H74" s="563"/>
      <c r="I74" s="558"/>
      <c r="J74" s="503"/>
      <c r="K74" s="503"/>
      <c r="L74" s="503"/>
      <c r="M74" s="563"/>
      <c r="N74" s="503"/>
      <c r="O74" s="503"/>
      <c r="P74" s="503"/>
      <c r="Q74" s="503"/>
      <c r="R74" s="563"/>
      <c r="S74" s="503"/>
      <c r="T74" s="503"/>
      <c r="U74" s="503"/>
      <c r="V74" s="503"/>
      <c r="W74" s="563"/>
      <c r="X74" s="503"/>
      <c r="Y74" s="503"/>
      <c r="Z74" s="503"/>
      <c r="AA74" s="503"/>
      <c r="AB74" s="1996"/>
      <c r="AC74" s="558"/>
      <c r="AD74" s="558"/>
      <c r="AE74" s="558"/>
      <c r="AF74" s="558"/>
      <c r="AG74" s="138"/>
      <c r="AH74" s="558"/>
      <c r="AI74" s="558"/>
      <c r="AJ74" s="558"/>
      <c r="AK74" s="558"/>
      <c r="AL74" s="2768"/>
      <c r="AM74" s="138"/>
      <c r="AN74" s="138"/>
    </row>
    <row r="75" spans="1:58">
      <c r="A75" s="747" t="s">
        <v>2133</v>
      </c>
      <c r="B75" s="457"/>
      <c r="C75" s="457"/>
      <c r="D75" s="558"/>
      <c r="E75" s="558"/>
      <c r="F75" s="558"/>
      <c r="G75" s="558"/>
      <c r="H75" s="563"/>
      <c r="I75" s="558"/>
      <c r="J75" s="503"/>
      <c r="K75" s="503"/>
      <c r="L75" s="503"/>
      <c r="M75" s="563"/>
      <c r="N75" s="503"/>
      <c r="O75" s="503"/>
      <c r="P75" s="503"/>
      <c r="Q75" s="503"/>
      <c r="R75" s="563"/>
      <c r="S75" s="503"/>
      <c r="T75" s="503"/>
      <c r="U75" s="503"/>
      <c r="V75" s="503"/>
      <c r="W75" s="563"/>
      <c r="X75" s="503"/>
      <c r="Y75" s="503"/>
      <c r="Z75" s="503"/>
      <c r="AA75" s="503"/>
      <c r="AB75" s="1996"/>
      <c r="AC75" s="558"/>
      <c r="AD75" s="558"/>
      <c r="AE75" s="558"/>
      <c r="AF75" s="558"/>
      <c r="AG75" s="138"/>
      <c r="AH75" s="558"/>
      <c r="AI75" s="558"/>
      <c r="AJ75" s="558"/>
      <c r="AK75" s="558"/>
      <c r="AL75" s="2768"/>
      <c r="AM75" s="138"/>
      <c r="AN75" s="138"/>
    </row>
    <row r="76" spans="1:58" s="726" customFormat="1">
      <c r="A76" s="751" t="s">
        <v>2086</v>
      </c>
      <c r="B76" s="752"/>
      <c r="C76" s="752"/>
      <c r="D76" s="229"/>
      <c r="E76" s="229"/>
      <c r="F76" s="229"/>
      <c r="G76" s="229"/>
      <c r="H76" s="760"/>
      <c r="I76" s="598">
        <f>I71/(1+0.053)</f>
        <v>123.06742640075974</v>
      </c>
      <c r="J76" s="598">
        <f>J71/(1+0.051)</f>
        <v>146.12749762131307</v>
      </c>
      <c r="K76" s="598">
        <f>K71/(1+0.03)</f>
        <v>144.44660194174756</v>
      </c>
      <c r="L76" s="598">
        <f>L71/(1+0.046)</f>
        <v>135.21988527724665</v>
      </c>
      <c r="M76" s="2795">
        <f>H71</f>
        <v>136.88163732619009</v>
      </c>
      <c r="N76" s="2796">
        <f>N71/(1+0.051)</f>
        <v>130.22835394862037</v>
      </c>
      <c r="O76" s="2796">
        <f>O71/(1+0.048)</f>
        <v>154.61832061068702</v>
      </c>
      <c r="P76" s="2796">
        <f>P71/(1+0.073)</f>
        <v>152.1062441752097</v>
      </c>
      <c r="Q76" s="2796">
        <f>Q71/(1+0.059)</f>
        <v>143.22001888574127</v>
      </c>
      <c r="R76" s="2795">
        <f>R71/(1+0.058)</f>
        <v>145.79395085066162</v>
      </c>
      <c r="S76" s="2796">
        <f>S71/(1+0.043)</f>
        <v>126.0882070949185</v>
      </c>
      <c r="T76" s="2796">
        <f>T71/(1+0.052)</f>
        <v>148.32699619771861</v>
      </c>
      <c r="U76" s="2796">
        <f>U71/(1+0.06)</f>
        <v>148.1320754716981</v>
      </c>
      <c r="V76" s="2796">
        <f>V71/(1+0.036)</f>
        <v>137.42277992277991</v>
      </c>
      <c r="W76" s="2795">
        <f>W71/(1+0.048)</f>
        <v>139.99045801526717</v>
      </c>
      <c r="X76" s="2796">
        <f>X71/(1+0.031)</f>
        <v>129.98060135790496</v>
      </c>
      <c r="Y76" s="2796">
        <f>Y71/(1+0.007)</f>
        <v>155.72989076464748</v>
      </c>
      <c r="Z76" s="2796">
        <f>Z71/(1+0)</f>
        <v>155.59</v>
      </c>
      <c r="AA76" s="3887">
        <f>+AA71/(1+AA65)</f>
        <v>141.91574724172517</v>
      </c>
      <c r="AB76" s="1999">
        <f>W71</f>
        <v>146.71</v>
      </c>
      <c r="AC76" s="3884">
        <f t="shared" ref="AC76:AF77" si="115">+AC71/(1+AC65)</f>
        <v>122.71003034383341</v>
      </c>
      <c r="AD76" s="3884">
        <f t="shared" si="115"/>
        <v>134.88593155893537</v>
      </c>
      <c r="AE76" s="3884">
        <f t="shared" si="115"/>
        <v>140.60263653483992</v>
      </c>
      <c r="AF76" s="3884">
        <f t="shared" si="115"/>
        <v>133.27884615384616</v>
      </c>
      <c r="AG76" s="4076">
        <f t="shared" ref="AG76" si="116">+AG71/(1+AG65)</f>
        <v>128.79506641366223</v>
      </c>
      <c r="AH76" s="1130">
        <f t="shared" ref="AH76:AK76" si="117">AH77*AH78</f>
        <v>126.38978457084586</v>
      </c>
      <c r="AI76" s="1130">
        <f t="shared" si="117"/>
        <v>158.45195160119104</v>
      </c>
      <c r="AJ76" s="1130">
        <f t="shared" si="117"/>
        <v>157.23383623066783</v>
      </c>
      <c r="AK76" s="1130">
        <f t="shared" si="117"/>
        <v>140.59624243036009</v>
      </c>
      <c r="AL76" s="3977">
        <f>AL77*AL78</f>
        <v>145.46050607631003</v>
      </c>
      <c r="AM76" s="3782">
        <f t="shared" ref="AM76:AN78" si="118">AL71</f>
        <v>152.83930370565216</v>
      </c>
      <c r="AN76" s="3782">
        <f t="shared" si="118"/>
        <v>157.16556026390154</v>
      </c>
    </row>
    <row r="77" spans="1:58" s="14" customFormat="1">
      <c r="A77" s="753" t="s">
        <v>45</v>
      </c>
      <c r="B77" s="755"/>
      <c r="C77" s="755"/>
      <c r="D77" s="754"/>
      <c r="E77" s="754"/>
      <c r="F77" s="754"/>
      <c r="G77" s="754"/>
      <c r="H77" s="761"/>
      <c r="I77" s="650">
        <f>I72/(1+0.029)</f>
        <v>176.33624878522838</v>
      </c>
      <c r="J77" s="650">
        <f>J72/(1+0.039)</f>
        <v>186.48700673724736</v>
      </c>
      <c r="K77" s="650">
        <f>K72/(1+0.029)</f>
        <v>182.79883381924199</v>
      </c>
      <c r="L77" s="650">
        <f>L72/(1+0.034)</f>
        <v>188.38491295938104</v>
      </c>
      <c r="M77" s="2797">
        <f>H72</f>
        <v>181.47150257148417</v>
      </c>
      <c r="N77" s="2798">
        <f>N72/(1+0.036)</f>
        <v>181.66023166023163</v>
      </c>
      <c r="O77" s="2798">
        <f>O72/(1+0.03)</f>
        <v>194.94174757281553</v>
      </c>
      <c r="P77" s="2798">
        <f>P72/(1+0.033)</f>
        <v>192.19748305905131</v>
      </c>
      <c r="Q77" s="2798">
        <f>Q72/(1+0.019)</f>
        <v>195.30912659470073</v>
      </c>
      <c r="R77" s="2797">
        <f>R72/(1+0.029)</f>
        <v>192.58503401360545</v>
      </c>
      <c r="S77" s="2798">
        <f>S72/(1+0.017)</f>
        <v>175.7227138643068</v>
      </c>
      <c r="T77" s="2798">
        <f>T72/(1+0.023)</f>
        <v>184.86803519061587</v>
      </c>
      <c r="U77" s="2798">
        <f>U72/(1+0.043)</f>
        <v>180.93000958772774</v>
      </c>
      <c r="V77" s="2798">
        <f>V72/(1+0.034)</f>
        <v>182.13733075435204</v>
      </c>
      <c r="W77" s="2797">
        <f>W72/(1+0.029)</f>
        <v>181.22448979591837</v>
      </c>
      <c r="X77" s="2798">
        <f>X72/(1+0.043)</f>
        <v>174.79386385426656</v>
      </c>
      <c r="Y77" s="2798">
        <f>Y72/(1+0.004)</f>
        <v>191.47410358565739</v>
      </c>
      <c r="Z77" s="2798">
        <f>Z72/(1+0.005)</f>
        <v>186.56716417910451</v>
      </c>
      <c r="AA77" s="3888">
        <f>+AA72/(1+AA66)</f>
        <v>185.356783919598</v>
      </c>
      <c r="AB77" s="2000">
        <f>W72</f>
        <v>186.48</v>
      </c>
      <c r="AC77" s="3885">
        <f t="shared" si="115"/>
        <v>168.79997674933148</v>
      </c>
      <c r="AD77" s="3885">
        <f t="shared" si="115"/>
        <v>173.63106796116506</v>
      </c>
      <c r="AE77" s="3885">
        <f t="shared" si="115"/>
        <v>173</v>
      </c>
      <c r="AF77" s="3885">
        <f t="shared" si="115"/>
        <v>174.98550724637684</v>
      </c>
      <c r="AG77" s="4077">
        <f t="shared" ref="AG77" si="119">+AG72/(1+AG66)</f>
        <v>170.11639185257033</v>
      </c>
      <c r="AH77" s="139">
        <f t="shared" ref="AH77:AK77" si="120">(AH93*AH$96)+(AH109*AH$112)</f>
        <v>169.81125674911343</v>
      </c>
      <c r="AI77" s="139">
        <f t="shared" si="120"/>
        <v>191.95162140839898</v>
      </c>
      <c r="AJ77" s="139">
        <f t="shared" si="120"/>
        <v>182.6268382656389</v>
      </c>
      <c r="AK77" s="139">
        <f t="shared" si="120"/>
        <v>176.6506866869868</v>
      </c>
      <c r="AL77" s="2762">
        <f>AVERAGE(AH77:AK77)</f>
        <v>180.26010077753452</v>
      </c>
      <c r="AM77" s="450">
        <f t="shared" si="118"/>
        <v>182.6339617597929</v>
      </c>
      <c r="AN77" s="450">
        <f t="shared" si="118"/>
        <v>184.46030137739081</v>
      </c>
    </row>
    <row r="78" spans="1:58" s="256" customFormat="1">
      <c r="A78" s="756" t="s">
        <v>2077</v>
      </c>
      <c r="B78" s="758"/>
      <c r="C78" s="758"/>
      <c r="D78" s="757"/>
      <c r="E78" s="757"/>
      <c r="F78" s="757"/>
      <c r="G78" s="757"/>
      <c r="H78" s="556"/>
      <c r="I78" s="611">
        <f>I73-0.017</f>
        <v>0.69699999999999995</v>
      </c>
      <c r="J78" s="611">
        <f>J73-0.01</f>
        <v>0.78300000000000003</v>
      </c>
      <c r="K78" s="611">
        <f>K73-0.001</f>
        <v>0.79</v>
      </c>
      <c r="L78" s="611">
        <f>L73-0.008</f>
        <v>0.71799999999999997</v>
      </c>
      <c r="M78" s="2799">
        <f>H73</f>
        <v>0.75428723180528301</v>
      </c>
      <c r="N78" s="2800">
        <f>N73-0.01</f>
        <v>0.71699999999999997</v>
      </c>
      <c r="O78" s="2800">
        <f>O73-0.014</f>
        <v>0.79300000000000004</v>
      </c>
      <c r="P78" s="2800">
        <f>P73-0.03</f>
        <v>0.79199999999999993</v>
      </c>
      <c r="Q78" s="2800">
        <f>Q73-0.029</f>
        <v>0.73299999999999998</v>
      </c>
      <c r="R78" s="2799">
        <f>R73-0.021</f>
        <v>0.75700000000000001</v>
      </c>
      <c r="S78" s="2800">
        <f>S73-0.019</f>
        <v>0.71699999999999997</v>
      </c>
      <c r="T78" s="2800">
        <f>T73-0.023</f>
        <v>0.80199999999999994</v>
      </c>
      <c r="U78" s="2800">
        <f>U73-0.013</f>
        <v>0.81899999999999995</v>
      </c>
      <c r="V78" s="2800">
        <f>V73-0.001</f>
        <v>0.755</v>
      </c>
      <c r="W78" s="2799">
        <f>W73-0.014</f>
        <v>0.77300000000000002</v>
      </c>
      <c r="X78" s="2800">
        <f>X73+0.007</f>
        <v>0.74199999999999999</v>
      </c>
      <c r="Y78" s="2800">
        <f>Y73+0.013</f>
        <v>0.82899999999999996</v>
      </c>
      <c r="Z78" s="2800">
        <f>Z73+0.004</f>
        <v>0.83399999999999996</v>
      </c>
      <c r="AA78" s="3886">
        <f>+AA73-AA67</f>
        <v>0.76600000000000001</v>
      </c>
      <c r="AB78" s="2001">
        <f>W73</f>
        <v>0.78700000000000003</v>
      </c>
      <c r="AC78" s="3886">
        <f>+AC73-AC67</f>
        <v>0.72829812513196868</v>
      </c>
      <c r="AD78" s="3886">
        <f>+AD73-AD67</f>
        <v>0.77600000000000002</v>
      </c>
      <c r="AE78" s="3886">
        <f>+AE73-AE67</f>
        <v>0.81299999999999994</v>
      </c>
      <c r="AF78" s="3886">
        <f>+AF73-AF67</f>
        <v>0.76200000000000001</v>
      </c>
      <c r="AG78" s="4078">
        <f>+AG73-AG67</f>
        <v>0.75800000000000001</v>
      </c>
      <c r="AH78" s="417">
        <f t="shared" ref="AH78:AK78" si="121">(AH94*AH$96)+(AH110*AH$112)</f>
        <v>0.74429567856964662</v>
      </c>
      <c r="AI78" s="417">
        <f t="shared" si="121"/>
        <v>0.82547857860531659</v>
      </c>
      <c r="AJ78" s="417">
        <f t="shared" si="121"/>
        <v>0.86095689836104039</v>
      </c>
      <c r="AK78" s="417">
        <f t="shared" si="121"/>
        <v>0.79589977863764105</v>
      </c>
      <c r="AL78" s="2001">
        <f>SUMPRODUCT(AH78:AK78,AH$5:AK$5)/AL$5</f>
        <v>0.80694787947460467</v>
      </c>
      <c r="AM78" s="614">
        <f t="shared" si="118"/>
        <v>0.83686134951544333</v>
      </c>
      <c r="AN78" s="614">
        <f t="shared" si="118"/>
        <v>0.85202918508928138</v>
      </c>
    </row>
    <row r="79" spans="1:58">
      <c r="A79" s="744"/>
      <c r="B79" s="563"/>
      <c r="C79" s="563"/>
      <c r="D79" s="15"/>
      <c r="E79" s="15"/>
      <c r="F79" s="15"/>
      <c r="G79" s="15"/>
      <c r="H79" s="208"/>
      <c r="I79" s="15"/>
      <c r="J79" s="15"/>
      <c r="K79" s="15"/>
      <c r="L79" s="15"/>
      <c r="M79" s="208"/>
      <c r="N79" s="15"/>
      <c r="O79" s="15"/>
      <c r="P79" s="15"/>
      <c r="Q79" s="15"/>
      <c r="R79" s="208"/>
      <c r="S79" s="13"/>
      <c r="V79" s="474"/>
      <c r="W79" s="208"/>
      <c r="X79" s="13"/>
      <c r="AA79" s="474"/>
      <c r="AB79" s="208"/>
      <c r="AF79" s="474"/>
      <c r="AG79" s="208"/>
      <c r="AK79" s="474"/>
      <c r="AL79" s="208"/>
      <c r="AM79" s="208"/>
      <c r="AN79" s="208"/>
    </row>
    <row r="80" spans="1:58">
      <c r="A80" s="744"/>
      <c r="B80" s="563"/>
      <c r="C80" s="563"/>
      <c r="D80" s="15"/>
      <c r="E80" s="15"/>
      <c r="F80" s="15"/>
      <c r="G80" s="15"/>
      <c r="H80" s="208"/>
      <c r="I80" s="15"/>
      <c r="J80" s="15"/>
      <c r="K80" s="15"/>
      <c r="L80" s="15"/>
      <c r="M80" s="208"/>
      <c r="N80" s="15"/>
      <c r="O80" s="15"/>
      <c r="P80" s="15"/>
      <c r="Q80" s="15"/>
      <c r="R80" s="208"/>
      <c r="S80" s="13"/>
      <c r="V80" s="474"/>
      <c r="W80" s="208"/>
      <c r="X80" s="13"/>
      <c r="AA80" s="474"/>
      <c r="AB80" s="208"/>
      <c r="AF80" s="474"/>
      <c r="AG80" s="208"/>
      <c r="AK80" s="474"/>
      <c r="AL80" s="208"/>
      <c r="AM80" s="208"/>
      <c r="AN80" s="208"/>
    </row>
    <row r="81" spans="1:42">
      <c r="A81" s="202" t="s">
        <v>2171</v>
      </c>
      <c r="B81" s="564"/>
      <c r="C81" s="564"/>
      <c r="D81" s="470"/>
      <c r="E81" s="470"/>
      <c r="F81" s="470"/>
      <c r="G81" s="470"/>
      <c r="H81" s="553"/>
      <c r="I81" s="470"/>
      <c r="J81" s="470"/>
      <c r="K81" s="470"/>
      <c r="L81" s="470"/>
      <c r="M81" s="553"/>
      <c r="N81" s="470"/>
      <c r="O81" s="470"/>
      <c r="P81" s="470"/>
      <c r="Q81" s="470"/>
      <c r="R81" s="553"/>
      <c r="S81" s="2380"/>
      <c r="T81" s="470"/>
      <c r="U81" s="470"/>
      <c r="V81" s="785"/>
      <c r="W81" s="553"/>
      <c r="X81" s="2380"/>
      <c r="Y81" s="470"/>
      <c r="Z81" s="470"/>
      <c r="AA81" s="785"/>
      <c r="AB81" s="553"/>
      <c r="AC81" s="470"/>
      <c r="AD81" s="470"/>
      <c r="AE81" s="470"/>
      <c r="AF81" s="785"/>
      <c r="AG81" s="553"/>
      <c r="AH81" s="470"/>
      <c r="AI81" s="470"/>
      <c r="AJ81" s="470"/>
      <c r="AK81" s="785"/>
      <c r="AL81" s="553"/>
      <c r="AM81" s="553"/>
      <c r="AN81" s="553"/>
    </row>
    <row r="82" spans="1:42">
      <c r="A82" s="744" t="s">
        <v>2086</v>
      </c>
      <c r="B82" s="455"/>
      <c r="C82" s="745"/>
      <c r="D82" s="417"/>
      <c r="E82" s="417"/>
      <c r="F82" s="417"/>
      <c r="G82" s="417"/>
      <c r="H82" s="745"/>
      <c r="I82" s="417">
        <f t="shared" ref="I82:K83" si="122">+I87/I92-1</f>
        <v>8.8000000000000078E-2</v>
      </c>
      <c r="J82" s="417">
        <f t="shared" si="122"/>
        <v>6.2999999999999945E-2</v>
      </c>
      <c r="K82" s="417">
        <f t="shared" si="122"/>
        <v>6.2000000000000055E-2</v>
      </c>
      <c r="L82" s="417">
        <f t="shared" ref="L82:N83" si="123">+L87/L92-1</f>
        <v>5.0999999999999934E-2</v>
      </c>
      <c r="M82" s="1994">
        <f t="shared" si="123"/>
        <v>6.2407401597019518E-2</v>
      </c>
      <c r="N82" s="417">
        <f t="shared" si="123"/>
        <v>4.8999999999999932E-2</v>
      </c>
      <c r="O82" s="417">
        <f t="shared" ref="O82:R83" si="124">+O87/O92-1</f>
        <v>6.4000000000000057E-2</v>
      </c>
      <c r="P82" s="417">
        <f t="shared" si="124"/>
        <v>9.000000000000008E-2</v>
      </c>
      <c r="Q82" s="417">
        <f t="shared" si="124"/>
        <v>7.0000000000000062E-2</v>
      </c>
      <c r="R82" s="745">
        <f t="shared" si="124"/>
        <v>6.899999999999995E-2</v>
      </c>
      <c r="S82" s="417">
        <f t="shared" ref="S82:V83" si="125">+S87/S92-1</f>
        <v>4.0999999999999925E-2</v>
      </c>
      <c r="T82" s="417">
        <f t="shared" si="125"/>
        <v>6.4999999999999947E-2</v>
      </c>
      <c r="U82" s="417">
        <f t="shared" si="125"/>
        <v>3.8000000000000034E-2</v>
      </c>
      <c r="V82" s="417">
        <f t="shared" si="125"/>
        <v>3.2999999999999918E-2</v>
      </c>
      <c r="W82" s="745">
        <f>AVERAGE(S82:V82)</f>
        <v>4.4249999999999956E-2</v>
      </c>
      <c r="X82" s="417">
        <f t="shared" ref="X82:Z83" si="126">+X87/X92-1</f>
        <v>4.2999999999999927E-2</v>
      </c>
      <c r="Y82" s="417">
        <f t="shared" si="126"/>
        <v>4.0000000000000036E-3</v>
      </c>
      <c r="Z82" s="417">
        <f t="shared" si="126"/>
        <v>1.8000000000000016E-2</v>
      </c>
      <c r="AA82" s="558">
        <v>-4.0000000000000001E-3</v>
      </c>
      <c r="AB82" s="3598">
        <f>AVERAGE(X82:AA82)</f>
        <v>1.5249999999999986E-2</v>
      </c>
      <c r="AC82" s="3770">
        <f>+AC218</f>
        <v>2.5000000000000001E-2</v>
      </c>
      <c r="AD82" s="3770">
        <f>+AD218</f>
        <v>5.0000000000000001E-3</v>
      </c>
      <c r="AE82" s="3770">
        <f>+AE218</f>
        <v>-1E-3</v>
      </c>
      <c r="AF82" s="3770">
        <f>+AF218</f>
        <v>3.2000000000000001E-2</v>
      </c>
      <c r="AG82" s="2602">
        <f>AVERAGE(AC82:AF82)</f>
        <v>1.525E-2</v>
      </c>
      <c r="AH82" s="417">
        <f t="shared" ref="AH82:AK82" si="127">+AH87/AH92-1</f>
        <v>1.4999999999999902E-2</v>
      </c>
      <c r="AI82" s="417">
        <f t="shared" si="127"/>
        <v>1.6000000000000014E-2</v>
      </c>
      <c r="AJ82" s="417">
        <f t="shared" si="127"/>
        <v>1.2999999999999901E-2</v>
      </c>
      <c r="AK82" s="417">
        <f t="shared" si="127"/>
        <v>1.7999999999999794E-2</v>
      </c>
      <c r="AL82" s="1994">
        <f>AVERAGE(AH82:AK82)</f>
        <v>1.5499999999999903E-2</v>
      </c>
      <c r="AM82" s="745">
        <f>+AM87/AM92-1</f>
        <v>9.9999999999997868E-3</v>
      </c>
      <c r="AN82" s="745">
        <f>+AN87/AN92-1</f>
        <v>-2.9480706589827155E-2</v>
      </c>
    </row>
    <row r="83" spans="1:42">
      <c r="A83" s="744" t="s">
        <v>45</v>
      </c>
      <c r="B83" s="455"/>
      <c r="C83" s="455"/>
      <c r="D83" s="417"/>
      <c r="E83" s="417"/>
      <c r="F83" s="417"/>
      <c r="G83" s="417"/>
      <c r="H83" s="455"/>
      <c r="I83" s="417">
        <f t="shared" si="122"/>
        <v>5.4000000000000048E-2</v>
      </c>
      <c r="J83" s="417">
        <f t="shared" si="122"/>
        <v>3.8000000000000034E-2</v>
      </c>
      <c r="K83" s="417">
        <f t="shared" si="122"/>
        <v>5.600000000000005E-2</v>
      </c>
      <c r="L83" s="417">
        <f t="shared" si="123"/>
        <v>2.4999999999999911E-2</v>
      </c>
      <c r="M83" s="1992">
        <f t="shared" si="123"/>
        <v>5.7107182904019949E-2</v>
      </c>
      <c r="N83" s="417">
        <f t="shared" si="123"/>
        <v>3.6999999999999922E-2</v>
      </c>
      <c r="O83" s="417">
        <f t="shared" si="124"/>
        <v>4.6000000000000041E-2</v>
      </c>
      <c r="P83" s="417">
        <f t="shared" si="124"/>
        <v>6.0000000000000053E-2</v>
      </c>
      <c r="Q83" s="417">
        <f t="shared" si="124"/>
        <v>3.8000000000000034E-2</v>
      </c>
      <c r="R83" s="455">
        <f t="shared" si="124"/>
        <v>4.4999999999999929E-2</v>
      </c>
      <c r="S83" s="417">
        <f t="shared" si="125"/>
        <v>2.4000000000000021E-2</v>
      </c>
      <c r="T83" s="417">
        <f t="shared" si="125"/>
        <v>3.8999999999999924E-2</v>
      </c>
      <c r="U83" s="417">
        <f t="shared" si="125"/>
        <v>2.8000000000000025E-2</v>
      </c>
      <c r="V83" s="417">
        <f t="shared" si="125"/>
        <v>3.2999999999999918E-2</v>
      </c>
      <c r="W83" s="455">
        <f>AVERAGE(S83:V83)</f>
        <v>3.0999999999999972E-2</v>
      </c>
      <c r="X83" s="417">
        <f t="shared" si="126"/>
        <v>4.8000000000000043E-2</v>
      </c>
      <c r="Y83" s="417">
        <f t="shared" si="126"/>
        <v>1.6999999999999904E-2</v>
      </c>
      <c r="Z83" s="417">
        <f t="shared" si="126"/>
        <v>2.4999999999999911E-2</v>
      </c>
      <c r="AA83" s="558">
        <v>3.0000000000000001E-3</v>
      </c>
      <c r="AB83" s="1992">
        <f>AVERAGE(X83:AA83)</f>
        <v>2.3249999999999965E-2</v>
      </c>
      <c r="AC83" s="3770">
        <f t="shared" ref="AC83:AE84" si="128">+AC219</f>
        <v>1.2999999999999999E-2</v>
      </c>
      <c r="AD83" s="3770">
        <f t="shared" si="128"/>
        <v>1.0999999999999999E-2</v>
      </c>
      <c r="AE83" s="3770">
        <f t="shared" si="128"/>
        <v>5.0000000000000001E-3</v>
      </c>
      <c r="AF83" s="3770">
        <f t="shared" ref="AF83" si="129">+AF219</f>
        <v>1.0999999999999999E-2</v>
      </c>
      <c r="AG83" s="455">
        <f>AVERAGE(AC83:AF83)</f>
        <v>0.01</v>
      </c>
      <c r="AH83" s="2663">
        <v>1.4999999999999999E-2</v>
      </c>
      <c r="AI83" s="2663">
        <v>1.6E-2</v>
      </c>
      <c r="AJ83" s="2663">
        <v>1.2999999999999999E-2</v>
      </c>
      <c r="AK83" s="2663">
        <v>1.7999999999999999E-2</v>
      </c>
      <c r="AL83" s="1990">
        <f>AVERAGE(AH83:AK83)</f>
        <v>1.55E-2</v>
      </c>
      <c r="AM83" s="563">
        <v>0.01</v>
      </c>
      <c r="AN83" s="563">
        <v>-1.7500000000000002E-2</v>
      </c>
      <c r="AP83" s="726"/>
    </row>
    <row r="84" spans="1:42">
      <c r="A84" s="744" t="s">
        <v>2077</v>
      </c>
      <c r="B84" s="455"/>
      <c r="C84" s="455"/>
      <c r="D84" s="417"/>
      <c r="E84" s="417"/>
      <c r="F84" s="417"/>
      <c r="G84" s="417"/>
      <c r="H84" s="455"/>
      <c r="I84" s="417">
        <f t="shared" ref="I84:N84" si="130">I89-I94</f>
        <v>2.4000000000000021E-2</v>
      </c>
      <c r="J84" s="417">
        <f t="shared" si="130"/>
        <v>2.0000000000000018E-2</v>
      </c>
      <c r="K84" s="417">
        <f t="shared" si="130"/>
        <v>5.0000000000000044E-3</v>
      </c>
      <c r="L84" s="417">
        <f t="shared" si="130"/>
        <v>1.9000000000000017E-2</v>
      </c>
      <c r="M84" s="1992">
        <f t="shared" si="130"/>
        <v>3.9624522793622052E-3</v>
      </c>
      <c r="N84" s="417">
        <f t="shared" si="130"/>
        <v>9.000000000000008E-3</v>
      </c>
      <c r="O84" s="417">
        <f t="shared" ref="O84:T84" si="131">O89-O94</f>
        <v>1.5000000000000013E-2</v>
      </c>
      <c r="P84" s="417">
        <f t="shared" si="131"/>
        <v>2.300000000000002E-2</v>
      </c>
      <c r="Q84" s="417">
        <f t="shared" si="131"/>
        <v>2.4000000000000021E-2</v>
      </c>
      <c r="R84" s="455">
        <f t="shared" si="131"/>
        <v>1.8000000000000016E-2</v>
      </c>
      <c r="S84" s="417">
        <f t="shared" si="131"/>
        <v>1.3000000000000012E-2</v>
      </c>
      <c r="T84" s="417">
        <f t="shared" si="131"/>
        <v>2.1000000000000019E-2</v>
      </c>
      <c r="U84" s="417">
        <f>U89-U94</f>
        <v>9.000000000000008E-3</v>
      </c>
      <c r="V84" s="417">
        <f>V89-V94</f>
        <v>0</v>
      </c>
      <c r="W84" s="455">
        <f>AVERAGE(S84:V84)</f>
        <v>1.075000000000001E-2</v>
      </c>
      <c r="X84" s="417">
        <f>X89-X94</f>
        <v>-3.0000000000000027E-3</v>
      </c>
      <c r="Y84" s="417">
        <f>Y89-Y94</f>
        <v>-1.100000000000001E-2</v>
      </c>
      <c r="Z84" s="417">
        <f>Z89-Z94</f>
        <v>-6.0000000000000053E-3</v>
      </c>
      <c r="AA84" s="558">
        <v>-6.0000000000000001E-3</v>
      </c>
      <c r="AB84" s="2001">
        <f>AVERAGE(X84:AA84)</f>
        <v>-6.500000000000004E-3</v>
      </c>
      <c r="AC84" s="3770">
        <f t="shared" si="128"/>
        <v>8.0000000000000002E-3</v>
      </c>
      <c r="AD84" s="3770">
        <f t="shared" si="128"/>
        <v>-5.0000000000000001E-3</v>
      </c>
      <c r="AE84" s="3770">
        <f t="shared" si="128"/>
        <v>-4.0000000000000001E-3</v>
      </c>
      <c r="AF84" s="3770">
        <f t="shared" ref="AF84" si="132">+AF220</f>
        <v>1.4999999999999999E-2</v>
      </c>
      <c r="AG84" s="614">
        <f>AVERAGE(AC84:AF84)</f>
        <v>3.4999999999999996E-3</v>
      </c>
      <c r="AH84" s="2663">
        <v>0</v>
      </c>
      <c r="AI84" s="2663">
        <v>0</v>
      </c>
      <c r="AJ84" s="2663">
        <v>0</v>
      </c>
      <c r="AK84" s="2663">
        <v>0</v>
      </c>
      <c r="AL84" s="1990">
        <f>AVERAGE(AH84:AK84)</f>
        <v>0</v>
      </c>
      <c r="AM84" s="563">
        <v>0</v>
      </c>
      <c r="AN84" s="563">
        <v>-0.01</v>
      </c>
      <c r="AP84" s="726"/>
    </row>
    <row r="85" spans="1:42">
      <c r="A85" s="744"/>
      <c r="B85" s="457"/>
      <c r="C85" s="457"/>
      <c r="D85" s="135"/>
      <c r="E85" s="135"/>
      <c r="F85" s="135"/>
      <c r="G85" s="135"/>
      <c r="H85" s="208"/>
      <c r="I85" s="15"/>
      <c r="J85" s="15"/>
      <c r="K85" s="15"/>
      <c r="L85" s="1777"/>
      <c r="M85" s="1996"/>
      <c r="N85" s="15"/>
      <c r="O85" s="15"/>
      <c r="P85" s="15"/>
      <c r="Q85" s="15"/>
      <c r="R85" s="208"/>
      <c r="V85" s="474"/>
      <c r="W85" s="208"/>
      <c r="AA85" s="1777"/>
      <c r="AB85" s="1996"/>
      <c r="AG85" s="208"/>
      <c r="AL85" s="1996"/>
      <c r="AM85" s="208"/>
      <c r="AN85" s="208"/>
    </row>
    <row r="86" spans="1:42">
      <c r="A86" s="747" t="s">
        <v>2132</v>
      </c>
      <c r="B86" s="750"/>
      <c r="C86" s="748"/>
      <c r="D86" s="1140" t="s">
        <v>1203</v>
      </c>
      <c r="E86" s="139"/>
      <c r="F86" s="139"/>
      <c r="G86" s="139"/>
      <c r="H86" s="208"/>
      <c r="I86" s="650"/>
      <c r="J86" s="650"/>
      <c r="K86" s="650"/>
      <c r="L86" s="1997"/>
      <c r="M86" s="1996"/>
      <c r="N86" s="650"/>
      <c r="O86" s="650"/>
      <c r="P86" s="650"/>
      <c r="Q86" s="650"/>
      <c r="R86" s="226"/>
      <c r="S86" s="650"/>
      <c r="T86" s="650"/>
      <c r="U86" s="650"/>
      <c r="V86" s="474"/>
      <c r="W86" s="226"/>
      <c r="AA86" s="3597"/>
      <c r="AB86" s="1996"/>
      <c r="AG86" s="208"/>
      <c r="AL86" s="1996"/>
      <c r="AM86" s="208"/>
      <c r="AN86" s="208"/>
    </row>
    <row r="87" spans="1:42" s="726" customFormat="1">
      <c r="A87" s="751" t="s">
        <v>2086</v>
      </c>
      <c r="B87" s="752"/>
      <c r="C87" s="752"/>
      <c r="D87" s="1128">
        <f>I92</f>
        <v>134.31066176470586</v>
      </c>
      <c r="E87" s="1128">
        <f t="shared" ref="D87:F89" si="133">J92</f>
        <v>157.04609595484479</v>
      </c>
      <c r="F87" s="1128">
        <f t="shared" si="133"/>
        <v>153.96421845574386</v>
      </c>
      <c r="G87" s="1350">
        <f>G88*G89</f>
        <v>144.30000000000001</v>
      </c>
      <c r="H87" s="1126">
        <f>H88*H89</f>
        <v>147.30495221943025</v>
      </c>
      <c r="I87" s="560">
        <v>146.13</v>
      </c>
      <c r="J87" s="560">
        <v>166.94</v>
      </c>
      <c r="K87" s="560">
        <v>163.51</v>
      </c>
      <c r="L87" s="560">
        <v>149.32</v>
      </c>
      <c r="M87" s="1999">
        <f>M88*M89</f>
        <v>156.49787152981801</v>
      </c>
      <c r="N87" s="560">
        <v>146.68</v>
      </c>
      <c r="O87" s="560">
        <v>172.27</v>
      </c>
      <c r="P87" s="560">
        <v>177.52</v>
      </c>
      <c r="Q87" s="560">
        <v>168.64</v>
      </c>
      <c r="R87" s="2410">
        <v>168.84</v>
      </c>
      <c r="S87" s="560">
        <v>148.36000000000001</v>
      </c>
      <c r="T87" s="560">
        <v>175.44</v>
      </c>
      <c r="U87" s="560">
        <v>171.18</v>
      </c>
      <c r="V87" s="560">
        <v>158.16999999999999</v>
      </c>
      <c r="W87" s="2410">
        <v>163.34</v>
      </c>
      <c r="X87" s="560">
        <v>154.97</v>
      </c>
      <c r="Y87" s="560">
        <v>173.23</v>
      </c>
      <c r="Z87" s="560">
        <v>171.11</v>
      </c>
      <c r="AA87" s="560">
        <v>157.47999999999999</v>
      </c>
      <c r="AB87" s="1999">
        <f t="shared" ref="AB87:AN87" si="134">AB88*AB89</f>
        <v>164.19057008599833</v>
      </c>
      <c r="AC87" s="1130">
        <f t="shared" ref="AC87" si="135">AC88*AC89</f>
        <v>158.6535275</v>
      </c>
      <c r="AD87" s="1130">
        <f t="shared" si="134"/>
        <v>174.19131665999998</v>
      </c>
      <c r="AE87" s="1130">
        <f t="shared" ref="AE87" si="136">AE88*AE89</f>
        <v>171.11212409999999</v>
      </c>
      <c r="AF87" s="1130">
        <f t="shared" si="134"/>
        <v>162.32733276000002</v>
      </c>
      <c r="AG87" s="3782">
        <f t="shared" si="134"/>
        <v>166.56275248702946</v>
      </c>
      <c r="AH87" s="1130">
        <f t="shared" ref="AH87:AL87" si="137">AH88*AH89</f>
        <v>161.03333041249996</v>
      </c>
      <c r="AI87" s="1130">
        <f>AI88*AI89</f>
        <v>176.97837772655998</v>
      </c>
      <c r="AJ87" s="1130">
        <f t="shared" si="137"/>
        <v>173.33658171329998</v>
      </c>
      <c r="AK87" s="1130">
        <f t="shared" si="137"/>
        <v>165.24922474968</v>
      </c>
      <c r="AL87" s="3977">
        <f t="shared" si="137"/>
        <v>169.14558749770609</v>
      </c>
      <c r="AM87" s="3782">
        <f t="shared" si="134"/>
        <v>170.83704337268313</v>
      </c>
      <c r="AN87" s="3782">
        <f t="shared" si="134"/>
        <v>165.80064662233949</v>
      </c>
    </row>
    <row r="88" spans="1:42" s="14" customFormat="1">
      <c r="A88" s="753" t="s">
        <v>45</v>
      </c>
      <c r="B88" s="755"/>
      <c r="C88" s="755"/>
      <c r="D88" s="1129">
        <f t="shared" si="133"/>
        <v>179.66793168880454</v>
      </c>
      <c r="E88" s="1129">
        <f t="shared" si="133"/>
        <v>192.47591522157995</v>
      </c>
      <c r="F88" s="1129">
        <f t="shared" si="133"/>
        <v>188.41856060606059</v>
      </c>
      <c r="G88" s="1123">
        <v>185</v>
      </c>
      <c r="H88" s="662">
        <f>SUMPRODUCT(D88:G88,D$5:G$5)/H$5</f>
        <v>186.39234329126381</v>
      </c>
      <c r="I88" s="561">
        <v>189.37</v>
      </c>
      <c r="J88" s="561">
        <v>199.79</v>
      </c>
      <c r="K88" s="561">
        <v>198.97</v>
      </c>
      <c r="L88" s="561">
        <v>199.88</v>
      </c>
      <c r="M88" s="2000">
        <f>SUMPRODUCT(I88:L88,I$5:L$5)/M$5</f>
        <v>197.0366849315069</v>
      </c>
      <c r="N88" s="561">
        <v>191.51</v>
      </c>
      <c r="O88" s="561">
        <v>204.1</v>
      </c>
      <c r="P88" s="561">
        <v>209.43</v>
      </c>
      <c r="Q88" s="561">
        <v>215.37</v>
      </c>
      <c r="R88" s="649">
        <v>207.88</v>
      </c>
      <c r="S88" s="561">
        <v>190.02</v>
      </c>
      <c r="T88" s="561">
        <v>203.46</v>
      </c>
      <c r="U88" s="561">
        <v>200.86</v>
      </c>
      <c r="V88" s="561">
        <v>203.97</v>
      </c>
      <c r="W88" s="649">
        <v>199.73</v>
      </c>
      <c r="X88" s="561">
        <v>197.5</v>
      </c>
      <c r="Y88" s="561">
        <v>202.94</v>
      </c>
      <c r="Z88" s="561">
        <v>202.21</v>
      </c>
      <c r="AA88" s="561">
        <v>201.71</v>
      </c>
      <c r="AB88" s="2000">
        <f>SUMPRODUCT(X88:AA88,X$5:AA$5)/AB$5</f>
        <v>201.09475409836062</v>
      </c>
      <c r="AC88" s="139">
        <f>AC93*(1+AC83)</f>
        <v>200.06749999999997</v>
      </c>
      <c r="AD88" s="139">
        <f>AD93*(1+AD83)</f>
        <v>205.17233999999999</v>
      </c>
      <c r="AE88" s="139">
        <f>AE93*(1+AE83)</f>
        <v>203.22104999999999</v>
      </c>
      <c r="AF88" s="139">
        <f>AF93*(1+AF83)</f>
        <v>203.92881</v>
      </c>
      <c r="AG88" s="450">
        <f>SUMPRODUCT(AC88:AF88,AC$5:AF$5)/AG$5</f>
        <v>203.10834263013695</v>
      </c>
      <c r="AH88" s="139">
        <f t="shared" ref="AH88:AK88" si="138">AH93*(1+AH83)</f>
        <v>203.06851249999994</v>
      </c>
      <c r="AI88" s="139">
        <f t="shared" si="138"/>
        <v>208.45509744</v>
      </c>
      <c r="AJ88" s="139">
        <f t="shared" si="138"/>
        <v>205.86292364999997</v>
      </c>
      <c r="AK88" s="139">
        <f t="shared" si="138"/>
        <v>207.59952858</v>
      </c>
      <c r="AL88" s="2762">
        <f>SUMPRODUCT(AH88:AK88,AH$5:AK$5)/AL$5</f>
        <v>206.25787834849314</v>
      </c>
      <c r="AM88" s="450">
        <f>AM93*(1+AM83)</f>
        <v>208.32045713197806</v>
      </c>
      <c r="AN88" s="450">
        <f>AN93*(1+AN83)</f>
        <v>204.67484913216845</v>
      </c>
    </row>
    <row r="89" spans="1:42" s="256" customFormat="1">
      <c r="A89" s="756" t="s">
        <v>2077</v>
      </c>
      <c r="B89" s="758"/>
      <c r="C89" s="758"/>
      <c r="D89" s="1107">
        <f t="shared" si="133"/>
        <v>0.748</v>
      </c>
      <c r="E89" s="1107">
        <f t="shared" si="133"/>
        <v>0.81599999999999995</v>
      </c>
      <c r="F89" s="1107">
        <f t="shared" si="133"/>
        <v>0.81699999999999995</v>
      </c>
      <c r="G89" s="1124">
        <v>0.78</v>
      </c>
      <c r="H89" s="614">
        <f>SUMPRODUCT(D89:G89,D$5:G$5)/H$5</f>
        <v>0.7902950819672131</v>
      </c>
      <c r="I89" s="757">
        <v>0.77200000000000002</v>
      </c>
      <c r="J89" s="757">
        <v>0.83599999999999997</v>
      </c>
      <c r="K89" s="757">
        <v>0.82199999999999995</v>
      </c>
      <c r="L89" s="757">
        <v>0.747</v>
      </c>
      <c r="M89" s="2001">
        <f>SUMPRODUCT(I89:L89,I$5:L$5)/M$5</f>
        <v>0.7942575342465753</v>
      </c>
      <c r="N89" s="757">
        <v>0.76600000000000001</v>
      </c>
      <c r="O89" s="757">
        <v>0.84399999999999997</v>
      </c>
      <c r="P89" s="757">
        <v>0.84799999999999998</v>
      </c>
      <c r="Q89" s="757">
        <v>0.78300000000000003</v>
      </c>
      <c r="R89" s="758">
        <v>0.81200000000000006</v>
      </c>
      <c r="S89" s="757">
        <v>0.78100000000000003</v>
      </c>
      <c r="T89" s="757">
        <v>0.86199999999999999</v>
      </c>
      <c r="U89" s="757">
        <v>0.85199999999999998</v>
      </c>
      <c r="V89" s="757">
        <v>0.77500000000000002</v>
      </c>
      <c r="W89" s="758">
        <v>0.81799999999999995</v>
      </c>
      <c r="X89" s="757">
        <v>0.78500000000000003</v>
      </c>
      <c r="Y89" s="757">
        <v>0.85399999999999998</v>
      </c>
      <c r="Z89" s="757">
        <v>0.84599999999999997</v>
      </c>
      <c r="AA89" s="757">
        <v>0.78100000000000003</v>
      </c>
      <c r="AB89" s="2001">
        <f>SUMPRODUCT(X89:AA89,X$5:AA$5)/AB$5</f>
        <v>0.81648360655737695</v>
      </c>
      <c r="AC89" s="611">
        <f>AC94+AC84</f>
        <v>0.79300000000000004</v>
      </c>
      <c r="AD89" s="611">
        <f>AD94+AD84</f>
        <v>0.84899999999999998</v>
      </c>
      <c r="AE89" s="611">
        <f>AE94+AE84</f>
        <v>0.84199999999999997</v>
      </c>
      <c r="AF89" s="611">
        <f>AF94+AF84</f>
        <v>0.79600000000000004</v>
      </c>
      <c r="AG89" s="614">
        <f>SUMPRODUCT(AC89:AF89,AC$5:AF$5)/AG$5</f>
        <v>0.82006849315068508</v>
      </c>
      <c r="AH89" s="611">
        <f t="shared" ref="AH89:AK89" si="139">AH94+AH84</f>
        <v>0.79300000000000004</v>
      </c>
      <c r="AI89" s="611">
        <f t="shared" si="139"/>
        <v>0.84899999999999998</v>
      </c>
      <c r="AJ89" s="611">
        <f t="shared" si="139"/>
        <v>0.84199999999999997</v>
      </c>
      <c r="AK89" s="611">
        <f t="shared" si="139"/>
        <v>0.79600000000000004</v>
      </c>
      <c r="AL89" s="2001">
        <f>SUMPRODUCT(AH89:AK89,AH$5:AK$5)/AL$5</f>
        <v>0.82006849315068508</v>
      </c>
      <c r="AM89" s="614">
        <f>AM94+AM84</f>
        <v>0.82006849315068508</v>
      </c>
      <c r="AN89" s="614">
        <f>AN94+AN84</f>
        <v>0.81006849315068508</v>
      </c>
    </row>
    <row r="90" spans="1:42">
      <c r="A90" s="744"/>
      <c r="B90" s="457"/>
      <c r="C90" s="457"/>
      <c r="D90" s="558"/>
      <c r="E90" s="558"/>
      <c r="F90" s="558"/>
      <c r="G90" s="558"/>
      <c r="H90" s="563"/>
      <c r="I90" s="558"/>
      <c r="J90" s="503"/>
      <c r="K90" s="503"/>
      <c r="L90" s="503"/>
      <c r="M90" s="563"/>
      <c r="N90" s="503"/>
      <c r="O90" s="503"/>
      <c r="P90" s="503"/>
      <c r="Q90" s="503"/>
      <c r="R90" s="563"/>
      <c r="S90" s="503"/>
      <c r="T90" s="503"/>
      <c r="U90" s="503"/>
      <c r="V90" s="1131"/>
      <c r="W90" s="563"/>
      <c r="X90" s="503"/>
      <c r="Y90" s="503"/>
      <c r="Z90" s="503"/>
      <c r="AA90" s="503"/>
      <c r="AB90" s="1996"/>
      <c r="AC90" s="558"/>
      <c r="AD90" s="558"/>
      <c r="AE90" s="558"/>
      <c r="AF90" s="558"/>
      <c r="AG90" s="138"/>
      <c r="AH90" s="558"/>
      <c r="AI90" s="558"/>
      <c r="AJ90" s="558"/>
      <c r="AK90" s="558"/>
      <c r="AL90" s="2768"/>
      <c r="AM90" s="138"/>
      <c r="AN90" s="138"/>
    </row>
    <row r="91" spans="1:42">
      <c r="A91" s="747" t="s">
        <v>2133</v>
      </c>
      <c r="B91" s="457"/>
      <c r="C91" s="457"/>
      <c r="D91" s="558"/>
      <c r="E91" s="558"/>
      <c r="F91" s="558"/>
      <c r="G91" s="558"/>
      <c r="H91" s="563"/>
      <c r="I91" s="558"/>
      <c r="J91" s="503"/>
      <c r="K91" s="503"/>
      <c r="L91" s="503"/>
      <c r="M91" s="563"/>
      <c r="N91" s="503"/>
      <c r="O91" s="503"/>
      <c r="P91" s="503"/>
      <c r="Q91" s="503"/>
      <c r="R91" s="563"/>
      <c r="S91" s="503"/>
      <c r="T91" s="503"/>
      <c r="U91" s="503"/>
      <c r="V91" s="1131"/>
      <c r="W91" s="563"/>
      <c r="X91" s="503"/>
      <c r="Y91" s="503"/>
      <c r="Z91" s="503"/>
      <c r="AA91" s="503"/>
      <c r="AB91" s="1996"/>
      <c r="AC91" s="558"/>
      <c r="AD91" s="558"/>
      <c r="AE91" s="558"/>
      <c r="AF91" s="558"/>
      <c r="AG91" s="138"/>
      <c r="AH91" s="558"/>
      <c r="AI91" s="558"/>
      <c r="AJ91" s="558"/>
      <c r="AK91" s="558"/>
      <c r="AL91" s="2768"/>
      <c r="AM91" s="138"/>
      <c r="AN91" s="138"/>
    </row>
    <row r="92" spans="1:42" s="726" customFormat="1">
      <c r="A92" s="751" t="s">
        <v>2086</v>
      </c>
      <c r="B92" s="752"/>
      <c r="C92" s="752"/>
      <c r="D92" s="2212"/>
      <c r="E92" s="229"/>
      <c r="F92" s="229"/>
      <c r="G92" s="229"/>
      <c r="H92" s="760"/>
      <c r="I92" s="1130">
        <f>I87/(1+0.088)</f>
        <v>134.31066176470586</v>
      </c>
      <c r="J92" s="1130">
        <f>J87/(1+0.063)</f>
        <v>157.04609595484479</v>
      </c>
      <c r="K92" s="1130">
        <f>K87/(1+0.062)</f>
        <v>153.96421845574386</v>
      </c>
      <c r="L92" s="1130">
        <f>L87/(1+0.051)</f>
        <v>142.07421503330161</v>
      </c>
      <c r="M92" s="2795">
        <f>H87</f>
        <v>147.30495221943025</v>
      </c>
      <c r="N92" s="2801">
        <f>N87/(1+0.049)</f>
        <v>139.82840800762634</v>
      </c>
      <c r="O92" s="2801">
        <f>O87/(1+0.064)</f>
        <v>161.90789473684211</v>
      </c>
      <c r="P92" s="2801">
        <f>P87/(1+0.09)</f>
        <v>162.8623853211009</v>
      </c>
      <c r="Q92" s="2796">
        <f>Q87/(1+0.07)</f>
        <v>157.60747663551399</v>
      </c>
      <c r="R92" s="2795">
        <f>R87/(1+0.069)</f>
        <v>157.9420018709074</v>
      </c>
      <c r="S92" s="2796">
        <f>S87/(1+0.041)</f>
        <v>142.5168107588857</v>
      </c>
      <c r="T92" s="2796">
        <f>T87/(1+0.065)</f>
        <v>164.73239436619718</v>
      </c>
      <c r="U92" s="2796">
        <f>U87/(1+0.038)</f>
        <v>164.91329479768785</v>
      </c>
      <c r="V92" s="2796">
        <f>V87/(1+0.033)</f>
        <v>153.11713455953534</v>
      </c>
      <c r="W92" s="2795">
        <f>W87/(1+0.045)</f>
        <v>156.30622009569379</v>
      </c>
      <c r="X92" s="2796">
        <f>X87/(1+0.043)</f>
        <v>148.5810162991371</v>
      </c>
      <c r="Y92" s="2796">
        <f>Y87/(1+0.004)</f>
        <v>172.5398406374502</v>
      </c>
      <c r="Z92" s="2796">
        <f>Z87/(1+0.018)</f>
        <v>168.08447937131632</v>
      </c>
      <c r="AA92" s="3887">
        <f>+AA87/(1+AA82)</f>
        <v>158.11244979919678</v>
      </c>
      <c r="AB92" s="1999">
        <f>W87</f>
        <v>163.34</v>
      </c>
      <c r="AC92" s="1130">
        <f t="shared" ref="AC92:AG94" si="140">X87</f>
        <v>154.97</v>
      </c>
      <c r="AD92" s="1130">
        <f t="shared" si="140"/>
        <v>173.23</v>
      </c>
      <c r="AE92" s="1130">
        <f t="shared" si="140"/>
        <v>171.11</v>
      </c>
      <c r="AF92" s="1130">
        <f t="shared" si="140"/>
        <v>157.47999999999999</v>
      </c>
      <c r="AG92" s="3782">
        <f t="shared" si="140"/>
        <v>164.19057008599833</v>
      </c>
      <c r="AH92" s="1130">
        <f t="shared" ref="AH92:AH94" si="141">AC87</f>
        <v>158.6535275</v>
      </c>
      <c r="AI92" s="1130">
        <f t="shared" ref="AI92:AI94" si="142">AD87</f>
        <v>174.19131665999998</v>
      </c>
      <c r="AJ92" s="1130">
        <f t="shared" ref="AJ92:AJ94" si="143">AE87</f>
        <v>171.11212409999999</v>
      </c>
      <c r="AK92" s="1130">
        <f t="shared" ref="AK92:AL94" si="144">AF87</f>
        <v>162.32733276000002</v>
      </c>
      <c r="AL92" s="3977">
        <f t="shared" si="144"/>
        <v>166.56275248702946</v>
      </c>
      <c r="AM92" s="3782">
        <f t="shared" ref="AM92:AN94" si="145">AL87</f>
        <v>169.14558749770609</v>
      </c>
      <c r="AN92" s="3782">
        <f t="shared" si="145"/>
        <v>170.83704337268313</v>
      </c>
    </row>
    <row r="93" spans="1:42" s="14" customFormat="1">
      <c r="A93" s="753" t="s">
        <v>45</v>
      </c>
      <c r="B93" s="755"/>
      <c r="C93" s="755"/>
      <c r="D93" s="754"/>
      <c r="E93" s="754"/>
      <c r="F93" s="754"/>
      <c r="G93" s="754"/>
      <c r="H93" s="761"/>
      <c r="I93" s="139">
        <f>I88/(1+0.054)</f>
        <v>179.66793168880454</v>
      </c>
      <c r="J93" s="139">
        <f>J88/(1+0.038)</f>
        <v>192.47591522157995</v>
      </c>
      <c r="K93" s="139">
        <f>K88/(1+0.056)</f>
        <v>188.41856060606059</v>
      </c>
      <c r="L93" s="139">
        <f>L88/(1+0.025)</f>
        <v>195.00487804878051</v>
      </c>
      <c r="M93" s="2797">
        <f>H88</f>
        <v>186.39234329126381</v>
      </c>
      <c r="N93" s="2802">
        <f>N88/(1+0.037)</f>
        <v>184.67695274831243</v>
      </c>
      <c r="O93" s="2802">
        <f>O88/(1+0.046)</f>
        <v>195.12428298279158</v>
      </c>
      <c r="P93" s="2802">
        <f>P88/(1+0.06)</f>
        <v>197.5754716981132</v>
      </c>
      <c r="Q93" s="2798">
        <f>Q88/(1+0.038)</f>
        <v>207.48554913294797</v>
      </c>
      <c r="R93" s="2797">
        <f>R88/(1+0.045)</f>
        <v>198.92822966507177</v>
      </c>
      <c r="S93" s="2798">
        <f>S88/(1+0.024)</f>
        <v>185.56640625</v>
      </c>
      <c r="T93" s="2798">
        <f>T88/(1+0.039)</f>
        <v>195.822906641001</v>
      </c>
      <c r="U93" s="2798">
        <f>U88/(1+0.028)</f>
        <v>195.38910505836577</v>
      </c>
      <c r="V93" s="2798">
        <f>V88/(1+0.033)</f>
        <v>197.4540174249758</v>
      </c>
      <c r="W93" s="2797">
        <f>W88/(1+0.031)</f>
        <v>193.72453928225025</v>
      </c>
      <c r="X93" s="2798">
        <f>X88/(1+0.048)</f>
        <v>188.45419847328245</v>
      </c>
      <c r="Y93" s="2798">
        <f>Y88/(1+0.017)</f>
        <v>199.54768928220258</v>
      </c>
      <c r="Z93" s="2798">
        <f>Z88/(1+0.025)</f>
        <v>197.27804878048784</v>
      </c>
      <c r="AA93" s="3888">
        <f>+AA88/(1+AA83)</f>
        <v>201.10667996011966</v>
      </c>
      <c r="AB93" s="2000">
        <f>W88</f>
        <v>199.73</v>
      </c>
      <c r="AC93" s="139">
        <f t="shared" ref="AC93:AF94" si="146">X88</f>
        <v>197.5</v>
      </c>
      <c r="AD93" s="139">
        <f t="shared" si="146"/>
        <v>202.94</v>
      </c>
      <c r="AE93" s="139">
        <f t="shared" si="146"/>
        <v>202.21</v>
      </c>
      <c r="AF93" s="139">
        <f t="shared" si="146"/>
        <v>201.71</v>
      </c>
      <c r="AG93" s="450">
        <f t="shared" si="140"/>
        <v>201.09475409836062</v>
      </c>
      <c r="AH93" s="139">
        <f t="shared" si="141"/>
        <v>200.06749999999997</v>
      </c>
      <c r="AI93" s="139">
        <f t="shared" si="142"/>
        <v>205.17233999999999</v>
      </c>
      <c r="AJ93" s="139">
        <f t="shared" si="143"/>
        <v>203.22104999999999</v>
      </c>
      <c r="AK93" s="139">
        <f t="shared" si="144"/>
        <v>203.92881</v>
      </c>
      <c r="AL93" s="2762">
        <f t="shared" si="144"/>
        <v>203.10834263013695</v>
      </c>
      <c r="AM93" s="450">
        <f t="shared" si="145"/>
        <v>206.25787834849314</v>
      </c>
      <c r="AN93" s="450">
        <f t="shared" si="145"/>
        <v>208.32045713197806</v>
      </c>
    </row>
    <row r="94" spans="1:42" s="256" customFormat="1">
      <c r="A94" s="756" t="s">
        <v>2077</v>
      </c>
      <c r="B94" s="758"/>
      <c r="C94" s="758"/>
      <c r="D94" s="757"/>
      <c r="E94" s="757"/>
      <c r="F94" s="757"/>
      <c r="G94" s="757"/>
      <c r="H94" s="556"/>
      <c r="I94" s="611">
        <f>I89-0.024</f>
        <v>0.748</v>
      </c>
      <c r="J94" s="611">
        <f>J89-0.02</f>
        <v>0.81599999999999995</v>
      </c>
      <c r="K94" s="611">
        <f>K89-0.005</f>
        <v>0.81699999999999995</v>
      </c>
      <c r="L94" s="611">
        <f>L89-0.019</f>
        <v>0.72799999999999998</v>
      </c>
      <c r="M94" s="2799">
        <f>H89</f>
        <v>0.7902950819672131</v>
      </c>
      <c r="N94" s="2800">
        <f>N89-0.009</f>
        <v>0.75700000000000001</v>
      </c>
      <c r="O94" s="2800">
        <f>O89-0.015</f>
        <v>0.82899999999999996</v>
      </c>
      <c r="P94" s="2800">
        <f>P89-0.023</f>
        <v>0.82499999999999996</v>
      </c>
      <c r="Q94" s="2800">
        <f>Q89-0.024</f>
        <v>0.75900000000000001</v>
      </c>
      <c r="R94" s="2799">
        <f>R89-0.018</f>
        <v>0.79400000000000004</v>
      </c>
      <c r="S94" s="2800">
        <f>S89-0.013</f>
        <v>0.76800000000000002</v>
      </c>
      <c r="T94" s="2800">
        <f>T89-0.021</f>
        <v>0.84099999999999997</v>
      </c>
      <c r="U94" s="2800">
        <f>U89-0.009</f>
        <v>0.84299999999999997</v>
      </c>
      <c r="V94" s="2800">
        <f>V89</f>
        <v>0.77500000000000002</v>
      </c>
      <c r="W94" s="2799">
        <f>W89-0.011</f>
        <v>0.80699999999999994</v>
      </c>
      <c r="X94" s="2800">
        <f>X89+0.003</f>
        <v>0.78800000000000003</v>
      </c>
      <c r="Y94" s="2800">
        <f>Y89+0.011</f>
        <v>0.86499999999999999</v>
      </c>
      <c r="Z94" s="2800">
        <f>Z89+0.006</f>
        <v>0.85199999999999998</v>
      </c>
      <c r="AA94" s="3886">
        <f>+AA89-AA84</f>
        <v>0.78700000000000003</v>
      </c>
      <c r="AB94" s="2001">
        <f>W89</f>
        <v>0.81799999999999995</v>
      </c>
      <c r="AC94" s="611">
        <f t="shared" si="146"/>
        <v>0.78500000000000003</v>
      </c>
      <c r="AD94" s="611">
        <f t="shared" si="146"/>
        <v>0.85399999999999998</v>
      </c>
      <c r="AE94" s="611">
        <f t="shared" si="146"/>
        <v>0.84599999999999997</v>
      </c>
      <c r="AF94" s="611">
        <f t="shared" si="146"/>
        <v>0.78100000000000003</v>
      </c>
      <c r="AG94" s="614">
        <f t="shared" si="140"/>
        <v>0.81648360655737695</v>
      </c>
      <c r="AH94" s="611">
        <f t="shared" si="141"/>
        <v>0.79300000000000004</v>
      </c>
      <c r="AI94" s="611">
        <f t="shared" si="142"/>
        <v>0.84899999999999998</v>
      </c>
      <c r="AJ94" s="611">
        <f t="shared" si="143"/>
        <v>0.84199999999999997</v>
      </c>
      <c r="AK94" s="611">
        <f t="shared" si="144"/>
        <v>0.79600000000000004</v>
      </c>
      <c r="AL94" s="2001">
        <f t="shared" si="144"/>
        <v>0.82006849315068508</v>
      </c>
      <c r="AM94" s="614">
        <f t="shared" si="145"/>
        <v>0.82006849315068508</v>
      </c>
      <c r="AN94" s="614">
        <f t="shared" si="145"/>
        <v>0.82006849315068508</v>
      </c>
    </row>
    <row r="95" spans="1:42">
      <c r="A95" s="744"/>
      <c r="B95" s="245"/>
      <c r="C95" s="245"/>
      <c r="D95" s="562"/>
      <c r="E95" s="562"/>
      <c r="F95" s="562"/>
      <c r="G95" s="562"/>
      <c r="H95" s="245"/>
      <c r="I95" s="562"/>
      <c r="J95" s="562"/>
      <c r="K95" s="562"/>
      <c r="L95" s="562"/>
      <c r="M95" s="2002"/>
      <c r="N95" s="562"/>
      <c r="O95" s="562"/>
      <c r="P95" s="562"/>
      <c r="Q95" s="562"/>
      <c r="R95" s="1028"/>
      <c r="S95" s="562"/>
      <c r="T95" s="562"/>
      <c r="U95" s="562"/>
      <c r="V95" s="562"/>
      <c r="W95" s="245"/>
      <c r="X95" s="562"/>
      <c r="Y95" s="562"/>
      <c r="Z95" s="562"/>
      <c r="AA95" s="562"/>
      <c r="AB95" s="208"/>
      <c r="AC95" s="562"/>
      <c r="AD95" s="562"/>
      <c r="AE95" s="562"/>
      <c r="AF95" s="562"/>
      <c r="AG95" s="208"/>
      <c r="AH95" s="562"/>
      <c r="AI95" s="562"/>
      <c r="AJ95" s="562"/>
      <c r="AK95" s="562"/>
      <c r="AL95" s="1996"/>
      <c r="AM95" s="208"/>
      <c r="AN95" s="208"/>
    </row>
    <row r="96" spans="1:42">
      <c r="A96" s="2023" t="s">
        <v>1877</v>
      </c>
      <c r="B96" s="1111">
        <f>('QTR Rooms'!B438+'QTR Rooms'!B793)/'QTR Rooms'!B794</f>
        <v>0.52585917116194192</v>
      </c>
      <c r="C96" s="1112">
        <f>('QTR Rooms'!C438+'QTR Rooms'!C793)/'QTR Rooms'!C794</f>
        <v>0.52591680394069762</v>
      </c>
      <c r="D96" s="1109">
        <f>('QTR Rooms'!D438+'QTR Rooms'!D793)/'QTR Rooms'!D794</f>
        <v>0.5260682461725511</v>
      </c>
      <c r="E96" s="1109">
        <f>('QTR Rooms'!E438+'QTR Rooms'!E793)/'QTR Rooms'!E794</f>
        <v>0.52601942058197759</v>
      </c>
      <c r="F96" s="1109">
        <f>('QTR Rooms'!F438+'QTR Rooms'!F793)/'QTR Rooms'!F794</f>
        <v>0.5262543570720476</v>
      </c>
      <c r="G96" s="1111">
        <f>('QTR Rooms'!G438+'QTR Rooms'!G793)/'QTR Rooms'!G794</f>
        <v>0.52626193179092784</v>
      </c>
      <c r="H96" s="1112">
        <f>('QTR Rooms'!H438+'QTR Rooms'!H793)/'QTR Rooms'!H794</f>
        <v>0.52626193179092784</v>
      </c>
      <c r="I96" s="1109">
        <f>('QTR Rooms'!I438+'QTR Rooms'!I793)/'QTR Rooms'!I794</f>
        <v>0.53005024478227258</v>
      </c>
      <c r="J96" s="1109">
        <f>('QTR Rooms'!J438+'QTR Rooms'!J793)/'QTR Rooms'!J794</f>
        <v>0.53841722935133929</v>
      </c>
      <c r="K96" s="1109">
        <f>('QTR Rooms'!K438+'QTR Rooms'!K793)/'QTR Rooms'!K794</f>
        <v>0.53663394965542721</v>
      </c>
      <c r="L96" s="1111">
        <f>('QTR Rooms'!L438+'QTR Rooms'!L793)/'QTR Rooms'!L794</f>
        <v>0.54168963839792439</v>
      </c>
      <c r="M96" s="1112">
        <f>('QTR Rooms'!M438+'QTR Rooms'!M793)/'QTR Rooms'!M794</f>
        <v>0.54168963839792439</v>
      </c>
      <c r="N96" s="1109">
        <f>('QTR Rooms'!N438+'QTR Rooms'!N793)/'QTR Rooms'!N794</f>
        <v>0.53930038469061747</v>
      </c>
      <c r="O96" s="1109">
        <f>('QTR Rooms'!O438+'QTR Rooms'!O793)/'QTR Rooms'!O794</f>
        <v>0.53596909419694228</v>
      </c>
      <c r="P96" s="1109">
        <f>('QTR Rooms'!P438+'QTR Rooms'!P793)/'QTR Rooms'!P794</f>
        <v>0.52578796561604579</v>
      </c>
      <c r="Q96" s="1109">
        <f>('QTR Rooms'!Q438+'QTR Rooms'!Q793)/'QTR Rooms'!Q794</f>
        <v>0.52914136445364179</v>
      </c>
      <c r="R96" s="1112">
        <f>('QTR Rooms'!R438+'QTR Rooms'!R793)/'QTR Rooms'!R794</f>
        <v>0.52914136445364179</v>
      </c>
      <c r="S96" s="1109">
        <f>('QTR Rooms'!S438+'QTR Rooms'!S793)/'QTR Rooms'!S794</f>
        <v>0.54136654992400712</v>
      </c>
      <c r="T96" s="1109">
        <f>('QTR Rooms'!T438+'QTR Rooms'!T793)/'QTR Rooms'!T794</f>
        <v>0.54308003752530487</v>
      </c>
      <c r="U96" s="1109">
        <f>('QTR Rooms'!U438+'QTR Rooms'!U793)/'QTR Rooms'!U794</f>
        <v>0.55029852239751842</v>
      </c>
      <c r="V96" s="1111">
        <f>('QTR Rooms'!V438+'QTR Rooms'!V793)/'QTR Rooms'!V794</f>
        <v>0.55119990582378964</v>
      </c>
      <c r="W96" s="1112">
        <f>('QTR Rooms'!W438+'QTR Rooms'!W793)/'QTR Rooms'!W794</f>
        <v>0.55119990582378964</v>
      </c>
      <c r="X96" s="1109">
        <f>('QTR Rooms'!X438+'QTR Rooms'!X793)/'QTR Rooms'!X794</f>
        <v>0.54517710797928887</v>
      </c>
      <c r="Y96" s="1109">
        <f>('QTR Rooms'!Y438+'QTR Rooms'!Y793)/'QTR Rooms'!Y794</f>
        <v>0.54662390509690328</v>
      </c>
      <c r="Z96" s="1109">
        <f>('QTR Rooms'!Z438+'QTR Rooms'!Z793)/'QTR Rooms'!Z794</f>
        <v>0.54556922651551809</v>
      </c>
      <c r="AA96" s="1109">
        <f>('QTR Rooms'!AA438+'QTR Rooms'!AA793)/'QTR Rooms'!AA794</f>
        <v>0.54407789867627698</v>
      </c>
      <c r="AB96" s="1112">
        <f>('QTR Rooms'!AB438+'QTR Rooms'!AB793)/'QTR Rooms'!AB794</f>
        <v>0.54407789867627698</v>
      </c>
      <c r="AC96" s="1109">
        <f>('QTR Rooms'!AC438+'QTR Rooms'!AC793)/'QTR Rooms'!AC794</f>
        <v>9.731814512512333E-3</v>
      </c>
      <c r="AD96" s="1109">
        <f>('QTR Rooms'!AD438+'QTR Rooms'!AD793)/'QTR Rooms'!AD794</f>
        <v>9.7161278767797978E-3</v>
      </c>
      <c r="AE96" s="1109">
        <f>('QTR Rooms'!AE438+'QTR Rooms'!AE793)/'QTR Rooms'!AE794</f>
        <v>9.6829400108088635E-3</v>
      </c>
      <c r="AF96" s="1109">
        <f>('QTR Rooms'!AF438+'QTR Rooms'!AF793)/'QTR Rooms'!AF794</f>
        <v>9.6820679095739898E-3</v>
      </c>
      <c r="AG96" s="1112">
        <f>('QTR Rooms'!AG438+'QTR Rooms'!AG793)/'QTR Rooms'!AG794</f>
        <v>9.6820679095739898E-3</v>
      </c>
      <c r="AH96" s="1109">
        <f>('QTR Rooms'!AH438+'QTR Rooms'!AH793)/'QTR Rooms'!AH794</f>
        <v>9.6820679095739898E-3</v>
      </c>
      <c r="AI96" s="1109">
        <f>('QTR Rooms'!AI438+'QTR Rooms'!AI793)/'QTR Rooms'!AI794</f>
        <v>9.6820679095739898E-3</v>
      </c>
      <c r="AJ96" s="1109">
        <f>('QTR Rooms'!AJ438+'QTR Rooms'!AJ793)/'QTR Rooms'!AJ794</f>
        <v>9.6820679095739898E-3</v>
      </c>
      <c r="AK96" s="1109">
        <f>('QTR Rooms'!AK438+'QTR Rooms'!AK793)/'QTR Rooms'!AK794</f>
        <v>9.6820679095739898E-3</v>
      </c>
      <c r="AL96" s="1112">
        <f>('QTR Rooms'!AL438+'QTR Rooms'!AL793)/'QTR Rooms'!AL794</f>
        <v>9.6820679095739898E-3</v>
      </c>
      <c r="AM96" s="1112">
        <f>('QTR Rooms'!AM438+'QTR Rooms'!AM793)/'QTR Rooms'!AM794</f>
        <v>9.6820679095739898E-3</v>
      </c>
      <c r="AN96" s="1112">
        <f>('QTR Rooms'!AN438+'QTR Rooms'!AN793)/'QTR Rooms'!AN794</f>
        <v>9.6820679095739898E-3</v>
      </c>
    </row>
    <row r="97" spans="1:42">
      <c r="A97" s="202" t="s">
        <v>16</v>
      </c>
      <c r="B97" s="564"/>
      <c r="C97" s="564"/>
      <c r="D97" s="470"/>
      <c r="E97" s="470"/>
      <c r="F97" s="470"/>
      <c r="G97" s="470"/>
      <c r="H97" s="553"/>
      <c r="I97" s="470"/>
      <c r="J97" s="470"/>
      <c r="K97" s="470"/>
      <c r="L97" s="2003"/>
      <c r="M97" s="2004"/>
      <c r="N97" s="470"/>
      <c r="O97" s="470"/>
      <c r="P97" s="470"/>
      <c r="Q97" s="470"/>
      <c r="R97" s="553"/>
      <c r="S97" s="2380"/>
      <c r="T97" s="470"/>
      <c r="U97" s="470"/>
      <c r="V97" s="785"/>
      <c r="W97" s="553"/>
      <c r="X97" s="2380"/>
      <c r="Y97" s="470"/>
      <c r="Z97" s="470"/>
      <c r="AA97" s="785"/>
      <c r="AB97" s="553"/>
      <c r="AC97" s="470"/>
      <c r="AD97" s="470"/>
      <c r="AE97" s="470"/>
      <c r="AF97" s="785"/>
      <c r="AG97" s="553"/>
      <c r="AH97" s="470"/>
      <c r="AI97" s="470"/>
      <c r="AJ97" s="470"/>
      <c r="AK97" s="785"/>
      <c r="AL97" s="553"/>
      <c r="AM97" s="553"/>
      <c r="AN97" s="553"/>
    </row>
    <row r="98" spans="1:42">
      <c r="A98" s="744" t="s">
        <v>2086</v>
      </c>
      <c r="B98" s="455"/>
      <c r="C98" s="745"/>
      <c r="D98" s="417"/>
      <c r="E98" s="417"/>
      <c r="F98" s="417"/>
      <c r="G98" s="417"/>
      <c r="H98" s="745"/>
      <c r="I98" s="417">
        <f t="shared" ref="I98:M99" si="147">+I103/I108-1</f>
        <v>1.4000000000000012E-2</v>
      </c>
      <c r="J98" s="417">
        <f t="shared" si="147"/>
        <v>3.8000000000000034E-2</v>
      </c>
      <c r="K98" s="417">
        <f t="shared" si="147"/>
        <v>-5.0000000000000044E-3</v>
      </c>
      <c r="L98" s="417">
        <f>+L103/L108-1</f>
        <v>3.8000000000000034E-2</v>
      </c>
      <c r="M98" s="1994">
        <f t="shared" si="147"/>
        <v>2.6919300503887467E-2</v>
      </c>
      <c r="N98" s="417">
        <f>+N103/N108-1</f>
        <v>5.4000000000000048E-2</v>
      </c>
      <c r="O98" s="417">
        <f t="shared" ref="O98:R99" si="148">+O103/O108-1</f>
        <v>2.4000000000000021E-2</v>
      </c>
      <c r="P98" s="417">
        <f t="shared" si="148"/>
        <v>5.0000000000000044E-2</v>
      </c>
      <c r="Q98" s="417">
        <f t="shared" si="148"/>
        <v>4.2000000000000037E-2</v>
      </c>
      <c r="R98" s="745">
        <f t="shared" si="148"/>
        <v>4.2000000000000037E-2</v>
      </c>
      <c r="S98" s="417">
        <f>+S103/S108-1</f>
        <v>4.6999999999999931E-2</v>
      </c>
      <c r="T98" s="417">
        <f t="shared" ref="T98:V99" si="149">+T103/T108-1</f>
        <v>3.400000000000003E-2</v>
      </c>
      <c r="U98" s="417">
        <f t="shared" si="149"/>
        <v>9.4000000000000083E-2</v>
      </c>
      <c r="V98" s="417">
        <f t="shared" si="149"/>
        <v>4.0000000000000036E-2</v>
      </c>
      <c r="W98" s="745">
        <f t="shared" ref="W98:AG98" si="150">+W103/W108-1</f>
        <v>5.4999999999999938E-2</v>
      </c>
      <c r="X98" s="417">
        <f t="shared" si="150"/>
        <v>1.0999999999999899E-2</v>
      </c>
      <c r="Y98" s="417">
        <f t="shared" si="150"/>
        <v>1.2000000000000011E-2</v>
      </c>
      <c r="Z98" s="417">
        <f>+Z103/Z108-1</f>
        <v>-2.5000000000000022E-2</v>
      </c>
      <c r="AA98" s="558">
        <v>-2E-3</v>
      </c>
      <c r="AB98" s="1994">
        <f>+AB103/AB108-1</f>
        <v>2.2712345480004892E-3</v>
      </c>
      <c r="AC98" s="3770">
        <f>+AC326</f>
        <v>4.8258911727716472E-2</v>
      </c>
      <c r="AD98" s="3770">
        <f>+AD326</f>
        <v>6.9956974889503296E-2</v>
      </c>
      <c r="AE98" s="3770">
        <f>+AE326</f>
        <v>6.412419399643042E-2</v>
      </c>
      <c r="AF98" s="3770">
        <f>+AF326</f>
        <v>5.8649667093079019E-2</v>
      </c>
      <c r="AG98" s="745">
        <f t="shared" si="150"/>
        <v>7.8811276957647669E-2</v>
      </c>
      <c r="AH98" s="3770">
        <f t="shared" ref="AH98:AN98" si="151">+AH326</f>
        <v>4.3318167148296116E-2</v>
      </c>
      <c r="AI98" s="3770">
        <f t="shared" si="151"/>
        <v>4.1545370370598453E-2</v>
      </c>
      <c r="AJ98" s="3770">
        <f t="shared" si="151"/>
        <v>4.4868649901415918E-2</v>
      </c>
      <c r="AK98" s="3770">
        <f t="shared" si="151"/>
        <v>4.3075906556692661E-2</v>
      </c>
      <c r="AL98" s="1994">
        <f t="shared" ref="AL98" si="152">+AL103/AL108-1</f>
        <v>5.0924962154752063E-2</v>
      </c>
      <c r="AM98" s="3770">
        <f t="shared" si="151"/>
        <v>2.531612735903991E-2</v>
      </c>
      <c r="AN98" s="4079">
        <f t="shared" si="151"/>
        <v>-2.6568014743174519E-2</v>
      </c>
    </row>
    <row r="99" spans="1:42">
      <c r="A99" s="744" t="s">
        <v>45</v>
      </c>
      <c r="B99" s="455"/>
      <c r="C99" s="455"/>
      <c r="D99" s="417"/>
      <c r="E99" s="417"/>
      <c r="F99" s="417"/>
      <c r="G99" s="417"/>
      <c r="H99" s="455"/>
      <c r="I99" s="417">
        <f t="shared" si="147"/>
        <v>-2.0000000000000018E-3</v>
      </c>
      <c r="J99" s="417">
        <f t="shared" si="147"/>
        <v>3.8999999999999924E-2</v>
      </c>
      <c r="K99" s="417">
        <f t="shared" si="147"/>
        <v>-1.9999999999998908E-3</v>
      </c>
      <c r="L99" s="417">
        <f>+L104/L109-1</f>
        <v>4.4999999999999929E-2</v>
      </c>
      <c r="M99" s="1992">
        <f>+M104/M109-1</f>
        <v>2.7798553636131818E-2</v>
      </c>
      <c r="N99" s="417">
        <f>+N104/N109-1</f>
        <v>3.6000000000000032E-2</v>
      </c>
      <c r="O99" s="417">
        <f t="shared" si="148"/>
        <v>6.9999999999998952E-3</v>
      </c>
      <c r="P99" s="417">
        <f t="shared" si="148"/>
        <v>-1.0000000000000009E-3</v>
      </c>
      <c r="Q99" s="417">
        <f t="shared" si="148"/>
        <v>-6.0000000000001164E-3</v>
      </c>
      <c r="R99" s="455">
        <f t="shared" si="148"/>
        <v>8.0000000000000071E-3</v>
      </c>
      <c r="S99" s="417">
        <f>+S104/S109-1</f>
        <v>8.0000000000000071E-3</v>
      </c>
      <c r="T99" s="417">
        <f t="shared" si="149"/>
        <v>0</v>
      </c>
      <c r="U99" s="417">
        <f t="shared" si="149"/>
        <v>6.800000000000006E-2</v>
      </c>
      <c r="V99" s="417">
        <f t="shared" si="149"/>
        <v>3.6000000000000032E-2</v>
      </c>
      <c r="W99" s="1990">
        <f>+W104/W109-1</f>
        <v>2.8999999999999915E-2</v>
      </c>
      <c r="X99" s="417">
        <f>+X104/X109-1</f>
        <v>2.8000000000000025E-2</v>
      </c>
      <c r="Y99" s="417">
        <f>+Y104/Y109-1</f>
        <v>3.2000000000000028E-2</v>
      </c>
      <c r="Z99" s="417">
        <f>+Z104/Z109-1</f>
        <v>-2.300000000000002E-2</v>
      </c>
      <c r="AA99" s="503">
        <v>-1.4E-2</v>
      </c>
      <c r="AB99" s="2601">
        <f>+AB104/AB109-1</f>
        <v>-3.0584298983321601E-3</v>
      </c>
      <c r="AC99" s="3770">
        <f>+AC238*AC444+AC254*AC445+AC270*AC446+AC286*AC447</f>
        <v>-1.6560597995241629E-2</v>
      </c>
      <c r="AD99" s="3770">
        <f>+AD238*AD444+AD254*AD445+AD270*AD446+AD286*AD447</f>
        <v>1.670835879611696E-2</v>
      </c>
      <c r="AE99" s="3770">
        <f>+AE238*AE444+AE254*AE445+AE270*AE446+AE286*AE447</f>
        <v>1.3981959218327403E-2</v>
      </c>
      <c r="AF99" s="3770">
        <f>+AF238*AF444+AF254*AF445+AF270*AF446+AF286*AF447</f>
        <v>1.4750868292321497E-2</v>
      </c>
      <c r="AG99" s="2601">
        <f>+AG104/AG109-1</f>
        <v>7.7213770806483506E-3</v>
      </c>
      <c r="AH99" s="2663">
        <v>1.2999999999999999E-2</v>
      </c>
      <c r="AI99" s="2663">
        <v>1.2999999999999999E-2</v>
      </c>
      <c r="AJ99" s="2663">
        <v>1.2999999999999999E-2</v>
      </c>
      <c r="AK99" s="2663">
        <v>1.2999999999999999E-2</v>
      </c>
      <c r="AL99" s="1992">
        <f>+AL104/AL109-1</f>
        <v>1.2999999999999901E-2</v>
      </c>
      <c r="AM99" s="2382">
        <v>0.01</v>
      </c>
      <c r="AN99" s="563">
        <v>0</v>
      </c>
      <c r="AP99" s="726"/>
    </row>
    <row r="100" spans="1:42">
      <c r="A100" s="744" t="s">
        <v>2077</v>
      </c>
      <c r="B100" s="455"/>
      <c r="C100" s="455"/>
      <c r="D100" s="417"/>
      <c r="E100" s="417"/>
      <c r="F100" s="417"/>
      <c r="G100" s="417"/>
      <c r="H100" s="455"/>
      <c r="I100" s="417">
        <f t="shared" ref="I100:N100" si="153">I105-I110</f>
        <v>1.0000000000000009E-2</v>
      </c>
      <c r="J100" s="417">
        <f t="shared" si="153"/>
        <v>-1.0000000000000009E-3</v>
      </c>
      <c r="K100" s="417">
        <f t="shared" si="153"/>
        <v>-2.0000000000000018E-3</v>
      </c>
      <c r="L100" s="417">
        <f t="shared" si="153"/>
        <v>-5.0000000000000044E-3</v>
      </c>
      <c r="M100" s="1992">
        <f t="shared" si="153"/>
        <v>-6.1410285200991233E-4</v>
      </c>
      <c r="N100" s="417">
        <f t="shared" si="153"/>
        <v>1.100000000000001E-2</v>
      </c>
      <c r="O100" s="417">
        <f t="shared" ref="O100:T100" si="154">O105-O110</f>
        <v>1.3000000000000012E-2</v>
      </c>
      <c r="P100" s="417">
        <f t="shared" si="154"/>
        <v>3.9000000000000035E-2</v>
      </c>
      <c r="Q100" s="417">
        <f t="shared" si="154"/>
        <v>3.400000000000003E-2</v>
      </c>
      <c r="R100" s="455">
        <f t="shared" si="154"/>
        <v>2.4000000000000021E-2</v>
      </c>
      <c r="S100" s="417">
        <f t="shared" si="154"/>
        <v>2.5000000000000022E-2</v>
      </c>
      <c r="T100" s="417">
        <f t="shared" si="154"/>
        <v>2.6000000000000023E-2</v>
      </c>
      <c r="U100" s="417">
        <f t="shared" ref="U100:Z100" si="155">U105-U110</f>
        <v>1.9000000000000017E-2</v>
      </c>
      <c r="V100" s="417">
        <f t="shared" si="155"/>
        <v>3.0000000000000027E-3</v>
      </c>
      <c r="W100" s="1990">
        <f t="shared" si="155"/>
        <v>1.9000000000000017E-2</v>
      </c>
      <c r="X100" s="417">
        <f t="shared" si="155"/>
        <v>-1.100000000000001E-2</v>
      </c>
      <c r="Y100" s="417">
        <f t="shared" si="155"/>
        <v>-1.5000000000000013E-2</v>
      </c>
      <c r="Z100" s="417">
        <f t="shared" si="155"/>
        <v>-2.0000000000000018E-3</v>
      </c>
      <c r="AA100" s="503">
        <v>8.9999999999999993E-3</v>
      </c>
      <c r="AB100" s="1990">
        <f>AB105-AB110</f>
        <v>3.6530054644808851E-3</v>
      </c>
      <c r="AC100" s="3771">
        <f>+AC98-AC99</f>
        <v>6.4819509722958107E-2</v>
      </c>
      <c r="AD100" s="3771">
        <f>+AD98-AD99</f>
        <v>5.3248616093386339E-2</v>
      </c>
      <c r="AE100" s="3771">
        <f>+AE98-AE99</f>
        <v>5.014223477810302E-2</v>
      </c>
      <c r="AF100" s="3771">
        <f>+AF98-AF99</f>
        <v>4.3898798800757519E-2</v>
      </c>
      <c r="AG100" s="1990">
        <f>AG105-AG110</f>
        <v>5.3166597354202816E-2</v>
      </c>
      <c r="AH100" s="3771">
        <f>+AH98-AH99</f>
        <v>3.0318167148296118E-2</v>
      </c>
      <c r="AI100" s="3771">
        <f>+AI98-AI99</f>
        <v>2.8545370370598455E-2</v>
      </c>
      <c r="AJ100" s="3771">
        <f>+AJ98-AJ99</f>
        <v>3.186864990141592E-2</v>
      </c>
      <c r="AK100" s="3771">
        <f>+AK98-AK99</f>
        <v>3.0075906556692664E-2</v>
      </c>
      <c r="AL100" s="1992">
        <f>AL105-AL110</f>
        <v>3.0205925866348404E-2</v>
      </c>
      <c r="AM100" s="3771">
        <f>+AM98-AM99</f>
        <v>1.5316127359039909E-2</v>
      </c>
      <c r="AN100" s="4080">
        <f>+AN98-AN99</f>
        <v>-2.6568014743174519E-2</v>
      </c>
      <c r="AP100" s="726"/>
    </row>
    <row r="101" spans="1:42">
      <c r="A101" s="744"/>
      <c r="B101" s="457"/>
      <c r="C101" s="457"/>
      <c r="D101" s="135"/>
      <c r="E101" s="135"/>
      <c r="F101" s="135"/>
      <c r="G101" s="135"/>
      <c r="H101" s="208"/>
      <c r="I101" s="15"/>
      <c r="J101" s="15"/>
      <c r="K101" s="15"/>
      <c r="L101" s="15"/>
      <c r="M101" s="1996"/>
      <c r="N101" s="15"/>
      <c r="O101" s="15"/>
      <c r="P101" s="15"/>
      <c r="Q101" s="15"/>
      <c r="R101" s="208"/>
      <c r="V101" s="474"/>
      <c r="W101" s="208"/>
      <c r="AA101" s="1777"/>
      <c r="AB101" s="1996"/>
      <c r="AG101" s="208"/>
      <c r="AL101" s="1996"/>
      <c r="AM101" s="208"/>
      <c r="AN101" s="208"/>
    </row>
    <row r="102" spans="1:42">
      <c r="A102" s="747" t="s">
        <v>2132</v>
      </c>
      <c r="B102" s="750"/>
      <c r="C102" s="748"/>
      <c r="D102" s="1140" t="s">
        <v>1203</v>
      </c>
      <c r="E102" s="139"/>
      <c r="F102" s="139"/>
      <c r="G102" s="139"/>
      <c r="H102" s="208"/>
      <c r="I102" s="650"/>
      <c r="J102" s="650"/>
      <c r="K102" s="650"/>
      <c r="L102" s="650"/>
      <c r="M102" s="1996"/>
      <c r="N102" s="650"/>
      <c r="O102" s="650"/>
      <c r="P102" s="650"/>
      <c r="Q102" s="650"/>
      <c r="R102" s="662"/>
      <c r="S102" s="650"/>
      <c r="T102" s="650"/>
      <c r="U102" s="650"/>
      <c r="V102" s="474"/>
      <c r="W102" s="208"/>
      <c r="AA102" s="1777"/>
      <c r="AB102" s="1996"/>
      <c r="AG102" s="208"/>
      <c r="AL102" s="1996"/>
      <c r="AM102" s="208"/>
      <c r="AN102" s="208"/>
    </row>
    <row r="103" spans="1:42" s="726" customFormat="1">
      <c r="A103" s="751" t="s">
        <v>2086</v>
      </c>
      <c r="B103" s="752"/>
      <c r="C103" s="752"/>
      <c r="D103" s="598">
        <f t="shared" ref="D103:F105" si="156">I108</f>
        <v>111.65680473372781</v>
      </c>
      <c r="E103" s="598">
        <f t="shared" si="156"/>
        <v>135.21194605009632</v>
      </c>
      <c r="F103" s="598">
        <f>K108</f>
        <v>134.89447236180905</v>
      </c>
      <c r="G103" s="1350">
        <f>G104*G105</f>
        <v>124.25</v>
      </c>
      <c r="H103" s="1126">
        <f>H104*H105</f>
        <v>126.43011412994181</v>
      </c>
      <c r="I103" s="560">
        <v>113.22</v>
      </c>
      <c r="J103" s="560">
        <v>140.35</v>
      </c>
      <c r="K103" s="560">
        <v>134.22</v>
      </c>
      <c r="L103" s="560">
        <v>131.77000000000001</v>
      </c>
      <c r="M103" s="1999">
        <f>M104*M105</f>
        <v>129.8335243649465</v>
      </c>
      <c r="N103" s="560">
        <v>123.9</v>
      </c>
      <c r="O103" s="560">
        <v>149.02000000000001</v>
      </c>
      <c r="P103" s="560">
        <v>146.51</v>
      </c>
      <c r="Q103" s="560">
        <v>131.87</v>
      </c>
      <c r="R103" s="2410">
        <v>137.24</v>
      </c>
      <c r="S103" s="560">
        <v>112.19</v>
      </c>
      <c r="T103" s="560">
        <v>133.79</v>
      </c>
      <c r="U103" s="560">
        <v>140.37</v>
      </c>
      <c r="V103" s="560">
        <v>123.48</v>
      </c>
      <c r="W103" s="2410">
        <v>126.84</v>
      </c>
      <c r="X103" s="560">
        <v>110.2</v>
      </c>
      <c r="Y103" s="560">
        <v>137.97</v>
      </c>
      <c r="Z103" s="560">
        <v>137.80000000000001</v>
      </c>
      <c r="AA103" s="560">
        <v>123.13</v>
      </c>
      <c r="AB103" s="1999">
        <f t="shared" ref="AB103:AN103" si="157">AB104*AB105</f>
        <v>127.12808339006838</v>
      </c>
      <c r="AC103" s="1130">
        <f t="shared" si="157"/>
        <v>126.08889870384532</v>
      </c>
      <c r="AD103" s="1130">
        <f t="shared" si="157"/>
        <v>158.30114212187476</v>
      </c>
      <c r="AE103" s="1130">
        <f t="shared" ref="AE103" si="158">AE104*AE105</f>
        <v>157.09429782733622</v>
      </c>
      <c r="AF103" s="1130">
        <f t="shared" si="157"/>
        <v>140.38381048563579</v>
      </c>
      <c r="AG103" s="3782">
        <f t="shared" si="157"/>
        <v>145.27770359129906</v>
      </c>
      <c r="AH103" s="1130">
        <f t="shared" ref="AH103:AL103" si="159">AH104*AH105</f>
        <v>132.93426429653897</v>
      </c>
      <c r="AI103" s="1130">
        <f t="shared" si="159"/>
        <v>165.9058807801338</v>
      </c>
      <c r="AJ103" s="1130">
        <f t="shared" si="159"/>
        <v>165.02575541422343</v>
      </c>
      <c r="AK103" s="1130">
        <f t="shared" si="159"/>
        <v>147.58267241306726</v>
      </c>
      <c r="AL103" s="3977">
        <f t="shared" si="159"/>
        <v>152.67596514861526</v>
      </c>
      <c r="AM103" s="3782">
        <f t="shared" si="157"/>
        <v>157.02436941094106</v>
      </c>
      <c r="AN103" s="3782">
        <f t="shared" si="157"/>
        <v>152.12982303747148</v>
      </c>
    </row>
    <row r="104" spans="1:42" s="14" customFormat="1">
      <c r="A104" s="753" t="s">
        <v>45</v>
      </c>
      <c r="B104" s="755"/>
      <c r="C104" s="755"/>
      <c r="D104" s="650">
        <f t="shared" si="156"/>
        <v>172.58517034068137</v>
      </c>
      <c r="E104" s="650">
        <f t="shared" si="156"/>
        <v>180.08662175168433</v>
      </c>
      <c r="F104" s="650">
        <f t="shared" si="156"/>
        <v>176.82364729458916</v>
      </c>
      <c r="G104" s="1123">
        <v>175</v>
      </c>
      <c r="H104" s="662">
        <f>SUMPRODUCT(D104:G104,D$5:G$5)/H$5</f>
        <v>176.1227011789822</v>
      </c>
      <c r="I104" s="561">
        <v>172.24</v>
      </c>
      <c r="J104" s="561">
        <v>187.11</v>
      </c>
      <c r="K104" s="561">
        <v>176.47</v>
      </c>
      <c r="L104" s="561">
        <v>188.13</v>
      </c>
      <c r="M104" s="2000">
        <f>SUMPRODUCT(I104:L104,I$5:L$5)/M$5</f>
        <v>181.01865753424656</v>
      </c>
      <c r="N104" s="561">
        <v>183.25</v>
      </c>
      <c r="O104" s="561">
        <v>196.11</v>
      </c>
      <c r="P104" s="561">
        <v>189.45</v>
      </c>
      <c r="Q104" s="561">
        <v>178.77</v>
      </c>
      <c r="R104" s="649">
        <v>185.73</v>
      </c>
      <c r="S104" s="561">
        <v>163.92</v>
      </c>
      <c r="T104" s="561">
        <v>171</v>
      </c>
      <c r="U104" s="561">
        <v>173.66</v>
      </c>
      <c r="V104" s="561">
        <v>168.52</v>
      </c>
      <c r="W104" s="649">
        <v>169.2</v>
      </c>
      <c r="X104" s="561">
        <v>162.37</v>
      </c>
      <c r="Y104" s="561">
        <v>178.67</v>
      </c>
      <c r="Z104" s="561">
        <v>169.91</v>
      </c>
      <c r="AA104" s="561">
        <v>163.82</v>
      </c>
      <c r="AB104" s="2000">
        <f>SUMPRODUCT(X104:AA104,X$5:AA$5)/AB$5</f>
        <v>168.68251366120219</v>
      </c>
      <c r="AC104" s="139">
        <f>AC109*(1+AC99)</f>
        <v>169.51544972356021</v>
      </c>
      <c r="AD104" s="139">
        <f>AD109*(1+AD99)</f>
        <v>191.82236605406337</v>
      </c>
      <c r="AE104" s="139">
        <f>AE109*(1+AE99)</f>
        <v>182.42549428296928</v>
      </c>
      <c r="AF104" s="139">
        <f>AF109*(1+AF99)</f>
        <v>176.38399592657129</v>
      </c>
      <c r="AG104" s="450">
        <f>SUMPRODUCT(AC104:AF104,AC$5:AF$5)/AG$5</f>
        <v>180.06218872689843</v>
      </c>
      <c r="AH104" s="139">
        <f t="shared" ref="AH104:AK104" si="160">AH109*(1+AH99)</f>
        <v>171.71915056996647</v>
      </c>
      <c r="AI104" s="139">
        <f t="shared" si="160"/>
        <v>194.31605681276616</v>
      </c>
      <c r="AJ104" s="139">
        <f t="shared" si="160"/>
        <v>184.79702570864785</v>
      </c>
      <c r="AK104" s="139">
        <f t="shared" si="160"/>
        <v>178.6769878736167</v>
      </c>
      <c r="AL104" s="2762">
        <f>SUMPRODUCT(AH104:AK104,AH$5:AK$5)/AL$5</f>
        <v>182.40299718034808</v>
      </c>
      <c r="AM104" s="450">
        <f>AM109*(1+AM99)</f>
        <v>184.22702715215155</v>
      </c>
      <c r="AN104" s="450">
        <f>AN109*(1+AN99)</f>
        <v>184.22702715215155</v>
      </c>
    </row>
    <row r="105" spans="1:42" s="256" customFormat="1">
      <c r="A105" s="756" t="s">
        <v>2077</v>
      </c>
      <c r="B105" s="758"/>
      <c r="C105" s="758"/>
      <c r="D105" s="611">
        <f t="shared" si="156"/>
        <v>0.64700000000000002</v>
      </c>
      <c r="E105" s="611">
        <f t="shared" si="156"/>
        <v>0.751</v>
      </c>
      <c r="F105" s="611">
        <f t="shared" si="156"/>
        <v>0.76300000000000001</v>
      </c>
      <c r="G105" s="1124">
        <v>0.71</v>
      </c>
      <c r="H105" s="614">
        <f>SUMPRODUCT(D105:G105,D$5:G$5)/H$5</f>
        <v>0.71785245901639338</v>
      </c>
      <c r="I105" s="757">
        <v>0.65700000000000003</v>
      </c>
      <c r="J105" s="757">
        <v>0.75</v>
      </c>
      <c r="K105" s="757">
        <v>0.76100000000000001</v>
      </c>
      <c r="L105" s="757">
        <v>0.7</v>
      </c>
      <c r="M105" s="2001">
        <f>SUMPRODUCT(I105:L105,I$5:L$5)/M$5</f>
        <v>0.71723835616438347</v>
      </c>
      <c r="N105" s="757">
        <v>0.67600000000000005</v>
      </c>
      <c r="O105" s="757">
        <v>0.76</v>
      </c>
      <c r="P105" s="757">
        <v>0.79200000000000004</v>
      </c>
      <c r="Q105" s="757">
        <v>0.73799999999999999</v>
      </c>
      <c r="R105" s="758">
        <v>0.73899999999999999</v>
      </c>
      <c r="S105" s="757">
        <v>0.68400000000000005</v>
      </c>
      <c r="T105" s="757">
        <v>0.78200000000000003</v>
      </c>
      <c r="U105" s="757">
        <v>0.80800000000000005</v>
      </c>
      <c r="V105" s="757">
        <v>0.73299999999999998</v>
      </c>
      <c r="W105" s="758">
        <v>0.75</v>
      </c>
      <c r="X105" s="757">
        <v>0.67900000000000005</v>
      </c>
      <c r="Y105" s="757">
        <v>0.77200000000000002</v>
      </c>
      <c r="Z105" s="757">
        <v>0.81100000000000005</v>
      </c>
      <c r="AA105" s="757">
        <v>0.752</v>
      </c>
      <c r="AB105" s="2001">
        <f>SUMPRODUCT(X105:AA105,X$5:AA$5)/AB$5</f>
        <v>0.75365300546448089</v>
      </c>
      <c r="AC105" s="611">
        <f>AC110+AC100</f>
        <v>0.74381950972295818</v>
      </c>
      <c r="AD105" s="611">
        <f>AD110+AD100</f>
        <v>0.8252486160933864</v>
      </c>
      <c r="AE105" s="611">
        <f>AE110+AE100</f>
        <v>0.86114223477810303</v>
      </c>
      <c r="AF105" s="611">
        <f>AF110+AF100</f>
        <v>0.79589879880075753</v>
      </c>
      <c r="AG105" s="614">
        <f>SUMPRODUCT(AC105:AF105,AC$5:AF$5)/AG$5</f>
        <v>0.8068196028186837</v>
      </c>
      <c r="AH105" s="611">
        <f t="shared" ref="AH105:AK105" si="161">AH110+AH100</f>
        <v>0.77413767687125434</v>
      </c>
      <c r="AI105" s="611">
        <f t="shared" si="161"/>
        <v>0.85379398646398486</v>
      </c>
      <c r="AJ105" s="611">
        <f t="shared" si="161"/>
        <v>0.89301088467951895</v>
      </c>
      <c r="AK105" s="611">
        <f t="shared" si="161"/>
        <v>0.82597470535745021</v>
      </c>
      <c r="AL105" s="2001">
        <f>SUMPRODUCT(AH105:AK105,AH$5:AK$5)/AL$5</f>
        <v>0.83702552868503211</v>
      </c>
      <c r="AM105" s="614">
        <f>AM110+AM100</f>
        <v>0.85234165604407197</v>
      </c>
      <c r="AN105" s="614">
        <f>AN110+AN100</f>
        <v>0.82577364130089748</v>
      </c>
    </row>
    <row r="106" spans="1:42">
      <c r="A106" s="744"/>
      <c r="B106" s="457"/>
      <c r="C106" s="457"/>
      <c r="D106" s="558"/>
      <c r="E106" s="558"/>
      <c r="F106" s="558"/>
      <c r="G106" s="558"/>
      <c r="H106" s="563"/>
      <c r="I106" s="558"/>
      <c r="J106" s="503"/>
      <c r="K106" s="503"/>
      <c r="L106" s="503"/>
      <c r="M106" s="563"/>
      <c r="N106" s="503"/>
      <c r="O106" s="503"/>
      <c r="P106" s="503"/>
      <c r="Q106" s="503"/>
      <c r="R106" s="563"/>
      <c r="S106" s="503"/>
      <c r="T106" s="503"/>
      <c r="U106" s="503"/>
      <c r="V106" s="1131"/>
      <c r="W106" s="208"/>
      <c r="X106" s="503"/>
      <c r="Y106" s="503"/>
      <c r="Z106" s="503"/>
      <c r="AA106" s="503"/>
      <c r="AB106" s="1996"/>
      <c r="AC106" s="558"/>
      <c r="AD106" s="558"/>
      <c r="AE106" s="558"/>
      <c r="AF106" s="558"/>
      <c r="AG106" s="138"/>
      <c r="AH106" s="558"/>
      <c r="AI106" s="558"/>
      <c r="AJ106" s="558"/>
      <c r="AK106" s="558"/>
      <c r="AL106" s="2768"/>
      <c r="AM106" s="138"/>
      <c r="AN106" s="138"/>
    </row>
    <row r="107" spans="1:42">
      <c r="A107" s="747" t="s">
        <v>2133</v>
      </c>
      <c r="B107" s="457"/>
      <c r="C107" s="457"/>
      <c r="D107" s="558"/>
      <c r="E107" s="558"/>
      <c r="F107" s="558"/>
      <c r="G107" s="558"/>
      <c r="H107" s="563"/>
      <c r="I107" s="558"/>
      <c r="J107" s="503"/>
      <c r="K107" s="503"/>
      <c r="L107" s="503"/>
      <c r="M107" s="563"/>
      <c r="N107" s="503"/>
      <c r="O107" s="503"/>
      <c r="P107" s="503"/>
      <c r="Q107" s="503"/>
      <c r="R107" s="563"/>
      <c r="S107" s="503"/>
      <c r="T107" s="503"/>
      <c r="U107" s="503"/>
      <c r="V107" s="1131"/>
      <c r="W107" s="208"/>
      <c r="X107" s="503"/>
      <c r="Y107" s="503"/>
      <c r="Z107" s="503"/>
      <c r="AA107" s="503"/>
      <c r="AB107" s="1996"/>
      <c r="AC107" s="558"/>
      <c r="AD107" s="558"/>
      <c r="AE107" s="558"/>
      <c r="AF107" s="558"/>
      <c r="AG107" s="138"/>
      <c r="AH107" s="558"/>
      <c r="AI107" s="558"/>
      <c r="AJ107" s="558"/>
      <c r="AK107" s="558"/>
      <c r="AL107" s="2768"/>
      <c r="AM107" s="138"/>
      <c r="AN107" s="138"/>
    </row>
    <row r="108" spans="1:42" s="726" customFormat="1">
      <c r="A108" s="751" t="s">
        <v>2086</v>
      </c>
      <c r="B108" s="752"/>
      <c r="C108" s="752"/>
      <c r="D108" s="229"/>
      <c r="E108" s="229"/>
      <c r="F108" s="229"/>
      <c r="G108" s="229"/>
      <c r="H108" s="760"/>
      <c r="I108" s="598">
        <f>I103/(1+0.014)</f>
        <v>111.65680473372781</v>
      </c>
      <c r="J108" s="598">
        <f>J103/(1+0.038)</f>
        <v>135.21194605009632</v>
      </c>
      <c r="K108" s="598">
        <f>K103/(1-0.005)</f>
        <v>134.89447236180905</v>
      </c>
      <c r="L108" s="598">
        <f>L103/(1+0.038)</f>
        <v>126.94605009633912</v>
      </c>
      <c r="M108" s="2795">
        <f>H103</f>
        <v>126.43011412994181</v>
      </c>
      <c r="N108" s="2796">
        <f>N103/(1+0.054)</f>
        <v>117.55218216318785</v>
      </c>
      <c r="O108" s="2796">
        <f>O103/(1+0.024)</f>
        <v>145.52734375</v>
      </c>
      <c r="P108" s="2796">
        <f>P103/(1+0.05)</f>
        <v>139.53333333333333</v>
      </c>
      <c r="Q108" s="2796">
        <f>Q103/(1+0.042)</f>
        <v>126.55470249520154</v>
      </c>
      <c r="R108" s="2795">
        <f>R103/(1+0.042)</f>
        <v>131.70825335892513</v>
      </c>
      <c r="S108" s="2796">
        <f>S103/(1+0.047)</f>
        <v>107.15377268385865</v>
      </c>
      <c r="T108" s="2796">
        <f>T103/(1+0.034)</f>
        <v>129.39071566731141</v>
      </c>
      <c r="U108" s="2796">
        <f>U103/(1+0.094)</f>
        <v>128.30895795246801</v>
      </c>
      <c r="V108" s="2796">
        <f>V103/(1+0.04)</f>
        <v>118.73076923076923</v>
      </c>
      <c r="W108" s="2795">
        <f>W103/(1+0.055)</f>
        <v>120.22748815165878</v>
      </c>
      <c r="X108" s="2796">
        <f>X103/(1+0.011)</f>
        <v>109.0009891196835</v>
      </c>
      <c r="Y108" s="2796">
        <f>Y103/(1+0.012)</f>
        <v>136.33399209486166</v>
      </c>
      <c r="Z108" s="2796">
        <f>Z103/(1-0.025)</f>
        <v>141.33333333333334</v>
      </c>
      <c r="AA108" s="1998">
        <f>+AA103/(1+AA98)</f>
        <v>123.37675350701403</v>
      </c>
      <c r="AB108" s="1999">
        <f>W103</f>
        <v>126.84</v>
      </c>
      <c r="AC108" s="3783">
        <f>+AC109*AC110</f>
        <v>117.03923000000002</v>
      </c>
      <c r="AD108" s="3783">
        <f>+AD109*AD110</f>
        <v>145.65323999999998</v>
      </c>
      <c r="AE108" s="3783">
        <f>+AE109*AE110</f>
        <v>145.90701000000001</v>
      </c>
      <c r="AF108" s="3783">
        <f>+AF109*AF110</f>
        <v>130.71263999999999</v>
      </c>
      <c r="AG108" s="3784">
        <f>+AG109*AG110</f>
        <v>134.66461344471321</v>
      </c>
      <c r="AH108" s="3783">
        <f>AC103</f>
        <v>126.08889870384532</v>
      </c>
      <c r="AI108" s="3783">
        <f t="shared" ref="AI108:AK108" si="162">AD103</f>
        <v>158.30114212187476</v>
      </c>
      <c r="AJ108" s="3783">
        <f t="shared" si="162"/>
        <v>157.09429782733622</v>
      </c>
      <c r="AK108" s="3783">
        <f t="shared" si="162"/>
        <v>140.38381048563579</v>
      </c>
      <c r="AL108" s="3977">
        <f>+AL109*AL110</f>
        <v>145.27770359129906</v>
      </c>
      <c r="AM108" s="3782">
        <f t="shared" ref="AM108:AN110" si="163">AL103</f>
        <v>152.67596514861526</v>
      </c>
      <c r="AN108" s="3782">
        <f t="shared" si="163"/>
        <v>157.02436941094106</v>
      </c>
    </row>
    <row r="109" spans="1:42" s="14" customFormat="1">
      <c r="A109" s="753" t="s">
        <v>45</v>
      </c>
      <c r="B109" s="755"/>
      <c r="C109" s="755"/>
      <c r="D109" s="754"/>
      <c r="E109" s="754"/>
      <c r="F109" s="754"/>
      <c r="G109" s="754"/>
      <c r="H109" s="761"/>
      <c r="I109" s="650">
        <f>I104/(1-0.002)</f>
        <v>172.58517034068137</v>
      </c>
      <c r="J109" s="650">
        <f>J104/(1+0.039)</f>
        <v>180.08662175168433</v>
      </c>
      <c r="K109" s="650">
        <f>K104/(1-0.002)</f>
        <v>176.82364729458916</v>
      </c>
      <c r="L109" s="650">
        <f>L104/(1+0.045)</f>
        <v>180.02870813397129</v>
      </c>
      <c r="M109" s="2797">
        <f>H104</f>
        <v>176.1227011789822</v>
      </c>
      <c r="N109" s="2798">
        <f>N104/(1+0.036)</f>
        <v>176.88223938223939</v>
      </c>
      <c r="O109" s="2798">
        <f>O104/(1+0.007)</f>
        <v>194.74677259185702</v>
      </c>
      <c r="P109" s="2798">
        <f>P104/(1-0.001)</f>
        <v>189.63963963963963</v>
      </c>
      <c r="Q109" s="2798">
        <f>Q104/(1-0.006)</f>
        <v>179.84909456740445</v>
      </c>
      <c r="R109" s="2797">
        <f>R104/(1+0.008)</f>
        <v>184.25595238095238</v>
      </c>
      <c r="S109" s="2798">
        <f>S104/(1+0.008)</f>
        <v>162.61904761904759</v>
      </c>
      <c r="T109" s="2798">
        <f>T104/(1+0)</f>
        <v>171</v>
      </c>
      <c r="U109" s="2798">
        <f>U104/(1+0.068)</f>
        <v>162.60299625468164</v>
      </c>
      <c r="V109" s="2798">
        <f>V104/(1+0.036)</f>
        <v>162.66409266409266</v>
      </c>
      <c r="W109" s="2797">
        <f>W104/(1+0.029)</f>
        <v>164.43148688046648</v>
      </c>
      <c r="X109" s="2798">
        <f>X104/(1+0.028)</f>
        <v>157.94747081712063</v>
      </c>
      <c r="Y109" s="2798">
        <f>Y104/(1+0.032)</f>
        <v>173.12984496124028</v>
      </c>
      <c r="Z109" s="2798">
        <f>Z104/(1-0.023)</f>
        <v>173.90992835209826</v>
      </c>
      <c r="AA109" s="1997">
        <f>+AA104/(1+AA99)</f>
        <v>166.14604462474645</v>
      </c>
      <c r="AB109" s="2000">
        <f>W104</f>
        <v>169.2</v>
      </c>
      <c r="AC109" s="3889">
        <f>X104+10</f>
        <v>172.37</v>
      </c>
      <c r="AD109" s="3889">
        <f>Y104+10</f>
        <v>188.67</v>
      </c>
      <c r="AE109" s="3889">
        <f>Z104+10</f>
        <v>179.91</v>
      </c>
      <c r="AF109" s="3889">
        <f>AA104+10</f>
        <v>173.82</v>
      </c>
      <c r="AG109" s="3890">
        <f>AB104+10</f>
        <v>178.68251366120219</v>
      </c>
      <c r="AH109" s="3889">
        <f>AC104</f>
        <v>169.51544972356021</v>
      </c>
      <c r="AI109" s="3889">
        <f t="shared" ref="AI109:AL109" si="164">AD104</f>
        <v>191.82236605406337</v>
      </c>
      <c r="AJ109" s="3889">
        <f t="shared" si="164"/>
        <v>182.42549428296928</v>
      </c>
      <c r="AK109" s="3889">
        <f t="shared" si="164"/>
        <v>176.38399592657129</v>
      </c>
      <c r="AL109" s="2762">
        <f t="shared" si="164"/>
        <v>180.06218872689843</v>
      </c>
      <c r="AM109" s="450">
        <f t="shared" si="163"/>
        <v>182.40299718034808</v>
      </c>
      <c r="AN109" s="450">
        <f t="shared" si="163"/>
        <v>184.22702715215155</v>
      </c>
    </row>
    <row r="110" spans="1:42" s="256" customFormat="1">
      <c r="A110" s="756" t="s">
        <v>2077</v>
      </c>
      <c r="B110" s="758"/>
      <c r="C110" s="758"/>
      <c r="D110" s="757"/>
      <c r="E110" s="757"/>
      <c r="F110" s="757"/>
      <c r="G110" s="757"/>
      <c r="H110" s="556"/>
      <c r="I110" s="611">
        <f>I105-0.01</f>
        <v>0.64700000000000002</v>
      </c>
      <c r="J110" s="611">
        <f>J105+0.001</f>
        <v>0.751</v>
      </c>
      <c r="K110" s="611">
        <f>K105+0.002</f>
        <v>0.76300000000000001</v>
      </c>
      <c r="L110" s="611">
        <f>L105+0.005</f>
        <v>0.70499999999999996</v>
      </c>
      <c r="M110" s="2799">
        <f>H105</f>
        <v>0.71785245901639338</v>
      </c>
      <c r="N110" s="2800">
        <f>N105-0.011</f>
        <v>0.66500000000000004</v>
      </c>
      <c r="O110" s="2800">
        <f>O105-0.013</f>
        <v>0.747</v>
      </c>
      <c r="P110" s="2800">
        <f>P105-0.039</f>
        <v>0.753</v>
      </c>
      <c r="Q110" s="2800">
        <f>Q105-0.034</f>
        <v>0.70399999999999996</v>
      </c>
      <c r="R110" s="2799">
        <f>R105-0.024</f>
        <v>0.71499999999999997</v>
      </c>
      <c r="S110" s="2800">
        <f>S105-0.025</f>
        <v>0.65900000000000003</v>
      </c>
      <c r="T110" s="2800">
        <f>T105-0.026</f>
        <v>0.75600000000000001</v>
      </c>
      <c r="U110" s="2800">
        <f>U105-0.019</f>
        <v>0.78900000000000003</v>
      </c>
      <c r="V110" s="2800">
        <f>V105-0.003</f>
        <v>0.73</v>
      </c>
      <c r="W110" s="2799">
        <f>W105-0.019</f>
        <v>0.73099999999999998</v>
      </c>
      <c r="X110" s="2800">
        <f>X105+0.011</f>
        <v>0.69000000000000006</v>
      </c>
      <c r="Y110" s="2800">
        <f>Y105+0.015</f>
        <v>0.78700000000000003</v>
      </c>
      <c r="Z110" s="2800">
        <f>Z105+0.002</f>
        <v>0.81300000000000006</v>
      </c>
      <c r="AA110" s="3595">
        <f>+AA105-AA100</f>
        <v>0.74299999999999999</v>
      </c>
      <c r="AB110" s="2001">
        <f>W105</f>
        <v>0.75</v>
      </c>
      <c r="AC110" s="611">
        <f>X105</f>
        <v>0.67900000000000005</v>
      </c>
      <c r="AD110" s="611">
        <f>Y105</f>
        <v>0.77200000000000002</v>
      </c>
      <c r="AE110" s="611">
        <f>Z105</f>
        <v>0.81100000000000005</v>
      </c>
      <c r="AF110" s="611">
        <f>AA105</f>
        <v>0.752</v>
      </c>
      <c r="AG110" s="614">
        <f>AB105</f>
        <v>0.75365300546448089</v>
      </c>
      <c r="AH110" s="611">
        <f t="shared" ref="AH110:AK110" si="165">AC105</f>
        <v>0.74381950972295818</v>
      </c>
      <c r="AI110" s="611">
        <f t="shared" si="165"/>
        <v>0.8252486160933864</v>
      </c>
      <c r="AJ110" s="611">
        <f t="shared" si="165"/>
        <v>0.86114223477810303</v>
      </c>
      <c r="AK110" s="611">
        <f t="shared" si="165"/>
        <v>0.79589879880075753</v>
      </c>
      <c r="AL110" s="2001">
        <f>AG105</f>
        <v>0.8068196028186837</v>
      </c>
      <c r="AM110" s="614">
        <f t="shared" si="163"/>
        <v>0.83702552868503211</v>
      </c>
      <c r="AN110" s="614">
        <f t="shared" si="163"/>
        <v>0.85234165604407197</v>
      </c>
    </row>
    <row r="111" spans="1:42">
      <c r="A111" s="744"/>
      <c r="B111" s="563"/>
      <c r="C111" s="563"/>
      <c r="D111" s="15"/>
      <c r="E111" s="15"/>
      <c r="F111" s="15"/>
      <c r="G111" s="15"/>
      <c r="H111" s="208"/>
      <c r="I111" s="15"/>
      <c r="J111" s="15"/>
      <c r="K111" s="15"/>
      <c r="L111" s="15"/>
      <c r="M111" s="1996"/>
      <c r="N111" s="15"/>
      <c r="O111" s="15"/>
      <c r="P111" s="15"/>
      <c r="Q111" s="15"/>
      <c r="R111" s="208"/>
      <c r="W111" s="208"/>
      <c r="AB111" s="208"/>
      <c r="AG111" s="208"/>
      <c r="AL111" s="1996"/>
      <c r="AM111" s="208"/>
      <c r="AN111" s="208"/>
    </row>
    <row r="112" spans="1:42">
      <c r="A112" s="2023" t="s">
        <v>1878</v>
      </c>
      <c r="B112" s="1111">
        <f>('QTR Rooms'!B509+'QTR Rooms'!B580+'QTR Rooms'!B651+'QTR Rooms'!B722)/'QTR Rooms'!B794</f>
        <v>0.47414082883805803</v>
      </c>
      <c r="C112" s="1112">
        <f>('QTR Rooms'!C509+'QTR Rooms'!C580+'QTR Rooms'!C651+'QTR Rooms'!C722)/'QTR Rooms'!C794</f>
        <v>0.47408319605930238</v>
      </c>
      <c r="D112" s="1109">
        <f>('QTR Rooms'!D509+'QTR Rooms'!D580+'QTR Rooms'!D651+'QTR Rooms'!D722)/'QTR Rooms'!D794</f>
        <v>0.47393175382744884</v>
      </c>
      <c r="E112" s="1109">
        <f>('QTR Rooms'!E509+'QTR Rooms'!E580+'QTR Rooms'!E651+'QTR Rooms'!E722)/'QTR Rooms'!E794</f>
        <v>0.47398057941802241</v>
      </c>
      <c r="F112" s="1109">
        <f>('QTR Rooms'!F509+'QTR Rooms'!F580+'QTR Rooms'!F651+'QTR Rooms'!F722)/'QTR Rooms'!F794</f>
        <v>0.4737456429279524</v>
      </c>
      <c r="G112" s="1111">
        <f>('QTR Rooms'!G509+'QTR Rooms'!G580+'QTR Rooms'!G651+'QTR Rooms'!G722)/'QTR Rooms'!G794</f>
        <v>0.47373806820907216</v>
      </c>
      <c r="H112" s="1112">
        <f>('QTR Rooms'!H509+'QTR Rooms'!H580+'QTR Rooms'!H651+'QTR Rooms'!H722)/'QTR Rooms'!H794</f>
        <v>0.47373806820907216</v>
      </c>
      <c r="I112" s="1109">
        <f>('QTR Rooms'!I509+'QTR Rooms'!I580+'QTR Rooms'!I651+'QTR Rooms'!I722)/'QTR Rooms'!I794</f>
        <v>0.46994975521772742</v>
      </c>
      <c r="J112" s="1109">
        <f>('QTR Rooms'!J509+'QTR Rooms'!J580+'QTR Rooms'!J651+'QTR Rooms'!J722)/'QTR Rooms'!J794</f>
        <v>0.46158277064866077</v>
      </c>
      <c r="K112" s="1109">
        <f>('QTR Rooms'!K509+'QTR Rooms'!K580+'QTR Rooms'!K651+'QTR Rooms'!K722)/'QTR Rooms'!K794</f>
        <v>0.46336605034457279</v>
      </c>
      <c r="L112" s="1109">
        <f>('QTR Rooms'!L509+'QTR Rooms'!L580+'QTR Rooms'!L651+'QTR Rooms'!L722)/'QTR Rooms'!L794</f>
        <v>0.45831036160207556</v>
      </c>
      <c r="M112" s="2009">
        <f>('QTR Rooms'!M509+'QTR Rooms'!M580+'QTR Rooms'!M651+'QTR Rooms'!M722)/'QTR Rooms'!M794</f>
        <v>0.45831036160207556</v>
      </c>
      <c r="N112" s="1109">
        <f>('QTR Rooms'!N509+'QTR Rooms'!N580+'QTR Rooms'!N651+'QTR Rooms'!N722)/'QTR Rooms'!N794</f>
        <v>0.46069961530938253</v>
      </c>
      <c r="O112" s="1109">
        <f>('QTR Rooms'!O509+'QTR Rooms'!O580+'QTR Rooms'!O651+'QTR Rooms'!O722)/'QTR Rooms'!O794</f>
        <v>0.46403090580305772</v>
      </c>
      <c r="P112" s="1109">
        <f>('QTR Rooms'!P509+'QTR Rooms'!P580+'QTR Rooms'!P651+'QTR Rooms'!P722)/'QTR Rooms'!P794</f>
        <v>0.47421203438395415</v>
      </c>
      <c r="Q112" s="1109">
        <f>('QTR Rooms'!Q509+'QTR Rooms'!Q580+'QTR Rooms'!Q651+'QTR Rooms'!Q722)/'QTR Rooms'!Q794</f>
        <v>0.47085863554635815</v>
      </c>
      <c r="R112" s="1112">
        <f>('QTR Rooms'!R509+'QTR Rooms'!R580+'QTR Rooms'!R651+'QTR Rooms'!R722)/'QTR Rooms'!R794</f>
        <v>0.47085863554635815</v>
      </c>
      <c r="S112" s="1109">
        <f>('QTR Rooms'!S509+'QTR Rooms'!S580+'QTR Rooms'!S651+'QTR Rooms'!S722)/'QTR Rooms'!S794</f>
        <v>0.45863345007599288</v>
      </c>
      <c r="T112" s="1109">
        <f>('QTR Rooms'!T509+'QTR Rooms'!T580+'QTR Rooms'!T651+'QTR Rooms'!T722)/'QTR Rooms'!T794</f>
        <v>0.45691996247469513</v>
      </c>
      <c r="U112" s="1109">
        <f>('QTR Rooms'!U509+'QTR Rooms'!U580+'QTR Rooms'!U651+'QTR Rooms'!U722)/'QTR Rooms'!U794</f>
        <v>0.44970147760248158</v>
      </c>
      <c r="V112" s="1111">
        <f>('QTR Rooms'!V509+'QTR Rooms'!V580+'QTR Rooms'!V651+'QTR Rooms'!V722)/'QTR Rooms'!V794</f>
        <v>0.44880009417621042</v>
      </c>
      <c r="W112" s="1111">
        <f>('QTR Rooms'!W509+'QTR Rooms'!W580+'QTR Rooms'!W651+'QTR Rooms'!W722)/'QTR Rooms'!W794</f>
        <v>0.44880009417621042</v>
      </c>
      <c r="X112" s="1109">
        <f>('QTR Rooms'!X509+'QTR Rooms'!X580+'QTR Rooms'!X651+'QTR Rooms'!X722)/'QTR Rooms'!X794</f>
        <v>0.45482289202071119</v>
      </c>
      <c r="Y112" s="1109">
        <f>('QTR Rooms'!Y509+'QTR Rooms'!Y580+'QTR Rooms'!Y651+'QTR Rooms'!Y722)/'QTR Rooms'!Y794</f>
        <v>0.45337609490309677</v>
      </c>
      <c r="Z112" s="1109">
        <f>('QTR Rooms'!Z509+'QTR Rooms'!Z580+'QTR Rooms'!Z651+'QTR Rooms'!Z722)/'QTR Rooms'!Z794</f>
        <v>0.45443077348448191</v>
      </c>
      <c r="AA112" s="1109">
        <f>('QTR Rooms'!AA509+'QTR Rooms'!AA580+'QTR Rooms'!AA651+'QTR Rooms'!AA722)/'QTR Rooms'!AA794</f>
        <v>0.45592210132372307</v>
      </c>
      <c r="AB112" s="1112">
        <f>('QTR Rooms'!AB509+'QTR Rooms'!AB580+'QTR Rooms'!AB651+'QTR Rooms'!AB722)/'QTR Rooms'!AB794</f>
        <v>0.45592210132372307</v>
      </c>
      <c r="AC112" s="1109">
        <f>('QTR Rooms'!AC509+'QTR Rooms'!AC580+'QTR Rooms'!AC651+'QTR Rooms'!AC722)/'QTR Rooms'!AC794</f>
        <v>0.99026818548748763</v>
      </c>
      <c r="AD112" s="1109">
        <f>('QTR Rooms'!AD509+'QTR Rooms'!AD580+'QTR Rooms'!AD651+'QTR Rooms'!AD722)/'QTR Rooms'!AD794</f>
        <v>0.99028387212322022</v>
      </c>
      <c r="AE112" s="1109">
        <f>('QTR Rooms'!AE509+'QTR Rooms'!AE580+'QTR Rooms'!AE651+'QTR Rooms'!AE722)/'QTR Rooms'!AE794</f>
        <v>0.99031705998919117</v>
      </c>
      <c r="AF112" s="1109">
        <f>('QTR Rooms'!AF509+'QTR Rooms'!AF580+'QTR Rooms'!AF651+'QTR Rooms'!AF722)/'QTR Rooms'!AF794</f>
        <v>0.99031793209042596</v>
      </c>
      <c r="AG112" s="1112">
        <f>('QTR Rooms'!AG509+'QTR Rooms'!AG580+'QTR Rooms'!AG651+'QTR Rooms'!AG722)/'QTR Rooms'!AG794</f>
        <v>0.99031793209042596</v>
      </c>
      <c r="AH112" s="1109">
        <f>('QTR Rooms'!AH509+'QTR Rooms'!AH580+'QTR Rooms'!AH651+'QTR Rooms'!AH722)/'QTR Rooms'!AH794</f>
        <v>0.99031793209042596</v>
      </c>
      <c r="AI112" s="1109">
        <f>('QTR Rooms'!AI509+'QTR Rooms'!AI580+'QTR Rooms'!AI651+'QTR Rooms'!AI722)/'QTR Rooms'!AI794</f>
        <v>0.99031793209042596</v>
      </c>
      <c r="AJ112" s="1109">
        <f>('QTR Rooms'!AJ509+'QTR Rooms'!AJ580+'QTR Rooms'!AJ651+'QTR Rooms'!AJ722)/'QTR Rooms'!AJ794</f>
        <v>0.99031793209042596</v>
      </c>
      <c r="AK112" s="3928">
        <f>('QTR Rooms'!AK509+'QTR Rooms'!AK580+'QTR Rooms'!AK651+'QTR Rooms'!AK722)/'QTR Rooms'!AK794</f>
        <v>0.99031793209042596</v>
      </c>
      <c r="AL112" s="1111">
        <f>('QTR Rooms'!AL509+'QTR Rooms'!AL580+'QTR Rooms'!AL651+'QTR Rooms'!AL722)/'QTR Rooms'!AL794</f>
        <v>0.99031793209042596</v>
      </c>
      <c r="AM112" s="1111">
        <f>('QTR Rooms'!AM509+'QTR Rooms'!AM580+'QTR Rooms'!AM651+'QTR Rooms'!AM722)/'QTR Rooms'!AM794</f>
        <v>0.99031793209042596</v>
      </c>
      <c r="AN112" s="1111">
        <f>('QTR Rooms'!AN509+'QTR Rooms'!AN580+'QTR Rooms'!AN651+'QTR Rooms'!AN722)/'QTR Rooms'!AN794</f>
        <v>0.99031793209042596</v>
      </c>
    </row>
    <row r="113" spans="1:40" s="12" customFormat="1">
      <c r="A113" s="461" t="s">
        <v>210</v>
      </c>
      <c r="B113" s="1050" t="str">
        <f>B$4</f>
        <v>2010</v>
      </c>
      <c r="C113" s="774" t="str">
        <f t="shared" ref="C113:AN113" si="166">C$4</f>
        <v>2011</v>
      </c>
      <c r="D113" s="773" t="str">
        <f t="shared" si="166"/>
        <v>1Q12</v>
      </c>
      <c r="E113" s="773" t="str">
        <f t="shared" si="166"/>
        <v>2Q12</v>
      </c>
      <c r="F113" s="1049" t="str">
        <f t="shared" si="166"/>
        <v>3Q12</v>
      </c>
      <c r="G113" s="773" t="str">
        <f t="shared" si="166"/>
        <v>4Q12</v>
      </c>
      <c r="H113" s="774">
        <f t="shared" si="166"/>
        <v>2012</v>
      </c>
      <c r="I113" s="773" t="str">
        <f t="shared" si="166"/>
        <v>1Q13</v>
      </c>
      <c r="J113" s="773" t="str">
        <f t="shared" si="166"/>
        <v>2Q13</v>
      </c>
      <c r="K113" s="773" t="str">
        <f t="shared" si="166"/>
        <v>3Q13</v>
      </c>
      <c r="L113" s="773" t="str">
        <f t="shared" si="166"/>
        <v>4Q13</v>
      </c>
      <c r="M113" s="774">
        <f t="shared" si="166"/>
        <v>2013</v>
      </c>
      <c r="N113" s="773" t="str">
        <f t="shared" si="166"/>
        <v>1Q14</v>
      </c>
      <c r="O113" s="773" t="str">
        <f t="shared" si="166"/>
        <v>2Q14</v>
      </c>
      <c r="P113" s="773" t="str">
        <f t="shared" si="166"/>
        <v>3Q14</v>
      </c>
      <c r="Q113" s="773" t="str">
        <f t="shared" si="166"/>
        <v>4Q14</v>
      </c>
      <c r="R113" s="774">
        <f t="shared" si="166"/>
        <v>2014</v>
      </c>
      <c r="S113" s="773" t="str">
        <f t="shared" si="166"/>
        <v>1Q15</v>
      </c>
      <c r="T113" s="773" t="str">
        <f t="shared" si="166"/>
        <v>2Q15</v>
      </c>
      <c r="U113" s="773" t="str">
        <f t="shared" si="166"/>
        <v>3Q15</v>
      </c>
      <c r="V113" s="773" t="str">
        <f t="shared" si="166"/>
        <v>4Q15</v>
      </c>
      <c r="W113" s="774">
        <f t="shared" si="166"/>
        <v>2015</v>
      </c>
      <c r="X113" s="773" t="str">
        <f t="shared" si="166"/>
        <v>1Q16</v>
      </c>
      <c r="Y113" s="773" t="str">
        <f t="shared" si="166"/>
        <v>2Q16</v>
      </c>
      <c r="Z113" s="773" t="str">
        <f t="shared" si="166"/>
        <v>3Q16</v>
      </c>
      <c r="AA113" s="773" t="str">
        <f t="shared" si="166"/>
        <v>4Q16</v>
      </c>
      <c r="AB113" s="774">
        <f t="shared" si="166"/>
        <v>2016</v>
      </c>
      <c r="AC113" s="773" t="str">
        <f t="shared" si="166"/>
        <v>1Q17</v>
      </c>
      <c r="AD113" s="773" t="str">
        <f t="shared" si="166"/>
        <v>2Q17</v>
      </c>
      <c r="AE113" s="773" t="str">
        <f t="shared" si="166"/>
        <v>3Q17</v>
      </c>
      <c r="AF113" s="773" t="str">
        <f t="shared" si="166"/>
        <v>4Q17A</v>
      </c>
      <c r="AG113" s="774" t="str">
        <f t="shared" si="166"/>
        <v>2017A</v>
      </c>
      <c r="AH113" s="3984" t="str">
        <f>AH4</f>
        <v>1Q18E</v>
      </c>
      <c r="AI113" s="3985" t="str">
        <f>AI4</f>
        <v>2Q18E</v>
      </c>
      <c r="AJ113" s="3985" t="str">
        <f>AJ4</f>
        <v>3Q18E</v>
      </c>
      <c r="AK113" s="3986" t="str">
        <f>AK4</f>
        <v>4Q18E</v>
      </c>
      <c r="AL113" s="774" t="str">
        <f t="shared" si="166"/>
        <v>2018E</v>
      </c>
      <c r="AM113" s="774" t="str">
        <f t="shared" si="166"/>
        <v>2019E</v>
      </c>
      <c r="AN113" s="774" t="str">
        <f t="shared" si="166"/>
        <v>2020E</v>
      </c>
    </row>
    <row r="114" spans="1:40">
      <c r="A114" s="13"/>
      <c r="B114" s="208"/>
      <c r="C114" s="208"/>
      <c r="D114" s="15"/>
      <c r="E114" s="15"/>
      <c r="F114" s="15"/>
      <c r="G114" s="15"/>
      <c r="H114" s="208"/>
      <c r="I114" s="15"/>
      <c r="J114" s="15"/>
      <c r="K114" s="1110"/>
      <c r="L114" s="15"/>
      <c r="M114" s="208"/>
      <c r="N114" s="15"/>
      <c r="O114" s="15"/>
      <c r="P114" s="15"/>
      <c r="Q114" s="15"/>
      <c r="R114" s="208"/>
      <c r="S114" s="13"/>
      <c r="V114" s="474"/>
      <c r="W114" s="208"/>
      <c r="X114" s="13"/>
      <c r="AA114" s="474"/>
      <c r="AB114" s="208"/>
      <c r="AF114" s="474"/>
      <c r="AG114" s="208"/>
      <c r="AK114" s="474"/>
      <c r="AL114" s="208"/>
      <c r="AM114" s="208"/>
      <c r="AN114" s="208"/>
    </row>
    <row r="115" spans="1:40">
      <c r="A115" s="202" t="s">
        <v>1354</v>
      </c>
      <c r="B115" s="553"/>
      <c r="C115" s="553"/>
      <c r="D115" s="470"/>
      <c r="E115" s="470"/>
      <c r="F115" s="470"/>
      <c r="G115" s="470"/>
      <c r="H115" s="553"/>
      <c r="I115" s="470"/>
      <c r="J115" s="470"/>
      <c r="K115" s="470"/>
      <c r="L115" s="470"/>
      <c r="M115" s="553"/>
      <c r="N115" s="470"/>
      <c r="O115" s="470"/>
      <c r="P115" s="470"/>
      <c r="Q115" s="470"/>
      <c r="R115" s="553"/>
      <c r="S115" s="2380"/>
      <c r="T115" s="470"/>
      <c r="U115" s="470"/>
      <c r="V115" s="785"/>
      <c r="W115" s="553"/>
      <c r="X115" s="2380"/>
      <c r="Y115" s="470"/>
      <c r="Z115" s="470"/>
      <c r="AA115" s="785"/>
      <c r="AB115" s="553"/>
      <c r="AC115" s="470"/>
      <c r="AD115" s="470"/>
      <c r="AE115" s="470"/>
      <c r="AF115" s="785"/>
      <c r="AG115" s="553"/>
      <c r="AH115" s="470"/>
      <c r="AI115" s="470"/>
      <c r="AJ115" s="470"/>
      <c r="AK115" s="785"/>
      <c r="AL115" s="553"/>
      <c r="AM115" s="553"/>
      <c r="AN115" s="553"/>
    </row>
    <row r="116" spans="1:40">
      <c r="A116" s="744" t="s">
        <v>2086</v>
      </c>
      <c r="B116" s="746"/>
      <c r="C116" s="457"/>
      <c r="D116" s="417"/>
      <c r="E116" s="417"/>
      <c r="F116" s="417"/>
      <c r="G116" s="417"/>
      <c r="H116" s="745"/>
      <c r="I116" s="417">
        <f t="shared" ref="I116:K117" si="167">+I121/I126-1</f>
        <v>6.6999999999999948E-2</v>
      </c>
      <c r="J116" s="417">
        <f t="shared" si="167"/>
        <v>6.2000000000000055E-2</v>
      </c>
      <c r="K116" s="417">
        <f t="shared" si="167"/>
        <v>6.0000000000000053E-2</v>
      </c>
      <c r="L116" s="1983"/>
      <c r="M116" s="513"/>
      <c r="N116" s="417"/>
      <c r="O116" s="417"/>
      <c r="P116" s="417"/>
      <c r="Q116" s="417"/>
      <c r="R116" s="226"/>
      <c r="S116" s="646"/>
      <c r="T116" s="128"/>
      <c r="U116" s="128"/>
      <c r="V116" s="786"/>
      <c r="W116" s="226"/>
      <c r="X116" s="646"/>
      <c r="Y116" s="128"/>
      <c r="Z116" s="128"/>
      <c r="AA116" s="786"/>
      <c r="AB116" s="226"/>
      <c r="AC116" s="128"/>
      <c r="AD116" s="128"/>
      <c r="AE116" s="128"/>
      <c r="AF116" s="786"/>
      <c r="AG116" s="226"/>
      <c r="AH116" s="128"/>
      <c r="AI116" s="128"/>
      <c r="AJ116" s="128"/>
      <c r="AK116" s="786"/>
      <c r="AL116" s="226"/>
      <c r="AM116" s="226"/>
      <c r="AN116" s="226"/>
    </row>
    <row r="117" spans="1:40">
      <c r="A117" s="744" t="s">
        <v>45</v>
      </c>
      <c r="B117" s="455"/>
      <c r="C117" s="455"/>
      <c r="D117" s="417"/>
      <c r="E117" s="417"/>
      <c r="F117" s="417"/>
      <c r="G117" s="417"/>
      <c r="H117" s="455"/>
      <c r="I117" s="417">
        <f t="shared" si="167"/>
        <v>2.0999999999999908E-2</v>
      </c>
      <c r="J117" s="417">
        <f t="shared" si="167"/>
        <v>3.2999999999999918E-2</v>
      </c>
      <c r="K117" s="417">
        <f t="shared" si="167"/>
        <v>4.2000000000000037E-2</v>
      </c>
      <c r="L117" s="655"/>
      <c r="M117" s="138"/>
      <c r="N117" s="128"/>
      <c r="O117" s="128"/>
      <c r="P117" s="128"/>
      <c r="Q117" s="128"/>
      <c r="R117" s="208"/>
      <c r="S117" s="13"/>
      <c r="V117" s="474"/>
      <c r="W117" s="208"/>
      <c r="X117" s="13"/>
      <c r="AA117" s="474"/>
      <c r="AB117" s="208"/>
      <c r="AF117" s="474"/>
      <c r="AG117" s="208"/>
      <c r="AK117" s="474"/>
      <c r="AL117" s="208"/>
      <c r="AM117" s="208"/>
      <c r="AN117" s="208"/>
    </row>
    <row r="118" spans="1:40">
      <c r="A118" s="744" t="s">
        <v>2077</v>
      </c>
      <c r="B118" s="455"/>
      <c r="C118" s="455"/>
      <c r="D118" s="417"/>
      <c r="E118" s="417"/>
      <c r="F118" s="417"/>
      <c r="G118" s="417"/>
      <c r="H118" s="455"/>
      <c r="I118" s="417">
        <f>I123-I128</f>
        <v>3.0000000000000027E-2</v>
      </c>
      <c r="J118" s="417">
        <f>J123-J128</f>
        <v>2.0000000000000018E-2</v>
      </c>
      <c r="K118" s="417">
        <f>K123-K128</f>
        <v>1.2000000000000011E-2</v>
      </c>
      <c r="L118" s="655"/>
      <c r="M118" s="138"/>
      <c r="N118" s="128"/>
      <c r="O118" s="128"/>
      <c r="P118" s="128"/>
      <c r="Q118" s="128"/>
      <c r="R118" s="208"/>
      <c r="S118" s="13"/>
      <c r="V118" s="474"/>
      <c r="W118" s="208"/>
      <c r="X118" s="13"/>
      <c r="AA118" s="474"/>
      <c r="AB118" s="208"/>
      <c r="AF118" s="474"/>
      <c r="AG118" s="208"/>
      <c r="AK118" s="474"/>
      <c r="AL118" s="208"/>
      <c r="AM118" s="208"/>
      <c r="AN118" s="208"/>
    </row>
    <row r="119" spans="1:40">
      <c r="A119" s="744"/>
      <c r="B119" s="457"/>
      <c r="C119" s="457"/>
      <c r="D119" s="135"/>
      <c r="E119" s="135"/>
      <c r="F119" s="135"/>
      <c r="G119" s="135"/>
      <c r="H119" s="208"/>
      <c r="I119" s="15"/>
      <c r="J119" s="15"/>
      <c r="K119" s="15"/>
      <c r="L119" s="452"/>
      <c r="M119" s="138"/>
      <c r="N119" s="15"/>
      <c r="O119" s="15"/>
      <c r="P119" s="15"/>
      <c r="Q119" s="15"/>
      <c r="R119" s="208"/>
      <c r="S119" s="13"/>
      <c r="V119" s="474"/>
      <c r="W119" s="208"/>
      <c r="X119" s="13"/>
      <c r="AA119" s="474"/>
      <c r="AB119" s="208"/>
      <c r="AF119" s="474"/>
      <c r="AG119" s="208"/>
      <c r="AK119" s="474"/>
      <c r="AL119" s="208"/>
      <c r="AM119" s="208"/>
      <c r="AN119" s="208"/>
    </row>
    <row r="120" spans="1:40">
      <c r="A120" s="747" t="s">
        <v>2132</v>
      </c>
      <c r="B120" s="750"/>
      <c r="C120" s="748"/>
      <c r="D120" s="139"/>
      <c r="E120" s="139"/>
      <c r="F120" s="139"/>
      <c r="G120" s="139"/>
      <c r="H120" s="208"/>
      <c r="I120" s="650"/>
      <c r="J120" s="650"/>
      <c r="K120" s="650"/>
      <c r="L120" s="692"/>
      <c r="M120" s="138"/>
      <c r="N120" s="139"/>
      <c r="O120" s="650"/>
      <c r="P120" s="650"/>
      <c r="Q120" s="650"/>
      <c r="R120" s="208"/>
      <c r="S120" s="13"/>
      <c r="V120" s="474"/>
      <c r="W120" s="208"/>
      <c r="X120" s="13"/>
      <c r="AA120" s="474"/>
      <c r="AB120" s="208"/>
      <c r="AF120" s="474"/>
      <c r="AG120" s="208"/>
      <c r="AK120" s="474"/>
      <c r="AL120" s="208"/>
      <c r="AM120" s="208"/>
      <c r="AN120" s="208"/>
    </row>
    <row r="121" spans="1:40" s="726" customFormat="1">
      <c r="A121" s="751" t="s">
        <v>2086</v>
      </c>
      <c r="B121" s="752"/>
      <c r="C121" s="752"/>
      <c r="D121" s="598">
        <f t="shared" ref="D121:F123" si="168">I126</f>
        <v>107.6850984067479</v>
      </c>
      <c r="E121" s="598">
        <f t="shared" si="168"/>
        <v>113.6346516007533</v>
      </c>
      <c r="F121" s="598">
        <f t="shared" si="168"/>
        <v>107.5</v>
      </c>
      <c r="G121" s="229"/>
      <c r="H121" s="760"/>
      <c r="I121" s="560">
        <v>114.9</v>
      </c>
      <c r="J121" s="560">
        <v>120.68</v>
      </c>
      <c r="K121" s="560">
        <v>113.95</v>
      </c>
      <c r="L121" s="2029"/>
      <c r="M121" s="2030"/>
      <c r="N121" s="2361"/>
      <c r="O121" s="725"/>
      <c r="P121" s="725"/>
      <c r="Q121" s="725"/>
      <c r="R121" s="724"/>
      <c r="S121" s="2383"/>
      <c r="T121" s="1657"/>
      <c r="U121" s="1657"/>
      <c r="V121" s="1658"/>
      <c r="W121" s="724"/>
      <c r="X121" s="2383"/>
      <c r="Y121" s="1657"/>
      <c r="Z121" s="1657"/>
      <c r="AA121" s="1658"/>
      <c r="AB121" s="724"/>
      <c r="AC121" s="1657"/>
      <c r="AD121" s="1657"/>
      <c r="AE121" s="1657"/>
      <c r="AF121" s="1658"/>
      <c r="AG121" s="724"/>
      <c r="AH121" s="1657"/>
      <c r="AI121" s="1657"/>
      <c r="AJ121" s="1657"/>
      <c r="AK121" s="1658"/>
      <c r="AL121" s="724"/>
      <c r="AM121" s="724"/>
      <c r="AN121" s="724"/>
    </row>
    <row r="122" spans="1:40" s="14" customFormat="1">
      <c r="A122" s="753" t="s">
        <v>45</v>
      </c>
      <c r="B122" s="755"/>
      <c r="C122" s="755"/>
      <c r="D122" s="650">
        <f t="shared" si="168"/>
        <v>162.63467189030365</v>
      </c>
      <c r="E122" s="650">
        <f t="shared" si="168"/>
        <v>156.57308809293323</v>
      </c>
      <c r="F122" s="650">
        <f t="shared" si="168"/>
        <v>148.93474088291745</v>
      </c>
      <c r="G122" s="754"/>
      <c r="H122" s="761"/>
      <c r="I122" s="561">
        <v>166.05</v>
      </c>
      <c r="J122" s="561">
        <v>161.74</v>
      </c>
      <c r="K122" s="561">
        <v>155.19</v>
      </c>
      <c r="L122" s="2031"/>
      <c r="M122" s="2032"/>
      <c r="N122" s="754"/>
      <c r="O122" s="727"/>
      <c r="P122" s="727"/>
      <c r="Q122" s="727"/>
      <c r="R122" s="728"/>
      <c r="S122" s="2384"/>
      <c r="T122" s="1929"/>
      <c r="U122" s="1929"/>
      <c r="V122" s="2385"/>
      <c r="W122" s="728"/>
      <c r="X122" s="2384"/>
      <c r="Y122" s="1929"/>
      <c r="Z122" s="1929"/>
      <c r="AA122" s="2385"/>
      <c r="AB122" s="728"/>
      <c r="AC122" s="1929"/>
      <c r="AD122" s="1929"/>
      <c r="AE122" s="1929"/>
      <c r="AF122" s="2385"/>
      <c r="AG122" s="728"/>
      <c r="AH122" s="1929"/>
      <c r="AI122" s="1929"/>
      <c r="AJ122" s="1929"/>
      <c r="AK122" s="2385"/>
      <c r="AL122" s="728"/>
      <c r="AM122" s="728"/>
      <c r="AN122" s="728"/>
    </row>
    <row r="123" spans="1:40" s="256" customFormat="1">
      <c r="A123" s="756" t="s">
        <v>2077</v>
      </c>
      <c r="B123" s="758"/>
      <c r="C123" s="758"/>
      <c r="D123" s="611">
        <f t="shared" si="168"/>
        <v>0.66199999999999992</v>
      </c>
      <c r="E123" s="611">
        <f t="shared" si="168"/>
        <v>0.72599999999999998</v>
      </c>
      <c r="F123" s="611">
        <f t="shared" si="168"/>
        <v>0.72199999999999998</v>
      </c>
      <c r="G123" s="757"/>
      <c r="H123" s="556"/>
      <c r="I123" s="757">
        <v>0.69199999999999995</v>
      </c>
      <c r="J123" s="757">
        <v>0.746</v>
      </c>
      <c r="K123" s="757">
        <v>0.73399999999999999</v>
      </c>
      <c r="L123" s="1987"/>
      <c r="M123" s="614"/>
      <c r="N123" s="757"/>
      <c r="O123" s="703"/>
      <c r="P123" s="703"/>
      <c r="Q123" s="703"/>
      <c r="R123" s="567"/>
      <c r="S123" s="2386"/>
      <c r="T123" s="2214"/>
      <c r="U123" s="2214"/>
      <c r="V123" s="2387"/>
      <c r="W123" s="702"/>
      <c r="X123" s="1598"/>
      <c r="Y123" s="701"/>
      <c r="Z123" s="701"/>
      <c r="AA123" s="1599"/>
      <c r="AB123" s="702"/>
      <c r="AC123" s="701"/>
      <c r="AD123" s="701"/>
      <c r="AE123" s="701"/>
      <c r="AF123" s="1599"/>
      <c r="AG123" s="702"/>
      <c r="AH123" s="701"/>
      <c r="AI123" s="701"/>
      <c r="AJ123" s="701"/>
      <c r="AK123" s="1599"/>
      <c r="AL123" s="702"/>
      <c r="AM123" s="702"/>
      <c r="AN123" s="702"/>
    </row>
    <row r="124" spans="1:40">
      <c r="A124" s="744"/>
      <c r="B124" s="457"/>
      <c r="C124" s="457"/>
      <c r="D124" s="558"/>
      <c r="E124" s="558"/>
      <c r="F124" s="558"/>
      <c r="G124" s="558"/>
      <c r="H124" s="563"/>
      <c r="I124" s="558"/>
      <c r="J124" s="503"/>
      <c r="K124" s="503"/>
      <c r="L124" s="691"/>
      <c r="M124" s="457"/>
      <c r="N124" s="558"/>
      <c r="O124" s="503"/>
      <c r="P124" s="503"/>
      <c r="Q124" s="503"/>
      <c r="R124" s="563"/>
      <c r="S124" s="2382"/>
      <c r="T124" s="503"/>
      <c r="U124" s="503"/>
      <c r="V124" s="1131"/>
      <c r="W124" s="208"/>
      <c r="X124" s="13"/>
      <c r="AA124" s="474"/>
      <c r="AB124" s="208"/>
      <c r="AF124" s="474"/>
      <c r="AG124" s="208"/>
      <c r="AK124" s="474"/>
      <c r="AL124" s="208"/>
      <c r="AM124" s="208"/>
      <c r="AN124" s="208"/>
    </row>
    <row r="125" spans="1:40">
      <c r="A125" s="747" t="s">
        <v>2133</v>
      </c>
      <c r="B125" s="457"/>
      <c r="C125" s="457"/>
      <c r="D125" s="558"/>
      <c r="E125" s="558"/>
      <c r="F125" s="558"/>
      <c r="G125" s="558"/>
      <c r="H125" s="563"/>
      <c r="I125" s="558"/>
      <c r="J125" s="503"/>
      <c r="K125" s="503"/>
      <c r="L125" s="691"/>
      <c r="M125" s="457"/>
      <c r="N125" s="558"/>
      <c r="O125" s="503"/>
      <c r="P125" s="503"/>
      <c r="Q125" s="503"/>
      <c r="R125" s="563"/>
      <c r="S125" s="2382"/>
      <c r="T125" s="503"/>
      <c r="U125" s="503"/>
      <c r="V125" s="1131"/>
      <c r="W125" s="208"/>
      <c r="X125" s="13"/>
      <c r="AA125" s="474"/>
      <c r="AB125" s="208"/>
      <c r="AF125" s="474"/>
      <c r="AG125" s="208"/>
      <c r="AK125" s="474"/>
      <c r="AL125" s="208"/>
      <c r="AM125" s="208"/>
      <c r="AN125" s="208"/>
    </row>
    <row r="126" spans="1:40" s="726" customFormat="1">
      <c r="A126" s="751" t="s">
        <v>2086</v>
      </c>
      <c r="B126" s="752"/>
      <c r="C126" s="752"/>
      <c r="D126" s="229"/>
      <c r="E126" s="229"/>
      <c r="F126" s="229"/>
      <c r="G126" s="229"/>
      <c r="H126" s="760"/>
      <c r="I126" s="598">
        <f>I121/(1+0.067)</f>
        <v>107.6850984067479</v>
      </c>
      <c r="J126" s="598">
        <f>J121/(1+0.062)</f>
        <v>113.6346516007533</v>
      </c>
      <c r="K126" s="598">
        <f>K121/(1+0.06)</f>
        <v>107.5</v>
      </c>
      <c r="L126" s="1351"/>
      <c r="M126" s="2030"/>
      <c r="N126" s="725"/>
      <c r="O126" s="725"/>
      <c r="P126" s="725"/>
      <c r="Q126" s="725"/>
      <c r="R126" s="724"/>
      <c r="S126" s="2383"/>
      <c r="T126" s="1657"/>
      <c r="U126" s="1657"/>
      <c r="V126" s="1658"/>
      <c r="W126" s="724"/>
      <c r="X126" s="2383"/>
      <c r="Y126" s="1657"/>
      <c r="Z126" s="1657"/>
      <c r="AA126" s="1658"/>
      <c r="AB126" s="724"/>
      <c r="AC126" s="1657"/>
      <c r="AD126" s="1657"/>
      <c r="AE126" s="1657"/>
      <c r="AF126" s="1658"/>
      <c r="AG126" s="724"/>
      <c r="AH126" s="1657"/>
      <c r="AI126" s="1657"/>
      <c r="AJ126" s="1657"/>
      <c r="AK126" s="1658"/>
      <c r="AL126" s="724"/>
      <c r="AM126" s="724"/>
      <c r="AN126" s="724"/>
    </row>
    <row r="127" spans="1:40" s="14" customFormat="1">
      <c r="A127" s="753" t="s">
        <v>45</v>
      </c>
      <c r="B127" s="755"/>
      <c r="C127" s="755"/>
      <c r="D127" s="754"/>
      <c r="E127" s="754"/>
      <c r="F127" s="754"/>
      <c r="G127" s="754"/>
      <c r="H127" s="761"/>
      <c r="I127" s="650">
        <f>I122/(1+0.021)</f>
        <v>162.63467189030365</v>
      </c>
      <c r="J127" s="650">
        <f>J122/(1+0.033)</f>
        <v>156.57308809293323</v>
      </c>
      <c r="K127" s="650">
        <f>K122/(1+0.042)</f>
        <v>148.93474088291745</v>
      </c>
      <c r="L127" s="692"/>
      <c r="M127" s="2032"/>
      <c r="N127" s="727"/>
      <c r="O127" s="727"/>
      <c r="P127" s="727"/>
      <c r="Q127" s="727"/>
      <c r="R127" s="728"/>
      <c r="S127" s="2384"/>
      <c r="T127" s="1929"/>
      <c r="U127" s="1929"/>
      <c r="V127" s="2385"/>
      <c r="W127" s="728"/>
      <c r="X127" s="2384"/>
      <c r="Y127" s="1929"/>
      <c r="Z127" s="1929"/>
      <c r="AA127" s="2385"/>
      <c r="AB127" s="728"/>
      <c r="AC127" s="1929"/>
      <c r="AD127" s="1929"/>
      <c r="AE127" s="1929"/>
      <c r="AF127" s="2385"/>
      <c r="AG127" s="728"/>
      <c r="AH127" s="1929"/>
      <c r="AI127" s="1929"/>
      <c r="AJ127" s="1929"/>
      <c r="AK127" s="2385"/>
      <c r="AL127" s="728"/>
      <c r="AM127" s="728"/>
      <c r="AN127" s="728"/>
    </row>
    <row r="128" spans="1:40" s="256" customFormat="1">
      <c r="A128" s="756" t="s">
        <v>2077</v>
      </c>
      <c r="B128" s="758"/>
      <c r="C128" s="758"/>
      <c r="D128" s="757"/>
      <c r="E128" s="757"/>
      <c r="F128" s="757"/>
      <c r="G128" s="757"/>
      <c r="H128" s="556"/>
      <c r="I128" s="611">
        <f>I123-0.03</f>
        <v>0.66199999999999992</v>
      </c>
      <c r="J128" s="611">
        <f>J123-0.02</f>
        <v>0.72599999999999998</v>
      </c>
      <c r="K128" s="611">
        <f>K123-0.012</f>
        <v>0.72199999999999998</v>
      </c>
      <c r="L128" s="690"/>
      <c r="M128" s="614"/>
      <c r="N128" s="703"/>
      <c r="O128" s="703"/>
      <c r="P128" s="703"/>
      <c r="Q128" s="703"/>
      <c r="R128" s="567"/>
      <c r="S128" s="2386"/>
      <c r="T128" s="2214"/>
      <c r="U128" s="2214"/>
      <c r="V128" s="2387"/>
      <c r="W128" s="702"/>
      <c r="X128" s="1598"/>
      <c r="Y128" s="701"/>
      <c r="Z128" s="701"/>
      <c r="AA128" s="1599"/>
      <c r="AB128" s="702"/>
      <c r="AC128" s="701"/>
      <c r="AD128" s="701"/>
      <c r="AE128" s="701"/>
      <c r="AF128" s="1599"/>
      <c r="AG128" s="702"/>
      <c r="AH128" s="701"/>
      <c r="AI128" s="701"/>
      <c r="AJ128" s="701"/>
      <c r="AK128" s="1599"/>
      <c r="AL128" s="702"/>
      <c r="AM128" s="702"/>
      <c r="AN128" s="702"/>
    </row>
    <row r="129" spans="1:40">
      <c r="A129" s="557"/>
      <c r="B129" s="563"/>
      <c r="C129" s="563"/>
      <c r="D129" s="15"/>
      <c r="E129" s="15"/>
      <c r="F129" s="15"/>
      <c r="G129" s="15"/>
      <c r="H129" s="208"/>
      <c r="I129" s="15"/>
      <c r="J129" s="15"/>
      <c r="K129" s="15"/>
      <c r="L129" s="135"/>
      <c r="M129" s="138"/>
      <c r="N129" s="15"/>
      <c r="O129" s="15"/>
      <c r="P129" s="15"/>
      <c r="Q129" s="15"/>
      <c r="R129" s="208"/>
      <c r="S129" s="13"/>
      <c r="V129" s="474"/>
      <c r="W129" s="208"/>
      <c r="X129" s="13"/>
      <c r="AA129" s="474"/>
      <c r="AB129" s="208"/>
      <c r="AF129" s="474"/>
      <c r="AG129" s="208"/>
      <c r="AK129" s="474"/>
      <c r="AL129" s="208"/>
      <c r="AM129" s="208"/>
      <c r="AN129" s="208"/>
    </row>
    <row r="130" spans="1:40">
      <c r="A130" s="557"/>
      <c r="B130" s="563"/>
      <c r="C130" s="563"/>
      <c r="D130" s="15"/>
      <c r="E130" s="15"/>
      <c r="F130" s="15"/>
      <c r="G130" s="15"/>
      <c r="H130" s="208"/>
      <c r="I130" s="15"/>
      <c r="J130" s="15"/>
      <c r="K130" s="15"/>
      <c r="L130" s="15"/>
      <c r="M130" s="208"/>
      <c r="N130" s="15"/>
      <c r="O130" s="15"/>
      <c r="P130" s="15"/>
      <c r="Q130" s="15"/>
      <c r="R130" s="208"/>
      <c r="S130" s="13"/>
      <c r="V130" s="474"/>
      <c r="W130" s="208"/>
      <c r="X130" s="13"/>
      <c r="AA130" s="474"/>
      <c r="AB130" s="208"/>
      <c r="AF130" s="474"/>
      <c r="AG130" s="208"/>
      <c r="AK130" s="474"/>
      <c r="AL130" s="208"/>
      <c r="AM130" s="208"/>
      <c r="AN130" s="208"/>
    </row>
    <row r="131" spans="1:40">
      <c r="A131" s="202" t="s">
        <v>2171</v>
      </c>
      <c r="B131" s="564"/>
      <c r="C131" s="564"/>
      <c r="D131" s="470"/>
      <c r="E131" s="470"/>
      <c r="F131" s="470"/>
      <c r="G131" s="470"/>
      <c r="H131" s="553"/>
      <c r="I131" s="470"/>
      <c r="J131" s="470"/>
      <c r="K131" s="470"/>
      <c r="L131" s="470"/>
      <c r="M131" s="553"/>
      <c r="N131" s="470"/>
      <c r="O131" s="470"/>
      <c r="P131" s="470"/>
      <c r="Q131" s="470"/>
      <c r="R131" s="553"/>
      <c r="S131" s="2380"/>
      <c r="T131" s="470"/>
      <c r="U131" s="470"/>
      <c r="V131" s="785"/>
      <c r="W131" s="553"/>
      <c r="X131" s="2380"/>
      <c r="Y131" s="470"/>
      <c r="Z131" s="470"/>
      <c r="AA131" s="785"/>
      <c r="AB131" s="553"/>
      <c r="AC131" s="470"/>
      <c r="AD131" s="470"/>
      <c r="AE131" s="470"/>
      <c r="AF131" s="785"/>
      <c r="AG131" s="553"/>
      <c r="AH131" s="470"/>
      <c r="AI131" s="470"/>
      <c r="AJ131" s="470"/>
      <c r="AK131" s="785"/>
      <c r="AL131" s="553"/>
      <c r="AM131" s="553"/>
      <c r="AN131" s="553"/>
    </row>
    <row r="132" spans="1:40">
      <c r="A132" s="744" t="s">
        <v>2086</v>
      </c>
      <c r="B132" s="455"/>
      <c r="C132" s="745"/>
      <c r="D132" s="417"/>
      <c r="E132" s="417"/>
      <c r="F132" s="417"/>
      <c r="G132" s="417"/>
      <c r="H132" s="745"/>
      <c r="I132" s="417">
        <f t="shared" ref="I132:K133" si="169">+I137/I142-1</f>
        <v>7.2999999999999954E-2</v>
      </c>
      <c r="J132" s="417">
        <f t="shared" si="169"/>
        <v>5.699999999999994E-2</v>
      </c>
      <c r="K132" s="417">
        <f t="shared" si="169"/>
        <v>5.8000000000000052E-2</v>
      </c>
      <c r="L132" s="1983"/>
      <c r="M132" s="226"/>
      <c r="N132" s="417"/>
      <c r="O132" s="417"/>
      <c r="P132" s="417"/>
      <c r="Q132" s="417"/>
      <c r="R132" s="226"/>
      <c r="S132" s="646"/>
      <c r="T132" s="128"/>
      <c r="U132" s="128"/>
      <c r="V132" s="786"/>
      <c r="W132" s="226"/>
      <c r="X132" s="646"/>
      <c r="Y132" s="128"/>
      <c r="Z132" s="128"/>
      <c r="AA132" s="786"/>
      <c r="AB132" s="226"/>
      <c r="AC132" s="128"/>
      <c r="AD132" s="128"/>
      <c r="AE132" s="128"/>
      <c r="AF132" s="786"/>
      <c r="AG132" s="226"/>
      <c r="AH132" s="128"/>
      <c r="AI132" s="128"/>
      <c r="AJ132" s="128"/>
      <c r="AK132" s="786"/>
      <c r="AL132" s="226"/>
      <c r="AM132" s="226"/>
      <c r="AN132" s="226"/>
    </row>
    <row r="133" spans="1:40">
      <c r="A133" s="744" t="s">
        <v>45</v>
      </c>
      <c r="B133" s="455"/>
      <c r="C133" s="455"/>
      <c r="D133" s="417"/>
      <c r="E133" s="417"/>
      <c r="F133" s="417"/>
      <c r="G133" s="417"/>
      <c r="H133" s="455"/>
      <c r="I133" s="417">
        <f t="shared" si="169"/>
        <v>4.6999999999999931E-2</v>
      </c>
      <c r="J133" s="417">
        <f t="shared" si="169"/>
        <v>4.2999999999999927E-2</v>
      </c>
      <c r="K133" s="417">
        <f t="shared" si="169"/>
        <v>3.6999999999999922E-2</v>
      </c>
      <c r="L133" s="655"/>
      <c r="M133" s="138"/>
      <c r="N133" s="128"/>
      <c r="O133" s="128"/>
      <c r="P133" s="128"/>
      <c r="Q133" s="128"/>
      <c r="R133" s="208"/>
      <c r="S133" s="13"/>
      <c r="V133" s="474"/>
      <c r="W133" s="208"/>
      <c r="X133" s="13"/>
      <c r="AA133" s="474"/>
      <c r="AB133" s="208"/>
      <c r="AF133" s="474"/>
      <c r="AG133" s="208"/>
      <c r="AK133" s="474"/>
      <c r="AL133" s="208"/>
      <c r="AM133" s="208"/>
      <c r="AN133" s="208"/>
    </row>
    <row r="134" spans="1:40">
      <c r="A134" s="744" t="s">
        <v>2077</v>
      </c>
      <c r="B134" s="455"/>
      <c r="C134" s="455"/>
      <c r="D134" s="417"/>
      <c r="E134" s="417"/>
      <c r="F134" s="417"/>
      <c r="G134" s="417"/>
      <c r="H134" s="455"/>
      <c r="I134" s="417">
        <f>I139-I144</f>
        <v>1.8000000000000016E-2</v>
      </c>
      <c r="J134" s="417">
        <f>J139-J144</f>
        <v>1.0000000000000009E-2</v>
      </c>
      <c r="K134" s="417">
        <f>K139-K144</f>
        <v>1.5000000000000013E-2</v>
      </c>
      <c r="L134" s="655"/>
      <c r="M134" s="138"/>
      <c r="N134" s="128"/>
      <c r="O134" s="128"/>
      <c r="P134" s="128"/>
      <c r="Q134" s="128"/>
      <c r="R134" s="208"/>
      <c r="S134" s="13"/>
      <c r="V134" s="474"/>
      <c r="W134" s="208"/>
      <c r="X134" s="13"/>
      <c r="AA134" s="474"/>
      <c r="AB134" s="208"/>
      <c r="AF134" s="474"/>
      <c r="AG134" s="208"/>
      <c r="AK134" s="474"/>
      <c r="AL134" s="208"/>
      <c r="AM134" s="208"/>
      <c r="AN134" s="208"/>
    </row>
    <row r="135" spans="1:40">
      <c r="A135" s="744"/>
      <c r="B135" s="457"/>
      <c r="C135" s="457"/>
      <c r="D135" s="135"/>
      <c r="E135" s="135"/>
      <c r="F135" s="135"/>
      <c r="G135" s="135"/>
      <c r="H135" s="208"/>
      <c r="I135" s="15"/>
      <c r="J135" s="15"/>
      <c r="K135" s="15"/>
      <c r="L135" s="452"/>
      <c r="M135" s="138"/>
      <c r="N135" s="135"/>
      <c r="O135" s="15"/>
      <c r="P135" s="15"/>
      <c r="Q135" s="15"/>
      <c r="R135" s="208"/>
      <c r="S135" s="13"/>
      <c r="V135" s="474"/>
      <c r="W135" s="208"/>
      <c r="X135" s="13"/>
      <c r="AA135" s="474"/>
      <c r="AB135" s="208"/>
      <c r="AF135" s="474"/>
      <c r="AG135" s="208"/>
      <c r="AK135" s="474"/>
      <c r="AL135" s="208"/>
      <c r="AM135" s="208"/>
      <c r="AN135" s="208"/>
    </row>
    <row r="136" spans="1:40">
      <c r="A136" s="747" t="s">
        <v>2132</v>
      </c>
      <c r="B136" s="750"/>
      <c r="C136" s="748"/>
      <c r="D136" s="139"/>
      <c r="E136" s="139"/>
      <c r="F136" s="139"/>
      <c r="G136" s="139"/>
      <c r="H136" s="208"/>
      <c r="I136" s="650"/>
      <c r="J136" s="650"/>
      <c r="K136" s="650"/>
      <c r="L136" s="692"/>
      <c r="M136" s="138"/>
      <c r="N136" s="139"/>
      <c r="O136" s="650"/>
      <c r="P136" s="650"/>
      <c r="Q136" s="650"/>
      <c r="R136" s="208"/>
      <c r="S136" s="13"/>
      <c r="V136" s="474"/>
      <c r="W136" s="208"/>
      <c r="X136" s="13"/>
      <c r="AA136" s="474"/>
      <c r="AB136" s="208"/>
      <c r="AF136" s="474"/>
      <c r="AG136" s="208"/>
      <c r="AK136" s="474"/>
      <c r="AL136" s="208"/>
      <c r="AM136" s="208"/>
      <c r="AN136" s="208"/>
    </row>
    <row r="137" spans="1:40" s="726" customFormat="1">
      <c r="A137" s="751" t="s">
        <v>2086</v>
      </c>
      <c r="B137" s="752"/>
      <c r="C137" s="752"/>
      <c r="D137" s="598">
        <f t="shared" ref="D137:F139" si="170">I142</f>
        <v>111.28611369990681</v>
      </c>
      <c r="E137" s="598">
        <f t="shared" si="170"/>
        <v>119.85808893093662</v>
      </c>
      <c r="F137" s="598">
        <f t="shared" si="170"/>
        <v>109.29111531190925</v>
      </c>
      <c r="G137" s="229"/>
      <c r="H137" s="760"/>
      <c r="I137" s="560">
        <v>119.41</v>
      </c>
      <c r="J137" s="560">
        <v>126.69</v>
      </c>
      <c r="K137" s="560">
        <v>115.63</v>
      </c>
      <c r="L137" s="2029"/>
      <c r="M137" s="2030"/>
      <c r="N137" s="2361"/>
      <c r="O137" s="725"/>
      <c r="P137" s="725"/>
      <c r="Q137" s="725"/>
      <c r="R137" s="724"/>
      <c r="S137" s="2383"/>
      <c r="T137" s="1657"/>
      <c r="U137" s="1657"/>
      <c r="V137" s="1658"/>
      <c r="W137" s="724"/>
      <c r="X137" s="2383"/>
      <c r="Y137" s="1657"/>
      <c r="Z137" s="1657"/>
      <c r="AA137" s="1658"/>
      <c r="AB137" s="724"/>
      <c r="AC137" s="1657"/>
      <c r="AD137" s="1657"/>
      <c r="AE137" s="1657"/>
      <c r="AF137" s="1658"/>
      <c r="AG137" s="724"/>
      <c r="AH137" s="1657"/>
      <c r="AI137" s="1657"/>
      <c r="AJ137" s="1657"/>
      <c r="AK137" s="1658"/>
      <c r="AL137" s="724"/>
      <c r="AM137" s="724"/>
      <c r="AN137" s="724"/>
    </row>
    <row r="138" spans="1:40" s="14" customFormat="1">
      <c r="A138" s="753" t="s">
        <v>45</v>
      </c>
      <c r="B138" s="755"/>
      <c r="C138" s="755"/>
      <c r="D138" s="650">
        <f t="shared" si="170"/>
        <v>157.93696275071636</v>
      </c>
      <c r="E138" s="650">
        <f t="shared" si="170"/>
        <v>154.50623202301057</v>
      </c>
      <c r="F138" s="650">
        <f t="shared" si="170"/>
        <v>146.08486017357765</v>
      </c>
      <c r="G138" s="754"/>
      <c r="H138" s="761"/>
      <c r="I138" s="561">
        <v>165.36</v>
      </c>
      <c r="J138" s="561">
        <v>161.15</v>
      </c>
      <c r="K138" s="561">
        <v>151.49</v>
      </c>
      <c r="L138" s="2031"/>
      <c r="M138" s="2032"/>
      <c r="N138" s="754"/>
      <c r="O138" s="727"/>
      <c r="P138" s="727"/>
      <c r="Q138" s="727"/>
      <c r="R138" s="728"/>
      <c r="S138" s="2384"/>
      <c r="T138" s="1929"/>
      <c r="U138" s="1929"/>
      <c r="V138" s="2385"/>
      <c r="W138" s="728"/>
      <c r="X138" s="2384"/>
      <c r="Y138" s="1929"/>
      <c r="Z138" s="1929"/>
      <c r="AA138" s="2385"/>
      <c r="AB138" s="728"/>
      <c r="AC138" s="1929"/>
      <c r="AD138" s="1929"/>
      <c r="AE138" s="1929"/>
      <c r="AF138" s="2385"/>
      <c r="AG138" s="728"/>
      <c r="AH138" s="1929"/>
      <c r="AI138" s="1929"/>
      <c r="AJ138" s="1929"/>
      <c r="AK138" s="2385"/>
      <c r="AL138" s="728"/>
      <c r="AM138" s="728"/>
      <c r="AN138" s="728"/>
    </row>
    <row r="139" spans="1:40" s="256" customFormat="1">
      <c r="A139" s="756" t="s">
        <v>2077</v>
      </c>
      <c r="B139" s="758"/>
      <c r="C139" s="758"/>
      <c r="D139" s="611">
        <f t="shared" si="170"/>
        <v>0.70399999999999996</v>
      </c>
      <c r="E139" s="611">
        <f t="shared" si="170"/>
        <v>0.77600000000000002</v>
      </c>
      <c r="F139" s="611">
        <f t="shared" si="170"/>
        <v>0.748</v>
      </c>
      <c r="G139" s="757"/>
      <c r="H139" s="556"/>
      <c r="I139" s="757">
        <v>0.72199999999999998</v>
      </c>
      <c r="J139" s="757">
        <v>0.78600000000000003</v>
      </c>
      <c r="K139" s="757">
        <v>0.76300000000000001</v>
      </c>
      <c r="L139" s="1987"/>
      <c r="M139" s="614"/>
      <c r="N139" s="757"/>
      <c r="O139" s="703"/>
      <c r="P139" s="703"/>
      <c r="Q139" s="703"/>
      <c r="R139" s="567"/>
      <c r="S139" s="2386"/>
      <c r="T139" s="2214"/>
      <c r="U139" s="2214"/>
      <c r="V139" s="2387"/>
      <c r="W139" s="702"/>
      <c r="X139" s="1598"/>
      <c r="Y139" s="701"/>
      <c r="Z139" s="701"/>
      <c r="AA139" s="1599"/>
      <c r="AB139" s="702"/>
      <c r="AC139" s="701"/>
      <c r="AD139" s="701"/>
      <c r="AE139" s="701"/>
      <c r="AF139" s="1599"/>
      <c r="AG139" s="702"/>
      <c r="AH139" s="701"/>
      <c r="AI139" s="701"/>
      <c r="AJ139" s="701"/>
      <c r="AK139" s="1599"/>
      <c r="AL139" s="702"/>
      <c r="AM139" s="702"/>
      <c r="AN139" s="702"/>
    </row>
    <row r="140" spans="1:40">
      <c r="A140" s="744"/>
      <c r="B140" s="457"/>
      <c r="C140" s="457"/>
      <c r="D140" s="558"/>
      <c r="E140" s="558"/>
      <c r="F140" s="558"/>
      <c r="G140" s="558"/>
      <c r="H140" s="563"/>
      <c r="I140" s="558"/>
      <c r="J140" s="503"/>
      <c r="K140" s="503"/>
      <c r="L140" s="691"/>
      <c r="M140" s="457"/>
      <c r="N140" s="558"/>
      <c r="O140" s="503"/>
      <c r="P140" s="503"/>
      <c r="Q140" s="503"/>
      <c r="R140" s="563"/>
      <c r="S140" s="2382"/>
      <c r="T140" s="503"/>
      <c r="U140" s="503"/>
      <c r="V140" s="1131"/>
      <c r="W140" s="208"/>
      <c r="X140" s="13"/>
      <c r="AA140" s="474"/>
      <c r="AB140" s="208"/>
      <c r="AF140" s="474"/>
      <c r="AG140" s="208"/>
      <c r="AK140" s="474"/>
      <c r="AL140" s="208"/>
      <c r="AM140" s="208"/>
      <c r="AN140" s="208"/>
    </row>
    <row r="141" spans="1:40">
      <c r="A141" s="747" t="s">
        <v>2133</v>
      </c>
      <c r="B141" s="457"/>
      <c r="C141" s="457"/>
      <c r="D141" s="558"/>
      <c r="E141" s="558"/>
      <c r="F141" s="558"/>
      <c r="G141" s="558"/>
      <c r="H141" s="563"/>
      <c r="I141" s="558"/>
      <c r="J141" s="503"/>
      <c r="K141" s="503"/>
      <c r="L141" s="691"/>
      <c r="M141" s="457"/>
      <c r="N141" s="558"/>
      <c r="O141" s="503"/>
      <c r="P141" s="503"/>
      <c r="Q141" s="503"/>
      <c r="R141" s="563"/>
      <c r="S141" s="2382"/>
      <c r="T141" s="503"/>
      <c r="U141" s="503"/>
      <c r="V141" s="1131"/>
      <c r="W141" s="208"/>
      <c r="X141" s="13"/>
      <c r="AA141" s="474"/>
      <c r="AB141" s="208"/>
      <c r="AF141" s="474"/>
      <c r="AG141" s="208"/>
      <c r="AK141" s="474"/>
      <c r="AL141" s="208"/>
      <c r="AM141" s="208"/>
      <c r="AN141" s="208"/>
    </row>
    <row r="142" spans="1:40" s="726" customFormat="1">
      <c r="A142" s="751" t="s">
        <v>2086</v>
      </c>
      <c r="B142" s="752"/>
      <c r="C142" s="752"/>
      <c r="D142" s="229"/>
      <c r="E142" s="229"/>
      <c r="F142" s="229"/>
      <c r="G142" s="229"/>
      <c r="H142" s="760"/>
      <c r="I142" s="598">
        <f>I137/(1+0.073)</f>
        <v>111.28611369990681</v>
      </c>
      <c r="J142" s="598">
        <f>J137/(1+0.057)</f>
        <v>119.85808893093662</v>
      </c>
      <c r="K142" s="598">
        <f>K137/(1+0.058)</f>
        <v>109.29111531190925</v>
      </c>
      <c r="L142" s="1351"/>
      <c r="M142" s="2030"/>
      <c r="N142" s="2361"/>
      <c r="O142" s="725"/>
      <c r="P142" s="725"/>
      <c r="Q142" s="725"/>
      <c r="R142" s="724"/>
      <c r="S142" s="2383"/>
      <c r="T142" s="1657"/>
      <c r="U142" s="1657"/>
      <c r="V142" s="1658"/>
      <c r="W142" s="724"/>
      <c r="X142" s="2383"/>
      <c r="Y142" s="1657"/>
      <c r="Z142" s="1657"/>
      <c r="AA142" s="1658"/>
      <c r="AB142" s="724"/>
      <c r="AC142" s="1657"/>
      <c r="AD142" s="1657"/>
      <c r="AE142" s="1657"/>
      <c r="AF142" s="1658"/>
      <c r="AG142" s="724"/>
      <c r="AH142" s="1657"/>
      <c r="AI142" s="1657"/>
      <c r="AJ142" s="1657"/>
      <c r="AK142" s="1658"/>
      <c r="AL142" s="724"/>
      <c r="AM142" s="724"/>
      <c r="AN142" s="724"/>
    </row>
    <row r="143" spans="1:40" s="14" customFormat="1">
      <c r="A143" s="753" t="s">
        <v>45</v>
      </c>
      <c r="B143" s="755"/>
      <c r="C143" s="755"/>
      <c r="D143" s="754"/>
      <c r="E143" s="754"/>
      <c r="F143" s="754"/>
      <c r="G143" s="754"/>
      <c r="H143" s="761"/>
      <c r="I143" s="650">
        <f>I138/(1+0.047)</f>
        <v>157.93696275071636</v>
      </c>
      <c r="J143" s="650">
        <f>J138/(1+0.043)</f>
        <v>154.50623202301057</v>
      </c>
      <c r="K143" s="650">
        <f>K138/(1+0.037)</f>
        <v>146.08486017357765</v>
      </c>
      <c r="L143" s="692"/>
      <c r="M143" s="728"/>
      <c r="N143" s="727"/>
      <c r="O143" s="727"/>
      <c r="P143" s="727"/>
      <c r="Q143" s="727"/>
      <c r="R143" s="728"/>
      <c r="S143" s="2384"/>
      <c r="T143" s="1929"/>
      <c r="U143" s="1929"/>
      <c r="V143" s="2385"/>
      <c r="W143" s="728"/>
      <c r="X143" s="2384"/>
      <c r="Y143" s="1929"/>
      <c r="Z143" s="1929"/>
      <c r="AA143" s="2385"/>
      <c r="AB143" s="728"/>
      <c r="AC143" s="1929"/>
      <c r="AD143" s="1929"/>
      <c r="AE143" s="1929"/>
      <c r="AF143" s="2385"/>
      <c r="AG143" s="728"/>
      <c r="AH143" s="1929"/>
      <c r="AI143" s="1929"/>
      <c r="AJ143" s="1929"/>
      <c r="AK143" s="2385"/>
      <c r="AL143" s="728"/>
      <c r="AM143" s="728"/>
      <c r="AN143" s="728"/>
    </row>
    <row r="144" spans="1:40" s="256" customFormat="1">
      <c r="A144" s="756" t="s">
        <v>2077</v>
      </c>
      <c r="B144" s="758"/>
      <c r="C144" s="758"/>
      <c r="D144" s="757"/>
      <c r="E144" s="757"/>
      <c r="F144" s="757"/>
      <c r="G144" s="757"/>
      <c r="H144" s="556"/>
      <c r="I144" s="611">
        <f>I139-0.018</f>
        <v>0.70399999999999996</v>
      </c>
      <c r="J144" s="611">
        <f>J139-0.01</f>
        <v>0.77600000000000002</v>
      </c>
      <c r="K144" s="611">
        <f>K139-0.015</f>
        <v>0.748</v>
      </c>
      <c r="L144" s="690"/>
      <c r="M144" s="567"/>
      <c r="N144" s="703"/>
      <c r="O144" s="703"/>
      <c r="P144" s="703"/>
      <c r="Q144" s="703"/>
      <c r="R144" s="567"/>
      <c r="S144" s="2386"/>
      <c r="T144" s="2214"/>
      <c r="U144" s="2214"/>
      <c r="V144" s="2387"/>
      <c r="W144" s="702"/>
      <c r="X144" s="1598"/>
      <c r="Y144" s="701"/>
      <c r="Z144" s="701"/>
      <c r="AA144" s="1599"/>
      <c r="AB144" s="702"/>
      <c r="AC144" s="701"/>
      <c r="AD144" s="701"/>
      <c r="AE144" s="701"/>
      <c r="AF144" s="1599"/>
      <c r="AG144" s="702"/>
      <c r="AH144" s="701"/>
      <c r="AI144" s="701"/>
      <c r="AJ144" s="701"/>
      <c r="AK144" s="1599"/>
      <c r="AL144" s="702"/>
      <c r="AM144" s="702"/>
      <c r="AN144" s="702"/>
    </row>
    <row r="145" spans="1:40">
      <c r="A145" s="557"/>
      <c r="B145" s="245"/>
      <c r="C145" s="245"/>
      <c r="D145" s="562"/>
      <c r="E145" s="562"/>
      <c r="F145" s="562"/>
      <c r="G145" s="562"/>
      <c r="H145" s="245"/>
      <c r="I145" s="562"/>
      <c r="J145" s="562"/>
      <c r="K145" s="562"/>
      <c r="L145" s="562"/>
      <c r="M145" s="245"/>
      <c r="N145" s="562"/>
      <c r="O145" s="562"/>
      <c r="P145" s="562"/>
      <c r="Q145" s="562"/>
      <c r="R145" s="245"/>
      <c r="S145" s="1048"/>
      <c r="T145" s="247"/>
      <c r="U145" s="247"/>
      <c r="V145" s="582"/>
      <c r="W145" s="208"/>
      <c r="X145" s="13"/>
      <c r="AA145" s="474"/>
      <c r="AB145" s="208"/>
      <c r="AF145" s="474"/>
      <c r="AG145" s="208"/>
      <c r="AK145" s="474"/>
      <c r="AL145" s="208"/>
      <c r="AM145" s="208"/>
      <c r="AN145" s="208"/>
    </row>
    <row r="146" spans="1:40">
      <c r="A146" s="13"/>
      <c r="B146" s="563"/>
      <c r="C146" s="563"/>
      <c r="D146" s="15"/>
      <c r="E146" s="15"/>
      <c r="F146" s="15"/>
      <c r="G146" s="15"/>
      <c r="H146" s="208"/>
      <c r="I146" s="15"/>
      <c r="J146" s="15"/>
      <c r="K146" s="15"/>
      <c r="L146" s="15"/>
      <c r="M146" s="208"/>
      <c r="N146" s="15"/>
      <c r="O146" s="15"/>
      <c r="P146" s="15"/>
      <c r="Q146" s="15"/>
      <c r="R146" s="208"/>
      <c r="S146" s="13"/>
      <c r="V146" s="474"/>
      <c r="W146" s="208"/>
      <c r="X146" s="13"/>
      <c r="AA146" s="474"/>
      <c r="AB146" s="208"/>
      <c r="AF146" s="474"/>
      <c r="AG146" s="208"/>
      <c r="AK146" s="474"/>
      <c r="AL146" s="208"/>
      <c r="AM146" s="208"/>
      <c r="AN146" s="208"/>
    </row>
    <row r="147" spans="1:40">
      <c r="A147" s="202" t="s">
        <v>16</v>
      </c>
      <c r="B147" s="564"/>
      <c r="C147" s="564"/>
      <c r="D147" s="470"/>
      <c r="E147" s="470"/>
      <c r="F147" s="470"/>
      <c r="G147" s="470"/>
      <c r="H147" s="553"/>
      <c r="I147" s="470"/>
      <c r="J147" s="470"/>
      <c r="K147" s="470"/>
      <c r="L147" s="470"/>
      <c r="M147" s="553"/>
      <c r="N147" s="470"/>
      <c r="O147" s="470"/>
      <c r="P147" s="470"/>
      <c r="Q147" s="470"/>
      <c r="R147" s="553"/>
      <c r="S147" s="2380"/>
      <c r="T147" s="470"/>
      <c r="U147" s="470"/>
      <c r="V147" s="785"/>
      <c r="W147" s="553"/>
      <c r="X147" s="2380"/>
      <c r="Y147" s="470"/>
      <c r="Z147" s="470"/>
      <c r="AA147" s="785"/>
      <c r="AB147" s="553"/>
      <c r="AC147" s="470"/>
      <c r="AD147" s="470"/>
      <c r="AE147" s="470"/>
      <c r="AF147" s="785"/>
      <c r="AG147" s="553"/>
      <c r="AH147" s="470"/>
      <c r="AI147" s="470"/>
      <c r="AJ147" s="470"/>
      <c r="AK147" s="785"/>
      <c r="AL147" s="553"/>
      <c r="AM147" s="553"/>
      <c r="AN147" s="553"/>
    </row>
    <row r="148" spans="1:40">
      <c r="A148" s="744" t="s">
        <v>2086</v>
      </c>
      <c r="B148" s="455"/>
      <c r="C148" s="745"/>
      <c r="D148" s="417"/>
      <c r="E148" s="417"/>
      <c r="F148" s="417"/>
      <c r="G148" s="417"/>
      <c r="H148" s="745"/>
      <c r="I148" s="417">
        <f t="shared" ref="I148:K149" si="171">+I153/I158-1</f>
        <v>6.0999999999999943E-2</v>
      </c>
      <c r="J148" s="417">
        <f t="shared" si="171"/>
        <v>6.6999999999999948E-2</v>
      </c>
      <c r="K148" s="417">
        <f t="shared" si="171"/>
        <v>6.0999999999999943E-2</v>
      </c>
      <c r="L148" s="1983"/>
      <c r="M148" s="455"/>
      <c r="N148" s="417"/>
      <c r="O148" s="417"/>
      <c r="P148" s="417"/>
      <c r="Q148" s="417"/>
      <c r="R148" s="226"/>
      <c r="S148" s="646"/>
      <c r="T148" s="128"/>
      <c r="U148" s="128"/>
      <c r="V148" s="786"/>
      <c r="W148" s="226"/>
      <c r="X148" s="646"/>
      <c r="Y148" s="128"/>
      <c r="Z148" s="128"/>
      <c r="AA148" s="786"/>
      <c r="AB148" s="226"/>
      <c r="AC148" s="128"/>
      <c r="AD148" s="128"/>
      <c r="AE148" s="128"/>
      <c r="AF148" s="786"/>
      <c r="AG148" s="226"/>
      <c r="AH148" s="128"/>
      <c r="AI148" s="128"/>
      <c r="AJ148" s="128"/>
      <c r="AK148" s="786"/>
      <c r="AL148" s="226"/>
      <c r="AM148" s="226"/>
      <c r="AN148" s="226"/>
    </row>
    <row r="149" spans="1:40">
      <c r="A149" s="744" t="s">
        <v>45</v>
      </c>
      <c r="B149" s="455"/>
      <c r="C149" s="455"/>
      <c r="D149" s="417"/>
      <c r="E149" s="417"/>
      <c r="F149" s="417"/>
      <c r="G149" s="417"/>
      <c r="H149" s="455"/>
      <c r="I149" s="417">
        <f t="shared" si="171"/>
        <v>-4.9999999999998934E-3</v>
      </c>
      <c r="J149" s="417">
        <f t="shared" si="171"/>
        <v>2.200000000000002E-2</v>
      </c>
      <c r="K149" s="417">
        <f t="shared" si="171"/>
        <v>4.6000000000000041E-2</v>
      </c>
      <c r="L149" s="655"/>
      <c r="M149" s="138"/>
      <c r="N149" s="128"/>
      <c r="O149" s="128"/>
      <c r="P149" s="128"/>
      <c r="Q149" s="128"/>
      <c r="R149" s="208"/>
      <c r="S149" s="13"/>
      <c r="V149" s="474"/>
      <c r="W149" s="208"/>
      <c r="X149" s="13"/>
      <c r="AA149" s="474"/>
      <c r="AB149" s="208"/>
      <c r="AF149" s="474"/>
      <c r="AG149" s="208"/>
      <c r="AK149" s="474"/>
      <c r="AL149" s="208"/>
      <c r="AM149" s="208"/>
      <c r="AN149" s="208"/>
    </row>
    <row r="150" spans="1:40">
      <c r="A150" s="744" t="s">
        <v>2077</v>
      </c>
      <c r="B150" s="455"/>
      <c r="C150" s="455"/>
      <c r="D150" s="417"/>
      <c r="E150" s="417"/>
      <c r="F150" s="417"/>
      <c r="G150" s="417"/>
      <c r="H150" s="455"/>
      <c r="I150" s="417">
        <f>I155-I160</f>
        <v>4.1000000000000036E-2</v>
      </c>
      <c r="J150" s="417">
        <f>J155-J160</f>
        <v>2.9000000000000026E-2</v>
      </c>
      <c r="K150" s="417">
        <f>K155-K160</f>
        <v>1.0000000000000009E-2</v>
      </c>
      <c r="L150" s="655"/>
      <c r="M150" s="138"/>
      <c r="N150" s="128"/>
      <c r="O150" s="128"/>
      <c r="P150" s="128"/>
      <c r="Q150" s="128"/>
      <c r="R150" s="208"/>
      <c r="S150" s="13"/>
      <c r="V150" s="474"/>
      <c r="W150" s="208"/>
      <c r="X150" s="13"/>
      <c r="AA150" s="474"/>
      <c r="AB150" s="208"/>
      <c r="AF150" s="474"/>
      <c r="AG150" s="208"/>
      <c r="AK150" s="474"/>
      <c r="AL150" s="208"/>
      <c r="AM150" s="208"/>
      <c r="AN150" s="208"/>
    </row>
    <row r="151" spans="1:40">
      <c r="A151" s="744"/>
      <c r="B151" s="457"/>
      <c r="C151" s="457"/>
      <c r="D151" s="135"/>
      <c r="E151" s="135"/>
      <c r="F151" s="135"/>
      <c r="G151" s="135"/>
      <c r="H151" s="208"/>
      <c r="I151" s="15"/>
      <c r="J151" s="15"/>
      <c r="K151" s="15"/>
      <c r="L151" s="452"/>
      <c r="M151" s="138"/>
      <c r="N151" s="15"/>
      <c r="O151" s="15"/>
      <c r="P151" s="15"/>
      <c r="Q151" s="15"/>
      <c r="R151" s="208"/>
      <c r="S151" s="13"/>
      <c r="V151" s="474"/>
      <c r="W151" s="208"/>
      <c r="X151" s="13"/>
      <c r="AA151" s="474"/>
      <c r="AB151" s="208"/>
      <c r="AF151" s="474"/>
      <c r="AG151" s="208"/>
      <c r="AK151" s="474"/>
      <c r="AL151" s="208"/>
      <c r="AM151" s="208"/>
      <c r="AN151" s="208"/>
    </row>
    <row r="152" spans="1:40">
      <c r="A152" s="747" t="s">
        <v>2132</v>
      </c>
      <c r="B152" s="750"/>
      <c r="C152" s="748"/>
      <c r="D152" s="139"/>
      <c r="E152" s="139"/>
      <c r="F152" s="139"/>
      <c r="G152" s="139"/>
      <c r="H152" s="208"/>
      <c r="I152" s="650"/>
      <c r="J152" s="650"/>
      <c r="K152" s="650"/>
      <c r="L152" s="692"/>
      <c r="M152" s="138"/>
      <c r="N152" s="139"/>
      <c r="O152" s="139"/>
      <c r="P152" s="650"/>
      <c r="Q152" s="650"/>
      <c r="R152" s="208"/>
      <c r="S152" s="13"/>
      <c r="V152" s="474"/>
      <c r="W152" s="208"/>
      <c r="X152" s="13"/>
      <c r="AA152" s="474"/>
      <c r="AB152" s="208"/>
      <c r="AF152" s="474"/>
      <c r="AG152" s="208"/>
      <c r="AK152" s="474"/>
      <c r="AL152" s="208"/>
      <c r="AM152" s="208"/>
      <c r="AN152" s="208"/>
    </row>
    <row r="153" spans="1:40" s="726" customFormat="1">
      <c r="A153" s="751" t="s">
        <v>2086</v>
      </c>
      <c r="B153" s="752"/>
      <c r="C153" s="752"/>
      <c r="D153" s="598">
        <f t="shared" ref="D153:F155" si="172">I158</f>
        <v>104.21300659754948</v>
      </c>
      <c r="E153" s="598">
        <f t="shared" si="172"/>
        <v>107.6850984067479</v>
      </c>
      <c r="F153" s="598">
        <f t="shared" si="172"/>
        <v>105.88124410933082</v>
      </c>
      <c r="G153" s="229"/>
      <c r="H153" s="760"/>
      <c r="I153" s="560">
        <v>110.57</v>
      </c>
      <c r="J153" s="560">
        <v>114.9</v>
      </c>
      <c r="K153" s="560">
        <v>112.34</v>
      </c>
      <c r="L153" s="2029"/>
      <c r="M153" s="2030"/>
      <c r="N153" s="2361"/>
      <c r="O153" s="2361"/>
      <c r="P153" s="725"/>
      <c r="Q153" s="725"/>
      <c r="R153" s="724"/>
      <c r="S153" s="2383"/>
      <c r="T153" s="1657"/>
      <c r="U153" s="1657"/>
      <c r="V153" s="1658"/>
      <c r="W153" s="724"/>
      <c r="X153" s="2383"/>
      <c r="Y153" s="1657"/>
      <c r="Z153" s="1657"/>
      <c r="AA153" s="1658"/>
      <c r="AB153" s="724"/>
      <c r="AC153" s="1657"/>
      <c r="AD153" s="1657"/>
      <c r="AE153" s="1657"/>
      <c r="AF153" s="1658"/>
      <c r="AG153" s="724"/>
      <c r="AH153" s="1657"/>
      <c r="AI153" s="1657"/>
      <c r="AJ153" s="1657"/>
      <c r="AK153" s="1658"/>
      <c r="AL153" s="724"/>
      <c r="AM153" s="724"/>
      <c r="AN153" s="724"/>
    </row>
    <row r="154" spans="1:40" s="14" customFormat="1">
      <c r="A154" s="753" t="s">
        <v>45</v>
      </c>
      <c r="B154" s="755"/>
      <c r="C154" s="755"/>
      <c r="D154" s="650">
        <f t="shared" si="172"/>
        <v>167.59798994974872</v>
      </c>
      <c r="E154" s="650">
        <f t="shared" si="172"/>
        <v>158.86497064579257</v>
      </c>
      <c r="F154" s="650">
        <f t="shared" si="172"/>
        <v>152.03632887189292</v>
      </c>
      <c r="G154" s="754"/>
      <c r="H154" s="761"/>
      <c r="I154" s="561">
        <v>166.76</v>
      </c>
      <c r="J154" s="561">
        <v>162.36000000000001</v>
      </c>
      <c r="K154" s="561">
        <v>159.03</v>
      </c>
      <c r="L154" s="2031"/>
      <c r="M154" s="2032"/>
      <c r="N154" s="754"/>
      <c r="O154" s="754"/>
      <c r="P154" s="727"/>
      <c r="Q154" s="727"/>
      <c r="R154" s="728"/>
      <c r="S154" s="2384"/>
      <c r="T154" s="1929"/>
      <c r="U154" s="1929"/>
      <c r="V154" s="2385"/>
      <c r="W154" s="728"/>
      <c r="X154" s="2384"/>
      <c r="Y154" s="1929"/>
      <c r="Z154" s="1929"/>
      <c r="AA154" s="2385"/>
      <c r="AB154" s="728"/>
      <c r="AC154" s="1929"/>
      <c r="AD154" s="1929"/>
      <c r="AE154" s="1929"/>
      <c r="AF154" s="2385"/>
      <c r="AG154" s="728"/>
      <c r="AH154" s="1929"/>
      <c r="AI154" s="1929"/>
      <c r="AJ154" s="1929"/>
      <c r="AK154" s="2385"/>
      <c r="AL154" s="728"/>
      <c r="AM154" s="728"/>
      <c r="AN154" s="728"/>
    </row>
    <row r="155" spans="1:40" s="256" customFormat="1">
      <c r="A155" s="756" t="s">
        <v>2077</v>
      </c>
      <c r="B155" s="758"/>
      <c r="C155" s="758"/>
      <c r="D155" s="611">
        <f t="shared" si="172"/>
        <v>0.622</v>
      </c>
      <c r="E155" s="611">
        <f t="shared" si="172"/>
        <v>0.67899999999999994</v>
      </c>
      <c r="F155" s="611">
        <f t="shared" si="172"/>
        <v>0.69599999999999995</v>
      </c>
      <c r="G155" s="757"/>
      <c r="H155" s="556"/>
      <c r="I155" s="757">
        <v>0.66300000000000003</v>
      </c>
      <c r="J155" s="757">
        <v>0.70799999999999996</v>
      </c>
      <c r="K155" s="757">
        <v>0.70599999999999996</v>
      </c>
      <c r="L155" s="1987"/>
      <c r="M155" s="614"/>
      <c r="N155" s="757"/>
      <c r="O155" s="757"/>
      <c r="P155" s="703"/>
      <c r="Q155" s="703"/>
      <c r="R155" s="567"/>
      <c r="S155" s="2386"/>
      <c r="T155" s="2214"/>
      <c r="U155" s="2214"/>
      <c r="V155" s="2387"/>
      <c r="W155" s="702"/>
      <c r="X155" s="1598"/>
      <c r="Y155" s="701"/>
      <c r="Z155" s="701"/>
      <c r="AA155" s="1599"/>
      <c r="AB155" s="702"/>
      <c r="AC155" s="701"/>
      <c r="AD155" s="701"/>
      <c r="AE155" s="701"/>
      <c r="AF155" s="1599"/>
      <c r="AG155" s="702"/>
      <c r="AH155" s="701"/>
      <c r="AI155" s="701"/>
      <c r="AJ155" s="701"/>
      <c r="AK155" s="1599"/>
      <c r="AL155" s="702"/>
      <c r="AM155" s="702"/>
      <c r="AN155" s="702"/>
    </row>
    <row r="156" spans="1:40">
      <c r="A156" s="744"/>
      <c r="B156" s="457"/>
      <c r="C156" s="457"/>
      <c r="D156" s="558"/>
      <c r="E156" s="558"/>
      <c r="F156" s="558"/>
      <c r="G156" s="558"/>
      <c r="H156" s="563"/>
      <c r="I156" s="558"/>
      <c r="J156" s="503"/>
      <c r="K156" s="503"/>
      <c r="L156" s="691"/>
      <c r="M156" s="457"/>
      <c r="N156" s="558"/>
      <c r="O156" s="558"/>
      <c r="P156" s="503"/>
      <c r="Q156" s="503"/>
      <c r="R156" s="563"/>
      <c r="S156" s="2382"/>
      <c r="T156" s="503"/>
      <c r="U156" s="503"/>
      <c r="V156" s="1131"/>
      <c r="W156" s="208"/>
      <c r="X156" s="13"/>
      <c r="AA156" s="474"/>
      <c r="AB156" s="208"/>
      <c r="AF156" s="474"/>
      <c r="AG156" s="208"/>
      <c r="AK156" s="474"/>
      <c r="AL156" s="208"/>
      <c r="AM156" s="208"/>
      <c r="AN156" s="208"/>
    </row>
    <row r="157" spans="1:40">
      <c r="A157" s="747" t="s">
        <v>2133</v>
      </c>
      <c r="B157" s="457"/>
      <c r="C157" s="457"/>
      <c r="D157" s="558"/>
      <c r="E157" s="558"/>
      <c r="F157" s="558"/>
      <c r="G157" s="558"/>
      <c r="H157" s="563"/>
      <c r="I157" s="558"/>
      <c r="J157" s="503"/>
      <c r="K157" s="503"/>
      <c r="L157" s="691"/>
      <c r="M157" s="457"/>
      <c r="N157" s="558"/>
      <c r="O157" s="558"/>
      <c r="P157" s="503"/>
      <c r="Q157" s="503"/>
      <c r="R157" s="563"/>
      <c r="S157" s="2382"/>
      <c r="T157" s="503"/>
      <c r="U157" s="503"/>
      <c r="V157" s="1131"/>
      <c r="W157" s="208"/>
      <c r="X157" s="13"/>
      <c r="AA157" s="474"/>
      <c r="AB157" s="208"/>
      <c r="AF157" s="474"/>
      <c r="AG157" s="208"/>
      <c r="AK157" s="474"/>
      <c r="AL157" s="208"/>
      <c r="AM157" s="208"/>
      <c r="AN157" s="208"/>
    </row>
    <row r="158" spans="1:40" s="726" customFormat="1">
      <c r="A158" s="751" t="s">
        <v>2086</v>
      </c>
      <c r="B158" s="752"/>
      <c r="C158" s="752"/>
      <c r="D158" s="229"/>
      <c r="E158" s="229"/>
      <c r="F158" s="229"/>
      <c r="G158" s="229"/>
      <c r="H158" s="760"/>
      <c r="I158" s="598">
        <f>I153/(1+0.061)</f>
        <v>104.21300659754948</v>
      </c>
      <c r="J158" s="598">
        <f>J153/(1+0.067)</f>
        <v>107.6850984067479</v>
      </c>
      <c r="K158" s="598">
        <f>K153/(1+0.061)</f>
        <v>105.88124410933082</v>
      </c>
      <c r="L158" s="1351"/>
      <c r="M158" s="2030"/>
      <c r="N158" s="2361"/>
      <c r="O158" s="2361"/>
      <c r="P158" s="725"/>
      <c r="Q158" s="725"/>
      <c r="R158" s="724"/>
      <c r="S158" s="2383"/>
      <c r="T158" s="1657"/>
      <c r="U158" s="1657"/>
      <c r="V158" s="1658"/>
      <c r="W158" s="724"/>
      <c r="X158" s="2383"/>
      <c r="Y158" s="1657"/>
      <c r="Z158" s="1657"/>
      <c r="AA158" s="1658"/>
      <c r="AB158" s="724"/>
      <c r="AC158" s="1657"/>
      <c r="AD158" s="1657"/>
      <c r="AE158" s="1657"/>
      <c r="AF158" s="1658"/>
      <c r="AG158" s="724"/>
      <c r="AH158" s="1657"/>
      <c r="AI158" s="1657"/>
      <c r="AJ158" s="1657"/>
      <c r="AK158" s="1658"/>
      <c r="AL158" s="724"/>
      <c r="AM158" s="724"/>
      <c r="AN158" s="724"/>
    </row>
    <row r="159" spans="1:40" s="14" customFormat="1">
      <c r="A159" s="753" t="s">
        <v>45</v>
      </c>
      <c r="B159" s="755"/>
      <c r="C159" s="755"/>
      <c r="D159" s="754"/>
      <c r="E159" s="754"/>
      <c r="F159" s="754"/>
      <c r="G159" s="754"/>
      <c r="H159" s="761"/>
      <c r="I159" s="650">
        <f>I154/(1-0.005)</f>
        <v>167.59798994974872</v>
      </c>
      <c r="J159" s="650">
        <f>J154/(1+0.022)</f>
        <v>158.86497064579257</v>
      </c>
      <c r="K159" s="650">
        <f>K154/(1+0.046)</f>
        <v>152.03632887189292</v>
      </c>
      <c r="L159" s="692"/>
      <c r="M159" s="2032"/>
      <c r="N159" s="727"/>
      <c r="O159" s="727"/>
      <c r="P159" s="727"/>
      <c r="Q159" s="727"/>
      <c r="R159" s="728"/>
      <c r="S159" s="2384"/>
      <c r="T159" s="1929"/>
      <c r="U159" s="1929"/>
      <c r="V159" s="2385"/>
      <c r="W159" s="728"/>
      <c r="X159" s="2384"/>
      <c r="Y159" s="1929"/>
      <c r="Z159" s="1929"/>
      <c r="AA159" s="2385"/>
      <c r="AB159" s="728"/>
      <c r="AC159" s="1929"/>
      <c r="AD159" s="1929"/>
      <c r="AE159" s="1929"/>
      <c r="AF159" s="2385"/>
      <c r="AG159" s="728"/>
      <c r="AH159" s="1929"/>
      <c r="AI159" s="1929"/>
      <c r="AJ159" s="1929"/>
      <c r="AK159" s="2385"/>
      <c r="AL159" s="728"/>
      <c r="AM159" s="728"/>
      <c r="AN159" s="728"/>
    </row>
    <row r="160" spans="1:40" s="256" customFormat="1">
      <c r="A160" s="756" t="s">
        <v>2077</v>
      </c>
      <c r="B160" s="758"/>
      <c r="C160" s="758"/>
      <c r="D160" s="757"/>
      <c r="E160" s="757"/>
      <c r="F160" s="757"/>
      <c r="G160" s="757"/>
      <c r="H160" s="556"/>
      <c r="I160" s="611">
        <f>I155-0.041</f>
        <v>0.622</v>
      </c>
      <c r="J160" s="611">
        <f>J155-0.029</f>
        <v>0.67899999999999994</v>
      </c>
      <c r="K160" s="611">
        <f>K155-0.01</f>
        <v>0.69599999999999995</v>
      </c>
      <c r="L160" s="690"/>
      <c r="M160" s="614"/>
      <c r="N160" s="703"/>
      <c r="O160" s="703"/>
      <c r="P160" s="703"/>
      <c r="Q160" s="703"/>
      <c r="R160" s="567"/>
      <c r="S160" s="2386"/>
      <c r="T160" s="2214"/>
      <c r="U160" s="2214"/>
      <c r="V160" s="2387"/>
      <c r="W160" s="702"/>
      <c r="X160" s="1598"/>
      <c r="Y160" s="701"/>
      <c r="Z160" s="701"/>
      <c r="AA160" s="1599"/>
      <c r="AB160" s="702"/>
      <c r="AC160" s="701"/>
      <c r="AD160" s="701"/>
      <c r="AE160" s="701"/>
      <c r="AF160" s="1599"/>
      <c r="AG160" s="702"/>
      <c r="AH160" s="701"/>
      <c r="AI160" s="701"/>
      <c r="AJ160" s="701"/>
      <c r="AK160" s="1599"/>
      <c r="AL160" s="702"/>
      <c r="AM160" s="702"/>
      <c r="AN160" s="702"/>
    </row>
    <row r="161" spans="1:40">
      <c r="A161" s="557"/>
      <c r="B161" s="563"/>
      <c r="C161" s="563"/>
      <c r="D161" s="15"/>
      <c r="E161" s="15"/>
      <c r="F161" s="15"/>
      <c r="G161" s="15"/>
      <c r="H161" s="208"/>
      <c r="I161" s="15"/>
      <c r="J161" s="15"/>
      <c r="K161" s="15"/>
      <c r="L161" s="15"/>
      <c r="M161" s="208"/>
      <c r="N161" s="15"/>
      <c r="O161" s="15"/>
      <c r="P161" s="15"/>
      <c r="Q161" s="15"/>
      <c r="R161" s="208"/>
      <c r="S161" s="13"/>
      <c r="V161" s="474"/>
      <c r="W161" s="208"/>
      <c r="X161" s="13"/>
      <c r="AA161" s="474"/>
      <c r="AB161" s="208"/>
      <c r="AF161" s="474"/>
      <c r="AG161" s="208"/>
      <c r="AK161" s="474"/>
      <c r="AL161" s="208"/>
      <c r="AM161" s="208"/>
      <c r="AN161" s="208"/>
    </row>
    <row r="162" spans="1:40">
      <c r="A162" s="13"/>
      <c r="B162" s="563"/>
      <c r="C162" s="563"/>
      <c r="D162" s="15"/>
      <c r="E162" s="15"/>
      <c r="F162" s="15"/>
      <c r="G162" s="15"/>
      <c r="H162" s="208"/>
      <c r="I162" s="15"/>
      <c r="J162" s="15"/>
      <c r="K162" s="15"/>
      <c r="L162" s="15"/>
      <c r="M162" s="208"/>
      <c r="N162" s="15"/>
      <c r="O162" s="15"/>
      <c r="P162" s="15"/>
      <c r="Q162" s="15"/>
      <c r="R162" s="208"/>
      <c r="S162" s="13"/>
      <c r="V162" s="474"/>
      <c r="W162" s="208"/>
      <c r="X162" s="13"/>
      <c r="AA162" s="474"/>
      <c r="AB162" s="208"/>
      <c r="AF162" s="474"/>
      <c r="AG162" s="208"/>
      <c r="AK162" s="474"/>
      <c r="AL162" s="208"/>
      <c r="AM162" s="208"/>
      <c r="AN162" s="208"/>
    </row>
    <row r="163" spans="1:40" s="12" customFormat="1">
      <c r="A163" s="461" t="s">
        <v>211</v>
      </c>
      <c r="B163" s="1050" t="str">
        <f>B$4</f>
        <v>2010</v>
      </c>
      <c r="C163" s="774" t="str">
        <f t="shared" ref="C163:AN163" si="173">C$4</f>
        <v>2011</v>
      </c>
      <c r="D163" s="773" t="str">
        <f t="shared" si="173"/>
        <v>1Q12</v>
      </c>
      <c r="E163" s="773" t="str">
        <f t="shared" si="173"/>
        <v>2Q12</v>
      </c>
      <c r="F163" s="1049" t="str">
        <f t="shared" si="173"/>
        <v>3Q12</v>
      </c>
      <c r="G163" s="773" t="str">
        <f t="shared" si="173"/>
        <v>4Q12</v>
      </c>
      <c r="H163" s="774">
        <f t="shared" si="173"/>
        <v>2012</v>
      </c>
      <c r="I163" s="773" t="str">
        <f t="shared" si="173"/>
        <v>1Q13</v>
      </c>
      <c r="J163" s="773" t="str">
        <f t="shared" si="173"/>
        <v>2Q13</v>
      </c>
      <c r="K163" s="773" t="str">
        <f t="shared" si="173"/>
        <v>3Q13</v>
      </c>
      <c r="L163" s="773" t="str">
        <f t="shared" si="173"/>
        <v>4Q13</v>
      </c>
      <c r="M163" s="774">
        <f t="shared" si="173"/>
        <v>2013</v>
      </c>
      <c r="N163" s="773" t="str">
        <f t="shared" si="173"/>
        <v>1Q14</v>
      </c>
      <c r="O163" s="773" t="str">
        <f t="shared" si="173"/>
        <v>2Q14</v>
      </c>
      <c r="P163" s="773" t="str">
        <f t="shared" si="173"/>
        <v>3Q14</v>
      </c>
      <c r="Q163" s="773" t="str">
        <f t="shared" si="173"/>
        <v>4Q14</v>
      </c>
      <c r="R163" s="774">
        <f t="shared" si="173"/>
        <v>2014</v>
      </c>
      <c r="S163" s="773" t="str">
        <f t="shared" si="173"/>
        <v>1Q15</v>
      </c>
      <c r="T163" s="773" t="str">
        <f t="shared" si="173"/>
        <v>2Q15</v>
      </c>
      <c r="U163" s="773" t="str">
        <f t="shared" si="173"/>
        <v>3Q15</v>
      </c>
      <c r="V163" s="773" t="str">
        <f t="shared" si="173"/>
        <v>4Q15</v>
      </c>
      <c r="W163" s="774">
        <f t="shared" si="173"/>
        <v>2015</v>
      </c>
      <c r="X163" s="773" t="str">
        <f t="shared" si="173"/>
        <v>1Q16</v>
      </c>
      <c r="Y163" s="773" t="str">
        <f t="shared" si="173"/>
        <v>2Q16</v>
      </c>
      <c r="Z163" s="773" t="str">
        <f t="shared" si="173"/>
        <v>3Q16</v>
      </c>
      <c r="AA163" s="773" t="str">
        <f t="shared" si="173"/>
        <v>4Q16</v>
      </c>
      <c r="AB163" s="774">
        <f t="shared" si="173"/>
        <v>2016</v>
      </c>
      <c r="AC163" s="773" t="str">
        <f t="shared" si="173"/>
        <v>1Q17</v>
      </c>
      <c r="AD163" s="773" t="str">
        <f t="shared" si="173"/>
        <v>2Q17</v>
      </c>
      <c r="AE163" s="773" t="str">
        <f t="shared" si="173"/>
        <v>3Q17</v>
      </c>
      <c r="AF163" s="773" t="str">
        <f t="shared" si="173"/>
        <v>4Q17A</v>
      </c>
      <c r="AG163" s="774" t="str">
        <f t="shared" si="173"/>
        <v>2017A</v>
      </c>
      <c r="AH163" s="1049" t="str">
        <f>AH4</f>
        <v>1Q18E</v>
      </c>
      <c r="AI163" s="1049" t="str">
        <f>AI4</f>
        <v>2Q18E</v>
      </c>
      <c r="AJ163" s="1049" t="str">
        <f>AJ4</f>
        <v>3Q18E</v>
      </c>
      <c r="AK163" s="1049" t="str">
        <f>AK4</f>
        <v>4Q18E</v>
      </c>
      <c r="AL163" s="774" t="str">
        <f t="shared" si="173"/>
        <v>2018E</v>
      </c>
      <c r="AM163" s="774" t="str">
        <f t="shared" si="173"/>
        <v>2019E</v>
      </c>
      <c r="AN163" s="774" t="str">
        <f t="shared" si="173"/>
        <v>2020E</v>
      </c>
    </row>
    <row r="164" spans="1:40">
      <c r="A164" s="13"/>
      <c r="B164" s="208"/>
      <c r="C164" s="208"/>
      <c r="D164" s="15"/>
      <c r="E164" s="15"/>
      <c r="F164" s="15"/>
      <c r="G164" s="15"/>
      <c r="H164" s="208"/>
      <c r="I164" s="15"/>
      <c r="J164" s="15"/>
      <c r="K164" s="15"/>
      <c r="L164" s="15"/>
      <c r="M164" s="208"/>
      <c r="N164" s="15"/>
      <c r="O164" s="15"/>
      <c r="P164" s="15"/>
      <c r="Q164" s="15"/>
      <c r="R164" s="208"/>
      <c r="S164" s="13"/>
      <c r="V164" s="474"/>
      <c r="W164" s="208"/>
      <c r="X164" s="13"/>
      <c r="AA164" s="474"/>
      <c r="AB164" s="208"/>
      <c r="AF164" s="474"/>
      <c r="AG164" s="208"/>
      <c r="AK164" s="474"/>
      <c r="AL164" s="208"/>
      <c r="AM164" s="208"/>
      <c r="AN164" s="208"/>
    </row>
    <row r="165" spans="1:40">
      <c r="A165" s="202" t="s">
        <v>1354</v>
      </c>
      <c r="B165" s="553"/>
      <c r="C165" s="553"/>
      <c r="D165" s="470"/>
      <c r="E165" s="470"/>
      <c r="F165" s="470"/>
      <c r="G165" s="470"/>
      <c r="H165" s="553"/>
      <c r="I165" s="470"/>
      <c r="J165" s="470"/>
      <c r="K165" s="470"/>
      <c r="L165" s="470"/>
      <c r="M165" s="553"/>
      <c r="N165" s="470"/>
      <c r="O165" s="470"/>
      <c r="P165" s="470"/>
      <c r="Q165" s="470"/>
      <c r="R165" s="553"/>
      <c r="S165" s="2380"/>
      <c r="T165" s="470"/>
      <c r="U165" s="470"/>
      <c r="V165" s="785"/>
      <c r="W165" s="553"/>
      <c r="X165" s="2380"/>
      <c r="Y165" s="470"/>
      <c r="Z165" s="470"/>
      <c r="AA165" s="785"/>
      <c r="AB165" s="553"/>
      <c r="AC165" s="470"/>
      <c r="AD165" s="470"/>
      <c r="AE165" s="470"/>
      <c r="AF165" s="785"/>
      <c r="AG165" s="553"/>
      <c r="AH165" s="470"/>
      <c r="AI165" s="470"/>
      <c r="AJ165" s="470"/>
      <c r="AK165" s="785"/>
      <c r="AL165" s="553"/>
      <c r="AM165" s="553"/>
      <c r="AN165" s="553"/>
    </row>
    <row r="166" spans="1:40">
      <c r="A166" s="744" t="s">
        <v>2086</v>
      </c>
      <c r="B166" s="746"/>
      <c r="C166" s="457"/>
      <c r="D166" s="417"/>
      <c r="E166" s="417"/>
      <c r="F166" s="417"/>
      <c r="G166" s="417"/>
      <c r="H166" s="745"/>
      <c r="I166" s="417">
        <f t="shared" ref="I166:K167" si="174">+I171/I176-1</f>
        <v>5.0999999999999934E-2</v>
      </c>
      <c r="J166" s="417">
        <f t="shared" si="174"/>
        <v>5.2000000000000046E-2</v>
      </c>
      <c r="K166" s="417">
        <f t="shared" si="174"/>
        <v>5.2000000000000046E-2</v>
      </c>
      <c r="L166" s="1983"/>
      <c r="M166" s="513"/>
      <c r="N166" s="417"/>
      <c r="O166" s="417"/>
      <c r="P166" s="417"/>
      <c r="Q166" s="417"/>
      <c r="R166" s="226"/>
      <c r="S166" s="646"/>
      <c r="T166" s="128"/>
      <c r="U166" s="128"/>
      <c r="V166" s="786"/>
      <c r="W166" s="226"/>
      <c r="X166" s="646"/>
      <c r="Y166" s="128"/>
      <c r="Z166" s="128"/>
      <c r="AA166" s="786"/>
      <c r="AB166" s="226"/>
      <c r="AC166" s="128"/>
      <c r="AD166" s="128"/>
      <c r="AE166" s="128"/>
      <c r="AF166" s="786"/>
      <c r="AG166" s="226"/>
      <c r="AH166" s="128"/>
      <c r="AI166" s="128"/>
      <c r="AJ166" s="128"/>
      <c r="AK166" s="786"/>
      <c r="AL166" s="226"/>
      <c r="AM166" s="226"/>
      <c r="AN166" s="226"/>
    </row>
    <row r="167" spans="1:40">
      <c r="A167" s="744" t="s">
        <v>45</v>
      </c>
      <c r="B167" s="455"/>
      <c r="C167" s="455"/>
      <c r="D167" s="417"/>
      <c r="E167" s="417"/>
      <c r="F167" s="417"/>
      <c r="G167" s="417"/>
      <c r="H167" s="455"/>
      <c r="I167" s="417">
        <f t="shared" si="174"/>
        <v>3.499999999999992E-2</v>
      </c>
      <c r="J167" s="417">
        <f t="shared" si="174"/>
        <v>3.2000000000000028E-2</v>
      </c>
      <c r="K167" s="417">
        <f t="shared" si="174"/>
        <v>3.6000000000000032E-2</v>
      </c>
      <c r="L167" s="655"/>
      <c r="M167" s="208"/>
      <c r="N167" s="417"/>
      <c r="O167" s="128"/>
      <c r="P167" s="128"/>
      <c r="Q167" s="128"/>
      <c r="R167" s="208"/>
      <c r="S167" s="13"/>
      <c r="V167" s="474"/>
      <c r="W167" s="208"/>
      <c r="X167" s="13"/>
      <c r="AA167" s="474"/>
      <c r="AB167" s="208"/>
      <c r="AF167" s="474"/>
      <c r="AG167" s="208"/>
      <c r="AK167" s="474"/>
      <c r="AL167" s="208"/>
      <c r="AM167" s="208"/>
      <c r="AN167" s="208"/>
    </row>
    <row r="168" spans="1:40">
      <c r="A168" s="744" t="s">
        <v>2077</v>
      </c>
      <c r="B168" s="455"/>
      <c r="C168" s="455"/>
      <c r="D168" s="417"/>
      <c r="E168" s="417"/>
      <c r="F168" s="417"/>
      <c r="G168" s="417"/>
      <c r="H168" s="455"/>
      <c r="I168" s="417">
        <f>I173-I178</f>
        <v>1.0000000000000009E-2</v>
      </c>
      <c r="J168" s="417">
        <f>J173-J178</f>
        <v>1.4000000000000012E-2</v>
      </c>
      <c r="K168" s="417">
        <f>K173-K178</f>
        <v>1.2000000000000011E-2</v>
      </c>
      <c r="L168" s="655"/>
      <c r="M168" s="208"/>
      <c r="N168" s="417"/>
      <c r="O168" s="128"/>
      <c r="P168" s="128"/>
      <c r="Q168" s="128"/>
      <c r="R168" s="208"/>
      <c r="S168" s="13"/>
      <c r="V168" s="474"/>
      <c r="W168" s="208"/>
      <c r="X168" s="13"/>
      <c r="AA168" s="474"/>
      <c r="AB168" s="208"/>
      <c r="AF168" s="474"/>
      <c r="AG168" s="208"/>
      <c r="AK168" s="474"/>
      <c r="AL168" s="208"/>
      <c r="AM168" s="208"/>
      <c r="AN168" s="208"/>
    </row>
    <row r="169" spans="1:40">
      <c r="A169" s="744"/>
      <c r="B169" s="457"/>
      <c r="C169" s="457"/>
      <c r="D169" s="135"/>
      <c r="E169" s="135"/>
      <c r="F169" s="135"/>
      <c r="G169" s="135"/>
      <c r="H169" s="208"/>
      <c r="I169" s="15"/>
      <c r="J169" s="15"/>
      <c r="K169" s="15"/>
      <c r="L169" s="474"/>
      <c r="M169" s="208"/>
      <c r="N169" s="135"/>
      <c r="O169" s="135"/>
      <c r="P169" s="15"/>
      <c r="Q169" s="15"/>
      <c r="R169" s="208"/>
      <c r="S169" s="13"/>
      <c r="V169" s="474"/>
      <c r="W169" s="208"/>
      <c r="X169" s="13"/>
      <c r="AA169" s="474"/>
      <c r="AB169" s="208"/>
      <c r="AF169" s="474"/>
      <c r="AG169" s="208"/>
      <c r="AK169" s="474"/>
      <c r="AL169" s="208"/>
      <c r="AM169" s="208"/>
      <c r="AN169" s="208"/>
    </row>
    <row r="170" spans="1:40">
      <c r="A170" s="747" t="s">
        <v>2132</v>
      </c>
      <c r="B170" s="750"/>
      <c r="C170" s="748"/>
      <c r="D170" s="139"/>
      <c r="E170" s="139"/>
      <c r="F170" s="139"/>
      <c r="G170" s="139"/>
      <c r="H170" s="208"/>
      <c r="I170" s="650"/>
      <c r="J170" s="650"/>
      <c r="K170" s="650"/>
      <c r="L170" s="1984"/>
      <c r="M170" s="208"/>
      <c r="N170" s="139"/>
      <c r="O170" s="139"/>
      <c r="P170" s="650"/>
      <c r="Q170" s="650"/>
      <c r="R170" s="208"/>
      <c r="S170" s="13"/>
      <c r="V170" s="474"/>
      <c r="W170" s="208"/>
      <c r="X170" s="13"/>
      <c r="AA170" s="474"/>
      <c r="AB170" s="208"/>
      <c r="AF170" s="474"/>
      <c r="AG170" s="208"/>
      <c r="AK170" s="474"/>
      <c r="AL170" s="208"/>
      <c r="AM170" s="208"/>
      <c r="AN170" s="208"/>
    </row>
    <row r="171" spans="1:40" s="726" customFormat="1">
      <c r="A171" s="751" t="s">
        <v>2086</v>
      </c>
      <c r="B171" s="752"/>
      <c r="C171" s="752"/>
      <c r="D171" s="598">
        <f t="shared" ref="D171:F173" si="175">I176</f>
        <v>76.850618458610853</v>
      </c>
      <c r="E171" s="598">
        <f t="shared" si="175"/>
        <v>90.323193916349808</v>
      </c>
      <c r="F171" s="598">
        <f t="shared" si="175"/>
        <v>90.218631178707213</v>
      </c>
      <c r="G171" s="229"/>
      <c r="H171" s="760"/>
      <c r="I171" s="560">
        <v>80.77</v>
      </c>
      <c r="J171" s="560">
        <v>95.02</v>
      </c>
      <c r="K171" s="560">
        <v>94.91</v>
      </c>
      <c r="L171" s="1985"/>
      <c r="M171" s="724"/>
      <c r="N171" s="762"/>
      <c r="O171" s="2361"/>
      <c r="P171" s="725"/>
      <c r="Q171" s="725"/>
      <c r="R171" s="724"/>
      <c r="S171" s="2383"/>
      <c r="T171" s="1657"/>
      <c r="U171" s="1657"/>
      <c r="V171" s="1658"/>
      <c r="W171" s="724"/>
      <c r="X171" s="2383"/>
      <c r="Y171" s="1657"/>
      <c r="Z171" s="1657"/>
      <c r="AA171" s="1658"/>
      <c r="AB171" s="724"/>
      <c r="AC171" s="1657"/>
      <c r="AD171" s="1657"/>
      <c r="AE171" s="1657"/>
      <c r="AF171" s="1658"/>
      <c r="AG171" s="724"/>
      <c r="AH171" s="1657"/>
      <c r="AI171" s="1657"/>
      <c r="AJ171" s="1657"/>
      <c r="AK171" s="1658"/>
      <c r="AL171" s="724"/>
      <c r="AM171" s="724"/>
      <c r="AN171" s="724"/>
    </row>
    <row r="172" spans="1:40" s="14" customFormat="1">
      <c r="A172" s="753" t="s">
        <v>45</v>
      </c>
      <c r="B172" s="755"/>
      <c r="C172" s="755"/>
      <c r="D172" s="650">
        <f t="shared" si="175"/>
        <v>115.71014492753625</v>
      </c>
      <c r="E172" s="650">
        <f t="shared" si="175"/>
        <v>120.05813953488372</v>
      </c>
      <c r="F172" s="650">
        <f t="shared" si="175"/>
        <v>120.15444015444015</v>
      </c>
      <c r="G172" s="754"/>
      <c r="H172" s="761"/>
      <c r="I172" s="561">
        <v>119.76</v>
      </c>
      <c r="J172" s="561">
        <v>123.9</v>
      </c>
      <c r="K172" s="561">
        <v>124.48</v>
      </c>
      <c r="L172" s="1986"/>
      <c r="M172" s="728"/>
      <c r="N172" s="749"/>
      <c r="O172" s="754"/>
      <c r="P172" s="727"/>
      <c r="Q172" s="727"/>
      <c r="R172" s="728"/>
      <c r="S172" s="2384"/>
      <c r="T172" s="1929"/>
      <c r="U172" s="1929"/>
      <c r="V172" s="2385"/>
      <c r="W172" s="728"/>
      <c r="X172" s="2384"/>
      <c r="Y172" s="1929"/>
      <c r="Z172" s="1929"/>
      <c r="AA172" s="2385"/>
      <c r="AB172" s="728"/>
      <c r="AC172" s="1929"/>
      <c r="AD172" s="1929"/>
      <c r="AE172" s="1929"/>
      <c r="AF172" s="2385"/>
      <c r="AG172" s="728"/>
      <c r="AH172" s="1929"/>
      <c r="AI172" s="1929"/>
      <c r="AJ172" s="1929"/>
      <c r="AK172" s="2385"/>
      <c r="AL172" s="728"/>
      <c r="AM172" s="728"/>
      <c r="AN172" s="728"/>
    </row>
    <row r="173" spans="1:40" s="256" customFormat="1">
      <c r="A173" s="756" t="s">
        <v>2077</v>
      </c>
      <c r="B173" s="758"/>
      <c r="C173" s="758"/>
      <c r="D173" s="611">
        <f t="shared" si="175"/>
        <v>0.66400000000000003</v>
      </c>
      <c r="E173" s="611">
        <f t="shared" si="175"/>
        <v>0.753</v>
      </c>
      <c r="F173" s="611">
        <f t="shared" si="175"/>
        <v>0.75</v>
      </c>
      <c r="G173" s="757"/>
      <c r="H173" s="556"/>
      <c r="I173" s="757">
        <v>0.67400000000000004</v>
      </c>
      <c r="J173" s="757">
        <v>0.76700000000000002</v>
      </c>
      <c r="K173" s="757">
        <v>0.76200000000000001</v>
      </c>
      <c r="L173" s="1987"/>
      <c r="M173" s="567"/>
      <c r="N173" s="757"/>
      <c r="O173" s="757"/>
      <c r="P173" s="703"/>
      <c r="Q173" s="703"/>
      <c r="R173" s="567"/>
      <c r="S173" s="2386"/>
      <c r="T173" s="2214"/>
      <c r="U173" s="2214"/>
      <c r="V173" s="2387"/>
      <c r="W173" s="702"/>
      <c r="X173" s="1598"/>
      <c r="Y173" s="701"/>
      <c r="Z173" s="701"/>
      <c r="AA173" s="1599"/>
      <c r="AB173" s="702"/>
      <c r="AC173" s="701"/>
      <c r="AD173" s="701"/>
      <c r="AE173" s="701"/>
      <c r="AF173" s="1599"/>
      <c r="AG173" s="702"/>
      <c r="AH173" s="701"/>
      <c r="AI173" s="701"/>
      <c r="AJ173" s="701"/>
      <c r="AK173" s="1599"/>
      <c r="AL173" s="702"/>
      <c r="AM173" s="702"/>
      <c r="AN173" s="702"/>
    </row>
    <row r="174" spans="1:40">
      <c r="A174" s="744"/>
      <c r="B174" s="457"/>
      <c r="C174" s="457"/>
      <c r="D174" s="558"/>
      <c r="E174" s="558"/>
      <c r="F174" s="558"/>
      <c r="G174" s="558"/>
      <c r="H174" s="563"/>
      <c r="I174" s="558"/>
      <c r="J174" s="503"/>
      <c r="K174" s="503"/>
      <c r="L174" s="1131"/>
      <c r="M174" s="563"/>
      <c r="N174" s="558"/>
      <c r="O174" s="558"/>
      <c r="P174" s="503"/>
      <c r="Q174" s="503"/>
      <c r="R174" s="563"/>
      <c r="S174" s="2382"/>
      <c r="T174" s="503"/>
      <c r="U174" s="503"/>
      <c r="V174" s="1131"/>
      <c r="W174" s="208"/>
      <c r="X174" s="13"/>
      <c r="AA174" s="474"/>
      <c r="AB174" s="208"/>
      <c r="AF174" s="474"/>
      <c r="AG174" s="208"/>
      <c r="AK174" s="474"/>
      <c r="AL174" s="208"/>
      <c r="AM174" s="208"/>
      <c r="AN174" s="208"/>
    </row>
    <row r="175" spans="1:40">
      <c r="A175" s="747" t="s">
        <v>2133</v>
      </c>
      <c r="B175" s="457"/>
      <c r="C175" s="457"/>
      <c r="D175" s="558"/>
      <c r="E175" s="558"/>
      <c r="F175" s="558"/>
      <c r="G175" s="558"/>
      <c r="H175" s="563"/>
      <c r="I175" s="558"/>
      <c r="J175" s="503"/>
      <c r="K175" s="503"/>
      <c r="L175" s="1131"/>
      <c r="M175" s="563"/>
      <c r="N175" s="558"/>
      <c r="O175" s="558"/>
      <c r="P175" s="503"/>
      <c r="Q175" s="503"/>
      <c r="R175" s="563"/>
      <c r="S175" s="2382"/>
      <c r="T175" s="503"/>
      <c r="U175" s="503"/>
      <c r="V175" s="1131"/>
      <c r="W175" s="208"/>
      <c r="X175" s="13"/>
      <c r="AA175" s="474"/>
      <c r="AB175" s="208"/>
      <c r="AF175" s="474"/>
      <c r="AG175" s="208"/>
      <c r="AK175" s="474"/>
      <c r="AL175" s="208"/>
      <c r="AM175" s="208"/>
      <c r="AN175" s="208"/>
    </row>
    <row r="176" spans="1:40" s="726" customFormat="1">
      <c r="A176" s="751" t="s">
        <v>2086</v>
      </c>
      <c r="B176" s="752"/>
      <c r="C176" s="752"/>
      <c r="D176" s="229"/>
      <c r="E176" s="229"/>
      <c r="F176" s="229"/>
      <c r="G176" s="229"/>
      <c r="H176" s="760"/>
      <c r="I176" s="598">
        <f>I171/(1+0.051)</f>
        <v>76.850618458610853</v>
      </c>
      <c r="J176" s="598">
        <f>J171/(1+0.052)</f>
        <v>90.323193916349808</v>
      </c>
      <c r="K176" s="598">
        <f>K171/(1+0.052)</f>
        <v>90.218631178707213</v>
      </c>
      <c r="L176" s="1351"/>
      <c r="M176" s="724"/>
      <c r="N176" s="1130"/>
      <c r="O176" s="2361"/>
      <c r="P176" s="725"/>
      <c r="Q176" s="725"/>
      <c r="R176" s="724"/>
      <c r="S176" s="2383"/>
      <c r="T176" s="1657"/>
      <c r="U176" s="1657"/>
      <c r="V176" s="1658"/>
      <c r="W176" s="724"/>
      <c r="X176" s="2383"/>
      <c r="Y176" s="1657"/>
      <c r="Z176" s="1657"/>
      <c r="AA176" s="1658"/>
      <c r="AB176" s="724"/>
      <c r="AC176" s="1657"/>
      <c r="AD176" s="1657"/>
      <c r="AE176" s="1657"/>
      <c r="AF176" s="1658"/>
      <c r="AG176" s="724"/>
      <c r="AH176" s="1657"/>
      <c r="AI176" s="1657"/>
      <c r="AJ176" s="1657"/>
      <c r="AK176" s="1658"/>
      <c r="AL176" s="724"/>
      <c r="AM176" s="724"/>
      <c r="AN176" s="724"/>
    </row>
    <row r="177" spans="1:40" s="14" customFormat="1">
      <c r="A177" s="753" t="s">
        <v>45</v>
      </c>
      <c r="B177" s="755"/>
      <c r="C177" s="755"/>
      <c r="D177" s="754"/>
      <c r="E177" s="754"/>
      <c r="F177" s="754"/>
      <c r="G177" s="754"/>
      <c r="H177" s="761"/>
      <c r="I177" s="650">
        <f>I172/(1+0.035)</f>
        <v>115.71014492753625</v>
      </c>
      <c r="J177" s="650">
        <f>J172/(1+0.032)</f>
        <v>120.05813953488372</v>
      </c>
      <c r="K177" s="650">
        <f>K172/(1+0.036)</f>
        <v>120.15444015444015</v>
      </c>
      <c r="L177" s="692"/>
      <c r="M177" s="728"/>
      <c r="N177" s="139"/>
      <c r="O177" s="754"/>
      <c r="P177" s="727"/>
      <c r="Q177" s="727"/>
      <c r="R177" s="728"/>
      <c r="S177" s="2384"/>
      <c r="T177" s="1929"/>
      <c r="U177" s="1929"/>
      <c r="V177" s="2385"/>
      <c r="W177" s="728"/>
      <c r="X177" s="2384"/>
      <c r="Y177" s="1929"/>
      <c r="Z177" s="1929"/>
      <c r="AA177" s="2385"/>
      <c r="AB177" s="728"/>
      <c r="AC177" s="1929"/>
      <c r="AD177" s="1929"/>
      <c r="AE177" s="1929"/>
      <c r="AF177" s="2385"/>
      <c r="AG177" s="728"/>
      <c r="AH177" s="1929"/>
      <c r="AI177" s="1929"/>
      <c r="AJ177" s="1929"/>
      <c r="AK177" s="2385"/>
      <c r="AL177" s="728"/>
      <c r="AM177" s="728"/>
      <c r="AN177" s="728"/>
    </row>
    <row r="178" spans="1:40" s="256" customFormat="1">
      <c r="A178" s="756" t="s">
        <v>2077</v>
      </c>
      <c r="B178" s="758"/>
      <c r="C178" s="758"/>
      <c r="D178" s="757"/>
      <c r="E178" s="757"/>
      <c r="F178" s="757"/>
      <c r="G178" s="757"/>
      <c r="H178" s="556"/>
      <c r="I178" s="611">
        <f>I173-0.01</f>
        <v>0.66400000000000003</v>
      </c>
      <c r="J178" s="611">
        <f>J173-0.014</f>
        <v>0.753</v>
      </c>
      <c r="K178" s="611">
        <f>K173-0.012</f>
        <v>0.75</v>
      </c>
      <c r="L178" s="690"/>
      <c r="M178" s="567"/>
      <c r="N178" s="611"/>
      <c r="O178" s="703"/>
      <c r="P178" s="703"/>
      <c r="Q178" s="703"/>
      <c r="R178" s="567"/>
      <c r="S178" s="2386"/>
      <c r="T178" s="2214"/>
      <c r="U178" s="2214"/>
      <c r="V178" s="2387"/>
      <c r="W178" s="702"/>
      <c r="X178" s="1598"/>
      <c r="Y178" s="701"/>
      <c r="Z178" s="701"/>
      <c r="AA178" s="1599"/>
      <c r="AB178" s="702"/>
      <c r="AC178" s="701"/>
      <c r="AD178" s="701"/>
      <c r="AE178" s="701"/>
      <c r="AF178" s="1599"/>
      <c r="AG178" s="702"/>
      <c r="AH178" s="701"/>
      <c r="AI178" s="701"/>
      <c r="AJ178" s="701"/>
      <c r="AK178" s="1599"/>
      <c r="AL178" s="702"/>
      <c r="AM178" s="702"/>
      <c r="AN178" s="702"/>
    </row>
    <row r="179" spans="1:40">
      <c r="A179" s="557"/>
      <c r="B179" s="563"/>
      <c r="C179" s="563"/>
      <c r="D179" s="15"/>
      <c r="E179" s="15"/>
      <c r="F179" s="15"/>
      <c r="G179" s="15"/>
      <c r="H179" s="208"/>
      <c r="I179" s="15"/>
      <c r="J179" s="15"/>
      <c r="K179" s="15"/>
      <c r="L179" s="15"/>
      <c r="M179" s="208"/>
      <c r="N179" s="15"/>
      <c r="O179" s="15"/>
      <c r="P179" s="15"/>
      <c r="Q179" s="15"/>
      <c r="R179" s="208"/>
      <c r="S179" s="13"/>
      <c r="V179" s="474"/>
      <c r="W179" s="208"/>
      <c r="X179" s="13"/>
      <c r="AA179" s="474"/>
      <c r="AB179" s="208"/>
      <c r="AF179" s="474"/>
      <c r="AG179" s="208"/>
      <c r="AK179" s="474"/>
      <c r="AL179" s="208"/>
      <c r="AM179" s="208"/>
      <c r="AN179" s="208"/>
    </row>
    <row r="180" spans="1:40">
      <c r="A180" s="557"/>
      <c r="B180" s="563"/>
      <c r="C180" s="563"/>
      <c r="D180" s="15"/>
      <c r="E180" s="15"/>
      <c r="F180" s="15"/>
      <c r="G180" s="15"/>
      <c r="H180" s="208"/>
      <c r="I180" s="15"/>
      <c r="J180" s="15"/>
      <c r="K180" s="15"/>
      <c r="L180" s="15"/>
      <c r="M180" s="208"/>
      <c r="N180" s="15"/>
      <c r="O180" s="15"/>
      <c r="P180" s="15"/>
      <c r="Q180" s="15"/>
      <c r="R180" s="208"/>
      <c r="S180" s="13"/>
      <c r="V180" s="474"/>
      <c r="W180" s="208"/>
      <c r="X180" s="13"/>
      <c r="AA180" s="474"/>
      <c r="AB180" s="208"/>
      <c r="AF180" s="474"/>
      <c r="AG180" s="208"/>
      <c r="AK180" s="474"/>
      <c r="AL180" s="208"/>
      <c r="AM180" s="208"/>
      <c r="AN180" s="208"/>
    </row>
    <row r="181" spans="1:40">
      <c r="A181" s="202" t="s">
        <v>2171</v>
      </c>
      <c r="B181" s="564"/>
      <c r="C181" s="564"/>
      <c r="D181" s="470"/>
      <c r="E181" s="470"/>
      <c r="F181" s="470"/>
      <c r="G181" s="470"/>
      <c r="H181" s="553"/>
      <c r="I181" s="470"/>
      <c r="J181" s="470"/>
      <c r="K181" s="470"/>
      <c r="L181" s="470"/>
      <c r="M181" s="553"/>
      <c r="N181" s="470"/>
      <c r="O181" s="470"/>
      <c r="P181" s="470"/>
      <c r="Q181" s="470"/>
      <c r="R181" s="553"/>
      <c r="S181" s="2380"/>
      <c r="T181" s="470"/>
      <c r="U181" s="470"/>
      <c r="V181" s="785"/>
      <c r="W181" s="553"/>
      <c r="X181" s="2380"/>
      <c r="Y181" s="470"/>
      <c r="Z181" s="470"/>
      <c r="AA181" s="785"/>
      <c r="AB181" s="553"/>
      <c r="AC181" s="470"/>
      <c r="AD181" s="470"/>
      <c r="AE181" s="470"/>
      <c r="AF181" s="785"/>
      <c r="AG181" s="553"/>
      <c r="AH181" s="470"/>
      <c r="AI181" s="470"/>
      <c r="AJ181" s="470"/>
      <c r="AK181" s="785"/>
      <c r="AL181" s="553"/>
      <c r="AM181" s="553"/>
      <c r="AN181" s="553"/>
    </row>
    <row r="182" spans="1:40">
      <c r="A182" s="744" t="s">
        <v>2086</v>
      </c>
      <c r="B182" s="455"/>
      <c r="C182" s="745"/>
      <c r="D182" s="417"/>
      <c r="E182" s="417"/>
      <c r="F182" s="417"/>
      <c r="G182" s="417"/>
      <c r="H182" s="745"/>
      <c r="I182" s="417">
        <f t="shared" ref="I182:K183" si="176">+I187/I192-1</f>
        <v>4.8999999999999932E-2</v>
      </c>
      <c r="J182" s="417">
        <f t="shared" si="176"/>
        <v>5.0999999999999934E-2</v>
      </c>
      <c r="K182" s="417">
        <f t="shared" si="176"/>
        <v>5.0000000000000044E-2</v>
      </c>
      <c r="L182" s="1983"/>
      <c r="M182" s="226"/>
      <c r="N182" s="417"/>
      <c r="O182" s="417"/>
      <c r="P182" s="417"/>
      <c r="Q182" s="417"/>
      <c r="R182" s="226"/>
      <c r="S182" s="646"/>
      <c r="T182" s="128"/>
      <c r="U182" s="128"/>
      <c r="V182" s="786"/>
      <c r="W182" s="226"/>
      <c r="X182" s="646"/>
      <c r="Y182" s="128"/>
      <c r="Z182" s="128"/>
      <c r="AA182" s="786"/>
      <c r="AB182" s="226"/>
      <c r="AC182" s="128"/>
      <c r="AD182" s="128"/>
      <c r="AE182" s="128"/>
      <c r="AF182" s="786"/>
      <c r="AG182" s="226"/>
      <c r="AH182" s="128"/>
      <c r="AI182" s="128"/>
      <c r="AJ182" s="128"/>
      <c r="AK182" s="786"/>
      <c r="AL182" s="226"/>
      <c r="AM182" s="226"/>
      <c r="AN182" s="226"/>
    </row>
    <row r="183" spans="1:40">
      <c r="A183" s="744" t="s">
        <v>45</v>
      </c>
      <c r="B183" s="455"/>
      <c r="C183" s="455"/>
      <c r="D183" s="417"/>
      <c r="E183" s="417"/>
      <c r="F183" s="417"/>
      <c r="G183" s="417"/>
      <c r="H183" s="455"/>
      <c r="I183" s="417">
        <f t="shared" si="176"/>
        <v>3.6000000000000032E-2</v>
      </c>
      <c r="J183" s="417">
        <f t="shared" si="176"/>
        <v>3.2999999999999918E-2</v>
      </c>
      <c r="K183" s="417">
        <f t="shared" si="176"/>
        <v>3.499999999999992E-2</v>
      </c>
      <c r="L183" s="655"/>
      <c r="M183" s="208"/>
      <c r="N183" s="128"/>
      <c r="O183" s="128"/>
      <c r="P183" s="128"/>
      <c r="Q183" s="128"/>
      <c r="R183" s="208"/>
      <c r="S183" s="13"/>
      <c r="V183" s="474"/>
      <c r="W183" s="208"/>
      <c r="X183" s="13"/>
      <c r="AA183" s="474"/>
      <c r="AB183" s="208"/>
      <c r="AF183" s="474"/>
      <c r="AG183" s="208"/>
      <c r="AK183" s="474"/>
      <c r="AL183" s="208"/>
      <c r="AM183" s="208"/>
      <c r="AN183" s="208"/>
    </row>
    <row r="184" spans="1:40">
      <c r="A184" s="744" t="s">
        <v>2077</v>
      </c>
      <c r="B184" s="455"/>
      <c r="C184" s="455"/>
      <c r="D184" s="417"/>
      <c r="E184" s="417"/>
      <c r="F184" s="417"/>
      <c r="G184" s="417"/>
      <c r="H184" s="455"/>
      <c r="I184" s="417">
        <f>I189-I194</f>
        <v>8.0000000000000071E-3</v>
      </c>
      <c r="J184" s="417">
        <f>J189-J194</f>
        <v>1.3000000000000012E-2</v>
      </c>
      <c r="K184" s="417">
        <f>K189-K194</f>
        <v>1.100000000000001E-2</v>
      </c>
      <c r="L184" s="655"/>
      <c r="M184" s="208"/>
      <c r="N184" s="128"/>
      <c r="O184" s="128"/>
      <c r="P184" s="128"/>
      <c r="Q184" s="128"/>
      <c r="R184" s="208"/>
      <c r="S184" s="13"/>
      <c r="V184" s="474"/>
      <c r="W184" s="208"/>
      <c r="X184" s="13"/>
      <c r="AA184" s="474"/>
      <c r="AB184" s="208"/>
      <c r="AF184" s="474"/>
      <c r="AG184" s="208"/>
      <c r="AK184" s="474"/>
      <c r="AL184" s="208"/>
      <c r="AM184" s="208"/>
      <c r="AN184" s="208"/>
    </row>
    <row r="185" spans="1:40">
      <c r="A185" s="744"/>
      <c r="B185" s="457"/>
      <c r="C185" s="457"/>
      <c r="D185" s="135"/>
      <c r="E185" s="135"/>
      <c r="F185" s="135"/>
      <c r="G185" s="135"/>
      <c r="H185" s="208"/>
      <c r="I185" s="15"/>
      <c r="J185" s="15"/>
      <c r="K185" s="15"/>
      <c r="L185" s="474"/>
      <c r="M185" s="208"/>
      <c r="N185" s="15"/>
      <c r="O185" s="15"/>
      <c r="P185" s="15"/>
      <c r="Q185" s="15"/>
      <c r="R185" s="208"/>
      <c r="S185" s="13"/>
      <c r="V185" s="474"/>
      <c r="W185" s="208"/>
      <c r="X185" s="13"/>
      <c r="AA185" s="474"/>
      <c r="AB185" s="208"/>
      <c r="AF185" s="474"/>
      <c r="AG185" s="208"/>
      <c r="AK185" s="474"/>
      <c r="AL185" s="208"/>
      <c r="AM185" s="208"/>
      <c r="AN185" s="208"/>
    </row>
    <row r="186" spans="1:40">
      <c r="A186" s="747" t="s">
        <v>2132</v>
      </c>
      <c r="B186" s="750"/>
      <c r="C186" s="748"/>
      <c r="D186" s="139"/>
      <c r="E186" s="139"/>
      <c r="F186" s="139"/>
      <c r="G186" s="139"/>
      <c r="H186" s="208"/>
      <c r="I186" s="650"/>
      <c r="J186" s="650"/>
      <c r="K186" s="650"/>
      <c r="L186" s="1984"/>
      <c r="M186" s="208"/>
      <c r="N186" s="139"/>
      <c r="O186" s="139"/>
      <c r="P186" s="139"/>
      <c r="Q186" s="650"/>
      <c r="R186" s="208"/>
      <c r="S186" s="13"/>
      <c r="V186" s="474"/>
      <c r="W186" s="208"/>
      <c r="X186" s="13"/>
      <c r="AA186" s="474"/>
      <c r="AB186" s="208"/>
      <c r="AF186" s="474"/>
      <c r="AG186" s="208"/>
      <c r="AK186" s="474"/>
      <c r="AL186" s="208"/>
      <c r="AM186" s="208"/>
      <c r="AN186" s="208"/>
    </row>
    <row r="187" spans="1:40" s="726" customFormat="1">
      <c r="A187" s="751" t="s">
        <v>2086</v>
      </c>
      <c r="B187" s="752"/>
      <c r="C187" s="752"/>
      <c r="D187" s="598">
        <f t="shared" ref="D187:F189" si="177">I192</f>
        <v>76.796949475691136</v>
      </c>
      <c r="E187" s="598">
        <f t="shared" si="177"/>
        <v>90.294957183634651</v>
      </c>
      <c r="F187" s="598">
        <f t="shared" si="177"/>
        <v>89.771428571428572</v>
      </c>
      <c r="G187" s="229"/>
      <c r="H187" s="760"/>
      <c r="I187" s="560">
        <v>80.56</v>
      </c>
      <c r="J187" s="560">
        <v>94.9</v>
      </c>
      <c r="K187" s="560">
        <v>94.26</v>
      </c>
      <c r="L187" s="1985"/>
      <c r="M187" s="724"/>
      <c r="N187" s="2361"/>
      <c r="O187" s="2361"/>
      <c r="P187" s="2361"/>
      <c r="Q187" s="725"/>
      <c r="R187" s="724"/>
      <c r="S187" s="2383"/>
      <c r="T187" s="1657"/>
      <c r="U187" s="1657"/>
      <c r="V187" s="1658"/>
      <c r="W187" s="724"/>
      <c r="X187" s="2383"/>
      <c r="Y187" s="1657"/>
      <c r="Z187" s="1657"/>
      <c r="AA187" s="1658"/>
      <c r="AB187" s="724"/>
      <c r="AC187" s="1657"/>
      <c r="AD187" s="1657"/>
      <c r="AE187" s="1657"/>
      <c r="AF187" s="1658"/>
      <c r="AG187" s="724"/>
      <c r="AH187" s="1657"/>
      <c r="AI187" s="1657"/>
      <c r="AJ187" s="1657"/>
      <c r="AK187" s="1658"/>
      <c r="AL187" s="724"/>
      <c r="AM187" s="724"/>
      <c r="AN187" s="724"/>
    </row>
    <row r="188" spans="1:40" s="14" customFormat="1">
      <c r="A188" s="753" t="s">
        <v>45</v>
      </c>
      <c r="B188" s="755"/>
      <c r="C188" s="755"/>
      <c r="D188" s="650">
        <f t="shared" si="177"/>
        <v>114.94208494208493</v>
      </c>
      <c r="E188" s="650">
        <f t="shared" si="177"/>
        <v>119.42884801548888</v>
      </c>
      <c r="F188" s="650">
        <f t="shared" si="177"/>
        <v>119.61352657004832</v>
      </c>
      <c r="G188" s="754"/>
      <c r="H188" s="761"/>
      <c r="I188" s="561">
        <v>119.08</v>
      </c>
      <c r="J188" s="561">
        <v>123.37</v>
      </c>
      <c r="K188" s="561">
        <v>123.8</v>
      </c>
      <c r="L188" s="1986"/>
      <c r="M188" s="728"/>
      <c r="N188" s="754"/>
      <c r="O188" s="754"/>
      <c r="P188" s="754"/>
      <c r="Q188" s="727"/>
      <c r="R188" s="728"/>
      <c r="S188" s="2384"/>
      <c r="T188" s="1929"/>
      <c r="U188" s="1929"/>
      <c r="V188" s="2385"/>
      <c r="W188" s="728"/>
      <c r="X188" s="2384"/>
      <c r="Y188" s="1929"/>
      <c r="Z188" s="1929"/>
      <c r="AA188" s="2385"/>
      <c r="AB188" s="728"/>
      <c r="AC188" s="1929"/>
      <c r="AD188" s="1929"/>
      <c r="AE188" s="1929"/>
      <c r="AF188" s="2385"/>
      <c r="AG188" s="728"/>
      <c r="AH188" s="1929"/>
      <c r="AI188" s="1929"/>
      <c r="AJ188" s="1929"/>
      <c r="AK188" s="2385"/>
      <c r="AL188" s="728"/>
      <c r="AM188" s="728"/>
      <c r="AN188" s="728"/>
    </row>
    <row r="189" spans="1:40" s="256" customFormat="1">
      <c r="A189" s="756" t="s">
        <v>2077</v>
      </c>
      <c r="B189" s="758"/>
      <c r="C189" s="758"/>
      <c r="D189" s="611">
        <f t="shared" si="177"/>
        <v>0.66800000000000004</v>
      </c>
      <c r="E189" s="611">
        <f t="shared" si="177"/>
        <v>0.75600000000000001</v>
      </c>
      <c r="F189" s="611">
        <f t="shared" si="177"/>
        <v>0.75</v>
      </c>
      <c r="G189" s="757"/>
      <c r="H189" s="556"/>
      <c r="I189" s="757">
        <v>0.67600000000000005</v>
      </c>
      <c r="J189" s="757">
        <v>0.76900000000000002</v>
      </c>
      <c r="K189" s="757">
        <v>0.76100000000000001</v>
      </c>
      <c r="L189" s="1987"/>
      <c r="M189" s="567"/>
      <c r="N189" s="757"/>
      <c r="O189" s="757"/>
      <c r="P189" s="757"/>
      <c r="Q189" s="703"/>
      <c r="R189" s="567"/>
      <c r="S189" s="2386"/>
      <c r="T189" s="2214"/>
      <c r="U189" s="2214"/>
      <c r="V189" s="2387"/>
      <c r="W189" s="702"/>
      <c r="X189" s="1598"/>
      <c r="Y189" s="701"/>
      <c r="Z189" s="701"/>
      <c r="AA189" s="1599"/>
      <c r="AB189" s="702"/>
      <c r="AC189" s="701"/>
      <c r="AD189" s="701"/>
      <c r="AE189" s="701"/>
      <c r="AF189" s="1599"/>
      <c r="AG189" s="702"/>
      <c r="AH189" s="701"/>
      <c r="AI189" s="701"/>
      <c r="AJ189" s="701"/>
      <c r="AK189" s="1599"/>
      <c r="AL189" s="702"/>
      <c r="AM189" s="702"/>
      <c r="AN189" s="702"/>
    </row>
    <row r="190" spans="1:40">
      <c r="A190" s="744"/>
      <c r="B190" s="457"/>
      <c r="C190" s="457"/>
      <c r="D190" s="558"/>
      <c r="E190" s="558"/>
      <c r="F190" s="558"/>
      <c r="G190" s="558"/>
      <c r="H190" s="563"/>
      <c r="I190" s="558"/>
      <c r="J190" s="503"/>
      <c r="K190" s="503"/>
      <c r="L190" s="1131"/>
      <c r="M190" s="563"/>
      <c r="N190" s="558"/>
      <c r="O190" s="558"/>
      <c r="P190" s="558"/>
      <c r="Q190" s="503"/>
      <c r="R190" s="563"/>
      <c r="S190" s="2382"/>
      <c r="T190" s="503"/>
      <c r="U190" s="503"/>
      <c r="V190" s="1131"/>
      <c r="W190" s="208"/>
      <c r="X190" s="13"/>
      <c r="AA190" s="474"/>
      <c r="AB190" s="208"/>
      <c r="AF190" s="474"/>
      <c r="AG190" s="208"/>
      <c r="AK190" s="474"/>
      <c r="AL190" s="208"/>
      <c r="AM190" s="208"/>
      <c r="AN190" s="208"/>
    </row>
    <row r="191" spans="1:40">
      <c r="A191" s="747" t="s">
        <v>2133</v>
      </c>
      <c r="B191" s="457"/>
      <c r="C191" s="457"/>
      <c r="D191" s="558"/>
      <c r="E191" s="558"/>
      <c r="F191" s="558"/>
      <c r="G191" s="558"/>
      <c r="H191" s="563"/>
      <c r="I191" s="558"/>
      <c r="J191" s="503"/>
      <c r="K191" s="503"/>
      <c r="L191" s="1131"/>
      <c r="M191" s="563"/>
      <c r="N191" s="558"/>
      <c r="O191" s="558"/>
      <c r="P191" s="558"/>
      <c r="Q191" s="503"/>
      <c r="R191" s="563"/>
      <c r="S191" s="2382"/>
      <c r="T191" s="503"/>
      <c r="U191" s="503"/>
      <c r="V191" s="1131"/>
      <c r="W191" s="208"/>
      <c r="X191" s="13"/>
      <c r="AA191" s="474"/>
      <c r="AB191" s="208"/>
      <c r="AF191" s="474"/>
      <c r="AG191" s="208"/>
      <c r="AK191" s="474"/>
      <c r="AL191" s="208"/>
      <c r="AM191" s="208"/>
      <c r="AN191" s="208"/>
    </row>
    <row r="192" spans="1:40" s="726" customFormat="1">
      <c r="A192" s="751" t="s">
        <v>2086</v>
      </c>
      <c r="B192" s="752"/>
      <c r="C192" s="752"/>
      <c r="D192" s="229"/>
      <c r="E192" s="229"/>
      <c r="F192" s="229"/>
      <c r="G192" s="229"/>
      <c r="H192" s="760"/>
      <c r="I192" s="598">
        <f>I187/(1+0.049)</f>
        <v>76.796949475691136</v>
      </c>
      <c r="J192" s="598">
        <f>J187/(1+0.051)</f>
        <v>90.294957183634651</v>
      </c>
      <c r="K192" s="598">
        <f>K187/(1+0.05)</f>
        <v>89.771428571428572</v>
      </c>
      <c r="L192" s="1351"/>
      <c r="M192" s="724"/>
      <c r="N192" s="2361"/>
      <c r="O192" s="2361"/>
      <c r="P192" s="2361"/>
      <c r="Q192" s="725"/>
      <c r="R192" s="724"/>
      <c r="S192" s="2383"/>
      <c r="T192" s="1657"/>
      <c r="U192" s="1657"/>
      <c r="V192" s="1658"/>
      <c r="W192" s="724"/>
      <c r="X192" s="2383"/>
      <c r="Y192" s="1657"/>
      <c r="Z192" s="1657"/>
      <c r="AA192" s="1658"/>
      <c r="AB192" s="724"/>
      <c r="AC192" s="1657"/>
      <c r="AD192" s="1657"/>
      <c r="AE192" s="1657"/>
      <c r="AF192" s="1658"/>
      <c r="AG192" s="724"/>
      <c r="AH192" s="1657"/>
      <c r="AI192" s="1657"/>
      <c r="AJ192" s="1657"/>
      <c r="AK192" s="1658"/>
      <c r="AL192" s="724"/>
      <c r="AM192" s="724"/>
      <c r="AN192" s="724"/>
    </row>
    <row r="193" spans="1:40" s="14" customFormat="1">
      <c r="A193" s="753" t="s">
        <v>45</v>
      </c>
      <c r="B193" s="755"/>
      <c r="C193" s="755"/>
      <c r="D193" s="754"/>
      <c r="E193" s="754"/>
      <c r="F193" s="754"/>
      <c r="G193" s="754"/>
      <c r="H193" s="761"/>
      <c r="I193" s="650">
        <f>I188/(1+0.036)</f>
        <v>114.94208494208493</v>
      </c>
      <c r="J193" s="650">
        <f>J188/(1+0.033)</f>
        <v>119.42884801548888</v>
      </c>
      <c r="K193" s="650">
        <f>K188/(1+0.035)</f>
        <v>119.61352657004832</v>
      </c>
      <c r="L193" s="692"/>
      <c r="M193" s="728"/>
      <c r="N193" s="754"/>
      <c r="O193" s="754"/>
      <c r="P193" s="754"/>
      <c r="Q193" s="727"/>
      <c r="R193" s="728"/>
      <c r="S193" s="2384"/>
      <c r="T193" s="1929"/>
      <c r="U193" s="1929"/>
      <c r="V193" s="2385"/>
      <c r="W193" s="728"/>
      <c r="X193" s="2384"/>
      <c r="Y193" s="1929"/>
      <c r="Z193" s="1929"/>
      <c r="AA193" s="2385"/>
      <c r="AB193" s="728"/>
      <c r="AC193" s="1929"/>
      <c r="AD193" s="1929"/>
      <c r="AE193" s="1929"/>
      <c r="AF193" s="2385"/>
      <c r="AG193" s="728"/>
      <c r="AH193" s="1929"/>
      <c r="AI193" s="1929"/>
      <c r="AJ193" s="1929"/>
      <c r="AK193" s="2385"/>
      <c r="AL193" s="728"/>
      <c r="AM193" s="728"/>
      <c r="AN193" s="728"/>
    </row>
    <row r="194" spans="1:40" s="256" customFormat="1">
      <c r="A194" s="756" t="s">
        <v>2077</v>
      </c>
      <c r="B194" s="758"/>
      <c r="C194" s="758"/>
      <c r="D194" s="757"/>
      <c r="E194" s="757"/>
      <c r="F194" s="757"/>
      <c r="G194" s="757"/>
      <c r="H194" s="556"/>
      <c r="I194" s="611">
        <f>I189-0.008</f>
        <v>0.66800000000000004</v>
      </c>
      <c r="J194" s="611">
        <f>J189-0.013</f>
        <v>0.75600000000000001</v>
      </c>
      <c r="K194" s="611">
        <f>K189-0.011</f>
        <v>0.75</v>
      </c>
      <c r="L194" s="690"/>
      <c r="M194" s="567"/>
      <c r="N194" s="757"/>
      <c r="O194" s="757"/>
      <c r="P194" s="757"/>
      <c r="Q194" s="703"/>
      <c r="R194" s="567"/>
      <c r="S194" s="2386"/>
      <c r="T194" s="2214"/>
      <c r="U194" s="2214"/>
      <c r="V194" s="2387"/>
      <c r="W194" s="702"/>
      <c r="X194" s="1598"/>
      <c r="Y194" s="701"/>
      <c r="Z194" s="701"/>
      <c r="AA194" s="1599"/>
      <c r="AB194" s="702"/>
      <c r="AC194" s="701"/>
      <c r="AD194" s="701"/>
      <c r="AE194" s="701"/>
      <c r="AF194" s="1599"/>
      <c r="AG194" s="702"/>
      <c r="AH194" s="701"/>
      <c r="AI194" s="701"/>
      <c r="AJ194" s="701"/>
      <c r="AK194" s="1599"/>
      <c r="AL194" s="702"/>
      <c r="AM194" s="702"/>
      <c r="AN194" s="702"/>
    </row>
    <row r="195" spans="1:40">
      <c r="A195" s="557"/>
      <c r="B195" s="245"/>
      <c r="C195" s="245"/>
      <c r="D195" s="15"/>
      <c r="E195" s="15"/>
      <c r="F195" s="15"/>
      <c r="G195" s="15"/>
      <c r="H195" s="208"/>
      <c r="I195" s="15"/>
      <c r="J195" s="15"/>
      <c r="K195" s="15"/>
      <c r="L195" s="562"/>
      <c r="M195" s="245"/>
      <c r="N195" s="763"/>
      <c r="O195" s="763"/>
      <c r="P195" s="763"/>
      <c r="Q195" s="562"/>
      <c r="R195" s="245"/>
      <c r="S195" s="1048"/>
      <c r="T195" s="247"/>
      <c r="U195" s="247"/>
      <c r="V195" s="582"/>
      <c r="W195" s="208"/>
      <c r="X195" s="13"/>
      <c r="AA195" s="474"/>
      <c r="AB195" s="208"/>
      <c r="AF195" s="474"/>
      <c r="AG195" s="208"/>
      <c r="AK195" s="474"/>
      <c r="AL195" s="208"/>
      <c r="AM195" s="208"/>
      <c r="AN195" s="208"/>
    </row>
    <row r="196" spans="1:40">
      <c r="A196" s="13"/>
      <c r="B196" s="563"/>
      <c r="C196" s="563"/>
      <c r="D196" s="15"/>
      <c r="E196" s="15"/>
      <c r="F196" s="15"/>
      <c r="G196" s="15"/>
      <c r="H196" s="208"/>
      <c r="I196" s="15"/>
      <c r="J196" s="15"/>
      <c r="K196" s="15"/>
      <c r="L196" s="15"/>
      <c r="M196" s="208"/>
      <c r="N196" s="135"/>
      <c r="O196" s="135"/>
      <c r="P196" s="135"/>
      <c r="Q196" s="15"/>
      <c r="R196" s="208"/>
      <c r="S196" s="13"/>
      <c r="V196" s="474"/>
      <c r="W196" s="208"/>
      <c r="X196" s="13"/>
      <c r="AA196" s="474"/>
      <c r="AB196" s="208"/>
      <c r="AF196" s="474"/>
      <c r="AG196" s="208"/>
      <c r="AK196" s="474"/>
      <c r="AL196" s="208"/>
      <c r="AM196" s="208"/>
      <c r="AN196" s="208"/>
    </row>
    <row r="197" spans="1:40">
      <c r="A197" s="202" t="s">
        <v>16</v>
      </c>
      <c r="B197" s="564"/>
      <c r="C197" s="564"/>
      <c r="D197" s="470"/>
      <c r="E197" s="470"/>
      <c r="F197" s="470"/>
      <c r="G197" s="470"/>
      <c r="H197" s="553"/>
      <c r="I197" s="470"/>
      <c r="J197" s="470"/>
      <c r="K197" s="470"/>
      <c r="L197" s="470"/>
      <c r="M197" s="553"/>
      <c r="N197" s="470"/>
      <c r="O197" s="470"/>
      <c r="P197" s="470"/>
      <c r="Q197" s="470"/>
      <c r="R197" s="553"/>
      <c r="S197" s="2380"/>
      <c r="T197" s="470"/>
      <c r="U197" s="470"/>
      <c r="V197" s="785"/>
      <c r="W197" s="553"/>
      <c r="X197" s="2380"/>
      <c r="Y197" s="470"/>
      <c r="Z197" s="470"/>
      <c r="AA197" s="785"/>
      <c r="AB197" s="553"/>
      <c r="AC197" s="470"/>
      <c r="AD197" s="470"/>
      <c r="AE197" s="470"/>
      <c r="AF197" s="785"/>
      <c r="AG197" s="553"/>
      <c r="AH197" s="470"/>
      <c r="AI197" s="470"/>
      <c r="AJ197" s="470"/>
      <c r="AK197" s="785"/>
      <c r="AL197" s="553"/>
      <c r="AM197" s="553"/>
      <c r="AN197" s="553"/>
    </row>
    <row r="198" spans="1:40">
      <c r="A198" s="744" t="s">
        <v>2086</v>
      </c>
      <c r="B198" s="455"/>
      <c r="C198" s="745"/>
      <c r="D198" s="417"/>
      <c r="E198" s="417"/>
      <c r="F198" s="417"/>
      <c r="G198" s="417"/>
      <c r="H198" s="745"/>
      <c r="I198" s="417">
        <f t="shared" ref="I198:K199" si="178">+I203/I208-1</f>
        <v>7.0999999999999952E-2</v>
      </c>
      <c r="J198" s="417">
        <f t="shared" si="178"/>
        <v>6.6000000000000059E-2</v>
      </c>
      <c r="K198" s="417">
        <f t="shared" si="178"/>
        <v>8.2000000000000073E-2</v>
      </c>
      <c r="L198" s="1983"/>
      <c r="M198" s="226"/>
      <c r="N198" s="417"/>
      <c r="O198" s="417"/>
      <c r="P198" s="417"/>
      <c r="Q198" s="417"/>
      <c r="R198" s="226"/>
      <c r="S198" s="646"/>
      <c r="T198" s="128"/>
      <c r="U198" s="128"/>
      <c r="V198" s="786"/>
      <c r="W198" s="226"/>
      <c r="X198" s="646"/>
      <c r="Y198" s="128"/>
      <c r="Z198" s="128"/>
      <c r="AA198" s="786"/>
      <c r="AB198" s="226"/>
      <c r="AC198" s="128"/>
      <c r="AD198" s="128"/>
      <c r="AE198" s="128"/>
      <c r="AF198" s="786"/>
      <c r="AG198" s="226"/>
      <c r="AH198" s="128"/>
      <c r="AI198" s="128"/>
      <c r="AJ198" s="128"/>
      <c r="AK198" s="786"/>
      <c r="AL198" s="226"/>
      <c r="AM198" s="226"/>
      <c r="AN198" s="226"/>
    </row>
    <row r="199" spans="1:40">
      <c r="A199" s="744" t="s">
        <v>45</v>
      </c>
      <c r="B199" s="455"/>
      <c r="C199" s="455"/>
      <c r="D199" s="417"/>
      <c r="E199" s="417"/>
      <c r="F199" s="417"/>
      <c r="G199" s="417"/>
      <c r="H199" s="455"/>
      <c r="I199" s="417">
        <f t="shared" si="178"/>
        <v>1.0999999999999899E-2</v>
      </c>
      <c r="J199" s="417">
        <f t="shared" si="178"/>
        <v>1.8000000000000238E-2</v>
      </c>
      <c r="K199" s="417">
        <f t="shared" si="178"/>
        <v>4.0000000000000036E-2</v>
      </c>
      <c r="L199" s="655"/>
      <c r="M199" s="208"/>
      <c r="N199" s="128"/>
      <c r="O199" s="128"/>
      <c r="P199" s="128"/>
      <c r="Q199" s="128"/>
      <c r="R199" s="208"/>
      <c r="S199" s="13"/>
      <c r="V199" s="474"/>
      <c r="W199" s="208"/>
      <c r="X199" s="13"/>
      <c r="AA199" s="474"/>
      <c r="AB199" s="208"/>
      <c r="AF199" s="474"/>
      <c r="AG199" s="208"/>
      <c r="AK199" s="474"/>
      <c r="AL199" s="208"/>
      <c r="AM199" s="208"/>
      <c r="AN199" s="208"/>
    </row>
    <row r="200" spans="1:40">
      <c r="A200" s="744" t="s">
        <v>2077</v>
      </c>
      <c r="B200" s="455"/>
      <c r="C200" s="455"/>
      <c r="D200" s="417"/>
      <c r="E200" s="417"/>
      <c r="F200" s="417"/>
      <c r="G200" s="417"/>
      <c r="H200" s="455"/>
      <c r="I200" s="417">
        <f>I205-I210</f>
        <v>3.6000000000000032E-2</v>
      </c>
      <c r="J200" s="417">
        <f>J205-J210</f>
        <v>3.3000000000000029E-2</v>
      </c>
      <c r="K200" s="417">
        <f>K205-K210</f>
        <v>3.0000000000000027E-2</v>
      </c>
      <c r="L200" s="655"/>
      <c r="M200" s="208"/>
      <c r="N200" s="128"/>
      <c r="O200" s="128"/>
      <c r="P200" s="128"/>
      <c r="Q200" s="128"/>
      <c r="R200" s="208"/>
      <c r="S200" s="13"/>
      <c r="V200" s="474"/>
      <c r="W200" s="208"/>
      <c r="X200" s="13"/>
      <c r="AA200" s="474"/>
      <c r="AB200" s="208"/>
      <c r="AF200" s="474"/>
      <c r="AG200" s="208"/>
      <c r="AK200" s="474"/>
      <c r="AL200" s="208"/>
      <c r="AM200" s="208"/>
      <c r="AN200" s="208"/>
    </row>
    <row r="201" spans="1:40">
      <c r="A201" s="744"/>
      <c r="B201" s="457"/>
      <c r="C201" s="457"/>
      <c r="D201" s="135"/>
      <c r="E201" s="135"/>
      <c r="F201" s="135"/>
      <c r="G201" s="135"/>
      <c r="H201" s="208"/>
      <c r="I201" s="15"/>
      <c r="J201" s="15"/>
      <c r="K201" s="15"/>
      <c r="L201" s="474"/>
      <c r="M201" s="208"/>
      <c r="N201" s="135"/>
      <c r="O201" s="135"/>
      <c r="P201" s="135"/>
      <c r="Q201" s="15"/>
      <c r="R201" s="208"/>
      <c r="S201" s="13"/>
      <c r="V201" s="474"/>
      <c r="W201" s="208"/>
      <c r="X201" s="13"/>
      <c r="AA201" s="474"/>
      <c r="AB201" s="208"/>
      <c r="AF201" s="474"/>
      <c r="AG201" s="208"/>
      <c r="AK201" s="474"/>
      <c r="AL201" s="208"/>
      <c r="AM201" s="208"/>
      <c r="AN201" s="208"/>
    </row>
    <row r="202" spans="1:40">
      <c r="A202" s="747" t="s">
        <v>2132</v>
      </c>
      <c r="B202" s="750"/>
      <c r="C202" s="748"/>
      <c r="D202" s="139"/>
      <c r="E202" s="139"/>
      <c r="F202" s="139"/>
      <c r="G202" s="139"/>
      <c r="H202" s="208"/>
      <c r="I202" s="650"/>
      <c r="J202" s="650"/>
      <c r="K202" s="650"/>
      <c r="L202" s="1984"/>
      <c r="M202" s="208"/>
      <c r="N202" s="139"/>
      <c r="O202" s="139"/>
      <c r="P202" s="139"/>
      <c r="Q202" s="650"/>
      <c r="R202" s="208"/>
      <c r="S202" s="13"/>
      <c r="V202" s="474"/>
      <c r="W202" s="208"/>
      <c r="X202" s="13"/>
      <c r="AA202" s="474"/>
      <c r="AB202" s="208"/>
      <c r="AF202" s="474"/>
      <c r="AG202" s="208"/>
      <c r="AK202" s="474"/>
      <c r="AL202" s="208"/>
      <c r="AM202" s="208"/>
      <c r="AN202" s="208"/>
    </row>
    <row r="203" spans="1:40" s="726" customFormat="1">
      <c r="A203" s="751" t="s">
        <v>2086</v>
      </c>
      <c r="B203" s="752"/>
      <c r="C203" s="752"/>
      <c r="D203" s="598">
        <f t="shared" ref="D203:F205" si="179">I208</f>
        <v>78.394024276377209</v>
      </c>
      <c r="E203" s="598">
        <f t="shared" si="179"/>
        <v>90.675422138836765</v>
      </c>
      <c r="F203" s="598">
        <f t="shared" si="179"/>
        <v>96.432532347504619</v>
      </c>
      <c r="G203" s="229"/>
      <c r="H203" s="760"/>
      <c r="I203" s="560">
        <v>83.96</v>
      </c>
      <c r="J203" s="560">
        <v>96.66</v>
      </c>
      <c r="K203" s="560">
        <v>104.34</v>
      </c>
      <c r="L203" s="1985"/>
      <c r="M203" s="724"/>
      <c r="N203" s="2361"/>
      <c r="O203" s="2361"/>
      <c r="P203" s="2361"/>
      <c r="Q203" s="725"/>
      <c r="R203" s="724"/>
      <c r="S203" s="2383"/>
      <c r="T203" s="1657"/>
      <c r="U203" s="1657"/>
      <c r="V203" s="1658"/>
      <c r="W203" s="724"/>
      <c r="X203" s="2383"/>
      <c r="Y203" s="1657"/>
      <c r="Z203" s="1657"/>
      <c r="AA203" s="1658"/>
      <c r="AB203" s="724"/>
      <c r="AC203" s="1657"/>
      <c r="AD203" s="1657"/>
      <c r="AE203" s="1657"/>
      <c r="AF203" s="1658"/>
      <c r="AG203" s="724"/>
      <c r="AH203" s="1657"/>
      <c r="AI203" s="1657"/>
      <c r="AJ203" s="1657"/>
      <c r="AK203" s="1658"/>
      <c r="AL203" s="724"/>
      <c r="AM203" s="724"/>
      <c r="AN203" s="724"/>
    </row>
    <row r="204" spans="1:40" s="14" customFormat="1">
      <c r="A204" s="753" t="s">
        <v>45</v>
      </c>
      <c r="B204" s="755"/>
      <c r="C204" s="755"/>
      <c r="D204" s="650">
        <f t="shared" si="179"/>
        <v>128.72403560830861</v>
      </c>
      <c r="E204" s="650">
        <f t="shared" si="179"/>
        <v>129.77406679764243</v>
      </c>
      <c r="F204" s="650">
        <f t="shared" si="179"/>
        <v>129.03846153846152</v>
      </c>
      <c r="G204" s="754"/>
      <c r="H204" s="761"/>
      <c r="I204" s="561">
        <v>130.13999999999999</v>
      </c>
      <c r="J204" s="561">
        <v>132.11000000000001</v>
      </c>
      <c r="K204" s="561">
        <v>134.19999999999999</v>
      </c>
      <c r="L204" s="1986"/>
      <c r="M204" s="728"/>
      <c r="N204" s="754"/>
      <c r="O204" s="754"/>
      <c r="P204" s="754"/>
      <c r="Q204" s="727"/>
      <c r="R204" s="728"/>
      <c r="S204" s="2384"/>
      <c r="T204" s="1929"/>
      <c r="U204" s="1929"/>
      <c r="V204" s="2385"/>
      <c r="W204" s="728"/>
      <c r="X204" s="2384"/>
      <c r="Y204" s="1929"/>
      <c r="Z204" s="1929"/>
      <c r="AA204" s="2385"/>
      <c r="AB204" s="728"/>
      <c r="AC204" s="1929"/>
      <c r="AD204" s="1929"/>
      <c r="AE204" s="1929"/>
      <c r="AF204" s="2385"/>
      <c r="AG204" s="728"/>
      <c r="AH204" s="1929"/>
      <c r="AI204" s="1929"/>
      <c r="AJ204" s="1929"/>
      <c r="AK204" s="2385"/>
      <c r="AL204" s="728"/>
      <c r="AM204" s="728"/>
      <c r="AN204" s="728"/>
    </row>
    <row r="205" spans="1:40" s="256" customFormat="1">
      <c r="A205" s="756" t="s">
        <v>2077</v>
      </c>
      <c r="B205" s="758"/>
      <c r="C205" s="758"/>
      <c r="D205" s="611">
        <f t="shared" si="179"/>
        <v>0.60899999999999999</v>
      </c>
      <c r="E205" s="611">
        <f t="shared" si="179"/>
        <v>0.69899999999999995</v>
      </c>
      <c r="F205" s="611">
        <f t="shared" si="179"/>
        <v>0.747</v>
      </c>
      <c r="G205" s="757"/>
      <c r="H205" s="556"/>
      <c r="I205" s="757">
        <v>0.64500000000000002</v>
      </c>
      <c r="J205" s="757">
        <v>0.73199999999999998</v>
      </c>
      <c r="K205" s="757">
        <v>0.77700000000000002</v>
      </c>
      <c r="L205" s="1987"/>
      <c r="M205" s="567"/>
      <c r="N205" s="757"/>
      <c r="O205" s="757"/>
      <c r="P205" s="757"/>
      <c r="Q205" s="703"/>
      <c r="R205" s="567"/>
      <c r="S205" s="2386"/>
      <c r="T205" s="2214"/>
      <c r="U205" s="2214"/>
      <c r="V205" s="2387"/>
      <c r="W205" s="702"/>
      <c r="X205" s="1598"/>
      <c r="Y205" s="701"/>
      <c r="Z205" s="701"/>
      <c r="AA205" s="1599"/>
      <c r="AB205" s="702"/>
      <c r="AC205" s="701"/>
      <c r="AD205" s="701"/>
      <c r="AE205" s="701"/>
      <c r="AF205" s="1599"/>
      <c r="AG205" s="702"/>
      <c r="AH205" s="701"/>
      <c r="AI205" s="701"/>
      <c r="AJ205" s="701"/>
      <c r="AK205" s="1599"/>
      <c r="AL205" s="702"/>
      <c r="AM205" s="702"/>
      <c r="AN205" s="702"/>
    </row>
    <row r="206" spans="1:40">
      <c r="A206" s="744"/>
      <c r="B206" s="457"/>
      <c r="C206" s="457"/>
      <c r="D206" s="558"/>
      <c r="E206" s="558"/>
      <c r="F206" s="558"/>
      <c r="G206" s="558"/>
      <c r="H206" s="563"/>
      <c r="I206" s="558"/>
      <c r="J206" s="503"/>
      <c r="K206" s="503"/>
      <c r="L206" s="1131"/>
      <c r="M206" s="563"/>
      <c r="N206" s="558"/>
      <c r="O206" s="558"/>
      <c r="P206" s="558"/>
      <c r="Q206" s="503"/>
      <c r="R206" s="563"/>
      <c r="S206" s="2382"/>
      <c r="T206" s="503"/>
      <c r="U206" s="503"/>
      <c r="V206" s="1131"/>
      <c r="W206" s="208"/>
      <c r="X206" s="13"/>
      <c r="AA206" s="474"/>
      <c r="AB206" s="208"/>
      <c r="AF206" s="474"/>
      <c r="AG206" s="208"/>
      <c r="AK206" s="474"/>
      <c r="AL206" s="208"/>
      <c r="AM206" s="208"/>
      <c r="AN206" s="208"/>
    </row>
    <row r="207" spans="1:40">
      <c r="A207" s="747" t="s">
        <v>2133</v>
      </c>
      <c r="B207" s="457"/>
      <c r="C207" s="457"/>
      <c r="D207" s="558"/>
      <c r="E207" s="558"/>
      <c r="F207" s="558"/>
      <c r="G207" s="558"/>
      <c r="H207" s="563"/>
      <c r="I207" s="558"/>
      <c r="J207" s="503"/>
      <c r="K207" s="503"/>
      <c r="L207" s="1131"/>
      <c r="M207" s="563"/>
      <c r="N207" s="558"/>
      <c r="O207" s="558"/>
      <c r="P207" s="558"/>
      <c r="Q207" s="503"/>
      <c r="R207" s="563"/>
      <c r="S207" s="2382"/>
      <c r="T207" s="503"/>
      <c r="U207" s="503"/>
      <c r="V207" s="1131"/>
      <c r="W207" s="208"/>
      <c r="X207" s="13"/>
      <c r="AA207" s="474"/>
      <c r="AB207" s="208"/>
      <c r="AF207" s="474"/>
      <c r="AG207" s="208"/>
      <c r="AK207" s="474"/>
      <c r="AL207" s="208"/>
      <c r="AM207" s="208"/>
      <c r="AN207" s="208"/>
    </row>
    <row r="208" spans="1:40" s="726" customFormat="1">
      <c r="A208" s="751" t="s">
        <v>2086</v>
      </c>
      <c r="B208" s="752"/>
      <c r="C208" s="752"/>
      <c r="D208" s="229"/>
      <c r="E208" s="229"/>
      <c r="F208" s="229"/>
      <c r="G208" s="229"/>
      <c r="H208" s="760"/>
      <c r="I208" s="598">
        <f>I203/(1+0.071)</f>
        <v>78.394024276377209</v>
      </c>
      <c r="J208" s="598">
        <f>J203/(1+0.066)</f>
        <v>90.675422138836765</v>
      </c>
      <c r="K208" s="598">
        <f>K203/(1+0.082)</f>
        <v>96.432532347504619</v>
      </c>
      <c r="L208" s="1351"/>
      <c r="M208" s="724"/>
      <c r="N208" s="2361"/>
      <c r="O208" s="2361"/>
      <c r="P208" s="2361"/>
      <c r="Q208" s="725"/>
      <c r="R208" s="724"/>
      <c r="S208" s="2383"/>
      <c r="T208" s="1657"/>
      <c r="U208" s="1657"/>
      <c r="V208" s="1658"/>
      <c r="W208" s="724"/>
      <c r="X208" s="2383"/>
      <c r="Y208" s="1657"/>
      <c r="Z208" s="1657"/>
      <c r="AA208" s="1658"/>
      <c r="AB208" s="724"/>
      <c r="AC208" s="1657"/>
      <c r="AD208" s="1657"/>
      <c r="AE208" s="1657"/>
      <c r="AF208" s="1658"/>
      <c r="AG208" s="724"/>
      <c r="AH208" s="1657"/>
      <c r="AI208" s="1657"/>
      <c r="AJ208" s="1657"/>
      <c r="AK208" s="1658"/>
      <c r="AL208" s="724"/>
      <c r="AM208" s="724"/>
      <c r="AN208" s="724"/>
    </row>
    <row r="209" spans="1:42" s="14" customFormat="1">
      <c r="A209" s="753" t="s">
        <v>45</v>
      </c>
      <c r="B209" s="755"/>
      <c r="C209" s="755"/>
      <c r="D209" s="754"/>
      <c r="E209" s="754"/>
      <c r="F209" s="754"/>
      <c r="G209" s="754"/>
      <c r="H209" s="761"/>
      <c r="I209" s="650">
        <f>I204/(1+0.011)</f>
        <v>128.72403560830861</v>
      </c>
      <c r="J209" s="650">
        <f>J204/(1+0.018)</f>
        <v>129.77406679764243</v>
      </c>
      <c r="K209" s="650">
        <f>K204/(1+0.04)</f>
        <v>129.03846153846152</v>
      </c>
      <c r="L209" s="692"/>
      <c r="M209" s="728"/>
      <c r="N209" s="727"/>
      <c r="O209" s="727"/>
      <c r="P209" s="727"/>
      <c r="Q209" s="727"/>
      <c r="R209" s="728"/>
      <c r="S209" s="2384"/>
      <c r="T209" s="1929"/>
      <c r="U209" s="1929"/>
      <c r="V209" s="2385"/>
      <c r="W209" s="728"/>
      <c r="X209" s="2384"/>
      <c r="Y209" s="1929"/>
      <c r="Z209" s="1929"/>
      <c r="AA209" s="2385"/>
      <c r="AB209" s="728"/>
      <c r="AC209" s="1929"/>
      <c r="AD209" s="1929"/>
      <c r="AE209" s="1929"/>
      <c r="AF209" s="2385"/>
      <c r="AG209" s="728"/>
      <c r="AH209" s="1929"/>
      <c r="AI209" s="1929"/>
      <c r="AJ209" s="1929"/>
      <c r="AK209" s="2385"/>
      <c r="AL209" s="728"/>
      <c r="AM209" s="728"/>
      <c r="AN209" s="728"/>
    </row>
    <row r="210" spans="1:42" s="256" customFormat="1">
      <c r="A210" s="756" t="s">
        <v>2077</v>
      </c>
      <c r="B210" s="758"/>
      <c r="C210" s="758"/>
      <c r="D210" s="757"/>
      <c r="E210" s="757"/>
      <c r="F210" s="757"/>
      <c r="G210" s="757"/>
      <c r="H210" s="556"/>
      <c r="I210" s="611">
        <f>I205-0.036</f>
        <v>0.60899999999999999</v>
      </c>
      <c r="J210" s="611">
        <f>J205-0.033</f>
        <v>0.69899999999999995</v>
      </c>
      <c r="K210" s="611">
        <f>K205-0.03</f>
        <v>0.747</v>
      </c>
      <c r="L210" s="690"/>
      <c r="M210" s="567"/>
      <c r="N210" s="703"/>
      <c r="O210" s="703"/>
      <c r="P210" s="703"/>
      <c r="Q210" s="703"/>
      <c r="R210" s="567"/>
      <c r="S210" s="2386"/>
      <c r="T210" s="2214"/>
      <c r="U210" s="2214"/>
      <c r="V210" s="2387"/>
      <c r="W210" s="702"/>
      <c r="X210" s="1598"/>
      <c r="Y210" s="701"/>
      <c r="Z210" s="701"/>
      <c r="AA210" s="1599"/>
      <c r="AB210" s="702"/>
      <c r="AC210" s="701"/>
      <c r="AD210" s="701"/>
      <c r="AE210" s="701"/>
      <c r="AF210" s="1599"/>
      <c r="AG210" s="702"/>
      <c r="AH210" s="701"/>
      <c r="AI210" s="701"/>
      <c r="AJ210" s="701"/>
      <c r="AK210" s="1599"/>
      <c r="AL210" s="702"/>
      <c r="AM210" s="702"/>
      <c r="AN210" s="702"/>
    </row>
    <row r="211" spans="1:42">
      <c r="A211" s="557"/>
      <c r="B211" s="563"/>
      <c r="C211" s="563"/>
      <c r="D211" s="15"/>
      <c r="E211" s="15"/>
      <c r="F211" s="15"/>
      <c r="G211" s="15"/>
      <c r="H211" s="208"/>
      <c r="I211" s="15"/>
      <c r="J211" s="15"/>
      <c r="K211" s="15"/>
      <c r="L211" s="15"/>
      <c r="M211" s="208"/>
      <c r="N211" s="15"/>
      <c r="O211" s="15"/>
      <c r="P211" s="15"/>
      <c r="Q211" s="15"/>
      <c r="R211" s="208"/>
      <c r="S211" s="13"/>
      <c r="V211" s="474"/>
      <c r="W211" s="208"/>
      <c r="X211" s="13"/>
      <c r="AA211" s="474"/>
      <c r="AB211" s="208"/>
      <c r="AF211" s="474"/>
      <c r="AG211" s="208"/>
      <c r="AK211" s="474"/>
      <c r="AL211" s="208"/>
      <c r="AM211" s="208"/>
      <c r="AN211" s="208"/>
    </row>
    <row r="212" spans="1:42">
      <c r="A212" s="13"/>
      <c r="B212" s="563"/>
      <c r="C212" s="563"/>
      <c r="D212" s="15"/>
      <c r="E212" s="15"/>
      <c r="F212" s="15"/>
      <c r="G212" s="15"/>
      <c r="H212" s="208"/>
      <c r="I212" s="15"/>
      <c r="J212" s="15"/>
      <c r="K212" s="15"/>
      <c r="L212" s="15"/>
      <c r="M212" s="208"/>
      <c r="N212" s="15"/>
      <c r="O212" s="15"/>
      <c r="P212" s="15"/>
      <c r="Q212" s="15"/>
      <c r="R212" s="208"/>
      <c r="S212" s="13"/>
      <c r="V212" s="474"/>
      <c r="W212" s="208"/>
      <c r="X212" s="13"/>
      <c r="AA212" s="474"/>
      <c r="AB212" s="208"/>
      <c r="AF212" s="474"/>
      <c r="AG212" s="208"/>
      <c r="AK212" s="474"/>
      <c r="AL212" s="208"/>
      <c r="AM212" s="208"/>
      <c r="AN212" s="208"/>
    </row>
    <row r="213" spans="1:42" s="12" customFormat="1">
      <c r="A213" s="461" t="s">
        <v>786</v>
      </c>
      <c r="B213" s="1050" t="str">
        <f>B$4</f>
        <v>2010</v>
      </c>
      <c r="C213" s="774" t="str">
        <f t="shared" ref="C213:AN213" si="180">C$4</f>
        <v>2011</v>
      </c>
      <c r="D213" s="773" t="str">
        <f t="shared" si="180"/>
        <v>1Q12</v>
      </c>
      <c r="E213" s="773" t="str">
        <f t="shared" si="180"/>
        <v>2Q12</v>
      </c>
      <c r="F213" s="1049" t="str">
        <f t="shared" si="180"/>
        <v>3Q12</v>
      </c>
      <c r="G213" s="773" t="str">
        <f t="shared" si="180"/>
        <v>4Q12</v>
      </c>
      <c r="H213" s="774">
        <f t="shared" si="180"/>
        <v>2012</v>
      </c>
      <c r="I213" s="773" t="str">
        <f t="shared" si="180"/>
        <v>1Q13</v>
      </c>
      <c r="J213" s="773" t="str">
        <f t="shared" si="180"/>
        <v>2Q13</v>
      </c>
      <c r="K213" s="773" t="str">
        <f t="shared" si="180"/>
        <v>3Q13</v>
      </c>
      <c r="L213" s="773" t="str">
        <f t="shared" si="180"/>
        <v>4Q13</v>
      </c>
      <c r="M213" s="774">
        <f t="shared" si="180"/>
        <v>2013</v>
      </c>
      <c r="N213" s="773" t="str">
        <f t="shared" si="180"/>
        <v>1Q14</v>
      </c>
      <c r="O213" s="773" t="str">
        <f t="shared" si="180"/>
        <v>2Q14</v>
      </c>
      <c r="P213" s="773" t="str">
        <f t="shared" si="180"/>
        <v>3Q14</v>
      </c>
      <c r="Q213" s="773" t="str">
        <f t="shared" si="180"/>
        <v>4Q14</v>
      </c>
      <c r="R213" s="774">
        <f t="shared" si="180"/>
        <v>2014</v>
      </c>
      <c r="S213" s="773" t="str">
        <f t="shared" si="180"/>
        <v>1Q15</v>
      </c>
      <c r="T213" s="773" t="str">
        <f t="shared" si="180"/>
        <v>2Q15</v>
      </c>
      <c r="U213" s="773" t="str">
        <f t="shared" si="180"/>
        <v>3Q15</v>
      </c>
      <c r="V213" s="773" t="str">
        <f t="shared" si="180"/>
        <v>4Q15</v>
      </c>
      <c r="W213" s="774">
        <f t="shared" si="180"/>
        <v>2015</v>
      </c>
      <c r="X213" s="773" t="str">
        <f t="shared" si="180"/>
        <v>1Q16</v>
      </c>
      <c r="Y213" s="773" t="str">
        <f t="shared" si="180"/>
        <v>2Q16</v>
      </c>
      <c r="Z213" s="773" t="str">
        <f t="shared" si="180"/>
        <v>3Q16</v>
      </c>
      <c r="AA213" s="773" t="str">
        <f t="shared" si="180"/>
        <v>4Q16</v>
      </c>
      <c r="AB213" s="774">
        <f t="shared" si="180"/>
        <v>2016</v>
      </c>
      <c r="AC213" s="773" t="str">
        <f t="shared" si="180"/>
        <v>1Q17</v>
      </c>
      <c r="AD213" s="773" t="str">
        <f t="shared" si="180"/>
        <v>2Q17</v>
      </c>
      <c r="AE213" s="773" t="str">
        <f t="shared" si="180"/>
        <v>3Q17</v>
      </c>
      <c r="AF213" s="773" t="str">
        <f t="shared" si="180"/>
        <v>4Q17A</v>
      </c>
      <c r="AG213" s="774" t="str">
        <f t="shared" si="180"/>
        <v>2017A</v>
      </c>
      <c r="AH213" s="1049" t="str">
        <f>AH4</f>
        <v>1Q18E</v>
      </c>
      <c r="AI213" s="1049" t="str">
        <f>AI4</f>
        <v>2Q18E</v>
      </c>
      <c r="AJ213" s="1049" t="str">
        <f>AJ4</f>
        <v>3Q18E</v>
      </c>
      <c r="AK213" s="1049" t="str">
        <f>AK4</f>
        <v>4Q18E</v>
      </c>
      <c r="AL213" s="774" t="str">
        <f t="shared" si="180"/>
        <v>2018E</v>
      </c>
      <c r="AM213" s="774" t="str">
        <f t="shared" si="180"/>
        <v>2019E</v>
      </c>
      <c r="AN213" s="774" t="str">
        <f t="shared" si="180"/>
        <v>2020E</v>
      </c>
    </row>
    <row r="214" spans="1:42">
      <c r="A214" s="13"/>
      <c r="B214" s="208"/>
      <c r="C214" s="208"/>
      <c r="D214" s="15"/>
      <c r="E214" s="15"/>
      <c r="F214" s="15"/>
      <c r="G214" s="15"/>
      <c r="H214" s="208"/>
      <c r="I214" s="15"/>
      <c r="J214" s="15"/>
      <c r="K214" s="15"/>
      <c r="L214" s="15"/>
      <c r="M214" s="208"/>
      <c r="N214" s="15"/>
      <c r="O214" s="15"/>
      <c r="P214" s="15"/>
      <c r="Q214" s="15"/>
      <c r="R214" s="208"/>
      <c r="S214" s="13"/>
      <c r="V214" s="474"/>
      <c r="W214" s="208"/>
      <c r="X214" s="13"/>
      <c r="AA214" s="474"/>
      <c r="AB214" s="208"/>
      <c r="AF214" s="474"/>
      <c r="AG214" s="208"/>
      <c r="AK214" s="474"/>
      <c r="AL214" s="208"/>
      <c r="AM214" s="208"/>
      <c r="AN214" s="208"/>
    </row>
    <row r="215" spans="1:42">
      <c r="A215" s="482" t="s">
        <v>1319</v>
      </c>
      <c r="B215" s="563">
        <v>5.8000000000000003E-2</v>
      </c>
      <c r="C215" s="563">
        <v>5.8999999999999997E-2</v>
      </c>
      <c r="D215" s="503">
        <v>6.4000000000000001E-2</v>
      </c>
      <c r="E215" s="503">
        <v>6.7000000000000004E-2</v>
      </c>
      <c r="F215" s="503">
        <v>4.8000000000000001E-2</v>
      </c>
      <c r="G215" s="503">
        <v>5.5E-2</v>
      </c>
      <c r="H215" s="556">
        <v>5.7000000000000002E-2</v>
      </c>
      <c r="I215" s="503">
        <v>5.3999999999999999E-2</v>
      </c>
      <c r="J215" s="503">
        <v>5.3999999999999999E-2</v>
      </c>
      <c r="K215" s="503">
        <v>5.0999999999999997E-2</v>
      </c>
      <c r="L215" s="503">
        <v>4.7E-2</v>
      </c>
      <c r="M215" s="556">
        <v>5.1999999999999998E-2</v>
      </c>
      <c r="N215" s="503">
        <v>6.6000000000000003E-2</v>
      </c>
      <c r="O215" s="503">
        <v>6.7000000000000004E-2</v>
      </c>
      <c r="P215" s="503">
        <v>8.4000000000000005E-2</v>
      </c>
      <c r="Q215" s="503">
        <v>6.6000000000000003E-2</v>
      </c>
      <c r="R215" s="556">
        <v>7.0999999999999994E-2</v>
      </c>
      <c r="S215" s="503">
        <v>6.6000000000000003E-2</v>
      </c>
      <c r="T215" s="503">
        <v>5.1999999999999998E-2</v>
      </c>
      <c r="U215" s="503">
        <v>5.8000000000000003E-2</v>
      </c>
      <c r="V215" s="503">
        <v>3.6999999999999998E-2</v>
      </c>
      <c r="W215" s="556">
        <v>5.3999999999999999E-2</v>
      </c>
      <c r="X215" s="2663">
        <v>2.1000000000000001E-2</v>
      </c>
      <c r="Y215" s="503">
        <v>2.9000000000000001E-2</v>
      </c>
      <c r="Z215" s="503">
        <v>1.2999999999999999E-2</v>
      </c>
      <c r="AA215" s="503">
        <v>8.9999999999999993E-3</v>
      </c>
      <c r="AB215" s="3652">
        <v>1.7999999999999999E-2</v>
      </c>
      <c r="AC215" s="503">
        <v>0.03</v>
      </c>
      <c r="AD215" s="3869">
        <v>1.7999999999999999E-2</v>
      </c>
      <c r="AE215" s="3869">
        <v>1.2999999999999999E-2</v>
      </c>
      <c r="AF215" s="3869">
        <v>3.7999999999999999E-2</v>
      </c>
      <c r="AG215" s="3652">
        <v>2.5000000000000001E-2</v>
      </c>
      <c r="AH215" s="731">
        <f t="shared" ref="AH215:AN215" si="181">AH15</f>
        <v>2.0277252468729544E-2</v>
      </c>
      <c r="AI215" s="731">
        <f t="shared" si="181"/>
        <v>2.5537626903077044E-2</v>
      </c>
      <c r="AJ215" s="731">
        <f t="shared" si="181"/>
        <v>2.6335441171213739E-2</v>
      </c>
      <c r="AK215" s="731">
        <f t="shared" si="181"/>
        <v>2.1913834049441375E-2</v>
      </c>
      <c r="AL215" s="1046">
        <f t="shared" ref="AL215" si="182">AL15</f>
        <v>2.3457210246139646E-2</v>
      </c>
      <c r="AM215" s="1046">
        <f t="shared" si="181"/>
        <v>1.5937306656940566E-2</v>
      </c>
      <c r="AN215" s="1046">
        <f t="shared" si="181"/>
        <v>-2.9226213866005338E-2</v>
      </c>
    </row>
    <row r="216" spans="1:42">
      <c r="A216" s="1353" t="s">
        <v>1420</v>
      </c>
      <c r="B216" s="208"/>
      <c r="C216" s="208"/>
      <c r="D216" s="15"/>
      <c r="E216" s="15"/>
      <c r="F216" s="15"/>
      <c r="G216" s="15"/>
      <c r="H216" s="208"/>
      <c r="I216" s="15"/>
      <c r="J216" s="15"/>
      <c r="K216" s="244"/>
      <c r="L216" s="1988"/>
      <c r="M216" s="208"/>
      <c r="N216" s="2011"/>
      <c r="O216" s="2228" t="s">
        <v>1801</v>
      </c>
      <c r="P216" s="2228" t="s">
        <v>1906</v>
      </c>
      <c r="Q216" s="2228" t="s">
        <v>2327</v>
      </c>
      <c r="R216" s="1352" t="s">
        <v>2327</v>
      </c>
      <c r="S216" s="2228" t="s">
        <v>2325</v>
      </c>
      <c r="T216" s="2228" t="s">
        <v>2325</v>
      </c>
      <c r="U216" s="2228" t="s">
        <v>541</v>
      </c>
      <c r="V216" s="2228" t="s">
        <v>1833</v>
      </c>
      <c r="W216" s="1352" t="s">
        <v>2416</v>
      </c>
      <c r="X216" s="2497" t="s">
        <v>2428</v>
      </c>
      <c r="Y216" s="2228" t="s">
        <v>2429</v>
      </c>
      <c r="Z216" s="2228" t="s">
        <v>2428</v>
      </c>
      <c r="AA216" s="2228" t="s">
        <v>2815</v>
      </c>
      <c r="AB216" s="1352" t="s">
        <v>2816</v>
      </c>
      <c r="AC216" s="2228"/>
      <c r="AD216" s="2228"/>
      <c r="AE216" s="2228"/>
      <c r="AF216" s="2388"/>
      <c r="AG216" s="1352"/>
      <c r="AH216" s="2228"/>
      <c r="AI216" s="2228"/>
      <c r="AJ216" s="2228"/>
      <c r="AK216" s="2388"/>
      <c r="AL216" s="1352"/>
      <c r="AM216" s="1352"/>
      <c r="AN216" s="1352"/>
    </row>
    <row r="217" spans="1:42">
      <c r="A217" s="202" t="s">
        <v>2171</v>
      </c>
      <c r="B217" s="553"/>
      <c r="C217" s="553"/>
      <c r="D217" s="470"/>
      <c r="E217" s="470"/>
      <c r="F217" s="470"/>
      <c r="G217" s="470"/>
      <c r="H217" s="553"/>
      <c r="I217" s="470"/>
      <c r="J217" s="470"/>
      <c r="K217" s="470"/>
      <c r="L217" s="785"/>
      <c r="M217" s="553"/>
      <c r="N217" s="470"/>
      <c r="O217" s="470"/>
      <c r="P217" s="470"/>
      <c r="Q217" s="785"/>
      <c r="R217" s="553"/>
      <c r="S217" s="2380"/>
      <c r="T217" s="470"/>
      <c r="U217" s="470"/>
      <c r="V217" s="785"/>
      <c r="W217" s="553"/>
      <c r="X217" s="2380"/>
      <c r="Y217" s="470"/>
      <c r="Z217" s="470"/>
      <c r="AA217" s="785"/>
      <c r="AB217" s="553"/>
      <c r="AC217" s="470"/>
      <c r="AD217" s="470"/>
      <c r="AE217" s="470"/>
      <c r="AF217" s="785"/>
      <c r="AG217" s="553"/>
      <c r="AH217" s="470"/>
      <c r="AI217" s="470"/>
      <c r="AJ217" s="470"/>
      <c r="AK217" s="785"/>
      <c r="AL217" s="553"/>
      <c r="AM217" s="553"/>
      <c r="AN217" s="553"/>
    </row>
    <row r="218" spans="1:42">
      <c r="A218" s="744" t="s">
        <v>878</v>
      </c>
      <c r="B218" s="563">
        <v>5.2999999999999999E-2</v>
      </c>
      <c r="C218" s="563">
        <v>6.7000000000000004E-2</v>
      </c>
      <c r="D218" s="128">
        <f t="shared" ref="D218:G219" si="183">D223/D228-1</f>
        <v>7.0000000000000062E-2</v>
      </c>
      <c r="E218" s="128">
        <f t="shared" si="183"/>
        <v>6.899999999999995E-2</v>
      </c>
      <c r="F218" s="128">
        <f t="shared" si="183"/>
        <v>4.8000000000000043E-2</v>
      </c>
      <c r="G218" s="128">
        <f t="shared" si="183"/>
        <v>5.8999999999999941E-2</v>
      </c>
      <c r="H218" s="563">
        <v>6.0999999999999999E-2</v>
      </c>
      <c r="I218" s="503">
        <v>5.5E-2</v>
      </c>
      <c r="J218" s="503">
        <v>5.1999999999999998E-2</v>
      </c>
      <c r="K218" s="503">
        <v>5.1999999999999998E-2</v>
      </c>
      <c r="L218" s="503">
        <v>4.7E-2</v>
      </c>
      <c r="M218" s="563">
        <v>5.1999999999999998E-2</v>
      </c>
      <c r="N218" s="503">
        <v>6.7000000000000004E-2</v>
      </c>
      <c r="O218" s="503">
        <v>7.2999999999999995E-2</v>
      </c>
      <c r="P218" s="503">
        <v>8.7999999999999995E-2</v>
      </c>
      <c r="Q218" s="503">
        <v>6.8000000000000005E-2</v>
      </c>
      <c r="R218" s="563">
        <v>7.3999999999999996E-2</v>
      </c>
      <c r="S218" s="503">
        <v>6.5000000000000002E-2</v>
      </c>
      <c r="T218" s="503">
        <v>0.05</v>
      </c>
      <c r="U218" s="503">
        <v>5.0999999999999997E-2</v>
      </c>
      <c r="V218" s="503">
        <v>3.7999999999999999E-2</v>
      </c>
      <c r="W218" s="563">
        <v>5.1999999999999998E-2</v>
      </c>
      <c r="X218" s="503">
        <v>1.7999999999999999E-2</v>
      </c>
      <c r="Y218" s="503">
        <v>2.9000000000000001E-2</v>
      </c>
      <c r="Z218" s="503">
        <v>1.4999999999999999E-2</v>
      </c>
      <c r="AA218" s="503">
        <v>8.9999999999999993E-3</v>
      </c>
      <c r="AB218" s="563">
        <v>1.9E-2</v>
      </c>
      <c r="AC218" s="503">
        <v>2.5000000000000001E-2</v>
      </c>
      <c r="AD218" s="503">
        <v>5.0000000000000001E-3</v>
      </c>
      <c r="AE218" s="503">
        <v>-1E-3</v>
      </c>
      <c r="AF218" s="503">
        <v>3.2000000000000001E-2</v>
      </c>
      <c r="AG218" s="563">
        <v>1.4999999999999999E-2</v>
      </c>
      <c r="AH218" s="7">
        <f t="shared" ref="AH218:AK218" si="184">AH304</f>
        <v>1.2500000000000001E-2</v>
      </c>
      <c r="AI218" s="7">
        <f t="shared" si="184"/>
        <v>0.02</v>
      </c>
      <c r="AJ218" s="7">
        <f t="shared" si="184"/>
        <v>0.02</v>
      </c>
      <c r="AK218" s="7">
        <f t="shared" si="184"/>
        <v>1.4999999999999999E-2</v>
      </c>
      <c r="AL218" s="226">
        <f>+AVERAGE(AH218:AK218)</f>
        <v>1.6875000000000001E-2</v>
      </c>
      <c r="AM218" s="226">
        <f>AM304</f>
        <v>1.2999999999999999E-2</v>
      </c>
      <c r="AN218" s="226">
        <f>AN304</f>
        <v>-0.03</v>
      </c>
      <c r="AP218" s="726"/>
    </row>
    <row r="219" spans="1:42">
      <c r="A219" s="744" t="s">
        <v>45</v>
      </c>
      <c r="B219" s="563">
        <v>-1.4E-2</v>
      </c>
      <c r="C219" s="563">
        <v>2.7E-2</v>
      </c>
      <c r="D219" s="128">
        <f t="shared" si="183"/>
        <v>2.8000000000000025E-2</v>
      </c>
      <c r="E219" s="128">
        <f t="shared" si="183"/>
        <v>3.6000000000000032E-2</v>
      </c>
      <c r="F219" s="128">
        <f t="shared" si="183"/>
        <v>3.499999999999992E-2</v>
      </c>
      <c r="G219" s="128">
        <f t="shared" si="183"/>
        <v>3.499999999999992E-2</v>
      </c>
      <c r="H219" s="563">
        <v>3.3000000000000002E-2</v>
      </c>
      <c r="I219" s="503">
        <v>3.9E-2</v>
      </c>
      <c r="J219" s="503">
        <v>3.4000000000000002E-2</v>
      </c>
      <c r="K219" s="503">
        <v>3.5999999999999997E-2</v>
      </c>
      <c r="L219" s="503">
        <v>2.5999999999999999E-2</v>
      </c>
      <c r="M219" s="563">
        <v>3.4000000000000002E-2</v>
      </c>
      <c r="N219" s="503">
        <v>3.6999999999999998E-2</v>
      </c>
      <c r="O219" s="503">
        <v>4.3999999999999997E-2</v>
      </c>
      <c r="P219" s="503">
        <v>4.7E-2</v>
      </c>
      <c r="Q219" s="503">
        <v>3.6999999999999998E-2</v>
      </c>
      <c r="R219" s="563">
        <v>4.1000000000000002E-2</v>
      </c>
      <c r="S219" s="503">
        <v>0.04</v>
      </c>
      <c r="T219" s="503">
        <v>3.9E-2</v>
      </c>
      <c r="U219" s="503">
        <v>0.04</v>
      </c>
      <c r="V219" s="503">
        <v>3.3000000000000002E-2</v>
      </c>
      <c r="W219" s="563">
        <v>3.7999999999999999E-2</v>
      </c>
      <c r="X219" s="503">
        <v>2.5999999999999999E-2</v>
      </c>
      <c r="Y219" s="503">
        <v>2.3E-2</v>
      </c>
      <c r="Z219" s="503">
        <v>1.9E-2</v>
      </c>
      <c r="AA219" s="503">
        <v>1.2E-2</v>
      </c>
      <c r="AB219" s="563">
        <v>2.1000000000000001E-2</v>
      </c>
      <c r="AC219" s="503">
        <v>1.2999999999999999E-2</v>
      </c>
      <c r="AD219" s="503">
        <v>1.0999999999999999E-2</v>
      </c>
      <c r="AE219" s="503">
        <v>5.0000000000000001E-3</v>
      </c>
      <c r="AF219" s="503">
        <v>1.0999999999999999E-2</v>
      </c>
      <c r="AG219" s="563">
        <v>0.01</v>
      </c>
      <c r="AH219" s="503"/>
      <c r="AI219" s="503"/>
      <c r="AL219" s="208"/>
      <c r="AM219" s="208"/>
      <c r="AN219" s="208"/>
      <c r="AP219" s="726"/>
    </row>
    <row r="220" spans="1:42">
      <c r="A220" s="744" t="s">
        <v>2077</v>
      </c>
      <c r="B220" s="563">
        <v>4.2999999999999997E-2</v>
      </c>
      <c r="C220" s="563">
        <v>2.5999999999999999E-2</v>
      </c>
      <c r="D220" s="128">
        <f>D225-D230</f>
        <v>2.7000000000000024E-2</v>
      </c>
      <c r="E220" s="128">
        <f>E225-E230</f>
        <v>2.4000000000000021E-2</v>
      </c>
      <c r="F220" s="128">
        <f>F225-F230</f>
        <v>9.000000000000008E-3</v>
      </c>
      <c r="G220" s="128">
        <f>G225-G230</f>
        <v>1.5000000000000013E-2</v>
      </c>
      <c r="H220" s="563">
        <v>1.9E-2</v>
      </c>
      <c r="I220" s="503">
        <v>0.01</v>
      </c>
      <c r="J220" s="503">
        <v>1.2999999999999999E-2</v>
      </c>
      <c r="K220" s="503">
        <v>1.0999999999999999E-2</v>
      </c>
      <c r="L220" s="503">
        <v>1.4E-2</v>
      </c>
      <c r="M220" s="563">
        <v>1.2E-2</v>
      </c>
      <c r="N220" s="503">
        <v>0.02</v>
      </c>
      <c r="O220" s="503">
        <v>2.1999999999999999E-2</v>
      </c>
      <c r="P220" s="503">
        <v>0.03</v>
      </c>
      <c r="Q220" s="503">
        <v>2.1000000000000001E-2</v>
      </c>
      <c r="R220" s="563">
        <v>2.3E-2</v>
      </c>
      <c r="S220" s="503">
        <v>1.7000000000000001E-2</v>
      </c>
      <c r="T220" s="503">
        <v>8.0000000000000002E-3</v>
      </c>
      <c r="U220" s="503">
        <v>8.0000000000000002E-3</v>
      </c>
      <c r="V220" s="503">
        <v>3.0000000000000001E-3</v>
      </c>
      <c r="W220" s="563">
        <v>0.01</v>
      </c>
      <c r="X220" s="503">
        <v>-5.0000000000000001E-3</v>
      </c>
      <c r="Y220" s="503">
        <v>4.0000000000000001E-3</v>
      </c>
      <c r="Z220" s="503">
        <v>-3.0000000000000001E-3</v>
      </c>
      <c r="AA220" s="503">
        <v>-2E-3</v>
      </c>
      <c r="AB220" s="563">
        <v>-1E-3</v>
      </c>
      <c r="AC220" s="503">
        <v>8.0000000000000002E-3</v>
      </c>
      <c r="AD220" s="503">
        <v>-5.0000000000000001E-3</v>
      </c>
      <c r="AE220" s="503">
        <v>-4.0000000000000001E-3</v>
      </c>
      <c r="AF220" s="503">
        <v>1.4999999999999999E-2</v>
      </c>
      <c r="AG220" s="563">
        <v>1E-3</v>
      </c>
      <c r="AH220" s="503"/>
      <c r="AI220" s="503"/>
      <c r="AL220" s="208"/>
      <c r="AM220" s="208"/>
      <c r="AN220" s="208"/>
      <c r="AP220" s="726"/>
    </row>
    <row r="221" spans="1:42">
      <c r="A221" s="744"/>
      <c r="B221" s="563"/>
      <c r="C221" s="563"/>
      <c r="D221" s="15"/>
      <c r="E221" s="15"/>
      <c r="F221" s="15"/>
      <c r="G221" s="15"/>
      <c r="H221" s="208"/>
      <c r="I221" s="15"/>
      <c r="J221" s="15"/>
      <c r="K221" s="15"/>
      <c r="L221" s="1777"/>
      <c r="M221" s="1996"/>
      <c r="N221" s="15"/>
      <c r="O221" s="15"/>
      <c r="P221" s="15"/>
      <c r="Q221" s="1777"/>
      <c r="R221" s="1996"/>
      <c r="S221" s="1777"/>
      <c r="T221" s="1777"/>
      <c r="U221" s="1777"/>
      <c r="V221" s="474"/>
      <c r="W221" s="208"/>
      <c r="AA221" s="1777"/>
      <c r="AB221" s="1996"/>
      <c r="AG221" s="208"/>
      <c r="AL221" s="208"/>
      <c r="AM221" s="208"/>
      <c r="AN221" s="208"/>
      <c r="AP221" s="726"/>
    </row>
    <row r="222" spans="1:42">
      <c r="A222" s="747" t="s">
        <v>2132</v>
      </c>
      <c r="B222" s="649"/>
      <c r="C222" s="651"/>
      <c r="D222" s="650"/>
      <c r="E222" s="650"/>
      <c r="F222" s="650"/>
      <c r="G222" s="650"/>
      <c r="H222" s="208"/>
      <c r="I222" s="650"/>
      <c r="J222" s="650"/>
      <c r="K222" s="650"/>
      <c r="L222" s="1997"/>
      <c r="M222" s="1996"/>
      <c r="N222" s="650"/>
      <c r="O222" s="650"/>
      <c r="P222" s="650"/>
      <c r="Q222" s="1997"/>
      <c r="R222" s="1996"/>
      <c r="S222" s="1997"/>
      <c r="T222" s="1997"/>
      <c r="U222" s="1997"/>
      <c r="V222" s="474"/>
      <c r="W222" s="208"/>
      <c r="AA222" s="1777"/>
      <c r="AB222" s="1996"/>
      <c r="AG222" s="208"/>
      <c r="AL222" s="208"/>
      <c r="AM222" s="208"/>
      <c r="AN222" s="208"/>
      <c r="AP222" s="726"/>
    </row>
    <row r="223" spans="1:42">
      <c r="A223" s="744" t="s">
        <v>2086</v>
      </c>
      <c r="B223" s="1026">
        <v>81.140940831522073</v>
      </c>
      <c r="C223" s="1026">
        <v>85.239443256938458</v>
      </c>
      <c r="D223" s="560">
        <v>83.828322695604712</v>
      </c>
      <c r="E223" s="560">
        <v>96.738933715339854</v>
      </c>
      <c r="F223" s="560">
        <v>94.512241348083435</v>
      </c>
      <c r="G223" s="762">
        <v>84.413670926169914</v>
      </c>
      <c r="H223" s="513">
        <f>SUMPRODUCT(D223:G223,D$5:G$5)/H$5</f>
        <v>89.87104989788871</v>
      </c>
      <c r="I223" s="560">
        <v>89.049377455651381</v>
      </c>
      <c r="J223" s="560">
        <v>102.78814089588579</v>
      </c>
      <c r="K223" s="560">
        <v>100.68842797928735</v>
      </c>
      <c r="L223" s="560">
        <v>89.17</v>
      </c>
      <c r="M223" s="2005">
        <f>SUMPRODUCT(I223:L223,I$5:L$5)/M$5</f>
        <v>95.438740182544294</v>
      </c>
      <c r="N223" s="560">
        <v>95.01</v>
      </c>
      <c r="O223" s="560">
        <v>112.2</v>
      </c>
      <c r="P223" s="560">
        <v>110.57</v>
      </c>
      <c r="Q223" s="560">
        <v>96.64</v>
      </c>
      <c r="R223" s="2410">
        <v>103.44</v>
      </c>
      <c r="S223" s="560">
        <v>98.72</v>
      </c>
      <c r="T223" s="560">
        <v>114.16</v>
      </c>
      <c r="U223" s="560">
        <v>114.55</v>
      </c>
      <c r="V223" s="560">
        <v>98.44</v>
      </c>
      <c r="W223" s="2410">
        <v>106.89</v>
      </c>
      <c r="X223" s="560">
        <v>101.16</v>
      </c>
      <c r="Y223" s="560">
        <v>118.48</v>
      </c>
      <c r="Z223" s="560">
        <v>117.1</v>
      </c>
      <c r="AA223" s="560">
        <v>98.71</v>
      </c>
      <c r="AB223" s="2410">
        <v>107.95</v>
      </c>
      <c r="AC223" s="560">
        <v>103.91</v>
      </c>
      <c r="AD223" s="560">
        <v>119.89</v>
      </c>
      <c r="AE223" s="560">
        <v>117.61</v>
      </c>
      <c r="AF223" s="560">
        <v>104.7</v>
      </c>
      <c r="AG223" s="2410">
        <v>111.93</v>
      </c>
      <c r="AH223" s="598">
        <f t="shared" ref="AH223:AK223" si="185">AC223*(1+AH218)</f>
        <v>105.20887499999999</v>
      </c>
      <c r="AI223" s="598">
        <f t="shared" si="185"/>
        <v>122.2878</v>
      </c>
      <c r="AJ223" s="598">
        <f t="shared" si="185"/>
        <v>119.9622</v>
      </c>
      <c r="AK223" s="598">
        <f t="shared" si="185"/>
        <v>106.2705</v>
      </c>
      <c r="AL223" s="513">
        <f>SUMPRODUCT(AH223:AK223,AH$5:AK$5)/AL$5</f>
        <v>113.45314232876713</v>
      </c>
      <c r="AM223" s="513">
        <f>AL223*(1+AM218)</f>
        <v>114.92803317904109</v>
      </c>
      <c r="AN223" s="513">
        <f>AM223*(1+AN218)</f>
        <v>111.48019218366986</v>
      </c>
      <c r="AP223" s="726"/>
    </row>
    <row r="224" spans="1:42">
      <c r="A224" s="744" t="s">
        <v>45</v>
      </c>
      <c r="B224" s="1027">
        <v>119.52370604780722</v>
      </c>
      <c r="C224" s="1027">
        <v>122.0101362916631</v>
      </c>
      <c r="D224" s="561">
        <v>123.71002691121977</v>
      </c>
      <c r="E224" s="561">
        <v>127.10189187065713</v>
      </c>
      <c r="F224" s="561">
        <v>125.72261702246817</v>
      </c>
      <c r="G224" s="749">
        <v>126.45680365322201</v>
      </c>
      <c r="H224" s="361">
        <f>SUMPRODUCT(D224:G224,D$5:G$5)/H$5</f>
        <v>125.74970303637787</v>
      </c>
      <c r="I224" s="561">
        <v>129.63506561675104</v>
      </c>
      <c r="J224" s="561">
        <v>132.67744838363257</v>
      </c>
      <c r="K224" s="561">
        <v>131.60513095170222</v>
      </c>
      <c r="L224" s="561">
        <v>130.75</v>
      </c>
      <c r="M224" s="361">
        <f>SUMPRODUCT(I224:L224,I$5:L$5)/M$5</f>
        <v>131.17116645472538</v>
      </c>
      <c r="N224" s="561">
        <v>134.34</v>
      </c>
      <c r="O224" s="561">
        <v>143.19</v>
      </c>
      <c r="P224" s="561">
        <v>138.38</v>
      </c>
      <c r="Q224" s="561">
        <v>136.55000000000001</v>
      </c>
      <c r="R224" s="649">
        <v>137.18</v>
      </c>
      <c r="S224" s="561">
        <v>137.01</v>
      </c>
      <c r="T224" s="561">
        <v>141.96</v>
      </c>
      <c r="U224" s="561">
        <v>142.08000000000001</v>
      </c>
      <c r="V224" s="561">
        <v>138.75</v>
      </c>
      <c r="W224" s="649">
        <v>140.31</v>
      </c>
      <c r="X224" s="561">
        <v>141.63999999999999</v>
      </c>
      <c r="Y224" s="561">
        <v>146.22999999999999</v>
      </c>
      <c r="Z224" s="561">
        <v>145.68</v>
      </c>
      <c r="AA224" s="561">
        <v>139.74</v>
      </c>
      <c r="AB224" s="649">
        <v>142.57</v>
      </c>
      <c r="AC224" s="561">
        <v>144.54</v>
      </c>
      <c r="AD224" s="561">
        <v>149.27000000000001</v>
      </c>
      <c r="AE224" s="561">
        <v>147.43</v>
      </c>
      <c r="AF224" s="561">
        <v>144.37</v>
      </c>
      <c r="AG224" s="649">
        <v>146.78</v>
      </c>
      <c r="AH224" s="561"/>
      <c r="AI224" s="561"/>
      <c r="AJ224" s="305"/>
      <c r="AK224" s="305"/>
      <c r="AL224" s="208"/>
      <c r="AM224" s="208"/>
      <c r="AN224" s="208"/>
      <c r="AP224" s="726"/>
    </row>
    <row r="225" spans="1:42">
      <c r="A225" s="744" t="s">
        <v>2077</v>
      </c>
      <c r="B225" s="1028">
        <v>0.67886901698870705</v>
      </c>
      <c r="C225" s="1028">
        <v>0.69862591623678749</v>
      </c>
      <c r="D225" s="562">
        <v>0.67761946859621913</v>
      </c>
      <c r="E225" s="562">
        <v>0.76111324773815658</v>
      </c>
      <c r="F225" s="562">
        <v>0.75175209987231606</v>
      </c>
      <c r="G225" s="763">
        <v>0.66752968988251926</v>
      </c>
      <c r="H225" s="245">
        <f>SUMPRODUCT(D225:G225,D$5:G$5)/H$5</f>
        <v>0.71447705421823249</v>
      </c>
      <c r="I225" s="562">
        <v>0.68692353440012999</v>
      </c>
      <c r="J225" s="562">
        <v>0.77472202057034745</v>
      </c>
      <c r="K225" s="562">
        <v>0.7650798054084913</v>
      </c>
      <c r="L225" s="562">
        <v>0.68200000000000005</v>
      </c>
      <c r="M225" s="245">
        <f>SUMPRODUCT(I225:L225,I$5:L$5)/M$5</f>
        <v>0.72727168237121786</v>
      </c>
      <c r="N225" s="562">
        <v>0.70699999999999996</v>
      </c>
      <c r="O225" s="562">
        <v>0.78400000000000003</v>
      </c>
      <c r="P225" s="562">
        <v>0.79900000000000004</v>
      </c>
      <c r="Q225" s="562">
        <v>0.70799999999999996</v>
      </c>
      <c r="R225" s="1028">
        <v>0.754</v>
      </c>
      <c r="S225" s="562">
        <v>0.72</v>
      </c>
      <c r="T225" s="562">
        <v>0.80400000000000005</v>
      </c>
      <c r="U225" s="562">
        <v>0.80600000000000005</v>
      </c>
      <c r="V225" s="562">
        <v>0.70899999999999996</v>
      </c>
      <c r="W225" s="1028">
        <v>0.76200000000000001</v>
      </c>
      <c r="X225" s="562">
        <v>0.71399999999999997</v>
      </c>
      <c r="Y225" s="562">
        <v>0.81</v>
      </c>
      <c r="Z225" s="562">
        <v>0.80400000000000005</v>
      </c>
      <c r="AA225" s="562">
        <v>0.70599999999999996</v>
      </c>
      <c r="AB225" s="1028">
        <v>0.75700000000000001</v>
      </c>
      <c r="AC225" s="562">
        <v>0.71899999999999997</v>
      </c>
      <c r="AD225" s="562">
        <v>0.80300000000000005</v>
      </c>
      <c r="AE225" s="562">
        <v>0.79800000000000004</v>
      </c>
      <c r="AF225" s="562">
        <v>0.72499999999999998</v>
      </c>
      <c r="AG225" s="1028">
        <v>0.76300000000000001</v>
      </c>
      <c r="AH225" s="562"/>
      <c r="AI225" s="562"/>
      <c r="AJ225" s="247"/>
      <c r="AK225" s="247"/>
      <c r="AL225" s="208"/>
      <c r="AM225" s="208"/>
      <c r="AN225" s="208"/>
      <c r="AP225" s="726"/>
    </row>
    <row r="226" spans="1:42">
      <c r="A226" s="744"/>
      <c r="B226" s="563"/>
      <c r="C226" s="563"/>
      <c r="D226" s="503"/>
      <c r="E226" s="503"/>
      <c r="F226" s="503"/>
      <c r="G226" s="558"/>
      <c r="H226" s="563"/>
      <c r="I226" s="503"/>
      <c r="J226" s="558"/>
      <c r="K226" s="503"/>
      <c r="L226" s="503"/>
      <c r="M226" s="563"/>
      <c r="N226" s="503"/>
      <c r="O226" s="503"/>
      <c r="P226" s="503"/>
      <c r="Q226" s="503"/>
      <c r="R226" s="563"/>
      <c r="S226" s="503"/>
      <c r="T226" s="503"/>
      <c r="U226" s="503"/>
      <c r="V226" s="1131"/>
      <c r="W226" s="208"/>
      <c r="X226" s="503"/>
      <c r="Y226" s="503"/>
      <c r="Z226" s="503"/>
      <c r="AA226" s="503"/>
      <c r="AB226" s="1996"/>
      <c r="AC226" s="503"/>
      <c r="AD226" s="503"/>
      <c r="AE226" s="503"/>
      <c r="AF226" s="503"/>
      <c r="AG226" s="208"/>
      <c r="AH226" s="503"/>
      <c r="AI226" s="503"/>
      <c r="AJ226" s="503"/>
      <c r="AK226" s="503"/>
      <c r="AL226" s="208"/>
      <c r="AM226" s="208"/>
      <c r="AN226" s="208"/>
      <c r="AP226" s="726"/>
    </row>
    <row r="227" spans="1:42">
      <c r="A227" s="747" t="s">
        <v>2133</v>
      </c>
      <c r="B227" s="563"/>
      <c r="C227" s="563"/>
      <c r="D227" s="503"/>
      <c r="E227" s="503"/>
      <c r="F227" s="503"/>
      <c r="G227" s="558"/>
      <c r="H227" s="563"/>
      <c r="I227" s="503"/>
      <c r="J227" s="503"/>
      <c r="K227" s="503"/>
      <c r="L227" s="503"/>
      <c r="M227" s="563"/>
      <c r="N227" s="503"/>
      <c r="O227" s="503"/>
      <c r="P227" s="503"/>
      <c r="Q227" s="503"/>
      <c r="R227" s="563"/>
      <c r="S227" s="503"/>
      <c r="T227" s="503"/>
      <c r="U227" s="503"/>
      <c r="V227" s="1131"/>
      <c r="W227" s="208"/>
      <c r="X227" s="503"/>
      <c r="Y227" s="503"/>
      <c r="Z227" s="503"/>
      <c r="AA227" s="503"/>
      <c r="AB227" s="1996"/>
      <c r="AC227" s="503"/>
      <c r="AD227" s="503"/>
      <c r="AE227" s="503"/>
      <c r="AF227" s="503"/>
      <c r="AG227" s="208"/>
      <c r="AH227" s="503"/>
      <c r="AI227" s="503"/>
      <c r="AJ227" s="503"/>
      <c r="AK227" s="503"/>
      <c r="AL227" s="208"/>
      <c r="AM227" s="208"/>
      <c r="AN227" s="208"/>
      <c r="AP227" s="726"/>
    </row>
    <row r="228" spans="1:42">
      <c r="A228" s="744" t="s">
        <v>2086</v>
      </c>
      <c r="B228" s="2803">
        <f>B223/(1+0.053)</f>
        <v>77.056923866592669</v>
      </c>
      <c r="C228" s="2803">
        <f>B223</f>
        <v>81.140940831522073</v>
      </c>
      <c r="D228" s="2804">
        <f>D223/(1+0.07)</f>
        <v>78.344226818322156</v>
      </c>
      <c r="E228" s="2665">
        <f>E223/(1+0.069)</f>
        <v>90.494792998447011</v>
      </c>
      <c r="F228" s="2665">
        <f>F223/(1+0.048)</f>
        <v>90.183436400842965</v>
      </c>
      <c r="G228" s="2666">
        <f>G223/(1+0.059)</f>
        <v>79.710737418479624</v>
      </c>
      <c r="H228" s="2803">
        <f>C223</f>
        <v>85.239443256938458</v>
      </c>
      <c r="I228" s="2796">
        <f t="shared" ref="I228:K230" si="186">D223</f>
        <v>83.828322695604712</v>
      </c>
      <c r="J228" s="2796">
        <f t="shared" si="186"/>
        <v>96.738933715339854</v>
      </c>
      <c r="K228" s="2796">
        <f t="shared" si="186"/>
        <v>94.512241348083435</v>
      </c>
      <c r="L228" s="2796">
        <f>L223/(1+0.046)</f>
        <v>85.248565965583168</v>
      </c>
      <c r="M228" s="2803">
        <f>SUMPRODUCT(I228:L228,I$5:L$5)/M$5</f>
        <v>90.098044612486802</v>
      </c>
      <c r="N228" s="1998">
        <f t="shared" ref="N228:Y228" si="187">+N223/(1+N218)</f>
        <v>89.044048734770399</v>
      </c>
      <c r="O228" s="1998">
        <f t="shared" si="187"/>
        <v>104.56663560111836</v>
      </c>
      <c r="P228" s="1998">
        <f t="shared" si="187"/>
        <v>101.6268382352941</v>
      </c>
      <c r="Q228" s="1998">
        <f t="shared" si="187"/>
        <v>90.486891385767791</v>
      </c>
      <c r="R228" s="1999">
        <f t="shared" si="187"/>
        <v>96.312849162011162</v>
      </c>
      <c r="S228" s="1998">
        <f t="shared" si="187"/>
        <v>92.694835680751183</v>
      </c>
      <c r="T228" s="1998">
        <f t="shared" si="187"/>
        <v>108.72380952380952</v>
      </c>
      <c r="U228" s="1998">
        <f t="shared" si="187"/>
        <v>108.99143672692674</v>
      </c>
      <c r="V228" s="1998">
        <f t="shared" si="187"/>
        <v>94.836223506743735</v>
      </c>
      <c r="W228" s="1999">
        <f t="shared" si="187"/>
        <v>101.60646387832699</v>
      </c>
      <c r="X228" s="1998">
        <f t="shared" si="187"/>
        <v>99.371316306483294</v>
      </c>
      <c r="Y228" s="1998">
        <f t="shared" si="187"/>
        <v>115.14091350826045</v>
      </c>
      <c r="Z228" s="1998">
        <f t="shared" ref="Z228:AC229" si="188">+Z223/(1+Z218)</f>
        <v>115.36945812807882</v>
      </c>
      <c r="AA228" s="1998">
        <f t="shared" si="188"/>
        <v>97.829534192269577</v>
      </c>
      <c r="AB228" s="1999">
        <f t="shared" si="188"/>
        <v>105.93719332679099</v>
      </c>
      <c r="AC228" s="1998">
        <f t="shared" si="188"/>
        <v>101.37560975609756</v>
      </c>
      <c r="AD228" s="1998">
        <f t="shared" ref="AD228:AE228" si="189">+AD223/(1+AD218)</f>
        <v>119.29353233830847</v>
      </c>
      <c r="AE228" s="1998">
        <f t="shared" si="189"/>
        <v>117.72772772772772</v>
      </c>
      <c r="AF228" s="1998">
        <f t="shared" ref="AF228:AG228" si="190">+AF223/(1+AF218)</f>
        <v>101.45348837209302</v>
      </c>
      <c r="AG228" s="1999">
        <f t="shared" si="190"/>
        <v>110.27586206896554</v>
      </c>
      <c r="AH228" s="598">
        <f t="shared" ref="AH228:AK228" si="191">AC223</f>
        <v>103.91</v>
      </c>
      <c r="AI228" s="598">
        <f t="shared" si="191"/>
        <v>119.89</v>
      </c>
      <c r="AJ228" s="598">
        <f t="shared" si="191"/>
        <v>117.61</v>
      </c>
      <c r="AK228" s="598">
        <f t="shared" si="191"/>
        <v>104.7</v>
      </c>
      <c r="AL228" s="513">
        <f>SUMPRODUCT(AH228:AK228,AC$5:AF$5)/AG$5</f>
        <v>111.5463287671233</v>
      </c>
      <c r="AM228" s="513">
        <f>AL223</f>
        <v>113.45314232876713</v>
      </c>
      <c r="AN228" s="513">
        <f>AM223</f>
        <v>114.92803317904109</v>
      </c>
      <c r="AP228" s="726"/>
    </row>
    <row r="229" spans="1:42">
      <c r="A229" s="744" t="s">
        <v>45</v>
      </c>
      <c r="B229" s="2805">
        <f>B224/(1-0.014)</f>
        <v>121.22079720872944</v>
      </c>
      <c r="C229" s="2805">
        <f>B224</f>
        <v>119.52370604780722</v>
      </c>
      <c r="D229" s="2806">
        <f>D224/(1+0.028)</f>
        <v>120.34049310429938</v>
      </c>
      <c r="E229" s="2807">
        <f>E224/(1+0.036)</f>
        <v>122.6852238133756</v>
      </c>
      <c r="F229" s="2807">
        <f>F224/(1+0.035)</f>
        <v>121.47112755794028</v>
      </c>
      <c r="G229" s="2808">
        <f>G224/(1+0.035)</f>
        <v>122.18048662147055</v>
      </c>
      <c r="H229" s="2805">
        <f>C224</f>
        <v>122.0101362916631</v>
      </c>
      <c r="I229" s="2798">
        <f t="shared" si="186"/>
        <v>123.71002691121977</v>
      </c>
      <c r="J229" s="2798">
        <f t="shared" si="186"/>
        <v>127.10189187065713</v>
      </c>
      <c r="K229" s="2798">
        <f t="shared" si="186"/>
        <v>125.72261702246817</v>
      </c>
      <c r="L229" s="2798">
        <f>L224/(1+0.025)</f>
        <v>127.56097560975611</v>
      </c>
      <c r="M229" s="2805">
        <f>SUMPRODUCT(I229:L229,I$5:L$5)/M$5</f>
        <v>126.03360302576498</v>
      </c>
      <c r="N229" s="1997">
        <f t="shared" ref="N229:Y229" si="192">+N224/(1+N219)</f>
        <v>129.54676952748315</v>
      </c>
      <c r="O229" s="1997">
        <f t="shared" si="192"/>
        <v>137.15517241379311</v>
      </c>
      <c r="P229" s="1997">
        <f t="shared" si="192"/>
        <v>132.16809933142312</v>
      </c>
      <c r="Q229" s="1997">
        <f t="shared" si="192"/>
        <v>131.67791706846674</v>
      </c>
      <c r="R229" s="2000">
        <f t="shared" si="192"/>
        <v>131.77713736791549</v>
      </c>
      <c r="S229" s="1997">
        <f t="shared" si="192"/>
        <v>131.74038461538461</v>
      </c>
      <c r="T229" s="1997">
        <f t="shared" si="192"/>
        <v>136.63137632338788</v>
      </c>
      <c r="U229" s="1997">
        <f t="shared" si="192"/>
        <v>136.61538461538461</v>
      </c>
      <c r="V229" s="1997">
        <f t="shared" si="192"/>
        <v>134.31752178121977</v>
      </c>
      <c r="W229" s="2000">
        <f t="shared" si="192"/>
        <v>135.17341040462426</v>
      </c>
      <c r="X229" s="1997">
        <f t="shared" si="192"/>
        <v>138.05068226120855</v>
      </c>
      <c r="Y229" s="1997">
        <f t="shared" si="192"/>
        <v>142.94232649071358</v>
      </c>
      <c r="Z229" s="1997">
        <f t="shared" si="188"/>
        <v>142.96368989205104</v>
      </c>
      <c r="AA229" s="1997">
        <f t="shared" si="188"/>
        <v>138.08300395256919</v>
      </c>
      <c r="AB229" s="2000">
        <f t="shared" si="188"/>
        <v>139.63761018609208</v>
      </c>
      <c r="AC229" s="1997">
        <f t="shared" si="188"/>
        <v>142.68509378084897</v>
      </c>
      <c r="AD229" s="1997">
        <f t="shared" ref="AD229:AE229" si="193">+AD224/(1+AD219)</f>
        <v>147.64589515331357</v>
      </c>
      <c r="AE229" s="1997">
        <f t="shared" si="193"/>
        <v>146.69651741293535</v>
      </c>
      <c r="AF229" s="1997">
        <f t="shared" ref="AF229:AG229" si="194">+AF224/(1+AF219)</f>
        <v>142.79920870425323</v>
      </c>
      <c r="AG229" s="2000">
        <f t="shared" si="194"/>
        <v>145.32673267326732</v>
      </c>
      <c r="AH229" s="1997"/>
      <c r="AI229" s="1997"/>
      <c r="AK229" s="474"/>
      <c r="AL229" s="208"/>
      <c r="AM229" s="208"/>
      <c r="AN229" s="208"/>
      <c r="AP229" s="726"/>
    </row>
    <row r="230" spans="1:42">
      <c r="A230" s="744" t="s">
        <v>2077</v>
      </c>
      <c r="B230" s="2809">
        <f>B225-0.043</f>
        <v>0.63586901698870701</v>
      </c>
      <c r="C230" s="2809">
        <f>B225</f>
        <v>0.67886901698870705</v>
      </c>
      <c r="D230" s="2810">
        <f>D225-0.027</f>
        <v>0.65061946859621911</v>
      </c>
      <c r="E230" s="2811">
        <f>E225-0.024</f>
        <v>0.73711324773815656</v>
      </c>
      <c r="F230" s="2811">
        <f>F225-0.009</f>
        <v>0.74275209987231605</v>
      </c>
      <c r="G230" s="2812">
        <f>G225-0.015</f>
        <v>0.65252968988251925</v>
      </c>
      <c r="H230" s="2809">
        <f>C225</f>
        <v>0.69862591623678749</v>
      </c>
      <c r="I230" s="2811">
        <f t="shared" si="186"/>
        <v>0.67761946859621913</v>
      </c>
      <c r="J230" s="2811">
        <f t="shared" si="186"/>
        <v>0.76111324773815658</v>
      </c>
      <c r="K230" s="2811">
        <f t="shared" si="186"/>
        <v>0.75175209987231606</v>
      </c>
      <c r="L230" s="2813">
        <f>L225-0.013</f>
        <v>0.66900000000000004</v>
      </c>
      <c r="M230" s="2809">
        <f>SUMPRODUCT(I230:L230,I$5:L$5)/M$5</f>
        <v>0.71494863261941122</v>
      </c>
      <c r="N230" s="2841">
        <f t="shared" ref="N230:Y230" si="195">N225-N220</f>
        <v>0.68699999999999994</v>
      </c>
      <c r="O230" s="2841">
        <f t="shared" si="195"/>
        <v>0.76200000000000001</v>
      </c>
      <c r="P230" s="2841">
        <f t="shared" si="195"/>
        <v>0.76900000000000002</v>
      </c>
      <c r="Q230" s="2841">
        <f t="shared" si="195"/>
        <v>0.68699999999999994</v>
      </c>
      <c r="R230" s="2842">
        <f t="shared" si="195"/>
        <v>0.73099999999999998</v>
      </c>
      <c r="S230" s="2841">
        <f t="shared" si="195"/>
        <v>0.70299999999999996</v>
      </c>
      <c r="T230" s="2841">
        <f t="shared" si="195"/>
        <v>0.79600000000000004</v>
      </c>
      <c r="U230" s="2841">
        <f t="shared" si="195"/>
        <v>0.79800000000000004</v>
      </c>
      <c r="V230" s="2841">
        <f t="shared" si="195"/>
        <v>0.70599999999999996</v>
      </c>
      <c r="W230" s="2842">
        <f t="shared" si="195"/>
        <v>0.752</v>
      </c>
      <c r="X230" s="2841">
        <f t="shared" si="195"/>
        <v>0.71899999999999997</v>
      </c>
      <c r="Y230" s="2841">
        <f t="shared" si="195"/>
        <v>0.80600000000000005</v>
      </c>
      <c r="Z230" s="2841">
        <f>Z225-Z220</f>
        <v>0.80700000000000005</v>
      </c>
      <c r="AA230" s="2841">
        <f>AA225-AA220</f>
        <v>0.70799999999999996</v>
      </c>
      <c r="AB230" s="2842">
        <f>AB225-AB220</f>
        <v>0.75800000000000001</v>
      </c>
      <c r="AC230" s="2841">
        <f t="shared" ref="AC230:AD230" si="196">AC225-AC220</f>
        <v>0.71099999999999997</v>
      </c>
      <c r="AD230" s="2841">
        <f t="shared" si="196"/>
        <v>0.80800000000000005</v>
      </c>
      <c r="AE230" s="2841">
        <f t="shared" ref="AE230:AF230" si="197">AE225-AE220</f>
        <v>0.80200000000000005</v>
      </c>
      <c r="AF230" s="2841">
        <f t="shared" si="197"/>
        <v>0.71</v>
      </c>
      <c r="AG230" s="2842">
        <f>AG225-AG220</f>
        <v>0.76200000000000001</v>
      </c>
      <c r="AH230" s="2841"/>
      <c r="AI230" s="2841"/>
      <c r="AK230" s="474"/>
      <c r="AL230" s="208"/>
      <c r="AM230" s="208"/>
      <c r="AN230" s="208"/>
      <c r="AP230" s="726"/>
    </row>
    <row r="231" spans="1:42">
      <c r="A231" s="557"/>
      <c r="B231" s="563"/>
      <c r="C231" s="563"/>
      <c r="D231" s="15"/>
      <c r="E231" s="15"/>
      <c r="F231" s="15"/>
      <c r="G231" s="15"/>
      <c r="H231" s="208"/>
      <c r="I231" s="15"/>
      <c r="J231" s="15"/>
      <c r="K231" s="15"/>
      <c r="L231" s="1777"/>
      <c r="M231" s="1996"/>
      <c r="N231" s="15"/>
      <c r="O231" s="15"/>
      <c r="P231" s="2214"/>
      <c r="Q231" s="15"/>
      <c r="R231" s="208"/>
      <c r="S231" s="13"/>
      <c r="V231" s="474"/>
      <c r="W231" s="208"/>
      <c r="X231" s="13"/>
      <c r="AA231" s="474"/>
      <c r="AB231" s="208"/>
      <c r="AF231" s="474"/>
      <c r="AG231" s="208"/>
      <c r="AK231" s="474"/>
      <c r="AL231" s="208"/>
      <c r="AM231" s="208"/>
      <c r="AN231" s="208"/>
      <c r="AP231" s="726"/>
    </row>
    <row r="232" spans="1:42">
      <c r="A232" s="557"/>
      <c r="B232" s="563"/>
      <c r="C232" s="563"/>
      <c r="D232" s="15"/>
      <c r="E232" s="15"/>
      <c r="F232" s="15"/>
      <c r="G232" s="15"/>
      <c r="H232" s="208"/>
      <c r="I232" s="15"/>
      <c r="J232" s="15"/>
      <c r="K232" s="15"/>
      <c r="L232" s="2215"/>
      <c r="M232" s="1996"/>
      <c r="N232" s="15"/>
      <c r="O232" s="2213"/>
      <c r="P232" s="15"/>
      <c r="Q232" s="15"/>
      <c r="R232" s="208"/>
      <c r="S232" s="13"/>
      <c r="V232" s="474"/>
      <c r="W232" s="208"/>
      <c r="X232" s="13"/>
      <c r="AA232" s="474"/>
      <c r="AB232" s="208"/>
      <c r="AF232" s="474"/>
      <c r="AG232" s="208"/>
      <c r="AK232" s="474"/>
      <c r="AL232" s="208"/>
      <c r="AM232" s="208"/>
      <c r="AN232" s="208"/>
      <c r="AP232" s="726"/>
    </row>
    <row r="233" spans="1:42">
      <c r="A233" s="202" t="s">
        <v>16</v>
      </c>
      <c r="B233" s="564"/>
      <c r="C233" s="564"/>
      <c r="D233" s="470"/>
      <c r="E233" s="470"/>
      <c r="F233" s="470"/>
      <c r="G233" s="470"/>
      <c r="H233" s="553"/>
      <c r="I233" s="470"/>
      <c r="J233" s="470"/>
      <c r="K233" s="470"/>
      <c r="L233" s="2003"/>
      <c r="M233" s="2004"/>
      <c r="N233" s="470"/>
      <c r="O233" s="470"/>
      <c r="P233" s="470"/>
      <c r="Q233" s="470"/>
      <c r="R233" s="553"/>
      <c r="S233" s="2380"/>
      <c r="T233" s="470"/>
      <c r="U233" s="470"/>
      <c r="V233" s="785"/>
      <c r="W233" s="553"/>
      <c r="X233" s="2380"/>
      <c r="Y233" s="470"/>
      <c r="Z233" s="470"/>
      <c r="AA233" s="785"/>
      <c r="AB233" s="553"/>
      <c r="AC233" s="470"/>
      <c r="AD233" s="470"/>
      <c r="AE233" s="470"/>
      <c r="AF233" s="785"/>
      <c r="AG233" s="553"/>
      <c r="AH233" s="470"/>
      <c r="AI233" s="470"/>
      <c r="AJ233" s="470"/>
      <c r="AK233" s="785"/>
      <c r="AL233" s="553"/>
      <c r="AM233" s="553"/>
      <c r="AN233" s="553"/>
    </row>
    <row r="234" spans="1:42" s="130" customFormat="1">
      <c r="A234" s="482" t="s">
        <v>1422</v>
      </c>
      <c r="B234" s="1043"/>
      <c r="C234" s="1043">
        <f t="shared" ref="C234:J234" si="198">C325</f>
        <v>8.9357649750925194E-2</v>
      </c>
      <c r="D234" s="417"/>
      <c r="E234" s="417"/>
      <c r="F234" s="417"/>
      <c r="G234" s="417"/>
      <c r="H234" s="455">
        <f t="shared" si="198"/>
        <v>-4.9827442479098427E-2</v>
      </c>
      <c r="I234" s="417">
        <f t="shared" si="198"/>
        <v>5.7740350270467644E-3</v>
      </c>
      <c r="J234" s="417">
        <f t="shared" si="198"/>
        <v>1.8579298273599054E-2</v>
      </c>
      <c r="K234" s="417">
        <f t="shared" ref="K234:AB234" si="199">K325</f>
        <v>-2.2487351757105589E-2</v>
      </c>
      <c r="L234" s="1991">
        <f t="shared" si="199"/>
        <v>8.9300917079999653E-3</v>
      </c>
      <c r="M234" s="1992">
        <f t="shared" si="199"/>
        <v>2.4469393673476336E-3</v>
      </c>
      <c r="N234" s="417">
        <f t="shared" si="199"/>
        <v>-2.144167323987789E-2</v>
      </c>
      <c r="O234" s="417">
        <f t="shared" si="199"/>
        <v>1.9720513013950836E-2</v>
      </c>
      <c r="P234" s="417">
        <f t="shared" si="199"/>
        <v>4.4166714890343517E-2</v>
      </c>
      <c r="Q234" s="417">
        <f t="shared" si="199"/>
        <v>-1.3267872096410449E-2</v>
      </c>
      <c r="R234" s="1992">
        <f t="shared" si="199"/>
        <v>7.9427487340886227E-3</v>
      </c>
      <c r="S234" s="417">
        <f t="shared" si="199"/>
        <v>-8.0259566625670908E-2</v>
      </c>
      <c r="T234" s="417">
        <f t="shared" si="199"/>
        <v>-8.3037101511272637E-2</v>
      </c>
      <c r="U234" s="417">
        <f t="shared" si="199"/>
        <v>-6.5090256567600591E-2</v>
      </c>
      <c r="V234" s="417">
        <f t="shared" si="199"/>
        <v>-8.6525670041140645E-2</v>
      </c>
      <c r="W234" s="745">
        <f t="shared" si="199"/>
        <v>-7.8488752406410067E-2</v>
      </c>
      <c r="X234" s="417">
        <f t="shared" si="199"/>
        <v>3.0069991379370054E-2</v>
      </c>
      <c r="Y234" s="417">
        <f t="shared" si="199"/>
        <v>3.0142137518733181E-2</v>
      </c>
      <c r="Z234" s="417">
        <f t="shared" si="199"/>
        <v>4.7862163007073022E-4</v>
      </c>
      <c r="AA234" s="417">
        <f t="shared" si="199"/>
        <v>7.9965823430785399E-3</v>
      </c>
      <c r="AB234" s="455">
        <f t="shared" si="199"/>
        <v>1.7130621294761061E-2</v>
      </c>
      <c r="AC234" s="417">
        <f>AC325</f>
        <v>-9.6928200357593752E-2</v>
      </c>
      <c r="AD234" s="417">
        <f>AD325</f>
        <v>-6.28370572019602E-2</v>
      </c>
      <c r="AE234" s="417">
        <f>AE325</f>
        <v>-2.9278989532458555E-2</v>
      </c>
      <c r="AF234" s="417">
        <f>AF325</f>
        <v>-4.3062633785937443E-3</v>
      </c>
      <c r="AG234" s="745">
        <f>AG325</f>
        <v>-5.2432899560336255E-2</v>
      </c>
      <c r="AH234" s="417"/>
      <c r="AI234" s="417"/>
      <c r="AJ234" s="417"/>
      <c r="AK234" s="655"/>
      <c r="AL234" s="455"/>
      <c r="AM234" s="455"/>
      <c r="AN234" s="455"/>
    </row>
    <row r="235" spans="1:42">
      <c r="A235" s="13"/>
      <c r="B235" s="208"/>
      <c r="C235" s="208"/>
      <c r="D235" s="15"/>
      <c r="E235" s="15"/>
      <c r="F235" s="15"/>
      <c r="G235" s="15"/>
      <c r="H235" s="208"/>
      <c r="I235" s="15"/>
      <c r="J235" s="15"/>
      <c r="K235" s="244"/>
      <c r="L235" s="1777"/>
      <c r="M235" s="1996"/>
      <c r="N235" s="15"/>
      <c r="O235" s="15"/>
      <c r="P235" s="15"/>
      <c r="Q235" s="15"/>
      <c r="R235" s="208"/>
      <c r="S235" s="13"/>
      <c r="V235" s="474"/>
      <c r="W235" s="208"/>
      <c r="X235" s="13"/>
      <c r="AA235" s="474"/>
      <c r="AB235" s="208"/>
      <c r="AF235" s="474"/>
      <c r="AG235" s="208"/>
      <c r="AK235" s="474"/>
      <c r="AL235" s="208"/>
      <c r="AM235" s="208"/>
      <c r="AN235" s="208"/>
    </row>
    <row r="236" spans="1:42">
      <c r="A236" s="202" t="s">
        <v>1390</v>
      </c>
      <c r="B236" s="553"/>
      <c r="C236" s="553"/>
      <c r="D236" s="470"/>
      <c r="E236" s="470"/>
      <c r="F236" s="470"/>
      <c r="G236" s="470"/>
      <c r="H236" s="553"/>
      <c r="I236" s="470"/>
      <c r="J236" s="470"/>
      <c r="K236" s="470"/>
      <c r="L236" s="2007"/>
      <c r="M236" s="2004"/>
      <c r="N236" s="470"/>
      <c r="O236" s="470"/>
      <c r="P236" s="470"/>
      <c r="Q236" s="785"/>
      <c r="R236" s="553"/>
      <c r="S236" s="2380"/>
      <c r="T236" s="470"/>
      <c r="U236" s="470"/>
      <c r="V236" s="785"/>
      <c r="W236" s="553"/>
      <c r="X236" s="2380"/>
      <c r="Y236" s="470"/>
      <c r="Z236" s="470"/>
      <c r="AA236" s="785"/>
      <c r="AB236" s="553"/>
      <c r="AC236" s="470"/>
      <c r="AD236" s="470"/>
      <c r="AE236" s="470"/>
      <c r="AF236" s="785"/>
      <c r="AG236" s="553"/>
      <c r="AH236" s="470"/>
      <c r="AI236" s="470"/>
      <c r="AJ236" s="470"/>
      <c r="AK236" s="785"/>
      <c r="AL236" s="553"/>
      <c r="AM236" s="553"/>
      <c r="AN236" s="553"/>
    </row>
    <row r="237" spans="1:42">
      <c r="A237" s="557" t="s">
        <v>2086</v>
      </c>
      <c r="B237" s="226">
        <f t="shared" ref="B237:G238" si="200">B242/B247-1</f>
        <v>7.0000000000000062E-2</v>
      </c>
      <c r="C237" s="226">
        <f t="shared" si="200"/>
        <v>7.9160496294379934E-2</v>
      </c>
      <c r="D237" s="128">
        <f t="shared" si="200"/>
        <v>4.4000000000000039E-2</v>
      </c>
      <c r="E237" s="128">
        <f t="shared" si="200"/>
        <v>5.2999999999999936E-2</v>
      </c>
      <c r="F237" s="128">
        <f t="shared" si="200"/>
        <v>4.2999999999999927E-2</v>
      </c>
      <c r="G237" s="128">
        <f t="shared" si="200"/>
        <v>3.499999999999992E-2</v>
      </c>
      <c r="H237" s="226">
        <f t="shared" ref="H237:K238" si="201">H242/H247-1</f>
        <v>1.4066586398332914E-2</v>
      </c>
      <c r="I237" s="128">
        <f t="shared" si="201"/>
        <v>-2.8580886913448511E-3</v>
      </c>
      <c r="J237" s="128">
        <f t="shared" si="201"/>
        <v>1.026781457508541E-2</v>
      </c>
      <c r="K237" s="128">
        <f t="shared" si="201"/>
        <v>2.3840575829098265E-2</v>
      </c>
      <c r="L237" s="1784">
        <f>L317</f>
        <v>0.04</v>
      </c>
      <c r="M237" s="1990">
        <f>M242/M247-1</f>
        <v>1.7678841071379514E-2</v>
      </c>
      <c r="N237" s="1784">
        <f>N317</f>
        <v>0.05</v>
      </c>
      <c r="O237" s="7">
        <f>O317</f>
        <v>0.06</v>
      </c>
      <c r="P237" s="7">
        <f>P317</f>
        <v>8.3000000000000004E-2</v>
      </c>
      <c r="Q237" s="786">
        <f>Q317</f>
        <v>6.5000000000000002E-2</v>
      </c>
      <c r="R237" s="567">
        <f>R242/R247-1</f>
        <v>6.4951401364892858E-2</v>
      </c>
      <c r="S237" s="7">
        <f>S317</f>
        <v>6.6000000000000003E-2</v>
      </c>
      <c r="T237" s="7">
        <f>T317</f>
        <v>5.0999999999999997E-2</v>
      </c>
      <c r="U237" s="7">
        <f>U317</f>
        <v>5.1999999999999998E-2</v>
      </c>
      <c r="V237" s="786">
        <f>V317</f>
        <v>3.7999999999999999E-2</v>
      </c>
      <c r="W237" s="567">
        <f>W242/W247-1</f>
        <v>5.1694213664527311E-2</v>
      </c>
      <c r="X237" s="7">
        <f>X317</f>
        <v>1.9E-2</v>
      </c>
      <c r="Y237" s="7">
        <f>Y317</f>
        <v>2.8000000000000001E-2</v>
      </c>
      <c r="Z237" s="7">
        <f>Z317</f>
        <v>1.7000000000000001E-2</v>
      </c>
      <c r="AA237" s="7">
        <f>AA317</f>
        <v>5.0000000000000001E-3</v>
      </c>
      <c r="AB237" s="567">
        <f>AB242/AB247-1</f>
        <v>1.7310952464866247E-2</v>
      </c>
      <c r="AC237" s="503">
        <v>2.8000000000000001E-2</v>
      </c>
      <c r="AD237" s="503">
        <v>6.5000000000000002E-2</v>
      </c>
      <c r="AE237" s="503">
        <v>3.4000000000000002E-2</v>
      </c>
      <c r="AF237" s="503">
        <v>6.2E-2</v>
      </c>
      <c r="AG237" s="3599">
        <v>5.2999999999999999E-2</v>
      </c>
      <c r="AH237" s="7">
        <f t="shared" ref="AH237:AK237" si="202">AH317</f>
        <v>0.03</v>
      </c>
      <c r="AI237" s="7">
        <f t="shared" si="202"/>
        <v>0.03</v>
      </c>
      <c r="AJ237" s="7">
        <f t="shared" si="202"/>
        <v>0.03</v>
      </c>
      <c r="AK237" s="7">
        <f t="shared" si="202"/>
        <v>0.03</v>
      </c>
      <c r="AL237" s="226">
        <f>AL242/AL247-1</f>
        <v>3.0000000000000027E-2</v>
      </c>
      <c r="AM237" s="226">
        <f>AM317</f>
        <v>1.4999999999999999E-2</v>
      </c>
      <c r="AN237" s="226">
        <f>AN317</f>
        <v>-0.03</v>
      </c>
    </row>
    <row r="238" spans="1:42">
      <c r="A238" s="557" t="s">
        <v>45</v>
      </c>
      <c r="B238" s="226">
        <f t="shared" si="200"/>
        <v>-2.0000000000001128E-3</v>
      </c>
      <c r="C238" s="226">
        <f t="shared" si="200"/>
        <v>6.9600226207213511E-2</v>
      </c>
      <c r="D238" s="128">
        <f t="shared" si="200"/>
        <v>1.8999999999999906E-2</v>
      </c>
      <c r="E238" s="128">
        <f t="shared" si="200"/>
        <v>2.4000000000000021E-2</v>
      </c>
      <c r="F238" s="128">
        <f t="shared" si="200"/>
        <v>1.8999999999999906E-2</v>
      </c>
      <c r="G238" s="128">
        <f t="shared" si="200"/>
        <v>1.6000000000000014E-2</v>
      </c>
      <c r="H238" s="226">
        <f t="shared" si="201"/>
        <v>-1.0309446148017987E-3</v>
      </c>
      <c r="I238" s="128">
        <f t="shared" si="201"/>
        <v>1.8312329146015216E-3</v>
      </c>
      <c r="J238" s="128">
        <f t="shared" si="201"/>
        <v>8.4398344686826832E-3</v>
      </c>
      <c r="K238" s="128">
        <f t="shared" si="201"/>
        <v>1.8625685719866336E-2</v>
      </c>
      <c r="L238" s="1784"/>
      <c r="M238" s="1990"/>
      <c r="N238" s="128"/>
      <c r="O238" s="128"/>
      <c r="P238" s="128"/>
      <c r="Q238" s="786"/>
      <c r="R238" s="208"/>
      <c r="S238" s="128"/>
      <c r="T238" s="128"/>
      <c r="U238" s="128"/>
      <c r="V238" s="786"/>
      <c r="W238" s="208"/>
      <c r="X238" s="128"/>
      <c r="Y238" s="128"/>
      <c r="Z238" s="128"/>
      <c r="AA238" s="128"/>
      <c r="AB238" s="208"/>
      <c r="AC238" s="503">
        <v>5.0000000000000001E-3</v>
      </c>
      <c r="AD238" s="503">
        <v>2.9000000000000001E-2</v>
      </c>
      <c r="AE238" s="503">
        <v>1.2E-2</v>
      </c>
      <c r="AF238" s="503">
        <v>0.03</v>
      </c>
      <c r="AG238" s="563">
        <v>2.1000000000000001E-2</v>
      </c>
      <c r="AH238" s="503"/>
      <c r="AI238" s="503"/>
      <c r="AJ238" s="128"/>
      <c r="AK238" s="128"/>
      <c r="AL238" s="208"/>
      <c r="AM238" s="208"/>
      <c r="AN238" s="208"/>
    </row>
    <row r="239" spans="1:42">
      <c r="A239" s="557" t="s">
        <v>2077</v>
      </c>
      <c r="B239" s="226">
        <f t="shared" ref="B239:I239" si="203">B244-B249</f>
        <v>4.6000000000000041E-2</v>
      </c>
      <c r="C239" s="226">
        <f t="shared" si="203"/>
        <v>6.0643570564311577E-3</v>
      </c>
      <c r="D239" s="128">
        <f t="shared" si="203"/>
        <v>1.6000000000000014E-2</v>
      </c>
      <c r="E239" s="128">
        <f t="shared" si="203"/>
        <v>2.0000000000000018E-2</v>
      </c>
      <c r="F239" s="128">
        <f t="shared" si="203"/>
        <v>1.7000000000000015E-2</v>
      </c>
      <c r="G239" s="128">
        <f t="shared" si="203"/>
        <v>1.2000000000000011E-2</v>
      </c>
      <c r="H239" s="226">
        <f t="shared" si="203"/>
        <v>1.067670759647088E-2</v>
      </c>
      <c r="I239" s="128">
        <f t="shared" si="203"/>
        <v>-3.1309350884297649E-3</v>
      </c>
      <c r="J239" s="128">
        <f>J244-J249</f>
        <v>1.297612077285959E-3</v>
      </c>
      <c r="K239" s="128">
        <f>K244-K249</f>
        <v>3.7932733683216924E-3</v>
      </c>
      <c r="L239" s="1784"/>
      <c r="M239" s="1990"/>
      <c r="N239" s="128"/>
      <c r="O239" s="128"/>
      <c r="P239" s="128"/>
      <c r="Q239" s="128"/>
      <c r="R239" s="208"/>
      <c r="S239" s="128"/>
      <c r="T239" s="128"/>
      <c r="U239" s="128"/>
      <c r="V239" s="128"/>
      <c r="W239" s="208"/>
      <c r="X239" s="128"/>
      <c r="Y239" s="128"/>
      <c r="Z239" s="128"/>
      <c r="AA239" s="128"/>
      <c r="AB239" s="208"/>
      <c r="AC239" s="503">
        <v>1.4999999999999999E-2</v>
      </c>
      <c r="AD239" s="503">
        <v>2.5000000000000001E-2</v>
      </c>
      <c r="AE239" s="503">
        <v>1.6E-2</v>
      </c>
      <c r="AF239" s="503">
        <v>2.1000000000000001E-2</v>
      </c>
      <c r="AG239" s="563">
        <v>2.1000000000000001E-2</v>
      </c>
      <c r="AH239" s="503"/>
      <c r="AI239" s="503"/>
      <c r="AJ239" s="128"/>
      <c r="AK239" s="128"/>
      <c r="AL239" s="208"/>
      <c r="AM239" s="208"/>
      <c r="AN239" s="208"/>
    </row>
    <row r="240" spans="1:42">
      <c r="A240" s="557"/>
      <c r="B240" s="563"/>
      <c r="C240" s="563"/>
      <c r="D240" s="15"/>
      <c r="E240" s="15"/>
      <c r="F240" s="15"/>
      <c r="G240" s="15"/>
      <c r="H240" s="208"/>
      <c r="I240" s="15"/>
      <c r="J240" s="15"/>
      <c r="K240" s="15"/>
      <c r="L240" s="1777"/>
      <c r="M240" s="1996"/>
      <c r="N240" s="15"/>
      <c r="O240" s="15"/>
      <c r="P240" s="15"/>
      <c r="Q240" s="15"/>
      <c r="R240" s="208"/>
      <c r="W240" s="208"/>
      <c r="AB240" s="208"/>
      <c r="AG240" s="208"/>
      <c r="AL240" s="208"/>
      <c r="AM240" s="208"/>
      <c r="AN240" s="208"/>
    </row>
    <row r="241" spans="1:40">
      <c r="A241" s="559" t="s">
        <v>2132</v>
      </c>
      <c r="B241" s="649"/>
      <c r="C241" s="651"/>
      <c r="D241" s="650"/>
      <c r="E241" s="650"/>
      <c r="F241" s="650"/>
      <c r="G241" s="650"/>
      <c r="H241" s="208"/>
      <c r="I241" s="650"/>
      <c r="J241" s="650"/>
      <c r="K241" s="650"/>
      <c r="L241" s="1997"/>
      <c r="M241" s="1996"/>
      <c r="N241" s="650"/>
      <c r="O241" s="650"/>
      <c r="P241" s="650"/>
      <c r="Q241" s="650"/>
      <c r="R241" s="208"/>
      <c r="S241" s="650"/>
      <c r="T241" s="650"/>
      <c r="U241" s="650"/>
      <c r="V241" s="650"/>
      <c r="W241" s="208"/>
      <c r="X241" s="650"/>
      <c r="Y241" s="650"/>
      <c r="Z241" s="650"/>
      <c r="AA241" s="650"/>
      <c r="AB241" s="208"/>
      <c r="AD241" s="650"/>
      <c r="AE241" s="650"/>
      <c r="AF241" s="650"/>
      <c r="AG241" s="208"/>
      <c r="AI241" s="650"/>
      <c r="AJ241" s="650"/>
      <c r="AK241" s="650"/>
      <c r="AL241" s="208"/>
      <c r="AM241" s="208"/>
      <c r="AN241" s="208"/>
    </row>
    <row r="242" spans="1:40">
      <c r="A242" s="557" t="s">
        <v>2086</v>
      </c>
      <c r="B242" s="1026">
        <v>90.588072519231559</v>
      </c>
      <c r="C242" s="1026">
        <v>97.759069298205205</v>
      </c>
      <c r="D242" s="560">
        <v>98.587851996175814</v>
      </c>
      <c r="E242" s="560">
        <v>100.73754461564837</v>
      </c>
      <c r="F242" s="560">
        <v>104.5307766680298</v>
      </c>
      <c r="G242" s="762">
        <v>92.6921384608343</v>
      </c>
      <c r="H242" s="513">
        <f>SUMPRODUCT(D242:G242,D$5:G$5)/H$5</f>
        <v>99.134205692709017</v>
      </c>
      <c r="I242" s="560">
        <v>98.306079171281567</v>
      </c>
      <c r="J242" s="560">
        <v>101.77189904451124</v>
      </c>
      <c r="K242" s="560">
        <v>107.0228505756585</v>
      </c>
      <c r="L242" s="1998">
        <f>G242*(1+L237)</f>
        <v>96.399823999267682</v>
      </c>
      <c r="M242" s="2005">
        <f>SUMPRODUCT(I242:L242,I$5:L$5)/M$5</f>
        <v>100.88678355988787</v>
      </c>
      <c r="N242" s="1130">
        <f>I242*(1+N237)</f>
        <v>103.22138312984565</v>
      </c>
      <c r="O242" s="598">
        <f>J242*(1+O237)</f>
        <v>107.87821298718193</v>
      </c>
      <c r="P242" s="598">
        <f>K242*(1+P237)</f>
        <v>115.90574717343814</v>
      </c>
      <c r="Q242" s="598">
        <f>L242*(1+Q237)</f>
        <v>102.66581255922007</v>
      </c>
      <c r="R242" s="513">
        <f>SUMPRODUCT(N242:Q242,N$5:Q$5)/R$5</f>
        <v>107.43952153129923</v>
      </c>
      <c r="S242" s="598">
        <f>N242*(1+S237)</f>
        <v>110.03399441641547</v>
      </c>
      <c r="T242" s="598">
        <f>O242*(1+T237)</f>
        <v>113.3800018495282</v>
      </c>
      <c r="U242" s="598">
        <f>P242*(1+U237)</f>
        <v>121.93284602645693</v>
      </c>
      <c r="V242" s="598">
        <f>Q242*(1+V237)</f>
        <v>106.56711343647044</v>
      </c>
      <c r="W242" s="513">
        <f>SUMPRODUCT(S242:V242,S$5:V$5)/W$5</f>
        <v>112.99352311335279</v>
      </c>
      <c r="X242" s="598">
        <f>S242*(1+X237)</f>
        <v>112.12464031032735</v>
      </c>
      <c r="Y242" s="598">
        <f>T242*(1+Y237)</f>
        <v>116.55464190131499</v>
      </c>
      <c r="Z242" s="598">
        <f>U242*(1+Z237)</f>
        <v>124.00570440890668</v>
      </c>
      <c r="AA242" s="598">
        <f>V242*(1+AA237)</f>
        <v>107.09994900365278</v>
      </c>
      <c r="AB242" s="513">
        <f>SUMPRODUCT(X242:AA242,X$5:AA$5)/AB$5</f>
        <v>114.9495486208058</v>
      </c>
      <c r="AC242" s="560">
        <v>83.07</v>
      </c>
      <c r="AD242" s="560">
        <v>91.24</v>
      </c>
      <c r="AE242" s="560">
        <v>98.46</v>
      </c>
      <c r="AF242" s="560">
        <v>85.48</v>
      </c>
      <c r="AG242" s="2410">
        <v>89.04</v>
      </c>
      <c r="AH242" s="598">
        <f t="shared" ref="AH242:AK242" si="204">AH247*(1+AH237)</f>
        <v>85.562100000000001</v>
      </c>
      <c r="AI242" s="598">
        <f t="shared" si="204"/>
        <v>93.977199999999996</v>
      </c>
      <c r="AJ242" s="598">
        <f t="shared" si="204"/>
        <v>101.41379999999999</v>
      </c>
      <c r="AK242" s="598">
        <f t="shared" si="204"/>
        <v>88.04440000000001</v>
      </c>
      <c r="AL242" s="513">
        <f>SUMPRODUCT(AH242:AK242,AH$5:AK$5)/AL$5</f>
        <v>92.281283835616449</v>
      </c>
      <c r="AM242" s="513">
        <f>AL242*(1+AM237)</f>
        <v>93.66550309315069</v>
      </c>
      <c r="AN242" s="513">
        <f>AM242*(1+AN237)</f>
        <v>90.855538000356162</v>
      </c>
    </row>
    <row r="243" spans="1:40">
      <c r="A243" s="557" t="s">
        <v>45</v>
      </c>
      <c r="B243" s="1027">
        <v>133.51649746291955</v>
      </c>
      <c r="C243" s="1027">
        <v>142.80927588873359</v>
      </c>
      <c r="D243" s="561">
        <v>147.38890502235495</v>
      </c>
      <c r="E243" s="561">
        <v>140.72392986292877</v>
      </c>
      <c r="F243" s="561">
        <v>141.07841549372009</v>
      </c>
      <c r="G243" s="749">
        <v>141.48725175172012</v>
      </c>
      <c r="H243" s="361">
        <f>SUMPRODUCT(D243:G243,D$5:G$5)/H$5</f>
        <v>142.66204743481237</v>
      </c>
      <c r="I243" s="561">
        <v>147.65880843647895</v>
      </c>
      <c r="J243" s="561">
        <v>141.91161653675439</v>
      </c>
      <c r="K243" s="561">
        <v>143.70609772256284</v>
      </c>
      <c r="L243" s="561"/>
      <c r="M243" s="2006"/>
      <c r="N243" s="749"/>
      <c r="O243" s="561"/>
      <c r="P243" s="561"/>
      <c r="Q243" s="561"/>
      <c r="R243" s="361"/>
      <c r="S243" s="561"/>
      <c r="T243" s="561"/>
      <c r="U243" s="561"/>
      <c r="V243" s="561"/>
      <c r="W243" s="361"/>
      <c r="X243" s="561"/>
      <c r="Y243" s="561"/>
      <c r="Z243" s="561"/>
      <c r="AA243" s="561"/>
      <c r="AB243" s="361"/>
      <c r="AC243" s="561">
        <v>123.59</v>
      </c>
      <c r="AD243" s="561">
        <v>123.27</v>
      </c>
      <c r="AE243" s="561">
        <v>128.52000000000001</v>
      </c>
      <c r="AF243" s="561">
        <v>124.41</v>
      </c>
      <c r="AG243" s="649">
        <v>124.47</v>
      </c>
      <c r="AH243" s="561"/>
      <c r="AI243" s="561"/>
      <c r="AJ243" s="561"/>
      <c r="AK243" s="561"/>
      <c r="AL243" s="208"/>
      <c r="AM243" s="208"/>
      <c r="AN243" s="208"/>
    </row>
    <row r="244" spans="1:40">
      <c r="A244" s="557" t="s">
        <v>2077</v>
      </c>
      <c r="B244" s="1028">
        <v>0.67847849696918427</v>
      </c>
      <c r="C244" s="1028">
        <v>0.68454285402561543</v>
      </c>
      <c r="D244" s="562">
        <v>0.66889602023451278</v>
      </c>
      <c r="E244" s="562">
        <v>0.71585226985752259</v>
      </c>
      <c r="F244" s="562">
        <v>0.74094096040285373</v>
      </c>
      <c r="G244" s="763">
        <v>0.655127139111368</v>
      </c>
      <c r="H244" s="245">
        <f>SUMPRODUCT(D244:G244,D$5:G$5)/H$5</f>
        <v>0.69521956162208631</v>
      </c>
      <c r="I244" s="562">
        <v>0.66576508514608301</v>
      </c>
      <c r="J244" s="562">
        <v>0.71714988193480855</v>
      </c>
      <c r="K244" s="562">
        <v>0.74473423377117542</v>
      </c>
      <c r="L244" s="562"/>
      <c r="M244" s="2002"/>
      <c r="N244" s="763"/>
      <c r="O244" s="562"/>
      <c r="P244" s="562"/>
      <c r="Q244" s="562"/>
      <c r="R244" s="245"/>
      <c r="S244" s="562"/>
      <c r="T244" s="562"/>
      <c r="U244" s="562"/>
      <c r="V244" s="562"/>
      <c r="W244" s="245"/>
      <c r="X244" s="562"/>
      <c r="Y244" s="562"/>
      <c r="Z244" s="562"/>
      <c r="AA244" s="562"/>
      <c r="AB244" s="245"/>
      <c r="AC244" s="562">
        <v>0.67200000000000004</v>
      </c>
      <c r="AD244" s="562">
        <v>0.74</v>
      </c>
      <c r="AE244" s="562">
        <v>0.76600000000000001</v>
      </c>
      <c r="AF244" s="562">
        <v>0.68700000000000006</v>
      </c>
      <c r="AG244" s="1028">
        <v>0.71499999999999997</v>
      </c>
      <c r="AH244" s="562"/>
      <c r="AI244" s="562"/>
      <c r="AJ244" s="562"/>
      <c r="AK244" s="562"/>
      <c r="AL244" s="208"/>
      <c r="AM244" s="208"/>
      <c r="AN244" s="208"/>
    </row>
    <row r="245" spans="1:40">
      <c r="A245" s="557"/>
      <c r="B245" s="563"/>
      <c r="C245" s="563"/>
      <c r="D245" s="503"/>
      <c r="E245" s="503"/>
      <c r="F245" s="503"/>
      <c r="G245" s="558"/>
      <c r="H245" s="563"/>
      <c r="I245" s="503"/>
      <c r="J245" s="503"/>
      <c r="K245" s="503"/>
      <c r="L245" s="503"/>
      <c r="M245" s="563"/>
      <c r="N245" s="558"/>
      <c r="O245" s="503"/>
      <c r="P245" s="503"/>
      <c r="Q245" s="503"/>
      <c r="R245" s="563"/>
      <c r="S245" s="503"/>
      <c r="T245" s="503"/>
      <c r="U245" s="503"/>
      <c r="V245" s="503"/>
      <c r="W245" s="563"/>
      <c r="X245" s="503"/>
      <c r="Y245" s="503"/>
      <c r="Z245" s="503"/>
      <c r="AA245" s="503"/>
      <c r="AB245" s="563"/>
      <c r="AC245" s="503"/>
      <c r="AD245" s="503"/>
      <c r="AE245" s="503"/>
      <c r="AF245" s="503"/>
      <c r="AG245" s="563"/>
      <c r="AH245" s="503"/>
      <c r="AI245" s="503"/>
      <c r="AJ245" s="503"/>
      <c r="AK245" s="503"/>
      <c r="AL245" s="208"/>
      <c r="AM245" s="208"/>
      <c r="AN245" s="208"/>
    </row>
    <row r="246" spans="1:40">
      <c r="A246" s="559" t="s">
        <v>2133</v>
      </c>
      <c r="B246" s="563"/>
      <c r="C246" s="563"/>
      <c r="D246" s="503"/>
      <c r="E246" s="503"/>
      <c r="F246" s="503"/>
      <c r="G246" s="558"/>
      <c r="H246" s="563"/>
      <c r="I246" s="503"/>
      <c r="J246" s="503"/>
      <c r="K246" s="503"/>
      <c r="L246" s="503"/>
      <c r="M246" s="563"/>
      <c r="N246" s="503"/>
      <c r="O246" s="503"/>
      <c r="P246" s="503"/>
      <c r="Q246" s="503"/>
      <c r="R246" s="563"/>
      <c r="S246" s="503"/>
      <c r="T246" s="503"/>
      <c r="U246" s="503"/>
      <c r="V246" s="503"/>
      <c r="W246" s="563"/>
      <c r="X246" s="503"/>
      <c r="Y246" s="503"/>
      <c r="Z246" s="503"/>
      <c r="AA246" s="503"/>
      <c r="AB246" s="563"/>
      <c r="AC246" s="503"/>
      <c r="AD246" s="503"/>
      <c r="AE246" s="503"/>
      <c r="AF246" s="503"/>
      <c r="AG246" s="563"/>
      <c r="AH246" s="503"/>
      <c r="AI246" s="503"/>
      <c r="AJ246" s="503"/>
      <c r="AK246" s="503"/>
      <c r="AL246" s="208"/>
      <c r="AM246" s="208"/>
      <c r="AN246" s="208"/>
    </row>
    <row r="247" spans="1:40">
      <c r="A247" s="557" t="s">
        <v>2086</v>
      </c>
      <c r="B247" s="513">
        <f>B242/(1+0.07)</f>
        <v>84.661750017973418</v>
      </c>
      <c r="C247" s="513">
        <f>B242</f>
        <v>90.588072519231559</v>
      </c>
      <c r="D247" s="819">
        <f>D242/(1+0.044)</f>
        <v>94.432808425455761</v>
      </c>
      <c r="E247" s="514">
        <f>E242/(1+0.053)</f>
        <v>95.66718387051128</v>
      </c>
      <c r="F247" s="514">
        <f>F242/(1+0.043)</f>
        <v>100.22126238545523</v>
      </c>
      <c r="G247" s="571">
        <f>G242/(1+0.035)</f>
        <v>89.557621701289193</v>
      </c>
      <c r="H247" s="513">
        <f>C242</f>
        <v>97.759069298205205</v>
      </c>
      <c r="I247" s="598">
        <f>D242</f>
        <v>98.587851996175814</v>
      </c>
      <c r="J247" s="598">
        <f>E242</f>
        <v>100.73754461564837</v>
      </c>
      <c r="K247" s="598">
        <f>F242</f>
        <v>104.5307766680298</v>
      </c>
      <c r="L247" s="1998">
        <f>G242</f>
        <v>92.6921384608343</v>
      </c>
      <c r="M247" s="2005">
        <f>SUMPRODUCT(I247:L247,D$5:G$5)/H$5</f>
        <v>99.134205692709017</v>
      </c>
      <c r="N247" s="598">
        <f>I242</f>
        <v>98.306079171281567</v>
      </c>
      <c r="O247" s="598">
        <f>J242</f>
        <v>101.77189904451124</v>
      </c>
      <c r="P247" s="598">
        <f>K242</f>
        <v>107.0228505756585</v>
      </c>
      <c r="Q247" s="598">
        <f>L242</f>
        <v>96.399823999267682</v>
      </c>
      <c r="R247" s="513">
        <f>SUMPRODUCT(N247:Q247,I$5:L$5)/M$5</f>
        <v>100.88678355988787</v>
      </c>
      <c r="S247" s="598">
        <f>N242</f>
        <v>103.22138312984565</v>
      </c>
      <c r="T247" s="598">
        <f>O242</f>
        <v>107.87821298718193</v>
      </c>
      <c r="U247" s="598">
        <f>P242</f>
        <v>115.90574717343814</v>
      </c>
      <c r="V247" s="598">
        <f>Q242</f>
        <v>102.66581255922007</v>
      </c>
      <c r="W247" s="513">
        <f>SUMPRODUCT(S247:V247,N$5:Q$5)/R$5</f>
        <v>107.43952153129923</v>
      </c>
      <c r="X247" s="598">
        <f>S242</f>
        <v>110.03399441641547</v>
      </c>
      <c r="Y247" s="598">
        <f>T242</f>
        <v>113.3800018495282</v>
      </c>
      <c r="Z247" s="598">
        <f>U242</f>
        <v>121.93284602645693</v>
      </c>
      <c r="AA247" s="598">
        <f>V242</f>
        <v>106.56711343647044</v>
      </c>
      <c r="AB247" s="513">
        <f>SUMPRODUCT(X247:AA247,S$5:V$5)/W$5</f>
        <v>112.99352311335279</v>
      </c>
      <c r="AC247" s="1998">
        <f t="shared" ref="AC247:AE248" si="205">+AC242/(1+AC237)</f>
        <v>80.807392996108945</v>
      </c>
      <c r="AD247" s="1998">
        <f t="shared" si="205"/>
        <v>85.671361502347423</v>
      </c>
      <c r="AE247" s="1998">
        <f t="shared" si="205"/>
        <v>95.222437137330743</v>
      </c>
      <c r="AF247" s="1998">
        <f t="shared" ref="AF247:AG247" si="206">+AF242/(1+AF237)</f>
        <v>80.489642184557439</v>
      </c>
      <c r="AG247" s="1999">
        <f t="shared" si="206"/>
        <v>84.558404558404575</v>
      </c>
      <c r="AH247" s="3777">
        <f>AC242</f>
        <v>83.07</v>
      </c>
      <c r="AI247" s="3777">
        <f t="shared" ref="AI247:AK247" si="207">AD242</f>
        <v>91.24</v>
      </c>
      <c r="AJ247" s="3777">
        <f t="shared" si="207"/>
        <v>98.46</v>
      </c>
      <c r="AK247" s="3777">
        <f t="shared" si="207"/>
        <v>85.48</v>
      </c>
      <c r="AL247" s="513">
        <f>SUMPRODUCT(AH247:AK247,AC$5:AF$5)/AG$5</f>
        <v>89.593479452054794</v>
      </c>
      <c r="AM247" s="513">
        <f>+AL242</f>
        <v>92.281283835616449</v>
      </c>
      <c r="AN247" s="513">
        <f>+AM242</f>
        <v>93.66550309315069</v>
      </c>
    </row>
    <row r="248" spans="1:40">
      <c r="A248" s="557" t="s">
        <v>45</v>
      </c>
      <c r="B248" s="361">
        <f>B243/(1-0.002)</f>
        <v>133.78406559410777</v>
      </c>
      <c r="C248" s="361">
        <f>B243</f>
        <v>133.51649746291955</v>
      </c>
      <c r="D248" s="1047">
        <f>D243/(1+0.019)</f>
        <v>144.64073113086846</v>
      </c>
      <c r="E248" s="305">
        <f>E243/(1+0.024)</f>
        <v>137.42571275676639</v>
      </c>
      <c r="F248" s="305">
        <f>F243/(1+0.019)</f>
        <v>138.44790529315026</v>
      </c>
      <c r="G248" s="574">
        <f>G243/(1+0.016)</f>
        <v>139.25910605484265</v>
      </c>
      <c r="H248" s="361">
        <f t="shared" ref="H248:K249" si="208">C243</f>
        <v>142.80927588873359</v>
      </c>
      <c r="I248" s="650">
        <f t="shared" si="208"/>
        <v>147.38890502235495</v>
      </c>
      <c r="J248" s="650">
        <f t="shared" si="208"/>
        <v>140.72392986292877</v>
      </c>
      <c r="K248" s="650">
        <f t="shared" si="208"/>
        <v>141.07841549372009</v>
      </c>
      <c r="L248" s="749"/>
      <c r="M248" s="2006"/>
      <c r="N248" s="561"/>
      <c r="O248" s="561"/>
      <c r="P248" s="561"/>
      <c r="Q248" s="561"/>
      <c r="R248" s="361"/>
      <c r="S248" s="1047"/>
      <c r="T248" s="305"/>
      <c r="U248" s="305"/>
      <c r="V248" s="574"/>
      <c r="W248" s="208"/>
      <c r="X248" s="13"/>
      <c r="AA248" s="474"/>
      <c r="AB248" s="208"/>
      <c r="AC248" s="1997">
        <f t="shared" si="205"/>
        <v>122.97512437810947</v>
      </c>
      <c r="AD248" s="1997">
        <f t="shared" si="205"/>
        <v>119.79591836734694</v>
      </c>
      <c r="AE248" s="1997">
        <f t="shared" si="205"/>
        <v>126.99604743083005</v>
      </c>
      <c r="AF248" s="1997">
        <f t="shared" ref="AF248:AG248" si="209">+AF243/(1+AF238)</f>
        <v>120.78640776699028</v>
      </c>
      <c r="AG248" s="2000">
        <f t="shared" si="209"/>
        <v>121.90989226248777</v>
      </c>
      <c r="AH248" s="1997"/>
      <c r="AI248" s="1997"/>
      <c r="AK248" s="474"/>
      <c r="AL248" s="208"/>
      <c r="AM248" s="208"/>
      <c r="AN248" s="208"/>
    </row>
    <row r="249" spans="1:40">
      <c r="A249" s="557" t="s">
        <v>2077</v>
      </c>
      <c r="B249" s="245">
        <f>B244-0.046</f>
        <v>0.63247849696918423</v>
      </c>
      <c r="C249" s="245">
        <f>B244</f>
        <v>0.67847849696918427</v>
      </c>
      <c r="D249" s="1048">
        <f>D244-0.016</f>
        <v>0.65289602023451276</v>
      </c>
      <c r="E249" s="247">
        <f>E244-0.02</f>
        <v>0.69585226985752258</v>
      </c>
      <c r="F249" s="247">
        <f>F244-0.017</f>
        <v>0.72394096040285372</v>
      </c>
      <c r="G249" s="582">
        <f>G244-0.012</f>
        <v>0.64312713911136798</v>
      </c>
      <c r="H249" s="245">
        <f t="shared" si="208"/>
        <v>0.68454285402561543</v>
      </c>
      <c r="I249" s="247">
        <f t="shared" si="208"/>
        <v>0.66889602023451278</v>
      </c>
      <c r="J249" s="247">
        <f t="shared" si="208"/>
        <v>0.71585226985752259</v>
      </c>
      <c r="K249" s="247">
        <f t="shared" si="208"/>
        <v>0.74094096040285373</v>
      </c>
      <c r="L249" s="763"/>
      <c r="M249" s="2002"/>
      <c r="N249" s="562"/>
      <c r="O249" s="562"/>
      <c r="P249" s="562"/>
      <c r="Q249" s="562"/>
      <c r="R249" s="245"/>
      <c r="S249" s="1048"/>
      <c r="T249" s="247"/>
      <c r="U249" s="247"/>
      <c r="V249" s="582"/>
      <c r="W249" s="208"/>
      <c r="X249" s="13"/>
      <c r="AA249" s="474"/>
      <c r="AB249" s="208"/>
      <c r="AC249" s="2841">
        <f>AC244-AC239</f>
        <v>0.65700000000000003</v>
      </c>
      <c r="AD249" s="2841">
        <f>AD244-AD239</f>
        <v>0.71499999999999997</v>
      </c>
      <c r="AE249" s="2841">
        <f>AE244-AE239</f>
        <v>0.75</v>
      </c>
      <c r="AF249" s="2841">
        <f>AF244-AF239</f>
        <v>0.66600000000000004</v>
      </c>
      <c r="AG249" s="2842">
        <f>AG244-AG239</f>
        <v>0.69399999999999995</v>
      </c>
      <c r="AH249" s="2841"/>
      <c r="AI249" s="2841"/>
      <c r="AK249" s="474"/>
      <c r="AL249" s="208"/>
      <c r="AM249" s="208"/>
      <c r="AN249" s="208"/>
    </row>
    <row r="250" spans="1:40">
      <c r="A250" s="557"/>
      <c r="B250" s="563"/>
      <c r="C250" s="563"/>
      <c r="D250" s="15"/>
      <c r="E250" s="15"/>
      <c r="F250" s="15"/>
      <c r="G250" s="15"/>
      <c r="H250" s="208"/>
      <c r="I250" s="15"/>
      <c r="J250" s="15"/>
      <c r="K250" s="15"/>
      <c r="L250" s="1777"/>
      <c r="M250" s="1996"/>
      <c r="N250" s="15"/>
      <c r="O250" s="15"/>
      <c r="P250" s="15"/>
      <c r="Q250" s="15"/>
      <c r="R250" s="208"/>
      <c r="S250" s="13"/>
      <c r="V250" s="474"/>
      <c r="W250" s="208"/>
      <c r="X250" s="13"/>
      <c r="AA250" s="474"/>
      <c r="AB250" s="208"/>
      <c r="AF250" s="474"/>
      <c r="AG250" s="208"/>
      <c r="AK250" s="474"/>
      <c r="AL250" s="208"/>
      <c r="AM250" s="208"/>
      <c r="AN250" s="208"/>
    </row>
    <row r="251" spans="1:40">
      <c r="A251" s="13"/>
      <c r="B251" s="563"/>
      <c r="C251" s="563"/>
      <c r="D251" s="15"/>
      <c r="E251" s="15"/>
      <c r="F251" s="15"/>
      <c r="G251" s="15"/>
      <c r="H251" s="208"/>
      <c r="I251" s="15"/>
      <c r="J251" s="15"/>
      <c r="K251" s="15"/>
      <c r="L251" s="1777"/>
      <c r="M251" s="1996"/>
      <c r="N251" s="15"/>
      <c r="O251" s="15"/>
      <c r="P251" s="15"/>
      <c r="Q251" s="15"/>
      <c r="R251" s="208"/>
      <c r="S251" s="13"/>
      <c r="V251" s="474"/>
      <c r="W251" s="208"/>
      <c r="X251" s="13"/>
      <c r="AA251" s="474"/>
      <c r="AB251" s="208"/>
      <c r="AF251" s="474"/>
      <c r="AG251" s="208"/>
      <c r="AK251" s="474"/>
      <c r="AL251" s="208"/>
      <c r="AM251" s="208"/>
      <c r="AN251" s="208"/>
    </row>
    <row r="252" spans="1:40">
      <c r="A252" s="202" t="s">
        <v>2218</v>
      </c>
      <c r="B252" s="564"/>
      <c r="C252" s="564"/>
      <c r="D252" s="470"/>
      <c r="E252" s="470"/>
      <c r="F252" s="470"/>
      <c r="G252" s="470"/>
      <c r="H252" s="553"/>
      <c r="I252" s="470"/>
      <c r="J252" s="470"/>
      <c r="K252" s="470"/>
      <c r="L252" s="2003"/>
      <c r="M252" s="2004"/>
      <c r="N252" s="470"/>
      <c r="O252" s="470"/>
      <c r="P252" s="470"/>
      <c r="Q252" s="470"/>
      <c r="R252" s="553"/>
      <c r="S252" s="2380"/>
      <c r="T252" s="470"/>
      <c r="U252" s="470"/>
      <c r="V252" s="785"/>
      <c r="W252" s="553"/>
      <c r="X252" s="2380"/>
      <c r="Y252" s="470"/>
      <c r="Z252" s="470"/>
      <c r="AA252" s="785"/>
      <c r="AB252" s="553"/>
      <c r="AC252" s="470"/>
      <c r="AD252" s="470"/>
      <c r="AE252" s="470"/>
      <c r="AF252" s="785"/>
      <c r="AG252" s="553"/>
      <c r="AH252" s="470"/>
      <c r="AI252" s="470"/>
      <c r="AJ252" s="470"/>
      <c r="AK252" s="785"/>
      <c r="AL252" s="553"/>
      <c r="AM252" s="553"/>
      <c r="AN252" s="553"/>
    </row>
    <row r="253" spans="1:40">
      <c r="A253" s="744" t="s">
        <v>2086</v>
      </c>
      <c r="B253" s="226">
        <f t="shared" ref="B253:G254" si="210">B258/B263-1</f>
        <v>7.6000000000000068E-2</v>
      </c>
      <c r="C253" s="226">
        <f t="shared" si="210"/>
        <v>9.0906817053286959E-2</v>
      </c>
      <c r="D253" s="128">
        <f t="shared" si="210"/>
        <v>-4.0000000000001146E-3</v>
      </c>
      <c r="E253" s="128">
        <f t="shared" si="210"/>
        <v>1.2000000000000011E-2</v>
      </c>
      <c r="F253" s="128">
        <f t="shared" si="210"/>
        <v>5.0000000000000044E-2</v>
      </c>
      <c r="G253" s="128">
        <f t="shared" si="210"/>
        <v>3.6999999999999922E-2</v>
      </c>
      <c r="H253" s="226">
        <f t="shared" ref="H253:L254" si="211">H258/H263-1</f>
        <v>-7.9296957472282492E-2</v>
      </c>
      <c r="I253" s="128">
        <f t="shared" si="211"/>
        <v>1.2691977758956918E-2</v>
      </c>
      <c r="J253" s="128">
        <f t="shared" si="211"/>
        <v>3.7735703575343837E-2</v>
      </c>
      <c r="K253" s="128">
        <f t="shared" si="211"/>
        <v>2.0227161903575652E-2</v>
      </c>
      <c r="L253" s="128">
        <f t="shared" si="211"/>
        <v>4.6000000000000041E-2</v>
      </c>
      <c r="M253" s="226">
        <f t="shared" ref="M253:O254" si="212">M258/M263-1</f>
        <v>3.8195523159392897E-2</v>
      </c>
      <c r="N253" s="128">
        <f t="shared" si="212"/>
        <v>6.4999999999999947E-2</v>
      </c>
      <c r="O253" s="128">
        <f t="shared" si="212"/>
        <v>4.4000000000000039E-2</v>
      </c>
      <c r="P253" s="128">
        <f t="shared" ref="P253:R254" si="213">P258/P263-1</f>
        <v>6.6000000000000059E-2</v>
      </c>
      <c r="Q253" s="128">
        <f t="shared" si="213"/>
        <v>6.899999999999995E-2</v>
      </c>
      <c r="R253" s="226">
        <f t="shared" si="213"/>
        <v>6.0999999999999943E-2</v>
      </c>
      <c r="S253" s="128">
        <f t="shared" ref="S253:U254" si="214">S258/S263-1</f>
        <v>5.4999999999999938E-2</v>
      </c>
      <c r="T253" s="128">
        <f t="shared" si="214"/>
        <v>4.6000000000000041E-2</v>
      </c>
      <c r="U253" s="128">
        <f t="shared" si="214"/>
        <v>8.8000000000000078E-2</v>
      </c>
      <c r="V253" s="128">
        <f t="shared" ref="V253:X254" si="215">V258/V263-1</f>
        <v>5.0000000000000044E-2</v>
      </c>
      <c r="W253" s="1339">
        <f t="shared" si="215"/>
        <v>6.0999999999999943E-2</v>
      </c>
      <c r="X253" s="128">
        <f t="shared" si="215"/>
        <v>2.8999999999999915E-2</v>
      </c>
      <c r="Y253" s="128">
        <f>Y258/Y263-1</f>
        <v>1.2999999999999901E-2</v>
      </c>
      <c r="Z253" s="128">
        <f>Z258/Z263-1</f>
        <v>-7.0000000000000062E-3</v>
      </c>
      <c r="AA253" s="503">
        <v>2.1999999999999999E-2</v>
      </c>
      <c r="AB253" s="3599">
        <v>1.0999999999999999E-2</v>
      </c>
      <c r="AC253" s="503">
        <v>8.4000000000000005E-2</v>
      </c>
      <c r="AD253" s="503">
        <v>6.5000000000000002E-2</v>
      </c>
      <c r="AE253" s="503">
        <v>0.08</v>
      </c>
      <c r="AF253" s="503">
        <v>3.9E-2</v>
      </c>
      <c r="AG253" s="3599">
        <v>6.6000000000000003E-2</v>
      </c>
      <c r="AH253" s="128">
        <f t="shared" ref="AH253:AK253" si="216">AH319</f>
        <v>0.04</v>
      </c>
      <c r="AI253" s="128">
        <f t="shared" si="216"/>
        <v>0.04</v>
      </c>
      <c r="AJ253" s="128">
        <f t="shared" si="216"/>
        <v>0.04</v>
      </c>
      <c r="AK253" s="128">
        <f t="shared" si="216"/>
        <v>0.04</v>
      </c>
      <c r="AL253" s="226">
        <f>AL258/AL263-1</f>
        <v>4.0000000000000258E-2</v>
      </c>
      <c r="AM253" s="226">
        <f>AM319</f>
        <v>0.02</v>
      </c>
      <c r="AN253" s="226">
        <f>AN319</f>
        <v>-0.03</v>
      </c>
    </row>
    <row r="254" spans="1:40">
      <c r="A254" s="744" t="s">
        <v>45</v>
      </c>
      <c r="B254" s="226">
        <f t="shared" si="210"/>
        <v>3.499999999999992E-2</v>
      </c>
      <c r="C254" s="226">
        <f t="shared" si="210"/>
        <v>8.1579764554638556E-2</v>
      </c>
      <c r="D254" s="128">
        <f t="shared" si="210"/>
        <v>6.0000000000000053E-3</v>
      </c>
      <c r="E254" s="128">
        <f t="shared" si="210"/>
        <v>4.9999999999998934E-3</v>
      </c>
      <c r="F254" s="128">
        <f t="shared" si="210"/>
        <v>1.6000000000000014E-2</v>
      </c>
      <c r="G254" s="128">
        <f t="shared" si="210"/>
        <v>-7.0000000000001172E-3</v>
      </c>
      <c r="H254" s="226">
        <f t="shared" si="211"/>
        <v>-8.6143055735455998E-2</v>
      </c>
      <c r="I254" s="128">
        <f t="shared" si="211"/>
        <v>-2.1092602752349143E-2</v>
      </c>
      <c r="J254" s="128">
        <f t="shared" si="211"/>
        <v>9.3181184118127369E-3</v>
      </c>
      <c r="K254" s="128">
        <f t="shared" si="211"/>
        <v>2.1468092359357982E-3</v>
      </c>
      <c r="L254" s="128">
        <f t="shared" si="211"/>
        <v>3.8000000000000034E-2</v>
      </c>
      <c r="M254" s="226">
        <f t="shared" si="212"/>
        <v>1.2641460619341238E-2</v>
      </c>
      <c r="N254" s="128">
        <f t="shared" si="212"/>
        <v>2.4000000000000021E-2</v>
      </c>
      <c r="O254" s="128">
        <f t="shared" si="212"/>
        <v>1.4999999999999902E-2</v>
      </c>
      <c r="P254" s="128">
        <f t="shared" si="213"/>
        <v>3.2999999999999918E-2</v>
      </c>
      <c r="Q254" s="128">
        <f t="shared" si="213"/>
        <v>2.200000000000002E-2</v>
      </c>
      <c r="R254" s="226">
        <f t="shared" si="213"/>
        <v>2.4000000000000021E-2</v>
      </c>
      <c r="S254" s="128">
        <f t="shared" si="214"/>
        <v>1.2999999999999901E-2</v>
      </c>
      <c r="T254" s="128">
        <f t="shared" si="214"/>
        <v>2.6000000000000023E-2</v>
      </c>
      <c r="U254" s="128">
        <f t="shared" si="214"/>
        <v>6.0999999999999943E-2</v>
      </c>
      <c r="V254" s="128">
        <f t="shared" si="215"/>
        <v>4.4000000000000039E-2</v>
      </c>
      <c r="W254" s="226">
        <f t="shared" si="215"/>
        <v>3.6999999999999922E-2</v>
      </c>
      <c r="X254" s="128">
        <f t="shared" si="215"/>
        <v>3.0999999999999917E-2</v>
      </c>
      <c r="Y254" s="128">
        <f>Y259/Y264-1</f>
        <v>3.8999999999999924E-2</v>
      </c>
      <c r="Z254" s="128">
        <f>Z259/Z264-1</f>
        <v>1.4999999999999902E-2</v>
      </c>
      <c r="AA254" s="503">
        <v>4.0000000000000001E-3</v>
      </c>
      <c r="AB254" s="563">
        <v>0.02</v>
      </c>
      <c r="AC254" s="503">
        <v>1.2E-2</v>
      </c>
      <c r="AD254" s="503">
        <v>2.9000000000000001E-2</v>
      </c>
      <c r="AE254" s="503">
        <v>3.2000000000000001E-2</v>
      </c>
      <c r="AF254" s="503">
        <v>1.6E-2</v>
      </c>
      <c r="AG254" s="563">
        <v>2.1000000000000001E-2</v>
      </c>
      <c r="AH254" s="503"/>
      <c r="AI254" s="503"/>
      <c r="AL254" s="208"/>
      <c r="AM254" s="208"/>
      <c r="AN254" s="208"/>
    </row>
    <row r="255" spans="1:40">
      <c r="A255" s="744" t="s">
        <v>2077</v>
      </c>
      <c r="B255" s="226">
        <f t="shared" ref="B255:I255" si="217">B260-B265</f>
        <v>2.7000000000000024E-2</v>
      </c>
      <c r="C255" s="226">
        <f t="shared" si="217"/>
        <v>6.0876432299784566E-3</v>
      </c>
      <c r="D255" s="128">
        <f t="shared" si="217"/>
        <v>-6.0000000000000053E-3</v>
      </c>
      <c r="E255" s="128">
        <f t="shared" si="217"/>
        <v>5.0000000000000044E-3</v>
      </c>
      <c r="F255" s="128">
        <f t="shared" si="217"/>
        <v>2.5000000000000022E-2</v>
      </c>
      <c r="G255" s="128">
        <f t="shared" si="217"/>
        <v>3.0000000000000027E-2</v>
      </c>
      <c r="H255" s="226">
        <f t="shared" si="217"/>
        <v>3.9879297864321428E-3</v>
      </c>
      <c r="I255" s="128">
        <f t="shared" si="217"/>
        <v>2.1404781549592911E-2</v>
      </c>
      <c r="J255" s="128">
        <f t="shared" ref="J255:O255" si="218">J260-J265</f>
        <v>2.1232146881014158E-2</v>
      </c>
      <c r="K255" s="128">
        <f t="shared" si="218"/>
        <v>1.4126601182127607E-2</v>
      </c>
      <c r="L255" s="128">
        <f t="shared" si="218"/>
        <v>5.0000000000000044E-3</v>
      </c>
      <c r="M255" s="226">
        <f t="shared" si="218"/>
        <v>1.7648027053424942E-2</v>
      </c>
      <c r="N255" s="128">
        <f t="shared" si="218"/>
        <v>2.5000000000000022E-2</v>
      </c>
      <c r="O255" s="128">
        <f t="shared" si="218"/>
        <v>2.200000000000002E-2</v>
      </c>
      <c r="P255" s="128">
        <f t="shared" ref="P255:U255" si="219">P260-P265</f>
        <v>2.5000000000000022E-2</v>
      </c>
      <c r="Q255" s="128">
        <f t="shared" si="219"/>
        <v>3.3000000000000029E-2</v>
      </c>
      <c r="R255" s="226">
        <f t="shared" si="219"/>
        <v>2.6000000000000023E-2</v>
      </c>
      <c r="S255" s="128">
        <f t="shared" si="219"/>
        <v>2.7000000000000024E-2</v>
      </c>
      <c r="T255" s="128">
        <f t="shared" si="219"/>
        <v>1.6000000000000014E-2</v>
      </c>
      <c r="U255" s="128">
        <f t="shared" si="219"/>
        <v>2.1000000000000019E-2</v>
      </c>
      <c r="V255" s="128">
        <f>V260-V265</f>
        <v>4.0000000000000036E-3</v>
      </c>
      <c r="W255" s="226">
        <f>W260-W265</f>
        <v>1.7000000000000015E-2</v>
      </c>
      <c r="X255" s="128">
        <f>X260-X265</f>
        <v>-2.0000000000000018E-3</v>
      </c>
      <c r="Y255" s="128">
        <f>Y260-Y265</f>
        <v>-2.0000000000000018E-2</v>
      </c>
      <c r="Z255" s="128">
        <f>Z260-Z265</f>
        <v>-1.7000000000000015E-2</v>
      </c>
      <c r="AA255" s="503">
        <v>1.2999999999999999E-2</v>
      </c>
      <c r="AB255" s="563">
        <v>-7.0000000000000001E-3</v>
      </c>
      <c r="AC255" s="503">
        <v>4.4999999999999998E-2</v>
      </c>
      <c r="AD255" s="503">
        <v>2.5000000000000001E-2</v>
      </c>
      <c r="AE255" s="503">
        <v>3.6999999999999998E-2</v>
      </c>
      <c r="AF255" s="503">
        <v>1.6E-2</v>
      </c>
      <c r="AG255" s="563">
        <v>3.2000000000000001E-2</v>
      </c>
      <c r="AH255" s="503"/>
      <c r="AI255" s="503"/>
      <c r="AL255" s="208"/>
      <c r="AM255" s="208"/>
      <c r="AN255" s="208"/>
    </row>
    <row r="256" spans="1:40">
      <c r="A256" s="744"/>
      <c r="B256" s="563"/>
      <c r="C256" s="563"/>
      <c r="D256" s="15"/>
      <c r="E256" s="15"/>
      <c r="F256" s="15"/>
      <c r="G256" s="15"/>
      <c r="H256" s="208"/>
      <c r="I256" s="15"/>
      <c r="J256" s="15"/>
      <c r="K256" s="15"/>
      <c r="L256" s="1777"/>
      <c r="M256" s="1996"/>
      <c r="N256" s="15"/>
      <c r="O256" s="15"/>
      <c r="P256" s="15"/>
      <c r="Q256" s="15"/>
      <c r="R256" s="208"/>
      <c r="V256" s="474"/>
      <c r="W256" s="208"/>
      <c r="AA256" s="1777"/>
      <c r="AB256" s="1996"/>
      <c r="AG256" s="208"/>
      <c r="AL256" s="208"/>
      <c r="AM256" s="208"/>
      <c r="AN256" s="208"/>
    </row>
    <row r="257" spans="1:42">
      <c r="A257" s="747" t="s">
        <v>2132</v>
      </c>
      <c r="B257" s="649"/>
      <c r="C257" s="651"/>
      <c r="D257" s="650"/>
      <c r="E257" s="650"/>
      <c r="F257" s="650"/>
      <c r="G257" s="650"/>
      <c r="H257" s="208"/>
      <c r="I257" s="650"/>
      <c r="J257" s="650"/>
      <c r="K257" s="650"/>
      <c r="L257" s="1997"/>
      <c r="M257" s="1996"/>
      <c r="N257" s="650"/>
      <c r="O257" s="650"/>
      <c r="P257" s="650"/>
      <c r="Q257" s="650"/>
      <c r="R257" s="208"/>
      <c r="S257" s="650"/>
      <c r="V257" s="474"/>
      <c r="W257" s="208"/>
      <c r="AA257" s="1777"/>
      <c r="AB257" s="1996"/>
      <c r="AG257" s="208"/>
      <c r="AL257" s="208"/>
      <c r="AM257" s="208"/>
      <c r="AN257" s="208"/>
    </row>
    <row r="258" spans="1:42">
      <c r="A258" s="744" t="s">
        <v>2086</v>
      </c>
      <c r="B258" s="1026">
        <v>116.20879898699</v>
      </c>
      <c r="C258" s="1026">
        <v>126.7729710164825</v>
      </c>
      <c r="D258" s="560">
        <v>97.028329715589578</v>
      </c>
      <c r="E258" s="560">
        <v>127.0242675935978</v>
      </c>
      <c r="F258" s="560">
        <v>128.08303283033337</v>
      </c>
      <c r="G258" s="762">
        <v>114.64336772042925</v>
      </c>
      <c r="H258" s="513">
        <f>SUMPRODUCT(D258:G258,D$5:G$5)/H$5</f>
        <v>116.72026012515359</v>
      </c>
      <c r="I258" s="560">
        <v>98.259811118328585</v>
      </c>
      <c r="J258" s="560">
        <v>131.81761770238495</v>
      </c>
      <c r="K258" s="560">
        <v>130.67378907249352</v>
      </c>
      <c r="L258" s="762">
        <v>123.58</v>
      </c>
      <c r="M258" s="513">
        <f>SUMPRODUCT(I258:L258,I$5:L$5)/M$5</f>
        <v>121.17845152393426</v>
      </c>
      <c r="N258" s="560">
        <v>105.72</v>
      </c>
      <c r="O258" s="560">
        <v>141.59</v>
      </c>
      <c r="P258" s="560">
        <v>140.55000000000001</v>
      </c>
      <c r="Q258" s="560">
        <v>123.53</v>
      </c>
      <c r="R258" s="2410">
        <v>128.65</v>
      </c>
      <c r="S258" s="560">
        <v>95.81</v>
      </c>
      <c r="T258" s="560">
        <v>127.22</v>
      </c>
      <c r="U258" s="560">
        <v>135.21</v>
      </c>
      <c r="V258" s="560">
        <v>117.34</v>
      </c>
      <c r="W258" s="2410">
        <v>119.24</v>
      </c>
      <c r="X258" s="560">
        <v>88.64</v>
      </c>
      <c r="Y258" s="560">
        <v>119.76</v>
      </c>
      <c r="Z258" s="560">
        <v>118.36</v>
      </c>
      <c r="AA258" s="560">
        <v>104.76</v>
      </c>
      <c r="AB258" s="2410">
        <v>107.95</v>
      </c>
      <c r="AC258" s="560">
        <v>83.42</v>
      </c>
      <c r="AD258" s="560">
        <v>113.69</v>
      </c>
      <c r="AE258" s="560">
        <v>121.65</v>
      </c>
      <c r="AF258" s="560">
        <v>107.22</v>
      </c>
      <c r="AG258" s="2410">
        <v>106.37</v>
      </c>
      <c r="AH258" s="598">
        <f t="shared" ref="AH258:AK258" si="220">AH263*(1+AH253)</f>
        <v>86.756799999999998</v>
      </c>
      <c r="AI258" s="598">
        <f t="shared" si="220"/>
        <v>118.2376</v>
      </c>
      <c r="AJ258" s="598">
        <f t="shared" si="220"/>
        <v>126.51600000000001</v>
      </c>
      <c r="AK258" s="598">
        <f t="shared" si="220"/>
        <v>111.50880000000001</v>
      </c>
      <c r="AL258" s="513">
        <f>SUMPRODUCT(AH258:AK258,AH$5:AK$5)/AL$5</f>
        <v>110.86579506849316</v>
      </c>
      <c r="AM258" s="513">
        <f>AL258*(1+AM253)</f>
        <v>113.08311096986301</v>
      </c>
      <c r="AN258" s="513">
        <f>AM258*(1+AN253)</f>
        <v>109.69061764076712</v>
      </c>
      <c r="AP258" s="726"/>
    </row>
    <row r="259" spans="1:42">
      <c r="A259" s="744" t="s">
        <v>45</v>
      </c>
      <c r="B259" s="1027">
        <v>164.61738111324621</v>
      </c>
      <c r="C259" s="1027">
        <v>178.04682830606603</v>
      </c>
      <c r="D259" s="561">
        <v>156.4460764807863</v>
      </c>
      <c r="E259" s="561">
        <v>168.44258215952661</v>
      </c>
      <c r="F259" s="561">
        <v>163.5797226090649</v>
      </c>
      <c r="G259" s="749">
        <v>162.3631796635583</v>
      </c>
      <c r="H259" s="361">
        <f>SUMPRODUCT(D259:G259,D$5:G$5)/H$5</f>
        <v>162.70933045177543</v>
      </c>
      <c r="I259" s="561">
        <v>153.14622153741345</v>
      </c>
      <c r="J259" s="561">
        <v>170.01215008568059</v>
      </c>
      <c r="K259" s="561">
        <v>163.93089706837387</v>
      </c>
      <c r="L259" s="749">
        <v>171.78</v>
      </c>
      <c r="M259" s="361">
        <f>SUMPRODUCT(I259:L259,I$5:L$5)/M$5</f>
        <v>164.76621404508094</v>
      </c>
      <c r="N259" s="561">
        <v>161.63999999999999</v>
      </c>
      <c r="O259" s="561">
        <v>179.87</v>
      </c>
      <c r="P259" s="561">
        <v>172.38</v>
      </c>
      <c r="Q259" s="561">
        <v>164.45</v>
      </c>
      <c r="R259" s="649">
        <v>170.68</v>
      </c>
      <c r="S259" s="561">
        <v>140.91</v>
      </c>
      <c r="T259" s="561">
        <v>158.03</v>
      </c>
      <c r="U259" s="561">
        <v>160.82</v>
      </c>
      <c r="V259" s="561">
        <v>155.53</v>
      </c>
      <c r="W259" s="649">
        <v>154.81</v>
      </c>
      <c r="X259" s="561">
        <v>137.02000000000001</v>
      </c>
      <c r="Y259" s="561">
        <v>157.29</v>
      </c>
      <c r="Z259" s="561">
        <v>148.66</v>
      </c>
      <c r="AA259" s="561">
        <v>139.76</v>
      </c>
      <c r="AB259" s="649">
        <v>146.04</v>
      </c>
      <c r="AC259" s="561">
        <v>123.21</v>
      </c>
      <c r="AD259" s="561">
        <v>145.41</v>
      </c>
      <c r="AE259" s="561">
        <v>148.74</v>
      </c>
      <c r="AF259" s="561">
        <v>144.29</v>
      </c>
      <c r="AG259" s="649">
        <v>141.19999999999999</v>
      </c>
      <c r="AH259" s="561"/>
      <c r="AI259" s="561"/>
      <c r="AJ259" s="305"/>
      <c r="AK259" s="305"/>
      <c r="AL259" s="208"/>
      <c r="AM259" s="208"/>
      <c r="AN259" s="208"/>
      <c r="AP259" s="726"/>
    </row>
    <row r="260" spans="1:42">
      <c r="A260" s="744" t="s">
        <v>2077</v>
      </c>
      <c r="B260" s="1028">
        <v>0.70593274052298149</v>
      </c>
      <c r="C260" s="1028">
        <v>0.71202038375295995</v>
      </c>
      <c r="D260" s="562">
        <v>0.62020302393141813</v>
      </c>
      <c r="E260" s="562">
        <v>0.75411018974582789</v>
      </c>
      <c r="F260" s="562">
        <v>0.78300067262270523</v>
      </c>
      <c r="G260" s="763">
        <v>0.70609215684238325</v>
      </c>
      <c r="H260" s="245">
        <f>SUMPRODUCT(D260:G260,D$5:G$5)/H$5</f>
        <v>0.71600831353939209</v>
      </c>
      <c r="I260" s="562">
        <v>0.64160780548101104</v>
      </c>
      <c r="J260" s="562">
        <v>0.77534233662684204</v>
      </c>
      <c r="K260" s="562">
        <v>0.79712727380483284</v>
      </c>
      <c r="L260" s="763">
        <v>0.71899999999999997</v>
      </c>
      <c r="M260" s="245">
        <f>SUMPRODUCT(I260:L260,I$5:L$5)/M$5</f>
        <v>0.73365634059281704</v>
      </c>
      <c r="N260" s="562">
        <v>0.65400000000000003</v>
      </c>
      <c r="O260" s="562">
        <v>0.78700000000000003</v>
      </c>
      <c r="P260" s="562">
        <v>0.81499999999999995</v>
      </c>
      <c r="Q260" s="562">
        <v>0.751</v>
      </c>
      <c r="R260" s="1028">
        <v>0.754</v>
      </c>
      <c r="S260" s="562">
        <v>0.68</v>
      </c>
      <c r="T260" s="562">
        <v>0.80500000000000005</v>
      </c>
      <c r="U260" s="562">
        <v>0.84099999999999997</v>
      </c>
      <c r="V260" s="562">
        <v>0.754</v>
      </c>
      <c r="W260" s="1028">
        <v>0.77</v>
      </c>
      <c r="X260" s="562">
        <v>0.64700000000000002</v>
      </c>
      <c r="Y260" s="562">
        <v>0.76100000000000001</v>
      </c>
      <c r="Z260" s="562">
        <v>0.79600000000000004</v>
      </c>
      <c r="AA260" s="562">
        <v>0.75</v>
      </c>
      <c r="AB260" s="1028">
        <v>0.73899999999999999</v>
      </c>
      <c r="AC260" s="562">
        <v>0.67700000000000005</v>
      </c>
      <c r="AD260" s="562">
        <v>0.78200000000000003</v>
      </c>
      <c r="AE260" s="562">
        <v>0.81799999999999995</v>
      </c>
      <c r="AF260" s="562">
        <v>0.74299999999999999</v>
      </c>
      <c r="AG260" s="1028">
        <v>0.753</v>
      </c>
      <c r="AH260" s="562"/>
      <c r="AI260" s="562"/>
      <c r="AJ260" s="247"/>
      <c r="AK260" s="247"/>
      <c r="AL260" s="208"/>
      <c r="AM260" s="208"/>
      <c r="AN260" s="208"/>
      <c r="AP260" s="726"/>
    </row>
    <row r="261" spans="1:42">
      <c r="A261" s="744"/>
      <c r="B261" s="563"/>
      <c r="C261" s="563"/>
      <c r="D261" s="503"/>
      <c r="E261" s="503"/>
      <c r="F261" s="503"/>
      <c r="G261" s="558"/>
      <c r="H261" s="563"/>
      <c r="I261" s="503"/>
      <c r="J261" s="503"/>
      <c r="K261" s="503"/>
      <c r="L261" s="503"/>
      <c r="M261" s="563"/>
      <c r="N261" s="503"/>
      <c r="O261" s="503"/>
      <c r="P261" s="503"/>
      <c r="Q261" s="503"/>
      <c r="R261" s="563"/>
      <c r="S261" s="503"/>
      <c r="T261" s="503"/>
      <c r="U261" s="503"/>
      <c r="V261" s="1131"/>
      <c r="W261" s="208"/>
      <c r="X261" s="503"/>
      <c r="Y261" s="503"/>
      <c r="Z261" s="503"/>
      <c r="AA261" s="503"/>
      <c r="AB261" s="1996"/>
      <c r="AC261" s="503"/>
      <c r="AD261" s="503"/>
      <c r="AE261" s="503"/>
      <c r="AF261" s="503"/>
      <c r="AG261" s="208"/>
      <c r="AH261" s="503"/>
      <c r="AI261" s="503"/>
      <c r="AJ261" s="503"/>
      <c r="AK261" s="503"/>
      <c r="AL261" s="208"/>
      <c r="AM261" s="208"/>
      <c r="AN261" s="208"/>
      <c r="AP261" s="726"/>
    </row>
    <row r="262" spans="1:42">
      <c r="A262" s="747" t="s">
        <v>2133</v>
      </c>
      <c r="B262" s="563"/>
      <c r="C262" s="563"/>
      <c r="D262" s="503"/>
      <c r="E262" s="503"/>
      <c r="F262" s="503"/>
      <c r="G262" s="558"/>
      <c r="H262" s="563"/>
      <c r="I262" s="503"/>
      <c r="J262" s="503"/>
      <c r="K262" s="503"/>
      <c r="L262" s="503"/>
      <c r="M262" s="563"/>
      <c r="N262" s="503"/>
      <c r="O262" s="503"/>
      <c r="P262" s="503"/>
      <c r="Q262" s="503"/>
      <c r="R262" s="563"/>
      <c r="S262" s="503"/>
      <c r="T262" s="503"/>
      <c r="U262" s="503"/>
      <c r="V262" s="1131"/>
      <c r="W262" s="208"/>
      <c r="X262" s="503"/>
      <c r="Y262" s="503"/>
      <c r="Z262" s="503"/>
      <c r="AA262" s="503"/>
      <c r="AB262" s="1996"/>
      <c r="AC262" s="503"/>
      <c r="AD262" s="503"/>
      <c r="AE262" s="503"/>
      <c r="AF262" s="503"/>
      <c r="AG262" s="208"/>
      <c r="AH262" s="503"/>
      <c r="AI262" s="503"/>
      <c r="AJ262" s="503"/>
      <c r="AK262" s="503"/>
      <c r="AL262" s="208"/>
      <c r="AM262" s="208"/>
      <c r="AN262" s="208"/>
      <c r="AP262" s="726"/>
    </row>
    <row r="263" spans="1:42">
      <c r="A263" s="744" t="s">
        <v>2086</v>
      </c>
      <c r="B263" s="2803">
        <f>B258/(1+0.076)</f>
        <v>108.00074255296468</v>
      </c>
      <c r="C263" s="2803">
        <f>B258</f>
        <v>116.20879898699</v>
      </c>
      <c r="D263" s="2804">
        <f>D258/(1-0.004)</f>
        <v>97.418001722479502</v>
      </c>
      <c r="E263" s="2665">
        <f>E258/(1+0.012)</f>
        <v>125.518050981816</v>
      </c>
      <c r="F263" s="2665">
        <f>F258/(1+0.05)</f>
        <v>121.98384079079368</v>
      </c>
      <c r="G263" s="2666">
        <f>G258/(1+0.037)</f>
        <v>110.55291004862995</v>
      </c>
      <c r="H263" s="2803">
        <f>C258</f>
        <v>126.7729710164825</v>
      </c>
      <c r="I263" s="2796">
        <f>D258</f>
        <v>97.028329715589578</v>
      </c>
      <c r="J263" s="2796">
        <f>E258</f>
        <v>127.0242675935978</v>
      </c>
      <c r="K263" s="2796">
        <f>F258</f>
        <v>128.08303283033337</v>
      </c>
      <c r="L263" s="2666">
        <f>L258/(1+0.046)</f>
        <v>118.14531548757169</v>
      </c>
      <c r="M263" s="2803">
        <f>H258</f>
        <v>116.72026012515359</v>
      </c>
      <c r="N263" s="2804">
        <f>N258/(1+0.065)</f>
        <v>99.267605633802816</v>
      </c>
      <c r="O263" s="2665">
        <f>O258/(1+0.044)</f>
        <v>135.62260536398466</v>
      </c>
      <c r="P263" s="2665">
        <f>P258/(1+0.066)</f>
        <v>131.84803001876173</v>
      </c>
      <c r="Q263" s="2665">
        <f>Q258/(1+0.069)</f>
        <v>115.55659494855006</v>
      </c>
      <c r="R263" s="2803">
        <f>R258/(1+0.061)</f>
        <v>121.25353440150802</v>
      </c>
      <c r="S263" s="2665">
        <f>S258/(1+0.055)</f>
        <v>90.815165876777257</v>
      </c>
      <c r="T263" s="2665">
        <f>T258/(1+0.046)</f>
        <v>121.62523900573613</v>
      </c>
      <c r="U263" s="2665">
        <f>U258/(1+0.088)</f>
        <v>124.27389705882352</v>
      </c>
      <c r="V263" s="2665">
        <f>V258/(1+0.05)</f>
        <v>111.75238095238095</v>
      </c>
      <c r="W263" s="2803">
        <f>W258/(1+0.061)</f>
        <v>112.38454288407164</v>
      </c>
      <c r="X263" s="2665">
        <f>X258/(1+0.029)</f>
        <v>86.141885325558803</v>
      </c>
      <c r="Y263" s="2665">
        <f>Y258/(1+0.013)</f>
        <v>118.22309970384997</v>
      </c>
      <c r="Z263" s="2665">
        <f>Z258/(1-0.007)</f>
        <v>119.19436052366567</v>
      </c>
      <c r="AA263" s="1998">
        <f t="shared" ref="AA263:AC264" si="221">+AA258/(1+AA253)</f>
        <v>102.50489236790607</v>
      </c>
      <c r="AB263" s="1999">
        <f t="shared" si="221"/>
        <v>106.77546983184966</v>
      </c>
      <c r="AC263" s="1998">
        <f t="shared" si="221"/>
        <v>76.955719557195565</v>
      </c>
      <c r="AD263" s="1998">
        <f t="shared" ref="AD263:AE263" si="222">+AD258/(1+AD253)</f>
        <v>106.75117370892019</v>
      </c>
      <c r="AE263" s="1998">
        <f t="shared" si="222"/>
        <v>112.63888888888889</v>
      </c>
      <c r="AF263" s="1998">
        <f t="shared" ref="AF263:AG263" si="223">+AF258/(1+AF253)</f>
        <v>103.19538017324351</v>
      </c>
      <c r="AG263" s="1999">
        <f t="shared" si="223"/>
        <v>99.784240150093808</v>
      </c>
      <c r="AH263" s="1998">
        <f>AC258</f>
        <v>83.42</v>
      </c>
      <c r="AI263" s="1998">
        <f t="shared" ref="AI263:AK263" si="224">AD258</f>
        <v>113.69</v>
      </c>
      <c r="AJ263" s="1998">
        <f t="shared" si="224"/>
        <v>121.65</v>
      </c>
      <c r="AK263" s="1998">
        <f t="shared" si="224"/>
        <v>107.22</v>
      </c>
      <c r="AL263" s="513">
        <f>SUMPRODUCT(AH263:AK263,AC$5:AF$5)/AG$5</f>
        <v>106.60172602739725</v>
      </c>
      <c r="AM263" s="513">
        <f>AL258</f>
        <v>110.86579506849316</v>
      </c>
      <c r="AN263" s="513">
        <f>AM258</f>
        <v>113.08311096986301</v>
      </c>
      <c r="AP263" s="726"/>
    </row>
    <row r="264" spans="1:42">
      <c r="A264" s="744" t="s">
        <v>45</v>
      </c>
      <c r="B264" s="2805">
        <f>B259/(1+0.035)</f>
        <v>159.0506097712524</v>
      </c>
      <c r="C264" s="2805">
        <f>B259</f>
        <v>164.61738111324621</v>
      </c>
      <c r="D264" s="2806">
        <f>D259/(1+0.006)</f>
        <v>155.51299848984721</v>
      </c>
      <c r="E264" s="2807">
        <f>E259/(1+0.005)</f>
        <v>167.60455936271305</v>
      </c>
      <c r="F264" s="2807">
        <f>F259/(1+0.016)</f>
        <v>161.00366398530011</v>
      </c>
      <c r="G264" s="2808">
        <f>G259/(1-0.007)</f>
        <v>163.50773380015943</v>
      </c>
      <c r="H264" s="2805">
        <f t="shared" ref="H264:K265" si="225">C259</f>
        <v>178.04682830606603</v>
      </c>
      <c r="I264" s="2798">
        <f t="shared" si="225"/>
        <v>156.4460764807863</v>
      </c>
      <c r="J264" s="2798">
        <f t="shared" si="225"/>
        <v>168.44258215952661</v>
      </c>
      <c r="K264" s="2798">
        <f t="shared" si="225"/>
        <v>163.5797226090649</v>
      </c>
      <c r="L264" s="2808">
        <f>L259/(1+0.038)</f>
        <v>165.49132947976878</v>
      </c>
      <c r="M264" s="2805">
        <f>H259</f>
        <v>162.70933045177543</v>
      </c>
      <c r="N264" s="2806">
        <f>N259/(1+0.024)</f>
        <v>157.85156249999997</v>
      </c>
      <c r="O264" s="2807">
        <f>O259/(1+0.015)</f>
        <v>177.21182266009853</v>
      </c>
      <c r="P264" s="2807">
        <f>P259/(1+0.033)</f>
        <v>166.87318489835431</v>
      </c>
      <c r="Q264" s="2807">
        <f>Q259/(1+0.022)</f>
        <v>160.90998043052835</v>
      </c>
      <c r="R264" s="2805">
        <f>R259/(1+0.024)</f>
        <v>166.6796875</v>
      </c>
      <c r="S264" s="2807">
        <f>S259/(1+0.013)</f>
        <v>139.10167818361305</v>
      </c>
      <c r="T264" s="2807">
        <f>T259/(1+0.026)</f>
        <v>154.02534113060429</v>
      </c>
      <c r="U264" s="2807">
        <f>U259/(1+0.061)</f>
        <v>151.57398680490104</v>
      </c>
      <c r="V264" s="2807">
        <f>V259/(1+0.044)</f>
        <v>148.9750957854406</v>
      </c>
      <c r="W264" s="2805">
        <f>W259/(1+0.037)</f>
        <v>149.2864030858245</v>
      </c>
      <c r="X264" s="2807">
        <f>X259/(1+0.031)</f>
        <v>132.9000969932105</v>
      </c>
      <c r="Y264" s="2807">
        <f>Y259/(1+0.039)</f>
        <v>151.38594802694899</v>
      </c>
      <c r="Z264" s="2807">
        <f>Z259/(1+0.015)</f>
        <v>146.46305418719214</v>
      </c>
      <c r="AA264" s="1997">
        <f t="shared" si="221"/>
        <v>139.203187250996</v>
      </c>
      <c r="AB264" s="2000">
        <f t="shared" si="221"/>
        <v>143.17647058823528</v>
      </c>
      <c r="AC264" s="1997">
        <f t="shared" si="221"/>
        <v>121.7490118577075</v>
      </c>
      <c r="AD264" s="1997">
        <f t="shared" ref="AD264:AE264" si="226">+AD259/(1+AD254)</f>
        <v>141.31195335276968</v>
      </c>
      <c r="AE264" s="1997">
        <f t="shared" si="226"/>
        <v>144.12790697674419</v>
      </c>
      <c r="AF264" s="1997">
        <f t="shared" ref="AF264:AG264" si="227">+AF259/(1+AF254)</f>
        <v>142.01771653543307</v>
      </c>
      <c r="AG264" s="2000">
        <f t="shared" si="227"/>
        <v>138.29578844270324</v>
      </c>
      <c r="AH264" s="1997"/>
      <c r="AI264" s="1997"/>
      <c r="AK264" s="474"/>
      <c r="AL264" s="208"/>
      <c r="AM264" s="208"/>
      <c r="AN264" s="208"/>
      <c r="AP264" s="726"/>
    </row>
    <row r="265" spans="1:42">
      <c r="A265" s="744" t="s">
        <v>2077</v>
      </c>
      <c r="B265" s="2809">
        <f>B260-0.027</f>
        <v>0.67893274052298147</v>
      </c>
      <c r="C265" s="2809">
        <f>B260</f>
        <v>0.70593274052298149</v>
      </c>
      <c r="D265" s="2810">
        <f>D260+0.006</f>
        <v>0.62620302393141813</v>
      </c>
      <c r="E265" s="2811">
        <f>E260-0.005</f>
        <v>0.74911018974582788</v>
      </c>
      <c r="F265" s="2811">
        <f>F260-0.025</f>
        <v>0.75800067262270521</v>
      </c>
      <c r="G265" s="2812">
        <f>G260-0.03</f>
        <v>0.67609215684238322</v>
      </c>
      <c r="H265" s="2809">
        <f t="shared" si="225"/>
        <v>0.71202038375295995</v>
      </c>
      <c r="I265" s="2811">
        <f t="shared" si="225"/>
        <v>0.62020302393141813</v>
      </c>
      <c r="J265" s="2811">
        <f t="shared" si="225"/>
        <v>0.75411018974582789</v>
      </c>
      <c r="K265" s="2811">
        <f t="shared" si="225"/>
        <v>0.78300067262270523</v>
      </c>
      <c r="L265" s="2812">
        <f>L260-0.005</f>
        <v>0.71399999999999997</v>
      </c>
      <c r="M265" s="2809">
        <f>H260</f>
        <v>0.71600831353939209</v>
      </c>
      <c r="N265" s="2810">
        <f>N260-0.025</f>
        <v>0.629</v>
      </c>
      <c r="O265" s="2811">
        <f>O260-0.022</f>
        <v>0.76500000000000001</v>
      </c>
      <c r="P265" s="2811">
        <f>P260-0.025</f>
        <v>0.78999999999999992</v>
      </c>
      <c r="Q265" s="2811">
        <f>Q260-0.033</f>
        <v>0.71799999999999997</v>
      </c>
      <c r="R265" s="2809">
        <f>R260-0.026</f>
        <v>0.72799999999999998</v>
      </c>
      <c r="S265" s="2811">
        <f>S260-0.027</f>
        <v>0.65300000000000002</v>
      </c>
      <c r="T265" s="2811">
        <f>T260-0.016</f>
        <v>0.78900000000000003</v>
      </c>
      <c r="U265" s="2811">
        <f>U260-0.021</f>
        <v>0.82</v>
      </c>
      <c r="V265" s="2811">
        <f>V260-0.004</f>
        <v>0.75</v>
      </c>
      <c r="W265" s="2809">
        <f>W260-0.017</f>
        <v>0.753</v>
      </c>
      <c r="X265" s="2811">
        <f>X260+0.002</f>
        <v>0.64900000000000002</v>
      </c>
      <c r="Y265" s="2811">
        <f>Y260+0.02</f>
        <v>0.78100000000000003</v>
      </c>
      <c r="Z265" s="2811">
        <f>Z260+0.017</f>
        <v>0.81300000000000006</v>
      </c>
      <c r="AA265" s="2841">
        <f t="shared" ref="AA265:AG265" si="228">AA260-AA255</f>
        <v>0.73699999999999999</v>
      </c>
      <c r="AB265" s="2842">
        <f t="shared" si="228"/>
        <v>0.746</v>
      </c>
      <c r="AC265" s="2841">
        <f t="shared" si="228"/>
        <v>0.63200000000000001</v>
      </c>
      <c r="AD265" s="2841">
        <f t="shared" si="228"/>
        <v>0.75700000000000001</v>
      </c>
      <c r="AE265" s="2841">
        <f t="shared" si="228"/>
        <v>0.78099999999999992</v>
      </c>
      <c r="AF265" s="2841">
        <f t="shared" si="228"/>
        <v>0.72699999999999998</v>
      </c>
      <c r="AG265" s="2842">
        <f t="shared" si="228"/>
        <v>0.72099999999999997</v>
      </c>
      <c r="AH265" s="2841"/>
      <c r="AI265" s="2841"/>
      <c r="AK265" s="474"/>
      <c r="AL265" s="208"/>
      <c r="AM265" s="208"/>
      <c r="AN265" s="208"/>
      <c r="AP265" s="726"/>
    </row>
    <row r="266" spans="1:42">
      <c r="A266" s="744"/>
      <c r="B266" s="563"/>
      <c r="C266" s="563"/>
      <c r="D266" s="15"/>
      <c r="E266" s="15"/>
      <c r="F266" s="15"/>
      <c r="G266" s="15"/>
      <c r="H266" s="208"/>
      <c r="I266" s="15"/>
      <c r="J266" s="15"/>
      <c r="K266" s="15"/>
      <c r="L266" s="15"/>
      <c r="M266" s="208"/>
      <c r="N266" s="15"/>
      <c r="O266" s="15"/>
      <c r="P266" s="15"/>
      <c r="Q266" s="15"/>
      <c r="R266" s="208"/>
      <c r="S266" s="13"/>
      <c r="V266" s="474"/>
      <c r="W266" s="208"/>
      <c r="X266" s="13"/>
      <c r="AA266" s="474"/>
      <c r="AB266" s="208"/>
      <c r="AF266" s="474"/>
      <c r="AG266" s="208"/>
      <c r="AK266" s="474"/>
      <c r="AL266" s="208"/>
      <c r="AM266" s="208"/>
      <c r="AN266" s="208"/>
      <c r="AP266" s="726"/>
    </row>
    <row r="267" spans="1:42">
      <c r="A267" s="13"/>
      <c r="B267" s="563"/>
      <c r="C267" s="563"/>
      <c r="D267" s="15"/>
      <c r="E267" s="15"/>
      <c r="F267" s="15"/>
      <c r="G267" s="15"/>
      <c r="H267" s="208"/>
      <c r="I267" s="15"/>
      <c r="J267" s="15"/>
      <c r="K267" s="15"/>
      <c r="L267" s="15"/>
      <c r="M267" s="208"/>
      <c r="N267" s="15"/>
      <c r="O267" s="15"/>
      <c r="P267" s="15"/>
      <c r="Q267" s="15"/>
      <c r="R267" s="208"/>
      <c r="S267" s="13"/>
      <c r="V267" s="474"/>
      <c r="W267" s="208"/>
      <c r="X267" s="13"/>
      <c r="AA267" s="474"/>
      <c r="AB267" s="208"/>
      <c r="AF267" s="474"/>
      <c r="AG267" s="208"/>
      <c r="AK267" s="474"/>
      <c r="AL267" s="208"/>
      <c r="AM267" s="208"/>
      <c r="AN267" s="208"/>
    </row>
    <row r="268" spans="1:42">
      <c r="A268" s="202" t="s">
        <v>2142</v>
      </c>
      <c r="B268" s="564"/>
      <c r="C268" s="564"/>
      <c r="D268" s="470"/>
      <c r="E268" s="470"/>
      <c r="F268" s="470"/>
      <c r="G268" s="470"/>
      <c r="H268" s="553"/>
      <c r="I268" s="470"/>
      <c r="J268" s="470"/>
      <c r="K268" s="470"/>
      <c r="L268" s="470"/>
      <c r="M268" s="553"/>
      <c r="N268" s="470"/>
      <c r="O268" s="470"/>
      <c r="P268" s="470"/>
      <c r="Q268" s="470"/>
      <c r="R268" s="553"/>
      <c r="S268" s="2380"/>
      <c r="T268" s="470"/>
      <c r="U268" s="470"/>
      <c r="V268" s="785"/>
      <c r="W268" s="553"/>
      <c r="X268" s="2380"/>
      <c r="Y268" s="470"/>
      <c r="Z268" s="470"/>
      <c r="AA268" s="785"/>
      <c r="AB268" s="553"/>
      <c r="AC268" s="470"/>
      <c r="AD268" s="470"/>
      <c r="AE268" s="470"/>
      <c r="AF268" s="785"/>
      <c r="AG268" s="553"/>
      <c r="AH268" s="470"/>
      <c r="AI268" s="470"/>
      <c r="AJ268" s="470"/>
      <c r="AK268" s="785"/>
      <c r="AL268" s="553"/>
      <c r="AM268" s="553"/>
      <c r="AN268" s="553"/>
    </row>
    <row r="269" spans="1:42">
      <c r="A269" s="744" t="s">
        <v>2086</v>
      </c>
      <c r="B269" s="226">
        <f t="shared" ref="B269:G270" si="229">B274/B279-1</f>
        <v>5.8000000000000052E-2</v>
      </c>
      <c r="C269" s="226">
        <f t="shared" si="229"/>
        <v>-1.4955882673934551E-2</v>
      </c>
      <c r="D269" s="128">
        <f t="shared" si="229"/>
        <v>4.2999999999999927E-2</v>
      </c>
      <c r="E269" s="128">
        <f t="shared" si="229"/>
        <v>4.2000000000000037E-2</v>
      </c>
      <c r="F269" s="128">
        <f t="shared" si="229"/>
        <v>2.2999999999999909E-2</v>
      </c>
      <c r="G269" s="128">
        <f t="shared" si="229"/>
        <v>7.8999999999999959E-2</v>
      </c>
      <c r="H269" s="226">
        <f t="shared" ref="H269:L270" si="230">H274/H279-1</f>
        <v>-7.386806625897091E-2</v>
      </c>
      <c r="I269" s="128">
        <f t="shared" si="230"/>
        <v>6.1946597155315697E-3</v>
      </c>
      <c r="J269" s="128">
        <f t="shared" si="230"/>
        <v>0.16622502089707059</v>
      </c>
      <c r="K269" s="128">
        <f t="shared" si="230"/>
        <v>-0.19126784584807943</v>
      </c>
      <c r="L269" s="128">
        <f t="shared" si="230"/>
        <v>-3.2000000000000139E-2</v>
      </c>
      <c r="M269" s="226">
        <f t="shared" ref="M269:O270" si="231">M274/M279-1</f>
        <v>-3.7564832034553408E-3</v>
      </c>
      <c r="N269" s="128">
        <f t="shared" si="231"/>
        <v>-6.0000000000000053E-3</v>
      </c>
      <c r="O269" s="128">
        <f t="shared" si="231"/>
        <v>-3.400000000000003E-2</v>
      </c>
      <c r="P269" s="128">
        <f t="shared" ref="P269:R270" si="232">P274/P279-1</f>
        <v>0.15500000000000003</v>
      </c>
      <c r="Q269" s="128">
        <f t="shared" si="232"/>
        <v>6.6999999999999948E-2</v>
      </c>
      <c r="R269" s="226">
        <f t="shared" si="232"/>
        <v>4.4000000000000039E-2</v>
      </c>
      <c r="S269" s="128">
        <f t="shared" ref="S269:W270" si="233">S274/S279-1</f>
        <v>5.4000000000000048E-2</v>
      </c>
      <c r="T269" s="128">
        <f t="shared" si="233"/>
        <v>2.4999999999999911E-2</v>
      </c>
      <c r="U269" s="128">
        <f t="shared" si="233"/>
        <v>9.099999999999997E-2</v>
      </c>
      <c r="V269" s="128">
        <f t="shared" si="233"/>
        <v>-8.7999999999999967E-2</v>
      </c>
      <c r="W269" s="226">
        <f t="shared" si="233"/>
        <v>1.6999999999999904E-2</v>
      </c>
      <c r="X269" s="128">
        <f t="shared" ref="X269:Z270" si="234">X274/X279-1</f>
        <v>-4.7000000000000042E-2</v>
      </c>
      <c r="Y269" s="128">
        <f t="shared" si="234"/>
        <v>8.0999999999999961E-2</v>
      </c>
      <c r="Z269" s="128">
        <f t="shared" si="234"/>
        <v>-2.6000000000000023E-2</v>
      </c>
      <c r="AA269" s="503">
        <v>-5.7000000000000002E-2</v>
      </c>
      <c r="AB269" s="3599">
        <v>-1.4999999999999999E-2</v>
      </c>
      <c r="AC269" s="503">
        <v>-2.1000000000000001E-2</v>
      </c>
      <c r="AD269" s="503">
        <v>9.6000000000000002E-2</v>
      </c>
      <c r="AE269" s="503">
        <v>2E-3</v>
      </c>
      <c r="AF269" s="503">
        <v>6.0999999999999999E-2</v>
      </c>
      <c r="AG269" s="3599">
        <v>3.5999999999999997E-2</v>
      </c>
      <c r="AH269" s="7">
        <f t="shared" ref="AH269:AK269" si="235">AH321</f>
        <v>2.5000000000000001E-2</v>
      </c>
      <c r="AI269" s="7">
        <f t="shared" si="235"/>
        <v>1.4999999999999999E-2</v>
      </c>
      <c r="AJ269" s="7">
        <f t="shared" si="235"/>
        <v>4.4999999999999998E-2</v>
      </c>
      <c r="AK269" s="7">
        <f t="shared" si="235"/>
        <v>0.02</v>
      </c>
      <c r="AL269" s="226">
        <f>AL274/AL279-1</f>
        <v>2.5540816099760555E-2</v>
      </c>
      <c r="AM269" s="226">
        <f>AM321</f>
        <v>1.4999999999999999E-2</v>
      </c>
      <c r="AN269" s="226">
        <f>AN321</f>
        <v>-0.03</v>
      </c>
    </row>
    <row r="270" spans="1:42">
      <c r="A270" s="744" t="s">
        <v>45</v>
      </c>
      <c r="B270" s="226">
        <f t="shared" si="229"/>
        <v>2.4999999999999911E-2</v>
      </c>
      <c r="C270" s="226">
        <f t="shared" si="229"/>
        <v>0.14026190671788852</v>
      </c>
      <c r="D270" s="128">
        <f t="shared" si="229"/>
        <v>-4.6000000000000041E-2</v>
      </c>
      <c r="E270" s="128">
        <f t="shared" si="229"/>
        <v>-3.7000000000000033E-2</v>
      </c>
      <c r="F270" s="128">
        <f t="shared" si="229"/>
        <v>5.2000000000000046E-2</v>
      </c>
      <c r="G270" s="128">
        <f t="shared" si="229"/>
        <v>3.8000000000000034E-2</v>
      </c>
      <c r="H270" s="226">
        <f t="shared" si="230"/>
        <v>-8.91474833505016E-2</v>
      </c>
      <c r="I270" s="128">
        <f t="shared" si="230"/>
        <v>7.0683577505233242E-2</v>
      </c>
      <c r="J270" s="128">
        <f t="shared" si="230"/>
        <v>0.21273653207716059</v>
      </c>
      <c r="K270" s="128">
        <f t="shared" si="230"/>
        <v>1.2246836499935965E-2</v>
      </c>
      <c r="L270" s="128">
        <f t="shared" si="230"/>
        <v>9.099999999999997E-2</v>
      </c>
      <c r="M270" s="226">
        <f t="shared" si="231"/>
        <v>0.1137067433027692</v>
      </c>
      <c r="N270" s="128">
        <f t="shared" si="231"/>
        <v>2.2999999999999909E-2</v>
      </c>
      <c r="O270" s="128">
        <f t="shared" si="231"/>
        <v>2.2999999999999909E-2</v>
      </c>
      <c r="P270" s="128">
        <f t="shared" si="232"/>
        <v>-5.7000000000000162E-2</v>
      </c>
      <c r="Q270" s="128">
        <f t="shared" si="232"/>
        <v>-5.2999999999999936E-2</v>
      </c>
      <c r="R270" s="226">
        <f t="shared" si="232"/>
        <v>-1.2999999999999901E-2</v>
      </c>
      <c r="S270" s="128">
        <f t="shared" si="233"/>
        <v>1.4999999999999902E-2</v>
      </c>
      <c r="T270" s="128">
        <f t="shared" si="233"/>
        <v>-4.2000000000000037E-2</v>
      </c>
      <c r="U270" s="128">
        <f t="shared" si="233"/>
        <v>2.2999999999999909E-2</v>
      </c>
      <c r="V270" s="128">
        <f t="shared" si="233"/>
        <v>-6.4000000000000057E-2</v>
      </c>
      <c r="W270" s="226">
        <f t="shared" si="233"/>
        <v>-1.9000000000000017E-2</v>
      </c>
      <c r="X270" s="128">
        <f t="shared" si="234"/>
        <v>-1.4000000000000012E-2</v>
      </c>
      <c r="Y270" s="128">
        <f t="shared" si="234"/>
        <v>0.21100000000000008</v>
      </c>
      <c r="Z270" s="128">
        <f t="shared" si="234"/>
        <v>-1.6000000000000014E-2</v>
      </c>
      <c r="AA270" s="503">
        <v>-1.6E-2</v>
      </c>
      <c r="AB270" s="563">
        <v>3.5999999999999997E-2</v>
      </c>
      <c r="AC270" s="503">
        <v>-6.9000000000000006E-2</v>
      </c>
      <c r="AD270" s="503">
        <v>0.02</v>
      </c>
      <c r="AE270" s="503">
        <v>-7.5999999999999998E-2</v>
      </c>
      <c r="AF270" s="503">
        <v>-5.6000000000000001E-2</v>
      </c>
      <c r="AG270" s="563">
        <v>-0.05</v>
      </c>
      <c r="AH270" s="503"/>
      <c r="AI270" s="503"/>
      <c r="AL270" s="208"/>
      <c r="AM270" s="208"/>
      <c r="AN270" s="208"/>
    </row>
    <row r="271" spans="1:42">
      <c r="A271" s="744" t="s">
        <v>2077</v>
      </c>
      <c r="B271" s="226">
        <f t="shared" ref="B271:I271" si="236">B276-B281</f>
        <v>1.7477432457295827E-2</v>
      </c>
      <c r="C271" s="226">
        <f t="shared" si="236"/>
        <v>-0.10150869054098288</v>
      </c>
      <c r="D271" s="128">
        <f t="shared" si="236"/>
        <v>5.600000000000005E-2</v>
      </c>
      <c r="E271" s="128">
        <f t="shared" si="236"/>
        <v>5.1000000000000045E-2</v>
      </c>
      <c r="F271" s="128">
        <f t="shared" si="236"/>
        <v>-1.8000000000000016E-2</v>
      </c>
      <c r="G271" s="128">
        <f t="shared" si="236"/>
        <v>2.5000000000000022E-2</v>
      </c>
      <c r="H271" s="226">
        <f t="shared" si="236"/>
        <v>1.1761198277428386E-2</v>
      </c>
      <c r="I271" s="128">
        <f t="shared" si="236"/>
        <v>-3.9226794526903475E-2</v>
      </c>
      <c r="J271" s="128">
        <f t="shared" ref="J271:O271" si="237">J276-J281</f>
        <v>-2.5850674327528411E-2</v>
      </c>
      <c r="K271" s="128">
        <f t="shared" si="237"/>
        <v>-0.12879090066300714</v>
      </c>
      <c r="L271" s="128">
        <f t="shared" si="237"/>
        <v>-7.2999999999999954E-2</v>
      </c>
      <c r="M271" s="226">
        <f t="shared" si="237"/>
        <v>-6.9762715872173087E-2</v>
      </c>
      <c r="N271" s="128">
        <f t="shared" si="237"/>
        <v>-1.8000000000000016E-2</v>
      </c>
      <c r="O271" s="128">
        <f t="shared" si="237"/>
        <v>-3.7000000000000033E-2</v>
      </c>
      <c r="P271" s="128">
        <f t="shared" ref="P271:U271" si="238">P276-P281</f>
        <v>0.11699999999999999</v>
      </c>
      <c r="Q271" s="128">
        <f t="shared" si="238"/>
        <v>7.2999999999999954E-2</v>
      </c>
      <c r="R271" s="226">
        <f t="shared" si="238"/>
        <v>3.5000000000000031E-2</v>
      </c>
      <c r="S271" s="128">
        <f t="shared" si="238"/>
        <v>2.4000000000000021E-2</v>
      </c>
      <c r="T271" s="128">
        <f t="shared" si="238"/>
        <v>4.4000000000000039E-2</v>
      </c>
      <c r="U271" s="128">
        <f t="shared" si="238"/>
        <v>4.1000000000000036E-2</v>
      </c>
      <c r="V271" s="128">
        <f>V276-V281</f>
        <v>1.7000000000000015E-2</v>
      </c>
      <c r="W271" s="226">
        <f>W276-W281</f>
        <v>2.300000000000002E-2</v>
      </c>
      <c r="X271" s="128">
        <f>X276-X281</f>
        <v>-2.200000000000002E-2</v>
      </c>
      <c r="Y271" s="128">
        <f>Y276-Y281</f>
        <v>-7.1999999999999953E-2</v>
      </c>
      <c r="Z271" s="128">
        <f>Z276-Z281</f>
        <v>-7.0000000000000062E-3</v>
      </c>
      <c r="AA271" s="503">
        <v>-2.7E-2</v>
      </c>
      <c r="AB271" s="563">
        <v>-3.3000000000000002E-2</v>
      </c>
      <c r="AC271" s="503">
        <v>3.3000000000000002E-2</v>
      </c>
      <c r="AD271" s="503">
        <v>4.4999999999999998E-2</v>
      </c>
      <c r="AE271" s="503">
        <v>5.3999999999999999E-2</v>
      </c>
      <c r="AF271" s="503">
        <v>7.8E-2</v>
      </c>
      <c r="AG271" s="563">
        <v>5.5E-2</v>
      </c>
      <c r="AH271" s="503"/>
      <c r="AI271" s="503"/>
      <c r="AL271" s="208"/>
      <c r="AM271" s="208"/>
      <c r="AN271" s="208"/>
    </row>
    <row r="272" spans="1:42">
      <c r="A272" s="744"/>
      <c r="B272" s="563"/>
      <c r="C272" s="563"/>
      <c r="D272" s="15"/>
      <c r="E272" s="15"/>
      <c r="F272" s="15"/>
      <c r="G272" s="15"/>
      <c r="H272" s="208"/>
      <c r="I272" s="15"/>
      <c r="J272" s="15"/>
      <c r="K272" s="15"/>
      <c r="L272" s="15"/>
      <c r="M272" s="208"/>
      <c r="N272" s="15"/>
      <c r="O272" s="15"/>
      <c r="P272" s="15"/>
      <c r="Q272" s="15"/>
      <c r="R272" s="208"/>
      <c r="V272" s="474"/>
      <c r="W272" s="208"/>
      <c r="AA272" s="1777"/>
      <c r="AB272" s="1996"/>
      <c r="AG272" s="208"/>
      <c r="AL272" s="208"/>
      <c r="AM272" s="208"/>
      <c r="AN272" s="208"/>
    </row>
    <row r="273" spans="1:47">
      <c r="A273" s="747" t="s">
        <v>2132</v>
      </c>
      <c r="B273" s="649"/>
      <c r="C273" s="651"/>
      <c r="D273" s="650"/>
      <c r="E273" s="650"/>
      <c r="F273" s="650"/>
      <c r="G273" s="650"/>
      <c r="H273" s="208"/>
      <c r="I273" s="650"/>
      <c r="J273" s="650"/>
      <c r="K273" s="650"/>
      <c r="L273" s="650"/>
      <c r="M273" s="208"/>
      <c r="N273" s="650"/>
      <c r="O273" s="650"/>
      <c r="P273" s="650"/>
      <c r="Q273" s="650"/>
      <c r="R273" s="208"/>
      <c r="S273" s="650"/>
      <c r="T273" s="650"/>
      <c r="U273" s="650"/>
      <c r="V273" s="474"/>
      <c r="W273" s="208"/>
      <c r="AA273" s="1777"/>
      <c r="AB273" s="1996"/>
      <c r="AG273" s="208"/>
      <c r="AL273" s="208"/>
      <c r="AM273" s="208"/>
      <c r="AN273" s="208"/>
    </row>
    <row r="274" spans="1:47">
      <c r="A274" s="744" t="s">
        <v>2086</v>
      </c>
      <c r="B274" s="1026">
        <v>109.45656051852097</v>
      </c>
      <c r="C274" s="1026">
        <v>107.81954104151356</v>
      </c>
      <c r="D274" s="560">
        <v>106.43281553554371</v>
      </c>
      <c r="E274" s="560">
        <v>89.488762247810698</v>
      </c>
      <c r="F274" s="560">
        <v>104.78434308374874</v>
      </c>
      <c r="G274" s="762">
        <v>98.673378180369014</v>
      </c>
      <c r="H274" s="513">
        <f>SUMPRODUCT(D274:G274,D$5:G$5)/H$5</f>
        <v>99.855120039847208</v>
      </c>
      <c r="I274" s="560">
        <v>107.09213061035236</v>
      </c>
      <c r="J274" s="560">
        <v>104.36403362250601</v>
      </c>
      <c r="K274" s="560">
        <v>84.742467503514021</v>
      </c>
      <c r="L274" s="762">
        <v>101.94</v>
      </c>
      <c r="M274" s="513">
        <f>SUMPRODUCT(I274:L274,I$5:L$5)/M$5</f>
        <v>99.480015958638504</v>
      </c>
      <c r="N274" s="2216">
        <v>107.51</v>
      </c>
      <c r="O274" s="762">
        <v>96.67</v>
      </c>
      <c r="P274" s="762">
        <v>106.32</v>
      </c>
      <c r="Q274" s="560">
        <v>110.22</v>
      </c>
      <c r="R274" s="2410">
        <v>104.93</v>
      </c>
      <c r="S274" s="560">
        <v>104.72</v>
      </c>
      <c r="T274" s="560">
        <v>94.42</v>
      </c>
      <c r="U274" s="560">
        <v>104.46</v>
      </c>
      <c r="V274" s="560">
        <v>99.25</v>
      </c>
      <c r="W274" s="2410">
        <v>101.53</v>
      </c>
      <c r="X274" s="560">
        <v>108.46</v>
      </c>
      <c r="Y274" s="560">
        <v>104.04</v>
      </c>
      <c r="Z274" s="560">
        <v>108.37</v>
      </c>
      <c r="AA274" s="560">
        <v>98.82</v>
      </c>
      <c r="AB274" s="2410">
        <v>104.94</v>
      </c>
      <c r="AC274" s="560">
        <v>100.75</v>
      </c>
      <c r="AD274" s="560">
        <v>109.96</v>
      </c>
      <c r="AE274" s="560">
        <v>90.93</v>
      </c>
      <c r="AF274" s="560">
        <v>102.81</v>
      </c>
      <c r="AG274" s="2410">
        <v>97.42</v>
      </c>
      <c r="AH274" s="598">
        <f t="shared" ref="AH274:AK274" si="239">AH279*(1+AH269)</f>
        <v>103.26875</v>
      </c>
      <c r="AI274" s="598">
        <f t="shared" si="239"/>
        <v>111.60939999999998</v>
      </c>
      <c r="AJ274" s="598">
        <f t="shared" si="239"/>
        <v>95.021850000000001</v>
      </c>
      <c r="AK274" s="598">
        <f t="shared" si="239"/>
        <v>104.86620000000001</v>
      </c>
      <c r="AL274" s="513">
        <f>SUMPRODUCT(AH274:AK274,AH$5:AK$5)/AL$5</f>
        <v>103.67217397260275</v>
      </c>
      <c r="AM274" s="513">
        <f>AL274*(1+AM269)</f>
        <v>105.22725658219179</v>
      </c>
      <c r="AN274" s="513">
        <f>AM274*(1+AN269)</f>
        <v>102.07043888472603</v>
      </c>
      <c r="AU274" s="3">
        <f>AVERAGE(AH274:AK274)</f>
        <v>103.69154999999999</v>
      </c>
    </row>
    <row r="275" spans="1:47">
      <c r="A275" s="744" t="s">
        <v>45</v>
      </c>
      <c r="B275" s="1027">
        <v>146.78289522337377</v>
      </c>
      <c r="C275" s="1027">
        <v>167.37094398097622</v>
      </c>
      <c r="D275" s="561">
        <v>163.42431676320373</v>
      </c>
      <c r="E275" s="561">
        <v>132.767144498291</v>
      </c>
      <c r="F275" s="561">
        <v>163.576357427413</v>
      </c>
      <c r="G275" s="749">
        <v>149.93850009981756</v>
      </c>
      <c r="H275" s="361">
        <f>SUMPRODUCT(D275:G275,D$5:G$5)/H$5</f>
        <v>152.45024553907442</v>
      </c>
      <c r="I275" s="561">
        <v>174.97573212337545</v>
      </c>
      <c r="J275" s="561">
        <v>161.01156639264471</v>
      </c>
      <c r="K275" s="561">
        <v>165.57965033208163</v>
      </c>
      <c r="L275" s="749">
        <v>177.59</v>
      </c>
      <c r="M275" s="361">
        <f>SUMPRODUCT(I275:L275,I$5:L$5)/M$5</f>
        <v>169.78486647503007</v>
      </c>
      <c r="N275" s="2217">
        <v>171.21</v>
      </c>
      <c r="O275" s="749">
        <v>155.16999999999999</v>
      </c>
      <c r="P275" s="749">
        <v>167</v>
      </c>
      <c r="Q275" s="561">
        <v>168.14</v>
      </c>
      <c r="R275" s="649">
        <v>165.15</v>
      </c>
      <c r="S275" s="561">
        <v>161.38999999999999</v>
      </c>
      <c r="T275" s="561">
        <v>139.21</v>
      </c>
      <c r="U275" s="561">
        <v>157.97</v>
      </c>
      <c r="V275" s="561">
        <v>153.80000000000001</v>
      </c>
      <c r="W275" s="649">
        <v>153.91</v>
      </c>
      <c r="X275" s="561">
        <v>169.03</v>
      </c>
      <c r="Y275" s="561">
        <v>172.36</v>
      </c>
      <c r="Z275" s="561">
        <v>164.54</v>
      </c>
      <c r="AA275" s="561">
        <v>158.16999999999999</v>
      </c>
      <c r="AB275" s="649">
        <v>166.26</v>
      </c>
      <c r="AC275" s="561">
        <v>150.79</v>
      </c>
      <c r="AD275" s="561">
        <v>171.44</v>
      </c>
      <c r="AE275" s="561">
        <v>130.18</v>
      </c>
      <c r="AF275" s="561">
        <v>145.43</v>
      </c>
      <c r="AG275" s="649">
        <v>145.16</v>
      </c>
      <c r="AH275" s="561"/>
      <c r="AI275" s="561"/>
      <c r="AJ275" s="305"/>
      <c r="AK275" s="305"/>
      <c r="AL275" s="208"/>
      <c r="AM275" s="208"/>
      <c r="AN275" s="208"/>
    </row>
    <row r="276" spans="1:47">
      <c r="A276" s="744" t="s">
        <v>2077</v>
      </c>
      <c r="B276" s="1028">
        <v>0.74570378484461897</v>
      </c>
      <c r="C276" s="1028">
        <v>0.64419509430363608</v>
      </c>
      <c r="D276" s="562">
        <v>0.65126670035133893</v>
      </c>
      <c r="E276" s="562">
        <v>0.67402791997957456</v>
      </c>
      <c r="F276" s="562">
        <v>0.64058366827398494</v>
      </c>
      <c r="G276" s="763">
        <v>0.65809233862336791</v>
      </c>
      <c r="H276" s="245">
        <f>SUMPRODUCT(D276:G276,D$5:G$5)/H$5</f>
        <v>0.65595629258106447</v>
      </c>
      <c r="I276" s="562">
        <v>0.61203990582443546</v>
      </c>
      <c r="J276" s="562">
        <v>0.64817724565204615</v>
      </c>
      <c r="K276" s="562">
        <v>0.51179276761097781</v>
      </c>
      <c r="L276" s="763">
        <v>0.57399999999999995</v>
      </c>
      <c r="M276" s="245">
        <f>SUMPRODUCT(I276:L276,I$5:L$5)/M$5</f>
        <v>0.58619357670889138</v>
      </c>
      <c r="N276" s="2218">
        <v>0.628</v>
      </c>
      <c r="O276" s="763">
        <v>0.623</v>
      </c>
      <c r="P276" s="763">
        <v>0.63700000000000001</v>
      </c>
      <c r="Q276" s="562">
        <v>0.65600000000000003</v>
      </c>
      <c r="R276" s="1028">
        <v>0.63500000000000001</v>
      </c>
      <c r="S276" s="562">
        <v>0.64900000000000002</v>
      </c>
      <c r="T276" s="562">
        <v>0.67800000000000005</v>
      </c>
      <c r="U276" s="562">
        <v>0.66100000000000003</v>
      </c>
      <c r="V276" s="562">
        <v>0.64500000000000002</v>
      </c>
      <c r="W276" s="1028">
        <v>0.66</v>
      </c>
      <c r="X276" s="562">
        <v>0.64200000000000002</v>
      </c>
      <c r="Y276" s="562">
        <v>0.60399999999999998</v>
      </c>
      <c r="Z276" s="562">
        <v>0.65900000000000003</v>
      </c>
      <c r="AA276" s="562">
        <v>0.625</v>
      </c>
      <c r="AB276" s="1028">
        <v>0.63100000000000001</v>
      </c>
      <c r="AC276" s="562">
        <v>0.66800000000000004</v>
      </c>
      <c r="AD276" s="562">
        <v>0.64100000000000001</v>
      </c>
      <c r="AE276" s="562">
        <v>0.69899999999999995</v>
      </c>
      <c r="AF276" s="562">
        <v>0.70699999999999996</v>
      </c>
      <c r="AG276" s="1028">
        <v>0.67100000000000004</v>
      </c>
      <c r="AH276" s="562"/>
      <c r="AI276" s="562"/>
      <c r="AJ276" s="247"/>
      <c r="AK276" s="247"/>
      <c r="AL276" s="208"/>
      <c r="AM276" s="208"/>
      <c r="AN276" s="208"/>
    </row>
    <row r="277" spans="1:47">
      <c r="A277" s="744"/>
      <c r="B277" s="563"/>
      <c r="C277" s="563"/>
      <c r="D277" s="503"/>
      <c r="E277" s="503"/>
      <c r="F277" s="503"/>
      <c r="G277" s="558"/>
      <c r="H277" s="563"/>
      <c r="I277" s="503"/>
      <c r="J277" s="503"/>
      <c r="K277" s="503"/>
      <c r="L277" s="558"/>
      <c r="M277" s="563"/>
      <c r="N277" s="2219"/>
      <c r="O277" s="503"/>
      <c r="P277" s="503"/>
      <c r="Q277" s="503"/>
      <c r="R277" s="563"/>
      <c r="S277" s="503"/>
      <c r="T277" s="503"/>
      <c r="U277" s="503"/>
      <c r="V277" s="1131"/>
      <c r="W277" s="208"/>
      <c r="X277" s="503"/>
      <c r="Y277" s="503"/>
      <c r="Z277" s="503"/>
      <c r="AA277" s="503"/>
      <c r="AB277" s="1996"/>
      <c r="AC277" s="503"/>
      <c r="AD277" s="503"/>
      <c r="AE277" s="503"/>
      <c r="AF277" s="503"/>
      <c r="AG277" s="208"/>
      <c r="AH277" s="503"/>
      <c r="AI277" s="503"/>
      <c r="AJ277" s="503"/>
      <c r="AK277" s="503"/>
      <c r="AL277" s="208"/>
      <c r="AM277" s="208"/>
      <c r="AN277" s="208"/>
    </row>
    <row r="278" spans="1:47">
      <c r="A278" s="747" t="s">
        <v>2133</v>
      </c>
      <c r="B278" s="563"/>
      <c r="C278" s="563"/>
      <c r="D278" s="503"/>
      <c r="E278" s="503"/>
      <c r="F278" s="503"/>
      <c r="G278" s="558"/>
      <c r="H278" s="563"/>
      <c r="I278" s="503"/>
      <c r="J278" s="503"/>
      <c r="K278" s="503"/>
      <c r="L278" s="558"/>
      <c r="M278" s="563"/>
      <c r="N278" s="2219"/>
      <c r="O278" s="503"/>
      <c r="P278" s="503"/>
      <c r="Q278" s="503"/>
      <c r="R278" s="563"/>
      <c r="S278" s="503"/>
      <c r="T278" s="503"/>
      <c r="U278" s="503"/>
      <c r="V278" s="1131"/>
      <c r="W278" s="208"/>
      <c r="X278" s="503"/>
      <c r="Y278" s="503"/>
      <c r="Z278" s="503"/>
      <c r="AA278" s="503"/>
      <c r="AB278" s="1996"/>
      <c r="AC278" s="503"/>
      <c r="AD278" s="503"/>
      <c r="AE278" s="503"/>
      <c r="AF278" s="503"/>
      <c r="AG278" s="208"/>
      <c r="AH278" s="503"/>
      <c r="AI278" s="503"/>
      <c r="AJ278" s="503"/>
      <c r="AK278" s="503"/>
      <c r="AL278" s="208"/>
      <c r="AM278" s="208"/>
      <c r="AN278" s="208"/>
    </row>
    <row r="279" spans="1:47">
      <c r="A279" s="744" t="s">
        <v>2086</v>
      </c>
      <c r="B279" s="2803">
        <f>B274/(1+0.058)</f>
        <v>103.45610635020886</v>
      </c>
      <c r="C279" s="2803">
        <f>B274</f>
        <v>109.45656051852097</v>
      </c>
      <c r="D279" s="2804">
        <f>D274/(1+0.043)</f>
        <v>102.04488546073223</v>
      </c>
      <c r="E279" s="2665">
        <f>E274/(1+0.042)</f>
        <v>85.881729604424848</v>
      </c>
      <c r="F279" s="2665">
        <f>F274/(1+0.023)</f>
        <v>102.428487862902</v>
      </c>
      <c r="G279" s="2666">
        <f>G274/(1+0.079)</f>
        <v>91.44891397624562</v>
      </c>
      <c r="H279" s="2803">
        <f>C274</f>
        <v>107.81954104151356</v>
      </c>
      <c r="I279" s="2796">
        <f>D274</f>
        <v>106.43281553554371</v>
      </c>
      <c r="J279" s="2796">
        <f>E274</f>
        <v>89.488762247810698</v>
      </c>
      <c r="K279" s="2796">
        <f>F274</f>
        <v>104.78434308374874</v>
      </c>
      <c r="L279" s="2666">
        <f>L274/(1-0.032)</f>
        <v>105.30991735537191</v>
      </c>
      <c r="M279" s="2803">
        <f>H274</f>
        <v>99.855120039847208</v>
      </c>
      <c r="N279" s="2804">
        <f>N274/(1-0.006)</f>
        <v>108.158953722334</v>
      </c>
      <c r="O279" s="2665">
        <f>O274/(1-0.034)</f>
        <v>100.07246376811595</v>
      </c>
      <c r="P279" s="2665">
        <f>P274/(1+0.155)</f>
        <v>92.051948051948045</v>
      </c>
      <c r="Q279" s="2665">
        <f>Q274/(1+0.067)</f>
        <v>103.29896907216495</v>
      </c>
      <c r="R279" s="2803">
        <f>R274/(1+0.044)</f>
        <v>100.50766283524905</v>
      </c>
      <c r="S279" s="2665">
        <f>S274/(1+0.054)</f>
        <v>99.354838709677409</v>
      </c>
      <c r="T279" s="2665">
        <f>T274/(1+0.025)</f>
        <v>92.117073170731715</v>
      </c>
      <c r="U279" s="2665">
        <f>U274/(1+0.091)</f>
        <v>95.747021081576534</v>
      </c>
      <c r="V279" s="2665">
        <f>V274/(1-0.088)</f>
        <v>108.8267543859649</v>
      </c>
      <c r="W279" s="2803">
        <f>W274/(1+0.017)</f>
        <v>99.832841691248788</v>
      </c>
      <c r="X279" s="2665">
        <f>X274/(1-0.047)</f>
        <v>113.80902413431269</v>
      </c>
      <c r="Y279" s="2665">
        <f>Y274/(1+0.081)</f>
        <v>96.244218316373733</v>
      </c>
      <c r="Z279" s="2665">
        <f>Z274/(1-0.026)</f>
        <v>111.26283367556469</v>
      </c>
      <c r="AA279" s="1998">
        <f t="shared" ref="AA279:AC280" si="240">+AA274/(1+AA269)</f>
        <v>104.7932131495228</v>
      </c>
      <c r="AB279" s="1999">
        <f t="shared" si="240"/>
        <v>106.53807106598984</v>
      </c>
      <c r="AC279" s="1998">
        <f t="shared" si="240"/>
        <v>102.91113381001021</v>
      </c>
      <c r="AD279" s="1998">
        <f t="shared" ref="AD279:AE279" si="241">+AD274/(1+AD269)</f>
        <v>100.32846715328466</v>
      </c>
      <c r="AE279" s="1998">
        <f t="shared" si="241"/>
        <v>90.748502994011986</v>
      </c>
      <c r="AF279" s="1998">
        <f t="shared" ref="AF279:AG279" si="242">+AF274/(1+AF269)</f>
        <v>96.899151743638086</v>
      </c>
      <c r="AG279" s="1999">
        <f t="shared" si="242"/>
        <v>94.034749034749026</v>
      </c>
      <c r="AH279" s="1998">
        <f>AC274</f>
        <v>100.75</v>
      </c>
      <c r="AI279" s="1998">
        <f t="shared" ref="AI279:AK279" si="243">AD274</f>
        <v>109.96</v>
      </c>
      <c r="AJ279" s="1998">
        <f t="shared" si="243"/>
        <v>90.93</v>
      </c>
      <c r="AK279" s="1998">
        <f t="shared" si="243"/>
        <v>102.81</v>
      </c>
      <c r="AL279" s="513">
        <f>SUMPRODUCT(AH279:AK279,AC$5:AF$5)/AG$5</f>
        <v>101.09024657534248</v>
      </c>
      <c r="AM279" s="513">
        <f>AL274</f>
        <v>103.67217397260275</v>
      </c>
      <c r="AN279" s="513">
        <f>AM274</f>
        <v>105.22725658219179</v>
      </c>
      <c r="AU279" s="3">
        <f>AVERAGE(AH279:AK279)</f>
        <v>101.1125</v>
      </c>
    </row>
    <row r="280" spans="1:47">
      <c r="A280" s="744" t="s">
        <v>45</v>
      </c>
      <c r="B280" s="2805">
        <f>B275/(1+0.025)</f>
        <v>143.20282460816955</v>
      </c>
      <c r="C280" s="2805">
        <f>B275</f>
        <v>146.78289522337377</v>
      </c>
      <c r="D280" s="2806">
        <f>D275/(1-0.046)</f>
        <v>171.30431526541273</v>
      </c>
      <c r="E280" s="2807">
        <f>E275/(1-0.037)</f>
        <v>137.86827050705193</v>
      </c>
      <c r="F280" s="2807">
        <f>F275/(1+0.052)</f>
        <v>155.49083405647622</v>
      </c>
      <c r="G280" s="2808">
        <f>G275/(1+0.038)</f>
        <v>144.44942206148127</v>
      </c>
      <c r="H280" s="2805">
        <f t="shared" ref="H280:K281" si="244">C275</f>
        <v>167.37094398097622</v>
      </c>
      <c r="I280" s="2798">
        <f t="shared" si="244"/>
        <v>163.42431676320373</v>
      </c>
      <c r="J280" s="2798">
        <f t="shared" si="244"/>
        <v>132.767144498291</v>
      </c>
      <c r="K280" s="2798">
        <f t="shared" si="244"/>
        <v>163.576357427413</v>
      </c>
      <c r="L280" s="2808">
        <f>L275/(1+0.091)</f>
        <v>162.77726856095327</v>
      </c>
      <c r="M280" s="2805">
        <f>H275</f>
        <v>152.45024553907442</v>
      </c>
      <c r="N280" s="2806">
        <f>N275/(1+0.023)</f>
        <v>167.36070381231673</v>
      </c>
      <c r="O280" s="2807">
        <f>O275/(1+0.023)</f>
        <v>151.68132942326491</v>
      </c>
      <c r="P280" s="2807">
        <f>P275/(1-0.057)</f>
        <v>177.09437963944859</v>
      </c>
      <c r="Q280" s="2807">
        <f>Q275/(1-0.053)</f>
        <v>177.55015839493134</v>
      </c>
      <c r="R280" s="2805">
        <f>R275/(1-0.013)</f>
        <v>167.32522796352583</v>
      </c>
      <c r="S280" s="2807">
        <f>S275/(1+0.015)</f>
        <v>159.00492610837438</v>
      </c>
      <c r="T280" s="2807">
        <f>T275/(1-0.042)</f>
        <v>145.31315240083509</v>
      </c>
      <c r="U280" s="2807">
        <f>U275/(1+0.023)</f>
        <v>154.41837732160315</v>
      </c>
      <c r="V280" s="2807">
        <f>V275/(1-0.064)</f>
        <v>164.31623931623935</v>
      </c>
      <c r="W280" s="2805">
        <f>W275/(1-0.019)</f>
        <v>156.89092762487257</v>
      </c>
      <c r="X280" s="2807">
        <f>X275/(1-0.014)</f>
        <v>171.43002028397567</v>
      </c>
      <c r="Y280" s="2807">
        <f>Y275/(1+0.211)</f>
        <v>142.32865400495459</v>
      </c>
      <c r="Z280" s="2807">
        <f>Z275/(1-0.016)</f>
        <v>167.21544715447155</v>
      </c>
      <c r="AA280" s="1997">
        <f t="shared" si="240"/>
        <v>160.74186991869917</v>
      </c>
      <c r="AB280" s="2000">
        <f t="shared" si="240"/>
        <v>160.48262548262548</v>
      </c>
      <c r="AC280" s="1997">
        <f t="shared" si="240"/>
        <v>161.96562835660578</v>
      </c>
      <c r="AD280" s="1997">
        <f t="shared" ref="AD280:AE280" si="245">+AD275/(1+AD270)</f>
        <v>168.07843137254901</v>
      </c>
      <c r="AE280" s="1997">
        <f t="shared" si="245"/>
        <v>140.88744588744589</v>
      </c>
      <c r="AF280" s="1997">
        <f t="shared" ref="AF280:AG280" si="246">+AF275/(1+AF270)</f>
        <v>154.05720338983053</v>
      </c>
      <c r="AG280" s="2000">
        <f t="shared" si="246"/>
        <v>152.80000000000001</v>
      </c>
      <c r="AH280" s="1997"/>
      <c r="AI280" s="1997"/>
      <c r="AK280" s="474"/>
      <c r="AL280" s="208"/>
      <c r="AM280" s="208"/>
      <c r="AN280" s="208"/>
    </row>
    <row r="281" spans="1:47">
      <c r="A281" s="744" t="s">
        <v>2077</v>
      </c>
      <c r="B281" s="2809">
        <f>B276/(1+0.024)</f>
        <v>0.72822635238732314</v>
      </c>
      <c r="C281" s="2809">
        <f>B276</f>
        <v>0.74570378484461897</v>
      </c>
      <c r="D281" s="2810">
        <f>D276-0.056</f>
        <v>0.59526670035133888</v>
      </c>
      <c r="E281" s="2811">
        <f>E276-0.051</f>
        <v>0.62302791997957452</v>
      </c>
      <c r="F281" s="2811">
        <f>F276+0.018</f>
        <v>0.65858366827398496</v>
      </c>
      <c r="G281" s="2812">
        <f>G276-0.025</f>
        <v>0.63309233862336789</v>
      </c>
      <c r="H281" s="2809">
        <f t="shared" si="244"/>
        <v>0.64419509430363608</v>
      </c>
      <c r="I281" s="2811">
        <f t="shared" si="244"/>
        <v>0.65126670035133893</v>
      </c>
      <c r="J281" s="2811">
        <f t="shared" si="244"/>
        <v>0.67402791997957456</v>
      </c>
      <c r="K281" s="2811">
        <f t="shared" si="244"/>
        <v>0.64058366827398494</v>
      </c>
      <c r="L281" s="2812">
        <f>L276+0.073</f>
        <v>0.64699999999999991</v>
      </c>
      <c r="M281" s="2809">
        <f>H276</f>
        <v>0.65595629258106447</v>
      </c>
      <c r="N281" s="2810">
        <f>N276+0.018</f>
        <v>0.64600000000000002</v>
      </c>
      <c r="O281" s="2811">
        <f>O276+0.037</f>
        <v>0.66</v>
      </c>
      <c r="P281" s="2811">
        <f>P276-0.117</f>
        <v>0.52</v>
      </c>
      <c r="Q281" s="2811">
        <f>Q276-0.073</f>
        <v>0.58300000000000007</v>
      </c>
      <c r="R281" s="2809">
        <f>R276-0.035</f>
        <v>0.6</v>
      </c>
      <c r="S281" s="2811">
        <f>S276-0.024</f>
        <v>0.625</v>
      </c>
      <c r="T281" s="2811">
        <f>T276-0.044</f>
        <v>0.63400000000000001</v>
      </c>
      <c r="U281" s="2811">
        <f>U276-0.041</f>
        <v>0.62</v>
      </c>
      <c r="V281" s="2811">
        <f>V276-0.017</f>
        <v>0.628</v>
      </c>
      <c r="W281" s="2809">
        <f>W276-0.023</f>
        <v>0.63700000000000001</v>
      </c>
      <c r="X281" s="2811">
        <f>X276+0.022</f>
        <v>0.66400000000000003</v>
      </c>
      <c r="Y281" s="2811">
        <f>Y276+0.072</f>
        <v>0.67599999999999993</v>
      </c>
      <c r="Z281" s="2811">
        <f>Z276+0.007</f>
        <v>0.66600000000000004</v>
      </c>
      <c r="AA281" s="2841">
        <f t="shared" ref="AA281:AG281" si="247">AA276-AA271</f>
        <v>0.65200000000000002</v>
      </c>
      <c r="AB281" s="2842">
        <f t="shared" si="247"/>
        <v>0.66400000000000003</v>
      </c>
      <c r="AC281" s="2841">
        <f t="shared" si="247"/>
        <v>0.63500000000000001</v>
      </c>
      <c r="AD281" s="2841">
        <f t="shared" si="247"/>
        <v>0.59599999999999997</v>
      </c>
      <c r="AE281" s="2841">
        <f t="shared" si="247"/>
        <v>0.64499999999999991</v>
      </c>
      <c r="AF281" s="2841">
        <f t="shared" si="247"/>
        <v>0.629</v>
      </c>
      <c r="AG281" s="2842">
        <f t="shared" si="247"/>
        <v>0.61599999999999999</v>
      </c>
      <c r="AH281" s="2841"/>
      <c r="AI281" s="2841"/>
      <c r="AK281" s="474"/>
      <c r="AL281" s="208"/>
      <c r="AM281" s="208"/>
      <c r="AN281" s="208"/>
    </row>
    <row r="282" spans="1:47">
      <c r="A282" s="557"/>
      <c r="B282" s="563"/>
      <c r="C282" s="563"/>
      <c r="D282" s="15"/>
      <c r="E282" s="15"/>
      <c r="F282" s="15"/>
      <c r="G282" s="15"/>
      <c r="H282" s="208"/>
      <c r="I282" s="15"/>
      <c r="J282" s="15"/>
      <c r="K282" s="15"/>
      <c r="L282" s="1777"/>
      <c r="M282" s="1996"/>
      <c r="N282" s="15"/>
      <c r="O282" s="15"/>
      <c r="P282" s="15"/>
      <c r="Q282" s="15"/>
      <c r="R282" s="208"/>
      <c r="S282" s="13"/>
      <c r="V282" s="474"/>
      <c r="W282" s="208"/>
      <c r="X282" s="13"/>
      <c r="AA282" s="474"/>
      <c r="AB282" s="208"/>
      <c r="AF282" s="474"/>
      <c r="AG282" s="208"/>
      <c r="AK282" s="474"/>
      <c r="AL282" s="208"/>
      <c r="AM282" s="208"/>
      <c r="AN282" s="208"/>
    </row>
    <row r="283" spans="1:47">
      <c r="A283" s="557"/>
      <c r="B283" s="563"/>
      <c r="C283" s="563"/>
      <c r="D283" s="15"/>
      <c r="E283" s="15"/>
      <c r="F283" s="15"/>
      <c r="G283" s="15"/>
      <c r="H283" s="208"/>
      <c r="I283" s="15"/>
      <c r="J283" s="15"/>
      <c r="K283" s="15"/>
      <c r="L283" s="1777"/>
      <c r="M283" s="1996"/>
      <c r="N283" s="15"/>
      <c r="O283" s="15"/>
      <c r="P283" s="15"/>
      <c r="Q283" s="15"/>
      <c r="R283" s="208"/>
      <c r="S283" s="13"/>
      <c r="V283" s="474"/>
      <c r="W283" s="208"/>
      <c r="X283" s="13"/>
      <c r="AA283" s="474"/>
      <c r="AB283" s="208"/>
      <c r="AF283" s="474"/>
      <c r="AG283" s="208"/>
      <c r="AK283" s="474"/>
      <c r="AL283" s="208"/>
      <c r="AM283" s="208"/>
      <c r="AN283" s="208"/>
    </row>
    <row r="284" spans="1:47">
      <c r="A284" s="202" t="s">
        <v>1688</v>
      </c>
      <c r="B284" s="564"/>
      <c r="C284" s="564"/>
      <c r="D284" s="470"/>
      <c r="E284" s="470"/>
      <c r="F284" s="470"/>
      <c r="G284" s="470"/>
      <c r="H284" s="553"/>
      <c r="I284" s="470"/>
      <c r="J284" s="470"/>
      <c r="K284" s="470"/>
      <c r="L284" s="470"/>
      <c r="M284" s="553"/>
      <c r="N284" s="470"/>
      <c r="O284" s="470"/>
      <c r="P284" s="470"/>
      <c r="Q284" s="470"/>
      <c r="R284" s="553"/>
      <c r="S284" s="2380"/>
      <c r="T284" s="470"/>
      <c r="U284" s="470"/>
      <c r="V284" s="785"/>
      <c r="W284" s="553"/>
      <c r="X284" s="2380"/>
      <c r="Y284" s="470"/>
      <c r="Z284" s="470"/>
      <c r="AA284" s="785"/>
      <c r="AB284" s="553"/>
      <c r="AC284" s="470"/>
      <c r="AD284" s="470"/>
      <c r="AE284" s="470"/>
      <c r="AF284" s="785"/>
      <c r="AG284" s="553"/>
      <c r="AH284" s="470"/>
      <c r="AI284" s="470"/>
      <c r="AJ284" s="470"/>
      <c r="AK284" s="785"/>
      <c r="AL284" s="553"/>
      <c r="AM284" s="553"/>
      <c r="AN284" s="553"/>
    </row>
    <row r="285" spans="1:47">
      <c r="A285" s="744" t="s">
        <v>2086</v>
      </c>
      <c r="B285" s="226">
        <f t="shared" ref="B285:G286" si="248">B290/B295-1</f>
        <v>9.2999999999999972E-2</v>
      </c>
      <c r="C285" s="226">
        <f t="shared" si="248"/>
        <v>0.10765333655084919</v>
      </c>
      <c r="D285" s="128">
        <f t="shared" si="248"/>
        <v>0.1160000000000001</v>
      </c>
      <c r="E285" s="128">
        <f t="shared" si="248"/>
        <v>0.18599999999999994</v>
      </c>
      <c r="F285" s="128">
        <f t="shared" si="248"/>
        <v>6.2999999999999945E-2</v>
      </c>
      <c r="G285" s="128">
        <f t="shared" si="248"/>
        <v>3.499999999999992E-2</v>
      </c>
      <c r="H285" s="226">
        <f t="shared" ref="H285:L286" si="249">H290/H295-1</f>
        <v>-6.231014919235367E-2</v>
      </c>
      <c r="I285" s="128">
        <f t="shared" si="249"/>
        <v>5.206064624357909E-3</v>
      </c>
      <c r="J285" s="128">
        <f t="shared" si="249"/>
        <v>-4.8651755827657461E-2</v>
      </c>
      <c r="K285" s="128">
        <f t="shared" si="249"/>
        <v>-7.6025400552350075E-2</v>
      </c>
      <c r="L285" s="128">
        <f t="shared" si="249"/>
        <v>8.6000000000000076E-2</v>
      </c>
      <c r="M285" s="226">
        <f t="shared" ref="M285:O286" si="250">M290/M295-1</f>
        <v>-3.6272514619235641E-2</v>
      </c>
      <c r="N285" s="128">
        <f t="shared" si="250"/>
        <v>8.6999999999999966E-2</v>
      </c>
      <c r="O285" s="128">
        <f t="shared" si="250"/>
        <v>4.8000000000000043E-2</v>
      </c>
      <c r="P285" s="128">
        <f t="shared" ref="P285:R286" si="251">P290/P295-1</f>
        <v>3.400000000000003E-2</v>
      </c>
      <c r="Q285" s="128">
        <f t="shared" si="251"/>
        <v>2.8999999999999915E-2</v>
      </c>
      <c r="R285" s="226">
        <f t="shared" si="251"/>
        <v>4.8999999999999932E-2</v>
      </c>
      <c r="S285" s="128">
        <f t="shared" ref="S285:W286" si="252">S290/S295-1</f>
        <v>0.10099999999999998</v>
      </c>
      <c r="T285" s="128">
        <f t="shared" si="252"/>
        <v>9.4000000000000083E-2</v>
      </c>
      <c r="U285" s="128">
        <f t="shared" si="252"/>
        <v>0.10200000000000009</v>
      </c>
      <c r="V285" s="128">
        <f t="shared" si="252"/>
        <v>6.6999999999999948E-2</v>
      </c>
      <c r="W285" s="226">
        <f t="shared" si="252"/>
        <v>9.2999999999999972E-2</v>
      </c>
      <c r="X285" s="128">
        <f t="shared" ref="X285:Z286" si="253">X290/X295-1</f>
        <v>7.0999999999999952E-2</v>
      </c>
      <c r="Y285" s="128">
        <f t="shared" si="253"/>
        <v>3.6000000000000032E-2</v>
      </c>
      <c r="Z285" s="128">
        <f t="shared" si="253"/>
        <v>6.0000000000000053E-3</v>
      </c>
      <c r="AA285" s="503">
        <v>1.4999999999999999E-2</v>
      </c>
      <c r="AB285" s="3599">
        <v>3.5000000000000003E-2</v>
      </c>
      <c r="AC285" s="503">
        <v>5.5E-2</v>
      </c>
      <c r="AD285" s="503">
        <v>6.9000000000000006E-2</v>
      </c>
      <c r="AE285" s="503">
        <v>8.3000000000000004E-2</v>
      </c>
      <c r="AF285" s="503">
        <v>7.5999999999999998E-2</v>
      </c>
      <c r="AG285" s="3599">
        <v>7.2999999999999995E-2</v>
      </c>
      <c r="AH285" s="7">
        <f t="shared" ref="AH285:AK285" si="254">AH323</f>
        <v>0.06</v>
      </c>
      <c r="AI285" s="7">
        <f t="shared" si="254"/>
        <v>0.06</v>
      </c>
      <c r="AJ285" s="7">
        <f t="shared" si="254"/>
        <v>0.06</v>
      </c>
      <c r="AK285" s="7">
        <f t="shared" si="254"/>
        <v>0.06</v>
      </c>
      <c r="AL285" s="226">
        <f>AL290/AL295-1</f>
        <v>5.9999999999999831E-2</v>
      </c>
      <c r="AM285" s="226">
        <f>AM323</f>
        <v>0.04</v>
      </c>
      <c r="AN285" s="226">
        <f>AN323</f>
        <v>-0.02</v>
      </c>
    </row>
    <row r="286" spans="1:47">
      <c r="A286" s="744" t="s">
        <v>45</v>
      </c>
      <c r="B286" s="226">
        <f t="shared" si="248"/>
        <v>2.8999999999999915E-2</v>
      </c>
      <c r="C286" s="226">
        <f t="shared" si="248"/>
        <v>0.16268908094343515</v>
      </c>
      <c r="D286" s="128">
        <f t="shared" si="248"/>
        <v>2.200000000000002E-2</v>
      </c>
      <c r="E286" s="128">
        <f t="shared" si="248"/>
        <v>4.4999999999999929E-2</v>
      </c>
      <c r="F286" s="128">
        <f t="shared" si="248"/>
        <v>1.4000000000000012E-2</v>
      </c>
      <c r="G286" s="128">
        <f t="shared" si="248"/>
        <v>-1.0000000000000009E-2</v>
      </c>
      <c r="H286" s="226">
        <f t="shared" si="249"/>
        <v>-6.5273744715597659E-2</v>
      </c>
      <c r="I286" s="128">
        <f t="shared" si="249"/>
        <v>-5.2814177312215826E-2</v>
      </c>
      <c r="J286" s="128">
        <f t="shared" si="249"/>
        <v>-6.7558314358416527E-2</v>
      </c>
      <c r="K286" s="128">
        <f t="shared" si="249"/>
        <v>-9.6703288217769967E-2</v>
      </c>
      <c r="L286" s="128">
        <f t="shared" si="249"/>
        <v>3.8999999999999924E-2</v>
      </c>
      <c r="M286" s="226">
        <f t="shared" si="250"/>
        <v>-6.5561228496714419E-2</v>
      </c>
      <c r="N286" s="128">
        <f t="shared" si="250"/>
        <v>4.4000000000000039E-2</v>
      </c>
      <c r="O286" s="128">
        <f t="shared" si="250"/>
        <v>2.0999999999999908E-2</v>
      </c>
      <c r="P286" s="128">
        <f t="shared" si="251"/>
        <v>8.999999999999897E-3</v>
      </c>
      <c r="Q286" s="128">
        <f t="shared" si="251"/>
        <v>-8.999999999999897E-3</v>
      </c>
      <c r="R286" s="226">
        <f t="shared" si="251"/>
        <v>1.4000000000000012E-2</v>
      </c>
      <c r="S286" s="128">
        <f t="shared" si="252"/>
        <v>-1.0000000000000009E-3</v>
      </c>
      <c r="T286" s="128">
        <f t="shared" si="252"/>
        <v>-6.0000000000000053E-3</v>
      </c>
      <c r="U286" s="128">
        <f t="shared" si="252"/>
        <v>2.6000000000000023E-2</v>
      </c>
      <c r="V286" s="128">
        <f t="shared" si="252"/>
        <v>3.499999999999992E-2</v>
      </c>
      <c r="W286" s="226">
        <f t="shared" si="252"/>
        <v>1.2999999999999901E-2</v>
      </c>
      <c r="X286" s="128">
        <f t="shared" si="253"/>
        <v>1.0999999999999899E-2</v>
      </c>
      <c r="Y286" s="128">
        <f t="shared" si="253"/>
        <v>-1.9000000000000017E-2</v>
      </c>
      <c r="Z286" s="128">
        <f t="shared" si="253"/>
        <v>-4.500000000000004E-2</v>
      </c>
      <c r="AA286" s="503">
        <v>-3.4000000000000002E-2</v>
      </c>
      <c r="AB286" s="563">
        <v>-2.1000000000000001E-2</v>
      </c>
      <c r="AC286" s="503">
        <v>-3.6999999999999998E-2</v>
      </c>
      <c r="AD286" s="503">
        <v>-8.9999999999999993E-3</v>
      </c>
      <c r="AE286" s="503">
        <v>1.9E-2</v>
      </c>
      <c r="AF286" s="503">
        <v>2.5999999999999999E-2</v>
      </c>
      <c r="AG286" s="563">
        <v>1E-3</v>
      </c>
      <c r="AH286" s="503"/>
      <c r="AI286" s="503"/>
      <c r="AL286" s="208"/>
      <c r="AM286" s="208"/>
      <c r="AN286" s="208"/>
    </row>
    <row r="287" spans="1:47">
      <c r="A287" s="744" t="s">
        <v>2077</v>
      </c>
      <c r="B287" s="226">
        <f t="shared" ref="B287:I287" si="255">B292-B297</f>
        <v>2.785812652877917E-2</v>
      </c>
      <c r="C287" s="226">
        <f t="shared" si="255"/>
        <v>-3.3481124081137015E-2</v>
      </c>
      <c r="D287" s="128">
        <f t="shared" si="255"/>
        <v>5.5000000000000049E-2</v>
      </c>
      <c r="E287" s="128">
        <f t="shared" si="255"/>
        <v>7.6999999999999957E-2</v>
      </c>
      <c r="F287" s="128">
        <f t="shared" si="255"/>
        <v>3.3000000000000029E-2</v>
      </c>
      <c r="G287" s="128">
        <f t="shared" si="255"/>
        <v>3.1000000000000028E-2</v>
      </c>
      <c r="H287" s="226">
        <f t="shared" si="255"/>
        <v>2.2389180238543416E-3</v>
      </c>
      <c r="I287" s="128">
        <f t="shared" si="255"/>
        <v>3.9829685349790145E-2</v>
      </c>
      <c r="J287" s="128">
        <f t="shared" ref="J287:O287" si="256">J292-J297</f>
        <v>1.3146170713051131E-2</v>
      </c>
      <c r="K287" s="128">
        <f t="shared" si="256"/>
        <v>1.5883381483226766E-2</v>
      </c>
      <c r="L287" s="128">
        <f t="shared" si="256"/>
        <v>3.1000000000000028E-2</v>
      </c>
      <c r="M287" s="226">
        <f t="shared" si="256"/>
        <v>2.0872342250393361E-2</v>
      </c>
      <c r="N287" s="128">
        <f t="shared" si="256"/>
        <v>2.6000000000000023E-2</v>
      </c>
      <c r="O287" s="128">
        <f t="shared" si="256"/>
        <v>1.7000000000000015E-2</v>
      </c>
      <c r="P287" s="128">
        <f t="shared" ref="P287:U287" si="257">P292-P297</f>
        <v>1.7000000000000015E-2</v>
      </c>
      <c r="Q287" s="128">
        <f t="shared" si="257"/>
        <v>2.7000000000000024E-2</v>
      </c>
      <c r="R287" s="226">
        <f t="shared" si="257"/>
        <v>2.300000000000002E-2</v>
      </c>
      <c r="S287" s="128">
        <f t="shared" si="257"/>
        <v>6.1000000000000054E-2</v>
      </c>
      <c r="T287" s="128">
        <f t="shared" si="257"/>
        <v>6.1000000000000054E-2</v>
      </c>
      <c r="U287" s="128">
        <f t="shared" si="257"/>
        <v>4.9000000000000044E-2</v>
      </c>
      <c r="V287" s="128">
        <f>V292-V297</f>
        <v>2.0999999999999908E-3</v>
      </c>
      <c r="W287" s="226">
        <f>W292-W297</f>
        <v>5.0000000000000044E-2</v>
      </c>
      <c r="X287" s="128">
        <f>X292-X297</f>
        <v>3.8000000000000256E-3</v>
      </c>
      <c r="Y287" s="128">
        <f>Y292-Y297</f>
        <v>3.7000000000000033E-2</v>
      </c>
      <c r="Z287" s="128">
        <f>Z292-Z297</f>
        <v>3.8000000000000034E-2</v>
      </c>
      <c r="AA287" s="503">
        <v>3.5999999999999997E-2</v>
      </c>
      <c r="AB287" s="563">
        <v>3.7999999999999999E-2</v>
      </c>
      <c r="AC287" s="503">
        <v>0.06</v>
      </c>
      <c r="AD287" s="503">
        <v>5.1999999999999998E-2</v>
      </c>
      <c r="AE287" s="503">
        <v>4.4999999999999998E-2</v>
      </c>
      <c r="AF287" s="503">
        <v>3.5000000000000003E-2</v>
      </c>
      <c r="AG287" s="563">
        <v>4.9000000000000002E-2</v>
      </c>
      <c r="AH287" s="503"/>
      <c r="AI287" s="503"/>
      <c r="AL287" s="208"/>
      <c r="AM287" s="208"/>
      <c r="AN287" s="208"/>
    </row>
    <row r="288" spans="1:47">
      <c r="A288" s="744"/>
      <c r="B288" s="563"/>
      <c r="C288" s="563"/>
      <c r="D288" s="15"/>
      <c r="E288" s="15"/>
      <c r="F288" s="15"/>
      <c r="G288" s="15"/>
      <c r="H288" s="208"/>
      <c r="I288" s="15"/>
      <c r="J288" s="15"/>
      <c r="K288" s="15"/>
      <c r="L288" s="15"/>
      <c r="M288" s="208"/>
      <c r="N288" s="15"/>
      <c r="O288" s="15"/>
      <c r="P288" s="15"/>
      <c r="Q288" s="15"/>
      <c r="R288" s="208"/>
      <c r="V288" s="474"/>
      <c r="W288" s="208"/>
      <c r="AA288" s="1777"/>
      <c r="AB288" s="1996"/>
      <c r="AG288" s="208"/>
      <c r="AL288" s="208"/>
      <c r="AM288" s="208"/>
      <c r="AN288" s="208"/>
    </row>
    <row r="289" spans="1:47">
      <c r="A289" s="747" t="s">
        <v>2132</v>
      </c>
      <c r="B289" s="649"/>
      <c r="C289" s="651"/>
      <c r="D289" s="650"/>
      <c r="E289" s="650"/>
      <c r="F289" s="650"/>
      <c r="G289" s="650"/>
      <c r="H289" s="208"/>
      <c r="I289" s="650"/>
      <c r="J289" s="650"/>
      <c r="K289" s="650"/>
      <c r="L289" s="650"/>
      <c r="M289" s="208"/>
      <c r="N289" s="650"/>
      <c r="O289" s="650"/>
      <c r="P289" s="650"/>
      <c r="Q289" s="650"/>
      <c r="R289" s="208"/>
      <c r="S289" s="650"/>
      <c r="T289" s="650"/>
      <c r="U289" s="650"/>
      <c r="V289" s="474"/>
      <c r="W289" s="208"/>
      <c r="AA289" s="1777"/>
      <c r="AB289" s="1996"/>
      <c r="AG289" s="208"/>
      <c r="AL289" s="208"/>
      <c r="AM289" s="208"/>
      <c r="AN289" s="208"/>
    </row>
    <row r="290" spans="1:47">
      <c r="A290" s="744" t="s">
        <v>2086</v>
      </c>
      <c r="B290" s="1026">
        <v>118.52483233957277</v>
      </c>
      <c r="C290" s="1026">
        <v>131.28442600505778</v>
      </c>
      <c r="D290" s="560">
        <v>124.39965848599361</v>
      </c>
      <c r="E290" s="560">
        <v>114.16739268884702</v>
      </c>
      <c r="F290" s="560">
        <v>122.10857036081654</v>
      </c>
      <c r="G290" s="762">
        <v>131.65761840387742</v>
      </c>
      <c r="H290" s="513">
        <f>SUMPRODUCT(D290:G290,D$5:G$5)/H$5</f>
        <v>123.10407383405011</v>
      </c>
      <c r="I290" s="560">
        <v>125.04729114731975</v>
      </c>
      <c r="J290" s="560">
        <v>108.61294857626895</v>
      </c>
      <c r="K290" s="560">
        <v>112.82521738826064</v>
      </c>
      <c r="L290" s="762">
        <v>128.1</v>
      </c>
      <c r="M290" s="513">
        <f>SUMPRODUCT(I290:L290,I$5:L$5)/M$5</f>
        <v>118.63877951621707</v>
      </c>
      <c r="N290" s="2216">
        <v>109.46</v>
      </c>
      <c r="O290" s="762">
        <v>105.17</v>
      </c>
      <c r="P290" s="762">
        <v>112.62</v>
      </c>
      <c r="Q290" s="560">
        <v>116.8</v>
      </c>
      <c r="R290" s="2410">
        <v>111.15</v>
      </c>
      <c r="S290" s="560">
        <v>96.99</v>
      </c>
      <c r="T290" s="560">
        <v>95.02</v>
      </c>
      <c r="U290" s="560">
        <v>97.73</v>
      </c>
      <c r="V290" s="560">
        <v>100.88</v>
      </c>
      <c r="W290" s="2410">
        <v>96.85</v>
      </c>
      <c r="X290" s="560">
        <v>99.24</v>
      </c>
      <c r="Y290" s="560">
        <v>98.25</v>
      </c>
      <c r="Z290" s="560">
        <v>107.78</v>
      </c>
      <c r="AA290" s="560">
        <v>108.28</v>
      </c>
      <c r="AB290" s="2410">
        <v>104.26</v>
      </c>
      <c r="AC290" s="560">
        <v>97.52</v>
      </c>
      <c r="AD290" s="560">
        <v>97.89</v>
      </c>
      <c r="AE290" s="560">
        <v>107.23</v>
      </c>
      <c r="AF290" s="560">
        <v>108.97</v>
      </c>
      <c r="AG290" s="2410">
        <v>102.39</v>
      </c>
      <c r="AH290" s="598">
        <f t="shared" ref="AH290:AK290" si="258">AH295*(1+AH285)</f>
        <v>103.3712</v>
      </c>
      <c r="AI290" s="598">
        <f t="shared" si="258"/>
        <v>103.7634</v>
      </c>
      <c r="AJ290" s="598">
        <f t="shared" si="258"/>
        <v>113.66380000000001</v>
      </c>
      <c r="AK290" s="598">
        <f t="shared" si="258"/>
        <v>115.5082</v>
      </c>
      <c r="AL290" s="513">
        <f>SUMPRODUCT(AH290:AK290,AH$5:AK$5)/AL$5</f>
        <v>109.12246958904109</v>
      </c>
      <c r="AM290" s="513">
        <f>AL290*(1+AM285)</f>
        <v>113.48736837260273</v>
      </c>
      <c r="AN290" s="513">
        <f>AM290*(1+AN285)</f>
        <v>111.21762100515068</v>
      </c>
      <c r="AU290" s="3">
        <f>AVERAGE(AH290:AK290)</f>
        <v>109.07665</v>
      </c>
    </row>
    <row r="291" spans="1:47">
      <c r="A291" s="744" t="s">
        <v>45</v>
      </c>
      <c r="B291" s="1027">
        <v>167.56780094539698</v>
      </c>
      <c r="C291" s="1027">
        <v>194.82925247691611</v>
      </c>
      <c r="D291" s="561">
        <v>191.31836422096433</v>
      </c>
      <c r="E291" s="561">
        <v>176.08956394469237</v>
      </c>
      <c r="F291" s="561">
        <v>175.98632492396573</v>
      </c>
      <c r="G291" s="749">
        <v>185.08842479331108</v>
      </c>
      <c r="H291" s="361">
        <f>SUMPRODUCT(D291:G291,D$5:G$5)/H$5</f>
        <v>182.11201758760717</v>
      </c>
      <c r="I291" s="561">
        <v>181.21404220991522</v>
      </c>
      <c r="J291" s="561">
        <v>164.19324982848036</v>
      </c>
      <c r="K291" s="561">
        <v>158.96786862245736</v>
      </c>
      <c r="L291" s="749">
        <v>176.49</v>
      </c>
      <c r="M291" s="361">
        <f>SUMPRODUCT(I291:L291,I$5:L$5)/M$5</f>
        <v>170.17252999054838</v>
      </c>
      <c r="N291" s="2217">
        <v>163.55000000000001</v>
      </c>
      <c r="O291" s="749">
        <v>159.19</v>
      </c>
      <c r="P291" s="749">
        <v>157.47999999999999</v>
      </c>
      <c r="Q291" s="561">
        <v>160.55000000000001</v>
      </c>
      <c r="R291" s="649">
        <v>160.59</v>
      </c>
      <c r="S291" s="561">
        <v>147.41999999999999</v>
      </c>
      <c r="T291" s="561">
        <v>140.54</v>
      </c>
      <c r="U291" s="561">
        <v>136.77000000000001</v>
      </c>
      <c r="V291" s="561">
        <v>142.87</v>
      </c>
      <c r="W291" s="649">
        <v>140.82</v>
      </c>
      <c r="X291" s="561">
        <v>148.30000000000001</v>
      </c>
      <c r="Y291" s="561">
        <v>142.33000000000001</v>
      </c>
      <c r="Z291" s="561">
        <v>144.87</v>
      </c>
      <c r="AA291" s="561">
        <v>146.61000000000001</v>
      </c>
      <c r="AB291" s="649">
        <v>145.75</v>
      </c>
      <c r="AC291" s="561">
        <v>140.69</v>
      </c>
      <c r="AD291" s="561">
        <v>136.15</v>
      </c>
      <c r="AE291" s="561">
        <v>139.93</v>
      </c>
      <c r="AF291" s="561">
        <v>146.80000000000001</v>
      </c>
      <c r="AG291" s="649">
        <v>140.36000000000001</v>
      </c>
      <c r="AH291" s="561"/>
      <c r="AI291" s="561"/>
      <c r="AJ291" s="305"/>
      <c r="AK291" s="305"/>
      <c r="AL291" s="208"/>
      <c r="AM291" s="208"/>
      <c r="AN291" s="208"/>
    </row>
    <row r="292" spans="1:47">
      <c r="A292" s="744" t="s">
        <v>2077</v>
      </c>
      <c r="B292" s="1028">
        <v>0.7073246272307101</v>
      </c>
      <c r="C292" s="1028">
        <v>0.67384350314957309</v>
      </c>
      <c r="D292" s="562">
        <v>0.65022330183796395</v>
      </c>
      <c r="E292" s="562">
        <v>0.64834843207803972</v>
      </c>
      <c r="F292" s="562">
        <v>0.69385260709076757</v>
      </c>
      <c r="G292" s="763">
        <v>0.71132280989964647</v>
      </c>
      <c r="H292" s="245">
        <f>SUMPRODUCT(D292:G292,D$5:G$5)/H$5</f>
        <v>0.67608242117342743</v>
      </c>
      <c r="I292" s="562">
        <v>0.6900529871877541</v>
      </c>
      <c r="J292" s="562">
        <v>0.66149460279109085</v>
      </c>
      <c r="K292" s="562">
        <v>0.70973598857399434</v>
      </c>
      <c r="L292" s="763">
        <v>0.72599999999999998</v>
      </c>
      <c r="M292" s="245">
        <f>SUMPRODUCT(I292:L292,I$5:L$5)/M$5</f>
        <v>0.69695476342382079</v>
      </c>
      <c r="N292" s="2218">
        <v>0.66900000000000004</v>
      </c>
      <c r="O292" s="763">
        <v>0.66100000000000003</v>
      </c>
      <c r="P292" s="763">
        <v>0.71499999999999997</v>
      </c>
      <c r="Q292" s="562">
        <v>0.72699999999999998</v>
      </c>
      <c r="R292" s="1028">
        <v>0.69199999999999995</v>
      </c>
      <c r="S292" s="562">
        <v>0.65800000000000003</v>
      </c>
      <c r="T292" s="562">
        <v>0.67600000000000005</v>
      </c>
      <c r="U292" s="562">
        <v>0.71499999999999997</v>
      </c>
      <c r="V292" s="562">
        <v>0.70599999999999996</v>
      </c>
      <c r="W292" s="1028">
        <v>0.68799999999999994</v>
      </c>
      <c r="X292" s="562">
        <v>0.66900000000000004</v>
      </c>
      <c r="Y292" s="562">
        <v>0.69</v>
      </c>
      <c r="Z292" s="562">
        <v>0.74399999999999999</v>
      </c>
      <c r="AA292" s="562">
        <v>0.73899999999999999</v>
      </c>
      <c r="AB292" s="1028">
        <v>0.71499999999999997</v>
      </c>
      <c r="AC292" s="562">
        <v>0.69299999999999995</v>
      </c>
      <c r="AD292" s="562">
        <v>0.71899999999999997</v>
      </c>
      <c r="AE292" s="562">
        <v>0.76600000000000001</v>
      </c>
      <c r="AF292" s="562">
        <v>0.74199999999999999</v>
      </c>
      <c r="AG292" s="1028">
        <v>0.72899999999999998</v>
      </c>
      <c r="AH292" s="562"/>
      <c r="AI292" s="562"/>
      <c r="AJ292" s="247"/>
      <c r="AK292" s="247"/>
      <c r="AL292" s="208"/>
      <c r="AM292" s="208"/>
      <c r="AN292" s="208"/>
    </row>
    <row r="293" spans="1:47">
      <c r="A293" s="744"/>
      <c r="B293" s="563"/>
      <c r="C293" s="563"/>
      <c r="D293" s="503"/>
      <c r="E293" s="503"/>
      <c r="F293" s="503"/>
      <c r="G293" s="558"/>
      <c r="H293" s="563"/>
      <c r="I293" s="503"/>
      <c r="J293" s="503"/>
      <c r="K293" s="503"/>
      <c r="L293" s="558"/>
      <c r="M293" s="563"/>
      <c r="N293" s="2219"/>
      <c r="O293" s="558"/>
      <c r="P293" s="558"/>
      <c r="Q293" s="503"/>
      <c r="R293" s="563"/>
      <c r="S293" s="503"/>
      <c r="T293" s="503"/>
      <c r="U293" s="503"/>
      <c r="V293" s="1131"/>
      <c r="W293" s="208"/>
      <c r="X293" s="503"/>
      <c r="Y293" s="503"/>
      <c r="Z293" s="503"/>
      <c r="AA293" s="503"/>
      <c r="AB293" s="1996"/>
      <c r="AC293" s="503"/>
      <c r="AD293" s="503"/>
      <c r="AE293" s="503"/>
      <c r="AF293" s="503"/>
      <c r="AG293" s="208"/>
      <c r="AH293" s="503"/>
      <c r="AI293" s="503"/>
      <c r="AJ293" s="503"/>
      <c r="AK293" s="503"/>
      <c r="AL293" s="208"/>
      <c r="AM293" s="208"/>
      <c r="AN293" s="208"/>
    </row>
    <row r="294" spans="1:47">
      <c r="A294" s="747" t="s">
        <v>2133</v>
      </c>
      <c r="B294" s="563"/>
      <c r="C294" s="563"/>
      <c r="D294" s="503"/>
      <c r="E294" s="503"/>
      <c r="F294" s="503"/>
      <c r="G294" s="558"/>
      <c r="H294" s="563"/>
      <c r="I294" s="503"/>
      <c r="J294" s="503"/>
      <c r="K294" s="503"/>
      <c r="L294" s="558"/>
      <c r="M294" s="563"/>
      <c r="N294" s="2219"/>
      <c r="O294" s="558"/>
      <c r="P294" s="558"/>
      <c r="Q294" s="503"/>
      <c r="R294" s="563"/>
      <c r="S294" s="503"/>
      <c r="T294" s="503"/>
      <c r="U294" s="503"/>
      <c r="V294" s="1131"/>
      <c r="W294" s="208"/>
      <c r="X294" s="503"/>
      <c r="Y294" s="503"/>
      <c r="Z294" s="503"/>
      <c r="AA294" s="503"/>
      <c r="AB294" s="1996"/>
      <c r="AC294" s="503"/>
      <c r="AD294" s="503"/>
      <c r="AE294" s="503"/>
      <c r="AF294" s="503"/>
      <c r="AG294" s="208"/>
      <c r="AH294" s="503"/>
      <c r="AI294" s="503"/>
      <c r="AJ294" s="503"/>
      <c r="AK294" s="503"/>
      <c r="AL294" s="208"/>
      <c r="AM294" s="208"/>
      <c r="AN294" s="208"/>
    </row>
    <row r="295" spans="1:47">
      <c r="A295" s="744" t="s">
        <v>2086</v>
      </c>
      <c r="B295" s="2803">
        <f>B290/(1+0.093)</f>
        <v>108.43991979832825</v>
      </c>
      <c r="C295" s="2803">
        <f>B290</f>
        <v>118.52483233957277</v>
      </c>
      <c r="D295" s="2804">
        <f>D290/(1+0.116)</f>
        <v>111.46922803404445</v>
      </c>
      <c r="E295" s="2665">
        <f>E290/(1+0.186)</f>
        <v>96.26255707322683</v>
      </c>
      <c r="F295" s="2665">
        <f>F290/(1+0.063)</f>
        <v>114.87165603087163</v>
      </c>
      <c r="G295" s="2666">
        <f>G290/(1+0.035)</f>
        <v>127.20542840954342</v>
      </c>
      <c r="H295" s="2803">
        <f>C290</f>
        <v>131.28442600505778</v>
      </c>
      <c r="I295" s="2796">
        <f>D290</f>
        <v>124.39965848599361</v>
      </c>
      <c r="J295" s="2796">
        <f>E290</f>
        <v>114.16739268884702</v>
      </c>
      <c r="K295" s="2796">
        <f>F290</f>
        <v>122.10857036081654</v>
      </c>
      <c r="L295" s="2666">
        <f>L290/(1+0.086)</f>
        <v>117.95580110497237</v>
      </c>
      <c r="M295" s="2803">
        <f>H290</f>
        <v>123.10407383405011</v>
      </c>
      <c r="N295" s="2804">
        <f>N290/(1+0.087)</f>
        <v>100.69917203311867</v>
      </c>
      <c r="O295" s="2665">
        <f>O290/(1+0.048)</f>
        <v>100.3530534351145</v>
      </c>
      <c r="P295" s="2665">
        <f>P290/(1+0.034)</f>
        <v>108.91682785299807</v>
      </c>
      <c r="Q295" s="2665">
        <f>Q290/(1+0.029)</f>
        <v>113.50826044703597</v>
      </c>
      <c r="R295" s="2803">
        <f>R290/(1+0.049)</f>
        <v>105.95805529075311</v>
      </c>
      <c r="S295" s="2665">
        <f>S290/(1+0.101)</f>
        <v>88.09264305177112</v>
      </c>
      <c r="T295" s="2665">
        <f>T290/(1+0.094)</f>
        <v>86.855575868372938</v>
      </c>
      <c r="U295" s="2665">
        <f>U290/(1+0.102)</f>
        <v>88.68421052631578</v>
      </c>
      <c r="V295" s="2665">
        <f>V290/(1+0.067)</f>
        <v>94.545454545454547</v>
      </c>
      <c r="W295" s="2803">
        <f>W290/(1+0.093)</f>
        <v>88.609332113449213</v>
      </c>
      <c r="X295" s="2665">
        <f>X290/(1+0.071)</f>
        <v>92.661064425770306</v>
      </c>
      <c r="Y295" s="2665">
        <f>Y290/(1+0.036)</f>
        <v>94.835907335907336</v>
      </c>
      <c r="Z295" s="2665">
        <f>Z290/(1+0.006)</f>
        <v>107.13717693836978</v>
      </c>
      <c r="AA295" s="1998">
        <f t="shared" ref="AA295:AC296" si="259">+AA290/(1+AA285)</f>
        <v>106.67980295566504</v>
      </c>
      <c r="AB295" s="1999">
        <f t="shared" si="259"/>
        <v>100.73429951690822</v>
      </c>
      <c r="AC295" s="1998">
        <f t="shared" si="259"/>
        <v>92.436018957345979</v>
      </c>
      <c r="AD295" s="1998">
        <f t="shared" ref="AD295:AE295" si="260">+AD290/(1+AD285)</f>
        <v>91.571562207670723</v>
      </c>
      <c r="AE295" s="1998">
        <f t="shared" si="260"/>
        <v>99.012003693444143</v>
      </c>
      <c r="AF295" s="1998">
        <f t="shared" ref="AF295:AG295" si="261">+AF290/(1+AF285)</f>
        <v>101.27323420074349</v>
      </c>
      <c r="AG295" s="1999">
        <f t="shared" si="261"/>
        <v>95.424044734389568</v>
      </c>
      <c r="AH295" s="1998">
        <f>AC290</f>
        <v>97.52</v>
      </c>
      <c r="AI295" s="1998">
        <f t="shared" ref="AI295:AK295" si="262">AD290</f>
        <v>97.89</v>
      </c>
      <c r="AJ295" s="1998">
        <f t="shared" si="262"/>
        <v>107.23</v>
      </c>
      <c r="AK295" s="1998">
        <f t="shared" si="262"/>
        <v>108.97</v>
      </c>
      <c r="AL295" s="513">
        <f>SUMPRODUCT(AH295:AK295,AC$5:AF$5)/AG$5</f>
        <v>102.94572602739727</v>
      </c>
      <c r="AM295" s="513">
        <f>AL290</f>
        <v>109.12246958904109</v>
      </c>
      <c r="AN295" s="513">
        <f>AM290</f>
        <v>113.48736837260273</v>
      </c>
      <c r="AU295" s="3">
        <f>AVERAGE(AH295:AK295)</f>
        <v>102.9025</v>
      </c>
    </row>
    <row r="296" spans="1:47">
      <c r="A296" s="744" t="s">
        <v>45</v>
      </c>
      <c r="B296" s="2805">
        <f>B291/(1+0.029)</f>
        <v>162.84528760485617</v>
      </c>
      <c r="C296" s="2805">
        <f>B291</f>
        <v>167.56780094539698</v>
      </c>
      <c r="D296" s="2806">
        <f>D291/(1+0.022)</f>
        <v>187.19996499115882</v>
      </c>
      <c r="E296" s="2807">
        <f>E291/(1+0.045)</f>
        <v>168.50675975568649</v>
      </c>
      <c r="F296" s="2807">
        <f>F291/(1+0.014)</f>
        <v>173.5565334555875</v>
      </c>
      <c r="G296" s="2808">
        <f>G291/(1-0.01)</f>
        <v>186.95800484172835</v>
      </c>
      <c r="H296" s="2805">
        <f t="shared" ref="H296:K297" si="263">C291</f>
        <v>194.82925247691611</v>
      </c>
      <c r="I296" s="2798">
        <f t="shared" si="263"/>
        <v>191.31836422096433</v>
      </c>
      <c r="J296" s="2798">
        <f t="shared" si="263"/>
        <v>176.08956394469237</v>
      </c>
      <c r="K296" s="2798">
        <f t="shared" si="263"/>
        <v>175.98632492396573</v>
      </c>
      <c r="L296" s="2808">
        <f>L291/(1+0.039)</f>
        <v>169.86525505293554</v>
      </c>
      <c r="M296" s="2805">
        <f>H291</f>
        <v>182.11201758760717</v>
      </c>
      <c r="N296" s="2806">
        <f>N291/(1+0.044)</f>
        <v>156.65708812260536</v>
      </c>
      <c r="O296" s="2807">
        <f>O291/(1+0.021)</f>
        <v>155.91576885406465</v>
      </c>
      <c r="P296" s="2807">
        <f>P291/(1+0.009)</f>
        <v>156.07532210109019</v>
      </c>
      <c r="Q296" s="2807">
        <f>Q291/(1-0.009)</f>
        <v>162.00807265388497</v>
      </c>
      <c r="R296" s="2805">
        <f>R291/(1+0.014)</f>
        <v>158.37278106508876</v>
      </c>
      <c r="S296" s="2807">
        <f>S291/(1-0.001)</f>
        <v>147.56756756756755</v>
      </c>
      <c r="T296" s="2807">
        <f>T291/(1-0.006)</f>
        <v>141.38832997987927</v>
      </c>
      <c r="U296" s="2807">
        <f>U291/(1+0.026)</f>
        <v>133.30409356725147</v>
      </c>
      <c r="V296" s="2807">
        <f>V291/(1+0.035)</f>
        <v>138.03864734299518</v>
      </c>
      <c r="W296" s="2805">
        <f>W291/(1+0.013)</f>
        <v>139.01283316880554</v>
      </c>
      <c r="X296" s="2807">
        <f>X291/(1+0.011)</f>
        <v>146.68644906033632</v>
      </c>
      <c r="Y296" s="2807">
        <f>Y291/(1-0.019)</f>
        <v>145.08664627930685</v>
      </c>
      <c r="Z296" s="2807">
        <f>Z291/(1-0.045)</f>
        <v>151.69633507853405</v>
      </c>
      <c r="AA296" s="1997">
        <f t="shared" si="259"/>
        <v>151.77018633540374</v>
      </c>
      <c r="AB296" s="2000">
        <f t="shared" si="259"/>
        <v>148.87640449438203</v>
      </c>
      <c r="AC296" s="1997">
        <f t="shared" si="259"/>
        <v>146.09553478712357</v>
      </c>
      <c r="AD296" s="1997">
        <f t="shared" ref="AD296:AE296" si="264">+AD291/(1+AD286)</f>
        <v>137.3864783047427</v>
      </c>
      <c r="AE296" s="1997">
        <f t="shared" si="264"/>
        <v>137.32090284592741</v>
      </c>
      <c r="AF296" s="1997">
        <f t="shared" ref="AF296:AG296" si="265">+AF291/(1+AF286)</f>
        <v>143.07992202729045</v>
      </c>
      <c r="AG296" s="2000">
        <f t="shared" si="265"/>
        <v>140.21978021978026</v>
      </c>
      <c r="AH296" s="1997"/>
      <c r="AI296" s="1997"/>
      <c r="AJ296" s="305"/>
      <c r="AK296" s="305"/>
      <c r="AL296" s="208"/>
      <c r="AM296" s="208"/>
      <c r="AN296" s="208"/>
    </row>
    <row r="297" spans="1:47">
      <c r="A297" s="744" t="s">
        <v>2077</v>
      </c>
      <c r="B297" s="2809">
        <f>B292/(1+0.041)</f>
        <v>0.67946650070193093</v>
      </c>
      <c r="C297" s="2809">
        <f>B292</f>
        <v>0.7073246272307101</v>
      </c>
      <c r="D297" s="2810">
        <f>D292-0.055</f>
        <v>0.5952233018379639</v>
      </c>
      <c r="E297" s="2811">
        <f>E292-0.077</f>
        <v>0.57134843207803976</v>
      </c>
      <c r="F297" s="2811">
        <f>F292-0.033</f>
        <v>0.66085260709076754</v>
      </c>
      <c r="G297" s="2812">
        <f>G292-0.031</f>
        <v>0.68032280989964644</v>
      </c>
      <c r="H297" s="2809">
        <f t="shared" si="263"/>
        <v>0.67384350314957309</v>
      </c>
      <c r="I297" s="2811">
        <f t="shared" si="263"/>
        <v>0.65022330183796395</v>
      </c>
      <c r="J297" s="2811">
        <f t="shared" si="263"/>
        <v>0.64834843207803972</v>
      </c>
      <c r="K297" s="2811">
        <f t="shared" si="263"/>
        <v>0.69385260709076757</v>
      </c>
      <c r="L297" s="2812">
        <f>L292-0.031</f>
        <v>0.69499999999999995</v>
      </c>
      <c r="M297" s="2809">
        <f>H292</f>
        <v>0.67608242117342743</v>
      </c>
      <c r="N297" s="2810">
        <f>N292-0.026</f>
        <v>0.64300000000000002</v>
      </c>
      <c r="O297" s="2811">
        <f>O292-0.017</f>
        <v>0.64400000000000002</v>
      </c>
      <c r="P297" s="2811">
        <f>P292-0.017</f>
        <v>0.69799999999999995</v>
      </c>
      <c r="Q297" s="2811">
        <f>Q292-0.027</f>
        <v>0.7</v>
      </c>
      <c r="R297" s="2809">
        <f>R292-0.023</f>
        <v>0.66899999999999993</v>
      </c>
      <c r="S297" s="2811">
        <f>S292-0.061</f>
        <v>0.59699999999999998</v>
      </c>
      <c r="T297" s="2811">
        <f>T292-0.061</f>
        <v>0.61499999999999999</v>
      </c>
      <c r="U297" s="2811">
        <f>U292-0.049</f>
        <v>0.66599999999999993</v>
      </c>
      <c r="V297" s="2811">
        <f>V292-0.0021</f>
        <v>0.70389999999999997</v>
      </c>
      <c r="W297" s="2809">
        <f>W292-0.05</f>
        <v>0.6379999999999999</v>
      </c>
      <c r="X297" s="2811">
        <f>X292-0.0038</f>
        <v>0.66520000000000001</v>
      </c>
      <c r="Y297" s="2811">
        <f>Y292-0.037</f>
        <v>0.65299999999999991</v>
      </c>
      <c r="Z297" s="2811">
        <f>Z292-0.038</f>
        <v>0.70599999999999996</v>
      </c>
      <c r="AA297" s="2841">
        <f t="shared" ref="AA297:AG297" si="266">AA292-AA287</f>
        <v>0.70299999999999996</v>
      </c>
      <c r="AB297" s="2842">
        <f t="shared" si="266"/>
        <v>0.67699999999999994</v>
      </c>
      <c r="AC297" s="2841">
        <f t="shared" si="266"/>
        <v>0.63300000000000001</v>
      </c>
      <c r="AD297" s="2841">
        <f t="shared" si="266"/>
        <v>0.66699999999999993</v>
      </c>
      <c r="AE297" s="2841">
        <f t="shared" si="266"/>
        <v>0.72099999999999997</v>
      </c>
      <c r="AF297" s="2841">
        <f t="shared" si="266"/>
        <v>0.70699999999999996</v>
      </c>
      <c r="AG297" s="2842">
        <f t="shared" si="266"/>
        <v>0.67999999999999994</v>
      </c>
      <c r="AH297" s="2841"/>
      <c r="AI297" s="2841"/>
      <c r="AK297" s="474"/>
      <c r="AL297" s="208"/>
      <c r="AM297" s="208"/>
      <c r="AN297" s="208"/>
    </row>
    <row r="298" spans="1:47">
      <c r="A298" s="557"/>
      <c r="B298" s="563"/>
      <c r="C298" s="563"/>
      <c r="D298" s="15"/>
      <c r="E298" s="15"/>
      <c r="F298" s="15"/>
      <c r="G298" s="15"/>
      <c r="H298" s="208"/>
      <c r="I298" s="15"/>
      <c r="J298" s="15"/>
      <c r="K298" s="15"/>
      <c r="L298" s="1777"/>
      <c r="M298" s="1996"/>
      <c r="N298" s="15"/>
      <c r="O298" s="15"/>
      <c r="P298" s="15"/>
      <c r="Q298" s="15"/>
      <c r="R298" s="208"/>
      <c r="S298" s="13"/>
      <c r="V298" s="474"/>
      <c r="W298" s="208"/>
      <c r="X298" s="13"/>
      <c r="AA298" s="1976"/>
      <c r="AB298" s="1996"/>
      <c r="AG298" s="208"/>
      <c r="AK298" s="474"/>
      <c r="AL298" s="208"/>
      <c r="AM298" s="208"/>
      <c r="AN298" s="208"/>
    </row>
    <row r="299" spans="1:47">
      <c r="A299" s="557"/>
      <c r="B299" s="563"/>
      <c r="C299" s="563"/>
      <c r="D299" s="15"/>
      <c r="E299" s="15"/>
      <c r="F299" s="15"/>
      <c r="G299" s="15"/>
      <c r="H299" s="208"/>
      <c r="I299" s="15"/>
      <c r="J299" s="15"/>
      <c r="K299" s="15"/>
      <c r="L299" s="1777"/>
      <c r="M299" s="1996"/>
      <c r="N299" s="15"/>
      <c r="O299" s="15"/>
      <c r="P299" s="15"/>
      <c r="Q299" s="15"/>
      <c r="R299" s="208"/>
      <c r="S299" s="13"/>
      <c r="V299" s="474"/>
      <c r="W299" s="208"/>
      <c r="X299" s="13"/>
      <c r="AA299" s="474"/>
      <c r="AB299" s="208"/>
      <c r="AF299" s="474"/>
      <c r="AG299" s="208"/>
      <c r="AK299" s="474"/>
      <c r="AL299" s="208"/>
      <c r="AM299" s="208"/>
      <c r="AN299" s="208"/>
    </row>
    <row r="300" spans="1:47" s="12" customFormat="1">
      <c r="A300" s="461" t="s">
        <v>212</v>
      </c>
      <c r="B300" s="1050" t="str">
        <f>B$4</f>
        <v>2010</v>
      </c>
      <c r="C300" s="774" t="str">
        <f t="shared" ref="C300:AN300" si="267">C$4</f>
        <v>2011</v>
      </c>
      <c r="D300" s="773" t="str">
        <f t="shared" si="267"/>
        <v>1Q12</v>
      </c>
      <c r="E300" s="773" t="str">
        <f t="shared" si="267"/>
        <v>2Q12</v>
      </c>
      <c r="F300" s="1049" t="str">
        <f t="shared" si="267"/>
        <v>3Q12</v>
      </c>
      <c r="G300" s="773" t="str">
        <f t="shared" si="267"/>
        <v>4Q12</v>
      </c>
      <c r="H300" s="774">
        <f t="shared" si="267"/>
        <v>2012</v>
      </c>
      <c r="I300" s="773" t="str">
        <f t="shared" si="267"/>
        <v>1Q13</v>
      </c>
      <c r="J300" s="773" t="str">
        <f t="shared" si="267"/>
        <v>2Q13</v>
      </c>
      <c r="K300" s="773" t="str">
        <f t="shared" si="267"/>
        <v>3Q13</v>
      </c>
      <c r="L300" s="773" t="str">
        <f t="shared" si="267"/>
        <v>4Q13</v>
      </c>
      <c r="M300" s="774">
        <f t="shared" si="267"/>
        <v>2013</v>
      </c>
      <c r="N300" s="773" t="str">
        <f t="shared" si="267"/>
        <v>1Q14</v>
      </c>
      <c r="O300" s="773" t="str">
        <f t="shared" si="267"/>
        <v>2Q14</v>
      </c>
      <c r="P300" s="773" t="str">
        <f t="shared" si="267"/>
        <v>3Q14</v>
      </c>
      <c r="Q300" s="773" t="str">
        <f t="shared" si="267"/>
        <v>4Q14</v>
      </c>
      <c r="R300" s="774">
        <f t="shared" si="267"/>
        <v>2014</v>
      </c>
      <c r="S300" s="773" t="str">
        <f t="shared" si="267"/>
        <v>1Q15</v>
      </c>
      <c r="T300" s="773" t="str">
        <f t="shared" si="267"/>
        <v>2Q15</v>
      </c>
      <c r="U300" s="773" t="str">
        <f t="shared" si="267"/>
        <v>3Q15</v>
      </c>
      <c r="V300" s="773" t="str">
        <f t="shared" si="267"/>
        <v>4Q15</v>
      </c>
      <c r="W300" s="774">
        <f t="shared" si="267"/>
        <v>2015</v>
      </c>
      <c r="X300" s="773" t="str">
        <f t="shared" si="267"/>
        <v>1Q16</v>
      </c>
      <c r="Y300" s="773" t="str">
        <f t="shared" si="267"/>
        <v>2Q16</v>
      </c>
      <c r="Z300" s="773" t="str">
        <f t="shared" si="267"/>
        <v>3Q16</v>
      </c>
      <c r="AA300" s="773" t="str">
        <f t="shared" si="267"/>
        <v>4Q16</v>
      </c>
      <c r="AB300" s="774">
        <f t="shared" si="267"/>
        <v>2016</v>
      </c>
      <c r="AC300" s="773" t="str">
        <f t="shared" si="267"/>
        <v>1Q17</v>
      </c>
      <c r="AD300" s="773" t="str">
        <f t="shared" si="267"/>
        <v>2Q17</v>
      </c>
      <c r="AE300" s="773" t="str">
        <f t="shared" si="267"/>
        <v>3Q17</v>
      </c>
      <c r="AF300" s="773" t="str">
        <f t="shared" si="267"/>
        <v>4Q17A</v>
      </c>
      <c r="AG300" s="774" t="str">
        <f t="shared" si="267"/>
        <v>2017A</v>
      </c>
      <c r="AH300" s="1049" t="str">
        <f>AH4</f>
        <v>1Q18E</v>
      </c>
      <c r="AI300" s="1049" t="str">
        <f>AI4</f>
        <v>2Q18E</v>
      </c>
      <c r="AJ300" s="1049" t="str">
        <f>AJ4</f>
        <v>3Q18E</v>
      </c>
      <c r="AK300" s="1049" t="str">
        <f>AK4</f>
        <v>4Q18E</v>
      </c>
      <c r="AL300" s="774" t="str">
        <f t="shared" si="267"/>
        <v>2018E</v>
      </c>
      <c r="AM300" s="774" t="str">
        <f t="shared" si="267"/>
        <v>2019E</v>
      </c>
      <c r="AN300" s="774" t="str">
        <f t="shared" si="267"/>
        <v>2020E</v>
      </c>
    </row>
    <row r="301" spans="1:47">
      <c r="A301" s="482"/>
      <c r="B301" s="208"/>
      <c r="C301" s="208"/>
      <c r="D301" s="15"/>
      <c r="E301" s="15"/>
      <c r="F301" s="15"/>
      <c r="G301" s="15"/>
      <c r="H301" s="208"/>
      <c r="I301" s="15"/>
      <c r="J301" s="15"/>
      <c r="K301" s="15"/>
      <c r="L301" s="15"/>
      <c r="M301" s="208"/>
      <c r="N301" s="15"/>
      <c r="O301" s="15"/>
      <c r="P301" s="15"/>
      <c r="Q301" s="15"/>
      <c r="R301" s="208"/>
      <c r="S301" s="13"/>
      <c r="V301" s="474"/>
      <c r="W301" s="208"/>
      <c r="X301" s="13"/>
      <c r="AA301" s="474"/>
      <c r="AB301" s="208"/>
      <c r="AF301" s="474"/>
      <c r="AG301" s="208"/>
      <c r="AK301" s="474"/>
      <c r="AL301" s="208"/>
      <c r="AM301" s="208"/>
      <c r="AN301" s="208"/>
    </row>
    <row r="302" spans="1:47">
      <c r="A302" s="482" t="s">
        <v>1156</v>
      </c>
      <c r="B302" s="502"/>
      <c r="C302" s="208"/>
      <c r="D302" s="15"/>
      <c r="E302" s="15"/>
      <c r="F302" s="15"/>
      <c r="G302" s="15"/>
      <c r="H302" s="208"/>
      <c r="I302" s="15"/>
      <c r="J302" s="15"/>
      <c r="K302" s="15"/>
      <c r="L302" s="15"/>
      <c r="M302" s="208"/>
      <c r="N302" s="15"/>
      <c r="O302" s="15"/>
      <c r="P302" s="15"/>
      <c r="Q302" s="15"/>
      <c r="R302" s="208"/>
      <c r="S302" s="13"/>
      <c r="V302" s="474"/>
      <c r="W302" s="208"/>
      <c r="X302" s="13"/>
      <c r="AA302" s="474"/>
      <c r="AB302" s="208"/>
      <c r="AF302" s="474"/>
      <c r="AG302" s="208"/>
      <c r="AK302" s="474"/>
      <c r="AL302" s="208"/>
      <c r="AM302" s="208"/>
      <c r="AN302" s="208"/>
    </row>
    <row r="303" spans="1:47">
      <c r="A303" s="202" t="s">
        <v>213</v>
      </c>
      <c r="B303" s="515">
        <f>B306*B309</f>
        <v>81.140940831522073</v>
      </c>
      <c r="C303" s="515">
        <f t="shared" ref="C303:L303" si="268">C306*C309</f>
        <v>85.239443256938458</v>
      </c>
      <c r="D303" s="213">
        <f t="shared" si="268"/>
        <v>83.828322695604712</v>
      </c>
      <c r="E303" s="213">
        <f t="shared" si="268"/>
        <v>96.738933715339854</v>
      </c>
      <c r="F303" s="213">
        <f t="shared" si="268"/>
        <v>94.512241348083435</v>
      </c>
      <c r="G303" s="213">
        <f t="shared" si="268"/>
        <v>84.413670926169914</v>
      </c>
      <c r="H303" s="515">
        <f t="shared" si="268"/>
        <v>89.845277394248782</v>
      </c>
      <c r="I303" s="213">
        <f t="shared" si="268"/>
        <v>89.049377455651381</v>
      </c>
      <c r="J303" s="213">
        <f t="shared" si="268"/>
        <v>102.7881408958858</v>
      </c>
      <c r="K303" s="213">
        <f t="shared" si="268"/>
        <v>100.68842797928735</v>
      </c>
      <c r="L303" s="213">
        <f t="shared" si="268"/>
        <v>89.171500000000009</v>
      </c>
      <c r="M303" s="515">
        <f>M306*M309</f>
        <v>95.39707490612318</v>
      </c>
      <c r="N303" s="213">
        <f>N306*N309</f>
        <v>94.978380000000001</v>
      </c>
      <c r="O303" s="213">
        <f>O306*O309</f>
        <v>112.26096</v>
      </c>
      <c r="P303" s="213">
        <f>P306*P309</f>
        <v>110.56562</v>
      </c>
      <c r="Q303" s="213">
        <f>L303*(1+Q304)</f>
        <v>95.235162000000017</v>
      </c>
      <c r="R303" s="515">
        <f>SUMPRODUCT(N303:Q303,N$5:Q$5)/R$5</f>
        <v>103.2807493260274</v>
      </c>
      <c r="S303" s="213">
        <f t="shared" ref="S303:AB303" si="269">N303*(1+S304)</f>
        <v>101.1519747</v>
      </c>
      <c r="T303" s="213">
        <f t="shared" si="269"/>
        <v>117.874008</v>
      </c>
      <c r="U303" s="213">
        <f t="shared" si="269"/>
        <v>116.20446661999999</v>
      </c>
      <c r="V303" s="213">
        <f t="shared" si="269"/>
        <v>98.85409815600002</v>
      </c>
      <c r="W303" s="515">
        <f t="shared" si="269"/>
        <v>108.65134829098083</v>
      </c>
      <c r="X303" s="213">
        <f t="shared" si="269"/>
        <v>102.97271024459999</v>
      </c>
      <c r="Y303" s="213">
        <f t="shared" si="269"/>
        <v>121.29235423199999</v>
      </c>
      <c r="Z303" s="213">
        <f t="shared" si="269"/>
        <v>117.94753361929997</v>
      </c>
      <c r="AA303" s="213">
        <f t="shared" si="269"/>
        <v>99.743785039404017</v>
      </c>
      <c r="AB303" s="515">
        <f t="shared" si="269"/>
        <v>110.57990972314573</v>
      </c>
      <c r="AC303" s="213">
        <f t="shared" ref="AC303:AH303" si="270">X303*(1+AC304)</f>
        <v>105.54702800071499</v>
      </c>
      <c r="AD303" s="213">
        <f t="shared" si="270"/>
        <v>121.89881600315998</v>
      </c>
      <c r="AE303" s="213">
        <f t="shared" si="270"/>
        <v>117.82958608568067</v>
      </c>
      <c r="AF303" s="213">
        <f t="shared" si="270"/>
        <v>102.93558616066495</v>
      </c>
      <c r="AG303" s="515">
        <f t="shared" si="270"/>
        <v>112.26625334642371</v>
      </c>
      <c r="AH303" s="213">
        <f t="shared" si="270"/>
        <v>106.86636585072392</v>
      </c>
      <c r="AI303" s="213">
        <f t="shared" ref="AI303:AL303" si="271">AD303*(1+AI304)</f>
        <v>124.33679232322318</v>
      </c>
      <c r="AJ303" s="213">
        <f t="shared" si="271"/>
        <v>120.18617780739429</v>
      </c>
      <c r="AK303" s="213">
        <f t="shared" si="271"/>
        <v>104.47961995307492</v>
      </c>
      <c r="AL303" s="515">
        <f t="shared" si="271"/>
        <v>114.16074637164461</v>
      </c>
      <c r="AM303" s="515">
        <f>AL303*(1+AM304)</f>
        <v>115.64483607447598</v>
      </c>
      <c r="AN303" s="515">
        <f>AM303*(1+AN304)</f>
        <v>112.17549099224169</v>
      </c>
      <c r="AU303" s="3">
        <f>AVERAGE(AH303:AK303)</f>
        <v>113.96723898360408</v>
      </c>
    </row>
    <row r="304" spans="1:47">
      <c r="A304" s="578" t="s">
        <v>1423</v>
      </c>
      <c r="B304" s="444">
        <f t="shared" ref="B304:G304" si="272">+B218</f>
        <v>5.2999999999999999E-2</v>
      </c>
      <c r="C304" s="444">
        <f t="shared" si="272"/>
        <v>6.7000000000000004E-2</v>
      </c>
      <c r="D304" s="471">
        <f t="shared" si="272"/>
        <v>7.0000000000000062E-2</v>
      </c>
      <c r="E304" s="471">
        <f t="shared" si="272"/>
        <v>6.899999999999995E-2</v>
      </c>
      <c r="F304" s="471">
        <f t="shared" si="272"/>
        <v>4.8000000000000043E-2</v>
      </c>
      <c r="G304" s="471">
        <f t="shared" si="272"/>
        <v>5.8999999999999941E-2</v>
      </c>
      <c r="H304" s="444">
        <f t="shared" ref="H304:M304" si="273">+H218</f>
        <v>6.0999999999999999E-2</v>
      </c>
      <c r="I304" s="471">
        <f t="shared" si="273"/>
        <v>5.5E-2</v>
      </c>
      <c r="J304" s="471">
        <f t="shared" si="273"/>
        <v>5.1999999999999998E-2</v>
      </c>
      <c r="K304" s="471">
        <f t="shared" si="273"/>
        <v>5.1999999999999998E-2</v>
      </c>
      <c r="L304" s="471">
        <f t="shared" si="273"/>
        <v>4.7E-2</v>
      </c>
      <c r="M304" s="444">
        <f t="shared" si="273"/>
        <v>5.1999999999999998E-2</v>
      </c>
      <c r="N304" s="471">
        <f t="shared" ref="N304:AE304" si="274">+N218</f>
        <v>6.7000000000000004E-2</v>
      </c>
      <c r="O304" s="471">
        <f t="shared" si="274"/>
        <v>7.2999999999999995E-2</v>
      </c>
      <c r="P304" s="471">
        <f t="shared" si="274"/>
        <v>8.7999999999999995E-2</v>
      </c>
      <c r="Q304" s="471">
        <f t="shared" si="274"/>
        <v>6.8000000000000005E-2</v>
      </c>
      <c r="R304" s="444">
        <f t="shared" si="274"/>
        <v>7.3999999999999996E-2</v>
      </c>
      <c r="S304" s="471">
        <f t="shared" si="274"/>
        <v>6.5000000000000002E-2</v>
      </c>
      <c r="T304" s="471">
        <f t="shared" si="274"/>
        <v>0.05</v>
      </c>
      <c r="U304" s="471">
        <f t="shared" si="274"/>
        <v>5.0999999999999997E-2</v>
      </c>
      <c r="V304" s="657">
        <f t="shared" si="274"/>
        <v>3.7999999999999999E-2</v>
      </c>
      <c r="W304" s="444">
        <f t="shared" si="274"/>
        <v>5.1999999999999998E-2</v>
      </c>
      <c r="X304" s="1934">
        <f t="shared" si="274"/>
        <v>1.7999999999999999E-2</v>
      </c>
      <c r="Y304" s="668">
        <f t="shared" si="274"/>
        <v>2.9000000000000001E-2</v>
      </c>
      <c r="Z304" s="668">
        <f t="shared" si="274"/>
        <v>1.4999999999999999E-2</v>
      </c>
      <c r="AA304" s="868">
        <f t="shared" si="274"/>
        <v>8.9999999999999993E-3</v>
      </c>
      <c r="AB304" s="444">
        <f>AVERAGE(X304:AA304)</f>
        <v>1.7749999999999998E-2</v>
      </c>
      <c r="AC304" s="668">
        <f t="shared" si="274"/>
        <v>2.5000000000000001E-2</v>
      </c>
      <c r="AD304" s="668">
        <f t="shared" si="274"/>
        <v>5.0000000000000001E-3</v>
      </c>
      <c r="AE304" s="1024">
        <f t="shared" si="274"/>
        <v>-1E-3</v>
      </c>
      <c r="AF304" s="3916">
        <f>+AF218</f>
        <v>3.2000000000000001E-2</v>
      </c>
      <c r="AG304" s="444">
        <f>AVERAGE(AC304:AF304)</f>
        <v>1.525E-2</v>
      </c>
      <c r="AH304" s="3894">
        <v>1.2500000000000001E-2</v>
      </c>
      <c r="AI304" s="3921">
        <v>0.02</v>
      </c>
      <c r="AJ304" s="3921">
        <v>0.02</v>
      </c>
      <c r="AK304" s="3895">
        <v>1.4999999999999999E-2</v>
      </c>
      <c r="AL304" s="579">
        <f>AVERAGE(AH304:AK304)</f>
        <v>1.6875000000000001E-2</v>
      </c>
      <c r="AM304" s="1053">
        <v>1.2999999999999999E-2</v>
      </c>
      <c r="AN304" s="1053">
        <v>-0.03</v>
      </c>
    </row>
    <row r="305" spans="1:47">
      <c r="A305" s="394"/>
      <c r="B305" s="208"/>
      <c r="C305" s="208"/>
      <c r="D305" s="15"/>
      <c r="E305" s="15"/>
      <c r="F305" s="15"/>
      <c r="G305" s="15"/>
      <c r="H305" s="208"/>
      <c r="I305" s="15"/>
      <c r="J305" s="15"/>
      <c r="K305" s="15"/>
      <c r="L305" s="15"/>
      <c r="M305" s="208"/>
      <c r="N305" s="15"/>
      <c r="O305" s="15"/>
      <c r="P305" s="15"/>
      <c r="Q305" s="15"/>
      <c r="R305" s="208"/>
      <c r="S305" s="13"/>
      <c r="V305" s="474"/>
      <c r="W305" s="208"/>
      <c r="X305" s="13"/>
      <c r="AA305" s="474"/>
      <c r="AB305" s="208"/>
      <c r="AF305" s="474"/>
      <c r="AG305" s="208"/>
      <c r="AK305" s="474"/>
      <c r="AL305" s="208"/>
      <c r="AM305" s="208"/>
      <c r="AN305" s="208"/>
    </row>
    <row r="306" spans="1:47">
      <c r="A306" s="202" t="s">
        <v>425</v>
      </c>
      <c r="B306" s="504">
        <f>B225</f>
        <v>0.67886901698870705</v>
      </c>
      <c r="C306" s="504">
        <f t="shared" ref="C306:M306" si="275">C225</f>
        <v>0.69862591623678749</v>
      </c>
      <c r="D306" s="469">
        <f t="shared" si="275"/>
        <v>0.67761946859621913</v>
      </c>
      <c r="E306" s="469">
        <f t="shared" si="275"/>
        <v>0.76111324773815658</v>
      </c>
      <c r="F306" s="469">
        <f t="shared" si="275"/>
        <v>0.75175209987231606</v>
      </c>
      <c r="G306" s="469">
        <f t="shared" si="275"/>
        <v>0.66752968988251926</v>
      </c>
      <c r="H306" s="504">
        <f t="shared" si="275"/>
        <v>0.71447705421823249</v>
      </c>
      <c r="I306" s="469">
        <f t="shared" si="275"/>
        <v>0.68692353440012999</v>
      </c>
      <c r="J306" s="469">
        <f t="shared" si="275"/>
        <v>0.77472202057034745</v>
      </c>
      <c r="K306" s="469">
        <f t="shared" si="275"/>
        <v>0.7650798054084913</v>
      </c>
      <c r="L306" s="469">
        <f t="shared" si="275"/>
        <v>0.68200000000000005</v>
      </c>
      <c r="M306" s="504">
        <f t="shared" si="275"/>
        <v>0.72727168237121786</v>
      </c>
      <c r="N306" s="469">
        <f t="shared" ref="N306:S306" si="276">N225</f>
        <v>0.70699999999999996</v>
      </c>
      <c r="O306" s="469">
        <f t="shared" si="276"/>
        <v>0.78400000000000003</v>
      </c>
      <c r="P306" s="469">
        <f t="shared" si="276"/>
        <v>0.79900000000000004</v>
      </c>
      <c r="Q306" s="469">
        <f t="shared" si="276"/>
        <v>0.70799999999999996</v>
      </c>
      <c r="R306" s="504">
        <f t="shared" si="276"/>
        <v>0.754</v>
      </c>
      <c r="S306" s="469">
        <f t="shared" si="276"/>
        <v>0.72</v>
      </c>
      <c r="T306" s="469">
        <f t="shared" ref="T306:Y306" si="277">T225</f>
        <v>0.80400000000000005</v>
      </c>
      <c r="U306" s="469">
        <f t="shared" si="277"/>
        <v>0.80600000000000005</v>
      </c>
      <c r="V306" s="469">
        <f t="shared" si="277"/>
        <v>0.70899999999999996</v>
      </c>
      <c r="W306" s="504">
        <f t="shared" si="277"/>
        <v>0.76200000000000001</v>
      </c>
      <c r="X306" s="469">
        <f t="shared" si="277"/>
        <v>0.71399999999999997</v>
      </c>
      <c r="Y306" s="469">
        <f t="shared" si="277"/>
        <v>0.81</v>
      </c>
      <c r="Z306" s="469">
        <f t="shared" ref="Z306:AE306" si="278">Z225</f>
        <v>0.80400000000000005</v>
      </c>
      <c r="AA306" s="469">
        <f t="shared" si="278"/>
        <v>0.70599999999999996</v>
      </c>
      <c r="AB306" s="504">
        <f t="shared" si="278"/>
        <v>0.75700000000000001</v>
      </c>
      <c r="AC306" s="469">
        <f t="shared" si="278"/>
        <v>0.71899999999999997</v>
      </c>
      <c r="AD306" s="469">
        <f t="shared" si="278"/>
        <v>0.80300000000000005</v>
      </c>
      <c r="AE306" s="469">
        <f t="shared" si="278"/>
        <v>0.79800000000000004</v>
      </c>
      <c r="AF306" s="2389">
        <f t="shared" ref="AF306:AG306" si="279">AF225</f>
        <v>0.72499999999999998</v>
      </c>
      <c r="AG306" s="504">
        <f t="shared" si="279"/>
        <v>0.76300000000000001</v>
      </c>
      <c r="AH306" s="469"/>
      <c r="AI306" s="469"/>
      <c r="AJ306" s="469"/>
      <c r="AK306" s="2389"/>
      <c r="AL306" s="504"/>
      <c r="AM306" s="504"/>
      <c r="AN306" s="504"/>
    </row>
    <row r="307" spans="1:47">
      <c r="A307" s="578" t="s">
        <v>1423</v>
      </c>
      <c r="B307" s="444"/>
      <c r="C307" s="444">
        <f>C306/B306-1</f>
        <v>2.9102667456701869E-2</v>
      </c>
      <c r="D307" s="471"/>
      <c r="E307" s="471"/>
      <c r="F307" s="471"/>
      <c r="G307" s="471"/>
      <c r="H307" s="444">
        <f t="shared" ref="H307:AG307" si="280">H306/C306-1</f>
        <v>2.2689020852287634E-2</v>
      </c>
      <c r="I307" s="471">
        <f t="shared" si="280"/>
        <v>1.3730517252087626E-2</v>
      </c>
      <c r="J307" s="471">
        <f t="shared" si="280"/>
        <v>1.7880089293719204E-2</v>
      </c>
      <c r="K307" s="471">
        <f t="shared" si="280"/>
        <v>1.7728857077271787E-2</v>
      </c>
      <c r="L307" s="579">
        <f t="shared" si="280"/>
        <v>2.1677403023118602E-2</v>
      </c>
      <c r="M307" s="444">
        <f t="shared" si="280"/>
        <v>1.7907682377546807E-2</v>
      </c>
      <c r="N307" s="471">
        <f t="shared" si="280"/>
        <v>2.9226638183829534E-2</v>
      </c>
      <c r="O307" s="471">
        <f t="shared" si="280"/>
        <v>1.1975881907709596E-2</v>
      </c>
      <c r="P307" s="471">
        <f t="shared" si="280"/>
        <v>4.4335498534558759E-2</v>
      </c>
      <c r="Q307" s="471">
        <f t="shared" si="280"/>
        <v>3.8123167155425186E-2</v>
      </c>
      <c r="R307" s="444">
        <f t="shared" si="280"/>
        <v>3.6751489541894999E-2</v>
      </c>
      <c r="S307" s="471">
        <f t="shared" si="280"/>
        <v>1.8387553041018467E-2</v>
      </c>
      <c r="T307" s="471">
        <f t="shared" si="280"/>
        <v>2.5510204081632626E-2</v>
      </c>
      <c r="U307" s="471">
        <f t="shared" si="280"/>
        <v>8.7609511889863434E-3</v>
      </c>
      <c r="V307" s="471">
        <f t="shared" si="280"/>
        <v>1.4124293785311437E-3</v>
      </c>
      <c r="W307" s="444">
        <f t="shared" si="280"/>
        <v>1.0610079575596787E-2</v>
      </c>
      <c r="X307" s="471">
        <f t="shared" si="280"/>
        <v>-8.3333333333333037E-3</v>
      </c>
      <c r="Y307" s="471">
        <f t="shared" si="280"/>
        <v>7.4626865671640896E-3</v>
      </c>
      <c r="Z307" s="471">
        <f t="shared" si="280"/>
        <v>-2.4813895781637951E-3</v>
      </c>
      <c r="AA307" s="471">
        <f t="shared" si="280"/>
        <v>-4.2313117066290484E-3</v>
      </c>
      <c r="AB307" s="455">
        <f t="shared" si="280"/>
        <v>-6.5616797900261981E-3</v>
      </c>
      <c r="AC307" s="471">
        <f t="shared" si="280"/>
        <v>7.0028011204481544E-3</v>
      </c>
      <c r="AD307" s="471">
        <f t="shared" si="280"/>
        <v>-8.6419753086419693E-3</v>
      </c>
      <c r="AE307" s="471">
        <f t="shared" si="280"/>
        <v>-7.4626865671642006E-3</v>
      </c>
      <c r="AF307" s="655">
        <f t="shared" si="280"/>
        <v>2.6912181303116123E-2</v>
      </c>
      <c r="AG307" s="455">
        <f t="shared" si="280"/>
        <v>7.9260237780713894E-3</v>
      </c>
      <c r="AH307" s="471"/>
      <c r="AI307" s="471"/>
      <c r="AJ307" s="417"/>
      <c r="AK307" s="655"/>
      <c r="AL307" s="455"/>
      <c r="AM307" s="455"/>
      <c r="AN307" s="455"/>
    </row>
    <row r="308" spans="1:47">
      <c r="A308" s="578"/>
      <c r="B308" s="454"/>
      <c r="C308" s="454"/>
      <c r="D308" s="471"/>
      <c r="E308" s="471"/>
      <c r="F308" s="135"/>
      <c r="G308" s="135"/>
      <c r="H308" s="138"/>
      <c r="I308" s="135"/>
      <c r="J308" s="135"/>
      <c r="K308" s="135"/>
      <c r="L308" s="452"/>
      <c r="M308" s="518"/>
      <c r="N308" s="135"/>
      <c r="O308" s="205"/>
      <c r="P308" s="205"/>
      <c r="Q308" s="205"/>
      <c r="R308" s="518"/>
      <c r="S308" s="205"/>
      <c r="T308" s="205"/>
      <c r="U308" s="205"/>
      <c r="V308" s="657"/>
      <c r="W308" s="518"/>
      <c r="X308" s="812"/>
      <c r="Y308" s="205"/>
      <c r="Z308" s="205"/>
      <c r="AA308" s="205"/>
      <c r="AB308" s="518"/>
      <c r="AC308" s="205"/>
      <c r="AD308" s="205"/>
      <c r="AE308" s="205"/>
      <c r="AF308" s="657"/>
      <c r="AG308" s="518"/>
      <c r="AH308" s="205"/>
      <c r="AI308" s="205"/>
      <c r="AJ308" s="205"/>
      <c r="AK308" s="657"/>
      <c r="AL308" s="518"/>
      <c r="AM308" s="518"/>
      <c r="AN308" s="518"/>
    </row>
    <row r="309" spans="1:47">
      <c r="A309" s="202" t="s">
        <v>426</v>
      </c>
      <c r="B309" s="1051">
        <f>B224</f>
        <v>119.52370604780722</v>
      </c>
      <c r="C309" s="515">
        <f t="shared" ref="C309:M309" si="281">C224</f>
        <v>122.0101362916631</v>
      </c>
      <c r="D309" s="213">
        <f t="shared" si="281"/>
        <v>123.71002691121977</v>
      </c>
      <c r="E309" s="213">
        <f t="shared" si="281"/>
        <v>127.10189187065713</v>
      </c>
      <c r="F309" s="213">
        <f t="shared" si="281"/>
        <v>125.72261702246817</v>
      </c>
      <c r="G309" s="213">
        <f t="shared" si="281"/>
        <v>126.45680365322201</v>
      </c>
      <c r="H309" s="515">
        <f t="shared" si="281"/>
        <v>125.74970303637787</v>
      </c>
      <c r="I309" s="213">
        <f t="shared" si="281"/>
        <v>129.63506561675104</v>
      </c>
      <c r="J309" s="569">
        <f t="shared" si="281"/>
        <v>132.67744838363257</v>
      </c>
      <c r="K309" s="569">
        <f t="shared" si="281"/>
        <v>131.60513095170222</v>
      </c>
      <c r="L309" s="1989">
        <f t="shared" si="281"/>
        <v>130.75</v>
      </c>
      <c r="M309" s="515">
        <f t="shared" si="281"/>
        <v>131.17116645472538</v>
      </c>
      <c r="N309" s="213">
        <f t="shared" ref="N309:S309" si="282">N224</f>
        <v>134.34</v>
      </c>
      <c r="O309" s="213">
        <f t="shared" si="282"/>
        <v>143.19</v>
      </c>
      <c r="P309" s="213">
        <f t="shared" si="282"/>
        <v>138.38</v>
      </c>
      <c r="Q309" s="213">
        <f t="shared" si="282"/>
        <v>136.55000000000001</v>
      </c>
      <c r="R309" s="515">
        <f t="shared" si="282"/>
        <v>137.18</v>
      </c>
      <c r="S309" s="213">
        <f t="shared" si="282"/>
        <v>137.01</v>
      </c>
      <c r="T309" s="213">
        <f t="shared" ref="T309:Y309" si="283">T224</f>
        <v>141.96</v>
      </c>
      <c r="U309" s="213">
        <f t="shared" si="283"/>
        <v>142.08000000000001</v>
      </c>
      <c r="V309" s="213">
        <f t="shared" si="283"/>
        <v>138.75</v>
      </c>
      <c r="W309" s="515">
        <f t="shared" si="283"/>
        <v>140.31</v>
      </c>
      <c r="X309" s="213">
        <f t="shared" si="283"/>
        <v>141.63999999999999</v>
      </c>
      <c r="Y309" s="213">
        <f t="shared" si="283"/>
        <v>146.22999999999999</v>
      </c>
      <c r="Z309" s="213">
        <f t="shared" ref="Z309:AE309" si="284">Z224</f>
        <v>145.68</v>
      </c>
      <c r="AA309" s="213">
        <f t="shared" si="284"/>
        <v>139.74</v>
      </c>
      <c r="AB309" s="593">
        <f t="shared" si="284"/>
        <v>142.57</v>
      </c>
      <c r="AC309" s="213">
        <f t="shared" si="284"/>
        <v>144.54</v>
      </c>
      <c r="AD309" s="213">
        <f t="shared" si="284"/>
        <v>149.27000000000001</v>
      </c>
      <c r="AE309" s="213">
        <f t="shared" si="284"/>
        <v>147.43</v>
      </c>
      <c r="AF309" s="1989">
        <f t="shared" ref="AF309:AG309" si="285">AF224</f>
        <v>144.37</v>
      </c>
      <c r="AG309" s="593">
        <f t="shared" si="285"/>
        <v>146.78</v>
      </c>
      <c r="AH309" s="213"/>
      <c r="AI309" s="213"/>
      <c r="AJ309" s="569"/>
      <c r="AK309" s="1989"/>
      <c r="AL309" s="593"/>
      <c r="AM309" s="593"/>
      <c r="AN309" s="593"/>
    </row>
    <row r="310" spans="1:47">
      <c r="A310" s="477" t="s">
        <v>1423</v>
      </c>
      <c r="B310" s="570"/>
      <c r="C310" s="570">
        <f>C309/B309-1</f>
        <v>2.08028208467812E-2</v>
      </c>
      <c r="D310" s="437"/>
      <c r="E310" s="437"/>
      <c r="F310" s="437"/>
      <c r="G310" s="437"/>
      <c r="H310" s="570">
        <f t="shared" ref="H310:AG310" si="286">H309/C309-1</f>
        <v>3.0649639926435324E-2</v>
      </c>
      <c r="I310" s="437">
        <f t="shared" si="286"/>
        <v>4.7894571308947809E-2</v>
      </c>
      <c r="J310" s="437">
        <f t="shared" si="286"/>
        <v>4.3866825512316465E-2</v>
      </c>
      <c r="K310" s="437">
        <f t="shared" si="286"/>
        <v>4.6789623605932196E-2</v>
      </c>
      <c r="L310" s="589">
        <f t="shared" si="286"/>
        <v>3.3949904020593946E-2</v>
      </c>
      <c r="M310" s="570">
        <f t="shared" si="286"/>
        <v>4.3113130985121595E-2</v>
      </c>
      <c r="N310" s="437">
        <f t="shared" si="286"/>
        <v>3.6293686132411684E-2</v>
      </c>
      <c r="O310" s="437">
        <f t="shared" si="286"/>
        <v>7.9233899539360442E-2</v>
      </c>
      <c r="P310" s="437">
        <f t="shared" si="286"/>
        <v>5.1478760739078533E-2</v>
      </c>
      <c r="Q310" s="437">
        <f t="shared" si="286"/>
        <v>4.4359464627151235E-2</v>
      </c>
      <c r="R310" s="570">
        <f t="shared" si="286"/>
        <v>4.5809103537617801E-2</v>
      </c>
      <c r="S310" s="437">
        <f t="shared" si="286"/>
        <v>1.9874944171505149E-2</v>
      </c>
      <c r="T310" s="437">
        <f t="shared" si="286"/>
        <v>-8.5899853341713239E-3</v>
      </c>
      <c r="U310" s="437">
        <f t="shared" si="286"/>
        <v>2.673796791443861E-2</v>
      </c>
      <c r="V310" s="437">
        <f t="shared" si="286"/>
        <v>1.6111314536799703E-2</v>
      </c>
      <c r="W310" s="570">
        <f t="shared" si="286"/>
        <v>2.2816737133692921E-2</v>
      </c>
      <c r="X310" s="437">
        <f t="shared" si="286"/>
        <v>3.379315378439518E-2</v>
      </c>
      <c r="Y310" s="437">
        <f t="shared" si="286"/>
        <v>3.0078895463510724E-2</v>
      </c>
      <c r="Z310" s="437">
        <f t="shared" si="286"/>
        <v>2.5337837837837718E-2</v>
      </c>
      <c r="AA310" s="437">
        <f t="shared" si="286"/>
        <v>7.1351351351351955E-3</v>
      </c>
      <c r="AB310" s="790">
        <f t="shared" si="286"/>
        <v>1.6107191219442596E-2</v>
      </c>
      <c r="AC310" s="437">
        <f t="shared" si="286"/>
        <v>2.0474442247952584E-2</v>
      </c>
      <c r="AD310" s="437">
        <f t="shared" si="286"/>
        <v>2.0789167749436066E-2</v>
      </c>
      <c r="AE310" s="437">
        <f t="shared" si="286"/>
        <v>1.2012630422844506E-2</v>
      </c>
      <c r="AF310" s="2498">
        <f t="shared" si="286"/>
        <v>3.3132961213682588E-2</v>
      </c>
      <c r="AG310" s="790">
        <f t="shared" si="286"/>
        <v>2.9529354001543107E-2</v>
      </c>
      <c r="AH310" s="437"/>
      <c r="AI310" s="437"/>
      <c r="AJ310" s="1317"/>
      <c r="AK310" s="2498"/>
      <c r="AL310" s="790"/>
      <c r="AM310" s="790"/>
      <c r="AN310" s="790"/>
    </row>
    <row r="311" spans="1:47">
      <c r="A311" s="1022"/>
      <c r="B311" s="1022"/>
      <c r="C311" s="645"/>
      <c r="D311" s="645"/>
      <c r="E311" s="645"/>
      <c r="F311" s="645"/>
      <c r="G311" s="645"/>
      <c r="H311" s="645"/>
      <c r="I311" s="1023"/>
      <c r="J311" s="645"/>
      <c r="K311" s="645"/>
      <c r="L311" s="645"/>
      <c r="M311" s="1024"/>
      <c r="N311" s="1024"/>
      <c r="O311" s="1024"/>
      <c r="P311" s="1024"/>
      <c r="Q311" s="1024"/>
      <c r="R311" s="1024"/>
      <c r="S311" s="1024"/>
      <c r="T311" s="1024"/>
      <c r="U311" s="1024"/>
      <c r="V311" s="1024"/>
      <c r="W311" s="1024"/>
      <c r="X311" s="1024"/>
      <c r="Y311" s="1024"/>
      <c r="Z311" s="1024"/>
      <c r="AA311" s="1024"/>
      <c r="AB311" s="1024"/>
      <c r="AC311" s="1024"/>
      <c r="AD311" s="1024"/>
      <c r="AE311" s="1024"/>
      <c r="AF311" s="1024"/>
      <c r="AG311" s="1024"/>
      <c r="AH311" s="1024"/>
      <c r="AI311" s="1024"/>
      <c r="AJ311" s="1024"/>
      <c r="AK311" s="1024"/>
      <c r="AL311" s="1024"/>
      <c r="AM311" s="1024"/>
      <c r="AN311" s="1024"/>
    </row>
    <row r="312" spans="1:47" s="130" customFormat="1">
      <c r="A312" s="135"/>
      <c r="B312" s="135"/>
      <c r="C312" s="135"/>
      <c r="D312" s="135"/>
      <c r="E312" s="135"/>
      <c r="F312" s="135"/>
      <c r="G312" s="135"/>
      <c r="H312" s="135"/>
      <c r="I312" s="135"/>
      <c r="J312" s="135"/>
      <c r="K312" s="135"/>
      <c r="L312" s="135"/>
      <c r="M312" s="135"/>
      <c r="N312" s="135"/>
      <c r="O312" s="135"/>
      <c r="P312" s="135"/>
      <c r="Q312" s="135"/>
      <c r="R312" s="135"/>
      <c r="S312" s="135"/>
      <c r="T312" s="135"/>
      <c r="U312" s="135"/>
      <c r="V312" s="135"/>
      <c r="W312" s="135"/>
      <c r="X312" s="135"/>
      <c r="Y312" s="135"/>
      <c r="Z312" s="135"/>
      <c r="AA312" s="135"/>
      <c r="AB312" s="135"/>
      <c r="AC312" s="135"/>
      <c r="AD312" s="135"/>
      <c r="AE312" s="135"/>
      <c r="AF312" s="135"/>
      <c r="AG312" s="135"/>
      <c r="AH312" s="135"/>
      <c r="AI312" s="135"/>
      <c r="AJ312" s="135"/>
      <c r="AK312" s="135"/>
      <c r="AL312" s="135"/>
      <c r="AM312" s="135"/>
      <c r="AN312" s="135"/>
    </row>
    <row r="313" spans="1:47">
      <c r="A313" s="218" t="s">
        <v>1422</v>
      </c>
      <c r="B313" s="1050" t="str">
        <f>B$4</f>
        <v>2010</v>
      </c>
      <c r="C313" s="774" t="str">
        <f t="shared" ref="C313:AN313" si="287">C$4</f>
        <v>2011</v>
      </c>
      <c r="D313" s="773" t="str">
        <f t="shared" si="287"/>
        <v>1Q12</v>
      </c>
      <c r="E313" s="773" t="str">
        <f t="shared" si="287"/>
        <v>2Q12</v>
      </c>
      <c r="F313" s="1049" t="str">
        <f t="shared" si="287"/>
        <v>3Q12</v>
      </c>
      <c r="G313" s="773" t="str">
        <f t="shared" si="287"/>
        <v>4Q12</v>
      </c>
      <c r="H313" s="774">
        <f t="shared" si="287"/>
        <v>2012</v>
      </c>
      <c r="I313" s="773" t="str">
        <f t="shared" si="287"/>
        <v>1Q13</v>
      </c>
      <c r="J313" s="773" t="str">
        <f t="shared" si="287"/>
        <v>2Q13</v>
      </c>
      <c r="K313" s="773" t="str">
        <f t="shared" si="287"/>
        <v>3Q13</v>
      </c>
      <c r="L313" s="773" t="str">
        <f t="shared" si="287"/>
        <v>4Q13</v>
      </c>
      <c r="M313" s="774">
        <f t="shared" si="287"/>
        <v>2013</v>
      </c>
      <c r="N313" s="773" t="str">
        <f t="shared" si="287"/>
        <v>1Q14</v>
      </c>
      <c r="O313" s="773" t="str">
        <f t="shared" si="287"/>
        <v>2Q14</v>
      </c>
      <c r="P313" s="773" t="str">
        <f t="shared" si="287"/>
        <v>3Q14</v>
      </c>
      <c r="Q313" s="773" t="str">
        <f t="shared" si="287"/>
        <v>4Q14</v>
      </c>
      <c r="R313" s="774">
        <f t="shared" si="287"/>
        <v>2014</v>
      </c>
      <c r="S313" s="773" t="str">
        <f t="shared" si="287"/>
        <v>1Q15</v>
      </c>
      <c r="T313" s="773" t="str">
        <f t="shared" si="287"/>
        <v>2Q15</v>
      </c>
      <c r="U313" s="773" t="str">
        <f t="shared" si="287"/>
        <v>3Q15</v>
      </c>
      <c r="V313" s="773" t="str">
        <f t="shared" si="287"/>
        <v>4Q15</v>
      </c>
      <c r="W313" s="774">
        <f t="shared" si="287"/>
        <v>2015</v>
      </c>
      <c r="X313" s="773" t="str">
        <f t="shared" si="287"/>
        <v>1Q16</v>
      </c>
      <c r="Y313" s="773" t="str">
        <f t="shared" si="287"/>
        <v>2Q16</v>
      </c>
      <c r="Z313" s="773" t="str">
        <f t="shared" si="287"/>
        <v>3Q16</v>
      </c>
      <c r="AA313" s="773" t="str">
        <f t="shared" si="287"/>
        <v>4Q16</v>
      </c>
      <c r="AB313" s="774">
        <f t="shared" si="287"/>
        <v>2016</v>
      </c>
      <c r="AC313" s="773" t="str">
        <f t="shared" si="287"/>
        <v>1Q17</v>
      </c>
      <c r="AD313" s="773" t="str">
        <f t="shared" si="287"/>
        <v>2Q17</v>
      </c>
      <c r="AE313" s="773" t="str">
        <f t="shared" si="287"/>
        <v>3Q17</v>
      </c>
      <c r="AF313" s="773" t="str">
        <f t="shared" si="287"/>
        <v>4Q17A</v>
      </c>
      <c r="AG313" s="774" t="str">
        <f t="shared" si="287"/>
        <v>2017A</v>
      </c>
      <c r="AH313" s="1049" t="str">
        <f>AH4</f>
        <v>1Q18E</v>
      </c>
      <c r="AI313" s="1049" t="str">
        <f>AI4</f>
        <v>2Q18E</v>
      </c>
      <c r="AJ313" s="1049" t="str">
        <f>AJ4</f>
        <v>3Q18E</v>
      </c>
      <c r="AK313" s="1049" t="str">
        <f>AK4</f>
        <v>4Q18E</v>
      </c>
      <c r="AL313" s="774" t="str">
        <f t="shared" si="287"/>
        <v>2018E</v>
      </c>
      <c r="AM313" s="774" t="str">
        <f t="shared" si="287"/>
        <v>2019E</v>
      </c>
      <c r="AN313" s="774" t="str">
        <f t="shared" si="287"/>
        <v>2020E</v>
      </c>
    </row>
    <row r="314" spans="1:47">
      <c r="A314" s="505"/>
      <c r="B314" s="502"/>
      <c r="C314" s="208"/>
      <c r="D314" s="15"/>
      <c r="E314" s="15"/>
      <c r="F314" s="15"/>
      <c r="G314" s="15"/>
      <c r="H314" s="207"/>
      <c r="I314" s="15"/>
      <c r="J314" s="15"/>
      <c r="K314" s="15"/>
      <c r="L314" s="15"/>
      <c r="M314" s="207"/>
      <c r="N314" s="15"/>
      <c r="O314" s="15"/>
      <c r="P314" s="15"/>
      <c r="Q314" s="15"/>
      <c r="R314" s="13"/>
      <c r="S314" s="13"/>
      <c r="W314" s="208"/>
      <c r="X314" s="13"/>
      <c r="AA314" s="474"/>
      <c r="AB314" s="208"/>
      <c r="AF314" s="474"/>
      <c r="AG314" s="208"/>
      <c r="AK314" s="474"/>
      <c r="AL314" s="208"/>
      <c r="AM314" s="208"/>
      <c r="AN314" s="208"/>
    </row>
    <row r="315" spans="1:47">
      <c r="A315" s="505" t="s">
        <v>1156</v>
      </c>
      <c r="B315" s="502"/>
      <c r="C315" s="208"/>
      <c r="D315" s="15"/>
      <c r="E315" s="15"/>
      <c r="F315" s="15"/>
      <c r="G315" s="15"/>
      <c r="H315" s="208"/>
      <c r="I315" s="15"/>
      <c r="J315" s="15"/>
      <c r="K315" s="15"/>
      <c r="L315" s="15"/>
      <c r="M315" s="208"/>
      <c r="N315" s="15"/>
      <c r="O315" s="15"/>
      <c r="P315" s="15"/>
      <c r="Q315" s="15"/>
      <c r="R315" s="13"/>
      <c r="S315" s="13"/>
      <c r="W315" s="208"/>
      <c r="X315" s="13"/>
      <c r="AA315" s="474"/>
      <c r="AB315" s="208"/>
      <c r="AF315" s="474"/>
      <c r="AG315" s="208"/>
      <c r="AK315" s="474"/>
      <c r="AL315" s="208"/>
      <c r="AM315" s="208"/>
      <c r="AN315" s="208"/>
    </row>
    <row r="316" spans="1:47" s="11" customFormat="1">
      <c r="A316" s="819" t="s">
        <v>424</v>
      </c>
      <c r="B316" s="513">
        <f>B329*B341</f>
        <v>90.588072519231559</v>
      </c>
      <c r="C316" s="513">
        <f t="shared" ref="C316:K316" si="288">C329*C341</f>
        <v>97.759069298205205</v>
      </c>
      <c r="D316" s="514">
        <f t="shared" si="288"/>
        <v>98.587851996175814</v>
      </c>
      <c r="E316" s="514">
        <f t="shared" si="288"/>
        <v>100.73754461564837</v>
      </c>
      <c r="F316" s="514">
        <f t="shared" si="288"/>
        <v>104.5307766680298</v>
      </c>
      <c r="G316" s="514">
        <f t="shared" si="288"/>
        <v>92.6921384608343</v>
      </c>
      <c r="H316" s="513">
        <f>SUMPRODUCT(D316:G316,D$5:G$5)/H$5</f>
        <v>99.134205692709017</v>
      </c>
      <c r="I316" s="514">
        <f t="shared" si="288"/>
        <v>98.306079171281567</v>
      </c>
      <c r="J316" s="514">
        <f t="shared" si="288"/>
        <v>101.77189904451124</v>
      </c>
      <c r="K316" s="514">
        <f t="shared" si="288"/>
        <v>107.0228505756585</v>
      </c>
      <c r="L316" s="1968">
        <f>G316*(1+L317)</f>
        <v>96.399823999267682</v>
      </c>
      <c r="M316" s="2005">
        <f>SUMPRODUCT(I316:L316,I$5:L$5)/M$5</f>
        <v>100.88678355988787</v>
      </c>
      <c r="N316" s="514">
        <f>I316*(1+N317)</f>
        <v>103.22138312984565</v>
      </c>
      <c r="O316" s="514">
        <f>J316*(1+O317)</f>
        <v>107.87821298718193</v>
      </c>
      <c r="P316" s="514">
        <f>K316*(1+P317)</f>
        <v>115.90574717343814</v>
      </c>
      <c r="Q316" s="514">
        <f>L316*(1+Q317)</f>
        <v>102.66581255922007</v>
      </c>
      <c r="R316" s="513">
        <f>SUMPRODUCT(N316:Q316,N$5:Q$5)/R$5</f>
        <v>107.43952153129923</v>
      </c>
      <c r="S316" s="514">
        <f>N316*(1+S317)</f>
        <v>110.03399441641547</v>
      </c>
      <c r="T316" s="514">
        <f>O316*(1+T317)</f>
        <v>113.3800018495282</v>
      </c>
      <c r="U316" s="514">
        <f>P316*(1+U317)</f>
        <v>121.93284602645693</v>
      </c>
      <c r="V316" s="571">
        <f>Q316*(1+V317)</f>
        <v>106.56711343647044</v>
      </c>
      <c r="W316" s="513">
        <f>SUMPRODUCT(S316:V316,S$5:V$5)/W$5</f>
        <v>112.99352311335279</v>
      </c>
      <c r="X316" s="514">
        <f>S316*(1+X317)</f>
        <v>112.12464031032735</v>
      </c>
      <c r="Y316" s="514">
        <f>T316*(1+Y317)</f>
        <v>116.55464190131499</v>
      </c>
      <c r="Z316" s="514">
        <f>U316*(1+Z317)</f>
        <v>124.00570440890668</v>
      </c>
      <c r="AA316" s="1968">
        <f>V316*(1+AA317)</f>
        <v>107.09994900365278</v>
      </c>
      <c r="AB316" s="513">
        <f>SUMPRODUCT(X316:AA316,X$5:AA$5)/AB$5</f>
        <v>114.9495486208058</v>
      </c>
      <c r="AC316" s="3758">
        <f>+AC242</f>
        <v>83.07</v>
      </c>
      <c r="AD316" s="3758">
        <f>+AD242</f>
        <v>91.24</v>
      </c>
      <c r="AE316" s="3758">
        <f>+AE242</f>
        <v>98.46</v>
      </c>
      <c r="AF316" s="3758">
        <f>+AF242</f>
        <v>85.48</v>
      </c>
      <c r="AG316" s="513">
        <f>SUMPRODUCT(AC316:AF316,AC$5:AF$5)/AG$5</f>
        <v>89.593479452054794</v>
      </c>
      <c r="AH316" s="1968">
        <f>AC316*(1+AH317)</f>
        <v>85.562100000000001</v>
      </c>
      <c r="AI316" s="1968">
        <f t="shared" ref="AI316:AK316" si="289">AD316*(1+AI317)</f>
        <v>93.977199999999996</v>
      </c>
      <c r="AJ316" s="1968">
        <f t="shared" si="289"/>
        <v>101.41379999999999</v>
      </c>
      <c r="AK316" s="1968">
        <f t="shared" si="289"/>
        <v>88.04440000000001</v>
      </c>
      <c r="AL316" s="513">
        <f>SUMPRODUCT(AH316:AK316,AH$5:AK$5)/AL$5</f>
        <v>92.281283835616449</v>
      </c>
      <c r="AM316" s="513">
        <f>AL316*(1+AM317)</f>
        <v>93.66550309315069</v>
      </c>
      <c r="AN316" s="513">
        <f>AM316*(1+AN317)</f>
        <v>90.855538000356162</v>
      </c>
      <c r="AU316" s="3">
        <f>AVERAGE(AH316:AK316)</f>
        <v>92.249375000000001</v>
      </c>
    </row>
    <row r="317" spans="1:47">
      <c r="A317" s="509" t="s">
        <v>1423</v>
      </c>
      <c r="B317" s="444"/>
      <c r="C317" s="444">
        <f>C316/B316-1</f>
        <v>7.9160496294379934E-2</v>
      </c>
      <c r="D317" s="471"/>
      <c r="E317" s="471"/>
      <c r="F317" s="471"/>
      <c r="G317" s="471"/>
      <c r="H317" s="444">
        <f>H237</f>
        <v>1.4066586398332914E-2</v>
      </c>
      <c r="I317" s="471">
        <f>I237</f>
        <v>-2.8580886913448511E-3</v>
      </c>
      <c r="J317" s="471">
        <f>J237</f>
        <v>1.026781457508541E-2</v>
      </c>
      <c r="K317" s="471">
        <f>K237</f>
        <v>2.3840575829098265E-2</v>
      </c>
      <c r="L317" s="687">
        <v>0.04</v>
      </c>
      <c r="M317" s="444">
        <f>M316/H316-1</f>
        <v>1.7678841071379514E-2</v>
      </c>
      <c r="N317" s="687">
        <v>0.05</v>
      </c>
      <c r="O317" s="687">
        <v>0.06</v>
      </c>
      <c r="P317" s="687">
        <v>8.3000000000000004E-2</v>
      </c>
      <c r="Q317" s="687">
        <v>6.5000000000000002E-2</v>
      </c>
      <c r="R317" s="444">
        <f>AVERAGE(N317:Q317)</f>
        <v>6.4500000000000002E-2</v>
      </c>
      <c r="S317" s="687">
        <v>6.6000000000000003E-2</v>
      </c>
      <c r="T317" s="686">
        <v>5.0999999999999997E-2</v>
      </c>
      <c r="U317" s="686">
        <v>5.1999999999999998E-2</v>
      </c>
      <c r="V317" s="686">
        <v>3.7999999999999999E-2</v>
      </c>
      <c r="W317" s="444">
        <f>AVERAGE(S317:V317)</f>
        <v>5.1749999999999997E-2</v>
      </c>
      <c r="X317" s="687">
        <v>1.9E-2</v>
      </c>
      <c r="Y317" s="686">
        <v>2.8000000000000001E-2</v>
      </c>
      <c r="Z317" s="686">
        <v>1.7000000000000001E-2</v>
      </c>
      <c r="AA317" s="686">
        <v>5.0000000000000001E-3</v>
      </c>
      <c r="AB317" s="444">
        <f>AVERAGE(X317:AA317)</f>
        <v>1.7250000000000001E-2</v>
      </c>
      <c r="AC317" s="3759">
        <f>+AC237</f>
        <v>2.8000000000000001E-2</v>
      </c>
      <c r="AD317" s="3759">
        <f>+AD237</f>
        <v>6.5000000000000002E-2</v>
      </c>
      <c r="AE317" s="3759">
        <f>+AE237</f>
        <v>3.4000000000000002E-2</v>
      </c>
      <c r="AF317" s="3759">
        <f>+AF237</f>
        <v>6.2E-2</v>
      </c>
      <c r="AG317" s="444">
        <f>AVERAGE(AC317:AF317)</f>
        <v>4.725E-2</v>
      </c>
      <c r="AH317" s="3922">
        <v>0.03</v>
      </c>
      <c r="AI317" s="3922">
        <v>0.03</v>
      </c>
      <c r="AJ317" s="3922">
        <v>0.03</v>
      </c>
      <c r="AK317" s="3922">
        <v>0.03</v>
      </c>
      <c r="AL317" s="444">
        <f>AVERAGE(AH317:AK317)</f>
        <v>0.03</v>
      </c>
      <c r="AM317" s="685">
        <v>1.4999999999999999E-2</v>
      </c>
      <c r="AN317" s="685">
        <v>-0.03</v>
      </c>
    </row>
    <row r="318" spans="1:47">
      <c r="A318" s="394" t="s">
        <v>2218</v>
      </c>
      <c r="B318" s="361">
        <f t="shared" ref="B318:G318" si="290">B331*B343</f>
        <v>116.20879898698999</v>
      </c>
      <c r="C318" s="361">
        <f t="shared" si="290"/>
        <v>126.77297101648251</v>
      </c>
      <c r="D318" s="506">
        <f t="shared" si="290"/>
        <v>97.028329715589578</v>
      </c>
      <c r="E318" s="506">
        <f t="shared" si="290"/>
        <v>127.02426759359781</v>
      </c>
      <c r="F318" s="506">
        <f t="shared" si="290"/>
        <v>128.08303283033337</v>
      </c>
      <c r="G318" s="506">
        <f t="shared" si="290"/>
        <v>114.64336772042925</v>
      </c>
      <c r="H318" s="361">
        <f>SUMPRODUCT(D318:G318,D$5:G$5)/H$5</f>
        <v>116.72026012515359</v>
      </c>
      <c r="I318" s="506">
        <f>I331*I343</f>
        <v>98.259811118328599</v>
      </c>
      <c r="J318" s="506">
        <f>J331*J343</f>
        <v>131.81761770238495</v>
      </c>
      <c r="K318" s="506">
        <f>K331*K343</f>
        <v>130.67378907249352</v>
      </c>
      <c r="L318" s="2008">
        <f>L331*L343</f>
        <v>123.50981999999999</v>
      </c>
      <c r="M318" s="2006">
        <f>SUMPRODUCT(I318:L318,I$5:L$5)/M$5</f>
        <v>121.16076231845483</v>
      </c>
      <c r="N318" s="2008">
        <f>N331*N343</f>
        <v>105.71256</v>
      </c>
      <c r="O318" s="2008">
        <f>O331*O343</f>
        <v>141.55769000000001</v>
      </c>
      <c r="P318" s="2008">
        <f>P331*P343</f>
        <v>140.4897</v>
      </c>
      <c r="Q318" s="2008">
        <f>Q331*Q343</f>
        <v>123.50194999999999</v>
      </c>
      <c r="R318" s="361">
        <f>SUMPRODUCT(N318:Q318,N$5:Q$5)/R$5</f>
        <v>127.8989369589041</v>
      </c>
      <c r="S318" s="2008">
        <f>S331*S343</f>
        <v>95.81880000000001</v>
      </c>
      <c r="T318" s="2008">
        <f>T331*T343</f>
        <v>127.21415</v>
      </c>
      <c r="U318" s="2008">
        <f>U331*U343</f>
        <v>135.24961999999999</v>
      </c>
      <c r="V318" s="2008">
        <f>V331*V343</f>
        <v>117.26962</v>
      </c>
      <c r="W318" s="361">
        <f>SUMPRODUCT(S318:V318,S$5:V$5)/W$5</f>
        <v>118.99164309589041</v>
      </c>
      <c r="X318" s="506">
        <f>S318*(1+X319)</f>
        <v>98.597545199999999</v>
      </c>
      <c r="Y318" s="506">
        <f>T318*(1+Y319)</f>
        <v>128.86793394999998</v>
      </c>
      <c r="Z318" s="506">
        <f>U318*(1+Z319)</f>
        <v>134.30287265999999</v>
      </c>
      <c r="AA318" s="2008">
        <f>V318*(1+AA319)</f>
        <v>119.84955164</v>
      </c>
      <c r="AB318" s="361">
        <f>SUMPRODUCT(X318:AA318,X$5:AA$5)/AB$5</f>
        <v>120.44093343784151</v>
      </c>
      <c r="AC318" s="3760">
        <f>+AC258</f>
        <v>83.42</v>
      </c>
      <c r="AD318" s="3760">
        <f>+AD258</f>
        <v>113.69</v>
      </c>
      <c r="AE318" s="3760">
        <f>+AE258</f>
        <v>121.65</v>
      </c>
      <c r="AF318" s="3760">
        <f>+AF258</f>
        <v>107.22</v>
      </c>
      <c r="AG318" s="361">
        <f>SUMPRODUCT(AC318:AF318,AC$5:AF$5)/AG$5</f>
        <v>106.60172602739725</v>
      </c>
      <c r="AH318" s="1968">
        <f>AC318*(1+AH319)</f>
        <v>86.756799999999998</v>
      </c>
      <c r="AI318" s="1968">
        <f t="shared" ref="AI318" si="291">AD318*(1+AI319)</f>
        <v>118.2376</v>
      </c>
      <c r="AJ318" s="1968">
        <f t="shared" ref="AJ318" si="292">AE318*(1+AJ319)</f>
        <v>126.51600000000001</v>
      </c>
      <c r="AK318" s="1968">
        <f t="shared" ref="AK318" si="293">AF318*(1+AK319)</f>
        <v>111.50880000000001</v>
      </c>
      <c r="AL318" s="644">
        <f>SUMPRODUCT(AH318:AK318,AH$5:AK$5)/AL$5</f>
        <v>110.86579506849316</v>
      </c>
      <c r="AM318" s="644">
        <f>AL318*(1+AM319)</f>
        <v>113.08311096986301</v>
      </c>
      <c r="AN318" s="644">
        <f>AM318*(1+AN319)</f>
        <v>109.69061764076712</v>
      </c>
      <c r="AU318" s="3">
        <f>AVERAGE(AH318:AK318)</f>
        <v>110.7548</v>
      </c>
    </row>
    <row r="319" spans="1:47">
      <c r="A319" s="578" t="s">
        <v>1423</v>
      </c>
      <c r="B319" s="444"/>
      <c r="C319" s="444">
        <f>C318/B318-1</f>
        <v>9.0906817053287181E-2</v>
      </c>
      <c r="D319" s="471"/>
      <c r="E319" s="471"/>
      <c r="F319" s="471"/>
      <c r="G319" s="471"/>
      <c r="H319" s="444">
        <f t="shared" ref="H319:N319" si="294">H253</f>
        <v>-7.9296957472282492E-2</v>
      </c>
      <c r="I319" s="471">
        <f t="shared" si="294"/>
        <v>1.2691977758956918E-2</v>
      </c>
      <c r="J319" s="471">
        <f t="shared" si="294"/>
        <v>3.7735703575343837E-2</v>
      </c>
      <c r="K319" s="471">
        <f t="shared" si="294"/>
        <v>2.0227161903575652E-2</v>
      </c>
      <c r="L319" s="205">
        <f t="shared" si="294"/>
        <v>4.6000000000000041E-2</v>
      </c>
      <c r="M319" s="444">
        <f t="shared" si="294"/>
        <v>3.8195523159392897E-2</v>
      </c>
      <c r="N319" s="205">
        <f t="shared" si="294"/>
        <v>6.4999999999999947E-2</v>
      </c>
      <c r="O319" s="205">
        <f>O253</f>
        <v>4.4000000000000039E-2</v>
      </c>
      <c r="P319" s="205">
        <f>P253</f>
        <v>6.6000000000000059E-2</v>
      </c>
      <c r="Q319" s="205">
        <f>Q253</f>
        <v>6.899999999999995E-2</v>
      </c>
      <c r="R319" s="444">
        <f>AVERAGE(N319:Q319)</f>
        <v>6.0999999999999999E-2</v>
      </c>
      <c r="S319" s="205">
        <f>S253</f>
        <v>5.4999999999999938E-2</v>
      </c>
      <c r="T319" s="205">
        <f>T253</f>
        <v>4.6000000000000041E-2</v>
      </c>
      <c r="U319" s="205">
        <f>U253</f>
        <v>8.8000000000000078E-2</v>
      </c>
      <c r="V319" s="205">
        <f>V253</f>
        <v>5.0000000000000044E-2</v>
      </c>
      <c r="W319" s="444">
        <f>AVERAGE(S319:V319)</f>
        <v>5.9750000000000025E-2</v>
      </c>
      <c r="X319" s="205">
        <f>X253</f>
        <v>2.8999999999999915E-2</v>
      </c>
      <c r="Y319" s="205">
        <f>Y253</f>
        <v>1.2999999999999901E-2</v>
      </c>
      <c r="Z319" s="471">
        <f>Z253</f>
        <v>-7.0000000000000062E-3</v>
      </c>
      <c r="AA319" s="471">
        <f>AA253</f>
        <v>2.1999999999999999E-2</v>
      </c>
      <c r="AB319" s="444">
        <f>AVERAGE(X319:AA319)</f>
        <v>1.4249999999999952E-2</v>
      </c>
      <c r="AC319" s="3759">
        <f>+AC253</f>
        <v>8.4000000000000005E-2</v>
      </c>
      <c r="AD319" s="3759">
        <f>+AD253</f>
        <v>6.5000000000000002E-2</v>
      </c>
      <c r="AE319" s="3759">
        <f>+AE253</f>
        <v>0.08</v>
      </c>
      <c r="AF319" s="3759">
        <f>+AF253</f>
        <v>3.9E-2</v>
      </c>
      <c r="AG319" s="444">
        <f>AVERAGE(AC319:AF319)</f>
        <v>6.7000000000000004E-2</v>
      </c>
      <c r="AH319" s="3922">
        <v>0.04</v>
      </c>
      <c r="AI319" s="3922">
        <v>0.04</v>
      </c>
      <c r="AJ319" s="3922">
        <v>0.04</v>
      </c>
      <c r="AK319" s="3922">
        <v>0.04</v>
      </c>
      <c r="AL319" s="444">
        <f>AVERAGE(AH319:AK319)</f>
        <v>0.04</v>
      </c>
      <c r="AM319" s="685">
        <v>0.02</v>
      </c>
      <c r="AN319" s="685">
        <v>-0.03</v>
      </c>
    </row>
    <row r="320" spans="1:47">
      <c r="A320" s="394" t="s">
        <v>209</v>
      </c>
      <c r="B320" s="361">
        <f t="shared" ref="B320:G320" si="295">B333*B345</f>
        <v>109.45656051852096</v>
      </c>
      <c r="C320" s="361">
        <f t="shared" si="295"/>
        <v>107.81954104151357</v>
      </c>
      <c r="D320" s="506">
        <f t="shared" si="295"/>
        <v>106.4328155355437</v>
      </c>
      <c r="E320" s="506">
        <f t="shared" si="295"/>
        <v>89.488762247810698</v>
      </c>
      <c r="F320" s="506">
        <f t="shared" si="295"/>
        <v>104.78434308374872</v>
      </c>
      <c r="G320" s="506">
        <f t="shared" si="295"/>
        <v>98.673378180369028</v>
      </c>
      <c r="H320" s="361">
        <f>SUMPRODUCT(D320:G320,D$5:G$5)/H$5</f>
        <v>99.855120039847208</v>
      </c>
      <c r="I320" s="506">
        <f>I333*I345</f>
        <v>107.09213061035236</v>
      </c>
      <c r="J320" s="506">
        <f>J333*J345</f>
        <v>104.36403362250601</v>
      </c>
      <c r="K320" s="506">
        <f>K333*K345</f>
        <v>84.742467503514021</v>
      </c>
      <c r="L320" s="2019">
        <f>L333*L345</f>
        <v>101.93665999999999</v>
      </c>
      <c r="M320" s="2006">
        <f>SUMPRODUCT(I320:L320,I$5:L$5)/M$5</f>
        <v>99.479174095624785</v>
      </c>
      <c r="N320" s="2019">
        <f>N333*N345</f>
        <v>107.51988</v>
      </c>
      <c r="O320" s="2019">
        <f>O333*O345</f>
        <v>96.670909999999992</v>
      </c>
      <c r="P320" s="2019">
        <f>P333*P345</f>
        <v>106.379</v>
      </c>
      <c r="Q320" s="2019">
        <f>Q333*Q345</f>
        <v>110.29983999999999</v>
      </c>
      <c r="R320" s="361">
        <f>SUMPRODUCT(N320:Q320,N$5:Q$5)/R$5</f>
        <v>105.2282062739726</v>
      </c>
      <c r="S320" s="2019">
        <f>S333*S345</f>
        <v>104.74211</v>
      </c>
      <c r="T320" s="2019">
        <f>T333*T345</f>
        <v>94.384380000000007</v>
      </c>
      <c r="U320" s="2019">
        <f>U333*U345</f>
        <v>104.41817</v>
      </c>
      <c r="V320" s="2019">
        <f>V333*V345</f>
        <v>99.201000000000008</v>
      </c>
      <c r="W320" s="361">
        <f>SUMPRODUCT(S320:V320,S$5:V$5)/W$5</f>
        <v>100.6814578630137</v>
      </c>
      <c r="X320" s="506">
        <f>S320*(1+X321)</f>
        <v>99.819230829999995</v>
      </c>
      <c r="Y320" s="506">
        <f>T320*(1+Y321)</f>
        <v>102.02951478</v>
      </c>
      <c r="Z320" s="506">
        <f>U320*(1+Z321)</f>
        <v>101.70329758</v>
      </c>
      <c r="AA320" s="2008">
        <f>V320*(1+AA321)</f>
        <v>93.546543</v>
      </c>
      <c r="AB320" s="361">
        <f>SUMPRODUCT(X320:AA320,X$5:AA$5)/AB$5</f>
        <v>99.265631649918021</v>
      </c>
      <c r="AC320" s="3760">
        <f>+AC274</f>
        <v>100.75</v>
      </c>
      <c r="AD320" s="3760">
        <f>+AD274</f>
        <v>109.96</v>
      </c>
      <c r="AE320" s="3760">
        <f>+AE274</f>
        <v>90.93</v>
      </c>
      <c r="AF320" s="3760">
        <f>+AF274</f>
        <v>102.81</v>
      </c>
      <c r="AG320" s="361">
        <f>SUMPRODUCT(AC320:AF320,AC$5:AF$5)/AG$5</f>
        <v>101.09024657534248</v>
      </c>
      <c r="AH320" s="1968">
        <f>AC320*(1+AH321)</f>
        <v>103.26875</v>
      </c>
      <c r="AI320" s="1968">
        <f t="shared" ref="AI320" si="296">AD320*(1+AI321)</f>
        <v>111.60939999999998</v>
      </c>
      <c r="AJ320" s="1968">
        <f t="shared" ref="AJ320" si="297">AE320*(1+AJ321)</f>
        <v>95.021850000000001</v>
      </c>
      <c r="AK320" s="1968">
        <f t="shared" ref="AK320" si="298">AF320*(1+AK321)</f>
        <v>104.86620000000001</v>
      </c>
      <c r="AL320" s="644">
        <f>SUMPRODUCT(AH320:AK320,AH$5:AK$5)/AL$5</f>
        <v>103.67217397260275</v>
      </c>
      <c r="AM320" s="644">
        <f>AL320*(1+AM321)</f>
        <v>105.22725658219179</v>
      </c>
      <c r="AN320" s="644">
        <f>AM320*(1+AN321)</f>
        <v>102.07043888472603</v>
      </c>
      <c r="AU320" s="3">
        <f>AVERAGE(AH320:AK320)</f>
        <v>103.69154999999999</v>
      </c>
    </row>
    <row r="321" spans="1:47">
      <c r="A321" s="578" t="s">
        <v>1423</v>
      </c>
      <c r="B321" s="444"/>
      <c r="C321" s="444">
        <f>C320/B320-1</f>
        <v>-1.4955882673934218E-2</v>
      </c>
      <c r="D321" s="471"/>
      <c r="E321" s="471"/>
      <c r="F321" s="471"/>
      <c r="G321" s="471"/>
      <c r="H321" s="444">
        <f t="shared" ref="H321:N321" si="299">H269</f>
        <v>-7.386806625897091E-2</v>
      </c>
      <c r="I321" s="471">
        <f t="shared" si="299"/>
        <v>6.1946597155315697E-3</v>
      </c>
      <c r="J321" s="471">
        <f t="shared" si="299"/>
        <v>0.16622502089707059</v>
      </c>
      <c r="K321" s="205">
        <f t="shared" si="299"/>
        <v>-0.19126784584807943</v>
      </c>
      <c r="L321" s="205">
        <f t="shared" si="299"/>
        <v>-3.2000000000000139E-2</v>
      </c>
      <c r="M321" s="444">
        <f t="shared" si="299"/>
        <v>-3.7564832034553408E-3</v>
      </c>
      <c r="N321" s="205">
        <f t="shared" si="299"/>
        <v>-6.0000000000000053E-3</v>
      </c>
      <c r="O321" s="205">
        <f>O269</f>
        <v>-3.400000000000003E-2</v>
      </c>
      <c r="P321" s="205">
        <f>P269</f>
        <v>0.15500000000000003</v>
      </c>
      <c r="Q321" s="205">
        <f>Q269</f>
        <v>6.6999999999999948E-2</v>
      </c>
      <c r="R321" s="444">
        <f>AVERAGE(N321:Q321)</f>
        <v>4.5499999999999985E-2</v>
      </c>
      <c r="S321" s="205">
        <f>S269</f>
        <v>5.4000000000000048E-2</v>
      </c>
      <c r="T321" s="205">
        <f>T269</f>
        <v>2.4999999999999911E-2</v>
      </c>
      <c r="U321" s="205">
        <f>U269</f>
        <v>9.099999999999997E-2</v>
      </c>
      <c r="V321" s="205">
        <f>V269</f>
        <v>-8.7999999999999967E-2</v>
      </c>
      <c r="W321" s="444">
        <f>AVERAGE(S321:V321)</f>
        <v>2.049999999999999E-2</v>
      </c>
      <c r="X321" s="205">
        <f>X269</f>
        <v>-4.7000000000000042E-2</v>
      </c>
      <c r="Y321" s="471">
        <f>Y269</f>
        <v>8.0999999999999961E-2</v>
      </c>
      <c r="Z321" s="471">
        <f>Z269</f>
        <v>-2.6000000000000023E-2</v>
      </c>
      <c r="AA321" s="471">
        <f>AA269</f>
        <v>-5.7000000000000002E-2</v>
      </c>
      <c r="AB321" s="444">
        <f>AVERAGE(X321:AA321)</f>
        <v>-1.2250000000000026E-2</v>
      </c>
      <c r="AC321" s="3759">
        <f>+AC269</f>
        <v>-2.1000000000000001E-2</v>
      </c>
      <c r="AD321" s="3759">
        <f>+AD269</f>
        <v>9.6000000000000002E-2</v>
      </c>
      <c r="AE321" s="3759">
        <f>+AE269</f>
        <v>2E-3</v>
      </c>
      <c r="AF321" s="3759">
        <f>+AF269</f>
        <v>6.0999999999999999E-2</v>
      </c>
      <c r="AG321" s="444">
        <f>AVERAGE(AC321:AF321)</f>
        <v>3.4500000000000003E-2</v>
      </c>
      <c r="AH321" s="3922">
        <v>2.5000000000000001E-2</v>
      </c>
      <c r="AI321" s="3922">
        <v>1.4999999999999999E-2</v>
      </c>
      <c r="AJ321" s="3922">
        <v>4.4999999999999998E-2</v>
      </c>
      <c r="AK321" s="3922">
        <v>0.02</v>
      </c>
      <c r="AL321" s="444">
        <f>AVERAGE(AH321:AK321)</f>
        <v>2.6249999999999999E-2</v>
      </c>
      <c r="AM321" s="685">
        <v>1.4999999999999999E-2</v>
      </c>
      <c r="AN321" s="685">
        <v>-0.03</v>
      </c>
    </row>
    <row r="322" spans="1:47">
      <c r="A322" s="394" t="s">
        <v>1688</v>
      </c>
      <c r="B322" s="361">
        <f t="shared" ref="B322:G322" si="300">B335*B347</f>
        <v>118.52483233957275</v>
      </c>
      <c r="C322" s="361">
        <f t="shared" si="300"/>
        <v>131.28442600505778</v>
      </c>
      <c r="D322" s="506">
        <f t="shared" si="300"/>
        <v>124.39965848599361</v>
      </c>
      <c r="E322" s="506">
        <f t="shared" si="300"/>
        <v>114.16739268884702</v>
      </c>
      <c r="F322" s="506">
        <f t="shared" si="300"/>
        <v>122.10857036081654</v>
      </c>
      <c r="G322" s="506">
        <f t="shared" si="300"/>
        <v>131.65761840387742</v>
      </c>
      <c r="H322" s="361">
        <f>SUMPRODUCT(D322:G322,D$5:G$5)/H$5</f>
        <v>123.10407383405011</v>
      </c>
      <c r="I322" s="506">
        <f t="shared" ref="I322:L324" si="301">I335*I347</f>
        <v>125.04729114731975</v>
      </c>
      <c r="J322" s="506">
        <f t="shared" si="301"/>
        <v>108.61294857626896</v>
      </c>
      <c r="K322" s="506">
        <f t="shared" si="301"/>
        <v>112.82521738826063</v>
      </c>
      <c r="L322" s="2019">
        <f>L335*L347</f>
        <v>128.13174000000001</v>
      </c>
      <c r="M322" s="2006">
        <f>SUMPRODUCT(I322:L322,I$5:L$5)/M$5</f>
        <v>118.64677973539514</v>
      </c>
      <c r="N322" s="2019">
        <f>N335*N347</f>
        <v>109.41495000000002</v>
      </c>
      <c r="O322" s="2019">
        <f>O335*O347</f>
        <v>105.22459000000001</v>
      </c>
      <c r="P322" s="2019">
        <f>P335*P347</f>
        <v>112.59819999999999</v>
      </c>
      <c r="Q322" s="2019">
        <f>Q335*Q347</f>
        <v>116.71985000000001</v>
      </c>
      <c r="R322" s="361">
        <f>SUMPRODUCT(N322:Q322,N$5:Q$5)/R$5</f>
        <v>111.01381860273972</v>
      </c>
      <c r="S322" s="2019">
        <f>S335*S347</f>
        <v>97.002359999999996</v>
      </c>
      <c r="T322" s="2019">
        <f>T335*T347</f>
        <v>95.005039999999994</v>
      </c>
      <c r="U322" s="2019">
        <f>U335*U347</f>
        <v>97.790549999999996</v>
      </c>
      <c r="V322" s="2019">
        <f>V335*V347</f>
        <v>100.86622</v>
      </c>
      <c r="W322" s="361">
        <f>SUMPRODUCT(S322:V322,S$5:V$5)/W$5</f>
        <v>97.676969534246581</v>
      </c>
      <c r="X322" s="506">
        <f>S322*(1+X323)</f>
        <v>103.88952755999999</v>
      </c>
      <c r="Y322" s="506">
        <f>T322*(1+Y323)</f>
        <v>98.425221440000001</v>
      </c>
      <c r="Z322" s="506">
        <f>U322*(1+Z323)</f>
        <v>98.377293299999991</v>
      </c>
      <c r="AA322" s="2008">
        <f>V322*(1+AA323)</f>
        <v>102.37921329999999</v>
      </c>
      <c r="AB322" s="361">
        <f>SUMPRODUCT(X322:AA322,X$5:AA$5)/AB$5</f>
        <v>100.7656851535519</v>
      </c>
      <c r="AC322" s="3760">
        <f>+AC290</f>
        <v>97.52</v>
      </c>
      <c r="AD322" s="3760">
        <f>+AD290</f>
        <v>97.89</v>
      </c>
      <c r="AE322" s="3760">
        <f>+AE290</f>
        <v>107.23</v>
      </c>
      <c r="AF322" s="3760">
        <f>+AF290</f>
        <v>108.97</v>
      </c>
      <c r="AG322" s="361">
        <f>SUMPRODUCT(AC322:AF322,AC$5:AF$5)/AG$5</f>
        <v>102.94572602739727</v>
      </c>
      <c r="AH322" s="1968">
        <f>AC322*(1+AH323)</f>
        <v>103.3712</v>
      </c>
      <c r="AI322" s="1968">
        <f t="shared" ref="AI322" si="302">AD322*(1+AI323)</f>
        <v>103.7634</v>
      </c>
      <c r="AJ322" s="1968">
        <f t="shared" ref="AJ322" si="303">AE322*(1+AJ323)</f>
        <v>113.66380000000001</v>
      </c>
      <c r="AK322" s="1968">
        <f t="shared" ref="AK322" si="304">AF322*(1+AK323)</f>
        <v>115.5082</v>
      </c>
      <c r="AL322" s="2759">
        <f>SUMPRODUCT(AH322:AK322,AH$5:AK$5)/AL$5</f>
        <v>109.12246958904109</v>
      </c>
      <c r="AM322" s="644">
        <f>AL322*(1+AM323)</f>
        <v>113.48736837260273</v>
      </c>
      <c r="AN322" s="644">
        <f>AM322*(1+AN323)</f>
        <v>111.21762100515068</v>
      </c>
      <c r="AU322" s="3">
        <f>AVERAGE(AH322:AK322)</f>
        <v>109.07665</v>
      </c>
    </row>
    <row r="323" spans="1:47" s="130" customFormat="1">
      <c r="A323" s="578" t="s">
        <v>1423</v>
      </c>
      <c r="B323" s="518"/>
      <c r="C323" s="518">
        <f>C322/B322-1</f>
        <v>0.10765333655084941</v>
      </c>
      <c r="D323" s="205"/>
      <c r="E323" s="205"/>
      <c r="F323" s="205"/>
      <c r="G323" s="205"/>
      <c r="H323" s="518">
        <f t="shared" ref="H323:N323" si="305">H285</f>
        <v>-6.231014919235367E-2</v>
      </c>
      <c r="I323" s="205">
        <f t="shared" si="305"/>
        <v>5.206064624357909E-3</v>
      </c>
      <c r="J323" s="205">
        <f t="shared" si="305"/>
        <v>-4.8651755827657461E-2</v>
      </c>
      <c r="K323" s="205">
        <f t="shared" si="305"/>
        <v>-7.6025400552350075E-2</v>
      </c>
      <c r="L323" s="205">
        <f t="shared" si="305"/>
        <v>8.6000000000000076E-2</v>
      </c>
      <c r="M323" s="518">
        <f t="shared" si="305"/>
        <v>-3.6272514619235641E-2</v>
      </c>
      <c r="N323" s="205">
        <f t="shared" si="305"/>
        <v>8.6999999999999966E-2</v>
      </c>
      <c r="O323" s="205">
        <f>O285</f>
        <v>4.8000000000000043E-2</v>
      </c>
      <c r="P323" s="205">
        <f>P285</f>
        <v>3.400000000000003E-2</v>
      </c>
      <c r="Q323" s="205">
        <f>Q285</f>
        <v>2.8999999999999915E-2</v>
      </c>
      <c r="R323" s="518">
        <f>AVERAGE(N323:Q323)</f>
        <v>4.9499999999999988E-2</v>
      </c>
      <c r="S323" s="205">
        <f>S285</f>
        <v>0.10099999999999998</v>
      </c>
      <c r="T323" s="205">
        <f>T285</f>
        <v>9.4000000000000083E-2</v>
      </c>
      <c r="U323" s="205">
        <f>U285</f>
        <v>0.10200000000000009</v>
      </c>
      <c r="V323" s="205">
        <f>V285</f>
        <v>6.6999999999999948E-2</v>
      </c>
      <c r="W323" s="518">
        <f>AVERAGE(S323:V323)</f>
        <v>9.1000000000000025E-2</v>
      </c>
      <c r="X323" s="205">
        <f>X285</f>
        <v>7.0999999999999952E-2</v>
      </c>
      <c r="Y323" s="205">
        <f>Y285</f>
        <v>3.6000000000000032E-2</v>
      </c>
      <c r="Z323" s="205">
        <f>Z285</f>
        <v>6.0000000000000053E-3</v>
      </c>
      <c r="AA323" s="657">
        <f>AA285</f>
        <v>1.4999999999999999E-2</v>
      </c>
      <c r="AB323" s="518">
        <f>AVERAGE(X323:AA323)</f>
        <v>3.2000000000000001E-2</v>
      </c>
      <c r="AC323" s="3761">
        <f>+AC285</f>
        <v>5.5E-2</v>
      </c>
      <c r="AD323" s="3761">
        <f>+AD285</f>
        <v>6.9000000000000006E-2</v>
      </c>
      <c r="AE323" s="3761">
        <f>+AE285</f>
        <v>8.3000000000000004E-2</v>
      </c>
      <c r="AF323" s="3761">
        <f>+AF285</f>
        <v>7.5999999999999998E-2</v>
      </c>
      <c r="AG323" s="518">
        <f>AVERAGE(AC323:AF323)</f>
        <v>7.0750000000000007E-2</v>
      </c>
      <c r="AH323" s="3922">
        <v>0.06</v>
      </c>
      <c r="AI323" s="3922">
        <v>0.06</v>
      </c>
      <c r="AJ323" s="3922">
        <v>0.06</v>
      </c>
      <c r="AK323" s="3922">
        <v>0.06</v>
      </c>
      <c r="AL323" s="518">
        <f>AVERAGE(AH323:AK323)</f>
        <v>0.06</v>
      </c>
      <c r="AM323" s="2682">
        <v>0.04</v>
      </c>
      <c r="AN323" s="2682">
        <v>-0.02</v>
      </c>
    </row>
    <row r="324" spans="1:47">
      <c r="A324" s="202" t="s">
        <v>858</v>
      </c>
      <c r="B324" s="515">
        <f t="shared" ref="B324:G324" si="306">B337*B349</f>
        <v>108.97430719131437</v>
      </c>
      <c r="C324" s="515">
        <f t="shared" si="306"/>
        <v>118.71199516516556</v>
      </c>
      <c r="D324" s="213">
        <f t="shared" si="306"/>
        <v>107.29027833464114</v>
      </c>
      <c r="E324" s="213">
        <f t="shared" si="306"/>
        <v>112.89107076253399</v>
      </c>
      <c r="F324" s="213">
        <f t="shared" si="306"/>
        <v>118.01966506492447</v>
      </c>
      <c r="G324" s="213">
        <f t="shared" si="306"/>
        <v>112.92767550140123</v>
      </c>
      <c r="H324" s="515">
        <f>SUMPRODUCT(D324:G324,D$5:G$5)/H$5</f>
        <v>112.79688005449427</v>
      </c>
      <c r="I324" s="213">
        <f t="shared" si="301"/>
        <v>107.90977615980695</v>
      </c>
      <c r="J324" s="213">
        <f t="shared" si="301"/>
        <v>114.98850763865708</v>
      </c>
      <c r="K324" s="213">
        <f t="shared" si="301"/>
        <v>115.36571534235372</v>
      </c>
      <c r="L324" s="212">
        <f t="shared" si="301"/>
        <v>113.93612999999999</v>
      </c>
      <c r="M324" s="515">
        <f>SUMPRODUCT(I324:L324,I$5:L$5)/M$5</f>
        <v>113.07288718081359</v>
      </c>
      <c r="N324" s="2222">
        <f>N337*N349</f>
        <v>105.59601000000001</v>
      </c>
      <c r="O324" s="213">
        <f>O337*O349</f>
        <v>117.25614</v>
      </c>
      <c r="P324" s="213">
        <f>P337*P349</f>
        <v>120.46104</v>
      </c>
      <c r="Q324" s="213">
        <f>Q337*Q349</f>
        <v>112.42444</v>
      </c>
      <c r="R324" s="515">
        <f>SUMPRODUCT(N324:Q324,N$5:Q$5)/R$5</f>
        <v>113.97099671232876</v>
      </c>
      <c r="S324" s="213">
        <f>S337*S349</f>
        <v>97.120919999999998</v>
      </c>
      <c r="T324" s="213">
        <f>T337*T349</f>
        <v>107.51953</v>
      </c>
      <c r="U324" s="213">
        <f>U337*U349</f>
        <v>112.6202</v>
      </c>
      <c r="V324" s="213">
        <f>V337*V349</f>
        <v>102.69683999999999</v>
      </c>
      <c r="W324" s="515">
        <f>SUMPRODUCT(S324:V324,S$5:V$5)/W$5</f>
        <v>105.02555536986301</v>
      </c>
      <c r="X324" s="213">
        <f t="shared" ref="X324:AB324" si="307">S324*(1+X326)</f>
        <v>100.04134522715648</v>
      </c>
      <c r="Y324" s="213">
        <f t="shared" si="307"/>
        <v>110.76039845920955</v>
      </c>
      <c r="Z324" s="213">
        <f t="shared" si="307"/>
        <v>112.67410246370289</v>
      </c>
      <c r="AA324" s="212">
        <f t="shared" si="307"/>
        <v>103.51806373743396</v>
      </c>
      <c r="AB324" s="212">
        <f t="shared" si="307"/>
        <v>106.82470838517609</v>
      </c>
      <c r="AC324" s="3768">
        <f t="shared" ref="AC324:AH324" si="308">+AC316*AC444+AC318*AC445+AC320*AC446+AC322*AC447</f>
        <v>90.344517672935453</v>
      </c>
      <c r="AD324" s="3768">
        <f t="shared" si="308"/>
        <v>103.8005409655163</v>
      </c>
      <c r="AE324" s="3768">
        <f t="shared" si="308"/>
        <v>109.37511859708897</v>
      </c>
      <c r="AF324" s="3768">
        <f t="shared" si="308"/>
        <v>103.07228769053852</v>
      </c>
      <c r="AG324" s="3767">
        <f t="shared" si="308"/>
        <v>101.22357917985394</v>
      </c>
      <c r="AH324" s="213">
        <f t="shared" si="308"/>
        <v>94.354673982507151</v>
      </c>
      <c r="AI324" s="213">
        <f t="shared" ref="AI324:AL324" si="309">+AI316*AI444+AI318*AI445+AI320*AI446+AI322*AI447</f>
        <v>107.93796343793737</v>
      </c>
      <c r="AJ324" s="213">
        <f t="shared" si="309"/>
        <v>114.26632449840434</v>
      </c>
      <c r="AK324" s="213">
        <f t="shared" si="309"/>
        <v>107.67551748867443</v>
      </c>
      <c r="AL324" s="515">
        <f t="shared" si="309"/>
        <v>105.70034972445721</v>
      </c>
      <c r="AM324" s="212">
        <f>AL324*(1+AM326)</f>
        <v>108.37627323997663</v>
      </c>
      <c r="AN324" s="212">
        <f>AM324*(1+AN326)</f>
        <v>105.49693081472662</v>
      </c>
      <c r="AU324" s="3">
        <f>AVERAGE(AH324:AK324)</f>
        <v>106.05861985188082</v>
      </c>
    </row>
    <row r="325" spans="1:47">
      <c r="A325" s="478" t="s">
        <v>1423</v>
      </c>
      <c r="B325" s="667"/>
      <c r="C325" s="667">
        <f>C324/B324-1</f>
        <v>8.9357649750925194E-2</v>
      </c>
      <c r="D325" s="3982"/>
      <c r="E325" s="3982"/>
      <c r="F325" s="3982"/>
      <c r="G325" s="3982"/>
      <c r="H325" s="667">
        <f t="shared" ref="H325:U325" si="310">H324/C324-1</f>
        <v>-4.9827442479098427E-2</v>
      </c>
      <c r="I325" s="3982">
        <f t="shared" si="310"/>
        <v>5.7740350270467644E-3</v>
      </c>
      <c r="J325" s="3982">
        <f t="shared" si="310"/>
        <v>1.8579298273599054E-2</v>
      </c>
      <c r="K325" s="3982">
        <f t="shared" si="310"/>
        <v>-2.2487351757105589E-2</v>
      </c>
      <c r="L325" s="3982">
        <f t="shared" si="310"/>
        <v>8.9300917079999653E-3</v>
      </c>
      <c r="M325" s="667">
        <f t="shared" si="310"/>
        <v>2.4469393673476336E-3</v>
      </c>
      <c r="N325" s="3982">
        <f t="shared" si="310"/>
        <v>-2.144167323987789E-2</v>
      </c>
      <c r="O325" s="3982">
        <f t="shared" si="310"/>
        <v>1.9720513013950836E-2</v>
      </c>
      <c r="P325" s="3982">
        <f t="shared" si="310"/>
        <v>4.4166714890343517E-2</v>
      </c>
      <c r="Q325" s="3982">
        <f t="shared" si="310"/>
        <v>-1.3267872096410449E-2</v>
      </c>
      <c r="R325" s="667">
        <f t="shared" ref="R325:W325" si="311">R324/M324-1</f>
        <v>7.9427487340886227E-3</v>
      </c>
      <c r="S325" s="3982">
        <f t="shared" si="310"/>
        <v>-8.0259566625670908E-2</v>
      </c>
      <c r="T325" s="3982">
        <f t="shared" si="310"/>
        <v>-8.3037101511272637E-2</v>
      </c>
      <c r="U325" s="3982">
        <f t="shared" si="310"/>
        <v>-6.5090256567600591E-2</v>
      </c>
      <c r="V325" s="3982">
        <f t="shared" si="311"/>
        <v>-8.6525670041140645E-2</v>
      </c>
      <c r="W325" s="667">
        <f t="shared" si="311"/>
        <v>-7.8488752406410067E-2</v>
      </c>
      <c r="X325" s="3982">
        <f t="shared" ref="X325:AG325" si="312">X324/S324-1</f>
        <v>3.0069991379370054E-2</v>
      </c>
      <c r="Y325" s="3982">
        <f t="shared" si="312"/>
        <v>3.0142137518733181E-2</v>
      </c>
      <c r="Z325" s="3982">
        <f t="shared" si="312"/>
        <v>4.7862163007073022E-4</v>
      </c>
      <c r="AA325" s="3983">
        <f t="shared" si="312"/>
        <v>7.9965823430785399E-3</v>
      </c>
      <c r="AB325" s="667">
        <f t="shared" si="312"/>
        <v>1.7130621294761061E-2</v>
      </c>
      <c r="AC325" s="3982">
        <f t="shared" si="312"/>
        <v>-9.6928200357593752E-2</v>
      </c>
      <c r="AD325" s="3982">
        <f t="shared" si="312"/>
        <v>-6.28370572019602E-2</v>
      </c>
      <c r="AE325" s="3982">
        <f t="shared" si="312"/>
        <v>-2.9278989532458555E-2</v>
      </c>
      <c r="AF325" s="3983">
        <f t="shared" si="312"/>
        <v>-4.3062633785937443E-3</v>
      </c>
      <c r="AG325" s="667">
        <f t="shared" si="312"/>
        <v>-5.2432899560336255E-2</v>
      </c>
      <c r="AH325" s="3982">
        <f t="shared" ref="AH325" si="313">AH324/AC324-1</f>
        <v>4.4387378591020266E-2</v>
      </c>
      <c r="AI325" s="3982">
        <f t="shared" ref="AI325" si="314">AI324/AD324-1</f>
        <v>3.9859353659780661E-2</v>
      </c>
      <c r="AJ325" s="3982">
        <f t="shared" ref="AJ325" si="315">AJ324/AE324-1</f>
        <v>4.4719548321893621E-2</v>
      </c>
      <c r="AK325" s="3982">
        <f t="shared" ref="AK325:AL325" si="316">AK324/AF324-1</f>
        <v>4.4660207911136451E-2</v>
      </c>
      <c r="AL325" s="667">
        <f t="shared" si="316"/>
        <v>4.4226558484451006E-2</v>
      </c>
      <c r="AM325" s="667">
        <f>AM324/AL324-1</f>
        <v>2.5316127359039875E-2</v>
      </c>
      <c r="AN325" s="667">
        <f>AN324/AM324-1</f>
        <v>-2.6568014743174495E-2</v>
      </c>
    </row>
    <row r="326" spans="1:47">
      <c r="A326" s="477" t="s">
        <v>1279</v>
      </c>
      <c r="B326" s="445"/>
      <c r="C326" s="445">
        <f>C317*C444+C319*C445+C321*C446+C323*C447</f>
        <v>8.0188512646194726E-2</v>
      </c>
      <c r="D326" s="437"/>
      <c r="E326" s="437"/>
      <c r="F326" s="437"/>
      <c r="G326" s="437"/>
      <c r="H326" s="445">
        <f t="shared" ref="H326:AN326" si="317">H317*H444+H319*H445+H321*H446+H323*H447</f>
        <v>-5.0205402966748219E-2</v>
      </c>
      <c r="I326" s="437">
        <f t="shared" si="317"/>
        <v>5.4565295761630651E-3</v>
      </c>
      <c r="J326" s="437">
        <f t="shared" si="317"/>
        <v>2.2438414890681269E-2</v>
      </c>
      <c r="K326" s="437">
        <f t="shared" si="317"/>
        <v>-2.6826338758334997E-2</v>
      </c>
      <c r="L326" s="437">
        <f t="shared" si="317"/>
        <v>4.8313193358318587E-2</v>
      </c>
      <c r="M326" s="445">
        <f t="shared" si="317"/>
        <v>6.2164913898120275E-3</v>
      </c>
      <c r="N326" s="437">
        <f t="shared" si="317"/>
        <v>5.8106472422194605E-2</v>
      </c>
      <c r="O326" s="437">
        <f t="shared" si="317"/>
        <v>4.0031543724311142E-2</v>
      </c>
      <c r="P326" s="437">
        <f t="shared" si="317"/>
        <v>7.1880514831606845E-2</v>
      </c>
      <c r="Q326" s="437">
        <f t="shared" si="317"/>
        <v>5.5903140298341168E-2</v>
      </c>
      <c r="R326" s="445">
        <f t="shared" si="317"/>
        <v>5.6755732584131115E-2</v>
      </c>
      <c r="S326" s="437">
        <f t="shared" si="317"/>
        <v>7.0709598573090782E-2</v>
      </c>
      <c r="T326" s="437">
        <f t="shared" si="317"/>
        <v>5.6911319436861119E-2</v>
      </c>
      <c r="U326" s="437">
        <f t="shared" si="317"/>
        <v>8.239913647919074E-2</v>
      </c>
      <c r="V326" s="437">
        <f t="shared" si="317"/>
        <v>3.64638366515673E-2</v>
      </c>
      <c r="W326" s="445">
        <f t="shared" si="317"/>
        <v>6.1465384297601615E-2</v>
      </c>
      <c r="X326" s="437">
        <f t="shared" si="317"/>
        <v>3.0069991379370008E-2</v>
      </c>
      <c r="Y326" s="437">
        <f t="shared" si="317"/>
        <v>3.0142137518733191E-2</v>
      </c>
      <c r="Z326" s="437">
        <f t="shared" si="317"/>
        <v>4.7862163007063806E-4</v>
      </c>
      <c r="AA326" s="589">
        <f t="shared" si="317"/>
        <v>7.9965823430785433E-3</v>
      </c>
      <c r="AB326" s="445">
        <f t="shared" si="317"/>
        <v>1.7130621294761009E-2</v>
      </c>
      <c r="AC326" s="437">
        <f>AC317*AC444+AC319*AC445+AC321*AC446+AC323*AC447</f>
        <v>4.8258911727716472E-2</v>
      </c>
      <c r="AD326" s="437">
        <f>AD317*AD444+AD319*AD445+AD321*AD446+AD323*AD447</f>
        <v>6.9956974889503296E-2</v>
      </c>
      <c r="AE326" s="437">
        <f>AE317*AE444+AE319*AE445+AE321*AE446+AE323*AE447</f>
        <v>6.412419399643042E-2</v>
      </c>
      <c r="AF326" s="589">
        <f t="shared" si="317"/>
        <v>5.8649667093079019E-2</v>
      </c>
      <c r="AG326" s="445">
        <f t="shared" si="317"/>
        <v>6.0482235463983736E-2</v>
      </c>
      <c r="AH326" s="1036">
        <f t="shared" si="317"/>
        <v>4.3318167148296116E-2</v>
      </c>
      <c r="AI326" s="437">
        <f t="shared" si="317"/>
        <v>4.1545370370598453E-2</v>
      </c>
      <c r="AJ326" s="437">
        <f t="shared" si="317"/>
        <v>4.4868649901415918E-2</v>
      </c>
      <c r="AK326" s="437">
        <f t="shared" si="317"/>
        <v>4.3075906556692661E-2</v>
      </c>
      <c r="AL326" s="445">
        <f t="shared" ref="AL326" si="318">AL317*AL444+AL319*AL445+AL321*AL446+AL323*AL447</f>
        <v>4.328916029425052E-2</v>
      </c>
      <c r="AM326" s="445">
        <f t="shared" si="317"/>
        <v>2.531612735903991E-2</v>
      </c>
      <c r="AN326" s="445">
        <f t="shared" si="317"/>
        <v>-2.6568014743174519E-2</v>
      </c>
    </row>
    <row r="327" spans="1:47" hidden="1">
      <c r="A327" s="578"/>
      <c r="B327" s="454"/>
      <c r="C327" s="454"/>
      <c r="D327" s="471"/>
      <c r="E327" s="471"/>
      <c r="F327" s="15"/>
      <c r="G327" s="15"/>
      <c r="H327" s="208"/>
      <c r="I327" s="15"/>
      <c r="J327" s="15"/>
      <c r="K327" s="15"/>
      <c r="L327" s="474"/>
      <c r="M327" s="208"/>
      <c r="N327" s="15"/>
      <c r="O327" s="15"/>
      <c r="P327" s="15"/>
      <c r="Q327" s="15"/>
      <c r="R327" s="13"/>
      <c r="S327" s="13"/>
      <c r="W327" s="208"/>
      <c r="X327" s="13"/>
      <c r="AA327" s="474"/>
      <c r="AB327" s="208"/>
      <c r="AF327" s="474"/>
      <c r="AG327" s="208"/>
      <c r="AK327" s="474"/>
      <c r="AL327" s="226"/>
      <c r="AM327" s="208"/>
      <c r="AN327" s="208"/>
    </row>
    <row r="328" spans="1:47" hidden="1">
      <c r="A328" s="505" t="s">
        <v>2077</v>
      </c>
      <c r="B328" s="502"/>
      <c r="C328" s="208"/>
      <c r="D328" s="15"/>
      <c r="E328" s="15"/>
      <c r="F328" s="15"/>
      <c r="G328" s="15"/>
      <c r="H328" s="208"/>
      <c r="I328" s="15"/>
      <c r="J328" s="15"/>
      <c r="K328" s="15"/>
      <c r="L328" s="474"/>
      <c r="M328" s="208"/>
      <c r="N328" s="15"/>
      <c r="O328" s="15"/>
      <c r="P328" s="15"/>
      <c r="Q328" s="15"/>
      <c r="R328" s="13"/>
      <c r="S328" s="13"/>
      <c r="W328" s="208"/>
      <c r="X328" s="13"/>
      <c r="AA328" s="474"/>
      <c r="AB328" s="208"/>
      <c r="AF328" s="474"/>
      <c r="AG328" s="208"/>
      <c r="AK328" s="474"/>
      <c r="AL328" s="208"/>
      <c r="AM328" s="208"/>
      <c r="AN328" s="208"/>
    </row>
    <row r="329" spans="1:47" hidden="1">
      <c r="A329" s="13" t="s">
        <v>424</v>
      </c>
      <c r="B329" s="567">
        <f>B244</f>
        <v>0.67847849696918427</v>
      </c>
      <c r="C329" s="567">
        <f t="shared" ref="C329:K329" si="319">C244</f>
        <v>0.68454285402561543</v>
      </c>
      <c r="D329" s="128">
        <f t="shared" si="319"/>
        <v>0.66889602023451278</v>
      </c>
      <c r="E329" s="128">
        <f>E244</f>
        <v>0.71585226985752259</v>
      </c>
      <c r="F329" s="128">
        <f t="shared" si="319"/>
        <v>0.74094096040285373</v>
      </c>
      <c r="G329" s="128">
        <f t="shared" si="319"/>
        <v>0.655127139111368</v>
      </c>
      <c r="H329" s="567">
        <f t="shared" si="319"/>
        <v>0.69521956162208631</v>
      </c>
      <c r="I329" s="128">
        <f t="shared" si="319"/>
        <v>0.66576508514608301</v>
      </c>
      <c r="J329" s="128">
        <f t="shared" si="319"/>
        <v>0.71714988193480855</v>
      </c>
      <c r="K329" s="128">
        <f t="shared" si="319"/>
        <v>0.74473423377117542</v>
      </c>
      <c r="L329" s="786"/>
      <c r="M329" s="567"/>
      <c r="N329" s="128"/>
      <c r="O329" s="128"/>
      <c r="P329" s="128"/>
      <c r="Q329" s="128"/>
      <c r="R329" s="567"/>
      <c r="S329" s="2386"/>
      <c r="T329" s="2214"/>
      <c r="U329" s="2214"/>
      <c r="V329" s="2387"/>
      <c r="W329" s="567"/>
      <c r="X329" s="2386"/>
      <c r="Y329" s="2214"/>
      <c r="Z329" s="2214"/>
      <c r="AA329" s="2387"/>
      <c r="AB329" s="567"/>
      <c r="AC329" s="2214"/>
      <c r="AD329" s="2214"/>
      <c r="AE329" s="2214"/>
      <c r="AF329" s="2387"/>
      <c r="AG329" s="567"/>
      <c r="AH329" s="2214"/>
      <c r="AI329" s="2214"/>
      <c r="AJ329" s="2214"/>
      <c r="AK329" s="2387"/>
      <c r="AL329" s="567"/>
      <c r="AM329" s="567"/>
      <c r="AN329" s="567"/>
    </row>
    <row r="330" spans="1:47" hidden="1">
      <c r="A330" s="509" t="s">
        <v>1423</v>
      </c>
      <c r="B330" s="444"/>
      <c r="C330" s="444">
        <f>C329/B329-1</f>
        <v>8.9381713400220608E-3</v>
      </c>
      <c r="D330" s="471"/>
      <c r="E330" s="471"/>
      <c r="F330" s="471"/>
      <c r="G330" s="471"/>
      <c r="H330" s="444">
        <f>H329/C329-1</f>
        <v>1.5596843256319159E-2</v>
      </c>
      <c r="I330" s="471">
        <f>I329/D329-1</f>
        <v>-4.6807500623670117E-3</v>
      </c>
      <c r="J330" s="471">
        <f>J329/E329-1</f>
        <v>1.8126813756478288E-3</v>
      </c>
      <c r="K330" s="471">
        <f>K329/F329-1</f>
        <v>5.1195352545487793E-3</v>
      </c>
      <c r="L330" s="579"/>
      <c r="M330" s="444"/>
      <c r="N330" s="558"/>
      <c r="O330" s="558"/>
      <c r="P330" s="558"/>
      <c r="Q330" s="558"/>
      <c r="R330" s="518"/>
      <c r="S330" s="812"/>
      <c r="T330" s="205"/>
      <c r="U330" s="205"/>
      <c r="V330" s="657"/>
      <c r="W330" s="457"/>
      <c r="X330" s="2219"/>
      <c r="Y330" s="558"/>
      <c r="Z330" s="558"/>
      <c r="AA330" s="691"/>
      <c r="AB330" s="457"/>
      <c r="AC330" s="558"/>
      <c r="AD330" s="558"/>
      <c r="AE330" s="558"/>
      <c r="AF330" s="691"/>
      <c r="AG330" s="457"/>
      <c r="AH330" s="558"/>
      <c r="AI330" s="558"/>
      <c r="AJ330" s="558"/>
      <c r="AK330" s="691"/>
      <c r="AL330" s="457"/>
      <c r="AM330" s="457"/>
      <c r="AN330" s="457"/>
    </row>
    <row r="331" spans="1:47" hidden="1">
      <c r="A331" s="394" t="s">
        <v>2218</v>
      </c>
      <c r="B331" s="567">
        <f t="shared" ref="B331:J331" si="320">B260</f>
        <v>0.70593274052298149</v>
      </c>
      <c r="C331" s="567">
        <f t="shared" si="320"/>
        <v>0.71202038375295995</v>
      </c>
      <c r="D331" s="128">
        <f t="shared" si="320"/>
        <v>0.62020302393141813</v>
      </c>
      <c r="E331" s="128">
        <f t="shared" si="320"/>
        <v>0.75411018974582789</v>
      </c>
      <c r="F331" s="128">
        <f t="shared" si="320"/>
        <v>0.78300067262270523</v>
      </c>
      <c r="G331" s="128">
        <f t="shared" si="320"/>
        <v>0.70609215684238325</v>
      </c>
      <c r="H331" s="567">
        <f t="shared" si="320"/>
        <v>0.71600831353939209</v>
      </c>
      <c r="I331" s="128">
        <f t="shared" si="320"/>
        <v>0.64160780548101104</v>
      </c>
      <c r="J331" s="128">
        <f t="shared" si="320"/>
        <v>0.77534233662684204</v>
      </c>
      <c r="K331" s="128">
        <f t="shared" ref="K331:P331" si="321">K260</f>
        <v>0.79712727380483284</v>
      </c>
      <c r="L331" s="786">
        <f t="shared" si="321"/>
        <v>0.71899999999999997</v>
      </c>
      <c r="M331" s="567">
        <f t="shared" si="321"/>
        <v>0.73365634059281704</v>
      </c>
      <c r="N331" s="646">
        <f t="shared" si="321"/>
        <v>0.65400000000000003</v>
      </c>
      <c r="O331" s="128">
        <f t="shared" si="321"/>
        <v>0.78700000000000003</v>
      </c>
      <c r="P331" s="128">
        <f t="shared" si="321"/>
        <v>0.81499999999999995</v>
      </c>
      <c r="Q331" s="128">
        <f t="shared" ref="Q331:W331" si="322">Q260</f>
        <v>0.751</v>
      </c>
      <c r="R331" s="567">
        <f t="shared" si="322"/>
        <v>0.754</v>
      </c>
      <c r="S331" s="128">
        <f t="shared" si="322"/>
        <v>0.68</v>
      </c>
      <c r="T331" s="128">
        <f t="shared" si="322"/>
        <v>0.80500000000000005</v>
      </c>
      <c r="U331" s="128">
        <f t="shared" si="322"/>
        <v>0.84099999999999997</v>
      </c>
      <c r="V331" s="128">
        <f t="shared" si="322"/>
        <v>0.754</v>
      </c>
      <c r="W331" s="567">
        <f t="shared" si="322"/>
        <v>0.77</v>
      </c>
      <c r="X331" s="128">
        <f>X260</f>
        <v>0.64700000000000002</v>
      </c>
      <c r="Y331" s="128">
        <f>Y260</f>
        <v>0.76100000000000001</v>
      </c>
      <c r="Z331" s="2214"/>
      <c r="AA331" s="2387"/>
      <c r="AB331" s="567"/>
      <c r="AC331" s="2214"/>
      <c r="AD331" s="2214"/>
      <c r="AE331" s="2214"/>
      <c r="AF331" s="2387"/>
      <c r="AG331" s="567"/>
      <c r="AH331" s="2214"/>
      <c r="AI331" s="2214"/>
      <c r="AJ331" s="2214"/>
      <c r="AK331" s="2387"/>
      <c r="AL331" s="567"/>
      <c r="AM331" s="567"/>
      <c r="AN331" s="567"/>
    </row>
    <row r="332" spans="1:47" hidden="1">
      <c r="A332" s="578" t="s">
        <v>1423</v>
      </c>
      <c r="B332" s="444"/>
      <c r="C332" s="444">
        <f>C331/B331-1</f>
        <v>8.6235456730177074E-3</v>
      </c>
      <c r="D332" s="471"/>
      <c r="E332" s="471"/>
      <c r="F332" s="471"/>
      <c r="G332" s="471"/>
      <c r="H332" s="444">
        <f t="shared" ref="H332:Y332" si="323">H331/C331-1</f>
        <v>5.6008646345380164E-3</v>
      </c>
      <c r="I332" s="471">
        <f t="shared" si="323"/>
        <v>3.4512539803353004E-2</v>
      </c>
      <c r="J332" s="471">
        <f t="shared" si="323"/>
        <v>2.8155231383586665E-2</v>
      </c>
      <c r="K332" s="471">
        <f t="shared" si="323"/>
        <v>1.8041620749583487E-2</v>
      </c>
      <c r="L332" s="579">
        <f t="shared" si="323"/>
        <v>1.8280677716829619E-2</v>
      </c>
      <c r="M332" s="444">
        <f t="shared" si="323"/>
        <v>2.4647796289105628E-2</v>
      </c>
      <c r="N332" s="1060">
        <f t="shared" si="323"/>
        <v>1.9314282671013538E-2</v>
      </c>
      <c r="O332" s="471">
        <f t="shared" si="323"/>
        <v>1.5035504734431493E-2</v>
      </c>
      <c r="P332" s="471">
        <f t="shared" si="323"/>
        <v>2.2421420998252062E-2</v>
      </c>
      <c r="Q332" s="471">
        <f t="shared" si="323"/>
        <v>4.4506258692628586E-2</v>
      </c>
      <c r="R332" s="444">
        <f t="shared" si="323"/>
        <v>2.772914003679805E-2</v>
      </c>
      <c r="S332" s="471">
        <f t="shared" si="323"/>
        <v>3.9755351681957318E-2</v>
      </c>
      <c r="T332" s="471">
        <f t="shared" si="323"/>
        <v>2.2871664548919979E-2</v>
      </c>
      <c r="U332" s="471">
        <f t="shared" si="323"/>
        <v>3.1901840490797584E-2</v>
      </c>
      <c r="V332" s="471">
        <f t="shared" si="323"/>
        <v>3.9946737683089761E-3</v>
      </c>
      <c r="W332" s="444">
        <f t="shared" si="323"/>
        <v>2.1220159151193574E-2</v>
      </c>
      <c r="X332" s="471">
        <f t="shared" si="323"/>
        <v>-4.8529411764705932E-2</v>
      </c>
      <c r="Y332" s="471">
        <f t="shared" si="323"/>
        <v>-5.4658385093167783E-2</v>
      </c>
      <c r="Z332" s="558"/>
      <c r="AA332" s="691"/>
      <c r="AB332" s="457"/>
      <c r="AC332" s="558"/>
      <c r="AD332" s="558"/>
      <c r="AE332" s="558"/>
      <c r="AF332" s="691"/>
      <c r="AG332" s="457"/>
      <c r="AH332" s="558"/>
      <c r="AI332" s="558"/>
      <c r="AJ332" s="558"/>
      <c r="AK332" s="691"/>
      <c r="AL332" s="457"/>
      <c r="AM332" s="457"/>
      <c r="AN332" s="457"/>
    </row>
    <row r="333" spans="1:47" hidden="1">
      <c r="A333" s="394" t="s">
        <v>209</v>
      </c>
      <c r="B333" s="567">
        <f>B276</f>
        <v>0.74570378484461897</v>
      </c>
      <c r="C333" s="567">
        <f t="shared" ref="C333:K333" si="324">C276</f>
        <v>0.64419509430363608</v>
      </c>
      <c r="D333" s="128">
        <f t="shared" si="324"/>
        <v>0.65126670035133893</v>
      </c>
      <c r="E333" s="128">
        <f t="shared" si="324"/>
        <v>0.67402791997957456</v>
      </c>
      <c r="F333" s="128">
        <f t="shared" si="324"/>
        <v>0.64058366827398494</v>
      </c>
      <c r="G333" s="417">
        <f t="shared" si="324"/>
        <v>0.65809233862336791</v>
      </c>
      <c r="H333" s="567">
        <f t="shared" si="324"/>
        <v>0.65595629258106447</v>
      </c>
      <c r="I333" s="128">
        <f t="shared" si="324"/>
        <v>0.61203990582443546</v>
      </c>
      <c r="J333" s="417">
        <f t="shared" si="324"/>
        <v>0.64817724565204615</v>
      </c>
      <c r="K333" s="417">
        <f t="shared" si="324"/>
        <v>0.51179276761097781</v>
      </c>
      <c r="L333" s="655">
        <f t="shared" ref="L333:R333" si="325">L276</f>
        <v>0.57399999999999995</v>
      </c>
      <c r="M333" s="614">
        <f t="shared" si="325"/>
        <v>0.58619357670889138</v>
      </c>
      <c r="N333" s="2021">
        <f t="shared" si="325"/>
        <v>0.628</v>
      </c>
      <c r="O333" s="417">
        <f t="shared" si="325"/>
        <v>0.623</v>
      </c>
      <c r="P333" s="417">
        <f t="shared" si="325"/>
        <v>0.63700000000000001</v>
      </c>
      <c r="Q333" s="417">
        <f t="shared" si="325"/>
        <v>0.65600000000000003</v>
      </c>
      <c r="R333" s="614">
        <f t="shared" si="325"/>
        <v>0.63500000000000001</v>
      </c>
      <c r="S333" s="417">
        <f t="shared" ref="S333:X333" si="326">S276</f>
        <v>0.64900000000000002</v>
      </c>
      <c r="T333" s="417">
        <f t="shared" si="326"/>
        <v>0.67800000000000005</v>
      </c>
      <c r="U333" s="417">
        <f t="shared" si="326"/>
        <v>0.66100000000000003</v>
      </c>
      <c r="V333" s="417">
        <f t="shared" si="326"/>
        <v>0.64500000000000002</v>
      </c>
      <c r="W333" s="614">
        <f t="shared" si="326"/>
        <v>0.66</v>
      </c>
      <c r="X333" s="417">
        <f t="shared" si="326"/>
        <v>0.64200000000000002</v>
      </c>
      <c r="Y333" s="417">
        <f>Y276</f>
        <v>0.60399999999999998</v>
      </c>
      <c r="Z333" s="611"/>
      <c r="AA333" s="690"/>
      <c r="AB333" s="614"/>
      <c r="AC333" s="611"/>
      <c r="AD333" s="611"/>
      <c r="AE333" s="611"/>
      <c r="AF333" s="690"/>
      <c r="AG333" s="614"/>
      <c r="AH333" s="611"/>
      <c r="AI333" s="611"/>
      <c r="AJ333" s="611"/>
      <c r="AK333" s="690"/>
      <c r="AL333" s="614"/>
      <c r="AM333" s="614"/>
      <c r="AN333" s="614"/>
    </row>
    <row r="334" spans="1:47" hidden="1">
      <c r="A334" s="578" t="s">
        <v>1423</v>
      </c>
      <c r="B334" s="444"/>
      <c r="C334" s="444">
        <f>C333/B333-1</f>
        <v>-0.13612468195013128</v>
      </c>
      <c r="D334" s="471"/>
      <c r="E334" s="471"/>
      <c r="F334" s="471"/>
      <c r="G334" s="471"/>
      <c r="H334" s="444">
        <f t="shared" ref="H334:Y334" si="327">H333/C333-1</f>
        <v>1.8257199381721545E-2</v>
      </c>
      <c r="I334" s="471">
        <f t="shared" si="327"/>
        <v>-6.0231537257688372E-2</v>
      </c>
      <c r="J334" s="471">
        <f t="shared" si="327"/>
        <v>-3.8352527486267607E-2</v>
      </c>
      <c r="K334" s="471">
        <f t="shared" si="327"/>
        <v>-0.20105242615695562</v>
      </c>
      <c r="L334" s="579">
        <f t="shared" si="327"/>
        <v>-0.12778197478985509</v>
      </c>
      <c r="M334" s="518">
        <f t="shared" si="327"/>
        <v>-0.10635268944165466</v>
      </c>
      <c r="N334" s="1060">
        <f t="shared" si="327"/>
        <v>2.6076884895382513E-2</v>
      </c>
      <c r="O334" s="471">
        <f t="shared" si="327"/>
        <v>-3.8843149494886431E-2</v>
      </c>
      <c r="P334" s="471">
        <f t="shared" si="327"/>
        <v>0.24464439576487784</v>
      </c>
      <c r="Q334" s="471">
        <f t="shared" si="327"/>
        <v>0.14285714285714302</v>
      </c>
      <c r="R334" s="518">
        <f t="shared" si="327"/>
        <v>8.3259908041173114E-2</v>
      </c>
      <c r="S334" s="471">
        <f t="shared" si="327"/>
        <v>3.3439490445859921E-2</v>
      </c>
      <c r="T334" s="471">
        <f t="shared" si="327"/>
        <v>8.8282504012841212E-2</v>
      </c>
      <c r="U334" s="471">
        <f t="shared" si="327"/>
        <v>3.7676609105180559E-2</v>
      </c>
      <c r="V334" s="471">
        <f t="shared" si="327"/>
        <v>-1.6768292682926789E-2</v>
      </c>
      <c r="W334" s="518">
        <f t="shared" si="327"/>
        <v>3.937007874015741E-2</v>
      </c>
      <c r="X334" s="471">
        <f t="shared" si="327"/>
        <v>-1.0785824345146411E-2</v>
      </c>
      <c r="Y334" s="471">
        <f t="shared" si="327"/>
        <v>-0.10914454277286145</v>
      </c>
      <c r="Z334" s="558"/>
      <c r="AA334" s="691"/>
      <c r="AB334" s="457"/>
      <c r="AC334" s="558"/>
      <c r="AD334" s="558"/>
      <c r="AE334" s="558"/>
      <c r="AF334" s="691"/>
      <c r="AG334" s="457"/>
      <c r="AH334" s="558"/>
      <c r="AI334" s="558"/>
      <c r="AJ334" s="558"/>
      <c r="AK334" s="691"/>
      <c r="AL334" s="457"/>
      <c r="AM334" s="457"/>
      <c r="AN334" s="457"/>
    </row>
    <row r="335" spans="1:47" hidden="1">
      <c r="A335" s="394" t="s">
        <v>1688</v>
      </c>
      <c r="B335" s="567">
        <f>B292</f>
        <v>0.7073246272307101</v>
      </c>
      <c r="C335" s="567">
        <f t="shared" ref="C335:K335" si="328">C292</f>
        <v>0.67384350314957309</v>
      </c>
      <c r="D335" s="128">
        <f t="shared" si="328"/>
        <v>0.65022330183796395</v>
      </c>
      <c r="E335" s="128">
        <f t="shared" si="328"/>
        <v>0.64834843207803972</v>
      </c>
      <c r="F335" s="128">
        <f t="shared" si="328"/>
        <v>0.69385260709076757</v>
      </c>
      <c r="G335" s="417">
        <f t="shared" si="328"/>
        <v>0.71132280989964647</v>
      </c>
      <c r="H335" s="567">
        <f t="shared" si="328"/>
        <v>0.67608242117342743</v>
      </c>
      <c r="I335" s="128">
        <f t="shared" si="328"/>
        <v>0.6900529871877541</v>
      </c>
      <c r="J335" s="417">
        <f t="shared" si="328"/>
        <v>0.66149460279109085</v>
      </c>
      <c r="K335" s="417">
        <f t="shared" si="328"/>
        <v>0.70973598857399434</v>
      </c>
      <c r="L335" s="655">
        <f t="shared" ref="L335:R335" si="329">L292</f>
        <v>0.72599999999999998</v>
      </c>
      <c r="M335" s="614">
        <f t="shared" si="329"/>
        <v>0.69695476342382079</v>
      </c>
      <c r="N335" s="2021">
        <f t="shared" si="329"/>
        <v>0.66900000000000004</v>
      </c>
      <c r="O335" s="417">
        <f t="shared" si="329"/>
        <v>0.66100000000000003</v>
      </c>
      <c r="P335" s="417">
        <f t="shared" si="329"/>
        <v>0.71499999999999997</v>
      </c>
      <c r="Q335" s="417">
        <f t="shared" si="329"/>
        <v>0.72699999999999998</v>
      </c>
      <c r="R335" s="614">
        <f t="shared" si="329"/>
        <v>0.69199999999999995</v>
      </c>
      <c r="S335" s="417">
        <f t="shared" ref="S335:X335" si="330">S292</f>
        <v>0.65800000000000003</v>
      </c>
      <c r="T335" s="417">
        <f t="shared" si="330"/>
        <v>0.67600000000000005</v>
      </c>
      <c r="U335" s="417">
        <f t="shared" si="330"/>
        <v>0.71499999999999997</v>
      </c>
      <c r="V335" s="417">
        <f t="shared" si="330"/>
        <v>0.70599999999999996</v>
      </c>
      <c r="W335" s="614">
        <f t="shared" si="330"/>
        <v>0.68799999999999994</v>
      </c>
      <c r="X335" s="417">
        <f t="shared" si="330"/>
        <v>0.66900000000000004</v>
      </c>
      <c r="Y335" s="417">
        <f>Y292</f>
        <v>0.69</v>
      </c>
      <c r="Z335" s="611"/>
      <c r="AA335" s="690"/>
      <c r="AB335" s="614"/>
      <c r="AC335" s="611"/>
      <c r="AD335" s="611"/>
      <c r="AE335" s="611"/>
      <c r="AF335" s="690"/>
      <c r="AG335" s="614"/>
      <c r="AH335" s="611"/>
      <c r="AI335" s="611"/>
      <c r="AJ335" s="611"/>
      <c r="AK335" s="690"/>
      <c r="AL335" s="614"/>
      <c r="AM335" s="614"/>
      <c r="AN335" s="614"/>
    </row>
    <row r="336" spans="1:47" hidden="1">
      <c r="A336" s="578" t="s">
        <v>1423</v>
      </c>
      <c r="B336" s="444"/>
      <c r="C336" s="444">
        <f>C335/B335-1</f>
        <v>-4.733487679090298E-2</v>
      </c>
      <c r="D336" s="471"/>
      <c r="E336" s="471"/>
      <c r="F336" s="471"/>
      <c r="G336" s="471"/>
      <c r="H336" s="444">
        <f t="shared" ref="H336:Y336" si="331">H335/C335-1</f>
        <v>3.3226083109647586E-3</v>
      </c>
      <c r="I336" s="471">
        <f t="shared" si="331"/>
        <v>6.1255395242226784E-2</v>
      </c>
      <c r="J336" s="471">
        <f t="shared" si="331"/>
        <v>2.0276397786474165E-2</v>
      </c>
      <c r="K336" s="471">
        <f t="shared" si="331"/>
        <v>2.2891578587307837E-2</v>
      </c>
      <c r="L336" s="579">
        <f t="shared" si="331"/>
        <v>2.0633655909929605E-2</v>
      </c>
      <c r="M336" s="518">
        <f t="shared" si="331"/>
        <v>3.0872481810970243E-2</v>
      </c>
      <c r="N336" s="1060">
        <f t="shared" si="331"/>
        <v>-3.0509232738131442E-2</v>
      </c>
      <c r="O336" s="437">
        <f t="shared" si="331"/>
        <v>-7.4770495330411801E-4</v>
      </c>
      <c r="P336" s="437">
        <f t="shared" si="331"/>
        <v>7.4168585371894302E-3</v>
      </c>
      <c r="Q336" s="437">
        <f t="shared" si="331"/>
        <v>1.3774104683195176E-3</v>
      </c>
      <c r="R336" s="518">
        <f t="shared" si="331"/>
        <v>-7.109160714363072E-3</v>
      </c>
      <c r="S336" s="437">
        <f t="shared" si="331"/>
        <v>-1.6442451420029869E-2</v>
      </c>
      <c r="T336" s="437">
        <f t="shared" si="331"/>
        <v>2.2692889561270801E-2</v>
      </c>
      <c r="U336" s="437">
        <f t="shared" si="331"/>
        <v>0</v>
      </c>
      <c r="V336" s="437">
        <f t="shared" si="331"/>
        <v>-2.8885832187070193E-2</v>
      </c>
      <c r="W336" s="518">
        <f t="shared" si="331"/>
        <v>-5.7803468208093012E-3</v>
      </c>
      <c r="X336" s="437">
        <f t="shared" si="331"/>
        <v>1.6717325227963542E-2</v>
      </c>
      <c r="Y336" s="437">
        <f t="shared" si="331"/>
        <v>2.0710059171597406E-2</v>
      </c>
      <c r="Z336" s="558"/>
      <c r="AA336" s="691"/>
      <c r="AB336" s="457"/>
      <c r="AC336" s="558"/>
      <c r="AD336" s="558"/>
      <c r="AE336" s="558"/>
      <c r="AF336" s="691"/>
      <c r="AG336" s="457"/>
      <c r="AH336" s="558"/>
      <c r="AI336" s="558"/>
      <c r="AJ336" s="558"/>
      <c r="AK336" s="691"/>
      <c r="AL336" s="457"/>
      <c r="AM336" s="457"/>
      <c r="AN336" s="457"/>
    </row>
    <row r="337" spans="1:40" hidden="1">
      <c r="A337" s="202" t="s">
        <v>859</v>
      </c>
      <c r="B337" s="504">
        <f t="shared" ref="B337:K337" si="332">B329*B444+B331*B445+B333*B446+B335*B447</f>
        <v>0.7041398607851016</v>
      </c>
      <c r="C337" s="504">
        <f t="shared" si="332"/>
        <v>0.68597382011890995</v>
      </c>
      <c r="D337" s="469">
        <f t="shared" si="332"/>
        <v>0.64661634413662772</v>
      </c>
      <c r="E337" s="469">
        <f t="shared" si="332"/>
        <v>0.70668456379568412</v>
      </c>
      <c r="F337" s="469">
        <f t="shared" si="332"/>
        <v>0.73092052781359584</v>
      </c>
      <c r="G337" s="469">
        <f t="shared" si="332"/>
        <v>0.69056593478847028</v>
      </c>
      <c r="H337" s="504">
        <f t="shared" si="332"/>
        <v>0.69194113202709173</v>
      </c>
      <c r="I337" s="469">
        <f t="shared" si="332"/>
        <v>0.65969600719816734</v>
      </c>
      <c r="J337" s="469">
        <f t="shared" si="332"/>
        <v>0.71596381626559114</v>
      </c>
      <c r="K337" s="469">
        <f t="shared" si="332"/>
        <v>0.73142866378491678</v>
      </c>
      <c r="L337" s="2017">
        <v>0.69299999999999995</v>
      </c>
      <c r="M337" s="2018">
        <v>0.70199999999999996</v>
      </c>
      <c r="N337" s="2221">
        <v>0.66300000000000003</v>
      </c>
      <c r="O337" s="2358">
        <v>0.72299999999999998</v>
      </c>
      <c r="P337" s="2358">
        <v>0.75600000000000001</v>
      </c>
      <c r="Q337" s="2358">
        <v>0.71799999999999997</v>
      </c>
      <c r="R337" s="2018">
        <v>0.71599999999999997</v>
      </c>
      <c r="S337" s="2358">
        <v>0.67600000000000005</v>
      </c>
      <c r="T337" s="2358">
        <v>0.74299999999999999</v>
      </c>
      <c r="U337" s="2358">
        <v>0.77</v>
      </c>
      <c r="V337" s="2358">
        <v>0.71099999999999997</v>
      </c>
      <c r="W337" s="2018">
        <v>0.72499999999999998</v>
      </c>
      <c r="X337" s="2358">
        <v>0.65900000000000003</v>
      </c>
      <c r="Y337" s="2358">
        <v>0.68799999999999994</v>
      </c>
      <c r="Z337" s="469"/>
      <c r="AA337" s="2389"/>
      <c r="AB337" s="504"/>
      <c r="AC337" s="469"/>
      <c r="AD337" s="469"/>
      <c r="AE337" s="469"/>
      <c r="AF337" s="2389"/>
      <c r="AG337" s="504"/>
      <c r="AH337" s="469"/>
      <c r="AI337" s="469"/>
      <c r="AJ337" s="469"/>
      <c r="AK337" s="2389"/>
      <c r="AL337" s="504"/>
      <c r="AM337" s="504"/>
      <c r="AN337" s="504"/>
    </row>
    <row r="338" spans="1:40" hidden="1">
      <c r="A338" s="509" t="s">
        <v>1423</v>
      </c>
      <c r="B338" s="444"/>
      <c r="C338" s="444">
        <f>C337/B337-1</f>
        <v>-2.5798909673906079E-2</v>
      </c>
      <c r="D338" s="471"/>
      <c r="E338" s="471"/>
      <c r="F338" s="471"/>
      <c r="G338" s="471"/>
      <c r="H338" s="444">
        <f t="shared" ref="H338:Y338" si="333">H337/C337-1</f>
        <v>8.6990373876767446E-3</v>
      </c>
      <c r="I338" s="471">
        <f t="shared" si="333"/>
        <v>2.0227857183232612E-2</v>
      </c>
      <c r="J338" s="471">
        <f t="shared" si="333"/>
        <v>1.3130685096710115E-2</v>
      </c>
      <c r="K338" s="471">
        <f t="shared" si="333"/>
        <v>6.9520002788947544E-4</v>
      </c>
      <c r="L338" s="579">
        <f t="shared" si="333"/>
        <v>3.5247397661966051E-3</v>
      </c>
      <c r="M338" s="518">
        <f t="shared" si="333"/>
        <v>1.4537173044533391E-2</v>
      </c>
      <c r="N338" s="1060">
        <f t="shared" si="333"/>
        <v>5.0083565244927186E-3</v>
      </c>
      <c r="O338" s="668">
        <f t="shared" si="333"/>
        <v>9.8275689002120803E-3</v>
      </c>
      <c r="P338" s="668">
        <f t="shared" si="333"/>
        <v>3.3593619489745041E-2</v>
      </c>
      <c r="Q338" s="668">
        <f t="shared" si="333"/>
        <v>3.6075036075036149E-2</v>
      </c>
      <c r="R338" s="518">
        <f t="shared" si="333"/>
        <v>1.9943019943019946E-2</v>
      </c>
      <c r="S338" s="668">
        <f t="shared" si="333"/>
        <v>1.9607843137254832E-2</v>
      </c>
      <c r="T338" s="668">
        <f t="shared" si="333"/>
        <v>2.7662517289073429E-2</v>
      </c>
      <c r="U338" s="668">
        <f t="shared" si="333"/>
        <v>1.8518518518518601E-2</v>
      </c>
      <c r="V338" s="668">
        <f t="shared" si="333"/>
        <v>-9.7493036211698803E-3</v>
      </c>
      <c r="W338" s="518">
        <f t="shared" si="333"/>
        <v>1.2569832402234749E-2</v>
      </c>
      <c r="X338" s="668">
        <f t="shared" si="333"/>
        <v>-2.5147928994082913E-2</v>
      </c>
      <c r="Y338" s="668">
        <f t="shared" si="333"/>
        <v>-7.4024226110363411E-2</v>
      </c>
      <c r="Z338" s="417"/>
      <c r="AA338" s="655"/>
      <c r="AB338" s="455"/>
      <c r="AC338" s="417"/>
      <c r="AD338" s="417"/>
      <c r="AE338" s="417"/>
      <c r="AF338" s="655"/>
      <c r="AG338" s="455"/>
      <c r="AH338" s="417"/>
      <c r="AI338" s="417"/>
      <c r="AJ338" s="417"/>
      <c r="AK338" s="655"/>
      <c r="AL338" s="455"/>
      <c r="AM338" s="455"/>
      <c r="AN338" s="455"/>
    </row>
    <row r="339" spans="1:40" hidden="1">
      <c r="A339" s="509"/>
      <c r="B339" s="454"/>
      <c r="C339" s="454"/>
      <c r="D339" s="471"/>
      <c r="E339" s="471"/>
      <c r="F339" s="471"/>
      <c r="G339" s="135"/>
      <c r="H339" s="138"/>
      <c r="I339" s="471"/>
      <c r="J339" s="135"/>
      <c r="K339" s="135"/>
      <c r="L339" s="452"/>
      <c r="M339" s="138"/>
      <c r="N339" s="135"/>
      <c r="O339" s="135"/>
      <c r="P339" s="135"/>
      <c r="Q339" s="135"/>
      <c r="R339" s="394"/>
      <c r="S339" s="394"/>
      <c r="T339" s="135"/>
      <c r="U339" s="135"/>
      <c r="V339" s="135"/>
      <c r="W339" s="138"/>
      <c r="X339" s="394"/>
      <c r="Y339" s="135"/>
      <c r="Z339" s="135"/>
      <c r="AA339" s="452"/>
      <c r="AB339" s="138"/>
      <c r="AC339" s="135"/>
      <c r="AD339" s="135"/>
      <c r="AE339" s="135"/>
      <c r="AF339" s="452"/>
      <c r="AG339" s="138"/>
      <c r="AH339" s="135"/>
      <c r="AI339" s="135"/>
      <c r="AJ339" s="135"/>
      <c r="AK339" s="452"/>
      <c r="AL339" s="138"/>
      <c r="AM339" s="138"/>
      <c r="AN339" s="138"/>
    </row>
    <row r="340" spans="1:40" hidden="1">
      <c r="A340" s="505" t="s">
        <v>45</v>
      </c>
      <c r="B340" s="208"/>
      <c r="C340" s="208"/>
      <c r="D340" s="15"/>
      <c r="E340" s="15"/>
      <c r="F340" s="15"/>
      <c r="G340" s="135"/>
      <c r="H340" s="138"/>
      <c r="I340" s="15"/>
      <c r="J340" s="135"/>
      <c r="K340" s="135"/>
      <c r="L340" s="452"/>
      <c r="M340" s="138"/>
      <c r="N340" s="135"/>
      <c r="O340" s="135"/>
      <c r="P340" s="135"/>
      <c r="Q340" s="135"/>
      <c r="R340" s="394"/>
      <c r="S340" s="394"/>
      <c r="T340" s="135"/>
      <c r="U340" s="135"/>
      <c r="V340" s="135"/>
      <c r="W340" s="138"/>
      <c r="X340" s="394"/>
      <c r="Y340" s="135"/>
      <c r="Z340" s="135"/>
      <c r="AA340" s="452"/>
      <c r="AB340" s="138"/>
      <c r="AC340" s="135"/>
      <c r="AD340" s="135"/>
      <c r="AE340" s="135"/>
      <c r="AF340" s="452"/>
      <c r="AG340" s="138"/>
      <c r="AH340" s="135"/>
      <c r="AI340" s="135"/>
      <c r="AJ340" s="135"/>
      <c r="AK340" s="452"/>
      <c r="AL340" s="138"/>
      <c r="AM340" s="138"/>
      <c r="AN340" s="138"/>
    </row>
    <row r="341" spans="1:40" s="11" customFormat="1" hidden="1">
      <c r="A341" s="819" t="s">
        <v>424</v>
      </c>
      <c r="B341" s="215">
        <f>B243</f>
        <v>133.51649746291955</v>
      </c>
      <c r="C341" s="215">
        <f t="shared" ref="C341:K341" si="334">C243</f>
        <v>142.80927588873359</v>
      </c>
      <c r="D341" s="514">
        <f t="shared" si="334"/>
        <v>147.38890502235495</v>
      </c>
      <c r="E341" s="514">
        <f t="shared" si="334"/>
        <v>140.72392986292877</v>
      </c>
      <c r="F341" s="514">
        <f t="shared" si="334"/>
        <v>141.07841549372009</v>
      </c>
      <c r="G341" s="1375">
        <f t="shared" si="334"/>
        <v>141.48725175172012</v>
      </c>
      <c r="H341" s="215">
        <f t="shared" si="334"/>
        <v>142.66204743481237</v>
      </c>
      <c r="I341" s="514">
        <f t="shared" si="334"/>
        <v>147.65880843647895</v>
      </c>
      <c r="J341" s="514">
        <f t="shared" si="334"/>
        <v>141.91161653675439</v>
      </c>
      <c r="K341" s="514">
        <f t="shared" si="334"/>
        <v>143.70609772256284</v>
      </c>
      <c r="L341" s="571"/>
      <c r="M341" s="137"/>
      <c r="N341" s="819"/>
      <c r="O341" s="1375"/>
      <c r="P341" s="1375"/>
      <c r="Q341" s="1375"/>
      <c r="R341" s="137"/>
      <c r="S341" s="2390"/>
      <c r="T341" s="1375"/>
      <c r="U341" s="1375"/>
      <c r="V341" s="2391"/>
      <c r="W341" s="137"/>
      <c r="X341" s="2390"/>
      <c r="Y341" s="1375"/>
      <c r="Z341" s="1375"/>
      <c r="AA341" s="2391"/>
      <c r="AB341" s="137"/>
      <c r="AC341" s="1375"/>
      <c r="AD341" s="1375"/>
      <c r="AE341" s="1375"/>
      <c r="AF341" s="2391"/>
      <c r="AG341" s="137"/>
      <c r="AH341" s="1375"/>
      <c r="AI341" s="1375"/>
      <c r="AJ341" s="1375"/>
      <c r="AK341" s="2391"/>
      <c r="AL341" s="137"/>
      <c r="AM341" s="137"/>
      <c r="AN341" s="137"/>
    </row>
    <row r="342" spans="1:40" hidden="1">
      <c r="A342" s="509" t="s">
        <v>1423</v>
      </c>
      <c r="B342" s="444"/>
      <c r="C342" s="444">
        <f>C341/B341-1</f>
        <v>6.9600226207213511E-2</v>
      </c>
      <c r="D342" s="471"/>
      <c r="E342" s="471"/>
      <c r="F342" s="471"/>
      <c r="G342" s="471"/>
      <c r="H342" s="444">
        <f>H341/C341-1</f>
        <v>-1.0309446148017987E-3</v>
      </c>
      <c r="I342" s="471">
        <f>I341/D341-1</f>
        <v>1.8312329146015216E-3</v>
      </c>
      <c r="J342" s="471">
        <f>J341/E341-1</f>
        <v>8.4398344686826832E-3</v>
      </c>
      <c r="K342" s="471">
        <f>K341/F341-1</f>
        <v>1.8625685719866336E-2</v>
      </c>
      <c r="L342" s="579"/>
      <c r="M342" s="518"/>
      <c r="N342" s="1060"/>
      <c r="O342" s="558"/>
      <c r="P342" s="558"/>
      <c r="Q342" s="558"/>
      <c r="R342" s="518"/>
      <c r="S342" s="812"/>
      <c r="T342" s="205"/>
      <c r="U342" s="205"/>
      <c r="V342" s="657"/>
      <c r="W342" s="457"/>
      <c r="X342" s="2219"/>
      <c r="Y342" s="558"/>
      <c r="Z342" s="558"/>
      <c r="AA342" s="691"/>
      <c r="AB342" s="457"/>
      <c r="AC342" s="558"/>
      <c r="AD342" s="558"/>
      <c r="AE342" s="558"/>
      <c r="AF342" s="691"/>
      <c r="AG342" s="457"/>
      <c r="AH342" s="558"/>
      <c r="AI342" s="558"/>
      <c r="AJ342" s="558"/>
      <c r="AK342" s="691"/>
      <c r="AL342" s="457"/>
      <c r="AM342" s="457"/>
      <c r="AN342" s="457"/>
    </row>
    <row r="343" spans="1:40" hidden="1">
      <c r="A343" s="394" t="s">
        <v>2218</v>
      </c>
      <c r="B343" s="217">
        <f>B259</f>
        <v>164.61738111324621</v>
      </c>
      <c r="C343" s="217">
        <f t="shared" ref="C343:K343" si="335">C259</f>
        <v>178.04682830606603</v>
      </c>
      <c r="D343" s="15">
        <f t="shared" si="335"/>
        <v>156.4460764807863</v>
      </c>
      <c r="E343" s="15">
        <f t="shared" si="335"/>
        <v>168.44258215952661</v>
      </c>
      <c r="F343" s="15">
        <f t="shared" si="335"/>
        <v>163.5797226090649</v>
      </c>
      <c r="G343" s="176">
        <f t="shared" si="335"/>
        <v>162.3631796635583</v>
      </c>
      <c r="H343" s="217">
        <f t="shared" si="335"/>
        <v>162.70933045177543</v>
      </c>
      <c r="I343" s="15">
        <f t="shared" si="335"/>
        <v>153.14622153741345</v>
      </c>
      <c r="J343" s="15">
        <f t="shared" si="335"/>
        <v>170.01215008568059</v>
      </c>
      <c r="K343" s="15">
        <f t="shared" si="335"/>
        <v>163.93089706837387</v>
      </c>
      <c r="L343" s="474">
        <f t="shared" ref="L343:R343" si="336">L259</f>
        <v>171.78</v>
      </c>
      <c r="M343" s="217">
        <f t="shared" si="336"/>
        <v>164.76621404508094</v>
      </c>
      <c r="N343" s="13">
        <f t="shared" si="336"/>
        <v>161.63999999999999</v>
      </c>
      <c r="O343" s="15">
        <f t="shared" si="336"/>
        <v>179.87</v>
      </c>
      <c r="P343" s="15">
        <f t="shared" si="336"/>
        <v>172.38</v>
      </c>
      <c r="Q343" s="474">
        <f t="shared" si="336"/>
        <v>164.45</v>
      </c>
      <c r="R343" s="217">
        <f t="shared" si="336"/>
        <v>170.68</v>
      </c>
      <c r="S343" s="13">
        <f t="shared" ref="S343:X343" si="337">S259</f>
        <v>140.91</v>
      </c>
      <c r="T343" s="15">
        <f t="shared" si="337"/>
        <v>158.03</v>
      </c>
      <c r="U343" s="15">
        <f t="shared" si="337"/>
        <v>160.82</v>
      </c>
      <c r="V343" s="15">
        <f t="shared" si="337"/>
        <v>155.53</v>
      </c>
      <c r="W343" s="217">
        <f t="shared" si="337"/>
        <v>154.81</v>
      </c>
      <c r="X343" s="15">
        <f t="shared" si="337"/>
        <v>137.02000000000001</v>
      </c>
      <c r="Y343" s="15">
        <f>Y259</f>
        <v>157.29</v>
      </c>
      <c r="Z343" s="176"/>
      <c r="AA343" s="844"/>
      <c r="AB343" s="172"/>
      <c r="AC343" s="176"/>
      <c r="AD343" s="176"/>
      <c r="AE343" s="176"/>
      <c r="AF343" s="844"/>
      <c r="AG343" s="172"/>
      <c r="AH343" s="176"/>
      <c r="AI343" s="176"/>
      <c r="AJ343" s="176"/>
      <c r="AK343" s="844"/>
      <c r="AL343" s="172"/>
      <c r="AM343" s="172"/>
      <c r="AN343" s="172"/>
    </row>
    <row r="344" spans="1:40" hidden="1">
      <c r="A344" s="578" t="s">
        <v>1423</v>
      </c>
      <c r="B344" s="444"/>
      <c r="C344" s="444">
        <f>C343/B343-1</f>
        <v>8.1579764554638556E-2</v>
      </c>
      <c r="D344" s="471"/>
      <c r="E344" s="471"/>
      <c r="F344" s="471"/>
      <c r="G344" s="471"/>
      <c r="H344" s="444">
        <f t="shared" ref="H344:P344" si="338">H343/C343-1</f>
        <v>-8.6143055735455998E-2</v>
      </c>
      <c r="I344" s="471">
        <f t="shared" si="338"/>
        <v>-2.1092602752349143E-2</v>
      </c>
      <c r="J344" s="471">
        <f t="shared" si="338"/>
        <v>9.3181184118127369E-3</v>
      </c>
      <c r="K344" s="471">
        <f t="shared" si="338"/>
        <v>2.1468092359357982E-3</v>
      </c>
      <c r="L344" s="579">
        <f t="shared" si="338"/>
        <v>5.7998496678586919E-2</v>
      </c>
      <c r="M344" s="444">
        <f t="shared" si="338"/>
        <v>1.2641460619341238E-2</v>
      </c>
      <c r="N344" s="1060">
        <f t="shared" si="338"/>
        <v>5.5461887190677572E-2</v>
      </c>
      <c r="O344" s="471">
        <f t="shared" si="338"/>
        <v>5.7983208313943324E-2</v>
      </c>
      <c r="P344" s="471">
        <f t="shared" si="338"/>
        <v>5.1540637443727944E-2</v>
      </c>
      <c r="Q344" s="579">
        <f t="shared" ref="Q344:Y344" si="339">Q343/L343-1</f>
        <v>-4.2670858074281171E-2</v>
      </c>
      <c r="R344" s="444">
        <f t="shared" si="339"/>
        <v>3.5891981794890393E-2</v>
      </c>
      <c r="S344" s="1060">
        <f t="shared" si="339"/>
        <v>-0.12824795842613212</v>
      </c>
      <c r="T344" s="471">
        <f t="shared" si="339"/>
        <v>-0.12142102629676987</v>
      </c>
      <c r="U344" s="471">
        <f t="shared" si="339"/>
        <v>-6.7061143984220917E-2</v>
      </c>
      <c r="V344" s="471">
        <f t="shared" si="339"/>
        <v>-5.4241410763149811E-2</v>
      </c>
      <c r="W344" s="444">
        <f t="shared" si="339"/>
        <v>-9.2981017108038411E-2</v>
      </c>
      <c r="X344" s="471">
        <f t="shared" si="339"/>
        <v>-2.7606273507912782E-2</v>
      </c>
      <c r="Y344" s="471">
        <f t="shared" si="339"/>
        <v>-4.682655192052243E-3</v>
      </c>
      <c r="Z344" s="558"/>
      <c r="AA344" s="691"/>
      <c r="AB344" s="457"/>
      <c r="AC344" s="558"/>
      <c r="AD344" s="558"/>
      <c r="AE344" s="558"/>
      <c r="AF344" s="691"/>
      <c r="AG344" s="457"/>
      <c r="AH344" s="558"/>
      <c r="AI344" s="558"/>
      <c r="AJ344" s="558"/>
      <c r="AK344" s="691"/>
      <c r="AL344" s="457"/>
      <c r="AM344" s="457"/>
      <c r="AN344" s="457"/>
    </row>
    <row r="345" spans="1:40" hidden="1">
      <c r="A345" s="394" t="s">
        <v>209</v>
      </c>
      <c r="B345" s="217">
        <f>B275</f>
        <v>146.78289522337377</v>
      </c>
      <c r="C345" s="217">
        <f t="shared" ref="C345:K345" si="340">C275</f>
        <v>167.37094398097622</v>
      </c>
      <c r="D345" s="15">
        <f t="shared" si="340"/>
        <v>163.42431676320373</v>
      </c>
      <c r="E345" s="15">
        <f t="shared" si="340"/>
        <v>132.767144498291</v>
      </c>
      <c r="F345" s="15">
        <f t="shared" si="340"/>
        <v>163.576357427413</v>
      </c>
      <c r="G345" s="176">
        <f t="shared" si="340"/>
        <v>149.93850009981756</v>
      </c>
      <c r="H345" s="217">
        <f t="shared" si="340"/>
        <v>152.45024553907442</v>
      </c>
      <c r="I345" s="15">
        <f t="shared" si="340"/>
        <v>174.97573212337545</v>
      </c>
      <c r="J345" s="15">
        <f t="shared" si="340"/>
        <v>161.01156639264471</v>
      </c>
      <c r="K345" s="15">
        <f t="shared" si="340"/>
        <v>165.57965033208163</v>
      </c>
      <c r="L345" s="474">
        <f t="shared" ref="L345:R345" si="341">L275</f>
        <v>177.59</v>
      </c>
      <c r="M345" s="217">
        <f t="shared" si="341"/>
        <v>169.78486647503007</v>
      </c>
      <c r="N345" s="13">
        <f t="shared" si="341"/>
        <v>171.21</v>
      </c>
      <c r="O345" s="15">
        <f t="shared" si="341"/>
        <v>155.16999999999999</v>
      </c>
      <c r="P345" s="15">
        <f t="shared" si="341"/>
        <v>167</v>
      </c>
      <c r="Q345" s="474">
        <f t="shared" si="341"/>
        <v>168.14</v>
      </c>
      <c r="R345" s="217">
        <f t="shared" si="341"/>
        <v>165.15</v>
      </c>
      <c r="S345" s="13">
        <f t="shared" ref="S345:X345" si="342">S275</f>
        <v>161.38999999999999</v>
      </c>
      <c r="T345" s="15">
        <f t="shared" si="342"/>
        <v>139.21</v>
      </c>
      <c r="U345" s="15">
        <f t="shared" si="342"/>
        <v>157.97</v>
      </c>
      <c r="V345" s="15">
        <f t="shared" si="342"/>
        <v>153.80000000000001</v>
      </c>
      <c r="W345" s="217">
        <f t="shared" si="342"/>
        <v>153.91</v>
      </c>
      <c r="X345" s="15">
        <f t="shared" si="342"/>
        <v>169.03</v>
      </c>
      <c r="Y345" s="15">
        <f>Y275</f>
        <v>172.36</v>
      </c>
      <c r="Z345" s="176"/>
      <c r="AA345" s="844"/>
      <c r="AB345" s="172"/>
      <c r="AC345" s="176"/>
      <c r="AD345" s="176"/>
      <c r="AE345" s="176"/>
      <c r="AF345" s="844"/>
      <c r="AG345" s="172"/>
      <c r="AH345" s="176"/>
      <c r="AI345" s="176"/>
      <c r="AJ345" s="176"/>
      <c r="AK345" s="844"/>
      <c r="AL345" s="172"/>
      <c r="AM345" s="172"/>
      <c r="AN345" s="172"/>
    </row>
    <row r="346" spans="1:40" hidden="1">
      <c r="A346" s="578" t="s">
        <v>1423</v>
      </c>
      <c r="B346" s="444"/>
      <c r="C346" s="444">
        <f>C345/B345-1</f>
        <v>0.14026190671788852</v>
      </c>
      <c r="D346" s="471"/>
      <c r="E346" s="471"/>
      <c r="F346" s="471"/>
      <c r="G346" s="471"/>
      <c r="H346" s="444">
        <f t="shared" ref="H346:P346" si="343">H345/C345-1</f>
        <v>-8.91474833505016E-2</v>
      </c>
      <c r="I346" s="471">
        <f t="shared" si="343"/>
        <v>7.0683577505233242E-2</v>
      </c>
      <c r="J346" s="471">
        <f t="shared" si="343"/>
        <v>0.21273653207716059</v>
      </c>
      <c r="K346" s="471">
        <f t="shared" si="343"/>
        <v>1.2246836499935965E-2</v>
      </c>
      <c r="L346" s="579">
        <f t="shared" si="343"/>
        <v>0.18441894431232941</v>
      </c>
      <c r="M346" s="444">
        <f t="shared" si="343"/>
        <v>0.1137067433027692</v>
      </c>
      <c r="N346" s="1060">
        <f t="shared" si="343"/>
        <v>-2.1521453733482465E-2</v>
      </c>
      <c r="O346" s="471">
        <f t="shared" si="343"/>
        <v>-3.6280414652941184E-2</v>
      </c>
      <c r="P346" s="471">
        <f t="shared" si="343"/>
        <v>8.5780448567789325E-3</v>
      </c>
      <c r="Q346" s="579">
        <f t="shared" ref="Q346:Y346" si="344">Q345/L345-1</f>
        <v>-5.3212455656287072E-2</v>
      </c>
      <c r="R346" s="444">
        <f t="shared" si="344"/>
        <v>-2.7298466413740785E-2</v>
      </c>
      <c r="S346" s="1060">
        <f t="shared" si="344"/>
        <v>-5.7356462823433318E-2</v>
      </c>
      <c r="T346" s="471">
        <f t="shared" si="344"/>
        <v>-0.10285493329896234</v>
      </c>
      <c r="U346" s="471">
        <f t="shared" si="344"/>
        <v>-5.4071856287425168E-2</v>
      </c>
      <c r="V346" s="471">
        <f t="shared" si="344"/>
        <v>-8.5286071131200014E-2</v>
      </c>
      <c r="W346" s="444">
        <f t="shared" si="344"/>
        <v>-6.8059339993944978E-2</v>
      </c>
      <c r="X346" s="471">
        <f t="shared" si="344"/>
        <v>4.73387446558029E-2</v>
      </c>
      <c r="Y346" s="471">
        <f t="shared" si="344"/>
        <v>0.23812944472379871</v>
      </c>
      <c r="Z346" s="558"/>
      <c r="AA346" s="691"/>
      <c r="AB346" s="457"/>
      <c r="AC346" s="558"/>
      <c r="AD346" s="558"/>
      <c r="AE346" s="558"/>
      <c r="AF346" s="691"/>
      <c r="AG346" s="457"/>
      <c r="AH346" s="558"/>
      <c r="AI346" s="558"/>
      <c r="AJ346" s="558"/>
      <c r="AK346" s="691"/>
      <c r="AL346" s="457"/>
      <c r="AM346" s="457"/>
      <c r="AN346" s="457"/>
    </row>
    <row r="347" spans="1:40" hidden="1">
      <c r="A347" s="394" t="s">
        <v>1688</v>
      </c>
      <c r="B347" s="217">
        <f>B291</f>
        <v>167.56780094539698</v>
      </c>
      <c r="C347" s="217">
        <f t="shared" ref="C347:K347" si="345">C291</f>
        <v>194.82925247691611</v>
      </c>
      <c r="D347" s="15">
        <f t="shared" si="345"/>
        <v>191.31836422096433</v>
      </c>
      <c r="E347" s="15">
        <f t="shared" si="345"/>
        <v>176.08956394469237</v>
      </c>
      <c r="F347" s="15">
        <f t="shared" si="345"/>
        <v>175.98632492396573</v>
      </c>
      <c r="G347" s="176">
        <f t="shared" si="345"/>
        <v>185.08842479331108</v>
      </c>
      <c r="H347" s="217">
        <f t="shared" si="345"/>
        <v>182.11201758760717</v>
      </c>
      <c r="I347" s="15">
        <f t="shared" si="345"/>
        <v>181.21404220991522</v>
      </c>
      <c r="J347" s="15">
        <f t="shared" si="345"/>
        <v>164.19324982848036</v>
      </c>
      <c r="K347" s="15">
        <f t="shared" si="345"/>
        <v>158.96786862245736</v>
      </c>
      <c r="L347" s="474">
        <f t="shared" ref="L347:R347" si="346">L291</f>
        <v>176.49</v>
      </c>
      <c r="M347" s="217">
        <f t="shared" si="346"/>
        <v>170.17252999054838</v>
      </c>
      <c r="N347" s="13">
        <f t="shared" si="346"/>
        <v>163.55000000000001</v>
      </c>
      <c r="O347" s="15">
        <f t="shared" si="346"/>
        <v>159.19</v>
      </c>
      <c r="P347" s="15">
        <f t="shared" si="346"/>
        <v>157.47999999999999</v>
      </c>
      <c r="Q347" s="474">
        <f t="shared" si="346"/>
        <v>160.55000000000001</v>
      </c>
      <c r="R347" s="217">
        <f t="shared" si="346"/>
        <v>160.59</v>
      </c>
      <c r="S347" s="13">
        <f t="shared" ref="S347:X347" si="347">S291</f>
        <v>147.41999999999999</v>
      </c>
      <c r="T347" s="15">
        <f t="shared" si="347"/>
        <v>140.54</v>
      </c>
      <c r="U347" s="15">
        <f t="shared" si="347"/>
        <v>136.77000000000001</v>
      </c>
      <c r="V347" s="15">
        <f t="shared" si="347"/>
        <v>142.87</v>
      </c>
      <c r="W347" s="217">
        <f t="shared" si="347"/>
        <v>140.82</v>
      </c>
      <c r="X347" s="15">
        <f t="shared" si="347"/>
        <v>148.30000000000001</v>
      </c>
      <c r="Y347" s="15">
        <f>Y291</f>
        <v>142.33000000000001</v>
      </c>
      <c r="Z347" s="176"/>
      <c r="AA347" s="844"/>
      <c r="AB347" s="172"/>
      <c r="AC347" s="176"/>
      <c r="AD347" s="176"/>
      <c r="AE347" s="176"/>
      <c r="AF347" s="844"/>
      <c r="AG347" s="172"/>
      <c r="AH347" s="176"/>
      <c r="AI347" s="176"/>
      <c r="AJ347" s="176"/>
      <c r="AK347" s="844"/>
      <c r="AL347" s="172"/>
      <c r="AM347" s="172"/>
      <c r="AN347" s="172"/>
    </row>
    <row r="348" spans="1:40" hidden="1">
      <c r="A348" s="578" t="s">
        <v>1423</v>
      </c>
      <c r="B348" s="444"/>
      <c r="C348" s="444">
        <f>C347/B347-1</f>
        <v>0.16268908094343515</v>
      </c>
      <c r="D348" s="471"/>
      <c r="E348" s="471"/>
      <c r="F348" s="471"/>
      <c r="G348" s="471"/>
      <c r="H348" s="444">
        <f t="shared" ref="H348:P348" si="348">H347/C347-1</f>
        <v>-6.5273744715597659E-2</v>
      </c>
      <c r="I348" s="471">
        <f t="shared" si="348"/>
        <v>-5.2814177312215826E-2</v>
      </c>
      <c r="J348" s="471">
        <f t="shared" si="348"/>
        <v>-6.7558314358416527E-2</v>
      </c>
      <c r="K348" s="471">
        <f t="shared" si="348"/>
        <v>-9.6703288217769967E-2</v>
      </c>
      <c r="L348" s="579">
        <f t="shared" si="348"/>
        <v>-4.6455767306426421E-2</v>
      </c>
      <c r="M348" s="444">
        <f t="shared" si="348"/>
        <v>-6.5561228496714419E-2</v>
      </c>
      <c r="N348" s="1060">
        <f t="shared" si="348"/>
        <v>-9.7476122680677735E-2</v>
      </c>
      <c r="O348" s="471">
        <f t="shared" si="348"/>
        <v>-3.0471714480996392E-2</v>
      </c>
      <c r="P348" s="471">
        <f t="shared" si="348"/>
        <v>-9.3595557099088733E-3</v>
      </c>
      <c r="Q348" s="579">
        <f t="shared" ref="Q348:Y348" si="349">Q347/L347-1</f>
        <v>-9.031673182616573E-2</v>
      </c>
      <c r="R348" s="444">
        <f t="shared" si="349"/>
        <v>-5.6310674766841706E-2</v>
      </c>
      <c r="S348" s="1060">
        <f t="shared" si="349"/>
        <v>-9.8624273922348071E-2</v>
      </c>
      <c r="T348" s="471">
        <f t="shared" si="349"/>
        <v>-0.11715560022614491</v>
      </c>
      <c r="U348" s="471">
        <f t="shared" si="349"/>
        <v>-0.1315087630175259</v>
      </c>
      <c r="V348" s="471">
        <f t="shared" si="349"/>
        <v>-0.11012145748987856</v>
      </c>
      <c r="W348" s="444">
        <f t="shared" si="349"/>
        <v>-0.12310853726882132</v>
      </c>
      <c r="X348" s="471">
        <f t="shared" si="349"/>
        <v>5.9693393026727382E-3</v>
      </c>
      <c r="Y348" s="471">
        <f t="shared" si="349"/>
        <v>1.2736587448413328E-2</v>
      </c>
      <c r="Z348" s="558"/>
      <c r="AA348" s="691"/>
      <c r="AB348" s="457"/>
      <c r="AC348" s="558"/>
      <c r="AD348" s="558"/>
      <c r="AE348" s="558"/>
      <c r="AF348" s="691"/>
      <c r="AG348" s="457"/>
      <c r="AH348" s="558"/>
      <c r="AI348" s="558"/>
      <c r="AJ348" s="558"/>
      <c r="AK348" s="691"/>
      <c r="AL348" s="457"/>
      <c r="AM348" s="457"/>
      <c r="AN348" s="457"/>
    </row>
    <row r="349" spans="1:40" hidden="1">
      <c r="A349" s="202" t="s">
        <v>860</v>
      </c>
      <c r="B349" s="515">
        <f t="shared" ref="B349:K349" si="350">B341*B444+B343*B445+B345*B446+B347*B447</f>
        <v>154.76230399712102</v>
      </c>
      <c r="C349" s="515">
        <f t="shared" si="350"/>
        <v>173.05615999250156</v>
      </c>
      <c r="D349" s="213">
        <f t="shared" si="350"/>
        <v>165.9257136129103</v>
      </c>
      <c r="E349" s="213">
        <f t="shared" si="350"/>
        <v>159.74746944546666</v>
      </c>
      <c r="F349" s="213">
        <f t="shared" si="350"/>
        <v>161.46716445077408</v>
      </c>
      <c r="G349" s="213">
        <f t="shared" si="350"/>
        <v>163.52917196240284</v>
      </c>
      <c r="H349" s="515">
        <f t="shared" si="350"/>
        <v>162.33015384637497</v>
      </c>
      <c r="I349" s="213">
        <f t="shared" si="350"/>
        <v>163.57500270180009</v>
      </c>
      <c r="J349" s="213">
        <f t="shared" si="350"/>
        <v>160.60659076100768</v>
      </c>
      <c r="K349" s="213">
        <f t="shared" si="350"/>
        <v>157.72654402873943</v>
      </c>
      <c r="L349" s="2015">
        <v>164.41</v>
      </c>
      <c r="M349" s="2016">
        <v>160.91999999999999</v>
      </c>
      <c r="N349" s="2220">
        <v>159.27000000000001</v>
      </c>
      <c r="O349" s="2359">
        <v>162.18</v>
      </c>
      <c r="P349" s="2359">
        <v>159.34</v>
      </c>
      <c r="Q349" s="2015">
        <v>156.58000000000001</v>
      </c>
      <c r="R349" s="2016">
        <v>159.65</v>
      </c>
      <c r="S349" s="2220">
        <v>143.66999999999999</v>
      </c>
      <c r="T349" s="2359">
        <v>144.71</v>
      </c>
      <c r="U349" s="2359">
        <v>146.26</v>
      </c>
      <c r="V349" s="2359">
        <v>144.44</v>
      </c>
      <c r="W349" s="2016">
        <v>144.84</v>
      </c>
      <c r="X349" s="2359">
        <v>141.53</v>
      </c>
      <c r="Y349" s="2359">
        <v>144.97</v>
      </c>
      <c r="Z349" s="213"/>
      <c r="AA349" s="212"/>
      <c r="AB349" s="515"/>
      <c r="AC349" s="213"/>
      <c r="AD349" s="213"/>
      <c r="AE349" s="213"/>
      <c r="AF349" s="212"/>
      <c r="AG349" s="515"/>
      <c r="AH349" s="213"/>
      <c r="AI349" s="213"/>
      <c r="AJ349" s="213"/>
      <c r="AK349" s="212"/>
      <c r="AL349" s="515"/>
      <c r="AM349" s="515"/>
      <c r="AN349" s="515"/>
    </row>
    <row r="350" spans="1:40" hidden="1">
      <c r="A350" s="510" t="s">
        <v>1423</v>
      </c>
      <c r="B350" s="570"/>
      <c r="C350" s="570">
        <f>C349/B349-1</f>
        <v>0.11820614919070249</v>
      </c>
      <c r="D350" s="437"/>
      <c r="E350" s="437"/>
      <c r="F350" s="437"/>
      <c r="G350" s="437"/>
      <c r="H350" s="570">
        <f t="shared" ref="H350:P350" si="351">H349/C349-1</f>
        <v>-6.1979915344194336E-2</v>
      </c>
      <c r="I350" s="437">
        <f t="shared" si="351"/>
        <v>-1.4167249065411336E-2</v>
      </c>
      <c r="J350" s="437">
        <f t="shared" si="351"/>
        <v>5.3779963997131475E-3</v>
      </c>
      <c r="K350" s="437">
        <f t="shared" si="351"/>
        <v>-2.3166446470762381E-2</v>
      </c>
      <c r="L350" s="589">
        <f t="shared" si="351"/>
        <v>5.3863664019511148E-3</v>
      </c>
      <c r="M350" s="658">
        <f t="shared" si="351"/>
        <v>-8.6869494851185003E-3</v>
      </c>
      <c r="N350" s="1036">
        <f t="shared" si="351"/>
        <v>-2.6318218741821831E-2</v>
      </c>
      <c r="O350" s="437">
        <f t="shared" si="351"/>
        <v>9.7966666967836957E-3</v>
      </c>
      <c r="P350" s="437">
        <f t="shared" si="351"/>
        <v>1.0229451112341525E-2</v>
      </c>
      <c r="Q350" s="589">
        <f t="shared" ref="Q350:Y350" si="352">Q349/L349-1</f>
        <v>-4.762484033817882E-2</v>
      </c>
      <c r="R350" s="658">
        <f t="shared" si="352"/>
        <v>-7.8921203082276126E-3</v>
      </c>
      <c r="S350" s="1036">
        <f t="shared" si="352"/>
        <v>-9.7946882652100387E-2</v>
      </c>
      <c r="T350" s="437">
        <f t="shared" si="352"/>
        <v>-0.10771981748674309</v>
      </c>
      <c r="U350" s="437">
        <f t="shared" si="352"/>
        <v>-8.2088615539098853E-2</v>
      </c>
      <c r="V350" s="437">
        <f t="shared" si="352"/>
        <v>-7.753225188402102E-2</v>
      </c>
      <c r="W350" s="658">
        <f t="shared" si="352"/>
        <v>-9.2765424365800153E-2</v>
      </c>
      <c r="X350" s="437">
        <f t="shared" si="352"/>
        <v>-1.4895246049975497E-2</v>
      </c>
      <c r="Y350" s="437">
        <f t="shared" si="352"/>
        <v>1.7966968419598217E-3</v>
      </c>
      <c r="Z350" s="2499"/>
      <c r="AA350" s="2400"/>
      <c r="AB350" s="664"/>
      <c r="AC350" s="2499"/>
      <c r="AD350" s="2499"/>
      <c r="AE350" s="2499"/>
      <c r="AF350" s="2400"/>
      <c r="AG350" s="664"/>
      <c r="AH350" s="2499"/>
      <c r="AI350" s="2499"/>
      <c r="AJ350" s="2499"/>
      <c r="AK350" s="2400"/>
      <c r="AL350" s="664"/>
      <c r="AM350" s="664"/>
      <c r="AN350" s="664"/>
    </row>
    <row r="351" spans="1:40" hidden="1"/>
    <row r="352" spans="1:40">
      <c r="A352" s="669"/>
    </row>
    <row r="353" spans="1:42" s="12" customFormat="1">
      <c r="A353" s="461" t="s">
        <v>861</v>
      </c>
      <c r="B353" s="1050" t="str">
        <f>B$4</f>
        <v>2010</v>
      </c>
      <c r="C353" s="774" t="str">
        <f t="shared" ref="C353:AN353" si="353">C$4</f>
        <v>2011</v>
      </c>
      <c r="D353" s="773" t="str">
        <f t="shared" si="353"/>
        <v>1Q12</v>
      </c>
      <c r="E353" s="773" t="str">
        <f t="shared" si="353"/>
        <v>2Q12</v>
      </c>
      <c r="F353" s="1049" t="str">
        <f t="shared" si="353"/>
        <v>3Q12</v>
      </c>
      <c r="G353" s="773" t="str">
        <f t="shared" si="353"/>
        <v>4Q12</v>
      </c>
      <c r="H353" s="774">
        <f t="shared" si="353"/>
        <v>2012</v>
      </c>
      <c r="I353" s="773" t="str">
        <f t="shared" si="353"/>
        <v>1Q13</v>
      </c>
      <c r="J353" s="773" t="str">
        <f t="shared" si="353"/>
        <v>2Q13</v>
      </c>
      <c r="K353" s="773" t="str">
        <f t="shared" si="353"/>
        <v>3Q13</v>
      </c>
      <c r="L353" s="773" t="str">
        <f t="shared" si="353"/>
        <v>4Q13</v>
      </c>
      <c r="M353" s="774">
        <f t="shared" si="353"/>
        <v>2013</v>
      </c>
      <c r="N353" s="773" t="str">
        <f t="shared" si="353"/>
        <v>1Q14</v>
      </c>
      <c r="O353" s="773" t="str">
        <f t="shared" si="353"/>
        <v>2Q14</v>
      </c>
      <c r="P353" s="773" t="str">
        <f t="shared" si="353"/>
        <v>3Q14</v>
      </c>
      <c r="Q353" s="773" t="str">
        <f t="shared" si="353"/>
        <v>4Q14</v>
      </c>
      <c r="R353" s="774">
        <f t="shared" si="353"/>
        <v>2014</v>
      </c>
      <c r="S353" s="773" t="str">
        <f t="shared" si="353"/>
        <v>1Q15</v>
      </c>
      <c r="T353" s="773" t="str">
        <f t="shared" si="353"/>
        <v>2Q15</v>
      </c>
      <c r="U353" s="773" t="str">
        <f t="shared" si="353"/>
        <v>3Q15</v>
      </c>
      <c r="V353" s="773" t="str">
        <f t="shared" si="353"/>
        <v>4Q15</v>
      </c>
      <c r="W353" s="774">
        <f t="shared" si="353"/>
        <v>2015</v>
      </c>
      <c r="X353" s="773" t="str">
        <f t="shared" si="353"/>
        <v>1Q16</v>
      </c>
      <c r="Y353" s="773" t="str">
        <f t="shared" si="353"/>
        <v>2Q16</v>
      </c>
      <c r="Z353" s="773" t="str">
        <f t="shared" si="353"/>
        <v>3Q16</v>
      </c>
      <c r="AA353" s="773" t="str">
        <f t="shared" si="353"/>
        <v>4Q16</v>
      </c>
      <c r="AB353" s="774">
        <f t="shared" si="353"/>
        <v>2016</v>
      </c>
      <c r="AC353" s="773" t="str">
        <f t="shared" si="353"/>
        <v>1Q17</v>
      </c>
      <c r="AD353" s="773" t="str">
        <f t="shared" si="353"/>
        <v>2Q17</v>
      </c>
      <c r="AE353" s="773" t="str">
        <f t="shared" si="353"/>
        <v>3Q17</v>
      </c>
      <c r="AF353" s="773" t="str">
        <f t="shared" si="353"/>
        <v>4Q17A</v>
      </c>
      <c r="AG353" s="774" t="str">
        <f t="shared" si="353"/>
        <v>2017A</v>
      </c>
      <c r="AH353" s="1049" t="str">
        <f>AH4</f>
        <v>1Q18E</v>
      </c>
      <c r="AI353" s="1049" t="str">
        <f>AI4</f>
        <v>2Q18E</v>
      </c>
      <c r="AJ353" s="1049" t="str">
        <f>AJ4</f>
        <v>3Q18E</v>
      </c>
      <c r="AK353" s="1049" t="str">
        <f>AK4</f>
        <v>4Q18E</v>
      </c>
      <c r="AL353" s="774" t="str">
        <f t="shared" si="353"/>
        <v>2018E</v>
      </c>
      <c r="AM353" s="774" t="str">
        <f t="shared" si="353"/>
        <v>2019E</v>
      </c>
      <c r="AN353" s="774" t="str">
        <f t="shared" si="353"/>
        <v>2020E</v>
      </c>
    </row>
    <row r="354" spans="1:42">
      <c r="A354" s="394"/>
      <c r="B354" s="208"/>
      <c r="C354" s="208"/>
      <c r="D354" s="15"/>
      <c r="E354" s="15"/>
      <c r="F354" s="15"/>
      <c r="G354" s="15"/>
      <c r="H354" s="208"/>
      <c r="I354" s="15"/>
      <c r="J354" s="15"/>
      <c r="K354" s="15"/>
      <c r="L354" s="15"/>
      <c r="M354" s="208"/>
      <c r="N354" s="15"/>
      <c r="O354" s="15"/>
      <c r="P354" s="15"/>
      <c r="Q354" s="15"/>
      <c r="R354" s="208"/>
      <c r="S354" s="13"/>
      <c r="V354" s="474"/>
      <c r="W354" s="208"/>
      <c r="X354" s="13"/>
      <c r="AA354" s="474"/>
      <c r="AB354" s="208"/>
      <c r="AF354" s="474"/>
      <c r="AG354" s="208"/>
      <c r="AK354" s="474"/>
      <c r="AL354" s="208"/>
      <c r="AM354" s="208"/>
      <c r="AN354" s="208"/>
    </row>
    <row r="355" spans="1:42">
      <c r="A355" s="482" t="s">
        <v>427</v>
      </c>
      <c r="B355" s="208"/>
      <c r="C355" s="208"/>
      <c r="D355" s="15"/>
      <c r="E355" s="15"/>
      <c r="F355" s="15"/>
      <c r="G355" s="15"/>
      <c r="H355" s="208"/>
      <c r="I355" s="15"/>
      <c r="J355" s="15"/>
      <c r="K355" s="15"/>
      <c r="L355" s="15"/>
      <c r="M355" s="208"/>
      <c r="N355" s="15"/>
      <c r="O355" s="15"/>
      <c r="P355" s="15"/>
      <c r="Q355" s="15"/>
      <c r="R355" s="208"/>
      <c r="S355" s="13"/>
      <c r="V355" s="474"/>
      <c r="W355" s="208"/>
      <c r="X355" s="13"/>
      <c r="AA355" s="474"/>
      <c r="AB355" s="208"/>
      <c r="AF355" s="474"/>
      <c r="AG355" s="208"/>
      <c r="AK355" s="474"/>
      <c r="AL355" s="208"/>
      <c r="AM355" s="208"/>
      <c r="AN355" s="208"/>
    </row>
    <row r="356" spans="1:42">
      <c r="A356" s="482" t="s">
        <v>174</v>
      </c>
      <c r="B356" s="591">
        <f>'QTR Rooms'!B454*RevPAR!B303*RevPAR!B$5/1000000</f>
        <v>1858.3725906831664</v>
      </c>
      <c r="C356" s="591">
        <f>'QTR Rooms'!C454*RevPAR!C303*RevPAR!C$5/1000000</f>
        <v>1858.4367973843473</v>
      </c>
      <c r="D356" s="580">
        <f>'QTR Rooms'!D454*RevPAR!D303*RevPAR!D$5/1000000</f>
        <v>466.91009339791884</v>
      </c>
      <c r="E356" s="580">
        <f>'QTR Rooms'!E454*RevPAR!E303*RevPAR!E$5/1000000</f>
        <v>524.79652630007058</v>
      </c>
      <c r="F356" s="580">
        <f>'QTR Rooms'!F454*RevPAR!F303*RevPAR!F$5/1000000</f>
        <v>514.29932471559243</v>
      </c>
      <c r="G356" s="580">
        <f>'QTR Rooms'!G454*RevPAR!G303*RevPAR!G$5/1000000</f>
        <v>456.45780885680375</v>
      </c>
      <c r="H356" s="591">
        <f>SUM(D356:G356)</f>
        <v>1962.4637532703855</v>
      </c>
      <c r="I356" s="580">
        <f>'QTR Rooms'!I454*RevPAR!I303*RevPAR!I$5/1000000</f>
        <v>496.68715065928848</v>
      </c>
      <c r="J356" s="580">
        <f>'QTR Rooms'!J454*RevPAR!J303*RevPAR!J$5/1000000</f>
        <v>573.84141867977451</v>
      </c>
      <c r="K356" s="580">
        <f>'QTR Rooms'!K454*RevPAR!K303*RevPAR!K$5/1000000</f>
        <v>579.63468436321114</v>
      </c>
      <c r="L356" s="580">
        <f>'QTR Rooms'!L454*RevPAR!L303*RevPAR!L$5/1000000</f>
        <v>506.23052904600002</v>
      </c>
      <c r="M356" s="591">
        <f>SUM(I356:L356)</f>
        <v>2156.3937827482741</v>
      </c>
      <c r="N356" s="580">
        <f>'QTR Rooms'!N454*RevPAR!N303*RevPAR!N$5/1000000</f>
        <v>526.65416731620007</v>
      </c>
      <c r="O356" s="580">
        <f>'QTR Rooms'!O454*RevPAR!O303*RevPAR!O$5/1000000</f>
        <v>624.22302668543989</v>
      </c>
      <c r="P356" s="580">
        <f>'QTR Rooms'!P454*RevPAR!P303*RevPAR!P$5/1000000</f>
        <v>625.64131018223998</v>
      </c>
      <c r="Q356" s="580">
        <f>'QTR Rooms'!Q454*RevPAR!Q303*RevPAR!Q$5/1000000</f>
        <v>541.34637417854412</v>
      </c>
      <c r="R356" s="591">
        <f>SUM(N356:Q356)</f>
        <v>2317.864878362424</v>
      </c>
      <c r="S356" s="580">
        <f>'QTR Rooms'!S454*RevPAR!S303*RevPAR!S$5/1000000</f>
        <v>549.69826827018596</v>
      </c>
      <c r="T356" s="580">
        <f>'QTR Rooms'!T454*RevPAR!T303*RevPAR!T$5/1000000</f>
        <v>630.45207863820008</v>
      </c>
      <c r="U356" s="580">
        <f>'QTR Rooms'!U454*RevPAR!U303*RevPAR!U$5/1000000</f>
        <v>616.92393547118218</v>
      </c>
      <c r="V356" s="580">
        <f>'QTR Rooms'!V454*RevPAR!V303*RevPAR!V$5/1000000</f>
        <v>530.36844867903767</v>
      </c>
      <c r="W356" s="591">
        <f>SUM(S356:V356)</f>
        <v>2327.4427310586057</v>
      </c>
      <c r="X356" s="580">
        <f>'QTR Rooms'!X454*RevPAR!X303*RevPAR!X$5/1000000</f>
        <v>540.49139934867594</v>
      </c>
      <c r="Y356" s="580">
        <f>'QTR Rooms'!Y454*RevPAR!Y303*RevPAR!Y$5/1000000</f>
        <v>633.02867809214331</v>
      </c>
      <c r="Z356" s="580">
        <f>'QTR Rooms'!Z454*RevPAR!Z303*RevPAR!Z$5/1000000</f>
        <v>627.0784418699667</v>
      </c>
      <c r="AA356" s="580">
        <f>'QTR Rooms'!AA454*RevPAR!AA303*RevPAR!AA$5/1000000</f>
        <v>530.37919846908756</v>
      </c>
      <c r="AB356" s="591">
        <f>SUM(X356:AA356)</f>
        <v>2330.9777177798733</v>
      </c>
      <c r="AC356" s="580">
        <f>'QTR Rooms'!AC454*RevPAR!AC303*RevPAR!AC$5/1000000</f>
        <v>836.87291428284664</v>
      </c>
      <c r="AD356" s="580">
        <f>'QTR Rooms'!AD454*RevPAR!AD303*RevPAR!AD$5/1000000</f>
        <v>984.50001780574007</v>
      </c>
      <c r="AE356" s="580">
        <f>'QTR Rooms'!AE454*RevPAR!AE303*RevPAR!AE$5/1000000</f>
        <v>962.68562841709627</v>
      </c>
      <c r="AF356" s="580">
        <f>'QTR Rooms'!AF454*RevPAR!AF303*RevPAR!AF$5/1000000</f>
        <v>843.32902332771732</v>
      </c>
      <c r="AG356" s="591">
        <f>SUM(AC356:AF356)</f>
        <v>3627.3875838334006</v>
      </c>
      <c r="AH356" s="580">
        <f>'QTR Rooms'!AH454*RevPAR!AH303*RevPAR!AH$5/1000000</f>
        <v>869.14505114141082</v>
      </c>
      <c r="AI356" s="580">
        <f>'QTR Rooms'!AI454*RevPAR!AI303*RevPAR!AI$5/1000000</f>
        <v>1036.8303577651473</v>
      </c>
      <c r="AJ356" s="580">
        <f>'QTR Rooms'!AJ454*RevPAR!AJ303*RevPAR!AJ$5/1000000</f>
        <v>1023.8389155276797</v>
      </c>
      <c r="AK356" s="580">
        <f>'QTR Rooms'!AK454*RevPAR!AK303*RevPAR!AK$5/1000000</f>
        <v>899.39519231989129</v>
      </c>
      <c r="AL356" s="591">
        <f>SUM(AH356:AK356)</f>
        <v>3829.2095167541293</v>
      </c>
      <c r="AM356" s="591">
        <f>AVERAGE('QTR Rooms'!AL454,'QTR Rooms'!AM454)*RevPAR!AM303*RevPAR!AM$5/1000000</f>
        <v>4048.5980115481811</v>
      </c>
      <c r="AN356" s="591">
        <f>AVERAGE('QTR Rooms'!AM454,'QTR Rooms'!AN454)*RevPAR!AN303*RevPAR!AN$5/1000000</f>
        <v>4096.0240419904121</v>
      </c>
      <c r="AP356" s="14"/>
    </row>
    <row r="357" spans="1:42">
      <c r="A357" s="578" t="s">
        <v>1423</v>
      </c>
      <c r="B357" s="444"/>
      <c r="C357" s="444">
        <f>C356/B356-1</f>
        <v>3.4549961349439329E-5</v>
      </c>
      <c r="D357" s="471"/>
      <c r="E357" s="471"/>
      <c r="F357" s="471"/>
      <c r="G357" s="471"/>
      <c r="H357" s="444">
        <f t="shared" ref="H357:R357" si="354">H356/C356-1</f>
        <v>5.5975514492852652E-2</v>
      </c>
      <c r="I357" s="471">
        <f t="shared" si="354"/>
        <v>6.3774713124465476E-2</v>
      </c>
      <c r="J357" s="471">
        <f t="shared" si="354"/>
        <v>9.3455062908821107E-2</v>
      </c>
      <c r="K357" s="471">
        <f t="shared" si="354"/>
        <v>0.12703761507707445</v>
      </c>
      <c r="L357" s="471">
        <f>L356/G356-1</f>
        <v>0.10904122839710384</v>
      </c>
      <c r="M357" s="444">
        <f>M356/H356-1</f>
        <v>9.8819674582376393E-2</v>
      </c>
      <c r="N357" s="471">
        <f t="shared" si="354"/>
        <v>6.0333786805505607E-2</v>
      </c>
      <c r="O357" s="471">
        <f t="shared" si="354"/>
        <v>8.7797092307448477E-2</v>
      </c>
      <c r="P357" s="471">
        <f t="shared" si="354"/>
        <v>7.9371761318203227E-2</v>
      </c>
      <c r="Q357" s="471">
        <f t="shared" si="354"/>
        <v>6.9367300306286461E-2</v>
      </c>
      <c r="R357" s="444">
        <f t="shared" si="354"/>
        <v>7.4880152644642983E-2</v>
      </c>
      <c r="S357" s="471">
        <f t="shared" ref="S357:AB357" si="355">S356/N356-1</f>
        <v>4.3755660515167438E-2</v>
      </c>
      <c r="T357" s="471">
        <f t="shared" si="355"/>
        <v>9.9788884524747434E-3</v>
      </c>
      <c r="U357" s="471">
        <f t="shared" si="355"/>
        <v>-1.3933502422527999E-2</v>
      </c>
      <c r="V357" s="471">
        <f t="shared" si="355"/>
        <v>-2.0278930502055537E-2</v>
      </c>
      <c r="W357" s="444">
        <f t="shared" si="355"/>
        <v>4.1321876808231295E-3</v>
      </c>
      <c r="X357" s="471">
        <f t="shared" si="355"/>
        <v>-1.6748950202231105E-2</v>
      </c>
      <c r="Y357" s="471">
        <f t="shared" si="355"/>
        <v>4.0869076988512276E-3</v>
      </c>
      <c r="Z357" s="471">
        <f t="shared" si="355"/>
        <v>1.6459900183689369E-2</v>
      </c>
      <c r="AA357" s="471">
        <f t="shared" si="355"/>
        <v>2.0268532331835232E-5</v>
      </c>
      <c r="AB357" s="444">
        <f t="shared" si="355"/>
        <v>1.5188286586367283E-3</v>
      </c>
      <c r="AC357" s="471">
        <f>AC356/X356-1</f>
        <v>0.54835565430148914</v>
      </c>
      <c r="AD357" s="471">
        <f>AD356/Y356-1</f>
        <v>0.5552218278212615</v>
      </c>
      <c r="AE357" s="471">
        <f>AE356/Z356-1</f>
        <v>0.53519171468618643</v>
      </c>
      <c r="AF357" s="471">
        <f>AF356/AA356-1</f>
        <v>0.59004920585487408</v>
      </c>
      <c r="AG357" s="444">
        <f>AG356/AB356-1</f>
        <v>0.55616570513092922</v>
      </c>
      <c r="AH357" s="471">
        <f t="shared" ref="AH357:AK357" si="356">AH356/AC356-1</f>
        <v>3.8562768979349293E-2</v>
      </c>
      <c r="AI357" s="471">
        <f t="shared" si="356"/>
        <v>5.3154229571312106E-2</v>
      </c>
      <c r="AJ357" s="471">
        <f t="shared" si="356"/>
        <v>6.3523631500695732E-2</v>
      </c>
      <c r="AK357" s="471">
        <f t="shared" si="356"/>
        <v>6.6481963078824036E-2</v>
      </c>
      <c r="AL357" s="444">
        <f>AL356/AG356-1</f>
        <v>5.5638370109720725E-2</v>
      </c>
      <c r="AM357" s="444">
        <f>AM356/AL356-1</f>
        <v>5.729341626101947E-2</v>
      </c>
      <c r="AN357" s="444">
        <f>AN356/AM356-1</f>
        <v>1.1714186073043864E-2</v>
      </c>
    </row>
    <row r="358" spans="1:42">
      <c r="A358" s="394"/>
      <c r="B358" s="208"/>
      <c r="C358" s="694"/>
      <c r="D358" s="15"/>
      <c r="E358" s="15"/>
      <c r="F358" s="15"/>
      <c r="G358" s="15"/>
      <c r="H358" s="208"/>
      <c r="I358" s="15"/>
      <c r="J358" s="15"/>
      <c r="K358" s="15"/>
      <c r="L358" s="15"/>
      <c r="M358" s="208"/>
      <c r="N358" s="15"/>
      <c r="O358" s="15"/>
      <c r="P358" s="15"/>
      <c r="Q358" s="15"/>
      <c r="R358" s="208"/>
      <c r="W358" s="208"/>
      <c r="AA358" s="474"/>
      <c r="AB358" s="208"/>
      <c r="AF358" s="474"/>
      <c r="AG358" s="208"/>
      <c r="AK358" s="474"/>
      <c r="AL358" s="208"/>
      <c r="AM358" s="208"/>
      <c r="AN358" s="208"/>
    </row>
    <row r="359" spans="1:42">
      <c r="A359" s="1752" t="s">
        <v>3018</v>
      </c>
      <c r="B359" s="15"/>
      <c r="C359" s="694"/>
      <c r="D359" s="15"/>
      <c r="E359" s="15"/>
      <c r="F359" s="15"/>
      <c r="G359" s="15"/>
      <c r="H359" s="208"/>
      <c r="I359" s="15"/>
      <c r="J359" s="15"/>
      <c r="K359" s="15"/>
      <c r="L359" s="15"/>
      <c r="M359" s="208"/>
      <c r="N359" s="15"/>
      <c r="O359" s="15"/>
      <c r="P359" s="15"/>
      <c r="Q359" s="15"/>
      <c r="R359" s="208"/>
      <c r="W359" s="208"/>
      <c r="X359" s="3602">
        <f>('QTR Rooms'!X454+'Owned Hotels Spinoff'!$E$96)*RevPAR!X303*RevPAR!X$5/1000000</f>
        <v>832.71096052566043</v>
      </c>
      <c r="Y359" s="3602">
        <f>('QTR Rooms'!Y454+'Owned Hotels Spinoff'!$E$96)*RevPAR!Y303*RevPAR!Y$5/1000000</f>
        <v>977.23636616411102</v>
      </c>
      <c r="Z359" s="3602">
        <f>('QTR Rooms'!Z454+'Owned Hotels Spinoff'!$E$96)*RevPAR!Z303*RevPAR!Z$5/1000000</f>
        <v>965.47227477441072</v>
      </c>
      <c r="AA359" s="3602">
        <f>('QTR Rooms'!AA454+'Owned Hotels Spinoff'!$E$96)*RevPAR!AA303*RevPAR!AA$5/1000000</f>
        <v>816.54611262283845</v>
      </c>
      <c r="AB359" s="513">
        <f>SUM(X359:AA359)</f>
        <v>3591.9657140870204</v>
      </c>
      <c r="AG359" s="208"/>
      <c r="AL359" s="208"/>
      <c r="AM359" s="208"/>
      <c r="AN359" s="208"/>
    </row>
    <row r="360" spans="1:42">
      <c r="A360" s="135"/>
      <c r="B360" s="15"/>
      <c r="C360" s="694"/>
      <c r="D360" s="15"/>
      <c r="E360" s="15"/>
      <c r="F360" s="15"/>
      <c r="G360" s="15"/>
      <c r="H360" s="208"/>
      <c r="I360" s="15"/>
      <c r="J360" s="15"/>
      <c r="K360" s="15"/>
      <c r="L360" s="15"/>
      <c r="M360" s="208"/>
      <c r="N360" s="15"/>
      <c r="O360" s="15"/>
      <c r="P360" s="15"/>
      <c r="Q360" s="15"/>
      <c r="R360" s="208"/>
      <c r="W360" s="208"/>
      <c r="AB360" s="208"/>
      <c r="AG360" s="208"/>
      <c r="AL360" s="208"/>
      <c r="AM360" s="208"/>
      <c r="AN360" s="208"/>
    </row>
    <row r="361" spans="1:42" s="15" customFormat="1">
      <c r="A361" s="140" t="s">
        <v>863</v>
      </c>
      <c r="C361" s="694"/>
      <c r="D361" s="208"/>
      <c r="E361" s="208"/>
      <c r="F361" s="208"/>
      <c r="G361" s="208"/>
      <c r="H361" s="208"/>
      <c r="I361" s="208"/>
      <c r="J361" s="208"/>
      <c r="K361" s="208"/>
      <c r="L361" s="208"/>
      <c r="M361" s="208"/>
      <c r="N361" s="208"/>
      <c r="O361" s="208"/>
      <c r="P361" s="208"/>
      <c r="Q361" s="208"/>
      <c r="R361" s="208"/>
      <c r="W361" s="208"/>
      <c r="AB361" s="208"/>
      <c r="AG361" s="208"/>
      <c r="AL361" s="208"/>
      <c r="AM361" s="208"/>
      <c r="AN361" s="208"/>
    </row>
    <row r="362" spans="1:42">
      <c r="A362" s="394" t="s">
        <v>208</v>
      </c>
      <c r="B362" s="514">
        <f>B387*RevPAR!B316*RevPAR!B$5/1000000</f>
        <v>271.55994145416383</v>
      </c>
      <c r="C362" s="513">
        <f>C387*RevPAR!C316*RevPAR!C$5/1000000</f>
        <v>304.83184109031703</v>
      </c>
      <c r="D362" s="514">
        <f>D387*RevPAR!D316*RevPAR!D$5/1000000</f>
        <v>78.617206580866466</v>
      </c>
      <c r="E362" s="514">
        <f>E387*RevPAR!E316*RevPAR!E$5/1000000</f>
        <v>80.331442415490329</v>
      </c>
      <c r="F362" s="514">
        <f>F387*RevPAR!F316*RevPAR!F$5/1000000</f>
        <v>88.974924607400283</v>
      </c>
      <c r="G362" s="514">
        <f>G387*RevPAR!G316*RevPAR!G$5/1000000</f>
        <v>84.031726580161632</v>
      </c>
      <c r="H362" s="513">
        <f>SUM(D362:G362)</f>
        <v>331.95530018391867</v>
      </c>
      <c r="I362" s="514">
        <f>I387*RevPAR!I316*RevPAR!I$5/1000000</f>
        <v>89.377921060945781</v>
      </c>
      <c r="J362" s="514">
        <f>J387*RevPAR!J316*RevPAR!J$5/1000000</f>
        <v>93.557074897436394</v>
      </c>
      <c r="K362" s="514">
        <f>K387*RevPAR!K316*RevPAR!K$5/1000000</f>
        <v>99.22901850533674</v>
      </c>
      <c r="L362" s="514">
        <f>L387*RevPAR!L316*RevPAR!L$5/1000000</f>
        <v>91.437161059785382</v>
      </c>
      <c r="M362" s="513">
        <f>SUM(I362:L362)</f>
        <v>373.60117552350425</v>
      </c>
      <c r="N362" s="514">
        <f>N387*RevPAR!N316*RevPAR!N$5/1000000</f>
        <v>98.194501771422182</v>
      </c>
      <c r="O362" s="514">
        <f>O387*RevPAR!O316*RevPAR!O$5/1000000</f>
        <v>106.72952577529441</v>
      </c>
      <c r="P362" s="514">
        <f>P387*RevPAR!P316*RevPAR!P$5/1000000</f>
        <v>122.09511407249975</v>
      </c>
      <c r="Q362" s="514">
        <f>Q387*RevPAR!Q316*RevPAR!Q$5/1000000</f>
        <v>104.73842998316559</v>
      </c>
      <c r="R362" s="513">
        <f>SUM(N362:Q362)</f>
        <v>431.75757160238192</v>
      </c>
      <c r="S362" s="514">
        <f>S387*RevPAR!S316*RevPAR!S$5/1000000</f>
        <v>105.01204291125026</v>
      </c>
      <c r="T362" s="514">
        <f>T387*RevPAR!T316*RevPAR!T$5/1000000</f>
        <v>113.44179395053619</v>
      </c>
      <c r="U362" s="514">
        <f>U387*RevPAR!U316*RevPAR!U$5/1000000</f>
        <v>126.97452534395886</v>
      </c>
      <c r="V362" s="514">
        <f>V387*RevPAR!V316*RevPAR!V$5/1000000</f>
        <v>116.68928413912015</v>
      </c>
      <c r="W362" s="513">
        <f>SUM(S362:V362)</f>
        <v>462.11764634486548</v>
      </c>
      <c r="X362" s="514">
        <f>X387*RevPAR!X316*RevPAR!X$5/1000000</f>
        <v>120.36882873842478</v>
      </c>
      <c r="Y362" s="514">
        <f>Y387*RevPAR!Y316*RevPAR!Y$5/1000000</f>
        <v>127.44737251484429</v>
      </c>
      <c r="Z362" s="514">
        <f>Z387*RevPAR!Z316*RevPAR!Z$5/1000000</f>
        <v>135.49904911634181</v>
      </c>
      <c r="AA362" s="571">
        <f>AA387*RevPAR!AA316*RevPAR!AA$5/1000000</f>
        <v>117.77524352054088</v>
      </c>
      <c r="AB362" s="513">
        <f>SUM(X362:AA362)</f>
        <v>501.09049389015178</v>
      </c>
      <c r="AC362" s="514">
        <f>AC387*RevPAR!AC316*RevPAR!AC$5/1000000</f>
        <v>99.603231038999994</v>
      </c>
      <c r="AD362" s="514">
        <f>AD387*RevPAR!AD316*RevPAR!AD$5/1000000</f>
        <v>111.70209228141775</v>
      </c>
      <c r="AE362" s="514">
        <f>AE387*RevPAR!AE316*RevPAR!AE$5/1000000</f>
        <v>127.1788128</v>
      </c>
      <c r="AF362" s="571">
        <f>AF387*RevPAR!AF316*RevPAR!AF$5/1000000</f>
        <v>113.03943584000001</v>
      </c>
      <c r="AG362" s="513">
        <f>SUM(AC362:AF362)</f>
        <v>451.52357196041777</v>
      </c>
      <c r="AH362" s="514">
        <f>AH387*RevPAR!AH316*RevPAR!AH$5/1000000</f>
        <v>112.34859028029</v>
      </c>
      <c r="AI362" s="514">
        <f>AI387*RevPAR!AI316*RevPAR!AI$5/1000000</f>
        <v>126.64079221842957</v>
      </c>
      <c r="AJ362" s="514">
        <f>AJ387*RevPAR!AJ316*RevPAR!AJ$5/1000000</f>
        <v>140.23636650622743</v>
      </c>
      <c r="AK362" s="514">
        <f>AK387*RevPAR!AK316*RevPAR!AK$5/1000000</f>
        <v>123.5752150933029</v>
      </c>
      <c r="AL362" s="513">
        <f>SUM(AH362:AK362)</f>
        <v>502.80096409824995</v>
      </c>
      <c r="AM362" s="513">
        <f>AVERAGE(AL387:AM387)*RevPAR!AM316*RevPAR!AM$5/1000000</f>
        <v>533.30746254326687</v>
      </c>
      <c r="AN362" s="513">
        <f>AVERAGE(AM387:AN387)*RevPAR!AN316*RevPAR!AN$5/1000000</f>
        <v>538.09211983414252</v>
      </c>
      <c r="AP362" s="7"/>
    </row>
    <row r="363" spans="1:42">
      <c r="A363" s="394" t="s">
        <v>2218</v>
      </c>
      <c r="B363" s="217">
        <f>B388*RevPAR!B318*RevPAR!B$5/1000000</f>
        <v>774.13827846371737</v>
      </c>
      <c r="C363" s="217">
        <f>C388*RevPAR!C318*RevPAR!C$5/1000000</f>
        <v>965.56062896334322</v>
      </c>
      <c r="D363" s="15">
        <f>D388*RevPAR!D318*RevPAR!D$5/1000000</f>
        <v>191.77843424945712</v>
      </c>
      <c r="E363" s="15">
        <f>E388*RevPAR!E318*RevPAR!E$5/1000000</f>
        <v>254.81118888982758</v>
      </c>
      <c r="F363" s="15">
        <f>F388*RevPAR!F318*RevPAR!F$5/1000000</f>
        <v>262.68088104254883</v>
      </c>
      <c r="G363" s="176">
        <f>G388*RevPAR!G318*RevPAR!G$5/1000000</f>
        <v>246.74095888955841</v>
      </c>
      <c r="H363" s="217">
        <f>SUM(D363:G363)</f>
        <v>956.01146307139197</v>
      </c>
      <c r="I363" s="15">
        <f>I388*RevPAR!I318*RevPAR!I$5/1000000</f>
        <v>208.09364538828513</v>
      </c>
      <c r="J363" s="15">
        <f>J388*RevPAR!J318*RevPAR!J$5/1000000</f>
        <v>269.47673313325106</v>
      </c>
      <c r="K363" s="15">
        <f>K388*RevPAR!K318*RevPAR!K$5/1000000</f>
        <v>277.35929886761778</v>
      </c>
      <c r="L363" s="176">
        <f>L388*RevPAR!L318*RevPAR!L$5/1000000</f>
        <v>270.40301316168001</v>
      </c>
      <c r="M363" s="217">
        <f>SUM(I363:L363)</f>
        <v>1025.3326905508341</v>
      </c>
      <c r="N363" s="15">
        <f>N388*RevPAR!N318*RevPAR!N$5/1000000</f>
        <v>243.86619041279999</v>
      </c>
      <c r="O363" s="15">
        <f>O388*RevPAR!O318*RevPAR!O$5/1000000</f>
        <v>344.20035438880001</v>
      </c>
      <c r="P363" s="15">
        <f>P388*RevPAR!P318*RevPAR!P$5/1000000</f>
        <v>345.33155002319995</v>
      </c>
      <c r="Q363" s="176">
        <f>Q388*RevPAR!Q318*RevPAR!Q$5/1000000</f>
        <v>292.49658429419998</v>
      </c>
      <c r="R363" s="217">
        <f>SUM(N363:Q363)</f>
        <v>1225.8946791189999</v>
      </c>
      <c r="S363" s="15">
        <f>S388*RevPAR!S318*RevPAR!S$5/1000000</f>
        <v>224.46607906800003</v>
      </c>
      <c r="T363" s="15">
        <f>T388*RevPAR!T318*RevPAR!T$5/1000000</f>
        <v>291.85483014415001</v>
      </c>
      <c r="U363" s="15">
        <f>U388*RevPAR!U318*RevPAR!U$5/1000000</f>
        <v>314.17242429495997</v>
      </c>
      <c r="V363" s="176">
        <f>V388*RevPAR!V318*RevPAR!V$5/1000000</f>
        <v>286.48592903215996</v>
      </c>
      <c r="W363" s="217">
        <f>SUM(S363:V363)</f>
        <v>1116.9792625392699</v>
      </c>
      <c r="X363" s="15">
        <f>X388*RevPAR!X318*RevPAR!X$5/1000000</f>
        <v>225.21562536793317</v>
      </c>
      <c r="Y363" s="15">
        <f>Y388*RevPAR!Y318*RevPAR!Y$5/1000000</f>
        <v>295.54340009811887</v>
      </c>
      <c r="Z363" s="15">
        <f>Z388*RevPAR!Z318*RevPAR!Z$5/1000000</f>
        <v>315.81589111744319</v>
      </c>
      <c r="AA363" s="474">
        <f>AA388*RevPAR!AA318*RevPAR!AA$5/1000000</f>
        <v>281.53091138621903</v>
      </c>
      <c r="AB363" s="217">
        <f>SUM(X363:AA363)</f>
        <v>1118.1058279697143</v>
      </c>
      <c r="AC363" s="15">
        <f>AC388*RevPAR!AC318*RevPAR!AC$5/1000000</f>
        <v>212.12035097400002</v>
      </c>
      <c r="AD363" s="15">
        <f>AD388*RevPAR!AD318*RevPAR!AD$5/1000000</f>
        <v>295.17612899470282</v>
      </c>
      <c r="AE363" s="15">
        <f>AE388*RevPAR!AE318*RevPAR!AE$5/1000000</f>
        <v>309.33016019999997</v>
      </c>
      <c r="AF363" s="474">
        <f>AF388*RevPAR!AF318*RevPAR!AF$5/1000000</f>
        <v>274.47247800000002</v>
      </c>
      <c r="AG363" s="217">
        <f>SUM(AC363:AF363)</f>
        <v>1091.0991181687027</v>
      </c>
      <c r="AH363" s="15">
        <f>AH388*RevPAR!AH318*RevPAR!AH$5/1000000</f>
        <v>220.49749114847995</v>
      </c>
      <c r="AI363" s="15">
        <f>AI388*RevPAR!AI318*RevPAR!AI$5/1000000</f>
        <v>308.37396249919897</v>
      </c>
      <c r="AJ363" s="15">
        <f>AJ388*RevPAR!AJ318*RevPAR!AJ$5/1000000</f>
        <v>338.56160040218219</v>
      </c>
      <c r="AK363" s="15">
        <f>AK388*RevPAR!AK318*RevPAR!AK$5/1000000</f>
        <v>302.84870844123532</v>
      </c>
      <c r="AL363" s="172">
        <f>SUM(AH363:AK363)</f>
        <v>1170.2817624910963</v>
      </c>
      <c r="AM363" s="172">
        <f>AVERAGE(AL388:AM388)*RevPAR!AM318*RevPAR!AM$5/1000000</f>
        <v>1245.7230401437639</v>
      </c>
      <c r="AN363" s="172">
        <f>AVERAGE(AM388:AN388)*RevPAR!AN318*RevPAR!AN$5/1000000</f>
        <v>1256.6159652518245</v>
      </c>
      <c r="AP363" s="7"/>
    </row>
    <row r="364" spans="1:42">
      <c r="A364" s="394" t="s">
        <v>209</v>
      </c>
      <c r="B364" s="361">
        <f>B389*RevPAR!B320*RevPAR!B$5/1000000</f>
        <v>431.19810005188475</v>
      </c>
      <c r="C364" s="361">
        <f>C389*RevPAR!C320*RevPAR!C$5/1000000</f>
        <v>489.32928325821558</v>
      </c>
      <c r="D364" s="305">
        <f>D389*RevPAR!D320*RevPAR!D$5/1000000</f>
        <v>120.71865376798651</v>
      </c>
      <c r="E364" s="305">
        <f>E389*RevPAR!E320*RevPAR!E$5/1000000</f>
        <v>107.11115777593633</v>
      </c>
      <c r="F364" s="305">
        <f>F389*RevPAR!F320*RevPAR!F$5/1000000</f>
        <v>126.79701874141033</v>
      </c>
      <c r="G364" s="305">
        <f>G389*RevPAR!G320*RevPAR!G$5/1000000</f>
        <v>120.18299054315132</v>
      </c>
      <c r="H364" s="361">
        <f>SUM(D364:G364)</f>
        <v>474.80982082848453</v>
      </c>
      <c r="I364" s="305">
        <f>I389*RevPAR!I320*RevPAR!I$5/1000000</f>
        <v>130.62776815458949</v>
      </c>
      <c r="J364" s="305">
        <f>J389*RevPAR!J320*RevPAR!J$5/1000000</f>
        <v>128.73355729352926</v>
      </c>
      <c r="K364" s="305">
        <f>K389*RevPAR!K320*RevPAR!K$5/1000000</f>
        <v>116.28191905897188</v>
      </c>
      <c r="L364" s="305">
        <f>L389*RevPAR!L320*RevPAR!L$5/1000000</f>
        <v>147.95943100343999</v>
      </c>
      <c r="M364" s="361">
        <f>SUM(I364:L364)</f>
        <v>523.60267551053062</v>
      </c>
      <c r="N364" s="305">
        <f>N389*RevPAR!N320*RevPAR!N$5/1000000</f>
        <v>159.77346648120002</v>
      </c>
      <c r="O364" s="305">
        <f>O389*RevPAR!O320*RevPAR!O$5/1000000</f>
        <v>149.37395671379997</v>
      </c>
      <c r="P364" s="305">
        <f>P389*RevPAR!P320*RevPAR!P$5/1000000</f>
        <v>166.171231772</v>
      </c>
      <c r="Q364" s="305">
        <f>Q389*RevPAR!Q320*RevPAR!Q$5/1000000</f>
        <v>172.45821183359999</v>
      </c>
      <c r="R364" s="361">
        <f>SUM(N364:Q364)</f>
        <v>647.77686680059992</v>
      </c>
      <c r="S364" s="305">
        <f>S389*RevPAR!S320*RevPAR!S$5/1000000</f>
        <v>158.3229363705</v>
      </c>
      <c r="T364" s="305">
        <f>T389*RevPAR!T320*RevPAR!T$5/1000000</f>
        <v>146.16723747444001</v>
      </c>
      <c r="U364" s="305">
        <f>U389*RevPAR!U320*RevPAR!U$5/1000000</f>
        <v>166.25920467348001</v>
      </c>
      <c r="V364" s="305">
        <f>V389*RevPAR!V320*RevPAR!V$5/1000000</f>
        <v>168.11910913200001</v>
      </c>
      <c r="W364" s="361">
        <f>SUM(S364:V364)</f>
        <v>638.86848765042009</v>
      </c>
      <c r="X364" s="305">
        <f>X389*RevPAR!X320*RevPAR!X$5/1000000</f>
        <v>168.23642965242112</v>
      </c>
      <c r="Y364" s="305">
        <f>Y389*RevPAR!Y320*RevPAR!Y$5/1000000</f>
        <v>178.25668353777101</v>
      </c>
      <c r="Z364" s="305">
        <f>Z389*RevPAR!Z320*RevPAR!Z$5/1000000</f>
        <v>179.63934814193465</v>
      </c>
      <c r="AA364" s="574">
        <f>AA389*RevPAR!AA320*RevPAR!AA$5/1000000</f>
        <v>166.95326366444399</v>
      </c>
      <c r="AB364" s="361">
        <f>SUM(X364:AA364)</f>
        <v>693.08572499657078</v>
      </c>
      <c r="AC364" s="305">
        <f>AC389*RevPAR!AC320*RevPAR!AC$5/1000000</f>
        <v>180.60628364999997</v>
      </c>
      <c r="AD364" s="305">
        <f>AD389*RevPAR!AD320*RevPAR!AD$5/1000000</f>
        <v>201.24573582879415</v>
      </c>
      <c r="AE364" s="305">
        <f>AE389*RevPAR!AE320*RevPAR!AE$5/1000000</f>
        <v>159.69854040000001</v>
      </c>
      <c r="AF364" s="574">
        <f>AF389*RevPAR!AF320*RevPAR!AF$5/1000000</f>
        <v>182.84265012</v>
      </c>
      <c r="AG364" s="361">
        <f>SUM(AC364:AF364)</f>
        <v>724.39320999879408</v>
      </c>
      <c r="AH364" s="305">
        <f>AH389*RevPAR!AH320*RevPAR!AH$5/1000000</f>
        <v>182.33290566562493</v>
      </c>
      <c r="AI364" s="305">
        <f>AI389*RevPAR!AI320*RevPAR!AI$5/1000000</f>
        <v>202.2069450146154</v>
      </c>
      <c r="AJ364" s="305">
        <f>AJ389*RevPAR!AJ320*RevPAR!AJ$5/1000000</f>
        <v>176.63080646604107</v>
      </c>
      <c r="AK364" s="305">
        <f>AK389*RevPAR!AK320*RevPAR!AK$5/1000000</f>
        <v>197.82477949959548</v>
      </c>
      <c r="AL364" s="361">
        <f>SUM(AH364:AK364)</f>
        <v>758.99543664587691</v>
      </c>
      <c r="AM364" s="361">
        <f>AVERAGE(AL389:AM389)*RevPAR!AM320*RevPAR!AM$5/1000000</f>
        <v>805.09674722679688</v>
      </c>
      <c r="AN364" s="361">
        <f>AVERAGE(AM389:AN389)*RevPAR!AN320*RevPAR!AN$5/1000000</f>
        <v>812.03946261601459</v>
      </c>
      <c r="AP364" s="7"/>
    </row>
    <row r="365" spans="1:42">
      <c r="A365" s="394" t="s">
        <v>1688</v>
      </c>
      <c r="B365" s="592">
        <f>B390*RevPAR!B322*RevPAR!B$5/1000000</f>
        <v>848.61883557816657</v>
      </c>
      <c r="C365" s="592">
        <f>C390*RevPAR!C322*RevPAR!C$5/1000000</f>
        <v>1112.3394640122233</v>
      </c>
      <c r="D365" s="575">
        <f>D390*RevPAR!D322*RevPAR!D$5/1000000</f>
        <v>271.65489302664338</v>
      </c>
      <c r="E365" s="575">
        <f>E390*RevPAR!E322*RevPAR!E$5/1000000</f>
        <v>251.46098911031763</v>
      </c>
      <c r="F365" s="575">
        <f>F390*RevPAR!F322*RevPAR!F$5/1000000</f>
        <v>275.34505747801245</v>
      </c>
      <c r="G365" s="575">
        <f>G390*RevPAR!G322*RevPAR!G$5/1000000</f>
        <v>314.81601071403639</v>
      </c>
      <c r="H365" s="592">
        <f>SUM(D365:G365)</f>
        <v>1113.2769503290099</v>
      </c>
      <c r="I365" s="575">
        <f>I390*RevPAR!I322*RevPAR!I$5/1000000</f>
        <v>298.75548517170751</v>
      </c>
      <c r="J365" s="575">
        <f>J390*RevPAR!J322*RevPAR!J$5/1000000</f>
        <v>279.7801129167085</v>
      </c>
      <c r="K365" s="575">
        <f>K390*RevPAR!K322*RevPAR!K$5/1000000</f>
        <v>299.34651287192446</v>
      </c>
      <c r="L365" s="575">
        <f>L390*RevPAR!L322*RevPAR!L$5/1000000</f>
        <v>366.43371268680005</v>
      </c>
      <c r="M365" s="592">
        <f>SUM(I365:L365)</f>
        <v>1244.3158236471404</v>
      </c>
      <c r="N365" s="575">
        <f>N390*RevPAR!N322*RevPAR!N$5/1000000</f>
        <v>316.35582153300004</v>
      </c>
      <c r="O365" s="575">
        <f>O390*RevPAR!O322*RevPAR!O$5/1000000</f>
        <v>312.82954933230002</v>
      </c>
      <c r="P365" s="575">
        <f>P390*RevPAR!P322*RevPAR!P$5/1000000</f>
        <v>353.03589235199996</v>
      </c>
      <c r="Q365" s="575">
        <f>Q390*RevPAR!Q322*RevPAR!Q$5/1000000</f>
        <v>395.12377125520004</v>
      </c>
      <c r="R365" s="592">
        <f>SUM(N365:Q365)</f>
        <v>1377.3450344725002</v>
      </c>
      <c r="S365" s="575">
        <f>S390*RevPAR!S322*RevPAR!S$5/1000000</f>
        <v>317.62258753679998</v>
      </c>
      <c r="T365" s="575">
        <f>T390*RevPAR!T322*RevPAR!T$5/1000000</f>
        <v>319.36324216159994</v>
      </c>
      <c r="U365" s="575">
        <f>U390*RevPAR!U322*RevPAR!U$5/1000000</f>
        <v>363.93574623119997</v>
      </c>
      <c r="V365" s="575">
        <f>V390*RevPAR!V322*RevPAR!V$5/1000000</f>
        <v>396.21501957127998</v>
      </c>
      <c r="W365" s="592">
        <f>SUM(S365:V365)</f>
        <v>1397.1365955008798</v>
      </c>
      <c r="X365" s="575">
        <f>X390*RevPAR!X322*RevPAR!X$5/1000000</f>
        <v>406.51026739527202</v>
      </c>
      <c r="Y365" s="575">
        <f>Y390*RevPAR!Y322*RevPAR!Y$5/1000000</f>
        <v>397.91013878010301</v>
      </c>
      <c r="Z365" s="575">
        <f>Z390*RevPAR!Z322*RevPAR!Z$5/1000000</f>
        <v>420.15210528067911</v>
      </c>
      <c r="AA365" s="576">
        <f>AA390*RevPAR!AA322*RevPAR!AA$5/1000000</f>
        <v>468.58024038647636</v>
      </c>
      <c r="AB365" s="592">
        <f>SUM(X365:AA365)</f>
        <v>1693.1527518425305</v>
      </c>
      <c r="AC365" s="575">
        <f>AC390*RevPAR!AC322*RevPAR!AC$5/1000000</f>
        <v>441.003393432</v>
      </c>
      <c r="AD365" s="575">
        <f>AD390*RevPAR!AD322*RevPAR!AD$5/1000000</f>
        <v>451.99474142602611</v>
      </c>
      <c r="AE365" s="575">
        <f>AE390*RevPAR!AE322*RevPAR!AE$5/1000000</f>
        <v>523.17903028000001</v>
      </c>
      <c r="AF365" s="576">
        <f>AF390*RevPAR!AF322*RevPAR!AF$5/1000000</f>
        <v>560.34073932000001</v>
      </c>
      <c r="AG365" s="592">
        <f>SUM(AC365:AF365)</f>
        <v>1976.5179044580261</v>
      </c>
      <c r="AH365" s="575">
        <f>AH390*RevPAR!AH322*RevPAR!AH$5/1000000</f>
        <v>527.73279519239986</v>
      </c>
      <c r="AI365" s="575">
        <f>AI390*RevPAR!AI322*RevPAR!AI$5/1000000</f>
        <v>543.59186963676359</v>
      </c>
      <c r="AJ365" s="575">
        <f>AJ390*RevPAR!AJ322*RevPAR!AJ$5/1000000</f>
        <v>610.96095778147696</v>
      </c>
      <c r="AK365" s="575">
        <f>AK390*RevPAR!AK322*RevPAR!AK$5/1000000</f>
        <v>630.11661211222486</v>
      </c>
      <c r="AL365" s="592">
        <f>SUM(AH365:AK365)</f>
        <v>2312.4022347228652</v>
      </c>
      <c r="AM365" s="576">
        <f>AVERAGE(AL390:AM390)*RevPAR!AM322*RevPAR!AM$5/1000000</f>
        <v>2511.0293116583443</v>
      </c>
      <c r="AN365" s="576">
        <f>AVERAGE(AM390:AN390)*RevPAR!AN322*RevPAR!AN$5/1000000</f>
        <v>2558.9957355216902</v>
      </c>
      <c r="AP365" s="7"/>
    </row>
    <row r="366" spans="1:42">
      <c r="A366" s="482" t="s">
        <v>168</v>
      </c>
      <c r="B366" s="591">
        <f t="shared" ref="B366:AN366" si="357">SUM(B362:B365)</f>
        <v>2325.5151555479324</v>
      </c>
      <c r="C366" s="591">
        <f t="shared" si="357"/>
        <v>2872.0612173240988</v>
      </c>
      <c r="D366" s="580">
        <f t="shared" si="357"/>
        <v>662.76918762495347</v>
      </c>
      <c r="E366" s="580">
        <f t="shared" si="357"/>
        <v>693.7147781915719</v>
      </c>
      <c r="F366" s="580">
        <f t="shared" si="357"/>
        <v>753.79788186937185</v>
      </c>
      <c r="G366" s="580">
        <f t="shared" si="357"/>
        <v>765.77168672690777</v>
      </c>
      <c r="H366" s="591">
        <f t="shared" si="357"/>
        <v>2876.0535344128048</v>
      </c>
      <c r="I366" s="580">
        <f t="shared" si="357"/>
        <v>726.85481977552786</v>
      </c>
      <c r="J366" s="580">
        <f t="shared" si="357"/>
        <v>771.54747824092522</v>
      </c>
      <c r="K366" s="580">
        <f t="shared" si="357"/>
        <v>792.21674930385086</v>
      </c>
      <c r="L366" s="580">
        <f>SUM(L362:L365)</f>
        <v>876.2333179117054</v>
      </c>
      <c r="M366" s="591">
        <f>SUM(M362:M365)</f>
        <v>3166.8523652320091</v>
      </c>
      <c r="N366" s="580">
        <f t="shared" si="357"/>
        <v>818.18998019842218</v>
      </c>
      <c r="O366" s="580">
        <f t="shared" si="357"/>
        <v>913.13338621019443</v>
      </c>
      <c r="P366" s="580">
        <f t="shared" si="357"/>
        <v>986.63378821969968</v>
      </c>
      <c r="Q366" s="580">
        <f t="shared" si="357"/>
        <v>964.81699736616554</v>
      </c>
      <c r="R366" s="591">
        <f t="shared" si="357"/>
        <v>3682.7741519944816</v>
      </c>
      <c r="S366" s="580">
        <f t="shared" ref="S366:AB366" si="358">SUM(S362:S365)</f>
        <v>805.42364588655028</v>
      </c>
      <c r="T366" s="580">
        <f t="shared" si="358"/>
        <v>870.82710373072621</v>
      </c>
      <c r="U366" s="580">
        <f t="shared" si="358"/>
        <v>971.34190054359874</v>
      </c>
      <c r="V366" s="580">
        <f t="shared" si="358"/>
        <v>967.50934187456005</v>
      </c>
      <c r="W366" s="591">
        <f t="shared" si="358"/>
        <v>3615.1019920354356</v>
      </c>
      <c r="X366" s="580">
        <f t="shared" si="358"/>
        <v>920.33115115405099</v>
      </c>
      <c r="Y366" s="580">
        <f t="shared" si="358"/>
        <v>999.15759493083715</v>
      </c>
      <c r="Z366" s="580">
        <f t="shared" si="358"/>
        <v>1051.1063936563987</v>
      </c>
      <c r="AA366" s="581">
        <f t="shared" si="358"/>
        <v>1034.8396589576803</v>
      </c>
      <c r="AB366" s="591">
        <f t="shared" si="358"/>
        <v>4005.4347986989674</v>
      </c>
      <c r="AC366" s="580">
        <f>SUM(AC362:AC365)</f>
        <v>933.3332590949999</v>
      </c>
      <c r="AD366" s="580">
        <f>SUM(AD362:AD365)</f>
        <v>1060.1186985309409</v>
      </c>
      <c r="AE366" s="580">
        <f>SUM(AE362:AE365)</f>
        <v>1119.3865436799999</v>
      </c>
      <c r="AF366" s="581">
        <f>SUM(AF362:AF365)</f>
        <v>1130.6953032800002</v>
      </c>
      <c r="AG366" s="591">
        <f>SUM(AG362:AG365)</f>
        <v>4243.5338045859407</v>
      </c>
      <c r="AH366" s="580">
        <f t="shared" ref="AH366:AK366" si="359">SUM(AH362:AH365)</f>
        <v>1042.9117822867947</v>
      </c>
      <c r="AI366" s="580">
        <f t="shared" si="359"/>
        <v>1180.8135693690074</v>
      </c>
      <c r="AJ366" s="580">
        <f t="shared" si="359"/>
        <v>1266.3897311559276</v>
      </c>
      <c r="AK366" s="580">
        <f t="shared" si="359"/>
        <v>1254.3653151463586</v>
      </c>
      <c r="AL366" s="591">
        <f>SUM(AL362:AL365)</f>
        <v>4744.4803979580884</v>
      </c>
      <c r="AM366" s="591">
        <f t="shared" si="357"/>
        <v>5095.156561572172</v>
      </c>
      <c r="AN366" s="591">
        <f t="shared" si="357"/>
        <v>5165.7432832236718</v>
      </c>
    </row>
    <row r="367" spans="1:42">
      <c r="A367" s="578" t="s">
        <v>1423</v>
      </c>
      <c r="B367" s="444"/>
      <c r="C367" s="444">
        <f>C366/B366-1</f>
        <v>0.23502150070804007</v>
      </c>
      <c r="D367" s="471"/>
      <c r="E367" s="471"/>
      <c r="F367" s="471"/>
      <c r="G367" s="471"/>
      <c r="H367" s="444">
        <f>H366/C366-1</f>
        <v>1.3900529224879499E-3</v>
      </c>
      <c r="I367" s="471">
        <f t="shared" ref="I367:R367" si="360">I366/D366-1</f>
        <v>9.6693740969200137E-2</v>
      </c>
      <c r="J367" s="471">
        <f t="shared" si="360"/>
        <v>0.11219697561042818</v>
      </c>
      <c r="K367" s="471">
        <f t="shared" si="360"/>
        <v>5.0967067377799768E-2</v>
      </c>
      <c r="L367" s="471">
        <f>L366/G366-1</f>
        <v>0.14424877949841308</v>
      </c>
      <c r="M367" s="444">
        <f>M366/H366-1</f>
        <v>0.10111036784945515</v>
      </c>
      <c r="N367" s="471">
        <f t="shared" si="360"/>
        <v>0.12565805156399867</v>
      </c>
      <c r="O367" s="471">
        <f t="shared" si="360"/>
        <v>0.1835090023132151</v>
      </c>
      <c r="P367" s="471">
        <f t="shared" si="360"/>
        <v>0.24540889735882265</v>
      </c>
      <c r="Q367" s="471">
        <f t="shared" si="360"/>
        <v>0.10109599537435798</v>
      </c>
      <c r="R367" s="444">
        <f t="shared" si="360"/>
        <v>0.16291311600964864</v>
      </c>
      <c r="S367" s="471">
        <f t="shared" ref="S367:AB367" si="361">S366/N366-1</f>
        <v>-1.5603141838495649E-2</v>
      </c>
      <c r="T367" s="471">
        <f t="shared" si="361"/>
        <v>-4.6330890008362657E-2</v>
      </c>
      <c r="U367" s="471">
        <f t="shared" si="361"/>
        <v>-1.5499051277874765E-2</v>
      </c>
      <c r="V367" s="471">
        <f t="shared" si="361"/>
        <v>2.7905235041922882E-3</v>
      </c>
      <c r="W367" s="444">
        <f t="shared" si="361"/>
        <v>-1.8375321745537021E-2</v>
      </c>
      <c r="X367" s="471">
        <f t="shared" si="361"/>
        <v>0.14266716138066582</v>
      </c>
      <c r="Y367" s="471">
        <f t="shared" si="361"/>
        <v>0.14736621155947938</v>
      </c>
      <c r="Z367" s="471">
        <f t="shared" si="361"/>
        <v>8.2117834171634874E-2</v>
      </c>
      <c r="AA367" s="579">
        <f t="shared" si="361"/>
        <v>6.9591387048177689E-2</v>
      </c>
      <c r="AB367" s="444">
        <f t="shared" si="361"/>
        <v>0.10797283382971989</v>
      </c>
      <c r="AC367" s="471">
        <f>AC366/X366-1</f>
        <v>1.4127640822159337E-2</v>
      </c>
      <c r="AD367" s="471">
        <f>AD366/Y366-1</f>
        <v>6.1012500840093686E-2</v>
      </c>
      <c r="AE367" s="471">
        <f>AE366/Z366-1</f>
        <v>6.4960265141267515E-2</v>
      </c>
      <c r="AF367" s="579">
        <f>AF366/AA366-1</f>
        <v>9.262849900714909E-2</v>
      </c>
      <c r="AG367" s="444">
        <f>AG366/AB366-1</f>
        <v>5.9443984948728046E-2</v>
      </c>
      <c r="AH367" s="471">
        <f t="shared" ref="AH367:AK367" si="362">AH366/AC366-1</f>
        <v>0.11740556990120221</v>
      </c>
      <c r="AI367" s="471">
        <f t="shared" si="362"/>
        <v>0.11385033676447676</v>
      </c>
      <c r="AJ367" s="471">
        <f t="shared" si="362"/>
        <v>0.13132477633030359</v>
      </c>
      <c r="AK367" s="471">
        <f t="shared" si="362"/>
        <v>0.1093751884416676</v>
      </c>
      <c r="AL367" s="444">
        <f>AL366/AG366-1</f>
        <v>0.11804939384028956</v>
      </c>
      <c r="AM367" s="444">
        <f>AM366/AL366-1</f>
        <v>7.3912448613973947E-2</v>
      </c>
      <c r="AN367" s="444">
        <f>AN366/AM366-1</f>
        <v>1.3853690421186782E-2</v>
      </c>
    </row>
    <row r="368" spans="1:42">
      <c r="A368" s="578"/>
      <c r="B368" s="444"/>
      <c r="C368" s="444"/>
      <c r="D368" s="471"/>
      <c r="E368" s="471"/>
      <c r="F368" s="573"/>
      <c r="G368" s="573"/>
      <c r="H368" s="444"/>
      <c r="I368" s="573"/>
      <c r="J368" s="573"/>
      <c r="K368" s="573"/>
      <c r="L368" s="573"/>
      <c r="M368" s="444"/>
      <c r="N368" s="573"/>
      <c r="O368" s="573"/>
      <c r="P368" s="573"/>
      <c r="Q368" s="573"/>
      <c r="R368" s="444"/>
      <c r="S368" s="573"/>
      <c r="T368" s="573"/>
      <c r="U368" s="573"/>
      <c r="V368" s="573"/>
      <c r="W368" s="444"/>
      <c r="X368" s="573"/>
      <c r="Y368" s="573"/>
      <c r="Z368" s="573"/>
      <c r="AA368" s="2494"/>
      <c r="AB368" s="444"/>
      <c r="AC368" s="573"/>
      <c r="AD368" s="573"/>
      <c r="AE368" s="573"/>
      <c r="AF368" s="2494"/>
      <c r="AG368" s="444"/>
      <c r="AH368" s="573"/>
      <c r="AI368" s="573"/>
      <c r="AJ368" s="573"/>
      <c r="AK368" s="2494"/>
      <c r="AL368" s="208"/>
      <c r="AM368" s="208"/>
      <c r="AN368" s="208"/>
    </row>
    <row r="369" spans="1:40">
      <c r="A369" s="140" t="s">
        <v>3019</v>
      </c>
      <c r="B369" s="444"/>
      <c r="C369" s="444"/>
      <c r="D369" s="471"/>
      <c r="E369" s="471"/>
      <c r="F369" s="573"/>
      <c r="G369" s="573"/>
      <c r="H369" s="444"/>
      <c r="I369" s="573"/>
      <c r="J369" s="573"/>
      <c r="K369" s="573"/>
      <c r="L369" s="573"/>
      <c r="M369" s="444"/>
      <c r="N369" s="573"/>
      <c r="O369" s="573"/>
      <c r="P369" s="573"/>
      <c r="Q369" s="573"/>
      <c r="R369" s="444"/>
      <c r="S369" s="573"/>
      <c r="T369" s="573"/>
      <c r="U369" s="573"/>
      <c r="V369" s="573"/>
      <c r="W369" s="444"/>
      <c r="X369" s="573"/>
      <c r="Y369" s="573"/>
      <c r="Z369" s="573"/>
      <c r="AA369" s="2494"/>
      <c r="AB369" s="444"/>
      <c r="AC369" s="573"/>
      <c r="AD369" s="573"/>
      <c r="AE369" s="573"/>
      <c r="AF369" s="2494"/>
      <c r="AG369" s="444"/>
      <c r="AH369" s="573"/>
      <c r="AI369" s="573"/>
      <c r="AJ369" s="573"/>
      <c r="AK369" s="2494"/>
      <c r="AL369" s="208"/>
      <c r="AM369" s="208"/>
      <c r="AN369" s="208"/>
    </row>
    <row r="370" spans="1:40">
      <c r="A370" s="394" t="s">
        <v>208</v>
      </c>
      <c r="B370" s="444"/>
      <c r="C370" s="444"/>
      <c r="D370" s="471"/>
      <c r="E370" s="471"/>
      <c r="F370" s="573"/>
      <c r="G370" s="573"/>
      <c r="H370" s="444"/>
      <c r="I370" s="573"/>
      <c r="J370" s="573"/>
      <c r="K370" s="573"/>
      <c r="L370" s="573"/>
      <c r="M370" s="444"/>
      <c r="N370" s="573"/>
      <c r="O370" s="573"/>
      <c r="P370" s="573"/>
      <c r="Q370" s="573"/>
      <c r="R370" s="444"/>
      <c r="S370" s="573"/>
      <c r="T370" s="573"/>
      <c r="U370" s="573"/>
      <c r="V370" s="573"/>
      <c r="W370" s="444"/>
      <c r="X370" s="3603">
        <f>(X387+'Owned Hotels Spinoff'!$D$45)*RevPAR!X316*RevPAR!X$5/1000000</f>
        <v>133.12300657372452</v>
      </c>
      <c r="Y370" s="3603">
        <f>(Y387+'Owned Hotels Spinoff'!$D$45)*RevPAR!Y316*RevPAR!Y$5/1000000</f>
        <v>140.70546303111888</v>
      </c>
      <c r="Z370" s="3603">
        <f>(Z387+'Owned Hotels Spinoff'!$D$45)*RevPAR!Z316*RevPAR!Z$5/1000000</f>
        <v>149.75970512336605</v>
      </c>
      <c r="AA370" s="3603">
        <f>(AA387+'Owned Hotels Spinoff'!$D$45)*RevPAR!AA316*RevPAR!AA$5/1000000</f>
        <v>130.09173765596094</v>
      </c>
      <c r="AB370" s="513">
        <f>SUM(X370:AA370)</f>
        <v>553.67991238417039</v>
      </c>
      <c r="AC370" s="573"/>
      <c r="AD370" s="573"/>
      <c r="AE370" s="573"/>
      <c r="AF370" s="2494"/>
      <c r="AG370" s="444"/>
      <c r="AH370" s="573"/>
      <c r="AI370" s="573"/>
      <c r="AJ370" s="573"/>
      <c r="AK370" s="2494"/>
      <c r="AL370" s="208"/>
      <c r="AM370" s="208"/>
      <c r="AN370" s="208"/>
    </row>
    <row r="371" spans="1:40">
      <c r="A371" s="394" t="s">
        <v>2218</v>
      </c>
      <c r="B371" s="444"/>
      <c r="C371" s="444"/>
      <c r="D371" s="471"/>
      <c r="E371" s="471"/>
      <c r="F371" s="573"/>
      <c r="G371" s="573"/>
      <c r="H371" s="444"/>
      <c r="I371" s="573"/>
      <c r="J371" s="573"/>
      <c r="K371" s="573"/>
      <c r="L371" s="573"/>
      <c r="M371" s="444"/>
      <c r="N371" s="573"/>
      <c r="O371" s="573"/>
      <c r="P371" s="573"/>
      <c r="Q371" s="573"/>
      <c r="R371" s="444"/>
      <c r="S371" s="573"/>
      <c r="T371" s="573"/>
      <c r="U371" s="573"/>
      <c r="V371" s="573"/>
      <c r="W371" s="444"/>
      <c r="X371" s="3603">
        <f>(X388+'Owned Hotels Spinoff'!$D$64+'Owned Hotels Spinoff'!$D$70)*RevPAR!X318*RevPAR!X$5/1000000</f>
        <v>249.0462576525924</v>
      </c>
      <c r="Y371" s="3603">
        <f>(Y388+'Owned Hotels Spinoff'!$D$64+'Owned Hotels Spinoff'!$D$70)*RevPAR!Y318*RevPAR!Y$5/1000000</f>
        <v>326.69026426209803</v>
      </c>
      <c r="Z371" s="3603">
        <f>(Z388+'Owned Hotels Spinoff'!$D$64+'Owned Hotels Spinoff'!$D$70)*RevPAR!Z318*RevPAR!Z$5/1000000</f>
        <v>348.63306665765953</v>
      </c>
      <c r="AA371" s="3603">
        <f>(AA388+'Owned Hotels Spinoff'!$D$64+'Owned Hotels Spinoff'!$D$70)*RevPAR!AA318*RevPAR!AA$5/1000000</f>
        <v>310.81638902855627</v>
      </c>
      <c r="AB371" s="217">
        <f>SUM(X371:AA371)</f>
        <v>1235.1859776009064</v>
      </c>
      <c r="AC371" s="573"/>
      <c r="AD371" s="573"/>
      <c r="AE371" s="573"/>
      <c r="AF371" s="2494"/>
      <c r="AG371" s="444"/>
      <c r="AH371" s="573"/>
      <c r="AI371" s="573"/>
      <c r="AJ371" s="573"/>
      <c r="AK371" s="2494"/>
      <c r="AL371" s="208"/>
      <c r="AM371" s="208"/>
      <c r="AN371" s="208"/>
    </row>
    <row r="372" spans="1:40">
      <c r="A372" s="394" t="s">
        <v>209</v>
      </c>
      <c r="B372" s="444"/>
      <c r="C372" s="444"/>
      <c r="D372" s="471"/>
      <c r="E372" s="471"/>
      <c r="F372" s="573"/>
      <c r="G372" s="573"/>
      <c r="H372" s="444"/>
      <c r="I372" s="573"/>
      <c r="J372" s="573"/>
      <c r="K372" s="573"/>
      <c r="L372" s="573"/>
      <c r="M372" s="444"/>
      <c r="N372" s="573"/>
      <c r="O372" s="573"/>
      <c r="P372" s="573"/>
      <c r="Q372" s="573"/>
      <c r="R372" s="444"/>
      <c r="S372" s="573"/>
      <c r="T372" s="573"/>
      <c r="U372" s="573"/>
      <c r="V372" s="573"/>
      <c r="W372" s="444"/>
      <c r="X372" s="3603">
        <f>(X389+'Owned Hotels Spinoff'!$D$78)*RevPAR!X320*RevPAR!X$5/1000000</f>
        <v>171.20675050422943</v>
      </c>
      <c r="Y372" s="3603">
        <f>(Y389+'Owned Hotels Spinoff'!$D$78)*RevPAR!Y320*RevPAR!Y$5/1000000</f>
        <v>181.29277580907947</v>
      </c>
      <c r="Z372" s="3603">
        <f>(Z389+'Owned Hotels Spinoff'!$D$78)*RevPAR!Z320*RevPAR!Z$5/1000000</f>
        <v>182.69899014633137</v>
      </c>
      <c r="AA372" s="3603">
        <f>(AA389+'Owned Hotels Spinoff'!$D$78)*RevPAR!AA320*RevPAR!AA$5/1000000</f>
        <v>169.76751786405603</v>
      </c>
      <c r="AB372" s="361">
        <f>SUM(X372:AA372)</f>
        <v>704.96603432369636</v>
      </c>
      <c r="AC372" s="573"/>
      <c r="AD372" s="573"/>
      <c r="AE372" s="573"/>
      <c r="AF372" s="2494"/>
      <c r="AG372" s="444"/>
      <c r="AH372" s="573"/>
      <c r="AI372" s="573"/>
      <c r="AJ372" s="573"/>
      <c r="AK372" s="2494"/>
      <c r="AL372" s="208"/>
      <c r="AM372" s="208"/>
      <c r="AN372" s="208"/>
    </row>
    <row r="373" spans="1:40" ht="15">
      <c r="A373" s="394" t="s">
        <v>1688</v>
      </c>
      <c r="B373" s="444"/>
      <c r="C373" s="444"/>
      <c r="D373" s="471"/>
      <c r="E373" s="471"/>
      <c r="F373" s="573"/>
      <c r="G373" s="573"/>
      <c r="H373" s="444"/>
      <c r="I373" s="573"/>
      <c r="J373" s="573"/>
      <c r="K373" s="573"/>
      <c r="L373" s="573"/>
      <c r="M373" s="444"/>
      <c r="N373" s="573"/>
      <c r="O373" s="573"/>
      <c r="P373" s="573"/>
      <c r="Q373" s="573"/>
      <c r="R373" s="444"/>
      <c r="S373" s="573"/>
      <c r="T373" s="573"/>
      <c r="U373" s="573"/>
      <c r="V373" s="573"/>
      <c r="W373" s="444"/>
      <c r="X373" s="3605">
        <f>X390*RevPAR!X322*RevPAR!X$5/1000000</f>
        <v>406.51026739527202</v>
      </c>
      <c r="Y373" s="3605">
        <f>Y390*RevPAR!Y322*RevPAR!Y$5/1000000</f>
        <v>397.91013878010301</v>
      </c>
      <c r="Z373" s="3605">
        <f>Z390*RevPAR!Z322*RevPAR!Z$5/1000000</f>
        <v>420.15210528067911</v>
      </c>
      <c r="AA373" s="3605">
        <f>AA390*RevPAR!AA322*RevPAR!AA$5/1000000</f>
        <v>468.58024038647636</v>
      </c>
      <c r="AB373" s="3600">
        <f>SUM(X373:AA373)</f>
        <v>1693.1527518425305</v>
      </c>
      <c r="AC373" s="573"/>
      <c r="AD373" s="573"/>
      <c r="AE373" s="573"/>
      <c r="AF373" s="2494"/>
      <c r="AG373" s="444"/>
      <c r="AH373" s="573"/>
      <c r="AI373" s="573"/>
      <c r="AJ373" s="573"/>
      <c r="AK373" s="2494"/>
      <c r="AL373" s="208"/>
      <c r="AM373" s="208"/>
      <c r="AN373" s="208"/>
    </row>
    <row r="374" spans="1:40">
      <c r="A374" s="482" t="s">
        <v>168</v>
      </c>
      <c r="B374" s="444"/>
      <c r="C374" s="444"/>
      <c r="D374" s="471"/>
      <c r="E374" s="471"/>
      <c r="F374" s="573"/>
      <c r="G374" s="573"/>
      <c r="H374" s="444"/>
      <c r="I374" s="573"/>
      <c r="J374" s="573"/>
      <c r="K374" s="573"/>
      <c r="L374" s="573"/>
      <c r="M374" s="444"/>
      <c r="N374" s="573"/>
      <c r="O374" s="573"/>
      <c r="P374" s="573"/>
      <c r="Q374" s="573"/>
      <c r="R374" s="444"/>
      <c r="S374" s="573"/>
      <c r="T374" s="573"/>
      <c r="U374" s="573"/>
      <c r="V374" s="573"/>
      <c r="W374" s="444"/>
      <c r="X374" s="3604">
        <f>SUM(X370:X373)</f>
        <v>959.8862821258183</v>
      </c>
      <c r="Y374" s="3604">
        <f>SUM(Y370:Y373)</f>
        <v>1046.5986418823995</v>
      </c>
      <c r="Z374" s="3604">
        <f>SUM(Z370:Z373)</f>
        <v>1101.2438672080359</v>
      </c>
      <c r="AA374" s="3604">
        <f>SUM(AA370:AA373)</f>
        <v>1079.2558849350496</v>
      </c>
      <c r="AB374" s="591">
        <f>SUM(AB370:AB373)</f>
        <v>4186.9846761513036</v>
      </c>
      <c r="AC374" s="573"/>
      <c r="AD374" s="573"/>
      <c r="AE374" s="573"/>
      <c r="AF374" s="2494"/>
      <c r="AG374" s="444"/>
      <c r="AH374" s="573"/>
      <c r="AI374" s="573"/>
      <c r="AJ374" s="573"/>
      <c r="AK374" s="2494"/>
      <c r="AL374" s="208"/>
      <c r="AM374" s="208"/>
      <c r="AN374" s="208"/>
    </row>
    <row r="375" spans="1:40">
      <c r="A375" s="578"/>
      <c r="B375" s="444"/>
      <c r="C375" s="444"/>
      <c r="D375" s="471"/>
      <c r="E375" s="471"/>
      <c r="F375" s="573"/>
      <c r="G375" s="573"/>
      <c r="H375" s="444"/>
      <c r="I375" s="573"/>
      <c r="J375" s="573"/>
      <c r="K375" s="573"/>
      <c r="L375" s="573"/>
      <c r="M375" s="444"/>
      <c r="N375" s="573"/>
      <c r="O375" s="573"/>
      <c r="P375" s="573"/>
      <c r="Q375" s="573"/>
      <c r="R375" s="444"/>
      <c r="S375" s="573"/>
      <c r="T375" s="573"/>
      <c r="U375" s="573"/>
      <c r="V375" s="573"/>
      <c r="W375" s="444"/>
      <c r="X375" s="573"/>
      <c r="Y375" s="573"/>
      <c r="Z375" s="573"/>
      <c r="AA375" s="2494"/>
      <c r="AB375" s="444"/>
      <c r="AC375" s="573"/>
      <c r="AD375" s="573"/>
      <c r="AE375" s="573"/>
      <c r="AF375" s="2494"/>
      <c r="AG375" s="444"/>
      <c r="AH375" s="573"/>
      <c r="AI375" s="573"/>
      <c r="AJ375" s="573"/>
      <c r="AK375" s="2494"/>
      <c r="AL375" s="208"/>
      <c r="AM375" s="208"/>
      <c r="AN375" s="208"/>
    </row>
    <row r="376" spans="1:40">
      <c r="A376" s="568" t="s">
        <v>428</v>
      </c>
      <c r="B376" s="593">
        <f t="shared" ref="B376:AN376" si="363">B366+B356</f>
        <v>4183.8877462310993</v>
      </c>
      <c r="C376" s="593">
        <f t="shared" si="363"/>
        <v>4730.4980147084461</v>
      </c>
      <c r="D376" s="569">
        <f t="shared" si="363"/>
        <v>1129.6792810228724</v>
      </c>
      <c r="E376" s="569">
        <f t="shared" si="363"/>
        <v>1218.5113044916425</v>
      </c>
      <c r="F376" s="569">
        <f t="shared" si="363"/>
        <v>1268.0972065849642</v>
      </c>
      <c r="G376" s="569">
        <f t="shared" si="363"/>
        <v>1222.2294955837115</v>
      </c>
      <c r="H376" s="593">
        <f t="shared" si="363"/>
        <v>4838.5172876831903</v>
      </c>
      <c r="I376" s="569">
        <f t="shared" si="363"/>
        <v>1223.5419704348164</v>
      </c>
      <c r="J376" s="569">
        <f t="shared" si="363"/>
        <v>1345.3888969206996</v>
      </c>
      <c r="K376" s="569">
        <f t="shared" si="363"/>
        <v>1371.8514336670619</v>
      </c>
      <c r="L376" s="569">
        <f t="shared" si="363"/>
        <v>1382.4638469577053</v>
      </c>
      <c r="M376" s="593">
        <f t="shared" si="363"/>
        <v>5323.2461479802832</v>
      </c>
      <c r="N376" s="569">
        <f t="shared" si="363"/>
        <v>1344.8441475146224</v>
      </c>
      <c r="O376" s="569">
        <f t="shared" si="363"/>
        <v>1537.3564128956343</v>
      </c>
      <c r="P376" s="569">
        <f t="shared" si="363"/>
        <v>1612.2750984019397</v>
      </c>
      <c r="Q376" s="569">
        <f t="shared" si="363"/>
        <v>1506.1633715447097</v>
      </c>
      <c r="R376" s="593">
        <f t="shared" si="363"/>
        <v>6000.639030356906</v>
      </c>
      <c r="S376" s="569">
        <f t="shared" si="363"/>
        <v>1355.1219141567362</v>
      </c>
      <c r="T376" s="569">
        <f t="shared" si="363"/>
        <v>1501.2791823689263</v>
      </c>
      <c r="U376" s="569">
        <f t="shared" si="363"/>
        <v>1588.2658360147809</v>
      </c>
      <c r="V376" s="569">
        <f t="shared" si="363"/>
        <v>1497.8777905535976</v>
      </c>
      <c r="W376" s="593">
        <f t="shared" si="363"/>
        <v>5942.5447230940408</v>
      </c>
      <c r="X376" s="569">
        <f t="shared" si="363"/>
        <v>1460.8225505027269</v>
      </c>
      <c r="Y376" s="569">
        <f t="shared" si="363"/>
        <v>1632.1862730229805</v>
      </c>
      <c r="Z376" s="569">
        <f t="shared" si="363"/>
        <v>1678.1848355263655</v>
      </c>
      <c r="AA376" s="1989">
        <f t="shared" si="363"/>
        <v>1565.218857426768</v>
      </c>
      <c r="AB376" s="593">
        <f t="shared" si="363"/>
        <v>6336.4125164788402</v>
      </c>
      <c r="AC376" s="569">
        <f t="shared" si="363"/>
        <v>1770.2061733778464</v>
      </c>
      <c r="AD376" s="569">
        <f t="shared" si="363"/>
        <v>2044.618716336681</v>
      </c>
      <c r="AE376" s="569">
        <f t="shared" si="363"/>
        <v>2082.072172097096</v>
      </c>
      <c r="AF376" s="1989">
        <f t="shared" si="363"/>
        <v>1974.0243266077175</v>
      </c>
      <c r="AG376" s="593">
        <f t="shared" si="363"/>
        <v>7870.9213884193414</v>
      </c>
      <c r="AH376" s="569">
        <f t="shared" ref="AH376:AL376" si="364">AH366+AH356</f>
        <v>1912.0568334282057</v>
      </c>
      <c r="AI376" s="569">
        <f t="shared" si="364"/>
        <v>2217.6439271341546</v>
      </c>
      <c r="AJ376" s="569">
        <f t="shared" si="364"/>
        <v>2290.2286466836072</v>
      </c>
      <c r="AK376" s="569">
        <f t="shared" si="364"/>
        <v>2153.7605074662497</v>
      </c>
      <c r="AL376" s="593">
        <f t="shared" si="364"/>
        <v>8573.6899147122167</v>
      </c>
      <c r="AM376" s="593">
        <f t="shared" si="363"/>
        <v>9143.7545731203536</v>
      </c>
      <c r="AN376" s="593">
        <f t="shared" si="363"/>
        <v>9261.7673252140848</v>
      </c>
    </row>
    <row r="377" spans="1:40">
      <c r="A377" s="578" t="s">
        <v>1423</v>
      </c>
      <c r="B377" s="444"/>
      <c r="C377" s="444">
        <f>C376/B376-1</f>
        <v>0.13064649475114165</v>
      </c>
      <c r="D377" s="471"/>
      <c r="E377" s="471"/>
      <c r="F377" s="471"/>
      <c r="G377" s="471"/>
      <c r="H377" s="444">
        <f t="shared" ref="H377:R377" si="365">H376/C376-1</f>
        <v>2.2834651370507331E-2</v>
      </c>
      <c r="I377" s="471">
        <f t="shared" si="365"/>
        <v>8.3087909098373158E-2</v>
      </c>
      <c r="J377" s="471">
        <f t="shared" si="365"/>
        <v>0.10412508440534318</v>
      </c>
      <c r="K377" s="471">
        <f t="shared" si="365"/>
        <v>8.1818827881114942E-2</v>
      </c>
      <c r="L377" s="471">
        <f>L376/G376-1</f>
        <v>0.13110005277484271</v>
      </c>
      <c r="M377" s="444">
        <f>M376/H376-1</f>
        <v>0.10018128105711366</v>
      </c>
      <c r="N377" s="471">
        <f t="shared" si="365"/>
        <v>9.9140184816625565E-2</v>
      </c>
      <c r="O377" s="471">
        <f t="shared" si="365"/>
        <v>0.14268552120082623</v>
      </c>
      <c r="P377" s="471">
        <f t="shared" si="365"/>
        <v>0.17525488462858352</v>
      </c>
      <c r="Q377" s="471">
        <f t="shared" si="365"/>
        <v>8.9477583706236929E-2</v>
      </c>
      <c r="R377" s="444">
        <f t="shared" si="365"/>
        <v>0.12725184286915514</v>
      </c>
      <c r="S377" s="471">
        <f t="shared" ref="S377:AB377" si="366">S376/N376-1</f>
        <v>7.6423477479587998E-3</v>
      </c>
      <c r="T377" s="471">
        <f t="shared" si="366"/>
        <v>-2.3467056971360312E-2</v>
      </c>
      <c r="U377" s="471">
        <f t="shared" si="366"/>
        <v>-1.4891542027136939E-2</v>
      </c>
      <c r="V377" s="471">
        <f t="shared" si="366"/>
        <v>-5.5011170419145827E-3</v>
      </c>
      <c r="W377" s="444">
        <f t="shared" si="366"/>
        <v>-9.6813534306878779E-3</v>
      </c>
      <c r="X377" s="471">
        <f t="shared" si="366"/>
        <v>7.8000831690310246E-2</v>
      </c>
      <c r="Y377" s="471">
        <f t="shared" si="366"/>
        <v>8.7197033164404969E-2</v>
      </c>
      <c r="Z377" s="471">
        <f t="shared" si="366"/>
        <v>5.6614577656096898E-2</v>
      </c>
      <c r="AA377" s="579">
        <f t="shared" si="366"/>
        <v>4.4957650949802641E-2</v>
      </c>
      <c r="AB377" s="444">
        <f t="shared" si="366"/>
        <v>6.6279314963191061E-2</v>
      </c>
      <c r="AC377" s="471">
        <f>AC376/X376-1</f>
        <v>0.21178727201921155</v>
      </c>
      <c r="AD377" s="471">
        <f>AD376/Y376-1</f>
        <v>0.25268711674056199</v>
      </c>
      <c r="AE377" s="471">
        <f>AE376/Z376-1</f>
        <v>0.24066916112017567</v>
      </c>
      <c r="AF377" s="579">
        <f>AF376/AA376-1</f>
        <v>0.26118102733123782</v>
      </c>
      <c r="AG377" s="444">
        <f>AG376/AB376-1</f>
        <v>0.24217313313326261</v>
      </c>
      <c r="AH377" s="471">
        <f t="shared" ref="AH377:AK377" si="367">AH376/AC376-1</f>
        <v>8.0132281868436017E-2</v>
      </c>
      <c r="AI377" s="471">
        <f t="shared" si="367"/>
        <v>8.4624683035026127E-2</v>
      </c>
      <c r="AJ377" s="471">
        <f t="shared" si="367"/>
        <v>9.9975628787571047E-2</v>
      </c>
      <c r="AK377" s="471">
        <f t="shared" si="367"/>
        <v>9.1050641289411871E-2</v>
      </c>
      <c r="AL377" s="444">
        <f>AL376/AG376-1</f>
        <v>8.9286691050792788E-2</v>
      </c>
      <c r="AM377" s="444">
        <f>AM376/AL376-1</f>
        <v>6.6490001863715786E-2</v>
      </c>
      <c r="AN377" s="444">
        <f>AN376/AM376-1</f>
        <v>1.2906377916206413E-2</v>
      </c>
    </row>
    <row r="378" spans="1:40">
      <c r="A378" s="394"/>
      <c r="B378" s="590"/>
      <c r="C378" s="590"/>
      <c r="D378" s="573"/>
      <c r="E378" s="573"/>
      <c r="F378" s="573"/>
      <c r="G378" s="573"/>
      <c r="H378" s="590"/>
      <c r="I378" s="573"/>
      <c r="J378" s="573"/>
      <c r="K378" s="573"/>
      <c r="L378" s="573"/>
      <c r="M378" s="590"/>
      <c r="N378" s="573"/>
      <c r="O378" s="573"/>
      <c r="P378" s="573"/>
      <c r="Q378" s="573"/>
      <c r="R378" s="590"/>
      <c r="S378" s="573"/>
      <c r="T378" s="573"/>
      <c r="U378" s="573"/>
      <c r="V378" s="573"/>
      <c r="W378" s="590"/>
      <c r="X378" s="1056"/>
      <c r="Y378" s="573"/>
      <c r="Z378" s="573"/>
      <c r="AA378" s="2494"/>
      <c r="AB378" s="590"/>
      <c r="AC378" s="573"/>
      <c r="AD378" s="573"/>
      <c r="AE378" s="573"/>
      <c r="AF378" s="2494"/>
      <c r="AG378" s="590"/>
      <c r="AH378" s="573"/>
      <c r="AI378" s="573"/>
      <c r="AJ378" s="573"/>
      <c r="AK378" s="573"/>
      <c r="AL378" s="208"/>
      <c r="AM378" s="208"/>
      <c r="AN378" s="208"/>
    </row>
    <row r="379" spans="1:40">
      <c r="A379" s="482" t="s">
        <v>862</v>
      </c>
      <c r="B379" s="590"/>
      <c r="C379" s="590"/>
      <c r="D379" s="573"/>
      <c r="E379" s="573"/>
      <c r="F379" s="573"/>
      <c r="G379" s="573"/>
      <c r="H379" s="590"/>
      <c r="I379" s="573"/>
      <c r="J379" s="573"/>
      <c r="K379" s="573"/>
      <c r="L379" s="573"/>
      <c r="M379" s="590"/>
      <c r="N379" s="573"/>
      <c r="O379" s="573"/>
      <c r="P379" s="573"/>
      <c r="Q379" s="573"/>
      <c r="R379" s="590"/>
      <c r="S379" s="573"/>
      <c r="T379" s="573"/>
      <c r="U379" s="573"/>
      <c r="V379" s="573"/>
      <c r="W379" s="590"/>
      <c r="X379" s="1056"/>
      <c r="Y379" s="573"/>
      <c r="Z379" s="573"/>
      <c r="AA379" s="2494"/>
      <c r="AB379" s="590"/>
      <c r="AC379" s="573"/>
      <c r="AD379" s="573"/>
      <c r="AE379" s="573"/>
      <c r="AF379" s="2494"/>
      <c r="AG379" s="590"/>
      <c r="AH379" s="573"/>
      <c r="AI379" s="573"/>
      <c r="AJ379" s="573"/>
      <c r="AK379" s="573"/>
      <c r="AL379" s="208"/>
      <c r="AM379" s="208"/>
      <c r="AN379" s="208"/>
    </row>
    <row r="380" spans="1:40">
      <c r="A380" s="394" t="s">
        <v>208</v>
      </c>
      <c r="B380" s="245">
        <f t="shared" ref="B380:AN380" si="368">B362/B$366</f>
        <v>0.1167741009153645</v>
      </c>
      <c r="C380" s="245">
        <f t="shared" si="368"/>
        <v>0.10613695810228203</v>
      </c>
      <c r="D380" s="247">
        <f t="shared" si="368"/>
        <v>0.11861928413207136</v>
      </c>
      <c r="E380" s="247">
        <f t="shared" si="368"/>
        <v>0.11579894928129454</v>
      </c>
      <c r="F380" s="247">
        <f t="shared" si="368"/>
        <v>0.11803551953044496</v>
      </c>
      <c r="G380" s="247">
        <f t="shared" si="368"/>
        <v>0.10973470035087537</v>
      </c>
      <c r="H380" s="245">
        <f t="shared" si="368"/>
        <v>0.11542041767024791</v>
      </c>
      <c r="I380" s="247">
        <f t="shared" si="368"/>
        <v>0.12296530012492463</v>
      </c>
      <c r="J380" s="247">
        <f t="shared" si="368"/>
        <v>0.12125899900643838</v>
      </c>
      <c r="K380" s="247">
        <f t="shared" si="368"/>
        <v>0.12525488585356573</v>
      </c>
      <c r="L380" s="247">
        <f t="shared" ref="L380:N384" si="369">L362/L$366</f>
        <v>0.10435252710739669</v>
      </c>
      <c r="M380" s="245">
        <f t="shared" si="369"/>
        <v>0.11797240048988945</v>
      </c>
      <c r="N380" s="247">
        <f t="shared" si="369"/>
        <v>0.12001430492659991</v>
      </c>
      <c r="O380" s="247">
        <f t="shared" si="368"/>
        <v>0.11688273300164528</v>
      </c>
      <c r="P380" s="247">
        <f t="shared" si="368"/>
        <v>0.12374917170920169</v>
      </c>
      <c r="Q380" s="247">
        <f t="shared" si="368"/>
        <v>0.10855782005197764</v>
      </c>
      <c r="R380" s="245">
        <f t="shared" si="368"/>
        <v>0.11723704842681021</v>
      </c>
      <c r="S380" s="247">
        <f t="shared" si="368"/>
        <v>0.13038112730805268</v>
      </c>
      <c r="T380" s="247">
        <f t="shared" ref="T380:AG380" si="370">T362/T$366</f>
        <v>0.13026902064088056</v>
      </c>
      <c r="U380" s="247">
        <f t="shared" si="370"/>
        <v>0.13072073311456989</v>
      </c>
      <c r="V380" s="247">
        <f t="shared" si="370"/>
        <v>0.12060791466161284</v>
      </c>
      <c r="W380" s="245">
        <f t="shared" si="370"/>
        <v>0.12782976728263098</v>
      </c>
      <c r="X380" s="247">
        <f t="shared" si="370"/>
        <v>0.13078860645702153</v>
      </c>
      <c r="Y380" s="247">
        <f t="shared" si="370"/>
        <v>0.12755482534631221</v>
      </c>
      <c r="Z380" s="247">
        <f t="shared" si="370"/>
        <v>0.12891087898817952</v>
      </c>
      <c r="AA380" s="582">
        <f t="shared" si="370"/>
        <v>0.1138101371560957</v>
      </c>
      <c r="AB380" s="245">
        <f t="shared" si="370"/>
        <v>0.12510264654736469</v>
      </c>
      <c r="AC380" s="247">
        <f t="shared" si="370"/>
        <v>0.10671775603023037</v>
      </c>
      <c r="AD380" s="247">
        <f t="shared" si="370"/>
        <v>0.1053675333113253</v>
      </c>
      <c r="AE380" s="247">
        <f t="shared" si="370"/>
        <v>0.11361474150108841</v>
      </c>
      <c r="AF380" s="582">
        <f t="shared" si="370"/>
        <v>9.9973384086842226E-2</v>
      </c>
      <c r="AG380" s="245">
        <f t="shared" si="370"/>
        <v>0.10640272771539164</v>
      </c>
      <c r="AH380" s="247">
        <f t="shared" ref="AH380:AL380" si="371">AH362/AH$366</f>
        <v>0.1077258807393498</v>
      </c>
      <c r="AI380" s="247">
        <f t="shared" si="371"/>
        <v>0.10724876094208736</v>
      </c>
      <c r="AJ380" s="247">
        <f t="shared" si="371"/>
        <v>0.11073713175028932</v>
      </c>
      <c r="AK380" s="247">
        <f t="shared" si="371"/>
        <v>9.8516128914872159E-2</v>
      </c>
      <c r="AL380" s="245">
        <f t="shared" si="371"/>
        <v>0.10597598091345124</v>
      </c>
      <c r="AM380" s="245">
        <f t="shared" si="368"/>
        <v>0.10466949466587312</v>
      </c>
      <c r="AN380" s="245">
        <f t="shared" si="368"/>
        <v>0.10416547829267024</v>
      </c>
    </row>
    <row r="381" spans="1:40">
      <c r="A381" s="394" t="s">
        <v>2218</v>
      </c>
      <c r="B381" s="245">
        <f t="shared" ref="B381:AN381" si="372">B363/B$366</f>
        <v>0.33288894145319675</v>
      </c>
      <c r="C381" s="245">
        <f t="shared" si="372"/>
        <v>0.33619082460329891</v>
      </c>
      <c r="D381" s="247">
        <f t="shared" si="372"/>
        <v>0.2893593091385237</v>
      </c>
      <c r="E381" s="247">
        <f t="shared" si="372"/>
        <v>0.36731405600741079</v>
      </c>
      <c r="F381" s="247">
        <f t="shared" si="372"/>
        <v>0.34847654439027687</v>
      </c>
      <c r="G381" s="247">
        <f t="shared" si="372"/>
        <v>0.32221217259179241</v>
      </c>
      <c r="H381" s="245">
        <f t="shared" si="372"/>
        <v>0.33240391794952384</v>
      </c>
      <c r="I381" s="247">
        <f t="shared" si="372"/>
        <v>0.28629327305355146</v>
      </c>
      <c r="J381" s="247">
        <f t="shared" si="372"/>
        <v>0.34926785548912598</v>
      </c>
      <c r="K381" s="247">
        <f t="shared" si="372"/>
        <v>0.35010532043325682</v>
      </c>
      <c r="L381" s="247">
        <f t="shared" si="369"/>
        <v>0.30859704559753737</v>
      </c>
      <c r="M381" s="245">
        <f t="shared" si="369"/>
        <v>0.32377028427585586</v>
      </c>
      <c r="N381" s="247">
        <f t="shared" si="369"/>
        <v>0.29805570382768454</v>
      </c>
      <c r="O381" s="247">
        <f t="shared" si="372"/>
        <v>0.37694422259309268</v>
      </c>
      <c r="P381" s="247">
        <f t="shared" si="372"/>
        <v>0.35000985588211264</v>
      </c>
      <c r="Q381" s="247">
        <f t="shared" si="372"/>
        <v>0.30316276049518248</v>
      </c>
      <c r="R381" s="245">
        <f t="shared" si="372"/>
        <v>0.33287261953196112</v>
      </c>
      <c r="S381" s="247">
        <f t="shared" si="372"/>
        <v>0.27869318241945146</v>
      </c>
      <c r="T381" s="247">
        <f t="shared" si="372"/>
        <v>0.3351467000668783</v>
      </c>
      <c r="U381" s="247">
        <f t="shared" si="372"/>
        <v>0.32344164718842822</v>
      </c>
      <c r="V381" s="247">
        <f t="shared" si="372"/>
        <v>0.29610662825962003</v>
      </c>
      <c r="W381" s="245">
        <f t="shared" si="372"/>
        <v>0.30897586430483237</v>
      </c>
      <c r="X381" s="247">
        <f t="shared" si="372"/>
        <v>0.24471150964033284</v>
      </c>
      <c r="Y381" s="247">
        <f t="shared" si="372"/>
        <v>0.29579257726462732</v>
      </c>
      <c r="Z381" s="247">
        <f t="shared" si="372"/>
        <v>0.30046044151519241</v>
      </c>
      <c r="AA381" s="247">
        <f t="shared" si="372"/>
        <v>0.27205268850034692</v>
      </c>
      <c r="AB381" s="245">
        <f t="shared" si="372"/>
        <v>0.27914717981001558</v>
      </c>
      <c r="AC381" s="247">
        <f t="shared" si="372"/>
        <v>0.22727182269244434</v>
      </c>
      <c r="AD381" s="247">
        <f t="shared" si="372"/>
        <v>0.27843686693173419</v>
      </c>
      <c r="AE381" s="247">
        <f t="shared" si="372"/>
        <v>0.27633900188139876</v>
      </c>
      <c r="AF381" s="247">
        <f t="shared" si="372"/>
        <v>0.24274663315907569</v>
      </c>
      <c r="AG381" s="245">
        <f t="shared" si="372"/>
        <v>0.25712040210203196</v>
      </c>
      <c r="AH381" s="247">
        <f t="shared" ref="AH381:AL381" si="373">AH363/AH$366</f>
        <v>0.21142487302712668</v>
      </c>
      <c r="AI381" s="247">
        <f t="shared" si="373"/>
        <v>0.26115380996509474</v>
      </c>
      <c r="AJ381" s="247">
        <f t="shared" si="373"/>
        <v>0.26734392428557674</v>
      </c>
      <c r="AK381" s="247">
        <f t="shared" si="373"/>
        <v>0.24143581202729533</v>
      </c>
      <c r="AL381" s="245">
        <f t="shared" si="373"/>
        <v>0.24666173412683035</v>
      </c>
      <c r="AM381" s="245">
        <f t="shared" si="372"/>
        <v>0.24449161180620935</v>
      </c>
      <c r="AN381" s="245">
        <f t="shared" si="372"/>
        <v>0.24325946845497048</v>
      </c>
    </row>
    <row r="382" spans="1:40">
      <c r="A382" s="394" t="s">
        <v>209</v>
      </c>
      <c r="B382" s="245">
        <f t="shared" ref="B382:AN382" si="374">B364/B$366</f>
        <v>0.1854204643746073</v>
      </c>
      <c r="C382" s="245">
        <f t="shared" si="374"/>
        <v>0.17037564530540333</v>
      </c>
      <c r="D382" s="247">
        <f t="shared" si="374"/>
        <v>0.18214282743074434</v>
      </c>
      <c r="E382" s="247">
        <f t="shared" si="374"/>
        <v>0.15440230069072738</v>
      </c>
      <c r="F382" s="247">
        <f t="shared" si="374"/>
        <v>0.16821089816140317</v>
      </c>
      <c r="G382" s="247">
        <f t="shared" si="374"/>
        <v>0.15694363297348105</v>
      </c>
      <c r="H382" s="245">
        <f t="shared" si="374"/>
        <v>0.16509074505994029</v>
      </c>
      <c r="I382" s="247">
        <f t="shared" si="374"/>
        <v>0.17971645038404069</v>
      </c>
      <c r="J382" s="247">
        <f t="shared" si="374"/>
        <v>0.16685111535460248</v>
      </c>
      <c r="K382" s="247">
        <f t="shared" si="374"/>
        <v>0.14678043497711069</v>
      </c>
      <c r="L382" s="247">
        <f t="shared" si="369"/>
        <v>0.16885848549569679</v>
      </c>
      <c r="M382" s="245">
        <f t="shared" si="369"/>
        <v>0.16533851759526863</v>
      </c>
      <c r="N382" s="247">
        <f t="shared" si="369"/>
        <v>0.19527673321354141</v>
      </c>
      <c r="O382" s="247">
        <f t="shared" si="374"/>
        <v>0.16358393961888887</v>
      </c>
      <c r="P382" s="247">
        <f t="shared" si="374"/>
        <v>0.16842240125573082</v>
      </c>
      <c r="Q382" s="247">
        <f t="shared" si="374"/>
        <v>0.17874707048527355</v>
      </c>
      <c r="R382" s="245">
        <f t="shared" si="374"/>
        <v>0.17589372578000287</v>
      </c>
      <c r="S382" s="247">
        <f t="shared" si="374"/>
        <v>0.19657100605263447</v>
      </c>
      <c r="T382" s="247">
        <f t="shared" si="374"/>
        <v>0.16784874614977222</v>
      </c>
      <c r="U382" s="247">
        <f t="shared" si="374"/>
        <v>0.17116445257888621</v>
      </c>
      <c r="V382" s="247">
        <f t="shared" si="374"/>
        <v>0.17376484324819785</v>
      </c>
      <c r="W382" s="245">
        <f t="shared" si="374"/>
        <v>0.17672211988982187</v>
      </c>
      <c r="X382" s="247">
        <f t="shared" si="374"/>
        <v>0.18279988615126277</v>
      </c>
      <c r="Y382" s="247">
        <f t="shared" si="374"/>
        <v>0.17840697447744483</v>
      </c>
      <c r="Z382" s="247">
        <f t="shared" si="374"/>
        <v>0.17090500945107734</v>
      </c>
      <c r="AA382" s="247">
        <f t="shared" si="374"/>
        <v>0.16133249457467067</v>
      </c>
      <c r="AB382" s="245">
        <f t="shared" si="374"/>
        <v>0.17303632684813561</v>
      </c>
      <c r="AC382" s="247">
        <f t="shared" si="374"/>
        <v>0.19350674787387689</v>
      </c>
      <c r="AD382" s="247">
        <f t="shared" si="374"/>
        <v>0.18983321028831049</v>
      </c>
      <c r="AE382" s="247">
        <f t="shared" si="374"/>
        <v>0.14266612485351904</v>
      </c>
      <c r="AF382" s="247">
        <f t="shared" si="374"/>
        <v>0.16170815390282176</v>
      </c>
      <c r="AG382" s="245">
        <f t="shared" si="374"/>
        <v>0.17070518189720799</v>
      </c>
      <c r="AH382" s="247">
        <f t="shared" ref="AH382:AL382" si="375">AH364/AH$366</f>
        <v>0.17483061248557688</v>
      </c>
      <c r="AI382" s="247">
        <f t="shared" si="375"/>
        <v>0.17124375113902945</v>
      </c>
      <c r="AJ382" s="247">
        <f t="shared" si="375"/>
        <v>0.13947586759473882</v>
      </c>
      <c r="AK382" s="247">
        <f t="shared" si="375"/>
        <v>0.15770906378777971</v>
      </c>
      <c r="AL382" s="245">
        <f t="shared" si="375"/>
        <v>0.15997440667528745</v>
      </c>
      <c r="AM382" s="245">
        <f t="shared" si="374"/>
        <v>0.15801217047948268</v>
      </c>
      <c r="AN382" s="245">
        <f t="shared" si="374"/>
        <v>0.15719702240202363</v>
      </c>
    </row>
    <row r="383" spans="1:40">
      <c r="A383" s="2024" t="s">
        <v>1688</v>
      </c>
      <c r="B383" s="594">
        <f t="shared" ref="B383:Q383" si="376">B365/B$366</f>
        <v>0.36491649325683151</v>
      </c>
      <c r="C383" s="594">
        <f t="shared" si="376"/>
        <v>0.38729657198901585</v>
      </c>
      <c r="D383" s="583">
        <f t="shared" si="376"/>
        <v>0.40987857929866062</v>
      </c>
      <c r="E383" s="583">
        <f t="shared" si="376"/>
        <v>0.36248469402056727</v>
      </c>
      <c r="F383" s="583">
        <f t="shared" si="376"/>
        <v>0.36527703791787508</v>
      </c>
      <c r="G383" s="583">
        <f t="shared" si="376"/>
        <v>0.41110949408385111</v>
      </c>
      <c r="H383" s="594">
        <f t="shared" si="376"/>
        <v>0.38708491932028805</v>
      </c>
      <c r="I383" s="583">
        <f t="shared" si="376"/>
        <v>0.41102497643748331</v>
      </c>
      <c r="J383" s="583">
        <f t="shared" si="376"/>
        <v>0.36262203014983313</v>
      </c>
      <c r="K383" s="583">
        <f t="shared" si="376"/>
        <v>0.3778593587360668</v>
      </c>
      <c r="L383" s="583">
        <f t="shared" si="369"/>
        <v>0.41819194179936919</v>
      </c>
      <c r="M383" s="594">
        <f t="shared" si="369"/>
        <v>0.39291879763898613</v>
      </c>
      <c r="N383" s="583">
        <f t="shared" si="369"/>
        <v>0.38665325803217421</v>
      </c>
      <c r="O383" s="583">
        <f t="shared" si="376"/>
        <v>0.34258910478637311</v>
      </c>
      <c r="P383" s="583">
        <f t="shared" si="376"/>
        <v>0.35781857115295479</v>
      </c>
      <c r="Q383" s="583">
        <f t="shared" si="376"/>
        <v>0.40953234896756635</v>
      </c>
      <c r="R383" s="594">
        <f t="shared" ref="R383:W383" si="377">R365/R$366</f>
        <v>0.37399660626122588</v>
      </c>
      <c r="S383" s="583">
        <f t="shared" si="377"/>
        <v>0.39435468421986136</v>
      </c>
      <c r="T383" s="583">
        <f t="shared" si="377"/>
        <v>0.36673553314246887</v>
      </c>
      <c r="U383" s="583">
        <f t="shared" si="377"/>
        <v>0.37467316711811577</v>
      </c>
      <c r="V383" s="583">
        <f t="shared" si="377"/>
        <v>0.40952061383056931</v>
      </c>
      <c r="W383" s="594">
        <f t="shared" si="377"/>
        <v>0.38647224852271467</v>
      </c>
      <c r="X383" s="583">
        <f t="shared" ref="X383:AN383" si="378">X365/X$366</f>
        <v>0.44169999775138297</v>
      </c>
      <c r="Y383" s="583">
        <f t="shared" si="378"/>
        <v>0.39824562291161569</v>
      </c>
      <c r="Z383" s="583">
        <f t="shared" si="378"/>
        <v>0.39972367004555076</v>
      </c>
      <c r="AA383" s="583">
        <f t="shared" si="378"/>
        <v>0.45280467976888672</v>
      </c>
      <c r="AB383" s="594">
        <f t="shared" si="378"/>
        <v>0.42271384679448409</v>
      </c>
      <c r="AC383" s="583">
        <f t="shared" si="378"/>
        <v>0.47250367340344845</v>
      </c>
      <c r="AD383" s="583">
        <f t="shared" si="378"/>
        <v>0.42636238946862992</v>
      </c>
      <c r="AE383" s="583">
        <f t="shared" si="378"/>
        <v>0.46738013176399384</v>
      </c>
      <c r="AF383" s="583">
        <f t="shared" si="378"/>
        <v>0.49557182885126022</v>
      </c>
      <c r="AG383" s="594">
        <f t="shared" si="378"/>
        <v>0.46577168828536836</v>
      </c>
      <c r="AH383" s="583">
        <f t="shared" ref="AH383:AL383" si="379">AH365/AH$366</f>
        <v>0.50601863374794664</v>
      </c>
      <c r="AI383" s="583">
        <f t="shared" si="379"/>
        <v>0.46035367795378856</v>
      </c>
      <c r="AJ383" s="583">
        <f t="shared" si="379"/>
        <v>0.48244307636939515</v>
      </c>
      <c r="AK383" s="583">
        <f t="shared" si="379"/>
        <v>0.50233899527005277</v>
      </c>
      <c r="AL383" s="594">
        <f t="shared" si="379"/>
        <v>0.48738787828443092</v>
      </c>
      <c r="AM383" s="594">
        <f t="shared" si="378"/>
        <v>0.49282672304843483</v>
      </c>
      <c r="AN383" s="594">
        <f t="shared" si="378"/>
        <v>0.49537803085033566</v>
      </c>
    </row>
    <row r="384" spans="1:40" s="2" customFormat="1">
      <c r="A384" s="482" t="s">
        <v>168</v>
      </c>
      <c r="B384" s="595">
        <f t="shared" ref="B384:S384" si="380">B366/B$366</f>
        <v>1</v>
      </c>
      <c r="C384" s="595">
        <f t="shared" si="380"/>
        <v>1</v>
      </c>
      <c r="D384" s="585">
        <f t="shared" si="380"/>
        <v>1</v>
      </c>
      <c r="E384" s="585">
        <f t="shared" si="380"/>
        <v>1</v>
      </c>
      <c r="F384" s="585">
        <f t="shared" si="380"/>
        <v>1</v>
      </c>
      <c r="G384" s="585">
        <f t="shared" si="380"/>
        <v>1</v>
      </c>
      <c r="H384" s="595">
        <f t="shared" si="380"/>
        <v>1</v>
      </c>
      <c r="I384" s="585">
        <f t="shared" si="380"/>
        <v>1</v>
      </c>
      <c r="J384" s="585">
        <f t="shared" si="380"/>
        <v>1</v>
      </c>
      <c r="K384" s="585">
        <f t="shared" si="380"/>
        <v>1</v>
      </c>
      <c r="L384" s="585">
        <f t="shared" si="369"/>
        <v>1</v>
      </c>
      <c r="M384" s="595">
        <f t="shared" si="369"/>
        <v>1</v>
      </c>
      <c r="N384" s="585">
        <f t="shared" si="369"/>
        <v>1</v>
      </c>
      <c r="O384" s="585">
        <f t="shared" si="380"/>
        <v>1</v>
      </c>
      <c r="P384" s="585">
        <f t="shared" si="380"/>
        <v>1</v>
      </c>
      <c r="Q384" s="585">
        <f t="shared" si="380"/>
        <v>1</v>
      </c>
      <c r="R384" s="595">
        <f t="shared" si="380"/>
        <v>1</v>
      </c>
      <c r="S384" s="585">
        <f t="shared" si="380"/>
        <v>1</v>
      </c>
      <c r="T384" s="585">
        <f>T366/T$366</f>
        <v>1</v>
      </c>
      <c r="U384" s="585">
        <f>U366/U$366</f>
        <v>1</v>
      </c>
      <c r="V384" s="585">
        <f>V366/V$366</f>
        <v>1</v>
      </c>
      <c r="W384" s="595">
        <f>W366/W$366</f>
        <v>1</v>
      </c>
      <c r="X384" s="585">
        <f t="shared" ref="X384:AN384" si="381">X366/X$366</f>
        <v>1</v>
      </c>
      <c r="Y384" s="585">
        <f t="shared" si="381"/>
        <v>1</v>
      </c>
      <c r="Z384" s="585">
        <f t="shared" si="381"/>
        <v>1</v>
      </c>
      <c r="AA384" s="586">
        <f t="shared" si="381"/>
        <v>1</v>
      </c>
      <c r="AB384" s="586">
        <f t="shared" si="381"/>
        <v>1</v>
      </c>
      <c r="AC384" s="585">
        <f t="shared" si="381"/>
        <v>1</v>
      </c>
      <c r="AD384" s="585">
        <f t="shared" si="381"/>
        <v>1</v>
      </c>
      <c r="AE384" s="585">
        <f t="shared" si="381"/>
        <v>1</v>
      </c>
      <c r="AF384" s="586">
        <f t="shared" si="381"/>
        <v>1</v>
      </c>
      <c r="AG384" s="586">
        <f t="shared" si="381"/>
        <v>1</v>
      </c>
      <c r="AH384" s="585">
        <f t="shared" ref="AH384:AL384" si="382">AH366/AH$366</f>
        <v>1</v>
      </c>
      <c r="AI384" s="585">
        <f t="shared" si="382"/>
        <v>1</v>
      </c>
      <c r="AJ384" s="585">
        <f t="shared" si="382"/>
        <v>1</v>
      </c>
      <c r="AK384" s="585">
        <f t="shared" si="382"/>
        <v>1</v>
      </c>
      <c r="AL384" s="595">
        <f t="shared" si="382"/>
        <v>1</v>
      </c>
      <c r="AM384" s="595">
        <f t="shared" si="381"/>
        <v>1</v>
      </c>
      <c r="AN384" s="595">
        <f t="shared" si="381"/>
        <v>1</v>
      </c>
    </row>
    <row r="385" spans="1:42">
      <c r="A385" s="482"/>
      <c r="B385" s="502"/>
      <c r="C385" s="502"/>
      <c r="D385" s="228"/>
      <c r="E385" s="228"/>
      <c r="F385" s="228"/>
      <c r="G385" s="228"/>
      <c r="H385" s="502"/>
      <c r="I385" s="228"/>
      <c r="J385" s="228"/>
      <c r="K385" s="228"/>
      <c r="L385" s="588"/>
      <c r="M385" s="588"/>
      <c r="N385" s="228"/>
      <c r="O385" s="228"/>
      <c r="P385" s="228"/>
      <c r="Q385" s="588"/>
      <c r="R385" s="588"/>
      <c r="S385" s="228"/>
      <c r="T385" s="228"/>
      <c r="U385" s="228"/>
      <c r="V385" s="588"/>
      <c r="W385" s="588"/>
      <c r="X385" s="228"/>
      <c r="Y385" s="228"/>
      <c r="Z385" s="228"/>
      <c r="AA385" s="588"/>
      <c r="AB385" s="588"/>
      <c r="AC385" s="228"/>
      <c r="AD385" s="228"/>
      <c r="AE385" s="228"/>
      <c r="AF385" s="588"/>
      <c r="AG385" s="588"/>
      <c r="AH385" s="228"/>
      <c r="AI385" s="228"/>
      <c r="AJ385" s="228"/>
      <c r="AK385" s="228"/>
      <c r="AL385" s="208"/>
      <c r="AM385" s="208"/>
      <c r="AN385" s="208"/>
    </row>
    <row r="386" spans="1:42">
      <c r="A386" s="482" t="s">
        <v>864</v>
      </c>
      <c r="B386" s="505"/>
      <c r="C386" s="502"/>
      <c r="D386" s="228"/>
      <c r="E386" s="228"/>
      <c r="F386" s="228"/>
      <c r="G386" s="228"/>
      <c r="H386" s="502"/>
      <c r="I386" s="228"/>
      <c r="J386" s="228"/>
      <c r="K386" s="228"/>
      <c r="L386" s="588"/>
      <c r="M386" s="588"/>
      <c r="N386" s="228"/>
      <c r="O386" s="228"/>
      <c r="P386" s="228"/>
      <c r="Q386" s="588"/>
      <c r="R386" s="588"/>
      <c r="S386" s="228"/>
      <c r="T386" s="228"/>
      <c r="U386" s="228"/>
      <c r="V386" s="588"/>
      <c r="W386" s="588"/>
      <c r="X386" s="228"/>
      <c r="Y386" s="228"/>
      <c r="Z386" s="228"/>
      <c r="AA386" s="588"/>
      <c r="AB386" s="588"/>
      <c r="AC386" s="228"/>
      <c r="AD386" s="228"/>
      <c r="AE386" s="228"/>
      <c r="AF386" s="588"/>
      <c r="AG386" s="588"/>
      <c r="AH386" s="228"/>
      <c r="AI386" s="228"/>
      <c r="AJ386" s="228"/>
      <c r="AK386" s="228"/>
      <c r="AL386" s="208"/>
      <c r="AM386" s="208"/>
      <c r="AN386" s="208"/>
    </row>
    <row r="387" spans="1:42">
      <c r="A387" s="394" t="s">
        <v>208</v>
      </c>
      <c r="B387" s="13">
        <f>'QTR Rooms'!B525</f>
        <v>8213</v>
      </c>
      <c r="C387" s="208">
        <f>'QTR Rooms'!C525</f>
        <v>8543</v>
      </c>
      <c r="D387" s="15">
        <f>'QTR Rooms'!D525</f>
        <v>8763</v>
      </c>
      <c r="E387" s="15">
        <f>'QTR Rooms'!E525</f>
        <v>8763</v>
      </c>
      <c r="F387" s="15">
        <f>'QTR Rooms'!F525</f>
        <v>9252</v>
      </c>
      <c r="G387" s="15">
        <f>'QTR Rooms'!G525</f>
        <v>9854</v>
      </c>
      <c r="H387" s="208">
        <f>'QTR Rooms'!H525</f>
        <v>9854</v>
      </c>
      <c r="I387" s="15">
        <f>'QTR Rooms'!I525</f>
        <v>10102</v>
      </c>
      <c r="J387" s="15">
        <f>'QTR Rooms'!J525</f>
        <v>10102</v>
      </c>
      <c r="K387" s="15">
        <f>'QTR Rooms'!K525</f>
        <v>10078</v>
      </c>
      <c r="L387" s="474">
        <f>'QTR Rooms'!L525</f>
        <v>10310</v>
      </c>
      <c r="M387" s="474">
        <f>'QTR Rooms'!M525</f>
        <v>10310</v>
      </c>
      <c r="N387" s="15">
        <f>'QTR Rooms'!N525</f>
        <v>10570</v>
      </c>
      <c r="O387" s="15">
        <f>'QTR Rooms'!O525</f>
        <v>10872</v>
      </c>
      <c r="P387" s="15">
        <f>'QTR Rooms'!P525</f>
        <v>11450</v>
      </c>
      <c r="Q387" s="474">
        <f>'QTR Rooms'!Q525</f>
        <v>11089</v>
      </c>
      <c r="R387" s="474">
        <f>'QTR Rooms'!R525</f>
        <v>11089</v>
      </c>
      <c r="S387" s="15">
        <f>'QTR Rooms'!S525</f>
        <v>10604</v>
      </c>
      <c r="T387" s="15">
        <f>'QTR Rooms'!T525</f>
        <v>10995</v>
      </c>
      <c r="U387" s="15">
        <f>'QTR Rooms'!U525</f>
        <v>11319</v>
      </c>
      <c r="V387" s="474">
        <f>'QTR Rooms'!V525</f>
        <v>11902</v>
      </c>
      <c r="W387" s="474">
        <f>'QTR Rooms'!W525</f>
        <v>11902</v>
      </c>
      <c r="X387" s="15">
        <f>'QTR Rooms'!X525</f>
        <v>11797</v>
      </c>
      <c r="Y387" s="15">
        <f>'QTR Rooms'!Y525</f>
        <v>12016</v>
      </c>
      <c r="Z387" s="15">
        <f>'QTR Rooms'!Z525</f>
        <v>11877</v>
      </c>
      <c r="AA387" s="474">
        <f>'QTR Rooms'!AA525</f>
        <v>11953</v>
      </c>
      <c r="AB387" s="474">
        <f>'QTR Rooms'!AB525</f>
        <v>11953</v>
      </c>
      <c r="AC387" s="15">
        <f>'QTR Rooms'!AC525</f>
        <v>13322.53</v>
      </c>
      <c r="AD387" s="15">
        <f>'QTR Rooms'!AD525</f>
        <v>13453.480047961631</v>
      </c>
      <c r="AE387" s="15">
        <f>'QTR Rooms'!AE525</f>
        <v>14040</v>
      </c>
      <c r="AF387" s="474">
        <f>'QTR Rooms'!AF525</f>
        <v>14374</v>
      </c>
      <c r="AG387" s="474">
        <f>'QTR Rooms'!AG525</f>
        <v>14374</v>
      </c>
      <c r="AH387" s="15">
        <f>'QTR Rooms'!AH525</f>
        <v>14589.609999999999</v>
      </c>
      <c r="AI387" s="15">
        <f>'QTR Rooms'!AI525</f>
        <v>14808.454149999998</v>
      </c>
      <c r="AJ387" s="15">
        <f>'QTR Rooms'!AJ525</f>
        <v>15030.580962249996</v>
      </c>
      <c r="AK387" s="15">
        <f>'QTR Rooms'!AK525</f>
        <v>15256.039676683742</v>
      </c>
      <c r="AL387" s="208">
        <f>'QTR Rooms'!AL525</f>
        <v>15256.039676683742</v>
      </c>
      <c r="AM387" s="208">
        <f>'QTR Rooms'!AM525</f>
        <v>15942.56146213451</v>
      </c>
      <c r="AN387" s="208">
        <f>'QTR Rooms'!AN525</f>
        <v>16420.838305998546</v>
      </c>
      <c r="AO387" s="682"/>
    </row>
    <row r="388" spans="1:42">
      <c r="A388" s="394" t="s">
        <v>2218</v>
      </c>
      <c r="B388" s="13">
        <f>'QTR Rooms'!B596</f>
        <v>18251</v>
      </c>
      <c r="C388" s="208">
        <f>'QTR Rooms'!C596</f>
        <v>20867</v>
      </c>
      <c r="D388" s="15">
        <f>'QTR Rooms'!D596</f>
        <v>21720</v>
      </c>
      <c r="E388" s="15">
        <f>'QTR Rooms'!E596</f>
        <v>22044</v>
      </c>
      <c r="F388" s="15">
        <f>'QTR Rooms'!F596</f>
        <v>22292</v>
      </c>
      <c r="G388" s="15">
        <f>'QTR Rooms'!G596</f>
        <v>23394</v>
      </c>
      <c r="H388" s="208">
        <f>'QTR Rooms'!H596</f>
        <v>23394</v>
      </c>
      <c r="I388" s="15">
        <f>'QTR Rooms'!I596</f>
        <v>23531</v>
      </c>
      <c r="J388" s="15">
        <f>'QTR Rooms'!J596</f>
        <v>22465</v>
      </c>
      <c r="K388" s="15">
        <f>'QTR Rooms'!K596</f>
        <v>23071</v>
      </c>
      <c r="L388" s="474">
        <f>'QTR Rooms'!L596</f>
        <v>23797</v>
      </c>
      <c r="M388" s="474">
        <f>'QTR Rooms'!M596</f>
        <v>23797</v>
      </c>
      <c r="N388" s="15">
        <f>'QTR Rooms'!N596</f>
        <v>25632</v>
      </c>
      <c r="O388" s="15">
        <f>'QTR Rooms'!O596</f>
        <v>26720</v>
      </c>
      <c r="P388" s="15">
        <f>'QTR Rooms'!P596</f>
        <v>26718</v>
      </c>
      <c r="Q388" s="474">
        <f>'QTR Rooms'!Q596</f>
        <v>25743</v>
      </c>
      <c r="R388" s="474">
        <f>'QTR Rooms'!R596</f>
        <v>25743</v>
      </c>
      <c r="S388" s="15">
        <f>'QTR Rooms'!S596</f>
        <v>26029</v>
      </c>
      <c r="T388" s="15">
        <f>'QTR Rooms'!T596</f>
        <v>25211</v>
      </c>
      <c r="U388" s="15">
        <f>'QTR Rooms'!U596</f>
        <v>25249</v>
      </c>
      <c r="V388" s="474">
        <f>'QTR Rooms'!V596</f>
        <v>26554</v>
      </c>
      <c r="W388" s="474">
        <f>'QTR Rooms'!W596</f>
        <v>26554</v>
      </c>
      <c r="X388" s="15">
        <f>'QTR Rooms'!X596</f>
        <v>25101</v>
      </c>
      <c r="Y388" s="15">
        <f>'QTR Rooms'!Y596</f>
        <v>25202</v>
      </c>
      <c r="Z388" s="15">
        <f>'QTR Rooms'!Z596</f>
        <v>25560</v>
      </c>
      <c r="AA388" s="474">
        <f>'QTR Rooms'!AA596</f>
        <v>25533</v>
      </c>
      <c r="AB388" s="474">
        <f>'QTR Rooms'!AB596</f>
        <v>25533</v>
      </c>
      <c r="AC388" s="15">
        <f>'QTR Rooms'!AC596</f>
        <v>28253.33</v>
      </c>
      <c r="AD388" s="15">
        <f>'QTR Rooms'!AD596</f>
        <v>28531.038131907069</v>
      </c>
      <c r="AE388" s="15">
        <f>'QTR Rooms'!AE596</f>
        <v>27639</v>
      </c>
      <c r="AF388" s="474">
        <f>'QTR Rooms'!AF596</f>
        <v>27825</v>
      </c>
      <c r="AG388" s="474">
        <f>'QTR Rooms'!AG596</f>
        <v>27825</v>
      </c>
      <c r="AH388" s="15">
        <f>'QTR Rooms'!AH596</f>
        <v>28239.539999999994</v>
      </c>
      <c r="AI388" s="15">
        <f>'QTR Rooms'!AI596</f>
        <v>28660.2981</v>
      </c>
      <c r="AJ388" s="15">
        <f>'QTR Rooms'!AJ596</f>
        <v>29087.367571499995</v>
      </c>
      <c r="AK388" s="15">
        <f>'QTR Rooms'!AK596</f>
        <v>29520.843085072491</v>
      </c>
      <c r="AL388" s="208">
        <f>'QTR Rooms'!AL596</f>
        <v>29520.843085072491</v>
      </c>
      <c r="AM388" s="208">
        <f>'QTR Rooms'!AM596</f>
        <v>30840.776023900751</v>
      </c>
      <c r="AN388" s="208">
        <f>'QTR Rooms'!AN596</f>
        <v>31760.329304617771</v>
      </c>
      <c r="AO388" s="682"/>
    </row>
    <row r="389" spans="1:42">
      <c r="A389" s="394" t="s">
        <v>209</v>
      </c>
      <c r="B389" s="13">
        <f>'QTR Rooms'!B667</f>
        <v>10793</v>
      </c>
      <c r="C389" s="208">
        <f>'QTR Rooms'!C667</f>
        <v>12434</v>
      </c>
      <c r="D389" s="15">
        <f>'QTR Rooms'!D667</f>
        <v>12464</v>
      </c>
      <c r="E389" s="15">
        <f>'QTR Rooms'!E667</f>
        <v>13153</v>
      </c>
      <c r="F389" s="15">
        <f>'QTR Rooms'!F667</f>
        <v>13153</v>
      </c>
      <c r="G389" s="15">
        <f>'QTR Rooms'!G667</f>
        <v>13239</v>
      </c>
      <c r="H389" s="208">
        <f>'QTR Rooms'!H667</f>
        <v>13239</v>
      </c>
      <c r="I389" s="15">
        <f>'QTR Rooms'!I667</f>
        <v>13553</v>
      </c>
      <c r="J389" s="15">
        <f>'QTR Rooms'!J667</f>
        <v>13555</v>
      </c>
      <c r="K389" s="15">
        <f>'QTR Rooms'!K667</f>
        <v>14915</v>
      </c>
      <c r="L389" s="474">
        <f>'QTR Rooms'!L667</f>
        <v>15777</v>
      </c>
      <c r="M389" s="474">
        <f>'QTR Rooms'!M667</f>
        <v>15777</v>
      </c>
      <c r="N389" s="15">
        <f>'QTR Rooms'!N667</f>
        <v>16511</v>
      </c>
      <c r="O389" s="15">
        <f>'QTR Rooms'!O667</f>
        <v>16980</v>
      </c>
      <c r="P389" s="15">
        <f>'QTR Rooms'!P667</f>
        <v>16979</v>
      </c>
      <c r="Q389" s="474">
        <f>'QTR Rooms'!Q667</f>
        <v>16995</v>
      </c>
      <c r="R389" s="474">
        <f>'QTR Rooms'!R667</f>
        <v>16995</v>
      </c>
      <c r="S389" s="15">
        <f>'QTR Rooms'!S667</f>
        <v>16795</v>
      </c>
      <c r="T389" s="15">
        <f>'QTR Rooms'!T667</f>
        <v>17018</v>
      </c>
      <c r="U389" s="15">
        <f>'QTR Rooms'!U667</f>
        <v>17307</v>
      </c>
      <c r="V389" s="474">
        <f>'QTR Rooms'!V667</f>
        <v>18421</v>
      </c>
      <c r="W389" s="474">
        <f>'QTR Rooms'!W667</f>
        <v>18421</v>
      </c>
      <c r="X389" s="15">
        <f>'QTR Rooms'!X667</f>
        <v>18521</v>
      </c>
      <c r="Y389" s="15">
        <f>'QTR Rooms'!Y667</f>
        <v>19199</v>
      </c>
      <c r="Z389" s="15">
        <f>'QTR Rooms'!Z667</f>
        <v>19199</v>
      </c>
      <c r="AA389" s="474">
        <f>'QTR Rooms'!AA667</f>
        <v>19399</v>
      </c>
      <c r="AB389" s="474">
        <f>'QTR Rooms'!AB667</f>
        <v>19399</v>
      </c>
      <c r="AC389" s="15">
        <f>'QTR Rooms'!AC667</f>
        <v>19917.98</v>
      </c>
      <c r="AD389" s="15">
        <f>'QTR Rooms'!AD667</f>
        <v>20111.782489216275</v>
      </c>
      <c r="AE389" s="15">
        <f>'QTR Rooms'!AE667</f>
        <v>19090</v>
      </c>
      <c r="AF389" s="474">
        <f>'QTR Rooms'!AF667</f>
        <v>19331</v>
      </c>
      <c r="AG389" s="474">
        <f>'QTR Rooms'!AG667</f>
        <v>19331</v>
      </c>
      <c r="AH389" s="15">
        <f>'QTR Rooms'!AH667</f>
        <v>19617.949999999997</v>
      </c>
      <c r="AI389" s="15">
        <f>'QTR Rooms'!AI667</f>
        <v>19909.204249999995</v>
      </c>
      <c r="AJ389" s="15">
        <f>'QTR Rooms'!AJ667</f>
        <v>20204.827313749996</v>
      </c>
      <c r="AK389" s="15">
        <f>'QTR Rooms'!AK667</f>
        <v>20504.884723456245</v>
      </c>
      <c r="AL389" s="208">
        <f>'QTR Rooms'!AL667</f>
        <v>20504.884723456245</v>
      </c>
      <c r="AM389" s="208">
        <f>'QTR Rooms'!AM667</f>
        <v>21418.559536011777</v>
      </c>
      <c r="AN389" s="208">
        <f>'QTR Rooms'!AN667</f>
        <v>22055.086322092127</v>
      </c>
      <c r="AO389" s="682"/>
    </row>
    <row r="390" spans="1:42" s="5" customFormat="1">
      <c r="A390" s="402" t="s">
        <v>1688</v>
      </c>
      <c r="B390" s="5">
        <f>'QTR Rooms'!B738</f>
        <v>19616</v>
      </c>
      <c r="C390" s="596">
        <f>'QTR Rooms'!C738</f>
        <v>23213</v>
      </c>
      <c r="D390" s="5">
        <f>'QTR Rooms'!D738</f>
        <v>23997</v>
      </c>
      <c r="E390" s="5">
        <f>'QTR Rooms'!E738</f>
        <v>24204</v>
      </c>
      <c r="F390" s="5">
        <f>'QTR Rooms'!F738</f>
        <v>24510</v>
      </c>
      <c r="G390" s="587">
        <f>'QTR Rooms'!G738</f>
        <v>25991</v>
      </c>
      <c r="H390" s="587">
        <f>'QTR Rooms'!H738</f>
        <v>25991</v>
      </c>
      <c r="I390" s="5">
        <f>'QTR Rooms'!I738</f>
        <v>26546</v>
      </c>
      <c r="J390" s="1052">
        <f>'QTR Rooms'!J738</f>
        <v>28307</v>
      </c>
      <c r="K390" s="1052">
        <f>'QTR Rooms'!K738</f>
        <v>28839</v>
      </c>
      <c r="L390" s="587">
        <f>'QTR Rooms'!L738</f>
        <v>31085</v>
      </c>
      <c r="M390" s="587">
        <f>'QTR Rooms'!M738</f>
        <v>31085</v>
      </c>
      <c r="N390" s="5">
        <f>'QTR Rooms'!N738</f>
        <v>32126</v>
      </c>
      <c r="O390" s="1052">
        <f>'QTR Rooms'!O738</f>
        <v>32670</v>
      </c>
      <c r="P390" s="1052">
        <f>'QTR Rooms'!P738</f>
        <v>34080</v>
      </c>
      <c r="Q390" s="587">
        <f>'QTR Rooms'!Q738</f>
        <v>36796</v>
      </c>
      <c r="R390" s="587">
        <f>'QTR Rooms'!R738</f>
        <v>36796</v>
      </c>
      <c r="S390" s="5">
        <f>'QTR Rooms'!S738</f>
        <v>36382</v>
      </c>
      <c r="T390" s="1052">
        <f>'QTR Rooms'!T738</f>
        <v>36940</v>
      </c>
      <c r="U390" s="1052">
        <f>'QTR Rooms'!U738</f>
        <v>40452</v>
      </c>
      <c r="V390" s="587">
        <f>'QTR Rooms'!V738</f>
        <v>42697</v>
      </c>
      <c r="W390" s="587">
        <f>'QTR Rooms'!W738</f>
        <v>42697</v>
      </c>
      <c r="X390" s="1052">
        <f>'QTR Rooms'!X738</f>
        <v>42999</v>
      </c>
      <c r="Y390" s="1052">
        <f>'QTR Rooms'!Y738</f>
        <v>44426</v>
      </c>
      <c r="Z390" s="1052">
        <f>'QTR Rooms'!Z738</f>
        <v>46422</v>
      </c>
      <c r="AA390" s="587">
        <f>'QTR Rooms'!AA738</f>
        <v>49749</v>
      </c>
      <c r="AB390" s="587">
        <f>'QTR Rooms'!AB738</f>
        <v>49749</v>
      </c>
      <c r="AC390" s="1052">
        <f>'QTR Rooms'!AC738</f>
        <v>50246.49</v>
      </c>
      <c r="AD390" s="1052">
        <f>'QTR Rooms'!AD738</f>
        <v>50740.373689915024</v>
      </c>
      <c r="AE390" s="1052">
        <f>'QTR Rooms'!AE738</f>
        <v>53033</v>
      </c>
      <c r="AF390" s="587">
        <f>'QTR Rooms'!AF738</f>
        <v>55893</v>
      </c>
      <c r="AG390" s="587">
        <f>'QTR Rooms'!AG738</f>
        <v>55893</v>
      </c>
      <c r="AH390" s="1052">
        <f>'QTR Rooms'!AH738</f>
        <v>56724.674999999996</v>
      </c>
      <c r="AI390" s="1052">
        <f>'QTR Rooms'!AI738</f>
        <v>57568.825124999988</v>
      </c>
      <c r="AJ390" s="1052">
        <f>'QTR Rooms'!AJ738</f>
        <v>58425.63750187499</v>
      </c>
      <c r="AK390" s="1052">
        <f>'QTR Rooms'!AK738</f>
        <v>59295.302064403098</v>
      </c>
      <c r="AL390" s="596">
        <f>'QTR Rooms'!AL738</f>
        <v>59295.302064403098</v>
      </c>
      <c r="AM390" s="587">
        <f>'QTR Rooms'!AM738</f>
        <v>61943.430657301236</v>
      </c>
      <c r="AN390" s="587">
        <f>'QTR Rooms'!AN738</f>
        <v>63788.293577020268</v>
      </c>
    </row>
    <row r="391" spans="1:42">
      <c r="A391" s="482" t="s">
        <v>168</v>
      </c>
      <c r="B391" s="505">
        <f>SUM(B387:B390)</f>
        <v>56873</v>
      </c>
      <c r="C391" s="502">
        <f t="shared" ref="C391:AN391" si="383">SUM(C387:C390)</f>
        <v>65057</v>
      </c>
      <c r="D391" s="228">
        <f t="shared" si="383"/>
        <v>66944</v>
      </c>
      <c r="E391" s="228">
        <f t="shared" si="383"/>
        <v>68164</v>
      </c>
      <c r="F391" s="228">
        <f t="shared" si="383"/>
        <v>69207</v>
      </c>
      <c r="G391" s="588">
        <f t="shared" si="383"/>
        <v>72478</v>
      </c>
      <c r="H391" s="588">
        <f t="shared" si="383"/>
        <v>72478</v>
      </c>
      <c r="I391" s="228">
        <f t="shared" si="383"/>
        <v>73732</v>
      </c>
      <c r="J391" s="228">
        <f t="shared" si="383"/>
        <v>74429</v>
      </c>
      <c r="K391" s="228">
        <f t="shared" si="383"/>
        <v>76903</v>
      </c>
      <c r="L391" s="588">
        <f>SUM(L387:L390)</f>
        <v>80969</v>
      </c>
      <c r="M391" s="588">
        <f>SUM(M387:M390)</f>
        <v>80969</v>
      </c>
      <c r="N391" s="228">
        <f t="shared" si="383"/>
        <v>84839</v>
      </c>
      <c r="O391" s="228">
        <f t="shared" si="383"/>
        <v>87242</v>
      </c>
      <c r="P391" s="228">
        <f t="shared" si="383"/>
        <v>89227</v>
      </c>
      <c r="Q391" s="588">
        <f t="shared" si="383"/>
        <v>90623</v>
      </c>
      <c r="R391" s="588">
        <f t="shared" si="383"/>
        <v>90623</v>
      </c>
      <c r="S391" s="228">
        <f t="shared" ref="S391:AB391" si="384">SUM(S387:S390)</f>
        <v>89810</v>
      </c>
      <c r="T391" s="228">
        <f t="shared" si="384"/>
        <v>90164</v>
      </c>
      <c r="U391" s="228">
        <f t="shared" si="384"/>
        <v>94327</v>
      </c>
      <c r="V391" s="588">
        <f t="shared" si="384"/>
        <v>99574</v>
      </c>
      <c r="W391" s="588">
        <f t="shared" si="384"/>
        <v>99574</v>
      </c>
      <c r="X391" s="228">
        <f t="shared" si="384"/>
        <v>98418</v>
      </c>
      <c r="Y391" s="228">
        <f t="shared" si="384"/>
        <v>100843</v>
      </c>
      <c r="Z391" s="228">
        <f t="shared" si="384"/>
        <v>103058</v>
      </c>
      <c r="AA391" s="588">
        <f t="shared" si="384"/>
        <v>106634</v>
      </c>
      <c r="AB391" s="588">
        <f t="shared" si="384"/>
        <v>106634</v>
      </c>
      <c r="AC391" s="228">
        <f>SUM(AC387:AC390)</f>
        <v>111740.32999999999</v>
      </c>
      <c r="AD391" s="228">
        <f>SUM(AD387:AD390)</f>
        <v>112836.674359</v>
      </c>
      <c r="AE391" s="228">
        <f>SUM(AE387:AE390)</f>
        <v>113802</v>
      </c>
      <c r="AF391" s="588">
        <f>SUM(AF387:AF390)</f>
        <v>117423</v>
      </c>
      <c r="AG391" s="588">
        <f>SUM(AG387:AG390)</f>
        <v>117423</v>
      </c>
      <c r="AH391" s="228">
        <f t="shared" ref="AH391:AK391" si="385">SUM(AH387:AH390)</f>
        <v>119171.77499999999</v>
      </c>
      <c r="AI391" s="228">
        <f t="shared" si="385"/>
        <v>120946.78162499997</v>
      </c>
      <c r="AJ391" s="228">
        <f t="shared" si="385"/>
        <v>122748.41334937498</v>
      </c>
      <c r="AK391" s="228">
        <f t="shared" si="385"/>
        <v>124577.06954961558</v>
      </c>
      <c r="AL391" s="502">
        <f>SUM(AL387:AL390)</f>
        <v>124577.06954961558</v>
      </c>
      <c r="AM391" s="588">
        <f t="shared" si="383"/>
        <v>130145.32767934827</v>
      </c>
      <c r="AN391" s="588">
        <f t="shared" si="383"/>
        <v>134024.54750972873</v>
      </c>
      <c r="AO391" s="682"/>
    </row>
    <row r="392" spans="1:42">
      <c r="A392" s="477" t="s">
        <v>1423</v>
      </c>
      <c r="B392" s="445"/>
      <c r="C392" s="445">
        <f>C391/B391-1</f>
        <v>0.14389956569901363</v>
      </c>
      <c r="D392" s="437"/>
      <c r="E392" s="437"/>
      <c r="F392" s="437"/>
      <c r="G392" s="437"/>
      <c r="H392" s="445">
        <f t="shared" ref="H392:R392" si="386">H391/C391-1</f>
        <v>0.11406920085463512</v>
      </c>
      <c r="I392" s="437">
        <f t="shared" si="386"/>
        <v>0.10139818355640529</v>
      </c>
      <c r="J392" s="437">
        <f t="shared" si="386"/>
        <v>9.1910685992605989E-2</v>
      </c>
      <c r="K392" s="437">
        <f t="shared" si="386"/>
        <v>0.11120262401202186</v>
      </c>
      <c r="L392" s="589">
        <f>L391/G391-1</f>
        <v>0.11715279119180999</v>
      </c>
      <c r="M392" s="589">
        <f>M391/H391-1</f>
        <v>0.11715279119180999</v>
      </c>
      <c r="N392" s="437">
        <f t="shared" si="386"/>
        <v>0.15064015624152338</v>
      </c>
      <c r="O392" s="437">
        <f t="shared" si="386"/>
        <v>0.17215064020744597</v>
      </c>
      <c r="P392" s="437">
        <f t="shared" si="386"/>
        <v>0.16025382624865081</v>
      </c>
      <c r="Q392" s="589">
        <f t="shared" si="386"/>
        <v>0.11923081673232971</v>
      </c>
      <c r="R392" s="589">
        <f t="shared" si="386"/>
        <v>0.11923081673232971</v>
      </c>
      <c r="S392" s="437">
        <f t="shared" ref="S392:AB392" si="387">S391/N391-1</f>
        <v>5.8593335612159514E-2</v>
      </c>
      <c r="T392" s="437">
        <f t="shared" si="387"/>
        <v>3.3493042341991242E-2</v>
      </c>
      <c r="U392" s="437">
        <f t="shared" si="387"/>
        <v>5.7157586829098772E-2</v>
      </c>
      <c r="V392" s="589">
        <f t="shared" si="387"/>
        <v>9.8771834964633598E-2</v>
      </c>
      <c r="W392" s="589">
        <f t="shared" si="387"/>
        <v>9.8771834964633598E-2</v>
      </c>
      <c r="X392" s="437">
        <f t="shared" si="387"/>
        <v>9.5846787662843713E-2</v>
      </c>
      <c r="Y392" s="437">
        <f t="shared" si="387"/>
        <v>0.11843973204383129</v>
      </c>
      <c r="Z392" s="437">
        <f t="shared" si="387"/>
        <v>9.2560984659747492E-2</v>
      </c>
      <c r="AA392" s="589">
        <f t="shared" si="387"/>
        <v>7.0902042701910029E-2</v>
      </c>
      <c r="AB392" s="589">
        <f t="shared" si="387"/>
        <v>7.0902042701910029E-2</v>
      </c>
      <c r="AC392" s="437">
        <f>AC391/X391-1</f>
        <v>0.13536477067203134</v>
      </c>
      <c r="AD392" s="437">
        <f>AD391/Y391-1</f>
        <v>0.11893412888351196</v>
      </c>
      <c r="AE392" s="437">
        <f>AE391/Z391-1</f>
        <v>0.10425197461623559</v>
      </c>
      <c r="AF392" s="589">
        <f>AF391/AA391-1</f>
        <v>0.10117786071984547</v>
      </c>
      <c r="AG392" s="589">
        <f>AG391/AB391-1</f>
        <v>0.10117786071984547</v>
      </c>
      <c r="AH392" s="437">
        <f t="shared" ref="AH392:AK392" si="388">AH391/AC391-1</f>
        <v>6.6506381357563704E-2</v>
      </c>
      <c r="AI392" s="437">
        <f t="shared" si="388"/>
        <v>7.1874745618582647E-2</v>
      </c>
      <c r="AJ392" s="437">
        <f t="shared" si="388"/>
        <v>7.8613849926846502E-2</v>
      </c>
      <c r="AK392" s="437">
        <f t="shared" si="388"/>
        <v>6.0925624022683644E-2</v>
      </c>
      <c r="AL392" s="445">
        <f>AL391/AG391-1</f>
        <v>6.0925624022683644E-2</v>
      </c>
      <c r="AM392" s="445">
        <f>AM391/AL391-1</f>
        <v>4.469729581746984E-2</v>
      </c>
      <c r="AN392" s="445">
        <f>AN391/AM391-1</f>
        <v>2.9806831328882399E-2</v>
      </c>
    </row>
    <row r="393" spans="1:42">
      <c r="AG393" s="7"/>
    </row>
    <row r="394" spans="1:42">
      <c r="AG394" s="7"/>
    </row>
    <row r="395" spans="1:42" s="12" customFormat="1">
      <c r="A395" s="461" t="s">
        <v>1430</v>
      </c>
      <c r="B395" s="1050" t="str">
        <f>B$4</f>
        <v>2010</v>
      </c>
      <c r="C395" s="774" t="str">
        <f t="shared" ref="C395:AN395" si="389">C$4</f>
        <v>2011</v>
      </c>
      <c r="D395" s="773" t="str">
        <f t="shared" si="389"/>
        <v>1Q12</v>
      </c>
      <c r="E395" s="773" t="str">
        <f t="shared" si="389"/>
        <v>2Q12</v>
      </c>
      <c r="F395" s="1049" t="str">
        <f t="shared" si="389"/>
        <v>3Q12</v>
      </c>
      <c r="G395" s="773" t="str">
        <f t="shared" si="389"/>
        <v>4Q12</v>
      </c>
      <c r="H395" s="774">
        <f t="shared" si="389"/>
        <v>2012</v>
      </c>
      <c r="I395" s="773" t="str">
        <f t="shared" si="389"/>
        <v>1Q13</v>
      </c>
      <c r="J395" s="773" t="str">
        <f t="shared" si="389"/>
        <v>2Q13</v>
      </c>
      <c r="K395" s="773" t="str">
        <f t="shared" si="389"/>
        <v>3Q13</v>
      </c>
      <c r="L395" s="773" t="str">
        <f t="shared" si="389"/>
        <v>4Q13</v>
      </c>
      <c r="M395" s="774">
        <f t="shared" si="389"/>
        <v>2013</v>
      </c>
      <c r="N395" s="773" t="str">
        <f t="shared" si="389"/>
        <v>1Q14</v>
      </c>
      <c r="O395" s="773" t="str">
        <f t="shared" si="389"/>
        <v>2Q14</v>
      </c>
      <c r="P395" s="773" t="str">
        <f t="shared" si="389"/>
        <v>3Q14</v>
      </c>
      <c r="Q395" s="773" t="str">
        <f t="shared" si="389"/>
        <v>4Q14</v>
      </c>
      <c r="R395" s="774">
        <f t="shared" si="389"/>
        <v>2014</v>
      </c>
      <c r="S395" s="773" t="str">
        <f t="shared" si="389"/>
        <v>1Q15</v>
      </c>
      <c r="T395" s="773" t="str">
        <f t="shared" si="389"/>
        <v>2Q15</v>
      </c>
      <c r="U395" s="773" t="str">
        <f t="shared" si="389"/>
        <v>3Q15</v>
      </c>
      <c r="V395" s="773" t="str">
        <f t="shared" si="389"/>
        <v>4Q15</v>
      </c>
      <c r="W395" s="774">
        <f t="shared" si="389"/>
        <v>2015</v>
      </c>
      <c r="X395" s="773" t="str">
        <f t="shared" si="389"/>
        <v>1Q16</v>
      </c>
      <c r="Y395" s="773" t="str">
        <f t="shared" si="389"/>
        <v>2Q16</v>
      </c>
      <c r="Z395" s="773" t="str">
        <f t="shared" si="389"/>
        <v>3Q16</v>
      </c>
      <c r="AA395" s="773" t="str">
        <f t="shared" si="389"/>
        <v>4Q16</v>
      </c>
      <c r="AB395" s="774">
        <f t="shared" si="389"/>
        <v>2016</v>
      </c>
      <c r="AC395" s="773" t="str">
        <f t="shared" si="389"/>
        <v>1Q17</v>
      </c>
      <c r="AD395" s="773" t="str">
        <f t="shared" si="389"/>
        <v>2Q17</v>
      </c>
      <c r="AE395" s="773" t="str">
        <f t="shared" si="389"/>
        <v>3Q17</v>
      </c>
      <c r="AF395" s="773" t="str">
        <f t="shared" si="389"/>
        <v>4Q17A</v>
      </c>
      <c r="AG395" s="774" t="str">
        <f t="shared" si="389"/>
        <v>2017A</v>
      </c>
      <c r="AH395" s="1049" t="str">
        <f>AH4</f>
        <v>1Q18E</v>
      </c>
      <c r="AI395" s="1049" t="str">
        <f>AI4</f>
        <v>2Q18E</v>
      </c>
      <c r="AJ395" s="1049" t="str">
        <f>AJ4</f>
        <v>3Q18E</v>
      </c>
      <c r="AK395" s="1049" t="str">
        <f>AK4</f>
        <v>4Q18E</v>
      </c>
      <c r="AL395" s="774" t="str">
        <f t="shared" si="389"/>
        <v>2018E</v>
      </c>
      <c r="AM395" s="774" t="str">
        <f t="shared" si="389"/>
        <v>2019E</v>
      </c>
      <c r="AN395" s="774" t="str">
        <f t="shared" si="389"/>
        <v>2020E</v>
      </c>
    </row>
    <row r="396" spans="1:42" s="130" customFormat="1">
      <c r="A396" s="482"/>
      <c r="B396" s="397"/>
      <c r="C396" s="397"/>
      <c r="D396" s="203"/>
      <c r="E396" s="203"/>
      <c r="F396" s="203"/>
      <c r="G396" s="203"/>
      <c r="H396" s="397"/>
      <c r="I396" s="203"/>
      <c r="J396" s="203"/>
      <c r="K396" s="203"/>
      <c r="L396" s="203"/>
      <c r="M396" s="397"/>
      <c r="N396" s="203"/>
      <c r="O396" s="203"/>
      <c r="P396" s="203"/>
      <c r="Q396" s="203"/>
      <c r="R396" s="397"/>
      <c r="S396" s="203"/>
      <c r="T396" s="203"/>
      <c r="U396" s="203"/>
      <c r="V396" s="572"/>
      <c r="W396" s="572"/>
      <c r="X396" s="203"/>
      <c r="Y396" s="203"/>
      <c r="Z396" s="203"/>
      <c r="AA396" s="572"/>
      <c r="AB396" s="572"/>
      <c r="AC396" s="203"/>
      <c r="AD396" s="203"/>
      <c r="AE396" s="203"/>
      <c r="AF396" s="572"/>
      <c r="AG396" s="572"/>
      <c r="AH396" s="203"/>
      <c r="AI396" s="203"/>
      <c r="AJ396" s="203"/>
      <c r="AK396" s="572"/>
      <c r="AL396" s="572"/>
      <c r="AM396" s="572"/>
      <c r="AN396" s="572"/>
    </row>
    <row r="397" spans="1:42">
      <c r="A397" s="482" t="s">
        <v>429</v>
      </c>
      <c r="B397" s="208"/>
      <c r="C397" s="208"/>
      <c r="D397" s="15"/>
      <c r="E397" s="15"/>
      <c r="F397" s="15"/>
      <c r="G397" s="15"/>
      <c r="H397" s="208"/>
      <c r="I397" s="15"/>
      <c r="J397" s="15"/>
      <c r="K397" s="15"/>
      <c r="L397" s="15"/>
      <c r="M397" s="208"/>
      <c r="N397" s="15"/>
      <c r="O397" s="15"/>
      <c r="P397" s="15"/>
      <c r="Q397" s="15"/>
      <c r="R397" s="208"/>
      <c r="V397" s="474"/>
      <c r="W397" s="474"/>
      <c r="AA397" s="474"/>
      <c r="AB397" s="474"/>
      <c r="AF397" s="474"/>
      <c r="AG397" s="474"/>
      <c r="AK397" s="474"/>
      <c r="AL397" s="474"/>
      <c r="AM397" s="474"/>
      <c r="AN397" s="474"/>
    </row>
    <row r="398" spans="1:42">
      <c r="A398" s="482" t="s">
        <v>698</v>
      </c>
      <c r="B398" s="591">
        <f>'QTR Rooms'!B470*RevPAR!B303*RevPAR!B$5/1000000</f>
        <v>11515.939387245488</v>
      </c>
      <c r="C398" s="591">
        <f>'QTR Rooms'!C470*RevPAR!C303*RevPAR!C$5/1000000</f>
        <v>12475.884437921066</v>
      </c>
      <c r="D398" s="580">
        <f>'QTR Rooms'!D470*RevPAR!D303*RevPAR!D$5/1000000</f>
        <v>3056.8891480872194</v>
      </c>
      <c r="E398" s="580">
        <f>'QTR Rooms'!E470*RevPAR!E303*RevPAR!E$5/1000000</f>
        <v>3562.9893459352725</v>
      </c>
      <c r="F398" s="580">
        <f>'QTR Rooms'!F470*RevPAR!F303*RevPAR!F$5/1000000</f>
        <v>3544.4116847985788</v>
      </c>
      <c r="G398" s="580">
        <f>'QTR Rooms'!G470*RevPAR!G303*RevPAR!G$5/1000000</f>
        <v>3195.8880750774451</v>
      </c>
      <c r="H398" s="591">
        <f>'QTR Rooms'!H470*RevPAR!H303*RevPAR!H$5/1000000</f>
        <v>13532.165050500942</v>
      </c>
      <c r="I398" s="580">
        <f>'QTR Rooms'!I470*RevPAR!I303*RevPAR!I$5/1000000</f>
        <v>3310.2458655655469</v>
      </c>
      <c r="J398" s="580">
        <f>'QTR Rooms'!J470*RevPAR!J303*RevPAR!J$5/1000000</f>
        <v>3916.6367509933107</v>
      </c>
      <c r="K398" s="580">
        <f>'QTR Rooms'!K470*RevPAR!K303*RevPAR!K$5/1000000</f>
        <v>3904.0049034059775</v>
      </c>
      <c r="L398" s="580">
        <f>'QTR Rooms'!L470*RevPAR!L303*RevPAR!L$5/1000000</f>
        <v>3482.7744856740001</v>
      </c>
      <c r="M398" s="591">
        <f>'QTR Rooms'!M470*RevPAR!M303*RevPAR!M$5/1000000</f>
        <v>14782.210336409235</v>
      </c>
      <c r="N398" s="580">
        <f>'QTR Rooms'!N470*RevPAR!N303*RevPAR!N$5/1000000</f>
        <v>3657.1140283859995</v>
      </c>
      <c r="O398" s="580">
        <f>'QTR Rooms'!O470*RevPAR!O303*RevPAR!O$5/1000000</f>
        <v>4416.6762136224006</v>
      </c>
      <c r="P398" s="580">
        <f>'QTR Rooms'!P470*RevPAR!P303*RevPAR!P$5/1000000</f>
        <v>4483.7932390838396</v>
      </c>
      <c r="Q398" s="580">
        <f>'QTR Rooms'!Q470*RevPAR!Q303*RevPAR!Q$5/1000000</f>
        <v>3902.9841692405525</v>
      </c>
      <c r="R398" s="591">
        <f>'QTR Rooms'!R470*RevPAR!R303*RevPAR!R$5/1000000</f>
        <v>16792.829639512354</v>
      </c>
      <c r="S398" s="580">
        <f>'QTR Rooms'!S470*RevPAR!S303*RevPAR!S$5/1000000</f>
        <v>4103.6557035189871</v>
      </c>
      <c r="T398" s="580">
        <f>'QTR Rooms'!T470*RevPAR!T303*RevPAR!T$5/1000000</f>
        <v>4924.4984609511603</v>
      </c>
      <c r="U398" s="580">
        <f>'QTR Rooms'!U470*RevPAR!U303*RevPAR!U$5/1000000</f>
        <v>4985.7986572998807</v>
      </c>
      <c r="V398" s="580">
        <f>'QTR Rooms'!V470*RevPAR!V303*RevPAR!V$5/1000000</f>
        <v>4291.2579826175315</v>
      </c>
      <c r="W398" s="591">
        <f>'QTR Rooms'!W470*RevPAR!W303*RevPAR!W$5/1000000</f>
        <v>18712.426306766996</v>
      </c>
      <c r="X398" s="580">
        <f>'QTR Rooms'!X470*RevPAR!X303*RevPAR!X$5/1000000</f>
        <v>4481.9087346926563</v>
      </c>
      <c r="Y398" s="580">
        <f>'QTR Rooms'!Y470*RevPAR!Y303*RevPAR!Y$5/1000000</f>
        <v>5356.5382976956189</v>
      </c>
      <c r="Z398" s="580">
        <f>'QTR Rooms'!Z470*RevPAR!Z303*RevPAR!Z$5/1000000</f>
        <v>5360.7073825648977</v>
      </c>
      <c r="AA398" s="581">
        <f>'QTR Rooms'!AA470*RevPAR!AA303*RevPAR!AA$5/1000000</f>
        <v>4621.0106662838207</v>
      </c>
      <c r="AB398" s="591">
        <f>SUM(X398:AA398)</f>
        <v>19820.165081236992</v>
      </c>
      <c r="AC398" s="580">
        <f>'QTR Rooms'!AC470*RevPAR!AC303*RevPAR!AC$5/1000000</f>
        <v>4841.0837145208343</v>
      </c>
      <c r="AD398" s="580">
        <f>'QTR Rooms'!AD470*RevPAR!AD303*RevPAR!AD$5/1000000</f>
        <v>5770.9785788329245</v>
      </c>
      <c r="AE398" s="580">
        <f>'QTR Rooms'!AE470*RevPAR!AE303*RevPAR!AE$5/1000000</f>
        <v>5707.7655407977172</v>
      </c>
      <c r="AF398" s="581">
        <f>'QTR Rooms'!AF470*RevPAR!AF303*RevPAR!AF$5/1000000</f>
        <v>5085.2213570551021</v>
      </c>
      <c r="AG398" s="591">
        <f>SUM(AC398:AF398)</f>
        <v>21405.049191206581</v>
      </c>
      <c r="AH398" s="580">
        <f>'QTR Rooms'!AH470*RevPAR!AH303*RevPAR!AH$5/1000000</f>
        <v>5223.2100896449792</v>
      </c>
      <c r="AI398" s="580">
        <f>'QTR Rooms'!AI470*RevPAR!AI303*RevPAR!AI$5/1000000</f>
        <v>6254.4315376513905</v>
      </c>
      <c r="AJ398" s="580">
        <f>'QTR Rooms'!AJ470*RevPAR!AJ303*RevPAR!AJ$5/1000000</f>
        <v>6224.3421139859611</v>
      </c>
      <c r="AK398" s="581">
        <f>'QTR Rooms'!AK470*RevPAR!AK303*RevPAR!AK$5/1000000</f>
        <v>5528.6194588012486</v>
      </c>
      <c r="AL398" s="581">
        <f>SUM(AH398:AK398)</f>
        <v>23230.603200083577</v>
      </c>
      <c r="AM398" s="591">
        <f>AVERAGE('QTR Rooms'!AL470,'QTR Rooms'!AM470)*RevPAR!AM303*RevPAR!AM$5/1000000</f>
        <v>25068.995257920327</v>
      </c>
      <c r="AN398" s="591">
        <f>AVERAGE('QTR Rooms'!AM470,'QTR Rooms'!AN470)*RevPAR!AN303*RevPAR!AN$5/1000000</f>
        <v>25826.921225063088</v>
      </c>
      <c r="AP398" s="682"/>
    </row>
    <row r="399" spans="1:42">
      <c r="A399" s="578" t="s">
        <v>1423</v>
      </c>
      <c r="B399" s="444"/>
      <c r="C399" s="444">
        <f>C398/B398-1</f>
        <v>8.3357945747679851E-2</v>
      </c>
      <c r="D399" s="471"/>
      <c r="E399" s="471"/>
      <c r="F399" s="471"/>
      <c r="G399" s="471"/>
      <c r="H399" s="444">
        <f t="shared" ref="H399:R399" si="390">H398/C398-1</f>
        <v>8.4665790055673984E-2</v>
      </c>
      <c r="I399" s="471">
        <f t="shared" si="390"/>
        <v>8.2880570804099829E-2</v>
      </c>
      <c r="J399" s="471">
        <f t="shared" si="390"/>
        <v>9.9255813229272238E-2</v>
      </c>
      <c r="K399" s="471">
        <f t="shared" si="390"/>
        <v>0.10145356989698384</v>
      </c>
      <c r="L399" s="471">
        <f>L398/G398-1</f>
        <v>8.9767352252973609E-2</v>
      </c>
      <c r="M399" s="444">
        <f>M398/H398-1</f>
        <v>9.2375852736293451E-2</v>
      </c>
      <c r="N399" s="471">
        <f t="shared" si="390"/>
        <v>0.10478622341280119</v>
      </c>
      <c r="O399" s="471">
        <f t="shared" si="390"/>
        <v>0.12767062518684513</v>
      </c>
      <c r="P399" s="471">
        <f t="shared" si="390"/>
        <v>0.14851116994551838</v>
      </c>
      <c r="Q399" s="471">
        <f t="shared" si="390"/>
        <v>0.12065371596554342</v>
      </c>
      <c r="R399" s="444">
        <f t="shared" si="390"/>
        <v>0.13601614760891856</v>
      </c>
      <c r="S399" s="471">
        <f t="shared" ref="S399:AB399" si="391">S398/N398-1</f>
        <v>0.12210220180913001</v>
      </c>
      <c r="T399" s="471">
        <f t="shared" si="391"/>
        <v>0.11497837350233597</v>
      </c>
      <c r="U399" s="471">
        <f t="shared" si="391"/>
        <v>0.11195998375665828</v>
      </c>
      <c r="V399" s="471">
        <f t="shared" si="391"/>
        <v>9.9481267804509166E-2</v>
      </c>
      <c r="W399" s="444">
        <f t="shared" si="391"/>
        <v>0.11431049492325962</v>
      </c>
      <c r="X399" s="471">
        <f t="shared" si="391"/>
        <v>9.217465072649933E-2</v>
      </c>
      <c r="Y399" s="471">
        <f t="shared" si="391"/>
        <v>8.7732759015018758E-2</v>
      </c>
      <c r="Z399" s="471">
        <f t="shared" si="391"/>
        <v>7.5195319954627582E-2</v>
      </c>
      <c r="AA399" s="579">
        <f t="shared" si="391"/>
        <v>7.6842894321900168E-2</v>
      </c>
      <c r="AB399" s="444">
        <f t="shared" si="391"/>
        <v>5.9198030031487825E-2</v>
      </c>
      <c r="AC399" s="471">
        <f>AC398/X398-1</f>
        <v>8.0138842865752347E-2</v>
      </c>
      <c r="AD399" s="471">
        <f>AD398/Y398-1</f>
        <v>7.7370917205165535E-2</v>
      </c>
      <c r="AE399" s="471">
        <f>AE398/Z398-1</f>
        <v>6.4741112219925956E-2</v>
      </c>
      <c r="AF399" s="579">
        <f>AF398/AA398-1</f>
        <v>0.10045652873261934</v>
      </c>
      <c r="AG399" s="444">
        <f>AG398/AB398-1</f>
        <v>7.9963214406823413E-2</v>
      </c>
      <c r="AH399" s="471">
        <f t="shared" ref="AH399:AK399" si="392">AH398/AC398-1</f>
        <v>7.8934056434090794E-2</v>
      </c>
      <c r="AI399" s="471">
        <f t="shared" si="392"/>
        <v>8.3773133484102313E-2</v>
      </c>
      <c r="AJ399" s="471">
        <f t="shared" si="392"/>
        <v>9.0504168311729138E-2</v>
      </c>
      <c r="AK399" s="579">
        <f t="shared" si="392"/>
        <v>8.7193471161483904E-2</v>
      </c>
      <c r="AL399" s="579">
        <f>AL398/AG398-1</f>
        <v>8.5286139385605919E-2</v>
      </c>
      <c r="AM399" s="579">
        <f>AM398/AL398-1</f>
        <v>7.9136647550767769E-2</v>
      </c>
      <c r="AN399" s="579">
        <f>AN398/AM398-1</f>
        <v>3.0233599685384416E-2</v>
      </c>
    </row>
    <row r="400" spans="1:42">
      <c r="A400" s="394"/>
      <c r="B400" s="208"/>
      <c r="C400" s="208"/>
      <c r="D400" s="15"/>
      <c r="E400" s="15"/>
      <c r="F400" s="15"/>
      <c r="G400" s="15"/>
      <c r="H400" s="208"/>
      <c r="I400" s="15"/>
      <c r="J400" s="15"/>
      <c r="K400" s="15"/>
      <c r="L400" s="15"/>
      <c r="M400" s="208"/>
      <c r="N400" s="15"/>
      <c r="O400" s="15"/>
      <c r="P400" s="15"/>
      <c r="Q400" s="15"/>
      <c r="R400" s="208"/>
      <c r="W400" s="208"/>
      <c r="AA400" s="474"/>
      <c r="AB400" s="208"/>
      <c r="AF400" s="474"/>
      <c r="AG400" s="208"/>
      <c r="AK400" s="474"/>
      <c r="AL400" s="1976"/>
      <c r="AM400" s="474"/>
      <c r="AN400" s="474"/>
    </row>
    <row r="401" spans="1:40">
      <c r="A401" s="482" t="s">
        <v>1428</v>
      </c>
      <c r="B401" s="208"/>
      <c r="C401" s="208"/>
      <c r="D401" s="15"/>
      <c r="E401" s="15"/>
      <c r="F401" s="15"/>
      <c r="G401" s="15"/>
      <c r="H401" s="208"/>
      <c r="I401" s="15"/>
      <c r="J401" s="15"/>
      <c r="K401" s="15"/>
      <c r="L401" s="15"/>
      <c r="M401" s="208"/>
      <c r="N401" s="15"/>
      <c r="O401" s="15"/>
      <c r="P401" s="15"/>
      <c r="Q401" s="15"/>
      <c r="R401" s="208"/>
      <c r="W401" s="208"/>
      <c r="AA401" s="474"/>
      <c r="AB401" s="208"/>
      <c r="AF401" s="474"/>
      <c r="AG401" s="208"/>
      <c r="AK401" s="474"/>
      <c r="AL401" s="1976"/>
      <c r="AM401" s="474"/>
      <c r="AN401" s="474"/>
    </row>
    <row r="402" spans="1:40">
      <c r="A402" s="394" t="s">
        <v>208</v>
      </c>
      <c r="B402" s="513">
        <f>B420*RevPAR!B316*RevPAR!B$5/1000000</f>
        <v>669.32763848248362</v>
      </c>
      <c r="C402" s="513">
        <f>C420*RevPAR!C316*RevPAR!C$5/1000000</f>
        <v>741.29480260462788</v>
      </c>
      <c r="D402" s="514">
        <f>D420*RevPAR!D316*RevPAR!D$5/1000000</f>
        <v>186.60708625836159</v>
      </c>
      <c r="E402" s="514">
        <f>E420*RevPAR!E316*RevPAR!E$5/1000000</f>
        <v>193.40782518338639</v>
      </c>
      <c r="F402" s="514">
        <f>F420*RevPAR!F316*RevPAR!F$5/1000000</f>
        <v>198.03941012107583</v>
      </c>
      <c r="G402" s="514">
        <f>G420*RevPAR!G316*RevPAR!G$5/1000000</f>
        <v>178.34783130682976</v>
      </c>
      <c r="H402" s="513">
        <f>SUM(D402:G402)</f>
        <v>756.40215286965361</v>
      </c>
      <c r="I402" s="514">
        <f>I420*RevPAR!I316*RevPAR!I$5/1000000</f>
        <v>187.33796283354442</v>
      </c>
      <c r="J402" s="514">
        <f>J420*RevPAR!J316*RevPAR!J$5/1000000</f>
        <v>196.08829408071873</v>
      </c>
      <c r="K402" s="514">
        <f>K420*RevPAR!K316*RevPAR!K$5/1000000</f>
        <v>205.20261705395151</v>
      </c>
      <c r="L402" s="514">
        <f>L420*RevPAR!L316*RevPAR!L$5/1000000</f>
        <v>188.70111308138252</v>
      </c>
      <c r="M402" s="513">
        <f>SUM(I402:L402)</f>
        <v>777.32998704959709</v>
      </c>
      <c r="N402" s="514">
        <f>N420*RevPAR!N316*RevPAR!N$5/1000000</f>
        <v>203.6351446385595</v>
      </c>
      <c r="O402" s="514">
        <f>O420*RevPAR!O316*RevPAR!O$5/1000000</f>
        <v>220.33089371787233</v>
      </c>
      <c r="P402" s="514">
        <f>P420*RevPAR!P316*RevPAR!P$5/1000000</f>
        <v>243.85966495406086</v>
      </c>
      <c r="Q402" s="514">
        <f>Q420*RevPAR!Q316*RevPAR!Q$5/1000000</f>
        <v>220.84894669189089</v>
      </c>
      <c r="R402" s="513">
        <f>SUM(N402:Q402)</f>
        <v>888.67465000238349</v>
      </c>
      <c r="S402" s="514">
        <f>S420*RevPAR!S316*RevPAR!S$5/1000000</f>
        <v>242.15951389181467</v>
      </c>
      <c r="T402" s="514">
        <f>T420*RevPAR!T316*RevPAR!T$5/1000000</f>
        <v>262.38638126021704</v>
      </c>
      <c r="U402" s="514">
        <f>U420*RevPAR!U316*RevPAR!U$5/1000000</f>
        <v>301.38921922573928</v>
      </c>
      <c r="V402" s="514">
        <f>V420*RevPAR!V316*RevPAR!V$5/1000000</f>
        <v>271.80112789353279</v>
      </c>
      <c r="W402" s="513">
        <f>SUM(S402:V402)</f>
        <v>1077.7362422713038</v>
      </c>
      <c r="X402" s="514">
        <f>X420*RevPAR!X316*RevPAR!X$5/1000000</f>
        <v>287.46896506538786</v>
      </c>
      <c r="Y402" s="514">
        <f>Y420*RevPAR!Y316*RevPAR!Y$5/1000000</f>
        <v>301.14957122286734</v>
      </c>
      <c r="Z402" s="514">
        <f>Z420*RevPAR!Z316*RevPAR!Z$5/1000000</f>
        <v>327.78973471505702</v>
      </c>
      <c r="AA402" s="571">
        <f>AA420*RevPAR!AA316*RevPAR!AA$5/1000000</f>
        <v>292.26547923586412</v>
      </c>
      <c r="AB402" s="513">
        <f>SUM(X402:AA402)</f>
        <v>1208.6737502391763</v>
      </c>
      <c r="AC402" s="514">
        <f>AC420*RevPAR!AC316*RevPAR!AC$5/1000000</f>
        <v>225.06657258149997</v>
      </c>
      <c r="AD402" s="514">
        <f>AD420*RevPAR!AD316*RevPAR!AD$5/1000000</f>
        <v>256.19745529605495</v>
      </c>
      <c r="AE402" s="514">
        <f>AE420*RevPAR!AE316*RevPAR!AE$5/1000000</f>
        <v>280.42747055999996</v>
      </c>
      <c r="AF402" s="571">
        <f>AF420*RevPAR!AF316*RevPAR!AF$5/1000000</f>
        <v>254.38984768</v>
      </c>
      <c r="AG402" s="513">
        <f>SUM(AC402:AF402)</f>
        <v>1016.0813461175549</v>
      </c>
      <c r="AH402" s="514">
        <f>AH420*RevPAR!AH316*RevPAR!AH$5/1000000</f>
        <v>251.62510071406498</v>
      </c>
      <c r="AI402" s="514">
        <f>AI420*RevPAR!AI316*RevPAR!AI$5/1000000</f>
        <v>282.27806592414606</v>
      </c>
      <c r="AJ402" s="514">
        <f>AJ420*RevPAR!AJ316*RevPAR!AJ$5/1000000</f>
        <v>312.55765225233318</v>
      </c>
      <c r="AK402" s="571">
        <f>AK420*RevPAR!AK316*RevPAR!AK$5/1000000</f>
        <v>275.40215324578696</v>
      </c>
      <c r="AL402" s="1969">
        <f>SUM(AH402:AK402)</f>
        <v>1121.8629721363313</v>
      </c>
      <c r="AM402" s="571">
        <f>AVERAGE(AL420:AM420)*RevPAR!AM316*RevPAR!AM$5/1000000</f>
        <v>1196.7320059437036</v>
      </c>
      <c r="AN402" s="571">
        <f>AVERAGE(AM420:AN420)*RevPAR!AN316*RevPAR!AN$5/1000000</f>
        <v>1226.7386720330753</v>
      </c>
    </row>
    <row r="403" spans="1:40">
      <c r="A403" s="394" t="s">
        <v>2218</v>
      </c>
      <c r="B403" s="1047">
        <f>B421*RevPAR!B318*RevPAR!B$5/1000000</f>
        <v>362.70102565027929</v>
      </c>
      <c r="C403" s="361">
        <f>C421*RevPAR!C318*RevPAR!C$5/1000000</f>
        <v>501.21976004844657</v>
      </c>
      <c r="D403" s="305">
        <f>D421*RevPAR!D318*RevPAR!D$5/1000000</f>
        <v>97.195994669338106</v>
      </c>
      <c r="E403" s="305">
        <f>E421*RevPAR!E318*RevPAR!E$5/1000000</f>
        <v>134.97687591483017</v>
      </c>
      <c r="F403" s="305">
        <f>F421*RevPAR!F318*RevPAR!F$5/1000000</f>
        <v>144.01963610721478</v>
      </c>
      <c r="G403" s="305">
        <f>G421*RevPAR!G318*RevPAR!G$5/1000000</f>
        <v>124.23534901086212</v>
      </c>
      <c r="H403" s="361">
        <f>SUM(D403:G403)</f>
        <v>500.42785570224521</v>
      </c>
      <c r="I403" s="305">
        <f>I421*RevPAR!I318*RevPAR!I$5/1000000</f>
        <v>107.96886305493064</v>
      </c>
      <c r="J403" s="305">
        <f>J421*RevPAR!J318*RevPAR!J$5/1000000</f>
        <v>177.16011002203362</v>
      </c>
      <c r="K403" s="305">
        <f>K421*RevPAR!K318*RevPAR!K$5/1000000</f>
        <v>185.88398765077832</v>
      </c>
      <c r="L403" s="305">
        <f>L421*RevPAR!L318*RevPAR!L$5/1000000</f>
        <v>174.35239038335996</v>
      </c>
      <c r="M403" s="361">
        <f>SUM(I403:L403)</f>
        <v>645.36535111110254</v>
      </c>
      <c r="N403" s="305">
        <f>N421*RevPAR!N318*RevPAR!N$5/1000000</f>
        <v>154.61413313040001</v>
      </c>
      <c r="O403" s="305">
        <f>O421*RevPAR!O318*RevPAR!O$5/1000000</f>
        <v>216.74832196654003</v>
      </c>
      <c r="P403" s="305">
        <f>P421*RevPAR!P318*RevPAR!P$5/1000000</f>
        <v>234.95160252720001</v>
      </c>
      <c r="Q403" s="305">
        <f>Q421*RevPAR!Q318*RevPAR!Q$5/1000000</f>
        <v>241.82126417019995</v>
      </c>
      <c r="R403" s="361">
        <f>SUM(N403:Q403)</f>
        <v>848.13532179434003</v>
      </c>
      <c r="S403" s="305">
        <f>S421*RevPAR!S318*RevPAR!S$5/1000000</f>
        <v>184.79709586800004</v>
      </c>
      <c r="T403" s="305">
        <f>T421*RevPAR!T318*RevPAR!T$5/1000000</f>
        <v>276.78224322385</v>
      </c>
      <c r="U403" s="305">
        <f>U421*RevPAR!U318*RevPAR!U$5/1000000</f>
        <v>322.11103599047993</v>
      </c>
      <c r="V403" s="305">
        <f>V421*RevPAR!V318*RevPAR!V$5/1000000</f>
        <v>293.03473369144007</v>
      </c>
      <c r="W403" s="361">
        <f>SUM(S403:V403)</f>
        <v>1076.72510877377</v>
      </c>
      <c r="X403" s="305">
        <f>X421*RevPAR!X318*RevPAR!X$5/1000000</f>
        <v>261.06026993766721</v>
      </c>
      <c r="Y403" s="305">
        <f>Y421*RevPAR!Y318*RevPAR!Y$5/1000000</f>
        <v>356.94587779487904</v>
      </c>
      <c r="Z403" s="305">
        <f>Z421*RevPAR!Z318*RevPAR!Z$5/1000000</f>
        <v>391.12488393281154</v>
      </c>
      <c r="AA403" s="574">
        <f>AA421*RevPAR!AA318*RevPAR!AA$5/1000000</f>
        <v>353.70814656947954</v>
      </c>
      <c r="AB403" s="361">
        <f>SUM(X403:AA403)</f>
        <v>1362.8391782348374</v>
      </c>
      <c r="AC403" s="305">
        <f>AC421*RevPAR!AC318*RevPAR!AC$5/1000000</f>
        <v>244.40771995199998</v>
      </c>
      <c r="AD403" s="305">
        <f>AD421*RevPAR!AD318*RevPAR!AD$5/1000000</f>
        <v>345.13463362468991</v>
      </c>
      <c r="AE403" s="305">
        <f>AE421*RevPAR!AE318*RevPAR!AE$5/1000000</f>
        <v>411.65678759999997</v>
      </c>
      <c r="AF403" s="574">
        <f>AF421*RevPAR!AF318*RevPAR!AF$5/1000000</f>
        <v>380.12835264</v>
      </c>
      <c r="AG403" s="361">
        <f>SUM(AC403:AF403)</f>
        <v>1381.3274938166899</v>
      </c>
      <c r="AH403" s="305">
        <f>AH421*RevPAR!AH318*RevPAR!AH$5/1000000</f>
        <v>303.83393901120002</v>
      </c>
      <c r="AI403" s="305">
        <f>AI421*RevPAR!AI318*RevPAR!AI$5/1000000</f>
        <v>422.77744570166561</v>
      </c>
      <c r="AJ403" s="305">
        <f>AJ421*RevPAR!AJ318*RevPAR!AJ$5/1000000</f>
        <v>464.05667555518119</v>
      </c>
      <c r="AK403" s="574">
        <f>AK421*RevPAR!AK318*RevPAR!AK$5/1000000</f>
        <v>415.01110227779452</v>
      </c>
      <c r="AL403" s="2919">
        <f>SUM(AH403:AK403)</f>
        <v>1605.6791625458413</v>
      </c>
      <c r="AM403" s="574">
        <f>AVERAGE(AL421:AM421)*RevPAR!AM318*RevPAR!AM$5/1000000</f>
        <v>1718.7653298386276</v>
      </c>
      <c r="AN403" s="574">
        <f>AVERAGE(AM421:AN421)*RevPAR!AN318*RevPAR!AN$5/1000000</f>
        <v>1761.5447890811049</v>
      </c>
    </row>
    <row r="404" spans="1:40">
      <c r="A404" s="394" t="s">
        <v>209</v>
      </c>
      <c r="B404" s="1047">
        <f>B422*RevPAR!B320*RevPAR!B$5/1000000</f>
        <v>26.248230495143922</v>
      </c>
      <c r="C404" s="361">
        <f>C422*RevPAR!C320*RevPAR!C$5/1000000</f>
        <v>25.895019171940316</v>
      </c>
      <c r="D404" s="305">
        <f>D422*RevPAR!D320*RevPAR!D$5/1000000</f>
        <v>6.3729841286372855</v>
      </c>
      <c r="E404" s="305">
        <f>E422*RevPAR!E320*RevPAR!E$5/1000000</f>
        <v>5.3584081058744086</v>
      </c>
      <c r="F404" s="305">
        <f>F422*RevPAR!F320*RevPAR!F$5/1000000</f>
        <v>6.3432249929178122</v>
      </c>
      <c r="G404" s="305">
        <f>G422*RevPAR!G320*RevPAR!G$5/1000000</f>
        <v>5.9732916215268199</v>
      </c>
      <c r="H404" s="361">
        <f>SUM(D404:G404)</f>
        <v>24.047908848956325</v>
      </c>
      <c r="I404" s="305">
        <f>I422*RevPAR!I320*RevPAR!I$5/1000000</f>
        <v>6.3419959747450667</v>
      </c>
      <c r="J404" s="305">
        <f>J422*RevPAR!J320*RevPAR!J$5/1000000</f>
        <v>7.9870838571640075</v>
      </c>
      <c r="K404" s="305">
        <f>K422*RevPAR!K320*RevPAR!K$5/1000000</f>
        <v>6.5566941956818869</v>
      </c>
      <c r="L404" s="305">
        <f>L422*RevPAR!L320*RevPAR!L$5/1000000</f>
        <v>7.8870432575199994</v>
      </c>
      <c r="M404" s="361">
        <f>SUM(I404:L404)</f>
        <v>28.77281728511096</v>
      </c>
      <c r="N404" s="305">
        <f>N422*RevPAR!N320*RevPAR!N$5/1000000</f>
        <v>8.1188261387999994</v>
      </c>
      <c r="O404" s="305">
        <f>O422*RevPAR!O320*RevPAR!O$5/1000000</f>
        <v>7.3807273075899982</v>
      </c>
      <c r="P404" s="305">
        <f>P422*RevPAR!P320*RevPAR!P$5/1000000</f>
        <v>8.788607464</v>
      </c>
      <c r="Q404" s="305">
        <f>Q422*RevPAR!Q320*RevPAR!Q$5/1000000</f>
        <v>9.1125315814399972</v>
      </c>
      <c r="R404" s="361">
        <f>SUM(N404:Q404)</f>
        <v>33.400692491829993</v>
      </c>
      <c r="S404" s="305">
        <f>S422*RevPAR!S320*RevPAR!S$5/1000000</f>
        <v>8.4652573302</v>
      </c>
      <c r="T404" s="305">
        <f>T422*RevPAR!T320*RevPAR!T$5/1000000</f>
        <v>7.7129027648399999</v>
      </c>
      <c r="U404" s="305">
        <f>U422*RevPAR!U320*RevPAR!U$5/1000000</f>
        <v>8.6266115327200019</v>
      </c>
      <c r="V404" s="305">
        <f>V422*RevPAR!V320*RevPAR!V$5/1000000</f>
        <v>8.195589816</v>
      </c>
      <c r="W404" s="361">
        <f>SUM(S404:V404)</f>
        <v>33.000361443759999</v>
      </c>
      <c r="X404" s="305">
        <f>X422*RevPAR!X320*RevPAR!X$5/1000000</f>
        <v>8.1570279049659398</v>
      </c>
      <c r="Y404" s="305">
        <f>Y422*RevPAR!Y320*RevPAR!Y$5/1000000</f>
        <v>8.3376478887920396</v>
      </c>
      <c r="Z404" s="305">
        <f>Z422*RevPAR!Z320*RevPAR!Z$5/1000000</f>
        <v>8.4023196328692809</v>
      </c>
      <c r="AA404" s="574">
        <f>AA422*RevPAR!AA320*RevPAR!AA$5/1000000</f>
        <v>7.7370474784440004</v>
      </c>
      <c r="AB404" s="361">
        <f>SUM(X404:AA404)</f>
        <v>32.634042905071254</v>
      </c>
      <c r="AC404" s="305">
        <f>AC422*RevPAR!AC320*RevPAR!AC$5/1000000</f>
        <v>8.2739577374999982</v>
      </c>
      <c r="AD404" s="305">
        <f>AD422*RevPAR!AD320*RevPAR!AD$5/1000000</f>
        <v>9.358919739714997</v>
      </c>
      <c r="AE404" s="305">
        <f>AE422*RevPAR!AE320*RevPAR!AE$5/1000000</f>
        <v>9.1435570800000008</v>
      </c>
      <c r="AF404" s="574">
        <f>AF422*RevPAR!AF320*RevPAR!AF$5/1000000</f>
        <v>10.33816236</v>
      </c>
      <c r="AG404" s="361">
        <f>SUM(AC404:AF404)</f>
        <v>37.114596917214996</v>
      </c>
      <c r="AH404" s="305">
        <f>AH422*RevPAR!AH320*RevPAR!AH$5/1000000</f>
        <v>10.260132406874998</v>
      </c>
      <c r="AI404" s="305">
        <f>AI422*RevPAR!AI320*RevPAR!AI$5/1000000</f>
        <v>11.324135967819217</v>
      </c>
      <c r="AJ404" s="305">
        <f>AJ422*RevPAR!AJ320*RevPAR!AJ$5/1000000</f>
        <v>9.8932790881861603</v>
      </c>
      <c r="AK404" s="574">
        <f>AK422*RevPAR!AK320*RevPAR!AK$5/1000000</f>
        <v>11.082005267949539</v>
      </c>
      <c r="AL404" s="2919">
        <f>SUM(AH404:AK404)</f>
        <v>42.559552730829914</v>
      </c>
      <c r="AM404" s="574">
        <f>AVERAGE(AL422:AM422)*RevPAR!AM320*RevPAR!AM$5/1000000</f>
        <v>45.441570344865603</v>
      </c>
      <c r="AN404" s="574">
        <f>AVERAGE(AM422:AN422)*RevPAR!AN320*RevPAR!AN$5/1000000</f>
        <v>46.62359872088269</v>
      </c>
    </row>
    <row r="405" spans="1:40" s="5" customFormat="1">
      <c r="A405" s="402" t="s">
        <v>1688</v>
      </c>
      <c r="B405" s="5">
        <f>B423*RevPAR!B322*RevPAR!B$5/1000000</f>
        <v>122.56001025657349</v>
      </c>
      <c r="C405" s="596">
        <f>C423*RevPAR!C322*RevPAR!C$5/1000000</f>
        <v>139.25207781930473</v>
      </c>
      <c r="D405" s="5">
        <f>D423*RevPAR!D322*RevPAR!D$5/1000000</f>
        <v>42.360820506967514</v>
      </c>
      <c r="E405" s="5">
        <f>E423*RevPAR!E322*RevPAR!E$5/1000000</f>
        <v>45.484060912451277</v>
      </c>
      <c r="F405" s="5">
        <f>F423*RevPAR!F322*RevPAR!F$5/1000000</f>
        <v>49.182401535648239</v>
      </c>
      <c r="G405" s="587">
        <f>G423*RevPAR!G322*RevPAR!G$5/1000000</f>
        <v>53.028528910240126</v>
      </c>
      <c r="H405" s="596">
        <f>SUM(D405:G405)</f>
        <v>190.05581186530713</v>
      </c>
      <c r="I405" s="5">
        <f>I423*RevPAR!I322*RevPAR!I$5/1000000</f>
        <v>49.271133657866933</v>
      </c>
      <c r="J405" s="5">
        <f>J423*RevPAR!J322*RevPAR!J$5/1000000</f>
        <v>43.271181486888402</v>
      </c>
      <c r="K405" s="5">
        <f>K423*RevPAR!K322*RevPAR!K$5/1000000</f>
        <v>46.636980558741861</v>
      </c>
      <c r="L405" s="587">
        <f>L423*RevPAR!L322*RevPAR!L$5/1000000</f>
        <v>54.779394011760004</v>
      </c>
      <c r="M405" s="596">
        <f>SUM(I405:L405)</f>
        <v>193.95868971525721</v>
      </c>
      <c r="N405" s="5">
        <f>N423*RevPAR!N322*RevPAR!N$5/1000000</f>
        <v>45.760614538500008</v>
      </c>
      <c r="O405" s="5">
        <f>O423*RevPAR!O322*RevPAR!O$5/1000000</f>
        <v>44.554511571570004</v>
      </c>
      <c r="P405" s="5">
        <f>P423*RevPAR!P322*RevPAR!P$5/1000000</f>
        <v>48.210946097600001</v>
      </c>
      <c r="Q405" s="587">
        <f>Q423*RevPAR!Q322*RevPAR!Q$5/1000000</f>
        <v>49.975704734800011</v>
      </c>
      <c r="R405" s="596">
        <f>SUM(N405:Q405)</f>
        <v>188.50177694247003</v>
      </c>
      <c r="S405" s="5">
        <f>S423*RevPAR!S322*RevPAR!S$5/1000000</f>
        <v>40.621678297199999</v>
      </c>
      <c r="T405" s="5">
        <f>T423*RevPAR!T322*RevPAR!T$5/1000000</f>
        <v>40.227319051919999</v>
      </c>
      <c r="U405" s="5">
        <f>U423*RevPAR!U322*RevPAR!U$5/1000000</f>
        <v>41.8617874818</v>
      </c>
      <c r="V405" s="587">
        <f>V423*RevPAR!V322*RevPAR!V$5/1000000</f>
        <v>45.999434433680001</v>
      </c>
      <c r="W405" s="596">
        <f>SUM(S405:V405)</f>
        <v>168.7102192646</v>
      </c>
      <c r="X405" s="5">
        <f>X423*RevPAR!X322*RevPAR!X$5/1000000</f>
        <v>48.650011302962156</v>
      </c>
      <c r="Y405" s="5">
        <f>Y423*RevPAR!Y322*RevPAR!Y$5/1000000</f>
        <v>48.222846693199358</v>
      </c>
      <c r="Z405" s="5">
        <f>Z423*RevPAR!Z322*RevPAR!Z$5/1000000</f>
        <v>52.892354988158395</v>
      </c>
      <c r="AA405" s="587">
        <f>AA423*RevPAR!AA322*RevPAR!AA$5/1000000</f>
        <v>57.944996660387197</v>
      </c>
      <c r="AB405" s="596">
        <f>SUM(X405:AA405)</f>
        <v>207.71020964470711</v>
      </c>
      <c r="AC405" s="5">
        <f>AC423*RevPAR!AC322*RevPAR!AC$5/1000000</f>
        <v>54.80479670399999</v>
      </c>
      <c r="AD405" s="5">
        <f>AD423*RevPAR!AD322*RevPAR!AD$5/1000000</f>
        <v>57.014583392129992</v>
      </c>
      <c r="AE405" s="5">
        <f>AE423*RevPAR!AE322*RevPAR!AE$5/1000000</f>
        <v>76.622697720000005</v>
      </c>
      <c r="AF405" s="587">
        <f>AF423*RevPAR!AF322*RevPAR!AF$5/1000000</f>
        <v>83.89120831999999</v>
      </c>
      <c r="AG405" s="596">
        <f>SUM(AC405:AF405)</f>
        <v>272.33328613612997</v>
      </c>
      <c r="AH405" s="5">
        <f>AH423*RevPAR!AH322*RevPAR!AH$5/1000000</f>
        <v>78.629427325440005</v>
      </c>
      <c r="AI405" s="5">
        <f>AI423*RevPAR!AI322*RevPAR!AI$5/1000000</f>
        <v>80.602777076377933</v>
      </c>
      <c r="AJ405" s="5">
        <f>AJ423*RevPAR!AJ322*RevPAR!AJ$5/1000000</f>
        <v>90.602558117750746</v>
      </c>
      <c r="AK405" s="587">
        <f>AK423*RevPAR!AK322*RevPAR!AK$5/1000000</f>
        <v>93.453839125829219</v>
      </c>
      <c r="AL405" s="576">
        <f>SUM(AH405:AK405)</f>
        <v>343.28860164539793</v>
      </c>
      <c r="AM405" s="576">
        <f>AVERAGE(AL423:AM423)*RevPAR!AM322*RevPAR!AM$5/1000000</f>
        <v>375.20975254386906</v>
      </c>
      <c r="AN405" s="576">
        <f>AVERAGE(AM423:AN423)*RevPAR!AN322*RevPAR!AN$5/1000000</f>
        <v>388.93848726454473</v>
      </c>
    </row>
    <row r="406" spans="1:40">
      <c r="A406" s="482" t="s">
        <v>168</v>
      </c>
      <c r="B406" s="1054">
        <f>SUM(B402:B405)</f>
        <v>1180.8369048844802</v>
      </c>
      <c r="C406" s="591">
        <f t="shared" ref="C406:H406" si="393">SUM(C402:C405)</f>
        <v>1407.6616596443193</v>
      </c>
      <c r="D406" s="580">
        <f t="shared" si="393"/>
        <v>332.53688556330451</v>
      </c>
      <c r="E406" s="580">
        <f t="shared" si="393"/>
        <v>379.22717011654225</v>
      </c>
      <c r="F406" s="580">
        <f t="shared" si="393"/>
        <v>397.58467275685672</v>
      </c>
      <c r="G406" s="581">
        <f t="shared" si="393"/>
        <v>361.58500084945882</v>
      </c>
      <c r="H406" s="581">
        <f t="shared" si="393"/>
        <v>1470.9337292861621</v>
      </c>
      <c r="I406" s="580">
        <f t="shared" ref="I406:R406" si="394">SUM(I402:I405)</f>
        <v>350.91995552108705</v>
      </c>
      <c r="J406" s="580">
        <f t="shared" si="394"/>
        <v>424.50666944680478</v>
      </c>
      <c r="K406" s="580">
        <f t="shared" si="394"/>
        <v>444.28027945915358</v>
      </c>
      <c r="L406" s="581">
        <f t="shared" si="394"/>
        <v>425.71994073402249</v>
      </c>
      <c r="M406" s="581">
        <f t="shared" si="394"/>
        <v>1645.4268451610676</v>
      </c>
      <c r="N406" s="580">
        <f t="shared" si="394"/>
        <v>412.12871844625948</v>
      </c>
      <c r="O406" s="580">
        <f t="shared" si="394"/>
        <v>489.01445456357237</v>
      </c>
      <c r="P406" s="580">
        <f t="shared" si="394"/>
        <v>535.81082104286088</v>
      </c>
      <c r="Q406" s="581">
        <f t="shared" si="394"/>
        <v>521.75844717833081</v>
      </c>
      <c r="R406" s="581">
        <f t="shared" si="394"/>
        <v>1958.7124412310234</v>
      </c>
      <c r="S406" s="580">
        <f t="shared" ref="S406:AC406" si="395">SUM(S402:S405)</f>
        <v>476.04354538721469</v>
      </c>
      <c r="T406" s="580">
        <f t="shared" si="395"/>
        <v>587.10884630082705</v>
      </c>
      <c r="U406" s="580">
        <f t="shared" si="395"/>
        <v>673.98865423073914</v>
      </c>
      <c r="V406" s="581">
        <f t="shared" si="395"/>
        <v>619.03088583465296</v>
      </c>
      <c r="W406" s="581">
        <f t="shared" si="395"/>
        <v>2356.1719317534335</v>
      </c>
      <c r="X406" s="580">
        <f t="shared" si="395"/>
        <v>605.33627421098322</v>
      </c>
      <c r="Y406" s="580">
        <f t="shared" si="395"/>
        <v>714.65594359973784</v>
      </c>
      <c r="Z406" s="580">
        <f t="shared" si="395"/>
        <v>780.20929326889632</v>
      </c>
      <c r="AA406" s="581">
        <f t="shared" si="395"/>
        <v>711.65566994417486</v>
      </c>
      <c r="AB406" s="581">
        <f t="shared" si="395"/>
        <v>2811.8571810237918</v>
      </c>
      <c r="AC406" s="580">
        <f t="shared" si="395"/>
        <v>532.55304697499992</v>
      </c>
      <c r="AD406" s="580">
        <f t="shared" ref="AD406:AN406" si="396">SUM(AD402:AD405)</f>
        <v>667.70559205258985</v>
      </c>
      <c r="AE406" s="580">
        <f t="shared" si="396"/>
        <v>777.85051296000006</v>
      </c>
      <c r="AF406" s="581">
        <f t="shared" si="396"/>
        <v>728.74757099999999</v>
      </c>
      <c r="AG406" s="581">
        <f t="shared" si="396"/>
        <v>2706.8567229875894</v>
      </c>
      <c r="AH406" s="580">
        <f t="shared" ref="AH406:AL406" si="397">SUM(AH402:AH405)</f>
        <v>644.34859945758001</v>
      </c>
      <c r="AI406" s="580">
        <f t="shared" si="397"/>
        <v>796.98242467000887</v>
      </c>
      <c r="AJ406" s="580">
        <f t="shared" si="397"/>
        <v>877.11016501345136</v>
      </c>
      <c r="AK406" s="581">
        <f t="shared" si="397"/>
        <v>794.94909991736017</v>
      </c>
      <c r="AL406" s="581">
        <f t="shared" si="397"/>
        <v>3113.3902890584009</v>
      </c>
      <c r="AM406" s="581">
        <f t="shared" si="396"/>
        <v>3336.1486586710657</v>
      </c>
      <c r="AN406" s="581">
        <f t="shared" si="396"/>
        <v>3423.8455470996078</v>
      </c>
    </row>
    <row r="407" spans="1:40">
      <c r="A407" s="578" t="s">
        <v>1423</v>
      </c>
      <c r="B407" s="444"/>
      <c r="C407" s="444">
        <f>C406/B406-1</f>
        <v>0.19208813157988924</v>
      </c>
      <c r="D407" s="471"/>
      <c r="E407" s="471"/>
      <c r="F407" s="471"/>
      <c r="G407" s="471"/>
      <c r="H407" s="444">
        <f t="shared" ref="H407:R407" si="398">H406/C406-1</f>
        <v>4.494835048489576E-2</v>
      </c>
      <c r="I407" s="471">
        <f t="shared" si="398"/>
        <v>5.5281295867802172E-2</v>
      </c>
      <c r="J407" s="471">
        <f t="shared" si="398"/>
        <v>0.11939940726385045</v>
      </c>
      <c r="K407" s="471">
        <f t="shared" si="398"/>
        <v>0.11744820638710496</v>
      </c>
      <c r="L407" s="471">
        <f>L406/G406-1</f>
        <v>0.17737168227081801</v>
      </c>
      <c r="M407" s="444">
        <f>M406/H406-1</f>
        <v>0.11862744894672184</v>
      </c>
      <c r="N407" s="471">
        <f t="shared" si="398"/>
        <v>0.17442371675410273</v>
      </c>
      <c r="O407" s="471">
        <f t="shared" si="398"/>
        <v>0.15195941491527276</v>
      </c>
      <c r="P407" s="471">
        <f t="shared" si="398"/>
        <v>0.20601981635361444</v>
      </c>
      <c r="Q407" s="471">
        <f t="shared" si="398"/>
        <v>0.22559081042508744</v>
      </c>
      <c r="R407" s="444">
        <f t="shared" si="398"/>
        <v>0.19039776638583339</v>
      </c>
      <c r="S407" s="471">
        <f t="shared" ref="S407:AB407" si="399">S406/N406-1</f>
        <v>0.15508462303213544</v>
      </c>
      <c r="T407" s="471">
        <f t="shared" si="399"/>
        <v>0.20059609858526639</v>
      </c>
      <c r="U407" s="471">
        <f t="shared" si="399"/>
        <v>0.25788548450540727</v>
      </c>
      <c r="V407" s="471">
        <f t="shared" si="399"/>
        <v>0.18643193834689487</v>
      </c>
      <c r="W407" s="444">
        <f t="shared" si="399"/>
        <v>0.20291875527814196</v>
      </c>
      <c r="X407" s="471">
        <f t="shared" si="399"/>
        <v>0.27159853353037611</v>
      </c>
      <c r="Y407" s="471">
        <f t="shared" si="399"/>
        <v>0.21724608324766637</v>
      </c>
      <c r="Z407" s="471">
        <f t="shared" si="399"/>
        <v>0.15760004025496954</v>
      </c>
      <c r="AA407" s="579">
        <f t="shared" si="399"/>
        <v>0.14962869580349603</v>
      </c>
      <c r="AB407" s="444">
        <f t="shared" si="399"/>
        <v>0.19340067807837902</v>
      </c>
      <c r="AC407" s="471">
        <f>AC406/X406-1</f>
        <v>-0.12023602472997597</v>
      </c>
      <c r="AD407" s="471">
        <f>AD406/Y406-1</f>
        <v>-6.5696440318760985E-2</v>
      </c>
      <c r="AE407" s="471">
        <f>AE406/Z406-1</f>
        <v>-3.0232661021166729E-3</v>
      </c>
      <c r="AF407" s="579">
        <f>AF406/AA406-1</f>
        <v>2.4017093908864418E-2</v>
      </c>
      <c r="AG407" s="444">
        <f>AG406/AB406-1</f>
        <v>-3.7342031005277443E-2</v>
      </c>
      <c r="AH407" s="471">
        <f t="shared" ref="AH407:AK407" si="400">AH406/AC406-1</f>
        <v>0.20992378715622717</v>
      </c>
      <c r="AI407" s="471">
        <f t="shared" si="400"/>
        <v>0.19361352391854303</v>
      </c>
      <c r="AJ407" s="471">
        <f t="shared" si="400"/>
        <v>0.12760761920144881</v>
      </c>
      <c r="AK407" s="579">
        <f t="shared" si="400"/>
        <v>9.0842881063078362E-2</v>
      </c>
      <c r="AL407" s="579">
        <f>AL406/AG406-1</f>
        <v>0.15018658454227896</v>
      </c>
      <c r="AM407" s="579">
        <f>AM406/AL406-1</f>
        <v>7.1548488602768412E-2</v>
      </c>
      <c r="AN407" s="579">
        <f>AN406/AM406-1</f>
        <v>2.6286864705685975E-2</v>
      </c>
    </row>
    <row r="408" spans="1:40">
      <c r="A408" s="394"/>
      <c r="B408" s="208"/>
      <c r="C408" s="208"/>
      <c r="D408" s="15"/>
      <c r="E408" s="15"/>
      <c r="F408" s="15"/>
      <c r="G408" s="15"/>
      <c r="H408" s="208"/>
      <c r="I408" s="15"/>
      <c r="J408" s="15"/>
      <c r="K408" s="15"/>
      <c r="L408" s="15"/>
      <c r="M408" s="208"/>
      <c r="N408" s="15"/>
      <c r="O408" s="15"/>
      <c r="P408" s="15"/>
      <c r="Q408" s="15"/>
      <c r="R408" s="208"/>
      <c r="W408" s="208"/>
      <c r="AA408" s="474"/>
      <c r="AB408" s="474"/>
      <c r="AF408" s="474"/>
      <c r="AG408" s="474"/>
      <c r="AK408" s="1560"/>
      <c r="AL408" s="1976"/>
      <c r="AM408" s="474"/>
      <c r="AN408" s="474"/>
    </row>
    <row r="409" spans="1:40">
      <c r="A409" s="568" t="s">
        <v>1644</v>
      </c>
      <c r="B409" s="593">
        <f>B406+B398</f>
        <v>12696.776292129967</v>
      </c>
      <c r="C409" s="593">
        <f t="shared" ref="C409:R409" si="401">C406+C398</f>
        <v>13883.546097565386</v>
      </c>
      <c r="D409" s="569">
        <f t="shared" si="401"/>
        <v>3389.426033650524</v>
      </c>
      <c r="E409" s="569">
        <f t="shared" si="401"/>
        <v>3942.2165160518148</v>
      </c>
      <c r="F409" s="569">
        <f t="shared" si="401"/>
        <v>3941.9963575554357</v>
      </c>
      <c r="G409" s="569">
        <f t="shared" si="401"/>
        <v>3557.4730759269041</v>
      </c>
      <c r="H409" s="593">
        <f t="shared" si="401"/>
        <v>15003.098779787104</v>
      </c>
      <c r="I409" s="569">
        <f t="shared" si="401"/>
        <v>3661.165821086634</v>
      </c>
      <c r="J409" s="569">
        <f t="shared" si="401"/>
        <v>4341.1434204401157</v>
      </c>
      <c r="K409" s="569">
        <f t="shared" si="401"/>
        <v>4348.285182865131</v>
      </c>
      <c r="L409" s="569">
        <f>L406+L398</f>
        <v>3908.4944264080227</v>
      </c>
      <c r="M409" s="593">
        <f>M406+M398</f>
        <v>16427.637181570302</v>
      </c>
      <c r="N409" s="569">
        <f>N406+N398</f>
        <v>4069.2427468322589</v>
      </c>
      <c r="O409" s="569">
        <f t="shared" si="401"/>
        <v>4905.6906681859728</v>
      </c>
      <c r="P409" s="569">
        <f t="shared" si="401"/>
        <v>5019.6040601267005</v>
      </c>
      <c r="Q409" s="569">
        <f t="shared" si="401"/>
        <v>4424.7426164188837</v>
      </c>
      <c r="R409" s="593">
        <f t="shared" si="401"/>
        <v>18751.542080743377</v>
      </c>
      <c r="S409" s="569">
        <f t="shared" ref="S409:AN409" si="402">S406+S398</f>
        <v>4579.6992489062022</v>
      </c>
      <c r="T409" s="569">
        <f t="shared" si="402"/>
        <v>5511.6073072519875</v>
      </c>
      <c r="U409" s="569">
        <f t="shared" si="402"/>
        <v>5659.7873115306202</v>
      </c>
      <c r="V409" s="569">
        <f t="shared" si="402"/>
        <v>4910.288868452184</v>
      </c>
      <c r="W409" s="593">
        <f t="shared" si="402"/>
        <v>21068.59823852043</v>
      </c>
      <c r="X409" s="569">
        <f t="shared" si="402"/>
        <v>5087.2450089036392</v>
      </c>
      <c r="Y409" s="569">
        <f t="shared" si="402"/>
        <v>6071.1942412953567</v>
      </c>
      <c r="Z409" s="569">
        <f t="shared" si="402"/>
        <v>6140.9166758337942</v>
      </c>
      <c r="AA409" s="1989">
        <f t="shared" si="402"/>
        <v>5332.666336227996</v>
      </c>
      <c r="AB409" s="593">
        <f t="shared" si="402"/>
        <v>22632.022262260783</v>
      </c>
      <c r="AC409" s="569">
        <f t="shared" si="402"/>
        <v>5373.6367614958344</v>
      </c>
      <c r="AD409" s="569">
        <f t="shared" si="402"/>
        <v>6438.6841708855145</v>
      </c>
      <c r="AE409" s="569">
        <f t="shared" si="402"/>
        <v>6485.6160537577171</v>
      </c>
      <c r="AF409" s="1989">
        <f t="shared" si="402"/>
        <v>5813.968928055102</v>
      </c>
      <c r="AG409" s="593">
        <f t="shared" si="402"/>
        <v>24111.905914194169</v>
      </c>
      <c r="AH409" s="569">
        <f t="shared" ref="AH409:AL409" si="403">AH406+AH398</f>
        <v>5867.5586891025596</v>
      </c>
      <c r="AI409" s="569">
        <f t="shared" si="403"/>
        <v>7051.4139623213996</v>
      </c>
      <c r="AJ409" s="569">
        <f t="shared" si="403"/>
        <v>7101.4522789994126</v>
      </c>
      <c r="AK409" s="569">
        <f t="shared" si="403"/>
        <v>6323.568558718609</v>
      </c>
      <c r="AL409" s="593">
        <f t="shared" si="403"/>
        <v>26343.993489141976</v>
      </c>
      <c r="AM409" s="593">
        <f t="shared" si="402"/>
        <v>28405.143916591394</v>
      </c>
      <c r="AN409" s="593">
        <f t="shared" si="402"/>
        <v>29250.766772162697</v>
      </c>
    </row>
    <row r="410" spans="1:40">
      <c r="A410" s="578" t="s">
        <v>1423</v>
      </c>
      <c r="B410" s="444"/>
      <c r="C410" s="444">
        <f>C409/B409-1</f>
        <v>9.3470167397611936E-2</v>
      </c>
      <c r="D410" s="471"/>
      <c r="E410" s="471"/>
      <c r="F410" s="471"/>
      <c r="G410" s="471"/>
      <c r="H410" s="444">
        <f t="shared" ref="H410:R410" si="404">H409/C409-1</f>
        <v>8.0638813337324811E-2</v>
      </c>
      <c r="I410" s="471">
        <f t="shared" si="404"/>
        <v>8.0172803518428593E-2</v>
      </c>
      <c r="J410" s="471">
        <f t="shared" si="404"/>
        <v>0.10119355513933859</v>
      </c>
      <c r="K410" s="471">
        <f t="shared" si="404"/>
        <v>0.10306676832183803</v>
      </c>
      <c r="L410" s="471">
        <f>L409/G409-1</f>
        <v>9.8671541003767071E-2</v>
      </c>
      <c r="M410" s="444">
        <f>M409/H409-1</f>
        <v>9.494961158973414E-2</v>
      </c>
      <c r="N410" s="471">
        <f t="shared" si="404"/>
        <v>0.11146092411201081</v>
      </c>
      <c r="O410" s="471">
        <f t="shared" si="404"/>
        <v>0.13004574902725086</v>
      </c>
      <c r="P410" s="471">
        <f t="shared" si="404"/>
        <v>0.15438703972475665</v>
      </c>
      <c r="Q410" s="471">
        <f t="shared" si="404"/>
        <v>0.13208364492547142</v>
      </c>
      <c r="R410" s="444">
        <f t="shared" si="404"/>
        <v>0.14146312543231709</v>
      </c>
      <c r="S410" s="471">
        <f t="shared" ref="S410:AB410" si="405">S409/N409-1</f>
        <v>0.12544262749409896</v>
      </c>
      <c r="T410" s="471">
        <f t="shared" si="405"/>
        <v>0.12351301377305779</v>
      </c>
      <c r="U410" s="471">
        <f t="shared" si="405"/>
        <v>0.12753660323315641</v>
      </c>
      <c r="V410" s="471">
        <f t="shared" si="405"/>
        <v>0.10973434934533466</v>
      </c>
      <c r="W410" s="444">
        <f t="shared" si="405"/>
        <v>0.12356616580118596</v>
      </c>
      <c r="X410" s="471">
        <f t="shared" si="405"/>
        <v>0.11082512899043695</v>
      </c>
      <c r="Y410" s="471">
        <f t="shared" si="405"/>
        <v>0.10152881053537377</v>
      </c>
      <c r="Z410" s="471">
        <f t="shared" si="405"/>
        <v>8.5008382439208496E-2</v>
      </c>
      <c r="AA410" s="579">
        <f t="shared" si="405"/>
        <v>8.601886347044041E-2</v>
      </c>
      <c r="AB410" s="444">
        <f t="shared" si="405"/>
        <v>7.4206361811100185E-2</v>
      </c>
      <c r="AC410" s="471">
        <f>AC409/X409-1</f>
        <v>5.6296040802233049E-2</v>
      </c>
      <c r="AD410" s="471">
        <f>AD409/Y409-1</f>
        <v>6.0530089301137124E-2</v>
      </c>
      <c r="AE410" s="471">
        <f>AE409/Z409-1</f>
        <v>5.6131583625032677E-2</v>
      </c>
      <c r="AF410" s="579">
        <f>AF409/AA409-1</f>
        <v>9.0255523500003987E-2</v>
      </c>
      <c r="AG410" s="444">
        <f>AG409/AB409-1</f>
        <v>6.538892701608523E-2</v>
      </c>
      <c r="AH410" s="471">
        <f t="shared" ref="AH410:AK410" si="406">AH409/AC409-1</f>
        <v>9.1915763853981591E-2</v>
      </c>
      <c r="AI410" s="471">
        <f t="shared" si="406"/>
        <v>9.5163821547037619E-2</v>
      </c>
      <c r="AJ410" s="471">
        <f t="shared" si="406"/>
        <v>9.4954160119436137E-2</v>
      </c>
      <c r="AK410" s="471">
        <f t="shared" si="406"/>
        <v>8.7650903706150141E-2</v>
      </c>
      <c r="AL410" s="444">
        <f>AL409/AG409-1</f>
        <v>9.2572009151455026E-2</v>
      </c>
      <c r="AM410" s="444">
        <f>AM409/AL409-1</f>
        <v>7.8239862468040267E-2</v>
      </c>
      <c r="AN410" s="444">
        <f>AN409/AM409-1</f>
        <v>2.9770060593756531E-2</v>
      </c>
    </row>
    <row r="411" spans="1:40">
      <c r="A411" s="394"/>
      <c r="B411" s="590"/>
      <c r="C411" s="590"/>
      <c r="D411" s="573"/>
      <c r="E411" s="573"/>
      <c r="F411" s="573"/>
      <c r="G411" s="573"/>
      <c r="H411" s="590"/>
      <c r="I411" s="573"/>
      <c r="J411" s="573"/>
      <c r="K411" s="573"/>
      <c r="L411" s="573"/>
      <c r="M411" s="590"/>
      <c r="N411" s="573"/>
      <c r="O411" s="573"/>
      <c r="P411" s="573"/>
      <c r="Q411" s="573"/>
      <c r="R411" s="590"/>
      <c r="S411" s="573"/>
      <c r="T411" s="573"/>
      <c r="U411" s="573"/>
      <c r="V411" s="573"/>
      <c r="W411" s="590"/>
      <c r="X411" s="573"/>
      <c r="Y411" s="573"/>
      <c r="Z411" s="573"/>
      <c r="AA411" s="2494"/>
      <c r="AB411" s="590"/>
      <c r="AC411" s="573"/>
      <c r="AD411" s="573"/>
      <c r="AE411" s="573"/>
      <c r="AF411" s="2494"/>
      <c r="AG411" s="590"/>
      <c r="AH411" s="573"/>
      <c r="AI411" s="573"/>
      <c r="AJ411" s="573"/>
      <c r="AK411" s="2494"/>
      <c r="AL411" s="1976"/>
      <c r="AM411" s="474"/>
      <c r="AN411" s="474"/>
    </row>
    <row r="412" spans="1:40">
      <c r="A412" s="482" t="s">
        <v>862</v>
      </c>
      <c r="B412" s="590"/>
      <c r="C412" s="590"/>
      <c r="D412" s="573"/>
      <c r="E412" s="573"/>
      <c r="F412" s="573"/>
      <c r="G412" s="573"/>
      <c r="H412" s="590"/>
      <c r="I412" s="573"/>
      <c r="J412" s="573"/>
      <c r="K412" s="573"/>
      <c r="L412" s="573"/>
      <c r="M412" s="590"/>
      <c r="N412" s="573"/>
      <c r="O412" s="573"/>
      <c r="P412" s="573"/>
      <c r="Q412" s="573"/>
      <c r="R412" s="590"/>
      <c r="S412" s="573"/>
      <c r="T412" s="573"/>
      <c r="U412" s="573"/>
      <c r="V412" s="573"/>
      <c r="W412" s="590"/>
      <c r="X412" s="573"/>
      <c r="Y412" s="573"/>
      <c r="Z412" s="573"/>
      <c r="AA412" s="2494"/>
      <c r="AB412" s="590"/>
      <c r="AC412" s="573"/>
      <c r="AD412" s="573"/>
      <c r="AE412" s="573"/>
      <c r="AF412" s="2494"/>
      <c r="AG412" s="590"/>
      <c r="AH412" s="573"/>
      <c r="AI412" s="573"/>
      <c r="AJ412" s="573"/>
      <c r="AK412" s="2494"/>
      <c r="AL412" s="1976"/>
      <c r="AM412" s="474"/>
      <c r="AN412" s="474"/>
    </row>
    <row r="413" spans="1:40">
      <c r="A413" s="394" t="s">
        <v>208</v>
      </c>
      <c r="B413" s="1048">
        <f>B402/B$406</f>
        <v>0.56682479664536156</v>
      </c>
      <c r="C413" s="245">
        <f t="shared" ref="C413:V417" si="407">C402/C$406</f>
        <v>0.5266143305998221</v>
      </c>
      <c r="D413" s="247">
        <f t="shared" si="407"/>
        <v>0.56116206760719634</v>
      </c>
      <c r="E413" s="247">
        <f t="shared" si="407"/>
        <v>0.5100051906195151</v>
      </c>
      <c r="F413" s="247">
        <f t="shared" si="407"/>
        <v>0.49810624928739899</v>
      </c>
      <c r="G413" s="247">
        <f t="shared" si="407"/>
        <v>0.49323901956066629</v>
      </c>
      <c r="H413" s="245">
        <f t="shared" si="407"/>
        <v>0.51423265223289993</v>
      </c>
      <c r="I413" s="247">
        <f t="shared" si="407"/>
        <v>0.53384813227666994</v>
      </c>
      <c r="J413" s="247">
        <f t="shared" si="407"/>
        <v>0.46192040830889863</v>
      </c>
      <c r="K413" s="247">
        <f t="shared" si="407"/>
        <v>0.46187649225339411</v>
      </c>
      <c r="L413" s="247">
        <f t="shared" ref="L413:N417" si="408">L402/L$406</f>
        <v>0.44325176019715157</v>
      </c>
      <c r="M413" s="245">
        <f t="shared" si="408"/>
        <v>0.47241844226353669</v>
      </c>
      <c r="N413" s="247">
        <f t="shared" si="408"/>
        <v>0.49410568961627216</v>
      </c>
      <c r="O413" s="247">
        <f t="shared" si="407"/>
        <v>0.45056110644931679</v>
      </c>
      <c r="P413" s="247">
        <f t="shared" si="407"/>
        <v>0.45512269513226927</v>
      </c>
      <c r="Q413" s="247">
        <f t="shared" si="407"/>
        <v>0.42327814314505452</v>
      </c>
      <c r="R413" s="245">
        <f t="shared" si="407"/>
        <v>0.45370347953876472</v>
      </c>
      <c r="S413" s="247">
        <f t="shared" si="407"/>
        <v>0.50869193845458338</v>
      </c>
      <c r="T413" s="247">
        <f t="shared" ref="T413:AB413" si="409">T402/T$406</f>
        <v>0.44691266860212425</v>
      </c>
      <c r="U413" s="247">
        <f t="shared" si="409"/>
        <v>0.44717254116055055</v>
      </c>
      <c r="V413" s="247">
        <f t="shared" si="409"/>
        <v>0.43907522889921291</v>
      </c>
      <c r="W413" s="245">
        <f t="shared" si="409"/>
        <v>0.45740984677177871</v>
      </c>
      <c r="X413" s="247">
        <f t="shared" si="409"/>
        <v>0.47489135760133511</v>
      </c>
      <c r="Y413" s="247">
        <f t="shared" si="409"/>
        <v>0.4213909838991477</v>
      </c>
      <c r="Z413" s="247">
        <f t="shared" si="409"/>
        <v>0.42013051823786141</v>
      </c>
      <c r="AA413" s="582">
        <f t="shared" si="409"/>
        <v>0.41068383430260674</v>
      </c>
      <c r="AB413" s="245">
        <f t="shared" si="409"/>
        <v>0.42984891209840914</v>
      </c>
      <c r="AC413" s="247">
        <f t="shared" ref="AC413:AG417" si="410">AC402/AC$406</f>
        <v>0.4226181295176506</v>
      </c>
      <c r="AD413" s="247">
        <f t="shared" si="410"/>
        <v>0.38369823219314347</v>
      </c>
      <c r="AE413" s="247">
        <f t="shared" si="410"/>
        <v>0.36051589076270313</v>
      </c>
      <c r="AF413" s="582">
        <f t="shared" si="410"/>
        <v>0.34907814146251198</v>
      </c>
      <c r="AG413" s="245">
        <f t="shared" si="410"/>
        <v>0.3753731542156003</v>
      </c>
      <c r="AH413" s="247">
        <f t="shared" ref="AH413:AL413" si="411">AH402/AH$406</f>
        <v>0.39051082120126568</v>
      </c>
      <c r="AI413" s="247">
        <f t="shared" si="411"/>
        <v>0.35418355184058609</v>
      </c>
      <c r="AJ413" s="247">
        <f t="shared" si="411"/>
        <v>0.35634936718301491</v>
      </c>
      <c r="AK413" s="582">
        <f t="shared" si="411"/>
        <v>0.34643998373533186</v>
      </c>
      <c r="AL413" s="3978">
        <f t="shared" si="411"/>
        <v>0.36033483372739056</v>
      </c>
      <c r="AM413" s="582">
        <f t="shared" ref="AM413:AN417" si="412">AM402/AM$406</f>
        <v>0.35871663057737196</v>
      </c>
      <c r="AN413" s="582">
        <f t="shared" si="412"/>
        <v>0.35829264350790135</v>
      </c>
    </row>
    <row r="414" spans="1:40">
      <c r="A414" s="394" t="s">
        <v>2218</v>
      </c>
      <c r="B414" s="1048">
        <f>B403/B$406</f>
        <v>0.30715590286006678</v>
      </c>
      <c r="C414" s="245">
        <f t="shared" ref="C414:Q414" si="413">C403/C$406</f>
        <v>0.35606550524015279</v>
      </c>
      <c r="D414" s="247">
        <f t="shared" si="413"/>
        <v>0.29228635645844786</v>
      </c>
      <c r="E414" s="247">
        <f t="shared" si="413"/>
        <v>0.35592617447043612</v>
      </c>
      <c r="F414" s="247">
        <f t="shared" si="413"/>
        <v>0.36223638881393733</v>
      </c>
      <c r="G414" s="247">
        <f t="shared" si="413"/>
        <v>0.34358546045604887</v>
      </c>
      <c r="H414" s="245">
        <f t="shared" si="413"/>
        <v>0.3402110140917774</v>
      </c>
      <c r="I414" s="247">
        <f t="shared" si="413"/>
        <v>0.30767376250976047</v>
      </c>
      <c r="J414" s="247">
        <f t="shared" si="413"/>
        <v>0.4173317471145967</v>
      </c>
      <c r="K414" s="247">
        <f t="shared" si="413"/>
        <v>0.41839351473593417</v>
      </c>
      <c r="L414" s="247">
        <f t="shared" si="408"/>
        <v>0.40954715459826274</v>
      </c>
      <c r="M414" s="245">
        <f t="shared" si="408"/>
        <v>0.39221758962363895</v>
      </c>
      <c r="N414" s="247">
        <f t="shared" si="408"/>
        <v>0.37515981345173183</v>
      </c>
      <c r="O414" s="247">
        <f t="shared" si="413"/>
        <v>0.44323500040500857</v>
      </c>
      <c r="P414" s="247">
        <f t="shared" si="413"/>
        <v>0.43849730781828616</v>
      </c>
      <c r="Q414" s="247">
        <f t="shared" si="413"/>
        <v>0.46347359679171296</v>
      </c>
      <c r="R414" s="245">
        <f t="shared" si="407"/>
        <v>0.43300655264194821</v>
      </c>
      <c r="S414" s="247">
        <f t="shared" si="407"/>
        <v>0.38819368030226259</v>
      </c>
      <c r="T414" s="247">
        <f t="shared" si="407"/>
        <v>0.47143258863796839</v>
      </c>
      <c r="U414" s="247">
        <f t="shared" si="407"/>
        <v>0.47791759396621186</v>
      </c>
      <c r="V414" s="247">
        <f t="shared" si="407"/>
        <v>0.47337659621996869</v>
      </c>
      <c r="W414" s="245">
        <f t="shared" ref="W414:AB417" si="414">W403/W$406</f>
        <v>0.45698070427843723</v>
      </c>
      <c r="X414" s="247">
        <f t="shared" si="414"/>
        <v>0.43126487055140128</v>
      </c>
      <c r="Y414" s="247">
        <f t="shared" si="414"/>
        <v>0.49946534551568234</v>
      </c>
      <c r="Z414" s="247">
        <f t="shared" si="414"/>
        <v>0.50130764566272834</v>
      </c>
      <c r="AA414" s="582">
        <f t="shared" si="414"/>
        <v>0.49702146910067596</v>
      </c>
      <c r="AB414" s="245">
        <f t="shared" si="414"/>
        <v>0.48467581761696382</v>
      </c>
      <c r="AC414" s="247">
        <f t="shared" si="410"/>
        <v>0.45893591509856374</v>
      </c>
      <c r="AD414" s="247">
        <f t="shared" si="410"/>
        <v>0.51689642520996948</v>
      </c>
      <c r="AE414" s="247">
        <f t="shared" si="410"/>
        <v>0.52922352141094353</v>
      </c>
      <c r="AF414" s="582">
        <f t="shared" si="410"/>
        <v>0.52161868905906794</v>
      </c>
      <c r="AG414" s="245">
        <f t="shared" si="410"/>
        <v>0.51030683747904571</v>
      </c>
      <c r="AH414" s="247">
        <f t="shared" ref="AH414:AL414" si="415">AH403/AH$406</f>
        <v>0.47153658635553936</v>
      </c>
      <c r="AI414" s="247">
        <f t="shared" si="415"/>
        <v>0.53047273392097316</v>
      </c>
      <c r="AJ414" s="247">
        <f t="shared" si="415"/>
        <v>0.52907456105934469</v>
      </c>
      <c r="AK414" s="582">
        <f t="shared" si="415"/>
        <v>0.52205996877150684</v>
      </c>
      <c r="AL414" s="3978">
        <f t="shared" si="415"/>
        <v>0.51573333680290223</v>
      </c>
      <c r="AM414" s="582">
        <f t="shared" si="412"/>
        <v>0.51519446694059712</v>
      </c>
      <c r="AN414" s="582">
        <f t="shared" si="412"/>
        <v>0.51449306484439306</v>
      </c>
    </row>
    <row r="415" spans="1:40">
      <c r="A415" s="394" t="s">
        <v>209</v>
      </c>
      <c r="B415" s="1048">
        <f>B404/B$406</f>
        <v>2.2228497759994852E-2</v>
      </c>
      <c r="C415" s="245">
        <f t="shared" si="407"/>
        <v>1.83957693203659E-2</v>
      </c>
      <c r="D415" s="247">
        <f t="shared" si="407"/>
        <v>1.9164743537673119E-2</v>
      </c>
      <c r="E415" s="247">
        <f t="shared" si="407"/>
        <v>1.4129810646815439E-2</v>
      </c>
      <c r="F415" s="247">
        <f t="shared" si="407"/>
        <v>1.5954400226079683E-2</v>
      </c>
      <c r="G415" s="247">
        <f t="shared" si="407"/>
        <v>1.6519743926031161E-2</v>
      </c>
      <c r="H415" s="245">
        <f t="shared" si="407"/>
        <v>1.6348737111784549E-2</v>
      </c>
      <c r="I415" s="247">
        <f t="shared" si="407"/>
        <v>1.8072485975691319E-2</v>
      </c>
      <c r="J415" s="247">
        <f t="shared" si="407"/>
        <v>1.8814978496268064E-2</v>
      </c>
      <c r="K415" s="247">
        <f t="shared" si="407"/>
        <v>1.4758013125551523E-2</v>
      </c>
      <c r="L415" s="247">
        <f t="shared" si="408"/>
        <v>1.8526365581845262E-2</v>
      </c>
      <c r="M415" s="245">
        <f t="shared" si="408"/>
        <v>1.748653692488799E-2</v>
      </c>
      <c r="N415" s="247">
        <f t="shared" si="408"/>
        <v>1.9699734028262514E-2</v>
      </c>
      <c r="O415" s="247">
        <f t="shared" si="407"/>
        <v>1.5093065733971052E-2</v>
      </c>
      <c r="P415" s="247">
        <f t="shared" si="407"/>
        <v>1.6402444890707007E-2</v>
      </c>
      <c r="Q415" s="247">
        <f t="shared" si="407"/>
        <v>1.7465038909711111E-2</v>
      </c>
      <c r="R415" s="245">
        <f t="shared" si="407"/>
        <v>1.7052371644118481E-2</v>
      </c>
      <c r="S415" s="247">
        <f t="shared" si="407"/>
        <v>1.7782527275554894E-2</v>
      </c>
      <c r="T415" s="247">
        <f t="shared" ref="T415:V417" si="416">T404/T$406</f>
        <v>1.3137091722320953E-2</v>
      </c>
      <c r="U415" s="247">
        <f t="shared" si="416"/>
        <v>1.2799342360690085E-2</v>
      </c>
      <c r="V415" s="247">
        <f t="shared" si="416"/>
        <v>1.3239387571025161E-2</v>
      </c>
      <c r="W415" s="245">
        <f t="shared" si="414"/>
        <v>1.4005922487669032E-2</v>
      </c>
      <c r="X415" s="247">
        <f t="shared" si="414"/>
        <v>1.3475200896556379E-2</v>
      </c>
      <c r="Y415" s="247">
        <f t="shared" si="414"/>
        <v>1.1666659968984687E-2</v>
      </c>
      <c r="Z415" s="247">
        <f t="shared" si="414"/>
        <v>1.0769314984272371E-2</v>
      </c>
      <c r="AA415" s="582">
        <f t="shared" si="414"/>
        <v>1.0871897471217964E-2</v>
      </c>
      <c r="AB415" s="245">
        <f t="shared" si="414"/>
        <v>1.1605867867438866E-2</v>
      </c>
      <c r="AC415" s="247">
        <f t="shared" si="410"/>
        <v>1.5536401086234719E-2</v>
      </c>
      <c r="AD415" s="247">
        <f t="shared" si="410"/>
        <v>1.4016536406329617E-2</v>
      </c>
      <c r="AE415" s="247">
        <f t="shared" si="410"/>
        <v>1.1754902680729087E-2</v>
      </c>
      <c r="AF415" s="582">
        <f t="shared" si="410"/>
        <v>1.4186204896455154E-2</v>
      </c>
      <c r="AG415" s="245">
        <f t="shared" si="410"/>
        <v>1.3711326721516011E-2</v>
      </c>
      <c r="AH415" s="247">
        <f t="shared" ref="AH415:AL415" si="417">AH404/AH$406</f>
        <v>1.5923263301126277E-2</v>
      </c>
      <c r="AI415" s="247">
        <f t="shared" si="417"/>
        <v>1.4208764983127431E-2</v>
      </c>
      <c r="AJ415" s="247">
        <f t="shared" si="417"/>
        <v>1.1279403070233984E-2</v>
      </c>
      <c r="AK415" s="582">
        <f t="shared" si="417"/>
        <v>1.3940521813411174E-2</v>
      </c>
      <c r="AL415" s="3978">
        <f t="shared" si="417"/>
        <v>1.3669841805699672E-2</v>
      </c>
      <c r="AM415" s="582">
        <f t="shared" si="412"/>
        <v>1.3620966867515722E-2</v>
      </c>
      <c r="AN415" s="582">
        <f t="shared" si="412"/>
        <v>1.3617319496312636E-2</v>
      </c>
    </row>
    <row r="416" spans="1:40" s="5" customFormat="1">
      <c r="A416" s="402" t="s">
        <v>1688</v>
      </c>
      <c r="B416" s="1065">
        <f>B405/B$406</f>
        <v>0.10379080273457696</v>
      </c>
      <c r="C416" s="594">
        <f t="shared" si="407"/>
        <v>9.8924394839659285E-2</v>
      </c>
      <c r="D416" s="1065">
        <f t="shared" si="407"/>
        <v>0.12738683239668266</v>
      </c>
      <c r="E416" s="1065">
        <f t="shared" si="407"/>
        <v>0.11993882426323339</v>
      </c>
      <c r="F416" s="1065">
        <f t="shared" si="407"/>
        <v>0.12370296167258385</v>
      </c>
      <c r="G416" s="584">
        <f t="shared" si="407"/>
        <v>0.14665577605725372</v>
      </c>
      <c r="H416" s="584">
        <f t="shared" si="407"/>
        <v>0.1292075965635382</v>
      </c>
      <c r="I416" s="1065">
        <f t="shared" si="407"/>
        <v>0.14040561923787828</v>
      </c>
      <c r="J416" s="583">
        <f t="shared" si="407"/>
        <v>0.10193286608023656</v>
      </c>
      <c r="K416" s="583">
        <f t="shared" si="407"/>
        <v>0.10497197988512022</v>
      </c>
      <c r="L416" s="583">
        <f t="shared" si="408"/>
        <v>0.12867471962274041</v>
      </c>
      <c r="M416" s="594">
        <f t="shared" si="408"/>
        <v>0.1178774311879365</v>
      </c>
      <c r="N416" s="1065">
        <f t="shared" si="408"/>
        <v>0.11103476290373361</v>
      </c>
      <c r="O416" s="583">
        <f t="shared" si="407"/>
        <v>9.1110827411703579E-2</v>
      </c>
      <c r="P416" s="583">
        <f t="shared" si="407"/>
        <v>8.9977552158737539E-2</v>
      </c>
      <c r="Q416" s="583">
        <f t="shared" si="407"/>
        <v>9.5783221153521475E-2</v>
      </c>
      <c r="R416" s="594">
        <f t="shared" si="407"/>
        <v>9.623759617516868E-2</v>
      </c>
      <c r="S416" s="1065">
        <f t="shared" si="407"/>
        <v>8.5331853967599222E-2</v>
      </c>
      <c r="T416" s="583">
        <f t="shared" si="416"/>
        <v>6.8517651037586363E-2</v>
      </c>
      <c r="U416" s="583">
        <f t="shared" si="416"/>
        <v>6.2110522512547624E-2</v>
      </c>
      <c r="V416" s="583">
        <f t="shared" si="416"/>
        <v>7.430878730979304E-2</v>
      </c>
      <c r="W416" s="594">
        <f t="shared" si="414"/>
        <v>7.160352646211518E-2</v>
      </c>
      <c r="X416" s="583">
        <f t="shared" si="414"/>
        <v>8.0368570950707208E-2</v>
      </c>
      <c r="Y416" s="583">
        <f t="shared" si="414"/>
        <v>6.747701061618519E-2</v>
      </c>
      <c r="Z416" s="583">
        <f t="shared" si="414"/>
        <v>6.7792521115137797E-2</v>
      </c>
      <c r="AA416" s="584">
        <f t="shared" si="414"/>
        <v>8.1422799125499323E-2</v>
      </c>
      <c r="AB416" s="594">
        <f t="shared" si="414"/>
        <v>7.3869402417188285E-2</v>
      </c>
      <c r="AC416" s="583">
        <f t="shared" si="410"/>
        <v>0.10290955429755101</v>
      </c>
      <c r="AD416" s="583">
        <f t="shared" si="410"/>
        <v>8.5388806190557415E-2</v>
      </c>
      <c r="AE416" s="583">
        <f t="shared" si="410"/>
        <v>9.8505685145624147E-2</v>
      </c>
      <c r="AF416" s="584">
        <f t="shared" si="410"/>
        <v>0.11511696458196495</v>
      </c>
      <c r="AG416" s="594">
        <f t="shared" si="410"/>
        <v>0.10060868158383815</v>
      </c>
      <c r="AH416" s="583">
        <f t="shared" ref="AH416:AL416" si="418">AH405/AH$406</f>
        <v>0.12202932914206868</v>
      </c>
      <c r="AI416" s="583">
        <f t="shared" si="418"/>
        <v>0.10113494925531334</v>
      </c>
      <c r="AJ416" s="583">
        <f t="shared" si="418"/>
        <v>0.10329666868740629</v>
      </c>
      <c r="AK416" s="584">
        <f t="shared" si="418"/>
        <v>0.11755952567975021</v>
      </c>
      <c r="AL416" s="584">
        <f t="shared" si="418"/>
        <v>0.11026198766400744</v>
      </c>
      <c r="AM416" s="584">
        <f t="shared" si="412"/>
        <v>0.11246793561451532</v>
      </c>
      <c r="AN416" s="584">
        <f t="shared" si="412"/>
        <v>0.1135969721513929</v>
      </c>
    </row>
    <row r="417" spans="1:40" s="2" customFormat="1">
      <c r="A417" s="482" t="s">
        <v>168</v>
      </c>
      <c r="B417" s="1055">
        <f>B406/B$406</f>
        <v>1</v>
      </c>
      <c r="C417" s="595">
        <f t="shared" si="407"/>
        <v>1</v>
      </c>
      <c r="D417" s="585">
        <f t="shared" si="407"/>
        <v>1</v>
      </c>
      <c r="E417" s="585">
        <f t="shared" si="407"/>
        <v>1</v>
      </c>
      <c r="F417" s="585">
        <f t="shared" si="407"/>
        <v>1</v>
      </c>
      <c r="G417" s="585">
        <f t="shared" si="407"/>
        <v>1</v>
      </c>
      <c r="H417" s="595">
        <f t="shared" si="407"/>
        <v>1</v>
      </c>
      <c r="I417" s="585">
        <f t="shared" si="407"/>
        <v>1</v>
      </c>
      <c r="J417" s="585">
        <f t="shared" si="407"/>
        <v>1</v>
      </c>
      <c r="K417" s="585">
        <f t="shared" si="407"/>
        <v>1</v>
      </c>
      <c r="L417" s="585">
        <f t="shared" si="408"/>
        <v>1</v>
      </c>
      <c r="M417" s="595">
        <f t="shared" si="408"/>
        <v>1</v>
      </c>
      <c r="N417" s="585">
        <f t="shared" si="408"/>
        <v>1</v>
      </c>
      <c r="O417" s="585">
        <f t="shared" si="407"/>
        <v>1</v>
      </c>
      <c r="P417" s="585">
        <f t="shared" si="407"/>
        <v>1</v>
      </c>
      <c r="Q417" s="585">
        <f t="shared" si="407"/>
        <v>1</v>
      </c>
      <c r="R417" s="595">
        <f t="shared" si="407"/>
        <v>1</v>
      </c>
      <c r="S417" s="585">
        <f t="shared" si="407"/>
        <v>1</v>
      </c>
      <c r="T417" s="585">
        <f t="shared" si="416"/>
        <v>1</v>
      </c>
      <c r="U417" s="585">
        <f t="shared" si="416"/>
        <v>1</v>
      </c>
      <c r="V417" s="585">
        <f t="shared" si="416"/>
        <v>1</v>
      </c>
      <c r="W417" s="595">
        <f t="shared" si="414"/>
        <v>1</v>
      </c>
      <c r="X417" s="585">
        <f t="shared" si="414"/>
        <v>1</v>
      </c>
      <c r="Y417" s="585">
        <f t="shared" si="414"/>
        <v>1</v>
      </c>
      <c r="Z417" s="585">
        <f t="shared" si="414"/>
        <v>1</v>
      </c>
      <c r="AA417" s="586">
        <f t="shared" si="414"/>
        <v>1</v>
      </c>
      <c r="AB417" s="595">
        <f t="shared" si="414"/>
        <v>1</v>
      </c>
      <c r="AC417" s="585">
        <f t="shared" si="410"/>
        <v>1</v>
      </c>
      <c r="AD417" s="585">
        <f t="shared" si="410"/>
        <v>1</v>
      </c>
      <c r="AE417" s="585">
        <f t="shared" si="410"/>
        <v>1</v>
      </c>
      <c r="AF417" s="586">
        <f t="shared" si="410"/>
        <v>1</v>
      </c>
      <c r="AG417" s="595">
        <f t="shared" si="410"/>
        <v>1</v>
      </c>
      <c r="AH417" s="585">
        <f t="shared" ref="AH417:AL417" si="419">AH406/AH$406</f>
        <v>1</v>
      </c>
      <c r="AI417" s="585">
        <f t="shared" si="419"/>
        <v>1</v>
      </c>
      <c r="AJ417" s="585">
        <f t="shared" si="419"/>
        <v>1</v>
      </c>
      <c r="AK417" s="586">
        <f t="shared" si="419"/>
        <v>1</v>
      </c>
      <c r="AL417" s="586">
        <f t="shared" si="419"/>
        <v>1</v>
      </c>
      <c r="AM417" s="586">
        <f t="shared" si="412"/>
        <v>1</v>
      </c>
      <c r="AN417" s="586">
        <f t="shared" si="412"/>
        <v>1</v>
      </c>
    </row>
    <row r="418" spans="1:40">
      <c r="A418" s="394"/>
      <c r="B418" s="13"/>
      <c r="C418" s="208"/>
      <c r="D418" s="15"/>
      <c r="E418" s="15"/>
      <c r="F418" s="15"/>
      <c r="G418" s="15"/>
      <c r="H418" s="208"/>
      <c r="I418" s="15"/>
      <c r="J418" s="15"/>
      <c r="K418" s="15"/>
      <c r="L418" s="15"/>
      <c r="M418" s="208"/>
      <c r="N418" s="15"/>
      <c r="O418" s="15"/>
      <c r="P418" s="15"/>
      <c r="Q418" s="15"/>
      <c r="R418" s="208"/>
      <c r="W418" s="208"/>
      <c r="AA418" s="474"/>
      <c r="AB418" s="208"/>
      <c r="AF418" s="474"/>
      <c r="AG418" s="208"/>
      <c r="AK418" s="474"/>
      <c r="AL418" s="1976"/>
      <c r="AM418" s="474"/>
      <c r="AN418" s="474"/>
    </row>
    <row r="419" spans="1:40">
      <c r="A419" s="482" t="s">
        <v>1429</v>
      </c>
      <c r="B419" s="208"/>
      <c r="C419" s="208"/>
      <c r="D419" s="15"/>
      <c r="E419" s="15"/>
      <c r="F419" s="15"/>
      <c r="G419" s="15"/>
      <c r="H419" s="208"/>
      <c r="I419" s="15"/>
      <c r="J419" s="15"/>
      <c r="K419" s="15"/>
      <c r="L419" s="15"/>
      <c r="M419" s="208"/>
      <c r="N419" s="15"/>
      <c r="O419" s="15"/>
      <c r="P419" s="15"/>
      <c r="Q419" s="15"/>
      <c r="R419" s="208"/>
      <c r="W419" s="208"/>
      <c r="AA419" s="474"/>
      <c r="AB419" s="208"/>
      <c r="AF419" s="474"/>
      <c r="AG419" s="208"/>
      <c r="AK419" s="474"/>
      <c r="AL419" s="1976"/>
      <c r="AM419" s="474"/>
      <c r="AN419" s="474"/>
    </row>
    <row r="420" spans="1:40">
      <c r="A420" s="394" t="s">
        <v>208</v>
      </c>
      <c r="B420" s="13">
        <f>'QTR Rooms'!B541</f>
        <v>20243</v>
      </c>
      <c r="C420" s="208">
        <f>'QTR Rooms'!C541</f>
        <v>20775</v>
      </c>
      <c r="D420" s="15">
        <f>'QTR Rooms'!D541</f>
        <v>20800</v>
      </c>
      <c r="E420" s="15">
        <f>'QTR Rooms'!E541</f>
        <v>21098</v>
      </c>
      <c r="F420" s="15">
        <f>'QTR Rooms'!F541</f>
        <v>20593</v>
      </c>
      <c r="G420" s="15">
        <f>'QTR Rooms'!G541</f>
        <v>20914</v>
      </c>
      <c r="H420" s="208">
        <f>'QTR Rooms'!H541</f>
        <v>20914</v>
      </c>
      <c r="I420" s="15">
        <f>'QTR Rooms'!I541</f>
        <v>21174</v>
      </c>
      <c r="J420" s="15">
        <f>'QTR Rooms'!J541</f>
        <v>21173</v>
      </c>
      <c r="K420" s="15">
        <f>'QTR Rooms'!K541</f>
        <v>20841</v>
      </c>
      <c r="L420" s="15">
        <f>'QTR Rooms'!L541</f>
        <v>21277</v>
      </c>
      <c r="M420" s="208">
        <f>'QTR Rooms'!M541</f>
        <v>21277</v>
      </c>
      <c r="N420" s="15">
        <f>'QTR Rooms'!N541</f>
        <v>21920</v>
      </c>
      <c r="O420" s="15">
        <f>'QTR Rooms'!O541</f>
        <v>22444</v>
      </c>
      <c r="P420" s="15">
        <f>'QTR Rooms'!P541</f>
        <v>22869</v>
      </c>
      <c r="Q420" s="15">
        <f>'QTR Rooms'!Q541</f>
        <v>23382</v>
      </c>
      <c r="R420" s="208">
        <f>'QTR Rooms'!R541</f>
        <v>23382</v>
      </c>
      <c r="S420" s="15">
        <f>'QTR Rooms'!S541</f>
        <v>24453</v>
      </c>
      <c r="T420" s="15">
        <f>'QTR Rooms'!T541</f>
        <v>25431</v>
      </c>
      <c r="U420" s="15">
        <f>'QTR Rooms'!U541</f>
        <v>26867</v>
      </c>
      <c r="V420" s="15">
        <f>'QTR Rooms'!V541</f>
        <v>27723</v>
      </c>
      <c r="W420" s="208">
        <f>'QTR Rooms'!W541</f>
        <v>27723</v>
      </c>
      <c r="X420" s="15">
        <f>'QTR Rooms'!X541</f>
        <v>28174</v>
      </c>
      <c r="Y420" s="15">
        <f>'QTR Rooms'!Y541</f>
        <v>28393</v>
      </c>
      <c r="Z420" s="15">
        <f>'QTR Rooms'!Z541</f>
        <v>28732</v>
      </c>
      <c r="AA420" s="474">
        <f>'QTR Rooms'!AA541</f>
        <v>29662</v>
      </c>
      <c r="AB420" s="208">
        <f>'QTR Rooms'!AB541</f>
        <v>29662</v>
      </c>
      <c r="AC420" s="15">
        <f>'QTR Rooms'!AC541</f>
        <v>30104.004999999997</v>
      </c>
      <c r="AD420" s="15">
        <f>'QTR Rooms'!AD541</f>
        <v>30856.605124999995</v>
      </c>
      <c r="AE420" s="15">
        <f>'QTR Rooms'!AE541</f>
        <v>30958</v>
      </c>
      <c r="AF420" s="474">
        <f>'QTR Rooms'!AF541</f>
        <v>32348</v>
      </c>
      <c r="AG420" s="208">
        <f>'QTR Rooms'!AG541</f>
        <v>32348</v>
      </c>
      <c r="AH420" s="15">
        <f>'QTR Rooms'!AH541</f>
        <v>32676.084999999995</v>
      </c>
      <c r="AI420" s="15">
        <f>'QTR Rooms'!AI541</f>
        <v>33007.546174999996</v>
      </c>
      <c r="AJ420" s="15">
        <f>'QTR Rooms'!AJ541</f>
        <v>33500.034367624998</v>
      </c>
      <c r="AK420" s="474">
        <f>'QTR Rooms'!AK541</f>
        <v>33999.909883139364</v>
      </c>
      <c r="AL420" s="1976">
        <f>'QTR Rooms'!AL541</f>
        <v>33999.909883139364</v>
      </c>
      <c r="AM420" s="474">
        <f>'QTR Rooms'!AM541</f>
        <v>36009.169580035064</v>
      </c>
      <c r="AN420" s="474">
        <f>'QTR Rooms'!AN541</f>
        <v>37772.684103814376</v>
      </c>
    </row>
    <row r="421" spans="1:40">
      <c r="A421" s="394" t="s">
        <v>2218</v>
      </c>
      <c r="B421" s="13">
        <f>'QTR Rooms'!B612</f>
        <v>8551</v>
      </c>
      <c r="C421" s="208">
        <f>'QTR Rooms'!C612</f>
        <v>10832</v>
      </c>
      <c r="D421" s="15">
        <f>'QTR Rooms'!D612</f>
        <v>11008</v>
      </c>
      <c r="E421" s="15">
        <f>'QTR Rooms'!E612</f>
        <v>11677</v>
      </c>
      <c r="F421" s="15">
        <f>'QTR Rooms'!F612</f>
        <v>12222</v>
      </c>
      <c r="G421" s="15">
        <f>'QTR Rooms'!G612</f>
        <v>11779</v>
      </c>
      <c r="H421" s="208">
        <f>'QTR Rooms'!H612</f>
        <v>11779</v>
      </c>
      <c r="I421" s="15">
        <f>'QTR Rooms'!I612</f>
        <v>12209</v>
      </c>
      <c r="J421" s="15">
        <f>'QTR Rooms'!J612</f>
        <v>14769</v>
      </c>
      <c r="K421" s="15">
        <f>'QTR Rooms'!K612</f>
        <v>15462</v>
      </c>
      <c r="L421" s="15">
        <f>'QTR Rooms'!L612</f>
        <v>15344</v>
      </c>
      <c r="M421" s="208">
        <f>'QTR Rooms'!M612</f>
        <v>15344</v>
      </c>
      <c r="N421" s="15">
        <f>'QTR Rooms'!N612</f>
        <v>16251</v>
      </c>
      <c r="O421" s="15">
        <f>'QTR Rooms'!O612</f>
        <v>16826</v>
      </c>
      <c r="P421" s="15">
        <f>'QTR Rooms'!P612</f>
        <v>18178</v>
      </c>
      <c r="Q421" s="15">
        <f>'QTR Rooms'!Q612</f>
        <v>21283</v>
      </c>
      <c r="R421" s="208">
        <f>'QTR Rooms'!R612</f>
        <v>21283</v>
      </c>
      <c r="S421" s="15">
        <f>'QTR Rooms'!S612</f>
        <v>21429</v>
      </c>
      <c r="T421" s="15">
        <f>'QTR Rooms'!T612</f>
        <v>23909</v>
      </c>
      <c r="U421" s="15">
        <f>'QTR Rooms'!U612</f>
        <v>25887</v>
      </c>
      <c r="V421" s="15">
        <f>'QTR Rooms'!V612</f>
        <v>27161</v>
      </c>
      <c r="W421" s="208">
        <f>'QTR Rooms'!W612</f>
        <v>27161</v>
      </c>
      <c r="X421" s="15">
        <f>'QTR Rooms'!X612</f>
        <v>29096</v>
      </c>
      <c r="Y421" s="15">
        <f>'QTR Rooms'!Y612</f>
        <v>30438</v>
      </c>
      <c r="Z421" s="15">
        <f>'QTR Rooms'!Z612</f>
        <v>31655</v>
      </c>
      <c r="AA421" s="474">
        <f>'QTR Rooms'!AA612</f>
        <v>32079</v>
      </c>
      <c r="AB421" s="208">
        <f>'QTR Rooms'!AB612</f>
        <v>32079</v>
      </c>
      <c r="AC421" s="15">
        <f>'QTR Rooms'!AC612</f>
        <v>32553.839999999997</v>
      </c>
      <c r="AD421" s="15">
        <f>'QTR Rooms'!AD612</f>
        <v>33359.910999999993</v>
      </c>
      <c r="AE421" s="15">
        <f>'QTR Rooms'!AE612</f>
        <v>36782</v>
      </c>
      <c r="AF421" s="474">
        <f>'QTR Rooms'!AF612</f>
        <v>38536</v>
      </c>
      <c r="AG421" s="208">
        <f>'QTR Rooms'!AG612</f>
        <v>38536</v>
      </c>
      <c r="AH421" s="15">
        <f>'QTR Rooms'!AH612</f>
        <v>38912.6</v>
      </c>
      <c r="AI421" s="15">
        <f>'QTR Rooms'!AI612</f>
        <v>39292.966</v>
      </c>
      <c r="AJ421" s="15">
        <f>'QTR Rooms'!AJ612</f>
        <v>39869.220489999992</v>
      </c>
      <c r="AK421" s="474">
        <f>'QTR Rooms'!AK612</f>
        <v>40454.118797349991</v>
      </c>
      <c r="AL421" s="1976">
        <f>'QTR Rooms'!AL612</f>
        <v>40454.118797349991</v>
      </c>
      <c r="AM421" s="474">
        <f>'QTR Rooms'!AM612</f>
        <v>42828.805925190994</v>
      </c>
      <c r="AN421" s="474">
        <f>'QTR Rooms'!AN612</f>
        <v>44926.446221450547</v>
      </c>
    </row>
    <row r="422" spans="1:40">
      <c r="A422" s="394" t="s">
        <v>209</v>
      </c>
      <c r="B422" s="13">
        <f>'QTR Rooms'!B683</f>
        <v>657</v>
      </c>
      <c r="C422" s="208">
        <f>'QTR Rooms'!C683</f>
        <v>658</v>
      </c>
      <c r="D422" s="15">
        <f>'QTR Rooms'!D683</f>
        <v>658</v>
      </c>
      <c r="E422" s="15">
        <f>'QTR Rooms'!E683</f>
        <v>658</v>
      </c>
      <c r="F422" s="15">
        <f>'QTR Rooms'!F683</f>
        <v>658</v>
      </c>
      <c r="G422" s="15">
        <f>'QTR Rooms'!G683</f>
        <v>658</v>
      </c>
      <c r="H422" s="208">
        <f>'QTR Rooms'!H683</f>
        <v>658</v>
      </c>
      <c r="I422" s="15">
        <f>'QTR Rooms'!I683</f>
        <v>658</v>
      </c>
      <c r="J422" s="15">
        <f>'QTR Rooms'!J683</f>
        <v>841</v>
      </c>
      <c r="K422" s="15">
        <f>'QTR Rooms'!K683</f>
        <v>841</v>
      </c>
      <c r="L422" s="15">
        <f>'QTR Rooms'!L683</f>
        <v>841</v>
      </c>
      <c r="M422" s="208">
        <f>'QTR Rooms'!M683</f>
        <v>841</v>
      </c>
      <c r="N422" s="15">
        <f>'QTR Rooms'!N683</f>
        <v>839</v>
      </c>
      <c r="O422" s="15">
        <f>'QTR Rooms'!O683</f>
        <v>839</v>
      </c>
      <c r="P422" s="15">
        <f>'QTR Rooms'!P683</f>
        <v>898</v>
      </c>
      <c r="Q422" s="15">
        <f>'QTR Rooms'!Q683</f>
        <v>898</v>
      </c>
      <c r="R422" s="208">
        <f>'QTR Rooms'!R683</f>
        <v>898</v>
      </c>
      <c r="S422" s="15">
        <f>'QTR Rooms'!S683</f>
        <v>898</v>
      </c>
      <c r="T422" s="15">
        <f>'QTR Rooms'!T683</f>
        <v>898</v>
      </c>
      <c r="U422" s="15">
        <f>'QTR Rooms'!U683</f>
        <v>898</v>
      </c>
      <c r="V422" s="15">
        <f>'QTR Rooms'!V683</f>
        <v>898</v>
      </c>
      <c r="W422" s="208">
        <f>'QTR Rooms'!W683</f>
        <v>898</v>
      </c>
      <c r="X422" s="15">
        <f>'QTR Rooms'!X683</f>
        <v>898</v>
      </c>
      <c r="Y422" s="15">
        <f>'QTR Rooms'!Y683</f>
        <v>898</v>
      </c>
      <c r="Z422" s="15">
        <f>'QTR Rooms'!Z683</f>
        <v>898</v>
      </c>
      <c r="AA422" s="474">
        <f>'QTR Rooms'!AA683</f>
        <v>899</v>
      </c>
      <c r="AB422" s="208">
        <f>'QTR Rooms'!AB683</f>
        <v>899</v>
      </c>
      <c r="AC422" s="15">
        <f>'QTR Rooms'!AC683</f>
        <v>912.4849999999999</v>
      </c>
      <c r="AD422" s="15">
        <f>'QTR Rooms'!AD683</f>
        <v>935.29712499999982</v>
      </c>
      <c r="AE422" s="15">
        <f>'QTR Rooms'!AE683</f>
        <v>1093</v>
      </c>
      <c r="AF422" s="474">
        <f>'QTR Rooms'!AF683</f>
        <v>1093</v>
      </c>
      <c r="AG422" s="208">
        <f>'QTR Rooms'!AG683</f>
        <v>1093</v>
      </c>
      <c r="AH422" s="15">
        <f>'QTR Rooms'!AH683</f>
        <v>1103.9299999999998</v>
      </c>
      <c r="AI422" s="15">
        <f>'QTR Rooms'!AI683</f>
        <v>1114.9693</v>
      </c>
      <c r="AJ422" s="15">
        <f>'QTR Rooms'!AJ683</f>
        <v>1131.6938394999997</v>
      </c>
      <c r="AK422" s="474">
        <f>'QTR Rooms'!AK683</f>
        <v>1148.6692470924997</v>
      </c>
      <c r="AL422" s="1976">
        <f>'QTR Rooms'!AL683</f>
        <v>1148.6692470924997</v>
      </c>
      <c r="AM422" s="474">
        <f>'QTR Rooms'!AM683</f>
        <v>1217.5894019180498</v>
      </c>
      <c r="AN422" s="474">
        <f>'QTR Rooms'!AN683</f>
        <v>1278.4688720139525</v>
      </c>
    </row>
    <row r="423" spans="1:40" s="5" customFormat="1">
      <c r="A423" s="402" t="s">
        <v>1688</v>
      </c>
      <c r="B423" s="5">
        <f>'QTR Rooms'!B754</f>
        <v>2833</v>
      </c>
      <c r="C423" s="596">
        <f>'QTR Rooms'!C754</f>
        <v>2906</v>
      </c>
      <c r="D423" s="5">
        <f>'QTR Rooms'!D754</f>
        <v>3742</v>
      </c>
      <c r="E423" s="5">
        <f>'QTR Rooms'!E754</f>
        <v>4378</v>
      </c>
      <c r="F423" s="5">
        <f>'QTR Rooms'!F754</f>
        <v>4378</v>
      </c>
      <c r="G423" s="5">
        <f>'QTR Rooms'!G754</f>
        <v>4378</v>
      </c>
      <c r="H423" s="596">
        <f>'QTR Rooms'!H754</f>
        <v>4378</v>
      </c>
      <c r="I423" s="1052">
        <f>'QTR Rooms'!I754</f>
        <v>4378</v>
      </c>
      <c r="J423" s="1052">
        <f>'QTR Rooms'!J754</f>
        <v>4378</v>
      </c>
      <c r="K423" s="1052">
        <f>'QTR Rooms'!K754</f>
        <v>4493</v>
      </c>
      <c r="L423" s="587">
        <f>'QTR Rooms'!L754</f>
        <v>4647</v>
      </c>
      <c r="M423" s="587">
        <f>'QTR Rooms'!M754</f>
        <v>4647</v>
      </c>
      <c r="N423" s="1052">
        <f>'QTR Rooms'!N754</f>
        <v>4647</v>
      </c>
      <c r="O423" s="1052">
        <f>'QTR Rooms'!O754</f>
        <v>4653</v>
      </c>
      <c r="P423" s="1052">
        <f>'QTR Rooms'!P754</f>
        <v>4654</v>
      </c>
      <c r="Q423" s="587">
        <f>'QTR Rooms'!Q754</f>
        <v>4654</v>
      </c>
      <c r="R423" s="587">
        <f>'QTR Rooms'!R754</f>
        <v>4654</v>
      </c>
      <c r="S423" s="1052">
        <f>'QTR Rooms'!S754</f>
        <v>4653</v>
      </c>
      <c r="T423" s="1052">
        <f>'QTR Rooms'!T754</f>
        <v>4653</v>
      </c>
      <c r="U423" s="1052">
        <f>'QTR Rooms'!U754</f>
        <v>4653</v>
      </c>
      <c r="V423" s="587">
        <f>'QTR Rooms'!V754</f>
        <v>4957</v>
      </c>
      <c r="W423" s="587">
        <f>'QTR Rooms'!W754</f>
        <v>4957</v>
      </c>
      <c r="X423" s="1052">
        <f>'QTR Rooms'!X754</f>
        <v>5146</v>
      </c>
      <c r="Y423" s="1052">
        <f>'QTR Rooms'!Y754</f>
        <v>5384</v>
      </c>
      <c r="Z423" s="1052">
        <f>'QTR Rooms'!Z754</f>
        <v>5844</v>
      </c>
      <c r="AA423" s="587">
        <f>'QTR Rooms'!AA754</f>
        <v>6152</v>
      </c>
      <c r="AB423" s="587">
        <f>'QTR Rooms'!AB754</f>
        <v>6152</v>
      </c>
      <c r="AC423" s="1052">
        <f>'QTR Rooms'!AC754</f>
        <v>6244.2799999999988</v>
      </c>
      <c r="AD423" s="1052">
        <f>'QTR Rooms'!AD754</f>
        <v>6400.3869999999988</v>
      </c>
      <c r="AE423" s="1052">
        <f>'QTR Rooms'!AE754</f>
        <v>7767</v>
      </c>
      <c r="AF423" s="587">
        <f>'QTR Rooms'!AF754</f>
        <v>8368</v>
      </c>
      <c r="AG423" s="587">
        <f>'QTR Rooms'!AG754</f>
        <v>8368</v>
      </c>
      <c r="AH423" s="1052">
        <f>'QTR Rooms'!AH754</f>
        <v>8451.68</v>
      </c>
      <c r="AI423" s="1052">
        <f>'QTR Rooms'!AI754</f>
        <v>8536.1968000000015</v>
      </c>
      <c r="AJ423" s="1052">
        <f>'QTR Rooms'!AJ754</f>
        <v>8664.2397519999995</v>
      </c>
      <c r="AK423" s="587">
        <f>'QTR Rooms'!AK754</f>
        <v>8794.2033482799998</v>
      </c>
      <c r="AL423" s="587">
        <f>'QTR Rooms'!AL754</f>
        <v>8794.2033482799998</v>
      </c>
      <c r="AM423" s="587">
        <f>'QTR Rooms'!AM754</f>
        <v>9321.8555491767984</v>
      </c>
      <c r="AN423" s="587">
        <f>'QTR Rooms'!AN754</f>
        <v>9787.9483266356401</v>
      </c>
    </row>
    <row r="424" spans="1:40">
      <c r="A424" s="482" t="s">
        <v>168</v>
      </c>
      <c r="B424" s="505">
        <f>SUM(B420:B423)</f>
        <v>32284</v>
      </c>
      <c r="C424" s="502">
        <f t="shared" ref="C424:AN424" si="420">SUM(C420:C423)</f>
        <v>35171</v>
      </c>
      <c r="D424" s="228">
        <f t="shared" si="420"/>
        <v>36208</v>
      </c>
      <c r="E424" s="228">
        <f t="shared" si="420"/>
        <v>37811</v>
      </c>
      <c r="F424" s="228">
        <f t="shared" si="420"/>
        <v>37851</v>
      </c>
      <c r="G424" s="228">
        <f t="shared" si="420"/>
        <v>37729</v>
      </c>
      <c r="H424" s="502">
        <f t="shared" si="420"/>
        <v>37729</v>
      </c>
      <c r="I424" s="228">
        <f t="shared" si="420"/>
        <v>38419</v>
      </c>
      <c r="J424" s="228">
        <f t="shared" si="420"/>
        <v>41161</v>
      </c>
      <c r="K424" s="228">
        <f t="shared" si="420"/>
        <v>41637</v>
      </c>
      <c r="L424" s="588">
        <f>SUM(L420:L423)</f>
        <v>42109</v>
      </c>
      <c r="M424" s="502">
        <f>SUM(M420:M423)</f>
        <v>42109</v>
      </c>
      <c r="N424" s="228">
        <f t="shared" si="420"/>
        <v>43657</v>
      </c>
      <c r="O424" s="228">
        <f t="shared" si="420"/>
        <v>44762</v>
      </c>
      <c r="P424" s="228">
        <f t="shared" si="420"/>
        <v>46599</v>
      </c>
      <c r="Q424" s="588">
        <f t="shared" si="420"/>
        <v>50217</v>
      </c>
      <c r="R424" s="502">
        <f t="shared" si="420"/>
        <v>50217</v>
      </c>
      <c r="S424" s="228">
        <f t="shared" ref="S424:AB424" si="421">SUM(S420:S423)</f>
        <v>51433</v>
      </c>
      <c r="T424" s="228">
        <f t="shared" si="421"/>
        <v>54891</v>
      </c>
      <c r="U424" s="228">
        <f t="shared" si="421"/>
        <v>58305</v>
      </c>
      <c r="V424" s="588">
        <f t="shared" si="421"/>
        <v>60739</v>
      </c>
      <c r="W424" s="502">
        <f t="shared" si="421"/>
        <v>60739</v>
      </c>
      <c r="X424" s="228">
        <f t="shared" si="421"/>
        <v>63314</v>
      </c>
      <c r="Y424" s="228">
        <f t="shared" si="421"/>
        <v>65113</v>
      </c>
      <c r="Z424" s="228">
        <f t="shared" si="421"/>
        <v>67129</v>
      </c>
      <c r="AA424" s="588">
        <f t="shared" si="421"/>
        <v>68792</v>
      </c>
      <c r="AB424" s="502">
        <f t="shared" si="421"/>
        <v>68792</v>
      </c>
      <c r="AC424" s="228">
        <f>SUM(AC420:AC423)</f>
        <v>69814.609999999986</v>
      </c>
      <c r="AD424" s="228">
        <f>SUM(AD420:AD423)</f>
        <v>71552.20024999998</v>
      </c>
      <c r="AE424" s="228">
        <f>SUM(AE420:AE423)</f>
        <v>76600</v>
      </c>
      <c r="AF424" s="588">
        <f>SUM(AF420:AF423)</f>
        <v>80345</v>
      </c>
      <c r="AG424" s="502">
        <f>SUM(AG420:AG423)</f>
        <v>80345</v>
      </c>
      <c r="AH424" s="228">
        <f t="shared" ref="AH424:AK424" si="422">SUM(AH420:AH423)</f>
        <v>81144.294999999984</v>
      </c>
      <c r="AI424" s="228">
        <f t="shared" si="422"/>
        <v>81951.678274999998</v>
      </c>
      <c r="AJ424" s="228">
        <f t="shared" si="422"/>
        <v>83165.188449124995</v>
      </c>
      <c r="AK424" s="588">
        <f t="shared" si="422"/>
        <v>84396.901275861863</v>
      </c>
      <c r="AL424" s="588">
        <f>SUM(AL420:AL423)</f>
        <v>84396.901275861863</v>
      </c>
      <c r="AM424" s="502">
        <f t="shared" si="420"/>
        <v>89377.42045632092</v>
      </c>
      <c r="AN424" s="502">
        <f t="shared" si="420"/>
        <v>93765.547523914516</v>
      </c>
    </row>
    <row r="425" spans="1:40">
      <c r="A425" s="477" t="s">
        <v>1423</v>
      </c>
      <c r="B425" s="1036"/>
      <c r="C425" s="445">
        <f>C424/B424-1</f>
        <v>8.9425102217816965E-2</v>
      </c>
      <c r="D425" s="437"/>
      <c r="E425" s="437"/>
      <c r="F425" s="437"/>
      <c r="G425" s="437"/>
      <c r="H425" s="445">
        <f t="shared" ref="H425:R425" si="423">H424/C424-1</f>
        <v>7.2730374456228208E-2</v>
      </c>
      <c r="I425" s="437">
        <f t="shared" si="423"/>
        <v>6.1063853292090187E-2</v>
      </c>
      <c r="J425" s="437">
        <f t="shared" si="423"/>
        <v>8.8598555975774262E-2</v>
      </c>
      <c r="K425" s="437">
        <f t="shared" si="423"/>
        <v>0.10002377744313229</v>
      </c>
      <c r="L425" s="437">
        <f>L424/G424-1</f>
        <v>0.11609107052930101</v>
      </c>
      <c r="M425" s="445">
        <f>M424/H424-1</f>
        <v>0.11609107052930101</v>
      </c>
      <c r="N425" s="437">
        <f t="shared" si="423"/>
        <v>0.13633879070251709</v>
      </c>
      <c r="O425" s="437">
        <f t="shared" si="423"/>
        <v>8.7485726780204498E-2</v>
      </c>
      <c r="P425" s="437">
        <f t="shared" si="423"/>
        <v>0.11917285106996189</v>
      </c>
      <c r="Q425" s="437">
        <f t="shared" si="423"/>
        <v>0.19254791137286564</v>
      </c>
      <c r="R425" s="445">
        <f t="shared" si="423"/>
        <v>0.19254791137286564</v>
      </c>
      <c r="S425" s="437">
        <f t="shared" ref="S425:AB425" si="424">S424/N424-1</f>
        <v>0.17811576608562207</v>
      </c>
      <c r="T425" s="437">
        <f t="shared" si="424"/>
        <v>0.2262856887538538</v>
      </c>
      <c r="U425" s="437">
        <f t="shared" si="424"/>
        <v>0.25120710744865771</v>
      </c>
      <c r="V425" s="437">
        <f t="shared" si="424"/>
        <v>0.20953063703526698</v>
      </c>
      <c r="W425" s="445">
        <f t="shared" si="424"/>
        <v>0.20953063703526698</v>
      </c>
      <c r="X425" s="437">
        <f t="shared" si="424"/>
        <v>0.23099955281628537</v>
      </c>
      <c r="Y425" s="437">
        <f t="shared" si="424"/>
        <v>0.18622360678435435</v>
      </c>
      <c r="Z425" s="437">
        <f t="shared" si="424"/>
        <v>0.15134208043907038</v>
      </c>
      <c r="AA425" s="589">
        <f t="shared" si="424"/>
        <v>0.13258367770295854</v>
      </c>
      <c r="AB425" s="445">
        <f t="shared" si="424"/>
        <v>0.13258367770295854</v>
      </c>
      <c r="AC425" s="437">
        <f>AC424/X424-1</f>
        <v>0.10267255267397402</v>
      </c>
      <c r="AD425" s="437">
        <f>AD424/Y424-1</f>
        <v>9.8892698078724361E-2</v>
      </c>
      <c r="AE425" s="437">
        <f>AE424/Z424-1</f>
        <v>0.14108656467398584</v>
      </c>
      <c r="AF425" s="589">
        <f>AF424/AA424-1</f>
        <v>0.16794103965577389</v>
      </c>
      <c r="AG425" s="445">
        <f>AG424/AB424-1</f>
        <v>0.16794103965577389</v>
      </c>
      <c r="AH425" s="437">
        <f t="shared" ref="AH425:AK425" si="425">AH424/AC424-1</f>
        <v>0.16228243629807571</v>
      </c>
      <c r="AI425" s="437">
        <f t="shared" si="425"/>
        <v>0.14534113540414872</v>
      </c>
      <c r="AJ425" s="437">
        <f t="shared" si="425"/>
        <v>8.5707421006853801E-2</v>
      </c>
      <c r="AK425" s="589">
        <f t="shared" si="425"/>
        <v>5.0431281048750609E-2</v>
      </c>
      <c r="AL425" s="589">
        <f>AL424/AG424-1</f>
        <v>5.0431281048750609E-2</v>
      </c>
      <c r="AM425" s="589">
        <f>AM424/AL424-1</f>
        <v>5.901305741284979E-2</v>
      </c>
      <c r="AN425" s="589">
        <f>AN424/AM424-1</f>
        <v>4.9096595596402226E-2</v>
      </c>
    </row>
    <row r="428" spans="1:40" s="12" customFormat="1">
      <c r="A428" s="461" t="s">
        <v>421</v>
      </c>
      <c r="B428" s="1050" t="str">
        <f>B$4</f>
        <v>2010</v>
      </c>
      <c r="C428" s="774" t="str">
        <f t="shared" ref="C428:AN428" si="426">C$4</f>
        <v>2011</v>
      </c>
      <c r="D428" s="773" t="str">
        <f t="shared" si="426"/>
        <v>1Q12</v>
      </c>
      <c r="E428" s="773" t="str">
        <f t="shared" si="426"/>
        <v>2Q12</v>
      </c>
      <c r="F428" s="1049" t="str">
        <f t="shared" si="426"/>
        <v>3Q12</v>
      </c>
      <c r="G428" s="773" t="str">
        <f t="shared" si="426"/>
        <v>4Q12</v>
      </c>
      <c r="H428" s="774">
        <f t="shared" si="426"/>
        <v>2012</v>
      </c>
      <c r="I428" s="773" t="str">
        <f t="shared" si="426"/>
        <v>1Q13</v>
      </c>
      <c r="J428" s="773" t="str">
        <f t="shared" si="426"/>
        <v>2Q13</v>
      </c>
      <c r="K428" s="773" t="str">
        <f t="shared" si="426"/>
        <v>3Q13</v>
      </c>
      <c r="L428" s="773" t="str">
        <f t="shared" si="426"/>
        <v>4Q13</v>
      </c>
      <c r="M428" s="774">
        <f t="shared" si="426"/>
        <v>2013</v>
      </c>
      <c r="N428" s="773" t="str">
        <f t="shared" si="426"/>
        <v>1Q14</v>
      </c>
      <c r="O428" s="773" t="str">
        <f t="shared" si="426"/>
        <v>2Q14</v>
      </c>
      <c r="P428" s="773" t="str">
        <f t="shared" si="426"/>
        <v>3Q14</v>
      </c>
      <c r="Q428" s="773" t="str">
        <f t="shared" si="426"/>
        <v>4Q14</v>
      </c>
      <c r="R428" s="774">
        <f t="shared" si="426"/>
        <v>2014</v>
      </c>
      <c r="S428" s="773" t="str">
        <f t="shared" si="426"/>
        <v>1Q15</v>
      </c>
      <c r="T428" s="773" t="str">
        <f t="shared" si="426"/>
        <v>2Q15</v>
      </c>
      <c r="U428" s="773" t="str">
        <f t="shared" si="426"/>
        <v>3Q15</v>
      </c>
      <c r="V428" s="773" t="str">
        <f t="shared" si="426"/>
        <v>4Q15</v>
      </c>
      <c r="W428" s="774">
        <f t="shared" si="426"/>
        <v>2015</v>
      </c>
      <c r="X428" s="773" t="str">
        <f t="shared" si="426"/>
        <v>1Q16</v>
      </c>
      <c r="Y428" s="773" t="str">
        <f t="shared" si="426"/>
        <v>2Q16</v>
      </c>
      <c r="Z428" s="773" t="str">
        <f t="shared" si="426"/>
        <v>3Q16</v>
      </c>
      <c r="AA428" s="773" t="str">
        <f t="shared" si="426"/>
        <v>4Q16</v>
      </c>
      <c r="AB428" s="774">
        <f t="shared" si="426"/>
        <v>2016</v>
      </c>
      <c r="AC428" s="773" t="str">
        <f t="shared" si="426"/>
        <v>1Q17</v>
      </c>
      <c r="AD428" s="773" t="str">
        <f t="shared" si="426"/>
        <v>2Q17</v>
      </c>
      <c r="AE428" s="773" t="str">
        <f t="shared" si="426"/>
        <v>3Q17</v>
      </c>
      <c r="AF428" s="773" t="str">
        <f t="shared" si="426"/>
        <v>4Q17A</v>
      </c>
      <c r="AG428" s="774" t="str">
        <f t="shared" si="426"/>
        <v>2017A</v>
      </c>
      <c r="AH428" s="1049" t="str">
        <f>AH4</f>
        <v>1Q18E</v>
      </c>
      <c r="AI428" s="1049" t="str">
        <f>AI4</f>
        <v>2Q18E</v>
      </c>
      <c r="AJ428" s="1049" t="str">
        <f>AJ4</f>
        <v>3Q18E</v>
      </c>
      <c r="AK428" s="1049" t="str">
        <f>AK4</f>
        <v>4Q18E</v>
      </c>
      <c r="AL428" s="774" t="str">
        <f t="shared" si="426"/>
        <v>2018E</v>
      </c>
      <c r="AM428" s="774" t="str">
        <f t="shared" si="426"/>
        <v>2019E</v>
      </c>
      <c r="AN428" s="774" t="str">
        <f t="shared" si="426"/>
        <v>2020E</v>
      </c>
    </row>
    <row r="429" spans="1:40">
      <c r="A429" s="13"/>
      <c r="B429" s="208"/>
      <c r="C429" s="208"/>
      <c r="D429" s="15"/>
      <c r="E429" s="15"/>
      <c r="F429" s="15"/>
      <c r="G429" s="15"/>
      <c r="H429" s="208"/>
      <c r="I429" s="15"/>
      <c r="J429" s="15"/>
      <c r="K429" s="15"/>
      <c r="L429" s="15"/>
      <c r="M429" s="208"/>
      <c r="N429" s="15"/>
      <c r="O429" s="15"/>
      <c r="P429" s="15"/>
      <c r="Q429" s="15"/>
      <c r="R429" s="208"/>
      <c r="S429" s="13"/>
      <c r="V429" s="474"/>
      <c r="W429" s="208"/>
      <c r="X429" s="13"/>
      <c r="AA429" s="474"/>
      <c r="AB429" s="208"/>
      <c r="AF429" s="474"/>
      <c r="AG429" s="208"/>
      <c r="AK429" s="474"/>
      <c r="AL429" s="208"/>
      <c r="AM429" s="208"/>
      <c r="AN429" s="208"/>
    </row>
    <row r="430" spans="1:40">
      <c r="A430" s="482" t="s">
        <v>430</v>
      </c>
      <c r="B430" s="208"/>
      <c r="C430" s="208"/>
      <c r="D430" s="15"/>
      <c r="E430" s="15"/>
      <c r="F430" s="15"/>
      <c r="G430" s="15"/>
      <c r="H430" s="208"/>
      <c r="I430" s="15"/>
      <c r="J430" s="15"/>
      <c r="K430" s="15"/>
      <c r="L430" s="15"/>
      <c r="M430" s="208"/>
      <c r="N430" s="15"/>
      <c r="O430" s="15"/>
      <c r="P430" s="15"/>
      <c r="Q430" s="15"/>
      <c r="R430" s="208"/>
      <c r="S430" s="13"/>
      <c r="V430" s="474"/>
      <c r="W430" s="208"/>
      <c r="X430" s="13"/>
      <c r="AA430" s="474"/>
      <c r="AB430" s="208"/>
      <c r="AF430" s="474"/>
      <c r="AG430" s="208"/>
      <c r="AK430" s="474"/>
      <c r="AL430" s="208"/>
      <c r="AM430" s="208"/>
      <c r="AN430" s="208"/>
    </row>
    <row r="431" spans="1:40">
      <c r="A431" s="482" t="s">
        <v>698</v>
      </c>
      <c r="B431" s="597">
        <f t="shared" ref="B431:AN431" si="427">B398+B356</f>
        <v>13374.311977928654</v>
      </c>
      <c r="C431" s="597">
        <f t="shared" si="427"/>
        <v>14334.321235305413</v>
      </c>
      <c r="D431" s="577">
        <f t="shared" si="427"/>
        <v>3523.7992414851383</v>
      </c>
      <c r="E431" s="577">
        <f t="shared" si="427"/>
        <v>4087.785872235343</v>
      </c>
      <c r="F431" s="577">
        <f t="shared" si="427"/>
        <v>4058.7110095141711</v>
      </c>
      <c r="G431" s="577">
        <f t="shared" si="427"/>
        <v>3652.3458839342488</v>
      </c>
      <c r="H431" s="597">
        <f t="shared" si="427"/>
        <v>15494.628803771328</v>
      </c>
      <c r="I431" s="577">
        <f t="shared" si="427"/>
        <v>3806.9330162248352</v>
      </c>
      <c r="J431" s="577">
        <f t="shared" si="427"/>
        <v>4490.4781696730852</v>
      </c>
      <c r="K431" s="577">
        <f t="shared" si="427"/>
        <v>4483.6395877691884</v>
      </c>
      <c r="L431" s="577">
        <f t="shared" si="427"/>
        <v>3989.00501472</v>
      </c>
      <c r="M431" s="597">
        <f t="shared" si="427"/>
        <v>16938.60411915751</v>
      </c>
      <c r="N431" s="577">
        <f t="shared" si="427"/>
        <v>4183.7681957021996</v>
      </c>
      <c r="O431" s="577">
        <f t="shared" si="427"/>
        <v>5040.899240307841</v>
      </c>
      <c r="P431" s="577">
        <f t="shared" si="427"/>
        <v>5109.4345492660796</v>
      </c>
      <c r="Q431" s="577">
        <f t="shared" si="427"/>
        <v>4444.330543419097</v>
      </c>
      <c r="R431" s="597">
        <f t="shared" si="427"/>
        <v>19110.694517874777</v>
      </c>
      <c r="S431" s="577">
        <f t="shared" si="427"/>
        <v>4653.3539717891726</v>
      </c>
      <c r="T431" s="577">
        <f t="shared" si="427"/>
        <v>5554.9505395893602</v>
      </c>
      <c r="U431" s="577">
        <f t="shared" si="427"/>
        <v>5602.7225927710624</v>
      </c>
      <c r="V431" s="577">
        <f t="shared" si="427"/>
        <v>4821.6264312965695</v>
      </c>
      <c r="W431" s="597">
        <f t="shared" si="427"/>
        <v>21039.869037825603</v>
      </c>
      <c r="X431" s="577">
        <f t="shared" si="427"/>
        <v>5022.4001340413324</v>
      </c>
      <c r="Y431" s="577">
        <f t="shared" si="427"/>
        <v>5989.5669757877622</v>
      </c>
      <c r="Z431" s="577">
        <f t="shared" si="427"/>
        <v>5987.7858244348645</v>
      </c>
      <c r="AA431" s="577">
        <f t="shared" si="427"/>
        <v>5151.3898647529086</v>
      </c>
      <c r="AB431" s="597">
        <f t="shared" si="427"/>
        <v>22151.142799016867</v>
      </c>
      <c r="AC431" s="577">
        <f t="shared" si="427"/>
        <v>5677.9566288036813</v>
      </c>
      <c r="AD431" s="577">
        <f t="shared" si="427"/>
        <v>6755.4785966386644</v>
      </c>
      <c r="AE431" s="577">
        <f t="shared" si="427"/>
        <v>6670.4511692148135</v>
      </c>
      <c r="AF431" s="577">
        <f t="shared" si="427"/>
        <v>5928.5503803828196</v>
      </c>
      <c r="AG431" s="597">
        <f t="shared" si="427"/>
        <v>25032.436775039983</v>
      </c>
      <c r="AH431" s="577">
        <f t="shared" ref="AH431:AL431" si="428">AH398+AH356</f>
        <v>6092.3551407863897</v>
      </c>
      <c r="AI431" s="577">
        <f t="shared" si="428"/>
        <v>7291.2618954165373</v>
      </c>
      <c r="AJ431" s="577">
        <f t="shared" si="428"/>
        <v>7248.1810295136411</v>
      </c>
      <c r="AK431" s="577">
        <f t="shared" si="428"/>
        <v>6428.0146511211397</v>
      </c>
      <c r="AL431" s="597">
        <f t="shared" si="428"/>
        <v>27059.812716837707</v>
      </c>
      <c r="AM431" s="597">
        <f t="shared" si="427"/>
        <v>29117.593269468507</v>
      </c>
      <c r="AN431" s="597">
        <f t="shared" si="427"/>
        <v>29922.945267053499</v>
      </c>
    </row>
    <row r="432" spans="1:40">
      <c r="A432" s="578" t="s">
        <v>1423</v>
      </c>
      <c r="B432" s="444"/>
      <c r="C432" s="444">
        <f>C431/B431-1</f>
        <v>7.17800855072801E-2</v>
      </c>
      <c r="D432" s="471"/>
      <c r="E432" s="471"/>
      <c r="F432" s="471"/>
      <c r="G432" s="471"/>
      <c r="H432" s="444">
        <f t="shared" ref="H432:R432" si="429">H431/C431-1</f>
        <v>8.0946111742499438E-2</v>
      </c>
      <c r="I432" s="471">
        <f t="shared" si="429"/>
        <v>8.0349008367561758E-2</v>
      </c>
      <c r="J432" s="471">
        <f t="shared" si="429"/>
        <v>9.8511103571463643E-2</v>
      </c>
      <c r="K432" s="471">
        <f t="shared" si="429"/>
        <v>0.10469545066375185</v>
      </c>
      <c r="L432" s="471">
        <f>L431/G431-1</f>
        <v>9.2176135964183947E-2</v>
      </c>
      <c r="M432" s="444">
        <f>M431/H431-1</f>
        <v>9.3191991474795843E-2</v>
      </c>
      <c r="N432" s="471">
        <f t="shared" si="429"/>
        <v>9.898655370906817E-2</v>
      </c>
      <c r="O432" s="471">
        <f t="shared" si="429"/>
        <v>0.12257515788676621</v>
      </c>
      <c r="P432" s="471">
        <f t="shared" si="429"/>
        <v>0.13957298512663274</v>
      </c>
      <c r="Q432" s="471">
        <f t="shared" si="429"/>
        <v>0.1141451382033567</v>
      </c>
      <c r="R432" s="444">
        <f t="shared" si="429"/>
        <v>0.12823314031293997</v>
      </c>
      <c r="S432" s="471">
        <f t="shared" ref="S432:AB432" si="430">S431/N431-1</f>
        <v>0.11223991247157472</v>
      </c>
      <c r="T432" s="471">
        <f t="shared" si="430"/>
        <v>0.10197611076434199</v>
      </c>
      <c r="U432" s="471">
        <f t="shared" si="430"/>
        <v>9.6544546906044415E-2</v>
      </c>
      <c r="V432" s="471">
        <f t="shared" si="430"/>
        <v>8.4893750406605184E-2</v>
      </c>
      <c r="W432" s="444">
        <f t="shared" si="430"/>
        <v>0.10094737886927208</v>
      </c>
      <c r="X432" s="471">
        <f t="shared" si="430"/>
        <v>7.9307562779339813E-2</v>
      </c>
      <c r="Y432" s="471">
        <f t="shared" si="430"/>
        <v>7.8239479019831304E-2</v>
      </c>
      <c r="Z432" s="471">
        <f t="shared" si="430"/>
        <v>6.8727877435986517E-2</v>
      </c>
      <c r="AA432" s="471">
        <f t="shared" si="430"/>
        <v>6.8392572123772588E-2</v>
      </c>
      <c r="AB432" s="444">
        <f t="shared" si="430"/>
        <v>5.281752273236151E-2</v>
      </c>
      <c r="AC432" s="471">
        <f>AC431/X431-1</f>
        <v>0.13052653656944857</v>
      </c>
      <c r="AD432" s="471">
        <f>AD431/Y431-1</f>
        <v>0.12787428940139156</v>
      </c>
      <c r="AE432" s="471">
        <f>AE431/Z431-1</f>
        <v>0.11400964643627343</v>
      </c>
      <c r="AF432" s="471">
        <f>AF431/AA431-1</f>
        <v>0.15086423975545649</v>
      </c>
      <c r="AG432" s="444">
        <f>AG431/AB431-1</f>
        <v>0.13007428114051955</v>
      </c>
      <c r="AH432" s="471">
        <f t="shared" ref="AH432:AK432" si="431">AH431/AC431-1</f>
        <v>7.2983740291447052E-2</v>
      </c>
      <c r="AI432" s="471">
        <f t="shared" si="431"/>
        <v>7.9310931285381248E-2</v>
      </c>
      <c r="AJ432" s="471">
        <f t="shared" si="431"/>
        <v>8.6610312502569897E-2</v>
      </c>
      <c r="AK432" s="471">
        <f t="shared" si="431"/>
        <v>8.4247284528611521E-2</v>
      </c>
      <c r="AL432" s="444">
        <f>AL431/AG431-1</f>
        <v>8.0989955553157911E-2</v>
      </c>
      <c r="AM432" s="444">
        <f>AM431/AL431-1</f>
        <v>7.6045631733081764E-2</v>
      </c>
      <c r="AN432" s="444">
        <f>AN431/AM431-1</f>
        <v>2.7658604546463295E-2</v>
      </c>
    </row>
    <row r="433" spans="1:40">
      <c r="A433" s="394"/>
      <c r="B433" s="208"/>
      <c r="C433" s="208"/>
      <c r="D433" s="15"/>
      <c r="E433" s="15"/>
      <c r="F433" s="15"/>
      <c r="G433" s="15"/>
      <c r="H433" s="208"/>
      <c r="I433" s="15"/>
      <c r="J433" s="15"/>
      <c r="K433" s="15"/>
      <c r="L433" s="15"/>
      <c r="M433" s="208"/>
      <c r="N433" s="15"/>
      <c r="O433" s="15"/>
      <c r="P433" s="15"/>
      <c r="Q433" s="15"/>
      <c r="R433" s="208"/>
      <c r="W433" s="208"/>
      <c r="AB433" s="208"/>
      <c r="AG433" s="208"/>
      <c r="AL433" s="1996"/>
      <c r="AM433" s="208"/>
      <c r="AN433" s="208"/>
    </row>
    <row r="434" spans="1:40">
      <c r="A434" s="394"/>
      <c r="B434" s="208"/>
      <c r="C434" s="208"/>
      <c r="D434" s="15"/>
      <c r="E434" s="15"/>
      <c r="F434" s="15"/>
      <c r="G434" s="15"/>
      <c r="H434" s="208"/>
      <c r="I434" s="15"/>
      <c r="J434" s="15"/>
      <c r="K434" s="15"/>
      <c r="L434" s="15"/>
      <c r="M434" s="208"/>
      <c r="N434" s="15"/>
      <c r="O434" s="15"/>
      <c r="P434" s="15"/>
      <c r="Q434" s="15"/>
      <c r="R434" s="208"/>
      <c r="W434" s="208"/>
      <c r="AB434" s="208"/>
      <c r="AG434" s="208"/>
      <c r="AL434" s="1996"/>
      <c r="AM434" s="208"/>
      <c r="AN434" s="208"/>
    </row>
    <row r="435" spans="1:40">
      <c r="A435" s="482" t="s">
        <v>572</v>
      </c>
      <c r="B435" s="1056"/>
      <c r="C435" s="590"/>
      <c r="D435" s="573"/>
      <c r="E435" s="573"/>
      <c r="F435" s="573"/>
      <c r="G435" s="573"/>
      <c r="H435" s="590"/>
      <c r="I435" s="573"/>
      <c r="J435" s="573"/>
      <c r="K435" s="573"/>
      <c r="L435" s="573"/>
      <c r="M435" s="590"/>
      <c r="N435" s="573"/>
      <c r="O435" s="573"/>
      <c r="P435" s="573"/>
      <c r="Q435" s="573"/>
      <c r="R435" s="590"/>
      <c r="S435" s="573"/>
      <c r="T435" s="573"/>
      <c r="U435" s="573"/>
      <c r="V435" s="573"/>
      <c r="W435" s="590"/>
      <c r="X435" s="573"/>
      <c r="Y435" s="573"/>
      <c r="Z435" s="573"/>
      <c r="AA435" s="573"/>
      <c r="AB435" s="590"/>
      <c r="AC435" s="573"/>
      <c r="AD435" s="573"/>
      <c r="AE435" s="573"/>
      <c r="AF435" s="573"/>
      <c r="AG435" s="590"/>
      <c r="AH435" s="573"/>
      <c r="AI435" s="573"/>
      <c r="AJ435" s="573"/>
      <c r="AK435" s="573"/>
      <c r="AL435" s="1996"/>
      <c r="AM435" s="208"/>
      <c r="AN435" s="208"/>
    </row>
    <row r="436" spans="1:40">
      <c r="A436" s="394" t="s">
        <v>208</v>
      </c>
      <c r="B436" s="1057">
        <f t="shared" ref="B436:AN436" si="432">B402+B362</f>
        <v>940.8875799366474</v>
      </c>
      <c r="C436" s="661">
        <f t="shared" si="432"/>
        <v>1046.126643694945</v>
      </c>
      <c r="D436" s="659">
        <f t="shared" si="432"/>
        <v>265.22429283922804</v>
      </c>
      <c r="E436" s="659">
        <f t="shared" si="432"/>
        <v>273.73926759887672</v>
      </c>
      <c r="F436" s="659">
        <f t="shared" si="432"/>
        <v>287.01433472847611</v>
      </c>
      <c r="G436" s="659">
        <f t="shared" si="432"/>
        <v>262.37955788699139</v>
      </c>
      <c r="H436" s="661">
        <f t="shared" si="432"/>
        <v>1088.3574530535723</v>
      </c>
      <c r="I436" s="659">
        <f t="shared" si="432"/>
        <v>276.71588389449022</v>
      </c>
      <c r="J436" s="659">
        <f t="shared" si="432"/>
        <v>289.64536897815515</v>
      </c>
      <c r="K436" s="659">
        <f t="shared" si="432"/>
        <v>304.43163555928822</v>
      </c>
      <c r="L436" s="659">
        <f t="shared" ref="L436:N439" si="433">L402+L362</f>
        <v>280.13827414116793</v>
      </c>
      <c r="M436" s="661">
        <f t="shared" si="433"/>
        <v>1150.9311625731013</v>
      </c>
      <c r="N436" s="659">
        <f t="shared" si="433"/>
        <v>301.82964640998171</v>
      </c>
      <c r="O436" s="659">
        <f t="shared" si="432"/>
        <v>327.06041949316671</v>
      </c>
      <c r="P436" s="659">
        <f t="shared" si="432"/>
        <v>365.95477902656063</v>
      </c>
      <c r="Q436" s="659">
        <f t="shared" si="432"/>
        <v>325.58737667505648</v>
      </c>
      <c r="R436" s="661">
        <f t="shared" si="432"/>
        <v>1320.4322216047653</v>
      </c>
      <c r="S436" s="659">
        <f t="shared" si="432"/>
        <v>347.17155680306496</v>
      </c>
      <c r="T436" s="659">
        <f t="shared" ref="T436:AG436" si="434">T402+T362</f>
        <v>375.82817521075322</v>
      </c>
      <c r="U436" s="659">
        <f t="shared" si="434"/>
        <v>428.36374456969816</v>
      </c>
      <c r="V436" s="659">
        <f t="shared" si="434"/>
        <v>388.49041203265296</v>
      </c>
      <c r="W436" s="661">
        <f t="shared" si="434"/>
        <v>1539.8538886161693</v>
      </c>
      <c r="X436" s="659">
        <f t="shared" si="434"/>
        <v>407.83779380381264</v>
      </c>
      <c r="Y436" s="659">
        <f t="shared" si="434"/>
        <v>428.59694373771163</v>
      </c>
      <c r="Z436" s="659">
        <f t="shared" si="434"/>
        <v>463.28878383139886</v>
      </c>
      <c r="AA436" s="659">
        <f t="shared" si="434"/>
        <v>410.04072275640499</v>
      </c>
      <c r="AB436" s="661">
        <f t="shared" si="434"/>
        <v>1709.7642441293281</v>
      </c>
      <c r="AC436" s="659">
        <f>AC402+AC362</f>
        <v>324.66980362049998</v>
      </c>
      <c r="AD436" s="659">
        <f t="shared" si="434"/>
        <v>367.89954757747273</v>
      </c>
      <c r="AE436" s="659">
        <f t="shared" si="434"/>
        <v>407.60628335999996</v>
      </c>
      <c r="AF436" s="659">
        <f>AF402+AF362</f>
        <v>367.42928352000001</v>
      </c>
      <c r="AG436" s="661">
        <f t="shared" si="434"/>
        <v>1467.6049180779726</v>
      </c>
      <c r="AH436" s="659">
        <f t="shared" ref="AH436:AL436" si="435">AH402+AH362</f>
        <v>363.97369099435497</v>
      </c>
      <c r="AI436" s="659">
        <f t="shared" si="435"/>
        <v>408.91885814257563</v>
      </c>
      <c r="AJ436" s="659">
        <f t="shared" si="435"/>
        <v>452.79401875856058</v>
      </c>
      <c r="AK436" s="659">
        <f t="shared" si="435"/>
        <v>398.97736833908988</v>
      </c>
      <c r="AL436" s="3979">
        <f t="shared" si="435"/>
        <v>1624.6639362345813</v>
      </c>
      <c r="AM436" s="661">
        <f t="shared" si="432"/>
        <v>1730.0394684869705</v>
      </c>
      <c r="AN436" s="661">
        <f t="shared" si="432"/>
        <v>1764.8307918672178</v>
      </c>
    </row>
    <row r="437" spans="1:40">
      <c r="A437" s="394" t="s">
        <v>2218</v>
      </c>
      <c r="B437" s="1058">
        <f t="shared" ref="B437:AN437" si="436">B403+B363</f>
        <v>1136.8393041139966</v>
      </c>
      <c r="C437" s="662">
        <f t="shared" si="436"/>
        <v>1466.7803890117898</v>
      </c>
      <c r="D437" s="650">
        <f t="shared" si="436"/>
        <v>288.97442891879524</v>
      </c>
      <c r="E437" s="650">
        <f t="shared" si="436"/>
        <v>389.78806480465778</v>
      </c>
      <c r="F437" s="650">
        <f t="shared" si="436"/>
        <v>406.70051714976364</v>
      </c>
      <c r="G437" s="650">
        <f t="shared" si="436"/>
        <v>370.97630790042052</v>
      </c>
      <c r="H437" s="662">
        <f t="shared" si="436"/>
        <v>1456.4393187736373</v>
      </c>
      <c r="I437" s="650">
        <f t="shared" si="436"/>
        <v>316.06250844321573</v>
      </c>
      <c r="J437" s="650">
        <f t="shared" si="436"/>
        <v>446.63684315528468</v>
      </c>
      <c r="K437" s="650">
        <f t="shared" si="436"/>
        <v>463.24328651839608</v>
      </c>
      <c r="L437" s="650">
        <f t="shared" si="433"/>
        <v>444.75540354503994</v>
      </c>
      <c r="M437" s="662">
        <f t="shared" si="433"/>
        <v>1670.6980416619367</v>
      </c>
      <c r="N437" s="650">
        <f t="shared" si="433"/>
        <v>398.48032354320003</v>
      </c>
      <c r="O437" s="650">
        <f t="shared" si="436"/>
        <v>560.94867635534001</v>
      </c>
      <c r="P437" s="650">
        <f t="shared" si="436"/>
        <v>580.28315255040002</v>
      </c>
      <c r="Q437" s="650">
        <f t="shared" si="436"/>
        <v>534.31784846439996</v>
      </c>
      <c r="R437" s="662">
        <f t="shared" si="436"/>
        <v>2074.0300009133398</v>
      </c>
      <c r="S437" s="650">
        <f t="shared" si="436"/>
        <v>409.26317493600004</v>
      </c>
      <c r="T437" s="650">
        <f t="shared" si="436"/>
        <v>568.63707336800007</v>
      </c>
      <c r="U437" s="650">
        <f t="shared" si="436"/>
        <v>636.2834602854399</v>
      </c>
      <c r="V437" s="650">
        <f t="shared" si="436"/>
        <v>579.52066272360003</v>
      </c>
      <c r="W437" s="662">
        <f t="shared" si="436"/>
        <v>2193.7043713130397</v>
      </c>
      <c r="X437" s="650">
        <f t="shared" si="436"/>
        <v>486.27589530560039</v>
      </c>
      <c r="Y437" s="650">
        <f t="shared" si="436"/>
        <v>652.48927789299796</v>
      </c>
      <c r="Z437" s="650">
        <f t="shared" si="436"/>
        <v>706.94077505025473</v>
      </c>
      <c r="AA437" s="650">
        <f t="shared" si="436"/>
        <v>635.23905795569863</v>
      </c>
      <c r="AB437" s="662">
        <f t="shared" si="436"/>
        <v>2480.9450062045516</v>
      </c>
      <c r="AC437" s="650">
        <f t="shared" si="436"/>
        <v>456.528070926</v>
      </c>
      <c r="AD437" s="650">
        <f t="shared" si="436"/>
        <v>640.31076261939279</v>
      </c>
      <c r="AE437" s="650">
        <f t="shared" si="436"/>
        <v>720.98694779999994</v>
      </c>
      <c r="AF437" s="650">
        <f t="shared" si="436"/>
        <v>654.60083064000003</v>
      </c>
      <c r="AG437" s="662">
        <f t="shared" si="436"/>
        <v>2472.4266119853928</v>
      </c>
      <c r="AH437" s="650">
        <f t="shared" ref="AH437:AL437" si="437">AH403+AH363</f>
        <v>524.33143015967994</v>
      </c>
      <c r="AI437" s="650">
        <f t="shared" si="437"/>
        <v>731.15140820086458</v>
      </c>
      <c r="AJ437" s="650">
        <f t="shared" si="437"/>
        <v>802.61827595736338</v>
      </c>
      <c r="AK437" s="650">
        <f t="shared" si="437"/>
        <v>717.85981071902984</v>
      </c>
      <c r="AL437" s="2000">
        <f t="shared" si="437"/>
        <v>2775.9609250369376</v>
      </c>
      <c r="AM437" s="662">
        <f t="shared" si="436"/>
        <v>2964.4883699823913</v>
      </c>
      <c r="AN437" s="662">
        <f t="shared" si="436"/>
        <v>3018.1607543329292</v>
      </c>
    </row>
    <row r="438" spans="1:40">
      <c r="A438" s="394" t="s">
        <v>209</v>
      </c>
      <c r="B438" s="1058">
        <f t="shared" ref="B438:AN438" si="438">B404+B364</f>
        <v>457.44633054702865</v>
      </c>
      <c r="C438" s="662">
        <f t="shared" si="438"/>
        <v>515.22430243015594</v>
      </c>
      <c r="D438" s="650">
        <f t="shared" si="438"/>
        <v>127.09163789662379</v>
      </c>
      <c r="E438" s="650">
        <f t="shared" si="438"/>
        <v>112.46956588181074</v>
      </c>
      <c r="F438" s="650">
        <f t="shared" si="438"/>
        <v>133.14024373432815</v>
      </c>
      <c r="G438" s="650">
        <f t="shared" si="438"/>
        <v>126.15628216467815</v>
      </c>
      <c r="H438" s="662">
        <f t="shared" si="438"/>
        <v>498.85772967744083</v>
      </c>
      <c r="I438" s="650">
        <f t="shared" si="438"/>
        <v>136.96976412933455</v>
      </c>
      <c r="J438" s="650">
        <f t="shared" si="438"/>
        <v>136.72064115069327</v>
      </c>
      <c r="K438" s="650">
        <f t="shared" si="438"/>
        <v>122.83861325465377</v>
      </c>
      <c r="L438" s="650">
        <f t="shared" si="433"/>
        <v>155.84647426095998</v>
      </c>
      <c r="M438" s="662">
        <f t="shared" si="433"/>
        <v>552.37549279564155</v>
      </c>
      <c r="N438" s="650">
        <f t="shared" si="433"/>
        <v>167.89229262000001</v>
      </c>
      <c r="O438" s="650">
        <f t="shared" si="438"/>
        <v>156.75468402138998</v>
      </c>
      <c r="P438" s="650">
        <f t="shared" si="438"/>
        <v>174.95983923599999</v>
      </c>
      <c r="Q438" s="650">
        <f t="shared" si="438"/>
        <v>181.57074341504</v>
      </c>
      <c r="R438" s="662">
        <f t="shared" si="438"/>
        <v>681.17755929242992</v>
      </c>
      <c r="S438" s="650">
        <f t="shared" si="438"/>
        <v>166.78819370069999</v>
      </c>
      <c r="T438" s="650">
        <f t="shared" si="438"/>
        <v>153.88014023928002</v>
      </c>
      <c r="U438" s="650">
        <f t="shared" si="438"/>
        <v>174.88581620620002</v>
      </c>
      <c r="V438" s="650">
        <f t="shared" si="438"/>
        <v>176.314698948</v>
      </c>
      <c r="W438" s="662">
        <f t="shared" si="438"/>
        <v>671.86884909418006</v>
      </c>
      <c r="X438" s="650">
        <f t="shared" si="438"/>
        <v>176.39345755738705</v>
      </c>
      <c r="Y438" s="650">
        <f t="shared" si="438"/>
        <v>186.59433142656306</v>
      </c>
      <c r="Z438" s="650">
        <f t="shared" si="438"/>
        <v>188.04166777480393</v>
      </c>
      <c r="AA438" s="650">
        <f t="shared" si="438"/>
        <v>174.69031114288799</v>
      </c>
      <c r="AB438" s="662">
        <f t="shared" si="438"/>
        <v>725.71976790164206</v>
      </c>
      <c r="AC438" s="650">
        <f t="shared" si="438"/>
        <v>188.88024138749995</v>
      </c>
      <c r="AD438" s="650">
        <f t="shared" si="438"/>
        <v>210.60465556850914</v>
      </c>
      <c r="AE438" s="650">
        <f t="shared" si="438"/>
        <v>168.84209748000001</v>
      </c>
      <c r="AF438" s="650">
        <f t="shared" si="438"/>
        <v>193.18081248000001</v>
      </c>
      <c r="AG438" s="662">
        <f t="shared" si="438"/>
        <v>761.50780691600903</v>
      </c>
      <c r="AH438" s="650">
        <f t="shared" ref="AH438:AL438" si="439">AH404+AH364</f>
        <v>192.59303807249992</v>
      </c>
      <c r="AI438" s="650">
        <f t="shared" si="439"/>
        <v>213.53108098243462</v>
      </c>
      <c r="AJ438" s="650">
        <f t="shared" si="439"/>
        <v>186.52408555422721</v>
      </c>
      <c r="AK438" s="1984">
        <f t="shared" si="439"/>
        <v>208.90678476754502</v>
      </c>
      <c r="AL438" s="3980">
        <f t="shared" si="439"/>
        <v>801.55498937670677</v>
      </c>
      <c r="AM438" s="662">
        <f t="shared" si="438"/>
        <v>850.53831757166245</v>
      </c>
      <c r="AN438" s="662">
        <f t="shared" si="438"/>
        <v>858.66306133689727</v>
      </c>
    </row>
    <row r="439" spans="1:40" s="5" customFormat="1">
      <c r="A439" s="402" t="s">
        <v>1688</v>
      </c>
      <c r="B439" s="5">
        <f>B405+B365</f>
        <v>971.17884583474006</v>
      </c>
      <c r="C439" s="596">
        <f t="shared" ref="C439:S439" si="440">C405+C365</f>
        <v>1251.591541831528</v>
      </c>
      <c r="D439" s="5">
        <f t="shared" si="440"/>
        <v>314.01571353361089</v>
      </c>
      <c r="E439" s="5">
        <f t="shared" si="440"/>
        <v>296.9450500227689</v>
      </c>
      <c r="F439" s="5">
        <f t="shared" si="440"/>
        <v>324.52745901366069</v>
      </c>
      <c r="G439" s="587">
        <f t="shared" si="440"/>
        <v>367.84453962427654</v>
      </c>
      <c r="H439" s="596">
        <f t="shared" si="440"/>
        <v>1303.332762194317</v>
      </c>
      <c r="I439" s="1062">
        <f t="shared" si="440"/>
        <v>348.02661882957443</v>
      </c>
      <c r="J439" s="1062">
        <f t="shared" si="440"/>
        <v>323.0512944035969</v>
      </c>
      <c r="K439" s="1062">
        <f t="shared" si="440"/>
        <v>345.98349343066633</v>
      </c>
      <c r="L439" s="1064">
        <f t="shared" si="433"/>
        <v>421.21310669856007</v>
      </c>
      <c r="M439" s="1064">
        <f t="shared" si="433"/>
        <v>1438.2745133623976</v>
      </c>
      <c r="N439" s="1062">
        <f t="shared" si="433"/>
        <v>362.11643607150006</v>
      </c>
      <c r="O439" s="1062">
        <f t="shared" si="440"/>
        <v>357.38406090387002</v>
      </c>
      <c r="P439" s="1062">
        <f t="shared" si="440"/>
        <v>401.24683844959998</v>
      </c>
      <c r="Q439" s="1064">
        <f t="shared" si="440"/>
        <v>445.09947599000003</v>
      </c>
      <c r="R439" s="1064">
        <f t="shared" si="440"/>
        <v>1565.8468114149703</v>
      </c>
      <c r="S439" s="1062">
        <f t="shared" si="440"/>
        <v>358.24426583399998</v>
      </c>
      <c r="T439" s="1062">
        <f t="shared" ref="T439:AG439" si="441">T405+T365</f>
        <v>359.59056121351995</v>
      </c>
      <c r="U439" s="1062">
        <f t="shared" si="441"/>
        <v>405.79753371299995</v>
      </c>
      <c r="V439" s="1064">
        <f t="shared" si="441"/>
        <v>442.21445400495998</v>
      </c>
      <c r="W439" s="1064">
        <f t="shared" si="441"/>
        <v>1565.8468147654798</v>
      </c>
      <c r="X439" s="1062">
        <f t="shared" si="441"/>
        <v>455.16027869823415</v>
      </c>
      <c r="Y439" s="1062">
        <f t="shared" si="441"/>
        <v>446.13298547330237</v>
      </c>
      <c r="Z439" s="1062">
        <f t="shared" si="441"/>
        <v>473.0444602688375</v>
      </c>
      <c r="AA439" s="1062">
        <f t="shared" si="441"/>
        <v>526.52523704686359</v>
      </c>
      <c r="AB439" s="1025">
        <f t="shared" si="441"/>
        <v>1900.8629614872375</v>
      </c>
      <c r="AC439" s="1062">
        <f t="shared" si="441"/>
        <v>495.80819013600001</v>
      </c>
      <c r="AD439" s="1062">
        <f t="shared" si="441"/>
        <v>509.00932481815607</v>
      </c>
      <c r="AE439" s="1062">
        <f t="shared" si="441"/>
        <v>599.80172800000003</v>
      </c>
      <c r="AF439" s="1062">
        <f t="shared" si="441"/>
        <v>644.23194764000004</v>
      </c>
      <c r="AG439" s="1025">
        <f t="shared" si="441"/>
        <v>2248.8511905941559</v>
      </c>
      <c r="AH439" s="1062">
        <f t="shared" ref="AH439:AL439" si="442">AH405+AH365</f>
        <v>606.36222251783988</v>
      </c>
      <c r="AI439" s="1062">
        <f t="shared" si="442"/>
        <v>624.19464671314154</v>
      </c>
      <c r="AJ439" s="1062">
        <f t="shared" si="442"/>
        <v>701.5635158992277</v>
      </c>
      <c r="AK439" s="1064">
        <f t="shared" si="442"/>
        <v>723.57045123805403</v>
      </c>
      <c r="AL439" s="1064">
        <f t="shared" si="442"/>
        <v>2655.6908363682633</v>
      </c>
      <c r="AM439" s="1025">
        <f>AM405+AM365</f>
        <v>2886.2390642022133</v>
      </c>
      <c r="AN439" s="1025">
        <f>AN405+AN365</f>
        <v>2947.9342227862348</v>
      </c>
    </row>
    <row r="440" spans="1:40" s="2" customFormat="1">
      <c r="A440" s="482" t="s">
        <v>1687</v>
      </c>
      <c r="B440" s="1059">
        <f>SUM(B436:B439)</f>
        <v>3506.3520604324126</v>
      </c>
      <c r="C440" s="663">
        <f t="shared" ref="C440:AN440" si="443">SUM(C436:C439)</f>
        <v>4279.7228769684189</v>
      </c>
      <c r="D440" s="660">
        <f t="shared" si="443"/>
        <v>995.30607318825798</v>
      </c>
      <c r="E440" s="660">
        <f t="shared" si="443"/>
        <v>1072.9419483081142</v>
      </c>
      <c r="F440" s="660">
        <f t="shared" si="443"/>
        <v>1151.3825546262285</v>
      </c>
      <c r="G440" s="823">
        <f t="shared" si="443"/>
        <v>1127.3566875763665</v>
      </c>
      <c r="H440" s="823">
        <f t="shared" si="443"/>
        <v>4346.9872636989676</v>
      </c>
      <c r="I440" s="660">
        <f t="shared" si="443"/>
        <v>1077.774775296615</v>
      </c>
      <c r="J440" s="660">
        <f t="shared" si="443"/>
        <v>1196.0541476877299</v>
      </c>
      <c r="K440" s="660">
        <f t="shared" si="443"/>
        <v>1236.4970287630044</v>
      </c>
      <c r="L440" s="823">
        <f>SUM(L436:L439)</f>
        <v>1301.9532586457281</v>
      </c>
      <c r="M440" s="823">
        <f>SUM(M436:M439)</f>
        <v>4812.2792103930769</v>
      </c>
      <c r="N440" s="660">
        <f t="shared" si="443"/>
        <v>1230.3186986446817</v>
      </c>
      <c r="O440" s="660">
        <f t="shared" si="443"/>
        <v>1402.1478407737668</v>
      </c>
      <c r="P440" s="660">
        <f t="shared" si="443"/>
        <v>1522.4446092625608</v>
      </c>
      <c r="Q440" s="823">
        <f t="shared" si="443"/>
        <v>1486.5754445444963</v>
      </c>
      <c r="R440" s="823">
        <f t="shared" si="443"/>
        <v>5641.4865932255052</v>
      </c>
      <c r="S440" s="660">
        <f>SUM(S436:S439)</f>
        <v>1281.4671912737649</v>
      </c>
      <c r="T440" s="660">
        <f>SUM(T436:T439)</f>
        <v>1457.9359500315534</v>
      </c>
      <c r="U440" s="660">
        <f>SUM(U436:U439)</f>
        <v>1645.330554774338</v>
      </c>
      <c r="V440" s="823">
        <f>SUM(V436:V439)</f>
        <v>1586.540227709213</v>
      </c>
      <c r="W440" s="823">
        <f t="shared" si="443"/>
        <v>5971.2739237888691</v>
      </c>
      <c r="X440" s="660">
        <f t="shared" si="443"/>
        <v>1525.6674253650342</v>
      </c>
      <c r="Y440" s="660">
        <f t="shared" si="443"/>
        <v>1713.813538530575</v>
      </c>
      <c r="Z440" s="660">
        <f t="shared" si="443"/>
        <v>1831.3156869252953</v>
      </c>
      <c r="AA440" s="823">
        <f t="shared" si="443"/>
        <v>1746.4953289018554</v>
      </c>
      <c r="AB440" s="823">
        <f t="shared" ref="AB440:AG440" si="444">SUM(AB436:AB439)</f>
        <v>6817.2919797227587</v>
      </c>
      <c r="AC440" s="660">
        <f t="shared" si="444"/>
        <v>1465.88630607</v>
      </c>
      <c r="AD440" s="660">
        <f t="shared" si="444"/>
        <v>1727.8242905835307</v>
      </c>
      <c r="AE440" s="660">
        <f t="shared" si="444"/>
        <v>1897.23705664</v>
      </c>
      <c r="AF440" s="823">
        <f t="shared" si="444"/>
        <v>1859.4428742800001</v>
      </c>
      <c r="AG440" s="823">
        <f t="shared" si="444"/>
        <v>6950.3905275735306</v>
      </c>
      <c r="AH440" s="660">
        <f t="shared" ref="AH440:AL440" si="445">SUM(AH436:AH439)</f>
        <v>1687.2603817443746</v>
      </c>
      <c r="AI440" s="660">
        <f t="shared" si="445"/>
        <v>1977.7959940390163</v>
      </c>
      <c r="AJ440" s="660">
        <f t="shared" si="445"/>
        <v>2143.4998961693791</v>
      </c>
      <c r="AK440" s="823">
        <f t="shared" si="445"/>
        <v>2049.314415063719</v>
      </c>
      <c r="AL440" s="823">
        <f t="shared" si="445"/>
        <v>7857.8706870164888</v>
      </c>
      <c r="AM440" s="823">
        <f t="shared" si="443"/>
        <v>8431.3052202432373</v>
      </c>
      <c r="AN440" s="823">
        <f t="shared" si="443"/>
        <v>8589.5888303232787</v>
      </c>
    </row>
    <row r="441" spans="1:40">
      <c r="A441" s="578" t="s">
        <v>1423</v>
      </c>
      <c r="B441" s="1060"/>
      <c r="C441" s="444">
        <f>C440/B440-1</f>
        <v>0.22056279666355927</v>
      </c>
      <c r="D441" s="471"/>
      <c r="E441" s="471"/>
      <c r="F441" s="471"/>
      <c r="G441" s="471"/>
      <c r="H441" s="444">
        <f t="shared" ref="H441:R441" si="446">H440/C440-1</f>
        <v>1.57169958579646E-2</v>
      </c>
      <c r="I441" s="471">
        <f t="shared" si="446"/>
        <v>8.2857629758236628E-2</v>
      </c>
      <c r="J441" s="471">
        <f t="shared" si="446"/>
        <v>0.11474264714297644</v>
      </c>
      <c r="K441" s="471">
        <f t="shared" si="446"/>
        <v>7.3923713534470359E-2</v>
      </c>
      <c r="L441" s="471">
        <f>L440/G440-1</f>
        <v>0.15487251993396667</v>
      </c>
      <c r="M441" s="444">
        <f>M440/H440-1</f>
        <v>0.10703779847244821</v>
      </c>
      <c r="N441" s="471">
        <f t="shared" si="446"/>
        <v>0.14153599327474065</v>
      </c>
      <c r="O441" s="471">
        <f t="shared" si="446"/>
        <v>0.17231134015501492</v>
      </c>
      <c r="P441" s="471">
        <f t="shared" si="446"/>
        <v>0.23125618084632138</v>
      </c>
      <c r="Q441" s="471">
        <f t="shared" si="446"/>
        <v>0.1418040046159641</v>
      </c>
      <c r="R441" s="444">
        <f t="shared" si="446"/>
        <v>0.17231073813040387</v>
      </c>
      <c r="S441" s="471">
        <f t="shared" ref="S441:AB441" si="447">S440/N440-1</f>
        <v>4.1573368498282859E-2</v>
      </c>
      <c r="T441" s="471">
        <f t="shared" si="447"/>
        <v>3.9787608435783994E-2</v>
      </c>
      <c r="U441" s="471">
        <f t="shared" si="447"/>
        <v>8.0716201275329524E-2</v>
      </c>
      <c r="V441" s="471">
        <f t="shared" si="447"/>
        <v>6.7245011702280033E-2</v>
      </c>
      <c r="W441" s="444">
        <f t="shared" si="447"/>
        <v>5.8457522696124808E-2</v>
      </c>
      <c r="X441" s="471">
        <f t="shared" si="447"/>
        <v>0.1905630013426538</v>
      </c>
      <c r="Y441" s="471">
        <f t="shared" si="447"/>
        <v>0.17550674190692939</v>
      </c>
      <c r="Z441" s="471">
        <f t="shared" si="447"/>
        <v>0.11303815613906565</v>
      </c>
      <c r="AA441" s="579">
        <f t="shared" si="447"/>
        <v>0.100820072758949</v>
      </c>
      <c r="AB441" s="444">
        <f t="shared" si="447"/>
        <v>0.14168133412259842</v>
      </c>
      <c r="AC441" s="471">
        <f>AC440/X440-1</f>
        <v>-3.9183585033763735E-2</v>
      </c>
      <c r="AD441" s="471">
        <f>AD440/Y440-1</f>
        <v>8.1751904381432983E-3</v>
      </c>
      <c r="AE441" s="471">
        <f>AE440/Z440-1</f>
        <v>3.599672638931195E-2</v>
      </c>
      <c r="AF441" s="579">
        <f>AF440/AA440-1</f>
        <v>6.4670969059598127E-2</v>
      </c>
      <c r="AG441" s="444">
        <f>AG440/AB440-1</f>
        <v>1.9523668378391035E-2</v>
      </c>
      <c r="AH441" s="471">
        <f t="shared" ref="AH441:AK441" si="448">AH440/AC440-1</f>
        <v>0.151017220610971</v>
      </c>
      <c r="AI441" s="471">
        <f t="shared" si="448"/>
        <v>0.14467426162359587</v>
      </c>
      <c r="AJ441" s="471">
        <f t="shared" si="448"/>
        <v>0.12980077458823702</v>
      </c>
      <c r="AK441" s="579">
        <f t="shared" si="448"/>
        <v>0.10211205916032218</v>
      </c>
      <c r="AL441" s="579">
        <f>AL440/AG440-1</f>
        <v>0.13056534821213428</v>
      </c>
      <c r="AM441" s="444">
        <f>AM440/AL440-1</f>
        <v>7.297581699508382E-2</v>
      </c>
      <c r="AN441" s="444">
        <f>AN440/AM440-1</f>
        <v>1.8773322272808812E-2</v>
      </c>
    </row>
    <row r="442" spans="1:40">
      <c r="A442" s="394"/>
      <c r="B442" s="13"/>
      <c r="C442" s="208"/>
      <c r="D442" s="15"/>
      <c r="E442" s="15"/>
      <c r="F442" s="15"/>
      <c r="G442" s="15"/>
      <c r="H442" s="208"/>
      <c r="I442" s="15"/>
      <c r="J442" s="15"/>
      <c r="K442" s="15"/>
      <c r="L442" s="15"/>
      <c r="M442" s="208"/>
      <c r="N442" s="15"/>
      <c r="O442" s="15"/>
      <c r="P442" s="15"/>
      <c r="Q442" s="15"/>
      <c r="R442" s="208"/>
      <c r="W442" s="208"/>
      <c r="AA442" s="474"/>
      <c r="AB442" s="208"/>
      <c r="AF442" s="474"/>
      <c r="AG442" s="208"/>
      <c r="AK442" s="474"/>
      <c r="AL442" s="1976"/>
      <c r="AM442" s="208"/>
      <c r="AN442" s="208"/>
    </row>
    <row r="443" spans="1:40">
      <c r="A443" s="482" t="s">
        <v>571</v>
      </c>
      <c r="B443" s="1056"/>
      <c r="C443" s="590"/>
      <c r="D443" s="573"/>
      <c r="E443" s="573"/>
      <c r="F443" s="573"/>
      <c r="G443" s="573"/>
      <c r="H443" s="590"/>
      <c r="I443" s="573"/>
      <c r="J443" s="573"/>
      <c r="K443" s="573"/>
      <c r="L443" s="573"/>
      <c r="M443" s="590"/>
      <c r="N443" s="573"/>
      <c r="O443" s="573"/>
      <c r="P443" s="573"/>
      <c r="Q443" s="573"/>
      <c r="R443" s="590"/>
      <c r="S443" s="573"/>
      <c r="T443" s="573"/>
      <c r="U443" s="573"/>
      <c r="V443" s="573"/>
      <c r="W443" s="590"/>
      <c r="X443" s="573"/>
      <c r="Y443" s="573"/>
      <c r="Z443" s="573"/>
      <c r="AA443" s="2494"/>
      <c r="AB443" s="590"/>
      <c r="AC443" s="573"/>
      <c r="AD443" s="573"/>
      <c r="AE443" s="573"/>
      <c r="AF443" s="2494"/>
      <c r="AG443" s="590"/>
      <c r="AH443" s="573"/>
      <c r="AI443" s="573"/>
      <c r="AJ443" s="573"/>
      <c r="AK443" s="2494"/>
      <c r="AL443" s="1976"/>
      <c r="AM443" s="208"/>
      <c r="AN443" s="208"/>
    </row>
    <row r="444" spans="1:40">
      <c r="A444" s="394" t="s">
        <v>208</v>
      </c>
      <c r="B444" s="1048">
        <f>B436/B$440</f>
        <v>0.26833802302801696</v>
      </c>
      <c r="C444" s="245">
        <f t="shared" ref="C444:V447" si="449">C436/C$440</f>
        <v>0.24443793997147273</v>
      </c>
      <c r="D444" s="247">
        <f t="shared" si="449"/>
        <v>0.26647510749094161</v>
      </c>
      <c r="E444" s="247">
        <f t="shared" si="449"/>
        <v>0.25512961631384334</v>
      </c>
      <c r="F444" s="247">
        <f t="shared" si="449"/>
        <v>0.24927799502889733</v>
      </c>
      <c r="G444" s="247">
        <f t="shared" si="449"/>
        <v>0.23273872482281074</v>
      </c>
      <c r="H444" s="245">
        <f t="shared" si="449"/>
        <v>0.25037051802343213</v>
      </c>
      <c r="I444" s="247">
        <f t="shared" si="449"/>
        <v>0.25674741164575421</v>
      </c>
      <c r="J444" s="247">
        <f t="shared" si="449"/>
        <v>0.24216743827034223</v>
      </c>
      <c r="K444" s="247">
        <f t="shared" si="449"/>
        <v>0.24620490666592429</v>
      </c>
      <c r="L444" s="247">
        <f t="shared" ref="L444:N448" si="450">L436/L$440</f>
        <v>0.21516768922454518</v>
      </c>
      <c r="M444" s="245">
        <f t="shared" si="450"/>
        <v>0.23916549980878829</v>
      </c>
      <c r="N444" s="247">
        <f t="shared" si="450"/>
        <v>0.24532639123706487</v>
      </c>
      <c r="O444" s="247">
        <f t="shared" si="449"/>
        <v>0.23325672941355485</v>
      </c>
      <c r="P444" s="247">
        <f t="shared" si="449"/>
        <v>0.2403731320010527</v>
      </c>
      <c r="Q444" s="247">
        <f t="shared" si="449"/>
        <v>0.21901840089577165</v>
      </c>
      <c r="R444" s="245">
        <f t="shared" si="449"/>
        <v>0.23405749526913466</v>
      </c>
      <c r="S444" s="247">
        <f t="shared" si="449"/>
        <v>0.2709172417110266</v>
      </c>
      <c r="T444" s="247">
        <f t="shared" ref="T444:AB444" si="451">T436/T$440</f>
        <v>0.25778099182108744</v>
      </c>
      <c r="U444" s="247">
        <f t="shared" si="451"/>
        <v>0.2603511758331441</v>
      </c>
      <c r="V444" s="247">
        <f t="shared" si="451"/>
        <v>0.24486641135698761</v>
      </c>
      <c r="W444" s="245">
        <f t="shared" si="451"/>
        <v>0.25787694690768892</v>
      </c>
      <c r="X444" s="247">
        <f t="shared" si="451"/>
        <v>0.26731762573106821</v>
      </c>
      <c r="Y444" s="247">
        <f t="shared" si="451"/>
        <v>0.25008376588341752</v>
      </c>
      <c r="Z444" s="247">
        <f t="shared" si="451"/>
        <v>0.25298138771979939</v>
      </c>
      <c r="AA444" s="582">
        <f t="shared" si="451"/>
        <v>0.23477916944342844</v>
      </c>
      <c r="AB444" s="245">
        <f t="shared" si="451"/>
        <v>0.25079815404926514</v>
      </c>
      <c r="AC444" s="247">
        <f t="shared" ref="AC444:AG448" si="452">AC436/AC$440</f>
        <v>0.22148361866544111</v>
      </c>
      <c r="AD444" s="247">
        <f t="shared" si="452"/>
        <v>0.21292648192439961</v>
      </c>
      <c r="AE444" s="247">
        <f t="shared" si="452"/>
        <v>0.21484204197543413</v>
      </c>
      <c r="AF444" s="582">
        <f t="shared" si="452"/>
        <v>0.19760181321099918</v>
      </c>
      <c r="AG444" s="245">
        <f t="shared" si="452"/>
        <v>0.21115431028741519</v>
      </c>
      <c r="AH444" s="247">
        <f t="shared" ref="AH444:AL444" si="453">AH436/AH$440</f>
        <v>0.21571874438138627</v>
      </c>
      <c r="AI444" s="247">
        <f t="shared" si="453"/>
        <v>0.20675482171823473</v>
      </c>
      <c r="AJ444" s="247">
        <f t="shared" si="453"/>
        <v>0.21124051350212003</v>
      </c>
      <c r="AK444" s="582">
        <f t="shared" si="453"/>
        <v>0.1946882164134314</v>
      </c>
      <c r="AL444" s="3978">
        <f t="shared" si="453"/>
        <v>0.2067562576359272</v>
      </c>
      <c r="AM444" s="245">
        <f t="shared" ref="AM444:AN448" si="454">AM436/AM$440</f>
        <v>0.2051923662226357</v>
      </c>
      <c r="AN444" s="245">
        <f t="shared" si="454"/>
        <v>0.20546161483736544</v>
      </c>
    </row>
    <row r="445" spans="1:40">
      <c r="A445" s="394" t="s">
        <v>2218</v>
      </c>
      <c r="B445" s="1048">
        <f>B437/B$440</f>
        <v>0.32422280607321519</v>
      </c>
      <c r="C445" s="245">
        <f t="shared" ref="C445:Q445" si="455">C437/C$440</f>
        <v>0.34272788944007448</v>
      </c>
      <c r="D445" s="247">
        <f t="shared" si="455"/>
        <v>0.29033725072441807</v>
      </c>
      <c r="E445" s="247">
        <f t="shared" si="455"/>
        <v>0.3632890534472078</v>
      </c>
      <c r="F445" s="247">
        <f t="shared" si="455"/>
        <v>0.35322796538444184</v>
      </c>
      <c r="G445" s="247">
        <f t="shared" si="455"/>
        <v>0.3290673768015332</v>
      </c>
      <c r="H445" s="245">
        <f t="shared" si="455"/>
        <v>0.33504568346361202</v>
      </c>
      <c r="I445" s="247">
        <f t="shared" si="455"/>
        <v>0.2932546907643408</v>
      </c>
      <c r="J445" s="247">
        <f t="shared" si="455"/>
        <v>0.3734252701006428</v>
      </c>
      <c r="K445" s="247">
        <f t="shared" si="455"/>
        <v>0.37464164954915108</v>
      </c>
      <c r="L445" s="247">
        <f t="shared" si="450"/>
        <v>0.34160627548769895</v>
      </c>
      <c r="M445" s="245">
        <f t="shared" si="450"/>
        <v>0.34717396240303994</v>
      </c>
      <c r="N445" s="247">
        <f t="shared" si="450"/>
        <v>0.3238838229331682</v>
      </c>
      <c r="O445" s="247">
        <f t="shared" si="455"/>
        <v>0.40006385920459275</v>
      </c>
      <c r="P445" s="247">
        <f t="shared" si="455"/>
        <v>0.38115222650463232</v>
      </c>
      <c r="Q445" s="247">
        <f t="shared" si="455"/>
        <v>0.35942867913314758</v>
      </c>
      <c r="R445" s="245">
        <f t="shared" si="449"/>
        <v>0.36763891336796006</v>
      </c>
      <c r="S445" s="247">
        <f t="shared" si="449"/>
        <v>0.31937077884077292</v>
      </c>
      <c r="T445" s="247">
        <f t="shared" si="449"/>
        <v>0.390028844103675</v>
      </c>
      <c r="U445" s="247">
        <f t="shared" si="449"/>
        <v>0.38672074644156113</v>
      </c>
      <c r="V445" s="247">
        <f t="shared" si="449"/>
        <v>0.36527322320743366</v>
      </c>
      <c r="W445" s="245">
        <f t="shared" ref="W445:AB448" si="456">W437/W$440</f>
        <v>0.36737627503129167</v>
      </c>
      <c r="X445" s="247">
        <f t="shared" si="456"/>
        <v>0.3187299454789454</v>
      </c>
      <c r="Y445" s="247">
        <f t="shared" si="456"/>
        <v>0.38072361037154762</v>
      </c>
      <c r="Z445" s="247">
        <f t="shared" si="456"/>
        <v>0.38602889720077677</v>
      </c>
      <c r="AA445" s="582">
        <f t="shared" si="456"/>
        <v>0.3637221625752175</v>
      </c>
      <c r="AB445" s="245">
        <f t="shared" si="456"/>
        <v>0.36391942923727394</v>
      </c>
      <c r="AC445" s="247">
        <f t="shared" si="452"/>
        <v>0.3114348425492417</v>
      </c>
      <c r="AD445" s="247">
        <f t="shared" si="452"/>
        <v>0.37058789259360592</v>
      </c>
      <c r="AE445" s="247">
        <f t="shared" si="452"/>
        <v>0.3800194315605796</v>
      </c>
      <c r="AF445" s="582">
        <f t="shared" si="452"/>
        <v>0.35204137739024105</v>
      </c>
      <c r="AG445" s="245">
        <f t="shared" si="452"/>
        <v>0.35572484771565033</v>
      </c>
      <c r="AH445" s="247">
        <f t="shared" ref="AH445:AL445" si="457">AH437/AH$440</f>
        <v>0.31075904811893929</v>
      </c>
      <c r="AI445" s="247">
        <f t="shared" si="457"/>
        <v>0.36967989135609558</v>
      </c>
      <c r="AJ445" s="247">
        <f t="shared" si="457"/>
        <v>0.37444288072591564</v>
      </c>
      <c r="AK445" s="582">
        <f t="shared" si="457"/>
        <v>0.35029266638750967</v>
      </c>
      <c r="AL445" s="3978">
        <f t="shared" si="457"/>
        <v>0.35327139318080669</v>
      </c>
      <c r="AM445" s="245">
        <f t="shared" si="454"/>
        <v>0.35160491674109595</v>
      </c>
      <c r="AN445" s="245">
        <f t="shared" si="454"/>
        <v>0.35137429904422296</v>
      </c>
    </row>
    <row r="446" spans="1:40">
      <c r="A446" s="394" t="s">
        <v>209</v>
      </c>
      <c r="B446" s="1048">
        <f>B438/B$440</f>
        <v>0.13046217911461383</v>
      </c>
      <c r="C446" s="245">
        <f t="shared" si="449"/>
        <v>0.12038730479556653</v>
      </c>
      <c r="D446" s="247">
        <f t="shared" si="449"/>
        <v>0.12769101015279843</v>
      </c>
      <c r="E446" s="247">
        <f t="shared" si="449"/>
        <v>0.10482353314562841</v>
      </c>
      <c r="F446" s="247">
        <f t="shared" si="449"/>
        <v>0.11563510598573318</v>
      </c>
      <c r="G446" s="247">
        <f t="shared" si="449"/>
        <v>0.11190449620332109</v>
      </c>
      <c r="H446" s="245">
        <f t="shared" si="449"/>
        <v>0.11475941828570012</v>
      </c>
      <c r="I446" s="247">
        <f t="shared" si="449"/>
        <v>0.12708570219751064</v>
      </c>
      <c r="J446" s="247">
        <f t="shared" si="449"/>
        <v>0.11430974209236953</v>
      </c>
      <c r="K446" s="247">
        <f t="shared" si="449"/>
        <v>9.9344042401413535E-2</v>
      </c>
      <c r="L446" s="247">
        <f t="shared" si="450"/>
        <v>0.11970205015122364</v>
      </c>
      <c r="M446" s="245">
        <f t="shared" si="450"/>
        <v>0.11478458930701205</v>
      </c>
      <c r="N446" s="247">
        <f t="shared" si="450"/>
        <v>0.13646244083337922</v>
      </c>
      <c r="O446" s="247">
        <f t="shared" si="449"/>
        <v>0.11179611697357524</v>
      </c>
      <c r="P446" s="247">
        <f t="shared" si="449"/>
        <v>0.11492033153228921</v>
      </c>
      <c r="Q446" s="247">
        <f t="shared" si="449"/>
        <v>0.12214028159914571</v>
      </c>
      <c r="R446" s="245">
        <f t="shared" si="449"/>
        <v>0.12074433715936005</v>
      </c>
      <c r="S446" s="247">
        <f t="shared" si="449"/>
        <v>0.13015408809250456</v>
      </c>
      <c r="T446" s="247">
        <f t="shared" ref="T446:V448" si="458">T438/T$440</f>
        <v>0.10554657098341644</v>
      </c>
      <c r="U446" s="247">
        <f t="shared" si="458"/>
        <v>0.1062922071791137</v>
      </c>
      <c r="V446" s="247">
        <f t="shared" si="458"/>
        <v>0.11113156531970118</v>
      </c>
      <c r="W446" s="245">
        <f t="shared" si="456"/>
        <v>0.11251683605026588</v>
      </c>
      <c r="X446" s="247">
        <f t="shared" si="456"/>
        <v>0.11561724044490418</v>
      </c>
      <c r="Y446" s="247">
        <f t="shared" si="456"/>
        <v>0.10887668187435909</v>
      </c>
      <c r="Z446" s="247">
        <f t="shared" si="456"/>
        <v>0.10268118660115791</v>
      </c>
      <c r="AA446" s="582">
        <f t="shared" si="456"/>
        <v>0.10002334861824572</v>
      </c>
      <c r="AB446" s="245">
        <f t="shared" si="456"/>
        <v>0.10645279240792546</v>
      </c>
      <c r="AC446" s="247">
        <f t="shared" si="452"/>
        <v>0.12885053950321876</v>
      </c>
      <c r="AD446" s="247">
        <f t="shared" si="452"/>
        <v>0.12189008842871547</v>
      </c>
      <c r="AE446" s="247">
        <f t="shared" si="452"/>
        <v>8.8993674717179921E-2</v>
      </c>
      <c r="AF446" s="582">
        <f t="shared" si="452"/>
        <v>0.10389177056853768</v>
      </c>
      <c r="AG446" s="245">
        <f t="shared" si="452"/>
        <v>0.10956331214698825</v>
      </c>
      <c r="AH446" s="247">
        <f t="shared" ref="AH446:AL446" si="459">AH438/AH$440</f>
        <v>0.11414541593952889</v>
      </c>
      <c r="AI446" s="247">
        <f t="shared" si="459"/>
        <v>0.10796415890516879</v>
      </c>
      <c r="AJ446" s="247">
        <f t="shared" si="459"/>
        <v>8.7018471933477573E-2</v>
      </c>
      <c r="AK446" s="582">
        <f t="shared" si="459"/>
        <v>0.10193984057885501</v>
      </c>
      <c r="AL446" s="3978">
        <f t="shared" si="459"/>
        <v>0.10200664038683038</v>
      </c>
      <c r="AM446" s="245">
        <f t="shared" si="454"/>
        <v>0.10087860602289109</v>
      </c>
      <c r="AN446" s="245">
        <f t="shared" si="454"/>
        <v>9.9965560435863202E-2</v>
      </c>
    </row>
    <row r="447" spans="1:40" s="5" customFormat="1">
      <c r="A447" s="402" t="s">
        <v>1688</v>
      </c>
      <c r="B447" s="1065">
        <f>B439/B$440</f>
        <v>0.27697699178415408</v>
      </c>
      <c r="C447" s="594">
        <f t="shared" si="449"/>
        <v>0.2924468657928862</v>
      </c>
      <c r="D447" s="1065">
        <f t="shared" si="449"/>
        <v>0.31549663163184188</v>
      </c>
      <c r="E447" s="1065">
        <f t="shared" si="449"/>
        <v>0.27675779709332038</v>
      </c>
      <c r="F447" s="1065">
        <f t="shared" si="449"/>
        <v>0.28185893360092773</v>
      </c>
      <c r="G447" s="584">
        <f t="shared" si="449"/>
        <v>0.32628940217233504</v>
      </c>
      <c r="H447" s="594">
        <f t="shared" si="449"/>
        <v>0.29982438022725566</v>
      </c>
      <c r="I447" s="1065">
        <f t="shared" si="449"/>
        <v>0.32291219539239435</v>
      </c>
      <c r="J447" s="583">
        <f t="shared" si="449"/>
        <v>0.27009754953664544</v>
      </c>
      <c r="K447" s="583">
        <f t="shared" si="449"/>
        <v>0.27980940138351107</v>
      </c>
      <c r="L447" s="584">
        <f t="shared" si="450"/>
        <v>0.32352398513653213</v>
      </c>
      <c r="M447" s="584">
        <f t="shared" si="450"/>
        <v>0.29887594848115978</v>
      </c>
      <c r="N447" s="1065">
        <f t="shared" si="450"/>
        <v>0.29432734499638774</v>
      </c>
      <c r="O447" s="583">
        <f t="shared" si="449"/>
        <v>0.25488329440827706</v>
      </c>
      <c r="P447" s="583">
        <f t="shared" si="449"/>
        <v>0.26355430996202567</v>
      </c>
      <c r="Q447" s="584">
        <f t="shared" si="449"/>
        <v>0.29941263837193516</v>
      </c>
      <c r="R447" s="584">
        <f t="shared" si="449"/>
        <v>0.27755925420354521</v>
      </c>
      <c r="S447" s="1065">
        <f t="shared" si="449"/>
        <v>0.27955789135569592</v>
      </c>
      <c r="T447" s="583">
        <f t="shared" si="458"/>
        <v>0.24664359309182102</v>
      </c>
      <c r="U447" s="583">
        <f t="shared" si="458"/>
        <v>0.24663587054618111</v>
      </c>
      <c r="V447" s="584">
        <f t="shared" si="458"/>
        <v>0.27872880011587747</v>
      </c>
      <c r="W447" s="584">
        <f t="shared" si="456"/>
        <v>0.26222994201075356</v>
      </c>
      <c r="X447" s="583">
        <f t="shared" si="456"/>
        <v>0.29833518834508221</v>
      </c>
      <c r="Y447" s="583">
        <f t="shared" si="456"/>
        <v>0.2603159418706758</v>
      </c>
      <c r="Z447" s="583">
        <f t="shared" si="456"/>
        <v>0.2583085284782658</v>
      </c>
      <c r="AA447" s="584">
        <f t="shared" si="456"/>
        <v>0.30147531936310823</v>
      </c>
      <c r="AB447" s="584">
        <f t="shared" si="456"/>
        <v>0.27882962430553554</v>
      </c>
      <c r="AC447" s="583">
        <f t="shared" si="452"/>
        <v>0.33823099928209838</v>
      </c>
      <c r="AD447" s="583">
        <f t="shared" si="452"/>
        <v>0.29459553705327901</v>
      </c>
      <c r="AE447" s="583">
        <f t="shared" si="452"/>
        <v>0.31614485174680634</v>
      </c>
      <c r="AF447" s="584">
        <f t="shared" si="452"/>
        <v>0.34646503883022212</v>
      </c>
      <c r="AG447" s="584">
        <f t="shared" si="452"/>
        <v>0.32355752984994618</v>
      </c>
      <c r="AH447" s="583">
        <f t="shared" ref="AH447:AL447" si="460">AH439/AH$440</f>
        <v>0.35937679156014563</v>
      </c>
      <c r="AI447" s="583">
        <f t="shared" si="460"/>
        <v>0.31560112802050094</v>
      </c>
      <c r="AJ447" s="583">
        <f t="shared" si="460"/>
        <v>0.32729813383848666</v>
      </c>
      <c r="AK447" s="584">
        <f t="shared" si="460"/>
        <v>0.35307927662020383</v>
      </c>
      <c r="AL447" s="584">
        <f t="shared" si="460"/>
        <v>0.33796570879643578</v>
      </c>
      <c r="AM447" s="584">
        <f t="shared" si="454"/>
        <v>0.34232411101337729</v>
      </c>
      <c r="AN447" s="584">
        <f t="shared" si="454"/>
        <v>0.34319852568254844</v>
      </c>
    </row>
    <row r="448" spans="1:40" s="2" customFormat="1">
      <c r="A448" s="2025" t="s">
        <v>1687</v>
      </c>
      <c r="B448" s="1061">
        <f>B440/B$440</f>
        <v>1</v>
      </c>
      <c r="C448" s="600">
        <f t="shared" ref="C448:S448" si="461">C440/C$440</f>
        <v>1</v>
      </c>
      <c r="D448" s="599">
        <f t="shared" si="461"/>
        <v>1</v>
      </c>
      <c r="E448" s="599">
        <f t="shared" si="461"/>
        <v>1</v>
      </c>
      <c r="F448" s="599">
        <f t="shared" si="461"/>
        <v>1</v>
      </c>
      <c r="G448" s="599">
        <f t="shared" si="461"/>
        <v>1</v>
      </c>
      <c r="H448" s="600">
        <f t="shared" si="461"/>
        <v>1</v>
      </c>
      <c r="I448" s="599">
        <f t="shared" si="461"/>
        <v>1</v>
      </c>
      <c r="J448" s="599">
        <f t="shared" si="461"/>
        <v>1</v>
      </c>
      <c r="K448" s="599">
        <f t="shared" si="461"/>
        <v>1</v>
      </c>
      <c r="L448" s="599">
        <f t="shared" si="450"/>
        <v>1</v>
      </c>
      <c r="M448" s="600">
        <f t="shared" si="450"/>
        <v>1</v>
      </c>
      <c r="N448" s="599">
        <f t="shared" si="450"/>
        <v>1</v>
      </c>
      <c r="O448" s="599">
        <f t="shared" si="461"/>
        <v>1</v>
      </c>
      <c r="P448" s="599">
        <f t="shared" si="461"/>
        <v>1</v>
      </c>
      <c r="Q448" s="599">
        <f t="shared" si="461"/>
        <v>1</v>
      </c>
      <c r="R448" s="600">
        <f t="shared" si="461"/>
        <v>1</v>
      </c>
      <c r="S448" s="599">
        <f t="shared" si="461"/>
        <v>1</v>
      </c>
      <c r="T448" s="599">
        <f t="shared" si="458"/>
        <v>1</v>
      </c>
      <c r="U448" s="599">
        <f t="shared" si="458"/>
        <v>1</v>
      </c>
      <c r="V448" s="599">
        <f t="shared" si="458"/>
        <v>1</v>
      </c>
      <c r="W448" s="600">
        <f t="shared" si="456"/>
        <v>1</v>
      </c>
      <c r="X448" s="599">
        <f t="shared" si="456"/>
        <v>1</v>
      </c>
      <c r="Y448" s="599">
        <f t="shared" si="456"/>
        <v>1</v>
      </c>
      <c r="Z448" s="599">
        <f t="shared" si="456"/>
        <v>1</v>
      </c>
      <c r="AA448" s="599">
        <f t="shared" si="456"/>
        <v>1</v>
      </c>
      <c r="AB448" s="600">
        <f t="shared" si="456"/>
        <v>1</v>
      </c>
      <c r="AC448" s="599">
        <f t="shared" si="452"/>
        <v>1</v>
      </c>
      <c r="AD448" s="599">
        <f t="shared" si="452"/>
        <v>1</v>
      </c>
      <c r="AE448" s="599">
        <f t="shared" si="452"/>
        <v>1</v>
      </c>
      <c r="AF448" s="599">
        <f t="shared" si="452"/>
        <v>1</v>
      </c>
      <c r="AG448" s="600">
        <f t="shared" si="452"/>
        <v>1</v>
      </c>
      <c r="AH448" s="599">
        <f t="shared" ref="AH448:AL448" si="462">AH440/AH$440</f>
        <v>1</v>
      </c>
      <c r="AI448" s="599">
        <f t="shared" si="462"/>
        <v>1</v>
      </c>
      <c r="AJ448" s="599">
        <f t="shared" si="462"/>
        <v>1</v>
      </c>
      <c r="AK448" s="3923">
        <f t="shared" si="462"/>
        <v>1</v>
      </c>
      <c r="AL448" s="3923">
        <f t="shared" si="462"/>
        <v>1</v>
      </c>
      <c r="AM448" s="600">
        <f t="shared" si="454"/>
        <v>1</v>
      </c>
      <c r="AN448" s="600">
        <f t="shared" si="454"/>
        <v>1</v>
      </c>
    </row>
    <row r="451" spans="1:40" s="12" customFormat="1">
      <c r="A451" s="461" t="s">
        <v>1645</v>
      </c>
      <c r="B451" s="1050" t="str">
        <f>B$4</f>
        <v>2010</v>
      </c>
      <c r="C451" s="774" t="str">
        <f t="shared" ref="C451:AN451" si="463">C$4</f>
        <v>2011</v>
      </c>
      <c r="D451" s="773" t="str">
        <f t="shared" si="463"/>
        <v>1Q12</v>
      </c>
      <c r="E451" s="773" t="str">
        <f t="shared" si="463"/>
        <v>2Q12</v>
      </c>
      <c r="F451" s="1049" t="str">
        <f t="shared" si="463"/>
        <v>3Q12</v>
      </c>
      <c r="G451" s="773" t="str">
        <f t="shared" si="463"/>
        <v>4Q12</v>
      </c>
      <c r="H451" s="774">
        <f t="shared" si="463"/>
        <v>2012</v>
      </c>
      <c r="I451" s="773" t="str">
        <f t="shared" si="463"/>
        <v>1Q13</v>
      </c>
      <c r="J451" s="773" t="str">
        <f t="shared" si="463"/>
        <v>2Q13</v>
      </c>
      <c r="K451" s="773" t="str">
        <f t="shared" si="463"/>
        <v>3Q13</v>
      </c>
      <c r="L451" s="773" t="str">
        <f t="shared" si="463"/>
        <v>4Q13</v>
      </c>
      <c r="M451" s="774">
        <f t="shared" si="463"/>
        <v>2013</v>
      </c>
      <c r="N451" s="773" t="str">
        <f t="shared" si="463"/>
        <v>1Q14</v>
      </c>
      <c r="O451" s="773" t="str">
        <f t="shared" si="463"/>
        <v>2Q14</v>
      </c>
      <c r="P451" s="773" t="str">
        <f t="shared" si="463"/>
        <v>3Q14</v>
      </c>
      <c r="Q451" s="773" t="str">
        <f t="shared" si="463"/>
        <v>4Q14</v>
      </c>
      <c r="R451" s="774">
        <f t="shared" si="463"/>
        <v>2014</v>
      </c>
      <c r="S451" s="773" t="str">
        <f t="shared" si="463"/>
        <v>1Q15</v>
      </c>
      <c r="T451" s="773" t="str">
        <f t="shared" si="463"/>
        <v>2Q15</v>
      </c>
      <c r="U451" s="773" t="str">
        <f t="shared" si="463"/>
        <v>3Q15</v>
      </c>
      <c r="V451" s="773" t="str">
        <f t="shared" si="463"/>
        <v>4Q15</v>
      </c>
      <c r="W451" s="774">
        <f t="shared" si="463"/>
        <v>2015</v>
      </c>
      <c r="X451" s="773" t="str">
        <f t="shared" si="463"/>
        <v>1Q16</v>
      </c>
      <c r="Y451" s="773" t="str">
        <f t="shared" si="463"/>
        <v>2Q16</v>
      </c>
      <c r="Z451" s="773" t="str">
        <f t="shared" si="463"/>
        <v>3Q16</v>
      </c>
      <c r="AA451" s="773" t="str">
        <f t="shared" si="463"/>
        <v>4Q16</v>
      </c>
      <c r="AB451" s="774">
        <f t="shared" si="463"/>
        <v>2016</v>
      </c>
      <c r="AC451" s="773" t="str">
        <f t="shared" si="463"/>
        <v>1Q17</v>
      </c>
      <c r="AD451" s="773" t="str">
        <f t="shared" si="463"/>
        <v>2Q17</v>
      </c>
      <c r="AE451" s="773" t="str">
        <f t="shared" si="463"/>
        <v>3Q17</v>
      </c>
      <c r="AF451" s="773" t="str">
        <f t="shared" si="463"/>
        <v>4Q17A</v>
      </c>
      <c r="AG451" s="774" t="str">
        <f t="shared" si="463"/>
        <v>2017A</v>
      </c>
      <c r="AH451" s="1049" t="str">
        <f>AH4</f>
        <v>1Q18E</v>
      </c>
      <c r="AI451" s="1049" t="str">
        <f>AI4</f>
        <v>2Q18E</v>
      </c>
      <c r="AJ451" s="773" t="str">
        <f t="shared" si="463"/>
        <v>3Q18E</v>
      </c>
      <c r="AK451" s="1049" t="str">
        <f>AK4</f>
        <v>4Q18E</v>
      </c>
      <c r="AL451" s="774" t="str">
        <f t="shared" si="463"/>
        <v>2018E</v>
      </c>
      <c r="AM451" s="774" t="str">
        <f t="shared" si="463"/>
        <v>2019E</v>
      </c>
      <c r="AN451" s="774" t="str">
        <f t="shared" si="463"/>
        <v>2020E</v>
      </c>
    </row>
    <row r="452" spans="1:40">
      <c r="A452" s="13"/>
      <c r="B452" s="208"/>
      <c r="C452" s="207"/>
      <c r="D452" s="15"/>
      <c r="E452" s="15"/>
      <c r="F452" s="15"/>
      <c r="G452" s="15"/>
      <c r="H452" s="208"/>
      <c r="I452" s="15"/>
      <c r="J452" s="15"/>
      <c r="K452" s="15"/>
      <c r="L452" s="15"/>
      <c r="M452" s="208"/>
      <c r="N452" s="15"/>
      <c r="O452" s="15"/>
      <c r="P452" s="15"/>
      <c r="Q452" s="15"/>
      <c r="R452" s="208"/>
      <c r="S452" s="13"/>
      <c r="V452" s="474"/>
      <c r="W452" s="208"/>
      <c r="X452" s="13"/>
      <c r="AA452" s="474"/>
      <c r="AB452" s="208"/>
      <c r="AF452" s="474"/>
      <c r="AG452" s="208"/>
      <c r="AK452" s="474"/>
      <c r="AL452" s="208"/>
      <c r="AM452" s="208"/>
      <c r="AN452" s="208"/>
    </row>
    <row r="453" spans="1:40">
      <c r="A453" s="482" t="s">
        <v>1765</v>
      </c>
      <c r="B453" s="208"/>
      <c r="C453" s="208"/>
      <c r="D453" s="15"/>
      <c r="E453" s="15"/>
      <c r="F453" s="15"/>
      <c r="G453" s="15"/>
      <c r="H453" s="208"/>
      <c r="I453" s="15"/>
      <c r="J453" s="15"/>
      <c r="K453" s="15"/>
      <c r="L453" s="15"/>
      <c r="M453" s="208"/>
      <c r="N453" s="15"/>
      <c r="O453" s="15"/>
      <c r="P453" s="15"/>
      <c r="Q453" s="15"/>
      <c r="R453" s="208"/>
      <c r="S453" s="13"/>
      <c r="V453" s="474"/>
      <c r="W453" s="208"/>
      <c r="X453" s="13"/>
      <c r="AA453" s="474"/>
      <c r="AB453" s="208"/>
      <c r="AF453" s="474"/>
      <c r="AG453" s="208"/>
      <c r="AK453" s="474"/>
      <c r="AL453" s="208"/>
      <c r="AM453" s="208"/>
      <c r="AN453" s="208"/>
    </row>
    <row r="454" spans="1:40" s="130" customFormat="1">
      <c r="A454" s="394" t="s">
        <v>1179</v>
      </c>
      <c r="B454" s="455"/>
      <c r="C454" s="455">
        <f>C304</f>
        <v>6.7000000000000004E-2</v>
      </c>
      <c r="D454" s="417"/>
      <c r="E454" s="417"/>
      <c r="F454" s="417"/>
      <c r="G454" s="417"/>
      <c r="H454" s="455">
        <f t="shared" ref="H454:AN454" si="464">H304</f>
        <v>6.0999999999999999E-2</v>
      </c>
      <c r="I454" s="417">
        <f t="shared" si="464"/>
        <v>5.5E-2</v>
      </c>
      <c r="J454" s="417">
        <f t="shared" si="464"/>
        <v>5.1999999999999998E-2</v>
      </c>
      <c r="K454" s="417">
        <f t="shared" si="464"/>
        <v>5.1999999999999998E-2</v>
      </c>
      <c r="L454" s="417">
        <f t="shared" si="464"/>
        <v>4.7E-2</v>
      </c>
      <c r="M454" s="455">
        <f t="shared" si="464"/>
        <v>5.1999999999999998E-2</v>
      </c>
      <c r="N454" s="417">
        <f t="shared" si="464"/>
        <v>6.7000000000000004E-2</v>
      </c>
      <c r="O454" s="417">
        <f t="shared" si="464"/>
        <v>7.2999999999999995E-2</v>
      </c>
      <c r="P454" s="417">
        <f t="shared" si="464"/>
        <v>8.7999999999999995E-2</v>
      </c>
      <c r="Q454" s="417">
        <f t="shared" si="464"/>
        <v>6.8000000000000005E-2</v>
      </c>
      <c r="R454" s="455">
        <f t="shared" si="464"/>
        <v>7.3999999999999996E-2</v>
      </c>
      <c r="S454" s="417">
        <f t="shared" si="464"/>
        <v>6.5000000000000002E-2</v>
      </c>
      <c r="T454" s="417">
        <f t="shared" si="464"/>
        <v>0.05</v>
      </c>
      <c r="U454" s="417">
        <f t="shared" si="464"/>
        <v>5.0999999999999997E-2</v>
      </c>
      <c r="V454" s="417">
        <f t="shared" si="464"/>
        <v>3.7999999999999999E-2</v>
      </c>
      <c r="W454" s="455">
        <f t="shared" si="464"/>
        <v>5.1999999999999998E-2</v>
      </c>
      <c r="X454" s="417">
        <f t="shared" si="464"/>
        <v>1.7999999999999999E-2</v>
      </c>
      <c r="Y454" s="417">
        <f t="shared" si="464"/>
        <v>2.9000000000000001E-2</v>
      </c>
      <c r="Z454" s="417">
        <f t="shared" si="464"/>
        <v>1.4999999999999999E-2</v>
      </c>
      <c r="AA454" s="417">
        <f t="shared" si="464"/>
        <v>8.9999999999999993E-3</v>
      </c>
      <c r="AB454" s="455">
        <f t="shared" si="464"/>
        <v>1.7749999999999998E-2</v>
      </c>
      <c r="AC454" s="417">
        <f t="shared" si="464"/>
        <v>2.5000000000000001E-2</v>
      </c>
      <c r="AD454" s="417">
        <f t="shared" si="464"/>
        <v>5.0000000000000001E-3</v>
      </c>
      <c r="AE454" s="417">
        <f t="shared" si="464"/>
        <v>-1E-3</v>
      </c>
      <c r="AF454" s="417">
        <f t="shared" si="464"/>
        <v>3.2000000000000001E-2</v>
      </c>
      <c r="AG454" s="455">
        <f t="shared" si="464"/>
        <v>1.525E-2</v>
      </c>
      <c r="AH454" s="417">
        <f t="shared" ref="AH454:AL454" si="465">AH304</f>
        <v>1.2500000000000001E-2</v>
      </c>
      <c r="AI454" s="417">
        <f t="shared" si="465"/>
        <v>0.02</v>
      </c>
      <c r="AJ454" s="417">
        <f t="shared" si="465"/>
        <v>0.02</v>
      </c>
      <c r="AK454" s="417">
        <f t="shared" si="465"/>
        <v>1.4999999999999999E-2</v>
      </c>
      <c r="AL454" s="455">
        <f t="shared" si="465"/>
        <v>1.6875000000000001E-2</v>
      </c>
      <c r="AM454" s="455">
        <f t="shared" si="464"/>
        <v>1.2999999999999999E-2</v>
      </c>
      <c r="AN454" s="455">
        <f t="shared" si="464"/>
        <v>-0.03</v>
      </c>
    </row>
    <row r="455" spans="1:40">
      <c r="A455" s="394" t="s">
        <v>1180</v>
      </c>
      <c r="B455" s="226"/>
      <c r="C455" s="226">
        <f>'QTR Rooms'!C879</f>
        <v>-9.640052864805515E-4</v>
      </c>
      <c r="D455" s="128"/>
      <c r="E455" s="128"/>
      <c r="F455" s="128"/>
      <c r="G455" s="128"/>
      <c r="H455" s="226">
        <f>'QTR Rooms'!H879</f>
        <v>-4.911832910525582E-2</v>
      </c>
      <c r="I455" s="128">
        <f>'QTR Rooms'!I879</f>
        <v>-7.4464929672011237E-3</v>
      </c>
      <c r="J455" s="128">
        <f>'QTR Rooms'!J879</f>
        <v>3.2725572697522853E-3</v>
      </c>
      <c r="K455" s="128">
        <f>'QTR Rooms'!K879</f>
        <v>2.8456275494450178E-2</v>
      </c>
      <c r="L455" s="128">
        <f>'QTR Rooms'!L879</f>
        <v>2.7906443851580365E-2</v>
      </c>
      <c r="M455" s="226">
        <f>'QTR Rooms'!M879</f>
        <v>2.7906443851580365E-2</v>
      </c>
      <c r="N455" s="128">
        <f>'QTR Rooms'!N879</f>
        <v>-1.7882982069833298E-2</v>
      </c>
      <c r="O455" s="128">
        <f>'QTR Rooms'!O879</f>
        <v>-2.9887199922872254E-3</v>
      </c>
      <c r="P455" s="128">
        <f>'QTR Rooms'!P879</f>
        <v>-1.3178686555843533E-2</v>
      </c>
      <c r="Q455" s="128">
        <f>'QTR Rooms'!Q879</f>
        <v>3.3279194930098122E-3</v>
      </c>
      <c r="R455" s="226">
        <f>'QTR Rooms'!R879</f>
        <v>3.3279194930098122E-3</v>
      </c>
      <c r="S455" s="128">
        <f>'QTR Rooms'!S879</f>
        <v>-1.7680124273337317E-2</v>
      </c>
      <c r="T455" s="128">
        <f>'QTR Rooms'!T879</f>
        <v>-3.7325941206807656E-2</v>
      </c>
      <c r="U455" s="128">
        <f>'QTR Rooms'!U879</f>
        <v>-6.064051240992796E-2</v>
      </c>
      <c r="V455" s="128">
        <f>'QTR Rooms'!V879</f>
        <v>-5.9307105108631797E-2</v>
      </c>
      <c r="W455" s="226">
        <f>'QTR Rooms'!W879</f>
        <v>-5.9307105108631797E-2</v>
      </c>
      <c r="X455" s="128">
        <f>'QTR Rooms'!X879</f>
        <v>-4.5680562121977908E-2</v>
      </c>
      <c r="Y455" s="128">
        <f>'QTR Rooms'!Y879</f>
        <v>-1.7411102926404576E-2</v>
      </c>
      <c r="Z455" s="128">
        <f>'QTR Rooms'!Z879</f>
        <v>2.3865127934130648E-4</v>
      </c>
      <c r="AA455" s="128">
        <f>'QTR Rooms'!AA879</f>
        <v>-9.9200323919425015E-3</v>
      </c>
      <c r="AB455" s="226">
        <f>'QTR Rooms'!AB879</f>
        <v>-9.9200323919425015E-3</v>
      </c>
      <c r="AC455" s="128">
        <f>'QTR Rooms'!AC879</f>
        <v>-1.2556109810888838E-2</v>
      </c>
      <c r="AD455" s="128">
        <f>'QTR Rooms'!AD879</f>
        <v>-4.0495188270975868E-3</v>
      </c>
      <c r="AE455" s="128">
        <f>'QTR Rooms'!AE879</f>
        <v>-2.8972169674659209E-3</v>
      </c>
      <c r="AF455" s="128">
        <f>'QTR Rooms'!AF879</f>
        <v>1.6000408956139411E-2</v>
      </c>
      <c r="AG455" s="226">
        <f>'QTR Rooms'!AG879</f>
        <v>1.6000408956139411E-2</v>
      </c>
      <c r="AH455" s="128">
        <f>'QTR Rooms'!AH879</f>
        <v>3.528332109353105E-2</v>
      </c>
      <c r="AI455" s="128">
        <f>'QTR Rooms'!AI879</f>
        <v>4.1910021925484875E-2</v>
      </c>
      <c r="AJ455" s="128">
        <f>'QTR Rooms'!AJ879</f>
        <v>5.1969721224831122E-2</v>
      </c>
      <c r="AK455" s="128">
        <f>'QTR Rooms'!AK879</f>
        <v>4.9738134650022969E-2</v>
      </c>
      <c r="AL455" s="226">
        <f>'QTR Rooms'!AL879</f>
        <v>4.9738134650022969E-2</v>
      </c>
      <c r="AM455" s="226">
        <f>'QTR Rooms'!AM879</f>
        <v>4.9218346320263784E-2</v>
      </c>
      <c r="AN455" s="226">
        <f>'QTR Rooms'!AN879</f>
        <v>3.0102836910196551E-2</v>
      </c>
    </row>
    <row r="456" spans="1:40">
      <c r="A456" s="394" t="s">
        <v>1181</v>
      </c>
      <c r="B456" s="226"/>
      <c r="C456" s="226">
        <f>C357</f>
        <v>3.4549961349439329E-5</v>
      </c>
      <c r="D456" s="128"/>
      <c r="E456" s="128"/>
      <c r="F456" s="128"/>
      <c r="G456" s="128"/>
      <c r="H456" s="226">
        <f t="shared" ref="H456:AN456" si="466">H357</f>
        <v>5.5975514492852652E-2</v>
      </c>
      <c r="I456" s="128">
        <f t="shared" si="466"/>
        <v>6.3774713124465476E-2</v>
      </c>
      <c r="J456" s="128">
        <f t="shared" si="466"/>
        <v>9.3455062908821107E-2</v>
      </c>
      <c r="K456" s="128">
        <f t="shared" si="466"/>
        <v>0.12703761507707445</v>
      </c>
      <c r="L456" s="128">
        <f t="shared" si="466"/>
        <v>0.10904122839710384</v>
      </c>
      <c r="M456" s="226">
        <f t="shared" si="466"/>
        <v>9.8819674582376393E-2</v>
      </c>
      <c r="N456" s="128">
        <f t="shared" si="466"/>
        <v>6.0333786805505607E-2</v>
      </c>
      <c r="O456" s="128">
        <f t="shared" si="466"/>
        <v>8.7797092307448477E-2</v>
      </c>
      <c r="P456" s="128">
        <f t="shared" si="466"/>
        <v>7.9371761318203227E-2</v>
      </c>
      <c r="Q456" s="128">
        <f t="shared" si="466"/>
        <v>6.9367300306286461E-2</v>
      </c>
      <c r="R456" s="226">
        <f t="shared" si="466"/>
        <v>7.4880152644642983E-2</v>
      </c>
      <c r="S456" s="128">
        <f t="shared" si="466"/>
        <v>4.3755660515167438E-2</v>
      </c>
      <c r="T456" s="128">
        <f t="shared" si="466"/>
        <v>9.9788884524747434E-3</v>
      </c>
      <c r="U456" s="128">
        <f t="shared" si="466"/>
        <v>-1.3933502422527999E-2</v>
      </c>
      <c r="V456" s="128">
        <f t="shared" si="466"/>
        <v>-2.0278930502055537E-2</v>
      </c>
      <c r="W456" s="226">
        <f t="shared" si="466"/>
        <v>4.1321876808231295E-3</v>
      </c>
      <c r="X456" s="128">
        <f t="shared" si="466"/>
        <v>-1.6748950202231105E-2</v>
      </c>
      <c r="Y456" s="128">
        <f t="shared" si="466"/>
        <v>4.0869076988512276E-3</v>
      </c>
      <c r="Z456" s="128">
        <f t="shared" si="466"/>
        <v>1.6459900183689369E-2</v>
      </c>
      <c r="AA456" s="128">
        <f t="shared" si="466"/>
        <v>2.0268532331835232E-5</v>
      </c>
      <c r="AB456" s="226">
        <f t="shared" si="466"/>
        <v>1.5188286586367283E-3</v>
      </c>
      <c r="AC456" s="128">
        <f t="shared" si="466"/>
        <v>0.54835565430148914</v>
      </c>
      <c r="AD456" s="128">
        <f t="shared" si="466"/>
        <v>0.5552218278212615</v>
      </c>
      <c r="AE456" s="128">
        <f t="shared" si="466"/>
        <v>0.53519171468618643</v>
      </c>
      <c r="AF456" s="128">
        <f t="shared" si="466"/>
        <v>0.59004920585487408</v>
      </c>
      <c r="AG456" s="226">
        <f t="shared" si="466"/>
        <v>0.55616570513092922</v>
      </c>
      <c r="AH456" s="128">
        <f t="shared" ref="AH456:AL456" si="467">AH357</f>
        <v>3.8562768979349293E-2</v>
      </c>
      <c r="AI456" s="128">
        <f t="shared" si="467"/>
        <v>5.3154229571312106E-2</v>
      </c>
      <c r="AJ456" s="128">
        <f t="shared" si="467"/>
        <v>6.3523631500695732E-2</v>
      </c>
      <c r="AK456" s="128">
        <f t="shared" si="467"/>
        <v>6.6481963078824036E-2</v>
      </c>
      <c r="AL456" s="226">
        <f t="shared" si="467"/>
        <v>5.5638370109720725E-2</v>
      </c>
      <c r="AM456" s="226">
        <f t="shared" si="466"/>
        <v>5.729341626101947E-2</v>
      </c>
      <c r="AN456" s="226">
        <f t="shared" si="466"/>
        <v>1.1714186073043864E-2</v>
      </c>
    </row>
    <row r="457" spans="1:40">
      <c r="A457" s="394"/>
      <c r="B457" s="208"/>
      <c r="C457" s="208"/>
      <c r="D457" s="15"/>
      <c r="E457" s="15"/>
      <c r="F457" s="15"/>
      <c r="G457" s="15"/>
      <c r="H457" s="208"/>
      <c r="I457" s="15"/>
      <c r="J457" s="15"/>
      <c r="K457" s="15"/>
      <c r="L457" s="15"/>
      <c r="M457" s="208"/>
      <c r="N457" s="15"/>
      <c r="O457" s="15"/>
      <c r="P457" s="15"/>
      <c r="Q457" s="15"/>
      <c r="R457" s="208"/>
      <c r="W457" s="208"/>
      <c r="AB457" s="208"/>
      <c r="AG457" s="208"/>
      <c r="AL457" s="208"/>
      <c r="AM457" s="208"/>
      <c r="AN457" s="208"/>
    </row>
    <row r="458" spans="1:40">
      <c r="A458" s="482" t="s">
        <v>1639</v>
      </c>
      <c r="B458" s="208"/>
      <c r="C458" s="208"/>
      <c r="D458" s="15"/>
      <c r="E458" s="15"/>
      <c r="F458" s="15"/>
      <c r="G458" s="15"/>
      <c r="H458" s="208"/>
      <c r="I458" s="15"/>
      <c r="J458" s="15"/>
      <c r="K458" s="15"/>
      <c r="L458" s="15"/>
      <c r="M458" s="208"/>
      <c r="N458" s="15"/>
      <c r="O458" s="15"/>
      <c r="P458" s="15"/>
      <c r="Q458" s="15"/>
      <c r="R458" s="208"/>
      <c r="W458" s="208"/>
      <c r="AB458" s="208"/>
      <c r="AG458" s="208"/>
      <c r="AL458" s="208"/>
      <c r="AM458" s="208"/>
      <c r="AN458" s="208"/>
    </row>
    <row r="459" spans="1:40">
      <c r="A459" s="394" t="s">
        <v>1179</v>
      </c>
      <c r="B459" s="226"/>
      <c r="C459" s="226">
        <f>C317*C380+C319*C381+C321*C382+C323*C383</f>
        <v>7.8109542113398656E-2</v>
      </c>
      <c r="D459" s="128"/>
      <c r="E459" s="128"/>
      <c r="F459" s="128"/>
      <c r="G459" s="128"/>
      <c r="H459" s="226">
        <f t="shared" ref="H459:AN459" si="468">H317*H380+H319*H381+H321*H382+H323*H383</f>
        <v>-6.1049301235761133E-2</v>
      </c>
      <c r="I459" s="128">
        <f t="shared" si="468"/>
        <v>6.5352869653908519E-3</v>
      </c>
      <c r="J459" s="128">
        <f t="shared" si="468"/>
        <v>2.451756484843147E-2</v>
      </c>
      <c r="K459" s="128">
        <f t="shared" si="468"/>
        <v>-4.6733501107215969E-2</v>
      </c>
      <c r="L459" s="128">
        <f t="shared" si="468"/>
        <v>4.8930600640666067E-2</v>
      </c>
      <c r="M459" s="226">
        <f t="shared" si="468"/>
        <v>-4.2105348531188032E-4</v>
      </c>
      <c r="N459" s="128">
        <f t="shared" si="468"/>
        <v>5.7841509044647368E-2</v>
      </c>
      <c r="O459" s="128">
        <f t="shared" si="468"/>
        <v>3.4480932856898502E-2</v>
      </c>
      <c r="P459" s="128">
        <f t="shared" si="468"/>
        <v>7.1643135353921944E-2</v>
      </c>
      <c r="Q459" s="128">
        <f t="shared" si="468"/>
        <v>5.1826980620118833E-2</v>
      </c>
      <c r="R459" s="226">
        <f t="shared" si="468"/>
        <v>5.4383015947899696E-2</v>
      </c>
      <c r="S459" s="128">
        <f t="shared" si="468"/>
        <v>7.437793686844954E-2</v>
      </c>
      <c r="T459" s="128">
        <f t="shared" si="468"/>
        <v>6.0729827024897723E-2</v>
      </c>
      <c r="U459" s="128">
        <f t="shared" si="468"/>
        <v>8.9052971305265821E-2</v>
      </c>
      <c r="V459" s="128">
        <f t="shared" si="468"/>
        <v>3.1535007090929018E-2</v>
      </c>
      <c r="W459" s="226">
        <f t="shared" si="468"/>
        <v>6.3868276422398285E-2</v>
      </c>
      <c r="X459" s="128">
        <f t="shared" si="468"/>
        <v>3.2350722493491857E-2</v>
      </c>
      <c r="Y459" s="128">
        <f t="shared" si="468"/>
        <v>3.620464597162807E-2</v>
      </c>
      <c r="Z459" s="128">
        <f t="shared" si="468"/>
        <v>-1.9569263732620041E-3</v>
      </c>
      <c r="AA459" s="128">
        <f t="shared" si="468"/>
        <v>4.1503278385651822E-3</v>
      </c>
      <c r="AB459" s="226">
        <f t="shared" si="468"/>
        <v>1.7543016058768575E-2</v>
      </c>
      <c r="AC459" s="128">
        <f t="shared" si="468"/>
        <v>4.400299060685002E-2</v>
      </c>
      <c r="AD459" s="128">
        <f t="shared" si="468"/>
        <v>7.2590279076812148E-2</v>
      </c>
      <c r="AE459" s="128">
        <f t="shared" si="468"/>
        <v>6.5047904547667443E-2</v>
      </c>
      <c r="AF459" s="128">
        <f t="shared" si="468"/>
        <v>6.3193124887356067E-2</v>
      </c>
      <c r="AG459" s="226">
        <f t="shared" si="468"/>
        <v>6.1097271547031887E-2</v>
      </c>
      <c r="AH459" s="128">
        <f t="shared" ref="AH459:AL459" si="469">AH317*AH380+AH319*AH381+AH321*AH382+AH323*AH383</f>
        <v>4.6420654680281781E-2</v>
      </c>
      <c r="AI459" s="128">
        <f t="shared" si="469"/>
        <v>4.3853492171179162E-2</v>
      </c>
      <c r="AJ459" s="128">
        <f t="shared" si="469"/>
        <v>4.9238869547858707E-2</v>
      </c>
      <c r="AK459" s="128">
        <f t="shared" si="469"/>
        <v>4.5907437340496737E-2</v>
      </c>
      <c r="AL459" s="226">
        <f t="shared" si="469"/>
        <v>4.6488349664768905E-2</v>
      </c>
      <c r="AM459" s="226">
        <f t="shared" si="468"/>
        <v>2.8543126135241917E-2</v>
      </c>
      <c r="AN459" s="226">
        <f t="shared" si="468"/>
        <v>-2.5046219691496646E-2</v>
      </c>
    </row>
    <row r="460" spans="1:40">
      <c r="A460" s="394" t="s">
        <v>1180</v>
      </c>
      <c r="B460" s="226"/>
      <c r="C460" s="226">
        <f>'QTR Rooms'!C883</f>
        <v>0.14389956569901363</v>
      </c>
      <c r="D460" s="128"/>
      <c r="E460" s="128"/>
      <c r="F460" s="128"/>
      <c r="G460" s="128"/>
      <c r="H460" s="226">
        <f>'QTR Rooms'!H883</f>
        <v>0.11406920085463512</v>
      </c>
      <c r="I460" s="128">
        <f>'QTR Rooms'!I883</f>
        <v>0.10139818355640529</v>
      </c>
      <c r="J460" s="128">
        <f>'QTR Rooms'!J883</f>
        <v>9.1910685992605989E-2</v>
      </c>
      <c r="K460" s="128">
        <f>'QTR Rooms'!K883</f>
        <v>0.11120262401202186</v>
      </c>
      <c r="L460" s="128">
        <f>'QTR Rooms'!L883</f>
        <v>0.11715279119180999</v>
      </c>
      <c r="M460" s="226">
        <f>'QTR Rooms'!M883</f>
        <v>0.11715279119180999</v>
      </c>
      <c r="N460" s="128">
        <f>'QTR Rooms'!N883</f>
        <v>0.15064015624152338</v>
      </c>
      <c r="O460" s="128">
        <f>'QTR Rooms'!O883</f>
        <v>0.17215064020744597</v>
      </c>
      <c r="P460" s="128">
        <f>'QTR Rooms'!P883</f>
        <v>0.16025382624865081</v>
      </c>
      <c r="Q460" s="128">
        <f>'QTR Rooms'!Q883</f>
        <v>0.11923081673232971</v>
      </c>
      <c r="R460" s="226">
        <f>'QTR Rooms'!R883</f>
        <v>0.11923081673232971</v>
      </c>
      <c r="S460" s="128">
        <f>'QTR Rooms'!S883</f>
        <v>5.8593335612159514E-2</v>
      </c>
      <c r="T460" s="128">
        <f>'QTR Rooms'!T883</f>
        <v>3.3493042341991242E-2</v>
      </c>
      <c r="U460" s="128">
        <f>'QTR Rooms'!U883</f>
        <v>5.7157586829098772E-2</v>
      </c>
      <c r="V460" s="128">
        <f>'QTR Rooms'!V883</f>
        <v>9.8771834964633598E-2</v>
      </c>
      <c r="W460" s="226">
        <f>'QTR Rooms'!W883</f>
        <v>9.8771834964633598E-2</v>
      </c>
      <c r="X460" s="128">
        <f>'QTR Rooms'!X883</f>
        <v>9.5846787662843713E-2</v>
      </c>
      <c r="Y460" s="128">
        <f>'QTR Rooms'!Y883</f>
        <v>0.11843973204383129</v>
      </c>
      <c r="Z460" s="128">
        <f>'QTR Rooms'!Z883</f>
        <v>9.2560984659747492E-2</v>
      </c>
      <c r="AA460" s="128">
        <f>'QTR Rooms'!AA883</f>
        <v>7.0902042701910029E-2</v>
      </c>
      <c r="AB460" s="226">
        <f>'QTR Rooms'!AB883</f>
        <v>7.0902042701910029E-2</v>
      </c>
      <c r="AC460" s="128">
        <f>'QTR Rooms'!AC883</f>
        <v>9.2354345749761091E-2</v>
      </c>
      <c r="AD460" s="128">
        <f>'QTR Rooms'!AD883</f>
        <v>7.7314978322739369E-2</v>
      </c>
      <c r="AE460" s="128">
        <f>'QTR Rooms'!AE883</f>
        <v>6.2285315065303104E-2</v>
      </c>
      <c r="AF460" s="128">
        <f>'QTR Rooms'!AF883</f>
        <v>6.0637320179304899E-2</v>
      </c>
      <c r="AG460" s="226">
        <f>'QTR Rooms'!AG883</f>
        <v>6.0637320179304899E-2</v>
      </c>
      <c r="AH460" s="128">
        <f>'QTR Rooms'!AH883</f>
        <v>6.6506381357563704E-2</v>
      </c>
      <c r="AI460" s="128">
        <f>'QTR Rooms'!AI883</f>
        <v>7.1874745618582647E-2</v>
      </c>
      <c r="AJ460" s="128">
        <f>'QTR Rooms'!AJ883</f>
        <v>7.8613849926846502E-2</v>
      </c>
      <c r="AK460" s="128">
        <f>'QTR Rooms'!AK883</f>
        <v>6.0925624022683644E-2</v>
      </c>
      <c r="AL460" s="226">
        <f>'QTR Rooms'!AL883</f>
        <v>6.0925624022683644E-2</v>
      </c>
      <c r="AM460" s="226">
        <f>'QTR Rooms'!AM883</f>
        <v>4.4999999999999998E-2</v>
      </c>
      <c r="AN460" s="226">
        <f>'QTR Rooms'!AN883</f>
        <v>0.03</v>
      </c>
    </row>
    <row r="461" spans="1:40">
      <c r="A461" s="394" t="s">
        <v>1181</v>
      </c>
      <c r="B461" s="226"/>
      <c r="C461" s="226">
        <f>C367</f>
        <v>0.23502150070804007</v>
      </c>
      <c r="D461" s="128"/>
      <c r="E461" s="128"/>
      <c r="F461" s="128"/>
      <c r="G461" s="128"/>
      <c r="H461" s="226">
        <f t="shared" ref="H461:R461" si="470">H367</f>
        <v>1.3900529224879499E-3</v>
      </c>
      <c r="I461" s="128">
        <f t="shared" si="470"/>
        <v>9.6693740969200137E-2</v>
      </c>
      <c r="J461" s="128">
        <f t="shared" si="470"/>
        <v>0.11219697561042818</v>
      </c>
      <c r="K461" s="128">
        <f t="shared" si="470"/>
        <v>5.0967067377799768E-2</v>
      </c>
      <c r="L461" s="128">
        <f>L367</f>
        <v>0.14424877949841308</v>
      </c>
      <c r="M461" s="226">
        <f>M367</f>
        <v>0.10111036784945515</v>
      </c>
      <c r="N461" s="128">
        <f>N367</f>
        <v>0.12565805156399867</v>
      </c>
      <c r="O461" s="128">
        <f t="shared" si="470"/>
        <v>0.1835090023132151</v>
      </c>
      <c r="P461" s="128">
        <f t="shared" si="470"/>
        <v>0.24540889735882265</v>
      </c>
      <c r="Q461" s="128">
        <f t="shared" si="470"/>
        <v>0.10109599537435798</v>
      </c>
      <c r="R461" s="226">
        <f t="shared" si="470"/>
        <v>0.16291311600964864</v>
      </c>
      <c r="S461" s="128">
        <f t="shared" ref="S461:AN461" si="471">S367</f>
        <v>-1.5603141838495649E-2</v>
      </c>
      <c r="T461" s="128">
        <f t="shared" si="471"/>
        <v>-4.6330890008362657E-2</v>
      </c>
      <c r="U461" s="128">
        <f t="shared" si="471"/>
        <v>-1.5499051277874765E-2</v>
      </c>
      <c r="V461" s="128">
        <f t="shared" si="471"/>
        <v>2.7905235041922882E-3</v>
      </c>
      <c r="W461" s="226">
        <f t="shared" si="471"/>
        <v>-1.8375321745537021E-2</v>
      </c>
      <c r="X461" s="128">
        <f t="shared" si="471"/>
        <v>0.14266716138066582</v>
      </c>
      <c r="Y461" s="128">
        <f t="shared" si="471"/>
        <v>0.14736621155947938</v>
      </c>
      <c r="Z461" s="128">
        <f t="shared" si="471"/>
        <v>8.2117834171634874E-2</v>
      </c>
      <c r="AA461" s="128">
        <f t="shared" si="471"/>
        <v>6.9591387048177689E-2</v>
      </c>
      <c r="AB461" s="226">
        <f t="shared" si="471"/>
        <v>0.10797283382971989</v>
      </c>
      <c r="AC461" s="128">
        <f t="shared" si="471"/>
        <v>1.4127640822159337E-2</v>
      </c>
      <c r="AD461" s="128">
        <f t="shared" si="471"/>
        <v>6.1012500840093686E-2</v>
      </c>
      <c r="AE461" s="128">
        <f t="shared" si="471"/>
        <v>6.4960265141267515E-2</v>
      </c>
      <c r="AF461" s="128">
        <f t="shared" si="471"/>
        <v>9.262849900714909E-2</v>
      </c>
      <c r="AG461" s="226">
        <f t="shared" si="471"/>
        <v>5.9443984948728046E-2</v>
      </c>
      <c r="AH461" s="128">
        <f t="shared" ref="AH461:AL461" si="472">AH367</f>
        <v>0.11740556990120221</v>
      </c>
      <c r="AI461" s="128">
        <f t="shared" si="472"/>
        <v>0.11385033676447676</v>
      </c>
      <c r="AJ461" s="128">
        <f t="shared" si="472"/>
        <v>0.13132477633030359</v>
      </c>
      <c r="AK461" s="128">
        <f t="shared" si="472"/>
        <v>0.1093751884416676</v>
      </c>
      <c r="AL461" s="226">
        <f t="shared" si="472"/>
        <v>0.11804939384028956</v>
      </c>
      <c r="AM461" s="226">
        <f t="shared" si="471"/>
        <v>7.3912448613973947E-2</v>
      </c>
      <c r="AN461" s="226">
        <f t="shared" si="471"/>
        <v>1.3853690421186782E-2</v>
      </c>
    </row>
    <row r="462" spans="1:40">
      <c r="A462" s="394"/>
      <c r="B462" s="208"/>
      <c r="C462" s="208"/>
      <c r="D462" s="15"/>
      <c r="E462" s="15"/>
      <c r="F462" s="15"/>
      <c r="G462" s="15"/>
      <c r="H462" s="208"/>
      <c r="I462" s="15"/>
      <c r="J462" s="15"/>
      <c r="K462" s="15"/>
      <c r="L462" s="15"/>
      <c r="M462" s="208"/>
      <c r="N462" s="15"/>
      <c r="O462" s="15"/>
      <c r="P462" s="15"/>
      <c r="Q462" s="15"/>
      <c r="R462" s="208"/>
      <c r="W462" s="208"/>
      <c r="AB462" s="208"/>
      <c r="AG462" s="208"/>
      <c r="AL462" s="208"/>
      <c r="AM462" s="208"/>
      <c r="AN462" s="208"/>
    </row>
    <row r="463" spans="1:40">
      <c r="A463" s="482" t="s">
        <v>449</v>
      </c>
      <c r="B463" s="208"/>
      <c r="C463" s="208"/>
      <c r="D463" s="15"/>
      <c r="E463" s="15"/>
      <c r="F463" s="15"/>
      <c r="G463" s="15"/>
      <c r="H463" s="208"/>
      <c r="I463" s="15"/>
      <c r="J463" s="15"/>
      <c r="K463" s="15"/>
      <c r="L463" s="15"/>
      <c r="M463" s="208"/>
      <c r="N463" s="15"/>
      <c r="O463" s="15"/>
      <c r="P463" s="15"/>
      <c r="Q463" s="15"/>
      <c r="R463" s="208"/>
      <c r="W463" s="208"/>
      <c r="AB463" s="208"/>
      <c r="AG463" s="208"/>
      <c r="AL463" s="208"/>
      <c r="AM463" s="208"/>
      <c r="AN463" s="208"/>
    </row>
    <row r="464" spans="1:40" s="130" customFormat="1">
      <c r="A464" s="394" t="s">
        <v>1179</v>
      </c>
      <c r="B464" s="455"/>
      <c r="C464" s="455">
        <f>C304</f>
        <v>6.7000000000000004E-2</v>
      </c>
      <c r="D464" s="417"/>
      <c r="E464" s="417"/>
      <c r="F464" s="417"/>
      <c r="G464" s="417"/>
      <c r="H464" s="455">
        <f t="shared" ref="H464:AN464" si="473">H304</f>
        <v>6.0999999999999999E-2</v>
      </c>
      <c r="I464" s="417">
        <f t="shared" si="473"/>
        <v>5.5E-2</v>
      </c>
      <c r="J464" s="417">
        <f t="shared" si="473"/>
        <v>5.1999999999999998E-2</v>
      </c>
      <c r="K464" s="417">
        <f t="shared" si="473"/>
        <v>5.1999999999999998E-2</v>
      </c>
      <c r="L464" s="417">
        <f t="shared" si="473"/>
        <v>4.7E-2</v>
      </c>
      <c r="M464" s="455">
        <f t="shared" si="473"/>
        <v>5.1999999999999998E-2</v>
      </c>
      <c r="N464" s="417">
        <f t="shared" si="473"/>
        <v>6.7000000000000004E-2</v>
      </c>
      <c r="O464" s="417">
        <f t="shared" si="473"/>
        <v>7.2999999999999995E-2</v>
      </c>
      <c r="P464" s="417">
        <f t="shared" si="473"/>
        <v>8.7999999999999995E-2</v>
      </c>
      <c r="Q464" s="417">
        <f t="shared" si="473"/>
        <v>6.8000000000000005E-2</v>
      </c>
      <c r="R464" s="455">
        <f t="shared" si="473"/>
        <v>7.3999999999999996E-2</v>
      </c>
      <c r="S464" s="417">
        <f t="shared" si="473"/>
        <v>6.5000000000000002E-2</v>
      </c>
      <c r="T464" s="417">
        <f t="shared" si="473"/>
        <v>0.05</v>
      </c>
      <c r="U464" s="417">
        <f t="shared" si="473"/>
        <v>5.0999999999999997E-2</v>
      </c>
      <c r="V464" s="417">
        <f t="shared" si="473"/>
        <v>3.7999999999999999E-2</v>
      </c>
      <c r="W464" s="455">
        <f t="shared" si="473"/>
        <v>5.1999999999999998E-2</v>
      </c>
      <c r="X464" s="417">
        <f t="shared" si="473"/>
        <v>1.7999999999999999E-2</v>
      </c>
      <c r="Y464" s="417">
        <f t="shared" si="473"/>
        <v>2.9000000000000001E-2</v>
      </c>
      <c r="Z464" s="417">
        <f t="shared" si="473"/>
        <v>1.4999999999999999E-2</v>
      </c>
      <c r="AA464" s="417">
        <f t="shared" si="473"/>
        <v>8.9999999999999993E-3</v>
      </c>
      <c r="AB464" s="455">
        <f t="shared" si="473"/>
        <v>1.7749999999999998E-2</v>
      </c>
      <c r="AC464" s="417">
        <f t="shared" si="473"/>
        <v>2.5000000000000001E-2</v>
      </c>
      <c r="AD464" s="417">
        <f t="shared" si="473"/>
        <v>5.0000000000000001E-3</v>
      </c>
      <c r="AE464" s="417">
        <f t="shared" si="473"/>
        <v>-1E-3</v>
      </c>
      <c r="AF464" s="417">
        <f t="shared" si="473"/>
        <v>3.2000000000000001E-2</v>
      </c>
      <c r="AG464" s="455">
        <f t="shared" si="473"/>
        <v>1.525E-2</v>
      </c>
      <c r="AH464" s="417">
        <f t="shared" ref="AH464:AL464" si="474">AH304</f>
        <v>1.2500000000000001E-2</v>
      </c>
      <c r="AI464" s="417">
        <f t="shared" si="474"/>
        <v>0.02</v>
      </c>
      <c r="AJ464" s="417">
        <f t="shared" si="474"/>
        <v>0.02</v>
      </c>
      <c r="AK464" s="417">
        <f t="shared" si="474"/>
        <v>1.4999999999999999E-2</v>
      </c>
      <c r="AL464" s="455">
        <f t="shared" si="474"/>
        <v>1.6875000000000001E-2</v>
      </c>
      <c r="AM464" s="455">
        <f t="shared" si="473"/>
        <v>1.2999999999999999E-2</v>
      </c>
      <c r="AN464" s="455">
        <f t="shared" si="473"/>
        <v>-0.03</v>
      </c>
    </row>
    <row r="465" spans="1:40">
      <c r="A465" s="394" t="s">
        <v>1180</v>
      </c>
      <c r="B465" s="646"/>
      <c r="C465" s="226">
        <f>'QTR Rooms'!C908</f>
        <v>3.2260387412688107E-2</v>
      </c>
      <c r="D465" s="128"/>
      <c r="E465" s="128"/>
      <c r="F465" s="128"/>
      <c r="G465" s="128"/>
      <c r="H465" s="226">
        <f>'QTR Rooms'!H908</f>
        <v>2.8524091883003644E-2</v>
      </c>
      <c r="I465" s="128">
        <f>'QTR Rooms'!I908</f>
        <v>3.0727078721155099E-2</v>
      </c>
      <c r="J465" s="128">
        <f>'QTR Rooms'!J908</f>
        <v>3.2471997338360925E-2</v>
      </c>
      <c r="K465" s="128">
        <f>'QTR Rooms'!K908</f>
        <v>3.1896087361049874E-2</v>
      </c>
      <c r="L465" s="128">
        <f>'QTR Rooms'!L908</f>
        <v>2.8350721485167041E-2</v>
      </c>
      <c r="M465" s="226">
        <f>'QTR Rooms'!M908</f>
        <v>2.8350721485167041E-2</v>
      </c>
      <c r="N465" s="128">
        <f>'QTR Rooms'!N908</f>
        <v>3.4813042857799292E-2</v>
      </c>
      <c r="O465" s="128">
        <f>'QTR Rooms'!O908</f>
        <v>3.1983023862548698E-2</v>
      </c>
      <c r="P465" s="128">
        <f>'QTR Rooms'!P908</f>
        <v>4.5910873727894597E-2</v>
      </c>
      <c r="Q465" s="128">
        <f>'QTR Rooms'!Q908</f>
        <v>4.9301232177475063E-2</v>
      </c>
      <c r="R465" s="226">
        <f>'QTR Rooms'!R908</f>
        <v>4.9301232177475063E-2</v>
      </c>
      <c r="S465" s="128">
        <f>'QTR Rooms'!S908</f>
        <v>5.3617090900591302E-2</v>
      </c>
      <c r="T465" s="128">
        <f>'QTR Rooms'!T908</f>
        <v>6.2582689549891324E-2</v>
      </c>
      <c r="U465" s="128">
        <f>'QTR Rooms'!U908</f>
        <v>5.8687011678871803E-2</v>
      </c>
      <c r="V465" s="128">
        <f>'QTR Rooms'!V908</f>
        <v>6.0245183101626854E-2</v>
      </c>
      <c r="W465" s="226">
        <f>'QTR Rooms'!W908</f>
        <v>6.0245183101626854E-2</v>
      </c>
      <c r="X465" s="128">
        <f>'QTR Rooms'!X908</f>
        <v>6.207614099461134E-2</v>
      </c>
      <c r="Y465" s="128">
        <f>'QTR Rooms'!Y908</f>
        <v>5.6987746981369103E-2</v>
      </c>
      <c r="Z465" s="128">
        <f>'QTR Rooms'!Z908</f>
        <v>5.9732356186986468E-2</v>
      </c>
      <c r="AA465" s="128">
        <f>'QTR Rooms'!AA908</f>
        <v>6.841414355282649E-2</v>
      </c>
      <c r="AB465" s="226">
        <f>'QTR Rooms'!AB908</f>
        <v>6.841414355282649E-2</v>
      </c>
      <c r="AC465" s="128">
        <f>'QTR Rooms'!AC908</f>
        <v>8.7285576426994416E-2</v>
      </c>
      <c r="AD465" s="128">
        <f>'QTR Rooms'!AD908</f>
        <v>7.3534783875677245E-2</v>
      </c>
      <c r="AE465" s="128">
        <f>'QTR Rooms'!AE908</f>
        <v>6.51838071743438E-2</v>
      </c>
      <c r="AF465" s="128">
        <f>'QTR Rooms'!AF908</f>
        <v>6.1904988387117221E-2</v>
      </c>
      <c r="AG465" s="226">
        <f>'QTR Rooms'!AG908</f>
        <v>6.1904988387117221E-2</v>
      </c>
      <c r="AH465" s="128">
        <f>'QTR Rooms'!AH908</f>
        <v>4.1080627308240247E-2</v>
      </c>
      <c r="AI465" s="128">
        <f>'QTR Rooms'!AI908</f>
        <v>5.8157830522528542E-2</v>
      </c>
      <c r="AJ465" s="128">
        <f>'QTR Rooms'!AJ908</f>
        <v>6.6344822619576416E-2</v>
      </c>
      <c r="AK465" s="128">
        <f>'QTR Rooms'!AK908</f>
        <v>7.1072609034777967E-2</v>
      </c>
      <c r="AL465" s="226">
        <f>'QTR Rooms'!AL908</f>
        <v>7.1072609034777967E-2</v>
      </c>
      <c r="AM465" s="226">
        <f>'QTR Rooms'!AM908</f>
        <v>6.5103938212794032E-2</v>
      </c>
      <c r="AN465" s="226">
        <f>'QTR Rooms'!AN908</f>
        <v>5.3569650144696501E-2</v>
      </c>
    </row>
    <row r="466" spans="1:40">
      <c r="A466" s="394" t="s">
        <v>1181</v>
      </c>
      <c r="B466" s="646"/>
      <c r="C466" s="226">
        <f>C399</f>
        <v>8.3357945747679851E-2</v>
      </c>
      <c r="D466" s="128"/>
      <c r="E466" s="128"/>
      <c r="F466" s="128"/>
      <c r="G466" s="128"/>
      <c r="H466" s="226">
        <f t="shared" ref="H466:R466" si="475">H399</f>
        <v>8.4665790055673984E-2</v>
      </c>
      <c r="I466" s="128">
        <f t="shared" si="475"/>
        <v>8.2880570804099829E-2</v>
      </c>
      <c r="J466" s="128">
        <f t="shared" si="475"/>
        <v>9.9255813229272238E-2</v>
      </c>
      <c r="K466" s="128">
        <f t="shared" si="475"/>
        <v>0.10145356989698384</v>
      </c>
      <c r="L466" s="128">
        <f>L399</f>
        <v>8.9767352252973609E-2</v>
      </c>
      <c r="M466" s="226">
        <f>M399</f>
        <v>9.2375852736293451E-2</v>
      </c>
      <c r="N466" s="128">
        <f>N399</f>
        <v>0.10478622341280119</v>
      </c>
      <c r="O466" s="128">
        <f t="shared" si="475"/>
        <v>0.12767062518684513</v>
      </c>
      <c r="P466" s="128">
        <f t="shared" si="475"/>
        <v>0.14851116994551838</v>
      </c>
      <c r="Q466" s="128">
        <f t="shared" si="475"/>
        <v>0.12065371596554342</v>
      </c>
      <c r="R466" s="226">
        <f t="shared" si="475"/>
        <v>0.13601614760891856</v>
      </c>
      <c r="S466" s="128">
        <f t="shared" ref="S466:AN466" si="476">S399</f>
        <v>0.12210220180913001</v>
      </c>
      <c r="T466" s="128">
        <f t="shared" si="476"/>
        <v>0.11497837350233597</v>
      </c>
      <c r="U466" s="128">
        <f t="shared" si="476"/>
        <v>0.11195998375665828</v>
      </c>
      <c r="V466" s="128">
        <f t="shared" si="476"/>
        <v>9.9481267804509166E-2</v>
      </c>
      <c r="W466" s="226">
        <f t="shared" si="476"/>
        <v>0.11431049492325962</v>
      </c>
      <c r="X466" s="128">
        <f t="shared" si="476"/>
        <v>9.217465072649933E-2</v>
      </c>
      <c r="Y466" s="128">
        <f t="shared" si="476"/>
        <v>8.7732759015018758E-2</v>
      </c>
      <c r="Z466" s="128">
        <f t="shared" si="476"/>
        <v>7.5195319954627582E-2</v>
      </c>
      <c r="AA466" s="128">
        <f t="shared" si="476"/>
        <v>7.6842894321900168E-2</v>
      </c>
      <c r="AB466" s="226">
        <f t="shared" si="476"/>
        <v>5.9198030031487825E-2</v>
      </c>
      <c r="AC466" s="128">
        <f t="shared" si="476"/>
        <v>8.0138842865752347E-2</v>
      </c>
      <c r="AD466" s="128">
        <f t="shared" si="476"/>
        <v>7.7370917205165535E-2</v>
      </c>
      <c r="AE466" s="128">
        <f t="shared" si="476"/>
        <v>6.4741112219925956E-2</v>
      </c>
      <c r="AF466" s="128">
        <f t="shared" si="476"/>
        <v>0.10045652873261934</v>
      </c>
      <c r="AG466" s="226">
        <f t="shared" si="476"/>
        <v>7.9963214406823413E-2</v>
      </c>
      <c r="AH466" s="128">
        <f t="shared" ref="AH466:AL466" si="477">AH399</f>
        <v>7.8934056434090794E-2</v>
      </c>
      <c r="AI466" s="128">
        <f t="shared" si="477"/>
        <v>8.3773133484102313E-2</v>
      </c>
      <c r="AJ466" s="128">
        <f t="shared" si="477"/>
        <v>9.0504168311729138E-2</v>
      </c>
      <c r="AK466" s="128">
        <f t="shared" si="477"/>
        <v>8.7193471161483904E-2</v>
      </c>
      <c r="AL466" s="226">
        <f t="shared" si="477"/>
        <v>8.5286139385605919E-2</v>
      </c>
      <c r="AM466" s="226">
        <f t="shared" si="476"/>
        <v>7.9136647550767769E-2</v>
      </c>
      <c r="AN466" s="226">
        <f t="shared" si="476"/>
        <v>3.0233599685384416E-2</v>
      </c>
    </row>
    <row r="467" spans="1:40">
      <c r="A467" s="135"/>
      <c r="B467" s="128"/>
      <c r="C467" s="226"/>
      <c r="D467" s="128"/>
      <c r="E467" s="128"/>
      <c r="F467" s="128"/>
      <c r="G467" s="128"/>
      <c r="H467" s="226"/>
      <c r="I467" s="128"/>
      <c r="J467" s="128"/>
      <c r="K467" s="128"/>
      <c r="L467" s="128"/>
      <c r="M467" s="226"/>
      <c r="N467" s="128"/>
      <c r="O467" s="128"/>
      <c r="P467" s="128"/>
      <c r="Q467" s="128"/>
      <c r="R467" s="226"/>
      <c r="S467" s="128"/>
      <c r="T467" s="128"/>
      <c r="U467" s="128"/>
      <c r="V467" s="128"/>
      <c r="W467" s="226"/>
      <c r="X467" s="128"/>
      <c r="Y467" s="128"/>
      <c r="Z467" s="128"/>
      <c r="AA467" s="128"/>
      <c r="AB467" s="226"/>
      <c r="AC467" s="128"/>
      <c r="AD467" s="128"/>
      <c r="AE467" s="128"/>
      <c r="AF467" s="128"/>
      <c r="AG467" s="226"/>
      <c r="AH467" s="128"/>
      <c r="AI467" s="128"/>
      <c r="AJ467" s="128"/>
      <c r="AK467" s="128"/>
      <c r="AL467" s="226"/>
      <c r="AM467" s="226"/>
      <c r="AN467" s="226"/>
    </row>
    <row r="468" spans="1:40">
      <c r="A468" s="482" t="s">
        <v>431</v>
      </c>
      <c r="B468" s="128"/>
      <c r="C468" s="226"/>
      <c r="D468" s="128"/>
      <c r="E468" s="128"/>
      <c r="F468" s="128"/>
      <c r="G468" s="128"/>
      <c r="H468" s="226"/>
      <c r="I468" s="128"/>
      <c r="J468" s="128"/>
      <c r="K468" s="128"/>
      <c r="L468" s="128"/>
      <c r="M468" s="226"/>
      <c r="N468" s="128"/>
      <c r="O468" s="128"/>
      <c r="P468" s="128"/>
      <c r="Q468" s="128"/>
      <c r="R468" s="226"/>
      <c r="S468" s="128"/>
      <c r="T468" s="128"/>
      <c r="U468" s="128"/>
      <c r="V468" s="128"/>
      <c r="W468" s="226"/>
      <c r="X468" s="128"/>
      <c r="Y468" s="128"/>
      <c r="Z468" s="128"/>
      <c r="AA468" s="128"/>
      <c r="AB468" s="226"/>
      <c r="AC468" s="128"/>
      <c r="AD468" s="128"/>
      <c r="AE468" s="128"/>
      <c r="AF468" s="128"/>
      <c r="AG468" s="226"/>
      <c r="AH468" s="128"/>
      <c r="AI468" s="128"/>
      <c r="AJ468" s="128"/>
      <c r="AK468" s="128"/>
      <c r="AL468" s="226"/>
      <c r="AM468" s="226"/>
      <c r="AN468" s="226"/>
    </row>
    <row r="469" spans="1:40" s="130" customFormat="1">
      <c r="A469" s="394" t="s">
        <v>1179</v>
      </c>
      <c r="B469" s="455"/>
      <c r="C469" s="455">
        <f>C317*C413+C319*C414+C321*C415+C323*C416</f>
        <v>8.4430249712978217E-2</v>
      </c>
      <c r="D469" s="417"/>
      <c r="E469" s="417"/>
      <c r="F469" s="417"/>
      <c r="G469" s="417"/>
      <c r="H469" s="455">
        <f t="shared" ref="H469:AN469" si="478">H317*H413+H319*H414+H321*H415+H323*H416</f>
        <v>-2.9002794499443103E-2</v>
      </c>
      <c r="I469" s="417">
        <f t="shared" si="478"/>
        <v>3.2221168692414611E-3</v>
      </c>
      <c r="J469" s="417">
        <f t="shared" si="478"/>
        <v>1.8659527485031406E-2</v>
      </c>
      <c r="K469" s="417">
        <f t="shared" si="478"/>
        <v>8.6710447021533434E-3</v>
      </c>
      <c r="L469" s="417">
        <f t="shared" si="478"/>
        <v>4.7042421708342788E-2</v>
      </c>
      <c r="M469" s="455">
        <f t="shared" si="478"/>
        <v>1.899136785966939E-2</v>
      </c>
      <c r="N469" s="417">
        <f t="shared" si="478"/>
        <v>5.8632498323631405E-2</v>
      </c>
      <c r="O469" s="417">
        <f t="shared" si="478"/>
        <v>5.0396161885586162E-2</v>
      </c>
      <c r="P469" s="417">
        <f t="shared" si="478"/>
        <v>7.2317621743441932E-2</v>
      </c>
      <c r="Q469" s="417">
        <f t="shared" si="478"/>
        <v>6.3440628503459467E-2</v>
      </c>
      <c r="R469" s="455">
        <f t="shared" si="478"/>
        <v>6.12169180618874E-2</v>
      </c>
      <c r="S469" s="417">
        <f t="shared" si="478"/>
        <v>6.4503094078234402E-2</v>
      </c>
      <c r="T469" s="417">
        <f t="shared" si="478"/>
        <v>5.1247531666646043E-2</v>
      </c>
      <c r="U469" s="417">
        <f t="shared" si="478"/>
        <v>7.2809733860477968E-2</v>
      </c>
      <c r="V469" s="417">
        <f t="shared" si="478"/>
        <v>4.4167311152674457E-2</v>
      </c>
      <c r="W469" s="455">
        <f t="shared" si="478"/>
        <v>5.7778598970125883E-2</v>
      </c>
      <c r="X469" s="417">
        <f t="shared" si="478"/>
        <v>2.6602451135778023E-2</v>
      </c>
      <c r="Y469" s="417">
        <f t="shared" si="478"/>
        <v>2.1666168880550382E-2</v>
      </c>
      <c r="Z469" s="417">
        <f t="shared" si="478"/>
        <v>3.7598182275042887E-3</v>
      </c>
      <c r="AA469" s="417">
        <f t="shared" si="478"/>
        <v>1.358953532275097E-2</v>
      </c>
      <c r="AB469" s="455">
        <f t="shared" si="478"/>
        <v>1.6543173130713171E-2</v>
      </c>
      <c r="AC469" s="417">
        <f t="shared" si="478"/>
        <v>5.5717685558327949E-2</v>
      </c>
      <c r="AD469" s="417">
        <f t="shared" si="478"/>
        <v>6.5776067853358447E-2</v>
      </c>
      <c r="AE469" s="417">
        <f t="shared" si="478"/>
        <v>6.2794903671255647E-2</v>
      </c>
      <c r="AF469" s="417">
        <f t="shared" si="478"/>
        <v>5.1600221450892492E-2</v>
      </c>
      <c r="AG469" s="455">
        <f t="shared" si="478"/>
        <v>5.9518044641732028E-2</v>
      </c>
      <c r="AH469" s="417">
        <f t="shared" ref="AH469:AL469" si="479">AH317*AH413+AH319*AH414+AH321*AH415+AH323*AH416</f>
        <v>3.8296629421311817E-2</v>
      </c>
      <c r="AI469" s="417">
        <f t="shared" si="479"/>
        <v>3.812564434212222E-2</v>
      </c>
      <c r="AJ469" s="417">
        <f t="shared" si="479"/>
        <v>3.8558836717269139E-2</v>
      </c>
      <c r="AK469" s="417">
        <f t="shared" si="479"/>
        <v>3.8607980239973458E-2</v>
      </c>
      <c r="AL469" s="455">
        <f t="shared" si="479"/>
        <v>3.8413931091177869E-2</v>
      </c>
      <c r="AM469" s="455">
        <f t="shared" si="478"/>
        <v>2.0387670725065869E-2</v>
      </c>
      <c r="AN469" s="455">
        <f t="shared" si="478"/>
        <v>-2.886403027848607E-2</v>
      </c>
    </row>
    <row r="470" spans="1:40" s="130" customFormat="1">
      <c r="A470" s="394" t="s">
        <v>1180</v>
      </c>
      <c r="B470" s="455"/>
      <c r="C470" s="455">
        <f>'QTR Rooms'!C912</f>
        <v>8.9425102217816965E-2</v>
      </c>
      <c r="D470" s="417"/>
      <c r="E470" s="417"/>
      <c r="F470" s="417"/>
      <c r="G470" s="417"/>
      <c r="H470" s="455">
        <f>'QTR Rooms'!H912</f>
        <v>7.2730374456228208E-2</v>
      </c>
      <c r="I470" s="417">
        <f>'QTR Rooms'!I912</f>
        <v>6.1063853292090187E-2</v>
      </c>
      <c r="J470" s="417">
        <f>'QTR Rooms'!J912</f>
        <v>8.8598555975774262E-2</v>
      </c>
      <c r="K470" s="417">
        <f>'QTR Rooms'!K912</f>
        <v>0.10002377744313229</v>
      </c>
      <c r="L470" s="417">
        <f>'QTR Rooms'!L912</f>
        <v>0.11609107052930101</v>
      </c>
      <c r="M470" s="455">
        <f>'QTR Rooms'!M912</f>
        <v>0.11609107052930101</v>
      </c>
      <c r="N470" s="417">
        <f>'QTR Rooms'!N912</f>
        <v>0.13633879070251709</v>
      </c>
      <c r="O470" s="417">
        <f>'QTR Rooms'!O912</f>
        <v>8.7485726780204498E-2</v>
      </c>
      <c r="P470" s="417">
        <f>'QTR Rooms'!P912</f>
        <v>0.11917285106996189</v>
      </c>
      <c r="Q470" s="417">
        <f>'QTR Rooms'!Q912</f>
        <v>0.19254791137286564</v>
      </c>
      <c r="R470" s="455">
        <f>'QTR Rooms'!R912</f>
        <v>0.19254791137286564</v>
      </c>
      <c r="S470" s="417">
        <f>'QTR Rooms'!S912</f>
        <v>0.17811576608562207</v>
      </c>
      <c r="T470" s="417">
        <f>'QTR Rooms'!T912</f>
        <v>0.2262856887538538</v>
      </c>
      <c r="U470" s="417">
        <f>'QTR Rooms'!U912</f>
        <v>0.25120710744865771</v>
      </c>
      <c r="V470" s="417">
        <f>'QTR Rooms'!V912</f>
        <v>0.20953063703526698</v>
      </c>
      <c r="W470" s="455">
        <f>'QTR Rooms'!W912</f>
        <v>0.20953063703526698</v>
      </c>
      <c r="X470" s="417">
        <f>'QTR Rooms'!X912</f>
        <v>0.23099955281628537</v>
      </c>
      <c r="Y470" s="417">
        <f>'QTR Rooms'!Y912</f>
        <v>0.18622360678435435</v>
      </c>
      <c r="Z470" s="417">
        <f>'QTR Rooms'!Z912</f>
        <v>0.15134208043907038</v>
      </c>
      <c r="AA470" s="417">
        <f>'QTR Rooms'!AA912</f>
        <v>0.13258367770295854</v>
      </c>
      <c r="AB470" s="455">
        <f>'QTR Rooms'!AB912</f>
        <v>0.13258367770295854</v>
      </c>
      <c r="AC470" s="417">
        <f>'QTR Rooms'!AC912</f>
        <v>0.10267255267397402</v>
      </c>
      <c r="AD470" s="417">
        <f>'QTR Rooms'!AD912</f>
        <v>9.8892698078724361E-2</v>
      </c>
      <c r="AE470" s="417">
        <f>'QTR Rooms'!AE912</f>
        <v>0.14108656467398584</v>
      </c>
      <c r="AF470" s="417">
        <f>'QTR Rooms'!AF912</f>
        <v>0.16794103965577389</v>
      </c>
      <c r="AG470" s="455">
        <f>'QTR Rooms'!AG912</f>
        <v>0.16794103965577389</v>
      </c>
      <c r="AH470" s="417">
        <f>'QTR Rooms'!AH912</f>
        <v>0.16228243629807571</v>
      </c>
      <c r="AI470" s="417">
        <f>'QTR Rooms'!AI912</f>
        <v>0.14534113540414872</v>
      </c>
      <c r="AJ470" s="417">
        <f>'QTR Rooms'!AJ912</f>
        <v>8.5707421006853801E-2</v>
      </c>
      <c r="AK470" s="417">
        <f>'QTR Rooms'!AK912</f>
        <v>5.0431281048750609E-2</v>
      </c>
      <c r="AL470" s="455">
        <f>'QTR Rooms'!AL912</f>
        <v>5.0431281048750609E-2</v>
      </c>
      <c r="AM470" s="455">
        <f>'QTR Rooms'!AM912</f>
        <v>0.06</v>
      </c>
      <c r="AN470" s="455">
        <f>'QTR Rooms'!AN912</f>
        <v>0.05</v>
      </c>
    </row>
    <row r="471" spans="1:40">
      <c r="A471" s="395" t="s">
        <v>1181</v>
      </c>
      <c r="B471" s="647"/>
      <c r="C471" s="671">
        <f>C407</f>
        <v>0.19208813157988924</v>
      </c>
      <c r="D471" s="441"/>
      <c r="E471" s="441"/>
      <c r="F471" s="441"/>
      <c r="G471" s="441"/>
      <c r="H471" s="671">
        <f t="shared" ref="H471:R471" si="480">H407</f>
        <v>4.494835048489576E-2</v>
      </c>
      <c r="I471" s="441">
        <f t="shared" si="480"/>
        <v>5.5281295867802172E-2</v>
      </c>
      <c r="J471" s="441">
        <f t="shared" si="480"/>
        <v>0.11939940726385045</v>
      </c>
      <c r="K471" s="441">
        <f t="shared" si="480"/>
        <v>0.11744820638710496</v>
      </c>
      <c r="L471" s="441">
        <f>L407</f>
        <v>0.17737168227081801</v>
      </c>
      <c r="M471" s="671">
        <f>M407</f>
        <v>0.11862744894672184</v>
      </c>
      <c r="N471" s="441">
        <f>N407</f>
        <v>0.17442371675410273</v>
      </c>
      <c r="O471" s="441">
        <f t="shared" si="480"/>
        <v>0.15195941491527276</v>
      </c>
      <c r="P471" s="441">
        <f t="shared" si="480"/>
        <v>0.20601981635361444</v>
      </c>
      <c r="Q471" s="441">
        <f t="shared" si="480"/>
        <v>0.22559081042508744</v>
      </c>
      <c r="R471" s="671">
        <f t="shared" si="480"/>
        <v>0.19039776638583339</v>
      </c>
      <c r="S471" s="441">
        <f t="shared" ref="S471:AN471" si="481">S407</f>
        <v>0.15508462303213544</v>
      </c>
      <c r="T471" s="441">
        <f t="shared" si="481"/>
        <v>0.20059609858526639</v>
      </c>
      <c r="U471" s="441">
        <f t="shared" si="481"/>
        <v>0.25788548450540727</v>
      </c>
      <c r="V471" s="441">
        <f t="shared" si="481"/>
        <v>0.18643193834689487</v>
      </c>
      <c r="W471" s="671">
        <f t="shared" si="481"/>
        <v>0.20291875527814196</v>
      </c>
      <c r="X471" s="441">
        <f t="shared" si="481"/>
        <v>0.27159853353037611</v>
      </c>
      <c r="Y471" s="441">
        <f t="shared" si="481"/>
        <v>0.21724608324766637</v>
      </c>
      <c r="Z471" s="441">
        <f t="shared" si="481"/>
        <v>0.15760004025496954</v>
      </c>
      <c r="AA471" s="441">
        <f t="shared" si="481"/>
        <v>0.14962869580349603</v>
      </c>
      <c r="AB471" s="671">
        <f t="shared" si="481"/>
        <v>0.19340067807837902</v>
      </c>
      <c r="AC471" s="441">
        <f t="shared" si="481"/>
        <v>-0.12023602472997597</v>
      </c>
      <c r="AD471" s="441">
        <f t="shared" si="481"/>
        <v>-6.5696440318760985E-2</v>
      </c>
      <c r="AE471" s="441">
        <f t="shared" si="481"/>
        <v>-3.0232661021166729E-3</v>
      </c>
      <c r="AF471" s="441">
        <f t="shared" si="481"/>
        <v>2.4017093908864418E-2</v>
      </c>
      <c r="AG471" s="671">
        <f t="shared" si="481"/>
        <v>-3.7342031005277443E-2</v>
      </c>
      <c r="AH471" s="441">
        <f t="shared" ref="AH471:AL471" si="482">AH407</f>
        <v>0.20992378715622717</v>
      </c>
      <c r="AI471" s="441">
        <f t="shared" si="482"/>
        <v>0.19361352391854303</v>
      </c>
      <c r="AJ471" s="441">
        <f t="shared" si="482"/>
        <v>0.12760761920144881</v>
      </c>
      <c r="AK471" s="441">
        <f t="shared" si="482"/>
        <v>9.0842881063078362E-2</v>
      </c>
      <c r="AL471" s="671">
        <f t="shared" si="482"/>
        <v>0.15018658454227896</v>
      </c>
      <c r="AM471" s="671">
        <f t="shared" si="481"/>
        <v>7.1548488602768412E-2</v>
      </c>
      <c r="AN471" s="671">
        <f t="shared" si="481"/>
        <v>2.6286864705685975E-2</v>
      </c>
    </row>
    <row r="473" spans="1:40">
      <c r="A473" s="6"/>
      <c r="B473" s="1505" t="str">
        <f t="shared" ref="B473:AB473" si="483">B4</f>
        <v>2010</v>
      </c>
      <c r="C473" s="1505" t="str">
        <f t="shared" si="483"/>
        <v>2011</v>
      </c>
      <c r="D473" s="1461" t="str">
        <f t="shared" si="483"/>
        <v>1Q12</v>
      </c>
      <c r="E473" s="1461" t="str">
        <f t="shared" si="483"/>
        <v>2Q12</v>
      </c>
      <c r="F473" s="1461" t="str">
        <f t="shared" si="483"/>
        <v>3Q12</v>
      </c>
      <c r="G473" s="1505" t="str">
        <f t="shared" si="483"/>
        <v>4Q12</v>
      </c>
      <c r="H473" s="2028">
        <f t="shared" si="483"/>
        <v>2012</v>
      </c>
      <c r="I473" s="1461" t="str">
        <f t="shared" si="483"/>
        <v>1Q13</v>
      </c>
      <c r="J473" s="1461" t="str">
        <f t="shared" si="483"/>
        <v>2Q13</v>
      </c>
      <c r="K473" s="1461" t="str">
        <f t="shared" si="483"/>
        <v>3Q13</v>
      </c>
      <c r="L473" s="1505" t="str">
        <f t="shared" si="483"/>
        <v>4Q13</v>
      </c>
      <c r="M473" s="2028">
        <f t="shared" si="483"/>
        <v>2013</v>
      </c>
      <c r="N473" s="1461" t="str">
        <f t="shared" si="483"/>
        <v>1Q14</v>
      </c>
      <c r="O473" s="1461" t="str">
        <f t="shared" si="483"/>
        <v>2Q14</v>
      </c>
      <c r="P473" s="1461" t="str">
        <f t="shared" si="483"/>
        <v>3Q14</v>
      </c>
      <c r="Q473" s="1461" t="str">
        <f t="shared" si="483"/>
        <v>4Q14</v>
      </c>
      <c r="R473" s="2467">
        <f t="shared" si="483"/>
        <v>2014</v>
      </c>
      <c r="S473" s="1461" t="str">
        <f t="shared" si="483"/>
        <v>1Q15</v>
      </c>
      <c r="T473" s="1461" t="str">
        <f t="shared" si="483"/>
        <v>2Q15</v>
      </c>
      <c r="U473" s="1461" t="str">
        <f t="shared" si="483"/>
        <v>3Q15</v>
      </c>
      <c r="V473" s="1461" t="str">
        <f t="shared" si="483"/>
        <v>4Q15</v>
      </c>
      <c r="W473" s="2467">
        <f t="shared" si="483"/>
        <v>2015</v>
      </c>
      <c r="X473" s="1461" t="str">
        <f t="shared" si="483"/>
        <v>1Q16</v>
      </c>
      <c r="Y473" s="1461" t="str">
        <f t="shared" si="483"/>
        <v>2Q16</v>
      </c>
      <c r="Z473" s="1461" t="str">
        <f t="shared" si="483"/>
        <v>3Q16</v>
      </c>
      <c r="AA473" s="1461" t="str">
        <f t="shared" si="483"/>
        <v>4Q16</v>
      </c>
      <c r="AB473" s="2467">
        <f t="shared" si="483"/>
        <v>2016</v>
      </c>
    </row>
    <row r="474" spans="1:40">
      <c r="A474" s="3" t="s">
        <v>599</v>
      </c>
      <c r="B474" s="7">
        <f t="shared" ref="B474:AB474" si="484">B10</f>
        <v>5.2999999999999999E-2</v>
      </c>
      <c r="C474" s="226">
        <f t="shared" si="484"/>
        <v>6.7000000000000004E-2</v>
      </c>
      <c r="D474" s="7">
        <f t="shared" si="484"/>
        <v>7.0000000000000062E-2</v>
      </c>
      <c r="E474" s="7">
        <f t="shared" si="484"/>
        <v>6.899999999999995E-2</v>
      </c>
      <c r="F474" s="7">
        <f t="shared" si="484"/>
        <v>4.8000000000000043E-2</v>
      </c>
      <c r="G474" s="7">
        <f t="shared" si="484"/>
        <v>5.8999999999999941E-2</v>
      </c>
      <c r="H474" s="226">
        <f t="shared" si="484"/>
        <v>6.0999999999999999E-2</v>
      </c>
      <c r="I474" s="7">
        <f t="shared" si="484"/>
        <v>5.5E-2</v>
      </c>
      <c r="J474" s="7">
        <f t="shared" si="484"/>
        <v>5.1999999999999998E-2</v>
      </c>
      <c r="K474" s="7">
        <f t="shared" si="484"/>
        <v>5.1999999999999998E-2</v>
      </c>
      <c r="L474" s="7">
        <f t="shared" si="484"/>
        <v>4.7E-2</v>
      </c>
      <c r="M474" s="226">
        <f t="shared" si="484"/>
        <v>5.1999999999999998E-2</v>
      </c>
      <c r="N474" s="7">
        <f t="shared" si="484"/>
        <v>6.7000000000000004E-2</v>
      </c>
      <c r="O474" s="7">
        <f t="shared" si="484"/>
        <v>7.2999999999999995E-2</v>
      </c>
      <c r="P474" s="7">
        <f t="shared" si="484"/>
        <v>8.7999999999999995E-2</v>
      </c>
      <c r="Q474" s="7">
        <f t="shared" si="484"/>
        <v>6.8000000000000005E-2</v>
      </c>
      <c r="R474" s="226">
        <f t="shared" si="484"/>
        <v>7.3999999999999996E-2</v>
      </c>
      <c r="S474" s="7">
        <f t="shared" si="484"/>
        <v>6.5000000000000002E-2</v>
      </c>
      <c r="T474" s="7">
        <f t="shared" si="484"/>
        <v>0.05</v>
      </c>
      <c r="U474" s="7">
        <f t="shared" si="484"/>
        <v>5.0999999999999997E-2</v>
      </c>
      <c r="V474" s="7">
        <f t="shared" si="484"/>
        <v>3.7999999999999999E-2</v>
      </c>
      <c r="W474" s="226">
        <f t="shared" si="484"/>
        <v>5.1999999999999998E-2</v>
      </c>
      <c r="X474" s="7">
        <f t="shared" si="484"/>
        <v>1.7999999999999999E-2</v>
      </c>
      <c r="Y474" s="7">
        <f t="shared" si="484"/>
        <v>2.9000000000000001E-2</v>
      </c>
      <c r="Z474" s="7">
        <f t="shared" si="484"/>
        <v>1.4999999999999999E-2</v>
      </c>
      <c r="AA474" s="7">
        <f t="shared" si="484"/>
        <v>8.9999999999999993E-3</v>
      </c>
      <c r="AB474" s="226">
        <f t="shared" si="484"/>
        <v>1.9E-2</v>
      </c>
    </row>
    <row r="475" spans="1:40">
      <c r="A475" s="3" t="s">
        <v>600</v>
      </c>
      <c r="B475" s="226">
        <f t="shared" ref="B475:K475" si="485">(B482*B490)+(B483*B491)+(B484*B492)+(B485*B493)</f>
        <v>5.6824140028935995E-2</v>
      </c>
      <c r="C475" s="226">
        <f t="shared" si="485"/>
        <v>7.6605379928728151E-2</v>
      </c>
      <c r="D475" s="7">
        <f t="shared" si="485"/>
        <v>7.3340970912010625E-2</v>
      </c>
      <c r="E475" s="7">
        <f t="shared" si="485"/>
        <v>7.5120262551002681E-2</v>
      </c>
      <c r="F475" s="7">
        <f t="shared" si="485"/>
        <v>5.0455717065940944E-2</v>
      </c>
      <c r="G475" s="7">
        <f t="shared" si="485"/>
        <v>6.6897512865128808E-2</v>
      </c>
      <c r="H475" s="226">
        <f t="shared" si="485"/>
        <v>6.7538370604172282E-2</v>
      </c>
      <c r="I475" s="7">
        <f t="shared" si="485"/>
        <v>5.6439175076467486E-2</v>
      </c>
      <c r="J475" s="7">
        <f t="shared" si="485"/>
        <v>5.2539322774699256E-2</v>
      </c>
      <c r="K475" s="7">
        <f t="shared" si="485"/>
        <v>5.4635488448255325E-2</v>
      </c>
      <c r="L475" s="7">
        <f t="shared" ref="L475:Q475" si="486">(L482*L490)+(L483*L491)+(L484*L492)+(L485*L493)</f>
        <v>5.0326350116310002E-2</v>
      </c>
      <c r="M475" s="226">
        <f t="shared" si="486"/>
        <v>5.1777109273568885E-2</v>
      </c>
      <c r="N475" s="7">
        <f t="shared" si="486"/>
        <v>6.1756090508116819E-2</v>
      </c>
      <c r="O475" s="7">
        <f t="shared" si="486"/>
        <v>7.7601014053730169E-2</v>
      </c>
      <c r="P475" s="7">
        <f t="shared" si="486"/>
        <v>9.4255220053434785E-2</v>
      </c>
      <c r="Q475" s="7">
        <f t="shared" si="486"/>
        <v>0</v>
      </c>
      <c r="R475" s="226">
        <f t="shared" ref="R475:W475" si="487">(R482*R490)+(R483*R491)+(R484*R492)+(R485*R493)</f>
        <v>0</v>
      </c>
      <c r="S475" s="7">
        <f t="shared" si="487"/>
        <v>0</v>
      </c>
      <c r="T475" s="7">
        <f t="shared" si="487"/>
        <v>0</v>
      </c>
      <c r="U475" s="7">
        <f t="shared" si="487"/>
        <v>0</v>
      </c>
      <c r="V475" s="7">
        <f t="shared" si="487"/>
        <v>0</v>
      </c>
      <c r="W475" s="226">
        <f t="shared" si="487"/>
        <v>0</v>
      </c>
      <c r="X475" s="7">
        <f>(X482*X490)+(X483*X491)+(X484*X492)+(X485*X493)</f>
        <v>0</v>
      </c>
      <c r="Y475" s="7">
        <f>(Y482*Y490)+(Y483*Y491)+(Y484*Y492)+(Y485*Y493)</f>
        <v>0</v>
      </c>
      <c r="Z475" s="7">
        <f>(Z482*Z490)+(Z483*Z491)+(Z484*Z492)+(Z485*Z493)</f>
        <v>0</v>
      </c>
      <c r="AA475" s="7">
        <f>(AA482*AA490)+(AA483*AA491)+(AA484*AA492)+(AA485*AA493)</f>
        <v>0</v>
      </c>
      <c r="AB475" s="226">
        <f>(AB482*AB490)+(AB483*AB491)+(AB484*AB492)+(AB485*AB493)</f>
        <v>0</v>
      </c>
    </row>
    <row r="476" spans="1:40">
      <c r="A476" s="3" t="s">
        <v>1621</v>
      </c>
      <c r="B476" s="786">
        <f>B474-B475</f>
        <v>-3.8241400289359961E-3</v>
      </c>
      <c r="C476" s="226">
        <f t="shared" ref="C476:K476" si="488">C474-C475</f>
        <v>-9.6053799287281472E-3</v>
      </c>
      <c r="D476" s="128">
        <f t="shared" si="488"/>
        <v>-3.340970912010563E-3</v>
      </c>
      <c r="E476" s="128">
        <f t="shared" si="488"/>
        <v>-6.1202625510027309E-3</v>
      </c>
      <c r="F476" s="128">
        <f t="shared" si="488"/>
        <v>-2.4557170659409017E-3</v>
      </c>
      <c r="G476" s="786">
        <f t="shared" si="488"/>
        <v>-7.8975128651288667E-3</v>
      </c>
      <c r="H476" s="226">
        <f t="shared" si="488"/>
        <v>-6.5383706041722833E-3</v>
      </c>
      <c r="I476" s="128">
        <f t="shared" si="488"/>
        <v>-1.439175076467486E-3</v>
      </c>
      <c r="J476" s="128">
        <f t="shared" si="488"/>
        <v>-5.3932277469925793E-4</v>
      </c>
      <c r="K476" s="128">
        <f t="shared" si="488"/>
        <v>-2.635488448255327E-3</v>
      </c>
      <c r="L476" s="786">
        <f t="shared" ref="L476:Q476" si="489">L474-L475</f>
        <v>-3.326350116310002E-3</v>
      </c>
      <c r="M476" s="226">
        <f t="shared" si="489"/>
        <v>2.2289072643111307E-4</v>
      </c>
      <c r="N476" s="128">
        <f t="shared" si="489"/>
        <v>5.2439094918831849E-3</v>
      </c>
      <c r="O476" s="128">
        <f t="shared" si="489"/>
        <v>-4.6010140537301736E-3</v>
      </c>
      <c r="P476" s="128">
        <f t="shared" si="489"/>
        <v>-6.2552200534347902E-3</v>
      </c>
      <c r="Q476" s="128">
        <f t="shared" si="489"/>
        <v>6.8000000000000005E-2</v>
      </c>
      <c r="R476" s="226">
        <f t="shared" ref="R476:W476" si="490">R474-R475</f>
        <v>7.3999999999999996E-2</v>
      </c>
      <c r="S476" s="128">
        <f t="shared" si="490"/>
        <v>6.5000000000000002E-2</v>
      </c>
      <c r="T476" s="128">
        <f t="shared" si="490"/>
        <v>0.05</v>
      </c>
      <c r="U476" s="128">
        <f t="shared" si="490"/>
        <v>5.0999999999999997E-2</v>
      </c>
      <c r="V476" s="128">
        <f t="shared" si="490"/>
        <v>3.7999999999999999E-2</v>
      </c>
      <c r="W476" s="226">
        <f t="shared" si="490"/>
        <v>5.1999999999999998E-2</v>
      </c>
      <c r="X476" s="128">
        <f>X474-X475</f>
        <v>1.7999999999999999E-2</v>
      </c>
      <c r="Y476" s="128">
        <f>Y474-Y475</f>
        <v>2.9000000000000001E-2</v>
      </c>
      <c r="Z476" s="128">
        <f>Z474-Z475</f>
        <v>1.4999999999999999E-2</v>
      </c>
      <c r="AA476" s="128">
        <f>AA474-AA475</f>
        <v>8.9999999999999993E-3</v>
      </c>
      <c r="AB476" s="226">
        <f>AB474-AB475</f>
        <v>1.9E-2</v>
      </c>
    </row>
    <row r="477" spans="1:40">
      <c r="B477" s="128"/>
      <c r="C477" s="226"/>
      <c r="D477" s="128"/>
      <c r="E477" s="128"/>
      <c r="F477" s="128"/>
      <c r="G477" s="128"/>
      <c r="H477" s="226"/>
      <c r="I477" s="128"/>
      <c r="J477" s="128"/>
      <c r="K477" s="128"/>
      <c r="L477" s="128"/>
      <c r="M477" s="226"/>
      <c r="R477" s="226"/>
      <c r="S477" s="3"/>
      <c r="T477" s="3"/>
      <c r="U477" s="3"/>
      <c r="V477" s="3"/>
      <c r="W477" s="226"/>
      <c r="X477" s="3"/>
      <c r="Y477" s="3"/>
      <c r="Z477" s="3"/>
      <c r="AA477" s="3"/>
      <c r="AB477" s="226"/>
    </row>
    <row r="478" spans="1:40">
      <c r="A478" s="122" t="s">
        <v>754</v>
      </c>
      <c r="B478" s="579">
        <f t="shared" ref="B478:AB478" si="491">B304</f>
        <v>5.2999999999999999E-2</v>
      </c>
      <c r="C478" s="444">
        <f t="shared" si="491"/>
        <v>6.7000000000000004E-2</v>
      </c>
      <c r="D478" s="434">
        <f t="shared" si="491"/>
        <v>7.0000000000000062E-2</v>
      </c>
      <c r="E478" s="434">
        <f t="shared" si="491"/>
        <v>6.899999999999995E-2</v>
      </c>
      <c r="F478" s="434">
        <f t="shared" si="491"/>
        <v>4.8000000000000043E-2</v>
      </c>
      <c r="G478" s="579">
        <f t="shared" si="491"/>
        <v>5.8999999999999941E-2</v>
      </c>
      <c r="H478" s="444">
        <f t="shared" si="491"/>
        <v>6.0999999999999999E-2</v>
      </c>
      <c r="I478" s="434">
        <f t="shared" si="491"/>
        <v>5.5E-2</v>
      </c>
      <c r="J478" s="434">
        <f t="shared" si="491"/>
        <v>5.1999999999999998E-2</v>
      </c>
      <c r="K478" s="434">
        <f t="shared" si="491"/>
        <v>5.1999999999999998E-2</v>
      </c>
      <c r="L478" s="579">
        <f t="shared" si="491"/>
        <v>4.7E-2</v>
      </c>
      <c r="M478" s="444">
        <f t="shared" si="491"/>
        <v>5.1999999999999998E-2</v>
      </c>
      <c r="N478" s="434">
        <f t="shared" si="491"/>
        <v>6.7000000000000004E-2</v>
      </c>
      <c r="O478" s="434">
        <f t="shared" si="491"/>
        <v>7.2999999999999995E-2</v>
      </c>
      <c r="P478" s="434">
        <f t="shared" si="491"/>
        <v>8.7999999999999995E-2</v>
      </c>
      <c r="Q478" s="434">
        <f t="shared" si="491"/>
        <v>6.8000000000000005E-2</v>
      </c>
      <c r="R478" s="444">
        <f t="shared" si="491"/>
        <v>7.3999999999999996E-2</v>
      </c>
      <c r="S478" s="434">
        <f t="shared" si="491"/>
        <v>6.5000000000000002E-2</v>
      </c>
      <c r="T478" s="434">
        <f t="shared" si="491"/>
        <v>0.05</v>
      </c>
      <c r="U478" s="434">
        <f t="shared" si="491"/>
        <v>5.0999999999999997E-2</v>
      </c>
      <c r="V478" s="434">
        <f t="shared" si="491"/>
        <v>3.7999999999999999E-2</v>
      </c>
      <c r="W478" s="444">
        <f t="shared" si="491"/>
        <v>5.1999999999999998E-2</v>
      </c>
      <c r="X478" s="434">
        <f t="shared" si="491"/>
        <v>1.7999999999999999E-2</v>
      </c>
      <c r="Y478" s="434">
        <f t="shared" si="491"/>
        <v>2.9000000000000001E-2</v>
      </c>
      <c r="Z478" s="434">
        <f t="shared" si="491"/>
        <v>1.4999999999999999E-2</v>
      </c>
      <c r="AA478" s="434">
        <f t="shared" si="491"/>
        <v>8.9999999999999993E-3</v>
      </c>
      <c r="AB478" s="444">
        <f t="shared" si="491"/>
        <v>1.7749999999999998E-2</v>
      </c>
    </row>
    <row r="479" spans="1:40">
      <c r="A479" s="122"/>
      <c r="B479" s="579">
        <f t="shared" ref="B479:J479" si="492">B478-B475</f>
        <v>-3.8241400289359961E-3</v>
      </c>
      <c r="C479" s="444">
        <f t="shared" si="492"/>
        <v>-9.6053799287281472E-3</v>
      </c>
      <c r="D479" s="434">
        <f t="shared" si="492"/>
        <v>-3.340970912010563E-3</v>
      </c>
      <c r="E479" s="434">
        <f t="shared" si="492"/>
        <v>-6.1202625510027309E-3</v>
      </c>
      <c r="F479" s="434">
        <f t="shared" si="492"/>
        <v>-2.4557170659409017E-3</v>
      </c>
      <c r="G479" s="579">
        <f t="shared" si="492"/>
        <v>-7.8975128651288667E-3</v>
      </c>
      <c r="H479" s="444">
        <f t="shared" si="492"/>
        <v>-6.5383706041722833E-3</v>
      </c>
      <c r="I479" s="434">
        <f t="shared" si="492"/>
        <v>-1.439175076467486E-3</v>
      </c>
      <c r="J479" s="434">
        <f t="shared" si="492"/>
        <v>-5.3932277469925793E-4</v>
      </c>
      <c r="K479" s="434">
        <f t="shared" ref="K479:P479" si="493">K478-K475</f>
        <v>-2.635488448255327E-3</v>
      </c>
      <c r="L479" s="579">
        <f t="shared" si="493"/>
        <v>-3.326350116310002E-3</v>
      </c>
      <c r="M479" s="444">
        <f t="shared" si="493"/>
        <v>2.2289072643111307E-4</v>
      </c>
      <c r="N479" s="434">
        <f t="shared" si="493"/>
        <v>5.2439094918831849E-3</v>
      </c>
      <c r="O479" s="434">
        <f t="shared" si="493"/>
        <v>-4.6010140537301736E-3</v>
      </c>
      <c r="P479" s="434">
        <f t="shared" si="493"/>
        <v>-6.2552200534347902E-3</v>
      </c>
      <c r="Q479" s="434">
        <f t="shared" ref="Q479:W479" si="494">Q478-Q475</f>
        <v>6.8000000000000005E-2</v>
      </c>
      <c r="R479" s="444">
        <f t="shared" si="494"/>
        <v>7.3999999999999996E-2</v>
      </c>
      <c r="S479" s="434">
        <f t="shared" si="494"/>
        <v>6.5000000000000002E-2</v>
      </c>
      <c r="T479" s="434">
        <f t="shared" si="494"/>
        <v>0.05</v>
      </c>
      <c r="U479" s="434">
        <f t="shared" si="494"/>
        <v>5.0999999999999997E-2</v>
      </c>
      <c r="V479" s="434">
        <f t="shared" si="494"/>
        <v>3.7999999999999999E-2</v>
      </c>
      <c r="W479" s="444">
        <f t="shared" si="494"/>
        <v>5.1999999999999998E-2</v>
      </c>
      <c r="X479" s="434">
        <f>X478-X475</f>
        <v>1.7999999999999999E-2</v>
      </c>
      <c r="Y479" s="434">
        <f>Y478-Y475</f>
        <v>2.9000000000000001E-2</v>
      </c>
      <c r="Z479" s="434">
        <f>Z478-Z475</f>
        <v>1.4999999999999999E-2</v>
      </c>
      <c r="AA479" s="434">
        <f>AA478-AA475</f>
        <v>8.9999999999999993E-3</v>
      </c>
      <c r="AB479" s="444">
        <f>AB478-AB475</f>
        <v>1.7749999999999998E-2</v>
      </c>
    </row>
    <row r="480" spans="1:40">
      <c r="A480" s="122"/>
      <c r="B480" s="471"/>
      <c r="C480" s="444"/>
      <c r="D480" s="434"/>
      <c r="E480" s="434"/>
      <c r="F480" s="434"/>
      <c r="G480" s="471"/>
      <c r="H480" s="444"/>
      <c r="I480" s="434"/>
      <c r="J480" s="434"/>
      <c r="K480" s="434"/>
      <c r="L480" s="471"/>
      <c r="M480" s="444"/>
      <c r="R480" s="444"/>
      <c r="S480" s="3"/>
      <c r="T480" s="3"/>
      <c r="U480" s="3"/>
      <c r="V480" s="3"/>
      <c r="W480" s="444"/>
      <c r="X480" s="3"/>
      <c r="Y480" s="3"/>
      <c r="Z480" s="3"/>
      <c r="AA480" s="3"/>
      <c r="AB480" s="444"/>
    </row>
    <row r="481" spans="1:37">
      <c r="A481" s="2" t="s">
        <v>602</v>
      </c>
      <c r="C481" s="208"/>
      <c r="H481" s="208"/>
      <c r="M481" s="208"/>
      <c r="R481" s="208"/>
      <c r="S481" s="3"/>
      <c r="T481" s="3"/>
      <c r="U481" s="3"/>
      <c r="V481" s="3"/>
      <c r="W481" s="208"/>
      <c r="X481" s="3"/>
      <c r="Y481" s="3"/>
      <c r="Z481" s="3"/>
      <c r="AA481" s="3"/>
      <c r="AB481" s="208"/>
    </row>
    <row r="482" spans="1:37">
      <c r="A482" s="3" t="s">
        <v>1270</v>
      </c>
      <c r="B482" s="121">
        <f>'QTR Rooms'!B935</f>
        <v>2.5483604809013509E-2</v>
      </c>
      <c r="C482" s="245">
        <f>'QTR Rooms'!C935</f>
        <v>2.4005868985403921E-2</v>
      </c>
      <c r="D482" s="121">
        <f>'QTR Rooms'!D935</f>
        <v>2.5276223388234549E-2</v>
      </c>
      <c r="E482" s="121">
        <f>'QTR Rooms'!E935</f>
        <v>2.6074916467855449E-2</v>
      </c>
      <c r="F482" s="121">
        <f>'QTR Rooms'!F935</f>
        <v>2.6424706005600786E-2</v>
      </c>
      <c r="G482" s="121">
        <f>'QTR Rooms'!G935</f>
        <v>2.6882086237930588E-2</v>
      </c>
      <c r="H482" s="245">
        <f>'QTR Rooms'!H935</f>
        <v>2.6882086237930588E-2</v>
      </c>
      <c r="I482" s="121">
        <f>'QTR Rooms'!I935</f>
        <v>2.7300756682389939E-2</v>
      </c>
      <c r="J482" s="121">
        <f>'QTR Rooms'!J935</f>
        <v>2.7128778651312146E-2</v>
      </c>
      <c r="K482" s="121">
        <f>'QTR Rooms'!K935</f>
        <v>2.7364985680413269E-2</v>
      </c>
      <c r="L482" s="121">
        <f>'QTR Rooms'!L935</f>
        <v>2.7386498393799575E-2</v>
      </c>
      <c r="M482" s="245">
        <f>'QTR Rooms'!M935</f>
        <v>2.7386498393799575E-2</v>
      </c>
      <c r="N482" s="121">
        <f>'QTR Rooms'!N935</f>
        <v>2.7427633774776985E-2</v>
      </c>
      <c r="O482" s="121">
        <f>'QTR Rooms'!O935</f>
        <v>2.7555869864468834E-2</v>
      </c>
      <c r="P482" s="121">
        <f>'QTR Rooms'!P935</f>
        <v>2.6842706636006197E-2</v>
      </c>
      <c r="Q482" s="121">
        <f>'QTR Rooms'!Q935</f>
        <v>2.6464558613406224E-2</v>
      </c>
      <c r="R482" s="245">
        <f>'QTR Rooms'!R935</f>
        <v>2.6464558613406224E-2</v>
      </c>
      <c r="S482" s="121">
        <f>'QTR Rooms'!S935</f>
        <v>2.612612991204441E-2</v>
      </c>
      <c r="T482" s="121">
        <f>'QTR Rooms'!T935</f>
        <v>2.5428206079650399E-2</v>
      </c>
      <c r="U482" s="121">
        <f>'QTR Rooms'!U935</f>
        <v>2.4558151132504518E-2</v>
      </c>
      <c r="V482" s="121">
        <f>'QTR Rooms'!V935</f>
        <v>2.4074000133093763E-2</v>
      </c>
      <c r="W482" s="245">
        <f>'QTR Rooms'!W935</f>
        <v>2.4074000133093763E-2</v>
      </c>
      <c r="X482" s="121">
        <f>'QTR Rooms'!X935</f>
        <v>2.4308572303808298E-2</v>
      </c>
      <c r="Y482" s="121">
        <f>'QTR Rooms'!Y935</f>
        <v>2.4884766232633578E-2</v>
      </c>
      <c r="Z482" s="121">
        <f>'QTR Rooms'!Z935</f>
        <v>2.4917058335637267E-2</v>
      </c>
      <c r="AA482" s="121">
        <f>'QTR Rooms'!AA935</f>
        <v>2.4810128489768036E-2</v>
      </c>
      <c r="AB482" s="245">
        <f>'QTR Rooms'!AB935</f>
        <v>2.4810128489768036E-2</v>
      </c>
    </row>
    <row r="483" spans="1:37">
      <c r="A483" s="3" t="s">
        <v>1693</v>
      </c>
      <c r="B483" s="121">
        <f>'QTR Rooms'!B936</f>
        <v>0.40232580057905259</v>
      </c>
      <c r="C483" s="245">
        <f>'QTR Rooms'!C936</f>
        <v>0.39309789493115721</v>
      </c>
      <c r="D483" s="121">
        <f>'QTR Rooms'!D936</f>
        <v>0.3880728563955424</v>
      </c>
      <c r="E483" s="121">
        <f>'QTR Rooms'!E936</f>
        <v>0.38564975906909199</v>
      </c>
      <c r="F483" s="121">
        <f>'QTR Rooms'!F936</f>
        <v>0.38300031428200632</v>
      </c>
      <c r="G483" s="121">
        <f>'QTR Rooms'!G936</f>
        <v>0.37829144733993531</v>
      </c>
      <c r="H483" s="245">
        <f>'QTR Rooms'!H936</f>
        <v>0.37829144733993531</v>
      </c>
      <c r="I483" s="121">
        <f>'QTR Rooms'!I936</f>
        <v>0.37536851415094341</v>
      </c>
      <c r="J483" s="121">
        <f>'QTR Rooms'!J936</f>
        <v>0.37301653513089617</v>
      </c>
      <c r="K483" s="121">
        <f>'QTR Rooms'!K936</f>
        <v>0.37180138297456733</v>
      </c>
      <c r="L483" s="121">
        <f>'QTR Rooms'!L936</f>
        <v>0.36905709562658184</v>
      </c>
      <c r="M483" s="245">
        <f>'QTR Rooms'!M936</f>
        <v>0.36905709562658184</v>
      </c>
      <c r="N483" s="121">
        <f>'QTR Rooms'!N936</f>
        <v>0.36850865365812058</v>
      </c>
      <c r="O483" s="121">
        <f>'QTR Rooms'!O936</f>
        <v>0.36403520259828703</v>
      </c>
      <c r="P483" s="121">
        <f>'QTR Rooms'!P936</f>
        <v>0.36304162931950368</v>
      </c>
      <c r="Q483" s="121">
        <f>'QTR Rooms'!Q936</f>
        <v>0.36194914919211374</v>
      </c>
      <c r="R483" s="245">
        <f>'QTR Rooms'!R936</f>
        <v>0.36194914919211374</v>
      </c>
      <c r="S483" s="121">
        <f>'QTR Rooms'!S936</f>
        <v>0.36038258370069043</v>
      </c>
      <c r="T483" s="121">
        <f>'QTR Rooms'!T936</f>
        <v>0.3565438937957881</v>
      </c>
      <c r="U483" s="121">
        <f>'QTR Rooms'!U936</f>
        <v>0.35439789029192786</v>
      </c>
      <c r="V483" s="121">
        <f>'QTR Rooms'!V936</f>
        <v>0.35219671258401541</v>
      </c>
      <c r="W483" s="245">
        <f>'QTR Rooms'!W936</f>
        <v>0.35219671258401541</v>
      </c>
      <c r="X483" s="121">
        <f>'QTR Rooms'!X936</f>
        <v>0.35079210823058415</v>
      </c>
      <c r="Y483" s="121">
        <f>'QTR Rooms'!Y936</f>
        <v>0.34719566374780175</v>
      </c>
      <c r="Z483" s="121">
        <f>'QTR Rooms'!Z936</f>
        <v>0.3445650170491199</v>
      </c>
      <c r="AA483" s="121">
        <f>'QTR Rooms'!AA936</f>
        <v>0.33980093629760599</v>
      </c>
      <c r="AB483" s="245">
        <f>'QTR Rooms'!AB936</f>
        <v>0.33980093629760599</v>
      </c>
    </row>
    <row r="484" spans="1:37">
      <c r="A484" s="3" t="s">
        <v>1271</v>
      </c>
      <c r="B484" s="121">
        <f>'QTR Rooms'!B937</f>
        <v>0.27393387027700938</v>
      </c>
      <c r="C484" s="245">
        <f>'QTR Rooms'!C937</f>
        <v>0.28457418028351911</v>
      </c>
      <c r="D484" s="121">
        <f>'QTR Rooms'!D937</f>
        <v>0.29081368990060713</v>
      </c>
      <c r="E484" s="121">
        <f>'QTR Rooms'!E937</f>
        <v>0.29186272753276066</v>
      </c>
      <c r="F484" s="121">
        <f>'QTR Rooms'!F937</f>
        <v>0.29442282344074688</v>
      </c>
      <c r="G484" s="121">
        <f>'QTR Rooms'!G937</f>
        <v>0.29921166086262674</v>
      </c>
      <c r="H484" s="245">
        <f>'QTR Rooms'!H937</f>
        <v>0.29921166086262674</v>
      </c>
      <c r="I484" s="121">
        <f>'QTR Rooms'!I937</f>
        <v>0.30479037686713839</v>
      </c>
      <c r="J484" s="121">
        <f>'QTR Rooms'!J937</f>
        <v>0.30783617463743607</v>
      </c>
      <c r="K484" s="121">
        <f>'QTR Rooms'!K937</f>
        <v>0.30920240052169573</v>
      </c>
      <c r="L484" s="121">
        <f>'QTR Rooms'!L937</f>
        <v>0.31202991297205851</v>
      </c>
      <c r="M484" s="245">
        <f>'QTR Rooms'!M937</f>
        <v>0.31202991297205851</v>
      </c>
      <c r="N484" s="121">
        <f>'QTR Rooms'!N937</f>
        <v>0.31400626656884034</v>
      </c>
      <c r="O484" s="121">
        <f>'QTR Rooms'!O937</f>
        <v>0.31716097563814893</v>
      </c>
      <c r="P484" s="121">
        <f>'QTR Rooms'!P937</f>
        <v>0.31792864281602862</v>
      </c>
      <c r="Q484" s="121">
        <f>'QTR Rooms'!Q937</f>
        <v>0.32054250650883565</v>
      </c>
      <c r="R484" s="245">
        <f>'QTR Rooms'!R937</f>
        <v>0.32054250650883565</v>
      </c>
      <c r="S484" s="121">
        <f>'QTR Rooms'!S937</f>
        <v>0.32173899644619636</v>
      </c>
      <c r="T484" s="121">
        <f>'QTR Rooms'!T937</f>
        <v>0.32431653247220815</v>
      </c>
      <c r="U484" s="121">
        <f>'QTR Rooms'!U937</f>
        <v>0.32733269911996121</v>
      </c>
      <c r="V484" s="121">
        <f>'QTR Rooms'!V937</f>
        <v>0.33034404738138018</v>
      </c>
      <c r="W484" s="245">
        <f>'QTR Rooms'!W937</f>
        <v>0.33034404738138018</v>
      </c>
      <c r="X484" s="121">
        <f>'QTR Rooms'!X937</f>
        <v>0.33154199005474383</v>
      </c>
      <c r="Y484" s="121">
        <f>'QTR Rooms'!Y937</f>
        <v>0.33323613907977001</v>
      </c>
      <c r="Z484" s="121">
        <f>'QTR Rooms'!Z937</f>
        <v>0.33392339671714844</v>
      </c>
      <c r="AA484" s="121">
        <f>'QTR Rooms'!AA937</f>
        <v>0.33602862137209794</v>
      </c>
      <c r="AB484" s="245">
        <f>'QTR Rooms'!AB937</f>
        <v>0.33602862137209794</v>
      </c>
    </row>
    <row r="485" spans="1:37">
      <c r="A485" s="3" t="s">
        <v>1871</v>
      </c>
      <c r="B485" s="121">
        <f>'QTR Rooms'!B938</f>
        <v>0.29825672433492456</v>
      </c>
      <c r="C485" s="245">
        <f>'QTR Rooms'!C938</f>
        <v>0.29832205579991977</v>
      </c>
      <c r="D485" s="121">
        <f>'QTR Rooms'!D938</f>
        <v>0.29583723031561593</v>
      </c>
      <c r="E485" s="121">
        <f>'QTR Rooms'!E938</f>
        <v>0.29641259693029193</v>
      </c>
      <c r="F485" s="121">
        <f>'QTR Rooms'!F938</f>
        <v>0.29615215627164598</v>
      </c>
      <c r="G485" s="121">
        <f>'QTR Rooms'!G938</f>
        <v>0.29561480555950737</v>
      </c>
      <c r="H485" s="245">
        <f>'QTR Rooms'!H938</f>
        <v>0.29561480555950737</v>
      </c>
      <c r="I485" s="121">
        <f>'QTR Rooms'!I938</f>
        <v>0.29254035229952829</v>
      </c>
      <c r="J485" s="121">
        <f>'QTR Rooms'!J938</f>
        <v>0.29201851158035563</v>
      </c>
      <c r="K485" s="121">
        <f>'QTR Rooms'!K938</f>
        <v>0.29163123082332365</v>
      </c>
      <c r="L485" s="121">
        <f>'QTR Rooms'!L938</f>
        <v>0.29152649300756006</v>
      </c>
      <c r="M485" s="245">
        <f>'QTR Rooms'!M938</f>
        <v>0.29152649300756006</v>
      </c>
      <c r="N485" s="121">
        <f>'QTR Rooms'!N938</f>
        <v>0.29005744599826205</v>
      </c>
      <c r="O485" s="121">
        <f>'QTR Rooms'!O938</f>
        <v>0.29124795189909519</v>
      </c>
      <c r="P485" s="121">
        <f>'QTR Rooms'!P938</f>
        <v>0.29218702122846152</v>
      </c>
      <c r="Q485" s="121">
        <f>'QTR Rooms'!Q938</f>
        <v>0.29104378568564443</v>
      </c>
      <c r="R485" s="245">
        <f>'QTR Rooms'!R938</f>
        <v>0.29104378568564443</v>
      </c>
      <c r="S485" s="121">
        <f>'QTR Rooms'!S938</f>
        <v>0.29175228994106878</v>
      </c>
      <c r="T485" s="121">
        <f>'QTR Rooms'!T938</f>
        <v>0.29371136765235334</v>
      </c>
      <c r="U485" s="121">
        <f>'QTR Rooms'!U938</f>
        <v>0.29371125945560644</v>
      </c>
      <c r="V485" s="121">
        <f>'QTR Rooms'!V938</f>
        <v>0.29338523990151061</v>
      </c>
      <c r="W485" s="245">
        <f>'QTR Rooms'!W938</f>
        <v>0.29338523990151061</v>
      </c>
      <c r="X485" s="121">
        <f>'QTR Rooms'!X938</f>
        <v>0.29335732941086373</v>
      </c>
      <c r="Y485" s="121">
        <f>'QTR Rooms'!Y938</f>
        <v>0.29468343093979465</v>
      </c>
      <c r="Z485" s="121">
        <f>'QTR Rooms'!Z938</f>
        <v>0.29659452789809437</v>
      </c>
      <c r="AA485" s="121">
        <f>'QTR Rooms'!AA938</f>
        <v>0.29936031384052803</v>
      </c>
      <c r="AB485" s="245">
        <f>'QTR Rooms'!AB938</f>
        <v>0.29936031384052803</v>
      </c>
    </row>
    <row r="486" spans="1:37" ht="4.5" customHeight="1">
      <c r="A486" s="120" t="s">
        <v>1873</v>
      </c>
      <c r="B486" s="123" t="s">
        <v>601</v>
      </c>
      <c r="C486" s="818" t="s">
        <v>601</v>
      </c>
      <c r="D486" s="123" t="s">
        <v>601</v>
      </c>
      <c r="E486" s="123" t="s">
        <v>601</v>
      </c>
      <c r="F486" s="123" t="s">
        <v>601</v>
      </c>
      <c r="G486" s="123" t="s">
        <v>601</v>
      </c>
      <c r="H486" s="818" t="s">
        <v>601</v>
      </c>
      <c r="I486" s="123" t="s">
        <v>601</v>
      </c>
      <c r="J486" s="123" t="s">
        <v>601</v>
      </c>
      <c r="K486" s="123" t="s">
        <v>601</v>
      </c>
      <c r="L486" s="123" t="s">
        <v>601</v>
      </c>
      <c r="M486" s="818" t="s">
        <v>601</v>
      </c>
      <c r="N486" s="123" t="s">
        <v>601</v>
      </c>
      <c r="O486" s="123" t="s">
        <v>601</v>
      </c>
      <c r="P486" s="123" t="s">
        <v>601</v>
      </c>
      <c r="Q486" s="123" t="s">
        <v>601</v>
      </c>
      <c r="R486" s="818" t="s">
        <v>601</v>
      </c>
      <c r="S486" s="123" t="s">
        <v>601</v>
      </c>
      <c r="T486" s="123" t="s">
        <v>601</v>
      </c>
      <c r="U486" s="123" t="s">
        <v>601</v>
      </c>
      <c r="V486" s="123" t="s">
        <v>601</v>
      </c>
      <c r="W486" s="818" t="s">
        <v>601</v>
      </c>
      <c r="X486" s="123" t="s">
        <v>601</v>
      </c>
      <c r="Y486" s="123" t="s">
        <v>601</v>
      </c>
      <c r="Z486" s="123" t="s">
        <v>601</v>
      </c>
      <c r="AA486" s="123" t="s">
        <v>601</v>
      </c>
      <c r="AB486" s="818" t="s">
        <v>601</v>
      </c>
    </row>
    <row r="487" spans="1:37">
      <c r="A487" s="3" t="s">
        <v>1687</v>
      </c>
      <c r="B487" s="121">
        <f>SUM(B482:B486)</f>
        <v>1</v>
      </c>
      <c r="C487" s="245">
        <f t="shared" ref="C487:K487" si="495">SUM(C482:C486)</f>
        <v>1</v>
      </c>
      <c r="D487" s="121">
        <f t="shared" si="495"/>
        <v>1</v>
      </c>
      <c r="E487" s="121">
        <f t="shared" si="495"/>
        <v>1</v>
      </c>
      <c r="F487" s="121">
        <f t="shared" si="495"/>
        <v>1</v>
      </c>
      <c r="G487" s="121">
        <f t="shared" si="495"/>
        <v>1</v>
      </c>
      <c r="H487" s="245">
        <f t="shared" si="495"/>
        <v>1</v>
      </c>
      <c r="I487" s="121">
        <f t="shared" si="495"/>
        <v>1</v>
      </c>
      <c r="J487" s="121">
        <f t="shared" si="495"/>
        <v>1</v>
      </c>
      <c r="K487" s="121">
        <f t="shared" si="495"/>
        <v>1</v>
      </c>
      <c r="L487" s="121">
        <f t="shared" ref="L487:Q487" si="496">SUM(L482:L486)</f>
        <v>1</v>
      </c>
      <c r="M487" s="245">
        <f t="shared" si="496"/>
        <v>1</v>
      </c>
      <c r="N487" s="121">
        <f t="shared" si="496"/>
        <v>1</v>
      </c>
      <c r="O487" s="121">
        <f t="shared" si="496"/>
        <v>1</v>
      </c>
      <c r="P487" s="121">
        <f t="shared" si="496"/>
        <v>1</v>
      </c>
      <c r="Q487" s="121">
        <f t="shared" si="496"/>
        <v>1</v>
      </c>
      <c r="R487" s="245">
        <f t="shared" ref="R487:W487" si="497">SUM(R482:R486)</f>
        <v>1</v>
      </c>
      <c r="S487" s="121">
        <f t="shared" si="497"/>
        <v>1</v>
      </c>
      <c r="T487" s="121">
        <f t="shared" si="497"/>
        <v>1</v>
      </c>
      <c r="U487" s="121">
        <f t="shared" si="497"/>
        <v>1</v>
      </c>
      <c r="V487" s="121">
        <f t="shared" si="497"/>
        <v>1</v>
      </c>
      <c r="W487" s="245">
        <f t="shared" si="497"/>
        <v>1</v>
      </c>
      <c r="X487" s="121">
        <f>SUM(X482:X486)</f>
        <v>1</v>
      </c>
      <c r="Y487" s="121">
        <f>SUM(Y482:Y486)</f>
        <v>1</v>
      </c>
      <c r="Z487" s="121">
        <f>SUM(Z482:Z486)</f>
        <v>1</v>
      </c>
      <c r="AA487" s="121">
        <f>SUM(AA482:AA486)</f>
        <v>1</v>
      </c>
      <c r="AB487" s="245">
        <f>SUM(AB482:AB486)</f>
        <v>1</v>
      </c>
    </row>
    <row r="488" spans="1:37">
      <c r="B488" s="121"/>
      <c r="C488" s="245"/>
      <c r="D488" s="121"/>
      <c r="E488" s="121"/>
      <c r="F488" s="121"/>
      <c r="G488" s="121"/>
      <c r="H488" s="245"/>
      <c r="I488" s="121"/>
      <c r="J488" s="121"/>
      <c r="K488" s="121"/>
      <c r="L488" s="121"/>
      <c r="M488" s="245"/>
    </row>
    <row r="489" spans="1:37" s="130" customFormat="1">
      <c r="A489" s="141" t="s">
        <v>603</v>
      </c>
      <c r="C489" s="138"/>
      <c r="H489" s="138"/>
      <c r="M489" s="138"/>
      <c r="S489" s="135"/>
      <c r="T489" s="135"/>
      <c r="U489" s="135"/>
      <c r="V489" s="135"/>
      <c r="X489" s="135"/>
      <c r="Y489" s="135"/>
      <c r="Z489" s="135"/>
      <c r="AA489" s="135"/>
      <c r="AC489" s="135"/>
      <c r="AD489" s="135"/>
      <c r="AE489" s="135"/>
      <c r="AF489" s="135"/>
      <c r="AH489" s="135"/>
      <c r="AI489" s="135"/>
      <c r="AJ489" s="135"/>
      <c r="AK489" s="135"/>
    </row>
    <row r="490" spans="1:37" s="130" customFormat="1">
      <c r="A490" s="130" t="s">
        <v>1270</v>
      </c>
      <c r="B490" s="556">
        <v>0.10416671921510481</v>
      </c>
      <c r="C490" s="556">
        <v>0.11153476810264844</v>
      </c>
      <c r="D490" s="2027">
        <v>0.10669272740718871</v>
      </c>
      <c r="E490" s="2027">
        <v>0.1129978458178873</v>
      </c>
      <c r="F490" s="2027">
        <v>6.4291985176015087E-2</v>
      </c>
      <c r="G490" s="2027">
        <v>9.7651789162014113E-2</v>
      </c>
      <c r="H490" s="556">
        <v>7.6784276747424593E-2</v>
      </c>
      <c r="I490" s="2027">
        <v>0.10421706600251279</v>
      </c>
      <c r="J490" s="2027">
        <v>6.7905936005567158E-2</v>
      </c>
      <c r="K490" s="2027">
        <v>8.5382837407368406E-2</v>
      </c>
      <c r="L490" s="2027">
        <v>7.1008732837971822E-2</v>
      </c>
      <c r="M490" s="556">
        <v>7.3604969702975448E-2</v>
      </c>
      <c r="N490" s="2027">
        <v>5.7896389683198039E-2</v>
      </c>
      <c r="O490" s="2027">
        <v>6.0882586343944466E-2</v>
      </c>
      <c r="P490" s="2027">
        <v>8.3194693291266386E-2</v>
      </c>
      <c r="S490" s="135"/>
      <c r="T490" s="135"/>
      <c r="U490" s="135"/>
      <c r="V490" s="135"/>
      <c r="X490" s="135"/>
      <c r="Y490" s="135"/>
      <c r="Z490" s="135"/>
      <c r="AA490" s="135"/>
      <c r="AC490" s="135"/>
      <c r="AD490" s="135"/>
      <c r="AE490" s="135"/>
      <c r="AF490" s="135"/>
      <c r="AH490" s="135"/>
      <c r="AI490" s="135"/>
      <c r="AJ490" s="135"/>
      <c r="AK490" s="135"/>
    </row>
    <row r="491" spans="1:37" s="130" customFormat="1">
      <c r="A491" s="130" t="s">
        <v>1693</v>
      </c>
      <c r="B491" s="556">
        <v>5.8470997542514107E-2</v>
      </c>
      <c r="C491" s="556">
        <v>6.5169004676701767E-2</v>
      </c>
      <c r="D491" s="8">
        <v>7.1669908548946504E-2</v>
      </c>
      <c r="E491" s="8">
        <v>7.6350217940226006E-2</v>
      </c>
      <c r="F491" s="8">
        <v>5.3486162599690523E-2</v>
      </c>
      <c r="G491" s="8">
        <v>7.0866313652733881E-2</v>
      </c>
      <c r="H491" s="556">
        <v>6.6832381770020835E-2</v>
      </c>
      <c r="I491" s="8">
        <v>5.8244611176307082E-2</v>
      </c>
      <c r="J491" s="8">
        <v>5.7968349995310975E-2</v>
      </c>
      <c r="K491" s="8">
        <v>6.4050567835784333E-2</v>
      </c>
      <c r="L491" s="8">
        <v>5.9550874522011243E-2</v>
      </c>
      <c r="M491" s="556">
        <v>5.7562845083527409E-2</v>
      </c>
      <c r="N491" s="8">
        <v>6.7143576032597754E-2</v>
      </c>
      <c r="O491" s="8">
        <v>6.9830263194221559E-2</v>
      </c>
      <c r="P491" s="8">
        <v>9.29260192952686E-2</v>
      </c>
      <c r="S491" s="135"/>
      <c r="T491" s="135"/>
      <c r="U491" s="135"/>
      <c r="V491" s="135"/>
      <c r="X491" s="135"/>
      <c r="Y491" s="135"/>
      <c r="Z491" s="135"/>
      <c r="AA491" s="135"/>
      <c r="AC491" s="135"/>
      <c r="AD491" s="135"/>
      <c r="AE491" s="135"/>
      <c r="AF491" s="135"/>
      <c r="AH491" s="135"/>
      <c r="AI491" s="135"/>
      <c r="AJ491" s="135"/>
      <c r="AK491" s="135"/>
    </row>
    <row r="492" spans="1:37" s="130" customFormat="1">
      <c r="A492" s="130" t="s">
        <v>1271</v>
      </c>
      <c r="B492" s="556">
        <v>6.0874179241961E-2</v>
      </c>
      <c r="C492" s="556">
        <v>8.0565804362256674E-2</v>
      </c>
      <c r="D492" s="8">
        <v>7.0953136593095323E-2</v>
      </c>
      <c r="E492" s="8">
        <v>7.330945112117182E-2</v>
      </c>
      <c r="F492" s="8">
        <v>6.1346702004404507E-2</v>
      </c>
      <c r="G492" s="8">
        <v>6.7766927410167321E-2</v>
      </c>
      <c r="H492" s="556">
        <v>6.7257937070372073E-2</v>
      </c>
      <c r="I492" s="8">
        <v>6.080237971376623E-2</v>
      </c>
      <c r="J492" s="8">
        <v>5.4316669352258318E-2</v>
      </c>
      <c r="K492" s="8">
        <v>5.2526442025496722E-2</v>
      </c>
      <c r="L492" s="8">
        <v>4.6064385870794533E-2</v>
      </c>
      <c r="M492" s="556">
        <v>5.2462809691415452E-2</v>
      </c>
      <c r="N492" s="8">
        <v>6.0083261742188664E-2</v>
      </c>
      <c r="O492" s="8">
        <v>8.5367211780985983E-2</v>
      </c>
      <c r="P492" s="8">
        <v>9.8567807792176068E-2</v>
      </c>
      <c r="S492" s="135"/>
      <c r="T492" s="135"/>
      <c r="U492" s="135"/>
      <c r="V492" s="135"/>
      <c r="X492" s="135"/>
      <c r="Y492" s="135"/>
      <c r="Z492" s="135"/>
      <c r="AA492" s="135"/>
      <c r="AC492" s="135"/>
      <c r="AD492" s="135"/>
      <c r="AE492" s="135"/>
      <c r="AF492" s="135"/>
      <c r="AH492" s="135"/>
      <c r="AI492" s="135"/>
      <c r="AJ492" s="135"/>
      <c r="AK492" s="135"/>
    </row>
    <row r="493" spans="1:37" s="130" customFormat="1">
      <c r="A493" s="130" t="s">
        <v>1871</v>
      </c>
      <c r="B493" s="556">
        <v>4.6837858012163627E-2</v>
      </c>
      <c r="C493" s="556">
        <v>8.5086382707555794E-2</v>
      </c>
      <c r="D493" s="8">
        <v>7.5030759602598973E-2</v>
      </c>
      <c r="E493" s="8">
        <v>7.1971008889325283E-2</v>
      </c>
      <c r="F493" s="8">
        <v>3.4474623076688138E-2</v>
      </c>
      <c r="G493" s="8">
        <v>5.8142060083102631E-2</v>
      </c>
      <c r="H493" s="556">
        <v>6.7884866358342399E-2</v>
      </c>
      <c r="I493" s="8">
        <v>4.5117867773464493E-2</v>
      </c>
      <c r="J493" s="8">
        <v>4.2303239016897365E-2</v>
      </c>
      <c r="K493" s="8">
        <v>4.1983146399943827E-2</v>
      </c>
      <c r="L493" s="8">
        <v>4.1267365915499621E-2</v>
      </c>
      <c r="M493" s="556">
        <v>4.1668201057446071E-2</v>
      </c>
      <c r="N493" s="8">
        <v>5.7087381327201467E-2</v>
      </c>
      <c r="O493" s="8">
        <v>8.043839995885918E-2</v>
      </c>
      <c r="P493" s="8">
        <v>9.2230333799892067E-2</v>
      </c>
      <c r="S493" s="135"/>
      <c r="T493" s="135"/>
      <c r="U493" s="135"/>
      <c r="V493" s="135"/>
      <c r="X493" s="135"/>
      <c r="Y493" s="135"/>
      <c r="Z493" s="135"/>
      <c r="AA493" s="135"/>
      <c r="AC493" s="135"/>
      <c r="AD493" s="135"/>
      <c r="AE493" s="135"/>
      <c r="AF493" s="135"/>
      <c r="AH493" s="135"/>
      <c r="AI493" s="135"/>
      <c r="AJ493" s="135"/>
      <c r="AK493" s="135"/>
    </row>
    <row r="494" spans="1:37">
      <c r="A494" s="130"/>
      <c r="B494" s="455"/>
      <c r="C494" s="455"/>
      <c r="D494" s="698"/>
      <c r="E494" s="698"/>
      <c r="F494" s="698"/>
      <c r="G494" s="698"/>
      <c r="H494" s="455"/>
      <c r="I494" s="698"/>
      <c r="J494" s="698"/>
      <c r="K494" s="698"/>
      <c r="L494" s="698"/>
      <c r="M494" s="455"/>
    </row>
    <row r="495" spans="1:37">
      <c r="A495" s="1828" t="s">
        <v>3171</v>
      </c>
      <c r="B495" s="455"/>
      <c r="C495" s="455"/>
      <c r="D495" s="698"/>
      <c r="E495" s="698"/>
      <c r="F495" s="698"/>
      <c r="G495" s="698"/>
      <c r="H495" s="455"/>
      <c r="I495" s="698"/>
      <c r="J495" s="698"/>
      <c r="K495" s="698"/>
      <c r="L495" s="698"/>
      <c r="M495" s="455"/>
      <c r="N495" s="3908">
        <v>7.3999999999999996E-2</v>
      </c>
      <c r="O495" s="3907">
        <v>0.05</v>
      </c>
      <c r="P495" s="3907">
        <v>0.09</v>
      </c>
      <c r="Q495" s="3909" t="s">
        <v>3179</v>
      </c>
      <c r="R495" s="3910">
        <v>7.0000000000000007E-2</v>
      </c>
      <c r="S495" s="3908">
        <v>6.8000000000000005E-2</v>
      </c>
      <c r="T495" s="3907">
        <v>0.06</v>
      </c>
      <c r="U495" s="3907">
        <v>0.04</v>
      </c>
      <c r="V495" s="3907">
        <v>0.06</v>
      </c>
      <c r="W495" s="3915"/>
      <c r="X495" s="3907">
        <v>0.04</v>
      </c>
      <c r="Y495" s="3908">
        <v>4.9000000000000002E-2</v>
      </c>
      <c r="Z495" s="3907">
        <v>0.04</v>
      </c>
      <c r="AA495" s="3906" t="s">
        <v>3172</v>
      </c>
      <c r="AB495" s="3915"/>
      <c r="AC495" s="3906"/>
      <c r="AH495" s="3906"/>
    </row>
    <row r="496" spans="1:37">
      <c r="A496" s="1828" t="s">
        <v>3173</v>
      </c>
      <c r="B496" s="455"/>
      <c r="C496" s="455"/>
      <c r="D496" s="698"/>
      <c r="E496" s="698"/>
      <c r="F496" s="698"/>
      <c r="G496" s="698"/>
      <c r="H496" s="455"/>
      <c r="I496" s="698"/>
      <c r="J496" s="698"/>
      <c r="K496" s="698"/>
      <c r="L496" s="698"/>
      <c r="M496" s="455"/>
      <c r="N496" s="130"/>
      <c r="O496" s="130"/>
      <c r="P496" s="130"/>
      <c r="Q496" s="130"/>
      <c r="R496" s="130"/>
      <c r="AA496" s="3906" t="s">
        <v>3172</v>
      </c>
      <c r="AC496" s="3906"/>
      <c r="AH496" s="3906"/>
    </row>
    <row r="497" spans="1:35">
      <c r="A497" s="1828" t="s">
        <v>3174</v>
      </c>
      <c r="B497" s="455"/>
      <c r="C497" s="455"/>
      <c r="D497" s="698"/>
      <c r="E497" s="698"/>
      <c r="F497" s="698"/>
      <c r="G497" s="698"/>
      <c r="H497" s="455"/>
      <c r="I497" s="698"/>
      <c r="J497" s="698"/>
      <c r="K497" s="698"/>
      <c r="L497" s="698"/>
      <c r="M497" s="455"/>
      <c r="N497" s="130"/>
      <c r="O497" s="130"/>
      <c r="P497" s="130"/>
      <c r="Q497" s="130"/>
      <c r="R497" s="130"/>
      <c r="Z497" s="3907">
        <v>0.01</v>
      </c>
      <c r="AA497" s="3907">
        <v>0.01</v>
      </c>
      <c r="AC497" s="3907"/>
      <c r="AH497" s="3907"/>
    </row>
    <row r="498" spans="1:35">
      <c r="A498" s="130"/>
      <c r="B498" s="455"/>
      <c r="C498" s="455"/>
      <c r="D498" s="698"/>
      <c r="E498" s="698"/>
      <c r="F498" s="698"/>
      <c r="G498" s="698"/>
      <c r="H498" s="455"/>
      <c r="I498" s="698"/>
      <c r="J498" s="698"/>
      <c r="K498" s="698"/>
      <c r="L498" s="698"/>
      <c r="M498" s="455"/>
      <c r="N498" s="130"/>
      <c r="O498" s="130"/>
      <c r="P498" s="130"/>
      <c r="Q498" s="130"/>
      <c r="R498" s="130"/>
    </row>
    <row r="499" spans="1:35">
      <c r="A499" s="1828" t="s">
        <v>3169</v>
      </c>
      <c r="B499" s="455"/>
      <c r="C499" s="455"/>
      <c r="D499" s="698"/>
      <c r="E499" s="698"/>
      <c r="F499" s="698"/>
      <c r="G499" s="698"/>
      <c r="H499" s="455"/>
      <c r="I499" s="698"/>
      <c r="J499" s="698"/>
      <c r="K499" s="698"/>
      <c r="L499" s="698"/>
      <c r="M499" s="455"/>
      <c r="N499" s="3913" t="s">
        <v>3181</v>
      </c>
      <c r="O499" s="3911" t="s">
        <v>3180</v>
      </c>
      <c r="P499" s="3911" t="s">
        <v>3180</v>
      </c>
      <c r="Q499" s="130"/>
      <c r="R499" s="130"/>
      <c r="S499" s="3906" t="s">
        <v>3178</v>
      </c>
      <c r="T499" s="3906" t="s">
        <v>3178</v>
      </c>
      <c r="AC499" s="3906" t="s">
        <v>3183</v>
      </c>
      <c r="AH499" s="3906" t="s">
        <v>3183</v>
      </c>
    </row>
    <row r="500" spans="1:35">
      <c r="A500" s="3903" t="s">
        <v>3168</v>
      </c>
      <c r="B500" s="455"/>
      <c r="C500" s="455"/>
      <c r="D500" s="698"/>
      <c r="E500" s="698"/>
      <c r="F500" s="698"/>
      <c r="G500" s="698"/>
      <c r="H500" s="455"/>
      <c r="I500" s="698"/>
      <c r="J500" s="698"/>
      <c r="K500" s="698"/>
      <c r="L500" s="698"/>
      <c r="M500" s="455"/>
      <c r="N500" s="130"/>
      <c r="O500" s="130"/>
      <c r="P500" s="130"/>
      <c r="Q500" s="130"/>
      <c r="R500" s="130"/>
      <c r="AC500" s="3905">
        <v>0.85</v>
      </c>
      <c r="AH500" s="3905">
        <v>0.85</v>
      </c>
    </row>
    <row r="501" spans="1:35">
      <c r="A501" s="130"/>
      <c r="B501" s="455"/>
      <c r="C501" s="455"/>
      <c r="D501" s="698"/>
      <c r="E501" s="698"/>
      <c r="F501" s="698"/>
      <c r="G501" s="698"/>
      <c r="H501" s="455"/>
      <c r="I501" s="698"/>
      <c r="J501" s="698"/>
      <c r="K501" s="698"/>
      <c r="L501" s="698"/>
      <c r="M501" s="455"/>
      <c r="N501" s="130"/>
      <c r="O501" s="130"/>
      <c r="P501" s="130"/>
      <c r="Q501" s="130"/>
      <c r="R501" s="130"/>
    </row>
    <row r="502" spans="1:35">
      <c r="A502" s="1828" t="s">
        <v>3177</v>
      </c>
      <c r="B502" s="455"/>
      <c r="C502" s="455"/>
      <c r="D502" s="698"/>
      <c r="E502" s="698"/>
      <c r="F502" s="698"/>
      <c r="G502" s="698"/>
      <c r="H502" s="455"/>
      <c r="I502" s="698"/>
      <c r="J502" s="698"/>
      <c r="K502" s="698"/>
      <c r="L502" s="3912">
        <v>7.0000000000000007E-2</v>
      </c>
      <c r="M502" s="455"/>
      <c r="N502" s="130"/>
      <c r="O502" s="3910">
        <v>0.08</v>
      </c>
      <c r="P502" s="3911" t="s">
        <v>3180</v>
      </c>
      <c r="Q502" s="3911" t="s">
        <v>3178</v>
      </c>
      <c r="R502" s="130"/>
      <c r="T502" s="3906" t="s">
        <v>3178</v>
      </c>
      <c r="U502" s="3906" t="s">
        <v>3178</v>
      </c>
      <c r="V502" s="3906" t="s">
        <v>3178</v>
      </c>
      <c r="Y502" s="3906" t="s">
        <v>3178</v>
      </c>
      <c r="Z502" s="3906" t="s">
        <v>3176</v>
      </c>
      <c r="AA502" s="3904" t="s">
        <v>3175</v>
      </c>
      <c r="AC502" s="3906" t="s">
        <v>3170</v>
      </c>
      <c r="AD502" s="3914" t="s">
        <v>3182</v>
      </c>
      <c r="AH502" s="3906" t="s">
        <v>3170</v>
      </c>
      <c r="AI502" s="3914" t="s">
        <v>3182</v>
      </c>
    </row>
    <row r="503" spans="1:35">
      <c r="A503" s="3903" t="s">
        <v>3168</v>
      </c>
      <c r="B503" s="455"/>
      <c r="C503" s="455"/>
      <c r="D503" s="698"/>
      <c r="E503" s="698"/>
      <c r="F503" s="698"/>
      <c r="G503" s="698"/>
      <c r="H503" s="455"/>
      <c r="I503" s="698"/>
      <c r="J503" s="698"/>
      <c r="K503" s="698"/>
      <c r="L503" s="698"/>
      <c r="M503" s="455"/>
      <c r="N503" s="130"/>
      <c r="O503" s="130"/>
      <c r="P503" s="130"/>
      <c r="Q503" s="130"/>
      <c r="R503" s="130"/>
      <c r="AA503" s="3905">
        <v>0.75</v>
      </c>
    </row>
    <row r="504" spans="1:35">
      <c r="A504" s="130"/>
      <c r="B504" s="455"/>
      <c r="C504" s="455"/>
      <c r="D504" s="698"/>
      <c r="E504" s="698"/>
      <c r="F504" s="698"/>
      <c r="G504" s="698"/>
      <c r="H504" s="455"/>
      <c r="I504" s="698"/>
      <c r="J504" s="698"/>
      <c r="K504" s="698"/>
      <c r="L504" s="698"/>
      <c r="M504" s="455"/>
      <c r="N504" s="130"/>
      <c r="O504" s="130"/>
      <c r="P504" s="130"/>
      <c r="Q504" s="130"/>
      <c r="R504" s="130"/>
    </row>
    <row r="505" spans="1:35">
      <c r="A505" s="130"/>
      <c r="B505" s="455"/>
      <c r="C505" s="455"/>
      <c r="D505" s="698"/>
      <c r="E505" s="698"/>
      <c r="F505" s="698"/>
      <c r="G505" s="698"/>
      <c r="H505" s="455"/>
      <c r="I505" s="698"/>
      <c r="J505" s="698"/>
      <c r="K505" s="698"/>
      <c r="L505" s="698"/>
      <c r="M505" s="455"/>
      <c r="N505" s="130"/>
      <c r="O505" s="130"/>
      <c r="P505" s="130"/>
      <c r="Q505" s="130"/>
      <c r="R505" s="130"/>
    </row>
  </sheetData>
  <phoneticPr fontId="12" type="noConversion"/>
  <pageMargins left="0.75" right="0.75" top="1" bottom="1" header="0.5" footer="0.5"/>
  <pageSetup scale="10" orientation="landscape" r:id="rId1"/>
  <headerFooter alignWithMargins="0"/>
  <ignoredErrors>
    <ignoredError sqref="O65:P65" evalError="1"/>
    <ignoredError sqref="W221:W222 W226:W227" 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P83"/>
  <sheetViews>
    <sheetView topLeftCell="A27" zoomScale="80" zoomScaleNormal="80" workbookViewId="0">
      <selection activeCell="C72" sqref="C72"/>
    </sheetView>
  </sheetViews>
  <sheetFormatPr defaultRowHeight="12.75" outlineLevelRow="1"/>
  <cols>
    <col min="1" max="1" width="20.5" style="3" customWidth="1"/>
    <col min="2" max="2" width="12.625" style="3" customWidth="1"/>
    <col min="3" max="3" width="9" style="3"/>
    <col min="4" max="4" width="9" style="3" customWidth="1"/>
    <col min="5" max="12" width="9" style="3"/>
    <col min="13" max="15" width="10.375" style="3" customWidth="1"/>
    <col min="16" max="16384" width="9" style="3"/>
  </cols>
  <sheetData>
    <row r="1" spans="1:16">
      <c r="A1" s="222" t="s">
        <v>1222</v>
      </c>
      <c r="I1" s="15"/>
    </row>
    <row r="2" spans="1:16">
      <c r="A2" s="136" t="s">
        <v>1282</v>
      </c>
      <c r="I2" s="15"/>
    </row>
    <row r="3" spans="1:16">
      <c r="A3" s="136"/>
      <c r="B3" s="2"/>
      <c r="C3" s="2"/>
      <c r="I3" s="15"/>
    </row>
    <row r="4" spans="1:16">
      <c r="A4" s="224" t="s">
        <v>1343</v>
      </c>
      <c r="I4" s="135"/>
    </row>
    <row r="5" spans="1:16">
      <c r="C5" s="675"/>
      <c r="D5" s="676" t="s">
        <v>1161</v>
      </c>
      <c r="E5" s="676" t="s">
        <v>174</v>
      </c>
      <c r="F5" s="676" t="s">
        <v>1228</v>
      </c>
      <c r="G5" s="676" t="s">
        <v>1275</v>
      </c>
      <c r="H5" s="676" t="s">
        <v>216</v>
      </c>
      <c r="I5" s="135"/>
    </row>
    <row r="6" spans="1:16">
      <c r="A6" s="230" t="s">
        <v>164</v>
      </c>
      <c r="B6" s="230" t="s">
        <v>1285</v>
      </c>
      <c r="C6" s="249" t="s">
        <v>598</v>
      </c>
      <c r="D6" s="249" t="s">
        <v>1285</v>
      </c>
      <c r="E6" s="249" t="s">
        <v>1274</v>
      </c>
      <c r="F6" s="249" t="s">
        <v>1274</v>
      </c>
      <c r="G6" s="249" t="s">
        <v>1274</v>
      </c>
      <c r="H6" s="249" t="s">
        <v>1274</v>
      </c>
      <c r="I6" s="140"/>
      <c r="J6" s="2"/>
    </row>
    <row r="7" spans="1:16">
      <c r="I7" s="135"/>
    </row>
    <row r="8" spans="1:16">
      <c r="A8" s="231" t="s">
        <v>1277</v>
      </c>
      <c r="B8" s="129"/>
      <c r="C8" s="129"/>
      <c r="D8" s="129"/>
      <c r="E8" s="129"/>
      <c r="F8" s="129"/>
      <c r="G8" s="129"/>
      <c r="H8" s="129"/>
      <c r="I8" s="2407"/>
    </row>
    <row r="9" spans="1:16">
      <c r="I9" s="135"/>
    </row>
    <row r="10" spans="1:16">
      <c r="A10" s="3" t="s">
        <v>1589</v>
      </c>
      <c r="B10" s="3" t="s">
        <v>2086</v>
      </c>
      <c r="C10" s="8">
        <f>0.03+0.035</f>
        <v>6.5000000000000002E-2</v>
      </c>
      <c r="D10" s="256">
        <f>AVERAGE(Hilton!$AO$322:$AP$322)+('PT Impact'!$C$10/2)</f>
        <v>5.2197258451540107E-2</v>
      </c>
      <c r="E10" s="3">
        <f>(Hilton!AP$249)*C10</f>
        <v>106.29186045734217</v>
      </c>
      <c r="F10" s="130">
        <f>+E10*0.5</f>
        <v>53.145930228671084</v>
      </c>
      <c r="G10" s="3">
        <f>F10*$B$55</f>
        <v>837.04840110156954</v>
      </c>
      <c r="I10" s="7"/>
    </row>
    <row r="11" spans="1:16">
      <c r="B11" s="3" t="s">
        <v>2317</v>
      </c>
      <c r="C11" s="8">
        <v>0.01</v>
      </c>
      <c r="D11" s="7">
        <f>+Hilton!AP266+C11</f>
        <v>0.10948490768346732</v>
      </c>
      <c r="E11" s="19"/>
      <c r="F11" s="130">
        <f>+C11*(Hilton!AP249+'PT Impact'!E10)</f>
        <v>17.415512521087603</v>
      </c>
      <c r="G11" s="3">
        <f>F11*$B$55</f>
        <v>274.29432220712977</v>
      </c>
      <c r="I11" s="7"/>
      <c r="M11" s="1734" t="s">
        <v>2357</v>
      </c>
    </row>
    <row r="12" spans="1:16">
      <c r="B12" s="2" t="s">
        <v>168</v>
      </c>
      <c r="E12" s="2">
        <f>SUM(E10:E11)</f>
        <v>106.29186045734217</v>
      </c>
      <c r="F12" s="2">
        <f>SUM(F10:F11)</f>
        <v>70.561442749758683</v>
      </c>
      <c r="G12" s="2">
        <f>SUM(G10:G11)</f>
        <v>1111.3427233086993</v>
      </c>
      <c r="H12" s="232">
        <f>G12/$B$61</f>
        <v>3.4513749171077617</v>
      </c>
      <c r="I12" s="236"/>
      <c r="K12" s="7"/>
      <c r="N12" s="2423">
        <v>2017</v>
      </c>
      <c r="O12" s="17"/>
      <c r="P12" s="17"/>
    </row>
    <row r="13" spans="1:16">
      <c r="I13" s="236"/>
      <c r="M13" s="2362">
        <v>2014</v>
      </c>
      <c r="N13" s="1773" t="s">
        <v>592</v>
      </c>
      <c r="O13" s="1773" t="s">
        <v>748</v>
      </c>
      <c r="P13" s="1773" t="s">
        <v>84</v>
      </c>
    </row>
    <row r="14" spans="1:16">
      <c r="A14" s="3" t="s">
        <v>749</v>
      </c>
      <c r="B14" s="3" t="s">
        <v>2086</v>
      </c>
      <c r="C14" s="8">
        <f>0.03+0.035</f>
        <v>6.5000000000000002E-2</v>
      </c>
      <c r="D14" s="7">
        <f>AVERAGE(Hilton!$AO$322:$AP$322)+'PT Impact'!C14/2</f>
        <v>5.2197258451540107E-2</v>
      </c>
      <c r="E14" s="3">
        <f>Hilton!AP$275*C14</f>
        <v>24.688640285579332</v>
      </c>
      <c r="F14" s="3">
        <f>E14</f>
        <v>24.688640285579332</v>
      </c>
      <c r="G14" s="3">
        <f>F14*$B$56</f>
        <v>276.51277119848851</v>
      </c>
      <c r="I14" s="7"/>
      <c r="M14" s="7">
        <f>Hilton!U125</f>
        <v>0.23881165492287185</v>
      </c>
      <c r="N14" s="7">
        <f ca="1">Hilton!AJ125</f>
        <v>0.2149890590809628</v>
      </c>
      <c r="O14" s="7">
        <f>D11</f>
        <v>0.10948490768346732</v>
      </c>
      <c r="P14" s="7">
        <f>D35</f>
        <v>8.9484907683467327E-2</v>
      </c>
    </row>
    <row r="15" spans="1:16">
      <c r="B15" s="3" t="s">
        <v>1276</v>
      </c>
      <c r="C15" s="8">
        <v>0.01</v>
      </c>
      <c r="D15" s="7">
        <f>AVERAGE('QTR Rooms'!AL921:AM921)+C15</f>
        <v>7.2582699301215844E-2</v>
      </c>
      <c r="E15" s="3">
        <f>Hilton!AP$275*C15</f>
        <v>3.7982523516275895</v>
      </c>
      <c r="F15" s="3">
        <f>E15</f>
        <v>3.7982523516275895</v>
      </c>
      <c r="G15" s="3">
        <f>F15*$B$56</f>
        <v>42.540426338228997</v>
      </c>
      <c r="I15" s="7"/>
      <c r="N15" s="1687">
        <f ca="1">N14-$M$14</f>
        <v>-2.3822595841909044E-2</v>
      </c>
      <c r="O15" s="1687">
        <f>O14-$M$14</f>
        <v>-0.12932674723940452</v>
      </c>
      <c r="P15" s="1687">
        <f>P14-$M$14</f>
        <v>-0.14932674723940453</v>
      </c>
    </row>
    <row r="16" spans="1:16">
      <c r="B16" s="3" t="s">
        <v>908</v>
      </c>
      <c r="C16" s="8">
        <v>0.1</v>
      </c>
      <c r="D16" s="7">
        <f>Hilton!AP$372+C16</f>
        <v>0.1</v>
      </c>
      <c r="E16" s="3">
        <f>Hilton!AP$276*C16</f>
        <v>23.021000000000001</v>
      </c>
      <c r="F16" s="3">
        <f>E16</f>
        <v>23.021000000000001</v>
      </c>
      <c r="G16" s="3">
        <f>F16*$B$56</f>
        <v>257.83519999999999</v>
      </c>
      <c r="I16" s="7"/>
      <c r="N16" s="7"/>
    </row>
    <row r="17" spans="1:16">
      <c r="B17" s="2" t="s">
        <v>168</v>
      </c>
      <c r="E17" s="2">
        <f>SUM(E14:E16)</f>
        <v>51.507892637206922</v>
      </c>
      <c r="F17" s="2">
        <f>SUM(F14:F16)</f>
        <v>51.507892637206922</v>
      </c>
      <c r="G17" s="2">
        <f>SUM(G14:G16)</f>
        <v>576.88839753671755</v>
      </c>
      <c r="H17" s="232">
        <f>G17/$B$61</f>
        <v>1.7915788743376322</v>
      </c>
      <c r="I17" s="135"/>
      <c r="N17" s="7"/>
    </row>
    <row r="18" spans="1:16">
      <c r="I18" s="135"/>
    </row>
    <row r="19" spans="1:16">
      <c r="A19" s="3" t="s">
        <v>750</v>
      </c>
      <c r="B19" s="3" t="s">
        <v>1228</v>
      </c>
      <c r="C19" s="8"/>
      <c r="M19" s="7"/>
      <c r="N19" s="214"/>
    </row>
    <row r="20" spans="1:16">
      <c r="B20" s="2" t="s">
        <v>168</v>
      </c>
      <c r="F20" s="2"/>
      <c r="G20" s="2"/>
      <c r="H20" s="232"/>
      <c r="I20" s="135"/>
      <c r="L20" s="682"/>
      <c r="M20" s="7"/>
      <c r="N20" s="214"/>
    </row>
    <row r="21" spans="1:16">
      <c r="I21" s="135"/>
      <c r="M21" s="7"/>
      <c r="N21" s="214"/>
    </row>
    <row r="22" spans="1:16">
      <c r="A22" s="3" t="s">
        <v>395</v>
      </c>
      <c r="B22" s="3" t="s">
        <v>389</v>
      </c>
      <c r="C22" s="8">
        <v>0.02</v>
      </c>
      <c r="D22" s="3">
        <f>Hilton!AP$451*(1+C22)</f>
        <v>428.64561600000002</v>
      </c>
      <c r="F22" s="3">
        <f>-Hilton!AP$451*'PT Impact'!C22</f>
        <v>-8.4048160000000003</v>
      </c>
      <c r="G22" s="130">
        <f>F22*B56</f>
        <v>-94.1339392</v>
      </c>
      <c r="M22" s="7"/>
      <c r="N22" s="214"/>
    </row>
    <row r="23" spans="1:16">
      <c r="B23" s="2" t="s">
        <v>168</v>
      </c>
      <c r="F23" s="2">
        <f>SUM(F22)</f>
        <v>-8.4048160000000003</v>
      </c>
      <c r="G23" s="2">
        <f>SUM(G22)</f>
        <v>-94.1339392</v>
      </c>
      <c r="H23" s="232">
        <f>G23/$B$61</f>
        <v>-0.29234142608695651</v>
      </c>
      <c r="I23" s="135"/>
      <c r="K23" s="1734"/>
    </row>
    <row r="24" spans="1:16">
      <c r="B24" s="2"/>
      <c r="F24" s="2"/>
      <c r="G24" s="2"/>
      <c r="H24" s="232"/>
      <c r="I24" s="135"/>
      <c r="K24" s="256"/>
    </row>
    <row r="25" spans="1:16" hidden="1" outlineLevel="1">
      <c r="A25" s="1734" t="s">
        <v>2346</v>
      </c>
      <c r="B25" s="2"/>
      <c r="F25" s="2"/>
      <c r="G25" s="2"/>
      <c r="H25" s="2422">
        <v>0</v>
      </c>
      <c r="I25" s="135"/>
    </row>
    <row r="26" spans="1:16" hidden="1" outlineLevel="1">
      <c r="I26" s="135"/>
      <c r="N26" s="7"/>
    </row>
    <row r="27" spans="1:16" collapsed="1">
      <c r="A27" s="3" t="s">
        <v>1885</v>
      </c>
      <c r="C27" s="210">
        <v>2.7</v>
      </c>
      <c r="G27" s="130">
        <f ca="1">(Hilton!AP$121+F29)*C27</f>
        <v>6315.1806174674739</v>
      </c>
      <c r="H27" s="232">
        <f ca="1">G27/$B$61</f>
        <v>19.612362166048054</v>
      </c>
      <c r="I27" s="135"/>
      <c r="J27" s="130"/>
      <c r="N27" s="7"/>
    </row>
    <row r="28" spans="1:16" ht="13.5" thickBot="1">
      <c r="I28" s="135"/>
      <c r="N28" s="7"/>
    </row>
    <row r="29" spans="1:16" ht="13.5" thickBot="1">
      <c r="A29" s="233" t="s">
        <v>1687</v>
      </c>
      <c r="B29" s="234"/>
      <c r="C29" s="234"/>
      <c r="D29" s="234"/>
      <c r="E29" s="235">
        <f>E12+E17</f>
        <v>157.79975309454909</v>
      </c>
      <c r="F29" s="235">
        <f>F23+F20+F17+F12</f>
        <v>113.66451938696561</v>
      </c>
      <c r="G29" s="235">
        <f ca="1">G23+G20+G17+G12+G27</f>
        <v>7909.2777991128905</v>
      </c>
      <c r="H29" s="237">
        <f ca="1">H23+H20+H17+H12+H27+H25</f>
        <v>24.562974531406493</v>
      </c>
      <c r="I29" s="135"/>
      <c r="O29" s="682"/>
    </row>
    <row r="30" spans="1:16">
      <c r="A30" s="2"/>
      <c r="F30" s="2"/>
      <c r="G30" s="2"/>
      <c r="H30" s="232"/>
      <c r="I30" s="135"/>
      <c r="M30" s="7"/>
      <c r="N30" s="682"/>
    </row>
    <row r="31" spans="1:16">
      <c r="A31" s="2"/>
      <c r="F31" s="2"/>
      <c r="G31" s="2"/>
      <c r="H31" s="232"/>
      <c r="I31" s="135"/>
      <c r="L31" s="7"/>
      <c r="M31" s="7"/>
      <c r="N31" s="682"/>
      <c r="O31" s="7"/>
      <c r="P31" s="7"/>
    </row>
    <row r="32" spans="1:16">
      <c r="A32" s="231" t="s">
        <v>2318</v>
      </c>
      <c r="B32" s="129"/>
      <c r="C32" s="129"/>
      <c r="D32" s="129"/>
      <c r="E32" s="129"/>
      <c r="F32" s="129"/>
      <c r="G32" s="129"/>
      <c r="H32" s="129"/>
      <c r="I32" s="135"/>
      <c r="M32" s="7"/>
      <c r="N32" s="682"/>
    </row>
    <row r="33" spans="1:16">
      <c r="I33" s="135"/>
    </row>
    <row r="34" spans="1:16">
      <c r="A34" s="3" t="s">
        <v>1589</v>
      </c>
      <c r="B34" s="3" t="s">
        <v>2086</v>
      </c>
      <c r="C34" s="8">
        <f>+-0.02-0.05</f>
        <v>-7.0000000000000007E-2</v>
      </c>
      <c r="D34" s="256">
        <f>AVERAGE(Hilton!$AO$322:$AP$322)+('PT Impact'!$C$34/2)</f>
        <v>-1.5302741548459897E-2</v>
      </c>
      <c r="E34" s="3">
        <f>(Hilton!AP$249)*C34</f>
        <v>-114.46815741559926</v>
      </c>
      <c r="F34" s="3">
        <f>E34*0.5</f>
        <v>-57.234078707799632</v>
      </c>
      <c r="G34" s="3">
        <f>F34*$B$55</f>
        <v>-901.43673964784421</v>
      </c>
      <c r="I34" s="135"/>
      <c r="P34" s="7"/>
    </row>
    <row r="35" spans="1:16">
      <c r="B35" s="3" t="s">
        <v>2317</v>
      </c>
      <c r="C35" s="8">
        <v>-0.01</v>
      </c>
      <c r="D35" s="7">
        <f>+Hilton!AP266+C35</f>
        <v>8.9484907683467327E-2</v>
      </c>
      <c r="E35" s="19"/>
      <c r="F35" s="130">
        <f>+C35*(Hilton!AP249+'PT Impact'!E34)</f>
        <v>-15.207912342358187</v>
      </c>
      <c r="G35" s="3">
        <f>F35*$B$55</f>
        <v>-239.52461939214143</v>
      </c>
      <c r="I35" s="135"/>
      <c r="P35" s="7"/>
    </row>
    <row r="36" spans="1:16">
      <c r="B36" s="2" t="s">
        <v>168</v>
      </c>
      <c r="E36" s="2">
        <f>SUM(E34:E35)</f>
        <v>-114.46815741559926</v>
      </c>
      <c r="F36" s="2">
        <f>SUM(F34:F35)</f>
        <v>-72.441991050157824</v>
      </c>
      <c r="G36" s="2">
        <f>SUM(G34:G35)</f>
        <v>-1140.9613590399856</v>
      </c>
      <c r="H36" s="232">
        <f>G36/$B$61</f>
        <v>-3.543358257888154</v>
      </c>
      <c r="I36" s="135"/>
      <c r="K36" s="7"/>
    </row>
    <row r="37" spans="1:16">
      <c r="I37" s="135"/>
    </row>
    <row r="38" spans="1:16">
      <c r="A38" s="3" t="s">
        <v>749</v>
      </c>
      <c r="B38" s="3" t="s">
        <v>2086</v>
      </c>
      <c r="C38" s="8">
        <f>+-0.02-0.05</f>
        <v>-7.0000000000000007E-2</v>
      </c>
      <c r="D38" s="7">
        <f>AVERAGE(Hilton!$AO$322:$AP$322)+'PT Impact'!C38/2</f>
        <v>-1.5302741548459897E-2</v>
      </c>
      <c r="E38" s="3">
        <f>Hilton!AP$275*C38</f>
        <v>-26.587766461393127</v>
      </c>
      <c r="F38" s="3">
        <f>E38</f>
        <v>-26.587766461393127</v>
      </c>
      <c r="G38" s="3">
        <f>F38*$B$56</f>
        <v>-297.78298436760298</v>
      </c>
      <c r="I38" s="135"/>
    </row>
    <row r="39" spans="1:16">
      <c r="B39" s="3" t="s">
        <v>1276</v>
      </c>
      <c r="C39" s="8">
        <v>-0.03</v>
      </c>
      <c r="D39" s="7">
        <f>AVERAGE('QTR Rooms'!AL921:AM921)+C39</f>
        <v>3.2582699301215851E-2</v>
      </c>
      <c r="E39" s="3">
        <f>Hilton!AP$275*C39</f>
        <v>-11.394757054882767</v>
      </c>
      <c r="F39" s="3">
        <f>E39</f>
        <v>-11.394757054882767</v>
      </c>
      <c r="G39" s="3">
        <f>F39*$B$56</f>
        <v>-127.62127901468698</v>
      </c>
      <c r="I39" s="135"/>
    </row>
    <row r="40" spans="1:16">
      <c r="B40" s="3" t="s">
        <v>908</v>
      </c>
      <c r="C40" s="8">
        <v>-0.1</v>
      </c>
      <c r="D40" s="7">
        <f>Hilton!AP$372+C40</f>
        <v>-0.1</v>
      </c>
      <c r="E40" s="3">
        <f>Hilton!AP$276*C40</f>
        <v>-23.021000000000001</v>
      </c>
      <c r="F40" s="3">
        <f>E40</f>
        <v>-23.021000000000001</v>
      </c>
      <c r="G40" s="3">
        <f>F40*$B$56</f>
        <v>-257.83519999999999</v>
      </c>
      <c r="I40" s="135"/>
    </row>
    <row r="41" spans="1:16">
      <c r="B41" s="2" t="s">
        <v>168</v>
      </c>
      <c r="E41" s="2">
        <f>SUM(E38:E40)</f>
        <v>-61.003523516275891</v>
      </c>
      <c r="F41" s="2">
        <f>SUM(F38:F40)</f>
        <v>-61.003523516275891</v>
      </c>
      <c r="G41" s="2">
        <f>SUM(G38:G40)</f>
        <v>-683.23946338228996</v>
      </c>
      <c r="H41" s="232">
        <f>G41/$B$61</f>
        <v>-2.1218616875226397</v>
      </c>
      <c r="I41" s="135"/>
    </row>
    <row r="42" spans="1:16">
      <c r="I42" s="135"/>
    </row>
    <row r="43" spans="1:16">
      <c r="A43" s="3" t="s">
        <v>750</v>
      </c>
      <c r="B43" s="3" t="s">
        <v>1228</v>
      </c>
      <c r="C43" s="8"/>
      <c r="I43" s="135"/>
    </row>
    <row r="44" spans="1:16">
      <c r="B44" s="2" t="s">
        <v>168</v>
      </c>
      <c r="F44" s="2"/>
      <c r="G44" s="2"/>
      <c r="H44" s="232"/>
      <c r="I44" s="135"/>
      <c r="K44" s="1734"/>
    </row>
    <row r="45" spans="1:16">
      <c r="I45" s="135"/>
      <c r="K45" s="256"/>
    </row>
    <row r="46" spans="1:16">
      <c r="A46" s="3" t="s">
        <v>395</v>
      </c>
      <c r="B46" s="3" t="s">
        <v>389</v>
      </c>
      <c r="C46" s="8">
        <v>-0.02</v>
      </c>
      <c r="D46" s="3">
        <f>Hilton!AP$451*(1+C46)</f>
        <v>411.83598400000005</v>
      </c>
      <c r="F46" s="3">
        <f>-Hilton!AP$451*'PT Impact'!C46</f>
        <v>8.4048160000000003</v>
      </c>
      <c r="G46" s="130">
        <f>F46*B56</f>
        <v>94.1339392</v>
      </c>
      <c r="I46" s="135"/>
    </row>
    <row r="47" spans="1:16">
      <c r="B47" s="2" t="s">
        <v>168</v>
      </c>
      <c r="F47" s="2">
        <f>SUM(F46)</f>
        <v>8.4048160000000003</v>
      </c>
      <c r="G47" s="2">
        <f>SUM(G46)</f>
        <v>94.1339392</v>
      </c>
      <c r="H47" s="232">
        <f>G47/$B$61</f>
        <v>0.29234142608695651</v>
      </c>
      <c r="I47" s="135"/>
    </row>
    <row r="48" spans="1:16">
      <c r="I48" s="135"/>
    </row>
    <row r="49" spans="1:14">
      <c r="A49" s="3" t="s">
        <v>185</v>
      </c>
      <c r="C49" s="210">
        <v>-4.5</v>
      </c>
      <c r="G49" s="130">
        <f ca="1">(Hilton!AP$121+F51)*C49</f>
        <v>-9451.127548322158</v>
      </c>
      <c r="H49" s="232">
        <f ca="1">G49/$B$61</f>
        <v>-29.351327789820367</v>
      </c>
      <c r="I49" s="135"/>
    </row>
    <row r="50" spans="1:14" ht="13.5" thickBot="1">
      <c r="I50" s="135"/>
    </row>
    <row r="51" spans="1:14" ht="13.5" thickBot="1">
      <c r="A51" s="233" t="s">
        <v>1687</v>
      </c>
      <c r="B51" s="234"/>
      <c r="C51" s="234"/>
      <c r="D51" s="234"/>
      <c r="E51" s="235">
        <f>E36+E41</f>
        <v>-175.47168093187514</v>
      </c>
      <c r="F51" s="235">
        <f>F47+F44+F41+F36</f>
        <v>-125.04069856643372</v>
      </c>
      <c r="G51" s="235">
        <f ca="1">G47+G44+G41+G36+G49</f>
        <v>-11181.194431544434</v>
      </c>
      <c r="H51" s="237">
        <f ca="1">H47+H44+H41+H36+H49</f>
        <v>-34.724206309144208</v>
      </c>
      <c r="I51" s="135"/>
    </row>
    <row r="52" spans="1:14">
      <c r="I52" s="135"/>
      <c r="K52" s="1734" t="s">
        <v>1909</v>
      </c>
      <c r="N52" s="3">
        <v>984617365</v>
      </c>
    </row>
    <row r="53" spans="1:14">
      <c r="I53" s="135"/>
      <c r="K53" s="1734" t="s">
        <v>1910</v>
      </c>
      <c r="N53" s="3">
        <v>648992744</v>
      </c>
    </row>
    <row r="54" spans="1:14">
      <c r="A54" s="201" t="s">
        <v>2163</v>
      </c>
      <c r="I54" s="135"/>
      <c r="K54" s="1734" t="s">
        <v>1911</v>
      </c>
      <c r="N54" s="1738">
        <f>N53/N52</f>
        <v>0.65913192989441127</v>
      </c>
    </row>
    <row r="55" spans="1:14">
      <c r="A55" s="3" t="s">
        <v>1589</v>
      </c>
      <c r="B55" s="1460">
        <f>'EBITDA Val'!F7</f>
        <v>15.75</v>
      </c>
      <c r="I55" s="135"/>
    </row>
    <row r="56" spans="1:14">
      <c r="A56" s="3" t="s">
        <v>2109</v>
      </c>
      <c r="B56" s="1460">
        <f>+'EBITDA Val'!F6</f>
        <v>11.2</v>
      </c>
      <c r="I56" s="135"/>
      <c r="K56" s="1734" t="s">
        <v>1913</v>
      </c>
      <c r="N56" s="2363" t="str">
        <f ca="1">'EBITDA Val'!H16</f>
        <v xml:space="preserve">$83.40 </v>
      </c>
    </row>
    <row r="57" spans="1:14">
      <c r="A57" s="3" t="s">
        <v>750</v>
      </c>
      <c r="B57" s="1460">
        <f>'EBITDA Val'!F8</f>
        <v>15.722965816384368</v>
      </c>
      <c r="I57" s="130"/>
      <c r="K57" s="1734" t="s">
        <v>1912</v>
      </c>
      <c r="N57" s="1738">
        <f ca="1">N60/N59</f>
        <v>0.34086807010558873</v>
      </c>
    </row>
    <row r="59" spans="1:14">
      <c r="A59" s="201" t="s">
        <v>395</v>
      </c>
      <c r="K59" s="1734" t="s">
        <v>1914</v>
      </c>
      <c r="N59" s="3">
        <f ca="1">N56*N52</f>
        <v>82117088241</v>
      </c>
    </row>
    <row r="60" spans="1:14">
      <c r="A60" s="3" t="s">
        <v>1278</v>
      </c>
      <c r="B60" s="211">
        <f ca="1">'EBITDA Val'!F9</f>
        <v>15.722965816384368</v>
      </c>
      <c r="N60" s="3">
        <f ca="1">N56*(N52-N53)</f>
        <v>27991093391.400002</v>
      </c>
    </row>
    <row r="61" spans="1:14">
      <c r="A61" s="3" t="s">
        <v>1824</v>
      </c>
      <c r="B61" s="3">
        <f>'EBITDA Val'!H14</f>
        <v>322</v>
      </c>
      <c r="L61" s="7"/>
    </row>
    <row r="64" spans="1:14">
      <c r="A64" s="201" t="s">
        <v>1886</v>
      </c>
      <c r="D64" s="209" t="s">
        <v>388</v>
      </c>
    </row>
    <row r="66" spans="1:9">
      <c r="A66" s="3" t="s">
        <v>748</v>
      </c>
      <c r="B66" s="14">
        <f ca="1">B67+H29</f>
        <v>108.08471027810533</v>
      </c>
      <c r="C66" s="7">
        <f ca="1">B66/'EBITDA Val'!$I$16-1</f>
        <v>0.2959797395456274</v>
      </c>
      <c r="D66" s="211">
        <f ca="1">((B66*$B$61)-'EBITDA Val'!$I$11)/'PT Impact'!B73</f>
        <v>18.526519701073095</v>
      </c>
      <c r="E66" s="211"/>
    </row>
    <row r="67" spans="1:9">
      <c r="A67" s="3" t="s">
        <v>592</v>
      </c>
      <c r="B67" s="14">
        <f ca="1">'EBITDA Val'!I15</f>
        <v>83.521735746698837</v>
      </c>
      <c r="C67" s="7">
        <f ca="1">B67/'EBITDA Val'!$I$16-1</f>
        <v>1.4596612314008439E-3</v>
      </c>
      <c r="D67" s="211"/>
    </row>
    <row r="68" spans="1:9">
      <c r="A68" s="3" t="s">
        <v>84</v>
      </c>
      <c r="B68" s="14">
        <f ca="1">B67+H51</f>
        <v>48.79752943755463</v>
      </c>
      <c r="C68" s="7">
        <f ca="1">B68/'EBITDA Val'!$I$16-1</f>
        <v>-0.41489772856649132</v>
      </c>
      <c r="D68" s="211">
        <f ca="1">((B68*$B$61)-'EBITDA Val'!$I$11)/'PT Impact'!B80</f>
        <v>11.119328127863671</v>
      </c>
      <c r="E68" s="211"/>
    </row>
    <row r="69" spans="1:9">
      <c r="B69" s="7"/>
    </row>
    <row r="70" spans="1:9">
      <c r="D70" s="124"/>
    </row>
    <row r="71" spans="1:9">
      <c r="A71" s="201" t="s">
        <v>217</v>
      </c>
    </row>
    <row r="72" spans="1:9">
      <c r="A72" s="3" t="s">
        <v>174</v>
      </c>
      <c r="B72" s="3">
        <f>Hilton!AP24+'PT Impact'!E29</f>
        <v>10704.514081696716</v>
      </c>
      <c r="I72" s="1897"/>
    </row>
    <row r="73" spans="1:9">
      <c r="A73" s="3" t="s">
        <v>1228</v>
      </c>
      <c r="B73" s="3">
        <f ca="1">'EBITDA Val'!D9+'PT Impact'!F29</f>
        <v>2218.9557842472123</v>
      </c>
      <c r="C73" s="7"/>
      <c r="D73" s="1687"/>
      <c r="H73" s="682"/>
      <c r="I73" s="1897"/>
    </row>
    <row r="74" spans="1:9">
      <c r="A74" s="3" t="s">
        <v>2086</v>
      </c>
      <c r="B74" s="7">
        <f>D14</f>
        <v>5.2197258451540107E-2</v>
      </c>
      <c r="I74" s="1897"/>
    </row>
    <row r="75" spans="1:9">
      <c r="A75" s="3" t="s">
        <v>1276</v>
      </c>
      <c r="B75" s="7">
        <f>D15</f>
        <v>7.2582699301215844E-2</v>
      </c>
    </row>
    <row r="76" spans="1:9">
      <c r="A76" s="1734" t="s">
        <v>3130</v>
      </c>
      <c r="B76" s="7">
        <f ca="1">+B73/B72</f>
        <v>0.20729159374373932</v>
      </c>
    </row>
    <row r="78" spans="1:9">
      <c r="A78" s="201" t="s">
        <v>215</v>
      </c>
    </row>
    <row r="79" spans="1:9">
      <c r="A79" s="3" t="s">
        <v>174</v>
      </c>
      <c r="B79" s="3">
        <f>+Hilton!$AP$24+'PT Impact'!E51</f>
        <v>10371.242647670293</v>
      </c>
    </row>
    <row r="80" spans="1:9">
      <c r="A80" s="3" t="s">
        <v>1228</v>
      </c>
      <c r="B80" s="3">
        <f ca="1">'EBITDA Val'!D9+F51</f>
        <v>1980.2505662938127</v>
      </c>
      <c r="D80" s="1687"/>
    </row>
    <row r="81" spans="1:2">
      <c r="A81" s="3" t="s">
        <v>2086</v>
      </c>
      <c r="B81" s="7">
        <f>D38</f>
        <v>-1.5302741548459897E-2</v>
      </c>
    </row>
    <row r="82" spans="1:2">
      <c r="A82" s="3" t="s">
        <v>1276</v>
      </c>
      <c r="B82" s="7">
        <f>D39</f>
        <v>3.2582699301215851E-2</v>
      </c>
    </row>
    <row r="83" spans="1:2">
      <c r="A83" s="1734" t="s">
        <v>3130</v>
      </c>
      <c r="B83" s="7">
        <f ca="1">+B80/B79</f>
        <v>0.19093667302622017</v>
      </c>
    </row>
  </sheetData>
  <phoneticPr fontId="12"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autoPageBreaks="0" fitToPage="1"/>
  </sheetPr>
  <dimension ref="A1:Q257"/>
  <sheetViews>
    <sheetView showGridLines="0" zoomScale="85" zoomScaleNormal="85" workbookViewId="0">
      <pane xSplit="1" ySplit="3" topLeftCell="B4" activePane="bottomRight" state="frozen"/>
      <selection activeCell="AK308" sqref="AK308"/>
      <selection pane="topRight" activeCell="AK308" sqref="AK308"/>
      <selection pane="bottomLeft" activeCell="AK308" sqref="AK308"/>
      <selection pane="bottomRight" activeCell="G40" sqref="G40"/>
    </sheetView>
  </sheetViews>
  <sheetFormatPr defaultRowHeight="12.75" outlineLevelRow="1" outlineLevelCol="1"/>
  <cols>
    <col min="1" max="1" width="37" style="1734" bestFit="1" customWidth="1"/>
    <col min="2" max="5" width="9" style="1734"/>
    <col min="6" max="7" width="9" style="1734" customWidth="1" outlineLevel="1"/>
    <col min="8" max="8" width="10.125" style="1734" customWidth="1" outlineLevel="1"/>
    <col min="9" max="12" width="9" style="1734"/>
    <col min="13" max="13" width="9" style="1777"/>
    <col min="14" max="14" width="40.625" style="1734" customWidth="1"/>
    <col min="15" max="15" width="9" style="1734" customWidth="1"/>
    <col min="16" max="16384" width="9" style="1734"/>
  </cols>
  <sheetData>
    <row r="1" spans="1:13">
      <c r="A1" s="2156" t="s">
        <v>2619</v>
      </c>
      <c r="B1" s="1743"/>
      <c r="C1" s="1743"/>
      <c r="D1" s="1743"/>
      <c r="E1" s="2899"/>
      <c r="F1" s="1743"/>
      <c r="G1" s="1743"/>
      <c r="H1" s="1743"/>
      <c r="I1" s="1743"/>
      <c r="J1" s="1743"/>
      <c r="K1" s="1743"/>
      <c r="L1" s="1743"/>
      <c r="M1" s="2162"/>
    </row>
    <row r="2" spans="1:13">
      <c r="A2" s="1353" t="s">
        <v>2841</v>
      </c>
      <c r="B2" s="2899"/>
      <c r="C2" s="2899"/>
      <c r="D2" s="2899"/>
      <c r="E2" s="2899"/>
      <c r="F2" s="2898"/>
      <c r="G2" s="2898"/>
      <c r="H2" s="2898"/>
      <c r="I2" s="2899"/>
      <c r="J2" s="2900"/>
      <c r="K2" s="2900"/>
      <c r="L2" s="2900"/>
      <c r="M2" s="2901"/>
    </row>
    <row r="3" spans="1:13">
      <c r="A3" s="218" t="s">
        <v>1501</v>
      </c>
      <c r="B3" s="3039">
        <v>2013</v>
      </c>
      <c r="C3" s="3039" t="s">
        <v>2625</v>
      </c>
      <c r="D3" s="3039" t="s">
        <v>2626</v>
      </c>
      <c r="E3" s="3039" t="s">
        <v>2834</v>
      </c>
      <c r="F3" s="3040" t="s">
        <v>2897</v>
      </c>
      <c r="G3" s="3040" t="s">
        <v>2896</v>
      </c>
      <c r="H3" s="3040" t="s">
        <v>2684</v>
      </c>
      <c r="I3" s="3039" t="s">
        <v>2902</v>
      </c>
      <c r="J3" s="3039" t="s">
        <v>43</v>
      </c>
      <c r="K3" s="3039" t="s">
        <v>44</v>
      </c>
      <c r="L3" s="3039" t="s">
        <v>1343</v>
      </c>
      <c r="M3" s="3041" t="s">
        <v>1813</v>
      </c>
    </row>
    <row r="4" spans="1:13">
      <c r="A4" s="505" t="s">
        <v>698</v>
      </c>
      <c r="B4" s="1777"/>
      <c r="C4" s="1777"/>
      <c r="D4" s="1777"/>
      <c r="E4" s="1777"/>
      <c r="F4" s="1777"/>
      <c r="G4" s="1777" t="s">
        <v>2628</v>
      </c>
      <c r="H4" s="1777"/>
      <c r="I4" s="1777"/>
      <c r="J4" s="1752"/>
      <c r="K4" s="1752"/>
      <c r="L4" s="1752"/>
      <c r="M4" s="2836"/>
    </row>
    <row r="5" spans="1:13">
      <c r="A5" s="1979" t="s">
        <v>2076</v>
      </c>
      <c r="B5" s="2665">
        <v>1556</v>
      </c>
      <c r="C5" s="2665">
        <v>1679</v>
      </c>
      <c r="D5" s="2665">
        <v>1783</v>
      </c>
      <c r="E5" s="2665">
        <v>1783</v>
      </c>
      <c r="F5" s="2665">
        <v>1340</v>
      </c>
      <c r="G5" s="2665">
        <v>1361</v>
      </c>
      <c r="H5" s="1968">
        <f t="shared" ref="H5:H10" si="0">D5-F5+G5</f>
        <v>1804</v>
      </c>
      <c r="I5" s="1968">
        <f>+E5*(1+I6)</f>
        <v>1809.7449999999999</v>
      </c>
      <c r="J5" s="2100">
        <f>I5*(1+J6)</f>
        <v>1837.3436112499999</v>
      </c>
      <c r="K5" s="2100">
        <f>J5*(1+K6)</f>
        <v>1865.8224372243747</v>
      </c>
      <c r="L5" s="2100">
        <f>K5*(1+L6)</f>
        <v>1884.4806615966179</v>
      </c>
      <c r="M5" s="3042">
        <f>L5*(1+M6)</f>
        <v>1828.9248401378845</v>
      </c>
    </row>
    <row r="6" spans="1:13">
      <c r="A6" s="2911" t="s">
        <v>2650</v>
      </c>
      <c r="B6" s="2807"/>
      <c r="C6" s="2807"/>
      <c r="D6" s="2807"/>
      <c r="E6" s="2807"/>
      <c r="F6" s="2807"/>
      <c r="G6" s="471">
        <f>+G5/F5-1</f>
        <v>1.5671641791044744E-2</v>
      </c>
      <c r="H6" s="2916">
        <f t="shared" si="0"/>
        <v>1.5671641791044744E-2</v>
      </c>
      <c r="I6" s="2927">
        <v>1.4999999999999999E-2</v>
      </c>
      <c r="J6" s="2914">
        <f>+RevPAR!AG82</f>
        <v>1.525E-2</v>
      </c>
      <c r="K6" s="2914">
        <f>+RevPAR!AL82</f>
        <v>1.5499999999999903E-2</v>
      </c>
      <c r="L6" s="2914">
        <f>+RevPAR!AM82</f>
        <v>9.9999999999997868E-3</v>
      </c>
      <c r="M6" s="2915">
        <f>+RevPAR!AN82</f>
        <v>-2.9480706589827155E-2</v>
      </c>
    </row>
    <row r="7" spans="1:13">
      <c r="A7" s="1979" t="s">
        <v>2633</v>
      </c>
      <c r="B7" s="2807">
        <v>607</v>
      </c>
      <c r="C7" s="2807">
        <v>644</v>
      </c>
      <c r="D7" s="2807">
        <v>691</v>
      </c>
      <c r="E7" s="2807">
        <v>691</v>
      </c>
      <c r="F7" s="2807">
        <v>512</v>
      </c>
      <c r="G7" s="2807">
        <v>536</v>
      </c>
      <c r="H7" s="2916">
        <f t="shared" si="0"/>
        <v>715</v>
      </c>
      <c r="I7" s="2916">
        <f>+E7*(1+I8)</f>
        <v>704.82</v>
      </c>
      <c r="J7" s="2730">
        <f>I7*(1+J8)</f>
        <v>715.56850500000007</v>
      </c>
      <c r="K7" s="2730">
        <f>J7*(1+K8)</f>
        <v>726.65981682749998</v>
      </c>
      <c r="L7" s="2730">
        <f>K7*(1+L8)</f>
        <v>733.92641499577485</v>
      </c>
      <c r="M7" s="2923">
        <f>L7*(1+M8)</f>
        <v>712.28974569676075</v>
      </c>
    </row>
    <row r="8" spans="1:13">
      <c r="A8" s="2911" t="s">
        <v>2650</v>
      </c>
      <c r="B8" s="2807"/>
      <c r="C8" s="2807"/>
      <c r="D8" s="2807"/>
      <c r="E8" s="2807"/>
      <c r="F8" s="2807"/>
      <c r="G8" s="471">
        <f>+G7/F7-1</f>
        <v>4.6875E-2</v>
      </c>
      <c r="H8" s="2916">
        <f t="shared" si="0"/>
        <v>4.6875E-2</v>
      </c>
      <c r="I8" s="2927">
        <v>0.02</v>
      </c>
      <c r="J8" s="2914">
        <f>+J6</f>
        <v>1.525E-2</v>
      </c>
      <c r="K8" s="2914">
        <f>+K6</f>
        <v>1.5499999999999903E-2</v>
      </c>
      <c r="L8" s="2914">
        <f>+L6</f>
        <v>9.9999999999997868E-3</v>
      </c>
      <c r="M8" s="2915">
        <f>+M6</f>
        <v>-2.9480706589827155E-2</v>
      </c>
    </row>
    <row r="9" spans="1:13">
      <c r="A9" s="1979" t="s">
        <v>395</v>
      </c>
      <c r="B9" s="2807">
        <v>170</v>
      </c>
      <c r="C9" s="2807">
        <v>190</v>
      </c>
      <c r="D9" s="2807">
        <v>214</v>
      </c>
      <c r="E9" s="2807">
        <v>214</v>
      </c>
      <c r="F9" s="2807">
        <v>161</v>
      </c>
      <c r="G9" s="2807">
        <v>160</v>
      </c>
      <c r="H9" s="2916">
        <f t="shared" si="0"/>
        <v>213</v>
      </c>
      <c r="I9" s="2916">
        <f>+E9*(1+I10)</f>
        <v>216.67499999999998</v>
      </c>
      <c r="J9" s="2730">
        <f>I9*(1+J10)</f>
        <v>219.97929374999998</v>
      </c>
      <c r="K9" s="2730">
        <f>J9*(1+K10)</f>
        <v>223.38897280312494</v>
      </c>
      <c r="L9" s="2730">
        <f>K9*(1+L10)</f>
        <v>225.62286253115616</v>
      </c>
      <c r="M9" s="2923">
        <f>L9*(1+M10)</f>
        <v>218.97134112091823</v>
      </c>
    </row>
    <row r="10" spans="1:13">
      <c r="A10" s="2911" t="s">
        <v>2650</v>
      </c>
      <c r="B10" s="2807"/>
      <c r="C10" s="2807"/>
      <c r="D10" s="2807"/>
      <c r="E10" s="2807"/>
      <c r="F10" s="2807"/>
      <c r="G10" s="471">
        <f>+G9/F9-1</f>
        <v>-6.2111801242236142E-3</v>
      </c>
      <c r="H10" s="2916">
        <f t="shared" si="0"/>
        <v>-6.2111801242236142E-3</v>
      </c>
      <c r="I10" s="2927">
        <v>1.2500000000000001E-2</v>
      </c>
      <c r="J10" s="2914">
        <f>+J6</f>
        <v>1.525E-2</v>
      </c>
      <c r="K10" s="2914">
        <f>+K6</f>
        <v>1.5499999999999903E-2</v>
      </c>
      <c r="L10" s="2914">
        <f>+L6</f>
        <v>9.9999999999997868E-3</v>
      </c>
      <c r="M10" s="2915">
        <f>+M6</f>
        <v>-2.9480706589827155E-2</v>
      </c>
    </row>
    <row r="11" spans="1:13" ht="4.5" customHeight="1">
      <c r="A11" s="1979"/>
      <c r="B11" s="2885" t="s">
        <v>587</v>
      </c>
      <c r="C11" s="2885" t="s">
        <v>587</v>
      </c>
      <c r="D11" s="2885" t="s">
        <v>587</v>
      </c>
      <c r="E11" s="2885" t="s">
        <v>587</v>
      </c>
      <c r="F11" s="2885" t="s">
        <v>587</v>
      </c>
      <c r="G11" s="2885" t="s">
        <v>587</v>
      </c>
      <c r="H11" s="2885" t="s">
        <v>587</v>
      </c>
      <c r="I11" s="2885" t="s">
        <v>587</v>
      </c>
      <c r="J11" s="2886" t="s">
        <v>587</v>
      </c>
      <c r="K11" s="2886" t="s">
        <v>587</v>
      </c>
      <c r="L11" s="2886" t="s">
        <v>587</v>
      </c>
      <c r="M11" s="2887" t="s">
        <v>587</v>
      </c>
    </row>
    <row r="12" spans="1:13">
      <c r="A12" s="505" t="s">
        <v>2629</v>
      </c>
      <c r="B12" s="580">
        <f>SUM(B5:B11)</f>
        <v>2333</v>
      </c>
      <c r="C12" s="580">
        <f>SUM(C5:C11)</f>
        <v>2513</v>
      </c>
      <c r="D12" s="580">
        <f>SUM(D5:D11)</f>
        <v>2688</v>
      </c>
      <c r="E12" s="580">
        <f>SUM(E5:E11)</f>
        <v>2688</v>
      </c>
      <c r="F12" s="317">
        <f>+F9+F7+F5</f>
        <v>2013</v>
      </c>
      <c r="G12" s="580">
        <f t="shared" ref="G12:M12" si="1">+G9+G7+G5</f>
        <v>2057</v>
      </c>
      <c r="H12" s="580">
        <f t="shared" si="1"/>
        <v>2732</v>
      </c>
      <c r="I12" s="580">
        <f t="shared" si="1"/>
        <v>2731.24</v>
      </c>
      <c r="J12" s="3043">
        <f t="shared" si="1"/>
        <v>2772.8914100000002</v>
      </c>
      <c r="K12" s="3043">
        <f t="shared" si="1"/>
        <v>2815.8712268549998</v>
      </c>
      <c r="L12" s="3043">
        <f t="shared" si="1"/>
        <v>2844.029939123549</v>
      </c>
      <c r="M12" s="3044">
        <f t="shared" si="1"/>
        <v>2760.1859269555634</v>
      </c>
    </row>
    <row r="13" spans="1:13">
      <c r="A13" s="2911" t="s">
        <v>2650</v>
      </c>
      <c r="B13" s="2916"/>
      <c r="C13" s="2924">
        <f>+C12/B12-1</f>
        <v>7.7153879125589464E-2</v>
      </c>
      <c r="D13" s="2924">
        <f>+D12/C12-1</f>
        <v>6.9637883008356605E-2</v>
      </c>
      <c r="E13" s="2924">
        <f>+E12/C12-1</f>
        <v>6.9637883008356605E-2</v>
      </c>
      <c r="F13" s="2916"/>
      <c r="G13" s="471">
        <f>+G12/F12-1</f>
        <v>2.1857923497267784E-2</v>
      </c>
      <c r="H13" s="2916"/>
      <c r="I13" s="471">
        <f>+I12/E12-1</f>
        <v>1.6086309523809517E-2</v>
      </c>
      <c r="J13" s="2924">
        <f>+J12/I12-1</f>
        <v>1.5250000000000208E-2</v>
      </c>
      <c r="K13" s="2924">
        <f>+K12/J12-1</f>
        <v>1.5499999999999847E-2</v>
      </c>
      <c r="L13" s="2924">
        <f>+L12/K12-1</f>
        <v>9.9999999999997868E-3</v>
      </c>
      <c r="M13" s="2925">
        <f>+M12/L12-1</f>
        <v>-2.9480706589827266E-2</v>
      </c>
    </row>
    <row r="14" spans="1:13">
      <c r="A14" s="1898"/>
      <c r="B14" s="1777"/>
      <c r="C14" s="1777"/>
      <c r="D14" s="1777"/>
      <c r="E14" s="1777"/>
      <c r="F14" s="1777"/>
      <c r="G14" s="1777"/>
      <c r="H14" s="2916"/>
      <c r="I14" s="1777"/>
      <c r="J14" s="1752"/>
      <c r="K14" s="1752"/>
      <c r="L14" s="1752"/>
      <c r="M14" s="2836"/>
    </row>
    <row r="15" spans="1:13" outlineLevel="1">
      <c r="A15" s="505" t="s">
        <v>2630</v>
      </c>
      <c r="B15" s="1777"/>
      <c r="C15" s="1777"/>
      <c r="D15" s="1777"/>
      <c r="E15" s="1777"/>
      <c r="F15" s="1777"/>
      <c r="G15" s="1777"/>
      <c r="H15" s="2916"/>
      <c r="I15" s="1777"/>
      <c r="J15" s="1752"/>
      <c r="K15" s="1752"/>
      <c r="L15" s="1752"/>
      <c r="M15" s="2836"/>
    </row>
    <row r="16" spans="1:13" outlineLevel="1">
      <c r="A16" s="1979" t="s">
        <v>2631</v>
      </c>
      <c r="B16" s="2807">
        <v>422</v>
      </c>
      <c r="C16" s="2807">
        <v>457</v>
      </c>
      <c r="D16" s="2807">
        <v>456</v>
      </c>
      <c r="E16" s="2807">
        <v>456</v>
      </c>
      <c r="F16" s="2807">
        <v>343</v>
      </c>
      <c r="G16" s="2807">
        <v>352</v>
      </c>
      <c r="H16" s="2916">
        <f t="shared" ref="H16:H23" si="2">D16-F16+G16</f>
        <v>465</v>
      </c>
      <c r="I16" s="2807"/>
      <c r="J16" s="2781"/>
      <c r="K16" s="2781"/>
      <c r="L16" s="2781"/>
      <c r="M16" s="2926"/>
    </row>
    <row r="17" spans="1:13" outlineLevel="1">
      <c r="A17" s="1979" t="s">
        <v>2633</v>
      </c>
      <c r="B17" s="2807">
        <v>437</v>
      </c>
      <c r="C17" s="2807">
        <v>454</v>
      </c>
      <c r="D17" s="2807">
        <v>487</v>
      </c>
      <c r="E17" s="2807">
        <v>487</v>
      </c>
      <c r="F17" s="2807">
        <v>362</v>
      </c>
      <c r="G17" s="2807">
        <v>375</v>
      </c>
      <c r="H17" s="2916">
        <f t="shared" si="2"/>
        <v>500</v>
      </c>
      <c r="I17" s="2807"/>
      <c r="J17" s="2781"/>
      <c r="K17" s="2781"/>
      <c r="L17" s="2781"/>
      <c r="M17" s="2926"/>
    </row>
    <row r="18" spans="1:13" outlineLevel="1">
      <c r="A18" s="1979" t="s">
        <v>2632</v>
      </c>
      <c r="B18" s="2807">
        <v>556</v>
      </c>
      <c r="C18" s="2807">
        <v>592</v>
      </c>
      <c r="D18" s="2807">
        <v>650</v>
      </c>
      <c r="E18" s="2807">
        <v>647</v>
      </c>
      <c r="F18" s="2807">
        <v>487</v>
      </c>
      <c r="G18" s="2807">
        <v>500</v>
      </c>
      <c r="H18" s="2916">
        <f t="shared" si="2"/>
        <v>663</v>
      </c>
      <c r="I18" s="2807"/>
      <c r="J18" s="2781"/>
      <c r="K18" s="2781"/>
      <c r="L18" s="2781"/>
      <c r="M18" s="2926"/>
    </row>
    <row r="19" spans="1:13" outlineLevel="1">
      <c r="A19" s="1979" t="s">
        <v>2634</v>
      </c>
      <c r="B19" s="2807">
        <v>178</v>
      </c>
      <c r="C19" s="2807">
        <v>178</v>
      </c>
      <c r="D19" s="2807">
        <v>180</v>
      </c>
      <c r="E19" s="2807">
        <v>180</v>
      </c>
      <c r="F19" s="2807">
        <v>135</v>
      </c>
      <c r="G19" s="2807">
        <v>135</v>
      </c>
      <c r="H19" s="2916">
        <f t="shared" si="2"/>
        <v>180</v>
      </c>
      <c r="I19" s="2807"/>
      <c r="J19" s="2781"/>
      <c r="K19" s="2781"/>
      <c r="L19" s="2781"/>
      <c r="M19" s="2926"/>
    </row>
    <row r="20" spans="1:13" outlineLevel="1">
      <c r="A20" s="1979" t="s">
        <v>2635</v>
      </c>
      <c r="B20" s="2807">
        <v>61</v>
      </c>
      <c r="C20" s="2807">
        <v>77</v>
      </c>
      <c r="D20" s="2807">
        <v>89</v>
      </c>
      <c r="E20" s="2807">
        <v>138</v>
      </c>
      <c r="F20" s="2807">
        <v>69</v>
      </c>
      <c r="G20" s="2807">
        <v>73</v>
      </c>
      <c r="H20" s="2916">
        <f t="shared" si="2"/>
        <v>93</v>
      </c>
      <c r="I20" s="2807"/>
      <c r="J20" s="2781"/>
      <c r="K20" s="2781"/>
      <c r="L20" s="2781"/>
      <c r="M20" s="2926"/>
    </row>
    <row r="21" spans="1:13" outlineLevel="1">
      <c r="A21" s="1979" t="s">
        <v>2647</v>
      </c>
      <c r="B21" s="2807">
        <v>0</v>
      </c>
      <c r="C21" s="2807">
        <v>0</v>
      </c>
      <c r="D21" s="2807">
        <v>0</v>
      </c>
      <c r="E21" s="2807">
        <v>0</v>
      </c>
      <c r="F21" s="2807">
        <v>0</v>
      </c>
      <c r="G21" s="2807">
        <v>15</v>
      </c>
      <c r="H21" s="2916">
        <f t="shared" si="2"/>
        <v>15</v>
      </c>
      <c r="I21" s="2807"/>
      <c r="J21" s="2781"/>
      <c r="K21" s="2781"/>
      <c r="L21" s="2781"/>
      <c r="M21" s="2926"/>
    </row>
    <row r="22" spans="1:13" outlineLevel="1">
      <c r="A22" s="1979" t="s">
        <v>2165</v>
      </c>
      <c r="B22" s="2807">
        <v>246</v>
      </c>
      <c r="C22" s="2807">
        <v>248</v>
      </c>
      <c r="D22" s="2807">
        <v>287</v>
      </c>
      <c r="E22" s="2807">
        <v>287</v>
      </c>
      <c r="F22" s="2807">
        <v>212</v>
      </c>
      <c r="G22" s="2807">
        <v>220</v>
      </c>
      <c r="H22" s="2916">
        <f t="shared" si="2"/>
        <v>295</v>
      </c>
      <c r="I22" s="2807">
        <f>(G22/F22)*D22</f>
        <v>297.83018867924528</v>
      </c>
      <c r="J22" s="2730">
        <f>+I22*1.02</f>
        <v>303.78679245283018</v>
      </c>
      <c r="K22" s="2730">
        <f>+J22*1.02</f>
        <v>309.86252830188681</v>
      </c>
      <c r="L22" s="2730">
        <f>+K22*1.02</f>
        <v>316.05977886792454</v>
      </c>
      <c r="M22" s="2923">
        <f>+L22*1.02</f>
        <v>322.38097444528302</v>
      </c>
    </row>
    <row r="23" spans="1:13" outlineLevel="1">
      <c r="A23" s="1979" t="s">
        <v>2636</v>
      </c>
      <c r="B23" s="2807">
        <v>103</v>
      </c>
      <c r="C23" s="2807">
        <v>67</v>
      </c>
      <c r="D23" s="2807">
        <v>96</v>
      </c>
      <c r="E23" s="2807">
        <v>89</v>
      </c>
      <c r="F23" s="2807">
        <v>80</v>
      </c>
      <c r="G23" s="2807">
        <v>56</v>
      </c>
      <c r="H23" s="2916">
        <f t="shared" si="2"/>
        <v>72</v>
      </c>
      <c r="I23" s="2807"/>
      <c r="J23" s="2781"/>
      <c r="K23" s="2781"/>
      <c r="L23" s="2781"/>
      <c r="M23" s="2926"/>
    </row>
    <row r="24" spans="1:13" ht="4.5" customHeight="1" outlineLevel="1">
      <c r="A24" s="1979"/>
      <c r="B24" s="2885" t="s">
        <v>587</v>
      </c>
      <c r="C24" s="2885" t="s">
        <v>587</v>
      </c>
      <c r="D24" s="2885" t="s">
        <v>587</v>
      </c>
      <c r="E24" s="2885" t="s">
        <v>587</v>
      </c>
      <c r="F24" s="2885" t="s">
        <v>587</v>
      </c>
      <c r="G24" s="2885" t="s">
        <v>587</v>
      </c>
      <c r="H24" s="2885" t="s">
        <v>587</v>
      </c>
      <c r="I24" s="2885" t="s">
        <v>587</v>
      </c>
      <c r="J24" s="2886" t="s">
        <v>587</v>
      </c>
      <c r="K24" s="2886" t="s">
        <v>587</v>
      </c>
      <c r="L24" s="2886" t="s">
        <v>587</v>
      </c>
      <c r="M24" s="2887" t="s">
        <v>587</v>
      </c>
    </row>
    <row r="25" spans="1:13">
      <c r="A25" s="505" t="s">
        <v>2083</v>
      </c>
      <c r="B25" s="580">
        <f t="shared" ref="B25:H25" si="3">SUM(B16:B24)</f>
        <v>2003</v>
      </c>
      <c r="C25" s="580">
        <f t="shared" si="3"/>
        <v>2073</v>
      </c>
      <c r="D25" s="580">
        <f t="shared" si="3"/>
        <v>2245</v>
      </c>
      <c r="E25" s="580">
        <f>SUM(E16:E24)</f>
        <v>2284</v>
      </c>
      <c r="F25" s="580">
        <f t="shared" si="3"/>
        <v>1688</v>
      </c>
      <c r="G25" s="580">
        <f t="shared" si="3"/>
        <v>1726</v>
      </c>
      <c r="H25" s="580">
        <f t="shared" si="3"/>
        <v>2283</v>
      </c>
      <c r="I25" s="580">
        <f>+E25*(1+I26)</f>
        <v>2341.1</v>
      </c>
      <c r="J25" s="3043">
        <f>I25*(1+J26)</f>
        <v>2376.2164999999995</v>
      </c>
      <c r="K25" s="3043">
        <f>J25*(1+K26)</f>
        <v>2399.9786649999996</v>
      </c>
      <c r="L25" s="3043">
        <f>K25*(1+L26)</f>
        <v>2339.9791983749997</v>
      </c>
      <c r="M25" s="3044">
        <f>L25*(1+M26)</f>
        <v>2222.9802384562495</v>
      </c>
    </row>
    <row r="26" spans="1:13">
      <c r="A26" s="2911" t="s">
        <v>2650</v>
      </c>
      <c r="B26" s="2916"/>
      <c r="C26" s="2924">
        <f>+C25/B25-1</f>
        <v>3.494757863205189E-2</v>
      </c>
      <c r="D26" s="2924">
        <f>+D25/C25-1</f>
        <v>8.297153883260977E-2</v>
      </c>
      <c r="E26" s="2924">
        <f>+E25/C25-1</f>
        <v>0.10178485287023631</v>
      </c>
      <c r="F26" s="2916"/>
      <c r="G26" s="471">
        <f>+G25/F25-1</f>
        <v>2.2511848341232321E-2</v>
      </c>
      <c r="H26" s="2916"/>
      <c r="I26" s="2927">
        <v>2.5000000000000001E-2</v>
      </c>
      <c r="J26" s="2927">
        <v>1.4999999999999999E-2</v>
      </c>
      <c r="K26" s="2927">
        <v>0.01</v>
      </c>
      <c r="L26" s="2927">
        <v>-2.5000000000000001E-2</v>
      </c>
      <c r="M26" s="2928">
        <v>-0.05</v>
      </c>
    </row>
    <row r="27" spans="1:13">
      <c r="A27" s="2911"/>
      <c r="B27" s="2916"/>
      <c r="C27" s="2916"/>
      <c r="D27" s="2916"/>
      <c r="E27" s="2916"/>
      <c r="F27" s="2916"/>
      <c r="G27" s="2916"/>
      <c r="H27" s="2916"/>
      <c r="I27" s="2916"/>
      <c r="J27" s="2927"/>
      <c r="K27" s="2927"/>
      <c r="L27" s="2927"/>
      <c r="M27" s="2928"/>
    </row>
    <row r="28" spans="1:13">
      <c r="A28" s="1979" t="s">
        <v>2637</v>
      </c>
      <c r="B28" s="2807">
        <v>0</v>
      </c>
      <c r="C28" s="2807">
        <v>0</v>
      </c>
      <c r="D28" s="2807">
        <v>143</v>
      </c>
      <c r="E28" s="2807">
        <v>143</v>
      </c>
      <c r="F28" s="2807">
        <v>143</v>
      </c>
      <c r="G28" s="2807">
        <v>1</v>
      </c>
      <c r="H28" s="2916">
        <f t="shared" ref="H28:H37" si="4">D28-F28+G28</f>
        <v>1</v>
      </c>
      <c r="I28" s="2807">
        <v>0</v>
      </c>
      <c r="J28" s="2781">
        <v>0</v>
      </c>
      <c r="K28" s="2781">
        <v>0</v>
      </c>
      <c r="L28" s="2781">
        <v>0</v>
      </c>
      <c r="M28" s="2926">
        <v>0</v>
      </c>
    </row>
    <row r="29" spans="1:13" ht="4.5" customHeight="1">
      <c r="A29" s="1979"/>
      <c r="B29" s="2885" t="s">
        <v>587</v>
      </c>
      <c r="C29" s="2885" t="s">
        <v>587</v>
      </c>
      <c r="D29" s="2885" t="s">
        <v>587</v>
      </c>
      <c r="E29" s="2885" t="s">
        <v>587</v>
      </c>
      <c r="F29" s="2885" t="s">
        <v>587</v>
      </c>
      <c r="G29" s="2885" t="s">
        <v>587</v>
      </c>
      <c r="H29" s="2885" t="s">
        <v>587</v>
      </c>
      <c r="I29" s="2885" t="s">
        <v>587</v>
      </c>
      <c r="J29" s="2886" t="s">
        <v>587</v>
      </c>
      <c r="K29" s="2886" t="s">
        <v>587</v>
      </c>
      <c r="L29" s="2886" t="s">
        <v>587</v>
      </c>
      <c r="M29" s="2887" t="s">
        <v>587</v>
      </c>
    </row>
    <row r="30" spans="1:13">
      <c r="A30" s="505" t="s">
        <v>199</v>
      </c>
      <c r="B30" s="580">
        <f t="shared" ref="B30:G30" si="5">B12-B25+B28</f>
        <v>330</v>
      </c>
      <c r="C30" s="580">
        <f t="shared" si="5"/>
        <v>440</v>
      </c>
      <c r="D30" s="580">
        <f t="shared" si="5"/>
        <v>586</v>
      </c>
      <c r="E30" s="580">
        <f t="shared" si="5"/>
        <v>547</v>
      </c>
      <c r="F30" s="580">
        <f t="shared" si="5"/>
        <v>468</v>
      </c>
      <c r="G30" s="580">
        <f t="shared" si="5"/>
        <v>332</v>
      </c>
      <c r="H30" s="580">
        <f t="shared" si="4"/>
        <v>450</v>
      </c>
      <c r="I30" s="3043">
        <f>I12-I25+I28</f>
        <v>390.13999999999987</v>
      </c>
      <c r="J30" s="3043">
        <f>J12-J25+J28</f>
        <v>396.67491000000064</v>
      </c>
      <c r="K30" s="3043">
        <f>K12-K25+K28</f>
        <v>415.89256185500017</v>
      </c>
      <c r="L30" s="3043">
        <f>L12-L25+L28</f>
        <v>504.05074074854929</v>
      </c>
      <c r="M30" s="3044">
        <f>M12-M25+M28</f>
        <v>537.20568849931396</v>
      </c>
    </row>
    <row r="31" spans="1:13">
      <c r="A31" s="505"/>
      <c r="B31" s="2916"/>
      <c r="C31" s="2916"/>
      <c r="D31" s="2916"/>
      <c r="E31" s="2916"/>
      <c r="F31" s="2807"/>
      <c r="G31" s="2807"/>
      <c r="H31" s="2916"/>
      <c r="I31" s="2730"/>
      <c r="J31" s="2730"/>
      <c r="K31" s="2730"/>
      <c r="L31" s="2730"/>
      <c r="M31" s="2923"/>
    </row>
    <row r="32" spans="1:13">
      <c r="A32" s="1979" t="s">
        <v>578</v>
      </c>
      <c r="B32" s="2807">
        <v>2</v>
      </c>
      <c r="C32" s="2807">
        <v>1</v>
      </c>
      <c r="D32" s="2807">
        <v>1</v>
      </c>
      <c r="E32" s="2807">
        <v>1</v>
      </c>
      <c r="F32" s="2807">
        <v>1</v>
      </c>
      <c r="G32" s="2807">
        <v>1</v>
      </c>
      <c r="H32" s="2916">
        <f t="shared" si="4"/>
        <v>1</v>
      </c>
      <c r="I32" s="2929">
        <f>D32</f>
        <v>1</v>
      </c>
      <c r="J32" s="2730">
        <f t="shared" ref="J32:M34" si="6">I32</f>
        <v>1</v>
      </c>
      <c r="K32" s="2730">
        <f t="shared" si="6"/>
        <v>1</v>
      </c>
      <c r="L32" s="2730">
        <f t="shared" si="6"/>
        <v>1</v>
      </c>
      <c r="M32" s="2923">
        <f t="shared" si="6"/>
        <v>1</v>
      </c>
    </row>
    <row r="33" spans="1:14">
      <c r="A33" s="1979" t="s">
        <v>577</v>
      </c>
      <c r="B33" s="2807">
        <v>-162</v>
      </c>
      <c r="C33" s="2807">
        <v>-186</v>
      </c>
      <c r="D33" s="2807">
        <v>-186</v>
      </c>
      <c r="E33" s="2807">
        <v>-120</v>
      </c>
      <c r="F33" s="2807">
        <v>-139</v>
      </c>
      <c r="G33" s="2807">
        <v>-141</v>
      </c>
      <c r="H33" s="2916">
        <f t="shared" si="4"/>
        <v>-188</v>
      </c>
      <c r="I33" s="2781">
        <f>+-I89*0.0366</f>
        <v>-110.7882</v>
      </c>
      <c r="J33" s="2781">
        <f>+-J89*0.0366</f>
        <v>-110.7882</v>
      </c>
      <c r="K33" s="2781">
        <f>+-K89*0.0366</f>
        <v>-110.7882</v>
      </c>
      <c r="L33" s="2781">
        <f>+-L89*0.0366</f>
        <v>-110.7882</v>
      </c>
      <c r="M33" s="2926">
        <f>+-M89*0.0366</f>
        <v>-110.7882</v>
      </c>
    </row>
    <row r="34" spans="1:14">
      <c r="A34" s="1979" t="s">
        <v>2638</v>
      </c>
      <c r="B34" s="2807">
        <v>13</v>
      </c>
      <c r="C34" s="2807">
        <v>16</v>
      </c>
      <c r="D34" s="2807">
        <v>22</v>
      </c>
      <c r="E34" s="2807">
        <v>22</v>
      </c>
      <c r="F34" s="2807">
        <v>18</v>
      </c>
      <c r="G34" s="2807">
        <v>16</v>
      </c>
      <c r="H34" s="2916">
        <f t="shared" si="4"/>
        <v>20</v>
      </c>
      <c r="I34" s="2929">
        <f>E34</f>
        <v>22</v>
      </c>
      <c r="J34" s="2730">
        <f t="shared" si="6"/>
        <v>22</v>
      </c>
      <c r="K34" s="2730">
        <f t="shared" si="6"/>
        <v>22</v>
      </c>
      <c r="L34" s="2730">
        <f t="shared" si="6"/>
        <v>22</v>
      </c>
      <c r="M34" s="2923">
        <f t="shared" si="6"/>
        <v>22</v>
      </c>
    </row>
    <row r="35" spans="1:14">
      <c r="A35" s="1979" t="s">
        <v>2639</v>
      </c>
      <c r="B35" s="2807">
        <v>0</v>
      </c>
      <c r="C35" s="2807">
        <v>2</v>
      </c>
      <c r="D35" s="2807">
        <v>0</v>
      </c>
      <c r="E35" s="2807">
        <v>0</v>
      </c>
      <c r="F35" s="2807">
        <v>0</v>
      </c>
      <c r="G35" s="2807">
        <v>0</v>
      </c>
      <c r="H35" s="2916">
        <f t="shared" si="4"/>
        <v>0</v>
      </c>
      <c r="I35" s="2916">
        <f>D35</f>
        <v>0</v>
      </c>
      <c r="J35" s="2730">
        <f t="shared" ref="J35:M36" si="7">I35/4</f>
        <v>0</v>
      </c>
      <c r="K35" s="2730">
        <f t="shared" si="7"/>
        <v>0</v>
      </c>
      <c r="L35" s="2730">
        <f t="shared" si="7"/>
        <v>0</v>
      </c>
      <c r="M35" s="2923">
        <f t="shared" si="7"/>
        <v>0</v>
      </c>
    </row>
    <row r="36" spans="1:14">
      <c r="A36" s="1979" t="s">
        <v>2640</v>
      </c>
      <c r="B36" s="2807">
        <v>68</v>
      </c>
      <c r="C36" s="2807">
        <v>0</v>
      </c>
      <c r="D36" s="2807">
        <v>0</v>
      </c>
      <c r="E36" s="2807">
        <v>0</v>
      </c>
      <c r="F36" s="2807">
        <v>0</v>
      </c>
      <c r="G36" s="2807">
        <v>0</v>
      </c>
      <c r="H36" s="2916">
        <f t="shared" si="4"/>
        <v>0</v>
      </c>
      <c r="I36" s="2916">
        <f>D36</f>
        <v>0</v>
      </c>
      <c r="J36" s="2730">
        <f t="shared" si="7"/>
        <v>0</v>
      </c>
      <c r="K36" s="2730">
        <f t="shared" si="7"/>
        <v>0</v>
      </c>
      <c r="L36" s="2730">
        <f t="shared" si="7"/>
        <v>0</v>
      </c>
      <c r="M36" s="2923">
        <f t="shared" si="7"/>
        <v>0</v>
      </c>
    </row>
    <row r="37" spans="1:14">
      <c r="A37" s="1979" t="s">
        <v>2149</v>
      </c>
      <c r="B37" s="2807">
        <v>0</v>
      </c>
      <c r="C37" s="2807">
        <v>25</v>
      </c>
      <c r="D37" s="2807">
        <v>-6</v>
      </c>
      <c r="E37" s="2807">
        <v>-6</v>
      </c>
      <c r="F37" s="2807">
        <v>-5</v>
      </c>
      <c r="G37" s="2807">
        <v>-7</v>
      </c>
      <c r="H37" s="2916">
        <f t="shared" si="4"/>
        <v>-8</v>
      </c>
      <c r="I37" s="2916">
        <v>0</v>
      </c>
      <c r="J37" s="2781">
        <v>0</v>
      </c>
      <c r="K37" s="2781">
        <v>0</v>
      </c>
      <c r="L37" s="2781">
        <v>0</v>
      </c>
      <c r="M37" s="2926">
        <v>0</v>
      </c>
    </row>
    <row r="38" spans="1:14" s="1773" customFormat="1" ht="4.5" customHeight="1">
      <c r="A38" s="2930"/>
      <c r="B38" s="2885" t="s">
        <v>587</v>
      </c>
      <c r="C38" s="2885" t="s">
        <v>587</v>
      </c>
      <c r="D38" s="2885" t="s">
        <v>587</v>
      </c>
      <c r="E38" s="2885" t="s">
        <v>587</v>
      </c>
      <c r="F38" s="2885" t="s">
        <v>587</v>
      </c>
      <c r="G38" s="2885" t="s">
        <v>587</v>
      </c>
      <c r="H38" s="2885" t="s">
        <v>587</v>
      </c>
      <c r="I38" s="2885" t="s">
        <v>587</v>
      </c>
      <c r="J38" s="2886" t="s">
        <v>587</v>
      </c>
      <c r="K38" s="2886" t="s">
        <v>587</v>
      </c>
      <c r="L38" s="2886" t="s">
        <v>587</v>
      </c>
      <c r="M38" s="2887" t="s">
        <v>587</v>
      </c>
    </row>
    <row r="39" spans="1:14">
      <c r="A39" s="505" t="s">
        <v>2641</v>
      </c>
      <c r="B39" s="580">
        <f>B30+SUM(B32:B37)</f>
        <v>251</v>
      </c>
      <c r="C39" s="580">
        <f t="shared" ref="C39:L39" si="8">C30+SUM(C32:C37)</f>
        <v>298</v>
      </c>
      <c r="D39" s="580">
        <f t="shared" si="8"/>
        <v>417</v>
      </c>
      <c r="E39" s="580">
        <f>E30+SUM(E32:E37)</f>
        <v>444</v>
      </c>
      <c r="F39" s="580">
        <f>F30+SUM(F32:F37)</f>
        <v>343</v>
      </c>
      <c r="G39" s="580">
        <f>G30+SUM(G32:G37)</f>
        <v>201</v>
      </c>
      <c r="H39" s="580">
        <f t="shared" si="8"/>
        <v>275</v>
      </c>
      <c r="I39" s="3043">
        <f>I30+SUM(I32:I37)</f>
        <v>302.35179999999986</v>
      </c>
      <c r="J39" s="3043">
        <f t="shared" si="8"/>
        <v>308.88671000000062</v>
      </c>
      <c r="K39" s="3043">
        <f t="shared" si="8"/>
        <v>328.10436185500015</v>
      </c>
      <c r="L39" s="3043">
        <f t="shared" si="8"/>
        <v>416.26254074854927</v>
      </c>
      <c r="M39" s="3044">
        <f>M30+SUM(M32:M37)</f>
        <v>449.41748849931395</v>
      </c>
    </row>
    <row r="40" spans="1:14">
      <c r="A40" s="1979" t="s">
        <v>1904</v>
      </c>
      <c r="B40" s="2807">
        <v>-104</v>
      </c>
      <c r="C40" s="2807">
        <v>-117</v>
      </c>
      <c r="D40" s="2807">
        <v>-118</v>
      </c>
      <c r="E40" s="2807">
        <v>-29</v>
      </c>
      <c r="F40" s="2807">
        <v>-113</v>
      </c>
      <c r="G40" s="2807">
        <v>-79</v>
      </c>
      <c r="H40" s="2916">
        <f>D40-F40+G40</f>
        <v>-84</v>
      </c>
      <c r="I40" s="2807">
        <f>+-I39*0.07</f>
        <v>-21.164625999999991</v>
      </c>
      <c r="J40" s="2781">
        <f>+-J39*0.07</f>
        <v>-21.622069700000047</v>
      </c>
      <c r="K40" s="2781">
        <f>+-K39*0.07</f>
        <v>-22.967305329850014</v>
      </c>
      <c r="L40" s="2781">
        <f>+-L39*0.07</f>
        <v>-29.138377852398452</v>
      </c>
      <c r="M40" s="2926">
        <f>+-M39*0.07</f>
        <v>-31.459224194951979</v>
      </c>
      <c r="N40" s="1775"/>
    </row>
    <row r="41" spans="1:14" hidden="1" outlineLevel="1">
      <c r="A41" s="2911" t="s">
        <v>2648</v>
      </c>
      <c r="B41" s="2931">
        <f t="shared" ref="B41:G41" si="9">-B40/B39</f>
        <v>0.41434262948207173</v>
      </c>
      <c r="C41" s="2931">
        <f t="shared" si="9"/>
        <v>0.39261744966442952</v>
      </c>
      <c r="D41" s="2931">
        <f t="shared" si="9"/>
        <v>0.28297362110311752</v>
      </c>
      <c r="E41" s="2931">
        <f t="shared" si="9"/>
        <v>6.5315315315315314E-2</v>
      </c>
      <c r="F41" s="2931">
        <f t="shared" si="9"/>
        <v>0.32944606413994171</v>
      </c>
      <c r="G41" s="2931">
        <f t="shared" si="9"/>
        <v>0.39303482587064675</v>
      </c>
      <c r="H41" s="2916">
        <f>D41-F41+G41</f>
        <v>0.34656238283382257</v>
      </c>
      <c r="I41" s="2931">
        <f>G41</f>
        <v>0.39303482587064675</v>
      </c>
      <c r="J41" s="2932">
        <f>I41</f>
        <v>0.39303482587064675</v>
      </c>
      <c r="K41" s="2932">
        <f>J41</f>
        <v>0.39303482587064675</v>
      </c>
      <c r="L41" s="2932">
        <f>K41</f>
        <v>0.39303482587064675</v>
      </c>
      <c r="M41" s="2933">
        <f>L41</f>
        <v>0.39303482587064675</v>
      </c>
    </row>
    <row r="42" spans="1:14" collapsed="1">
      <c r="A42" s="505" t="s">
        <v>396</v>
      </c>
      <c r="B42" s="317">
        <f t="shared" ref="B42:G42" si="10">SUM(B39:B40)</f>
        <v>147</v>
      </c>
      <c r="C42" s="317">
        <f t="shared" si="10"/>
        <v>181</v>
      </c>
      <c r="D42" s="317">
        <f t="shared" si="10"/>
        <v>299</v>
      </c>
      <c r="E42" s="317">
        <f t="shared" si="10"/>
        <v>415</v>
      </c>
      <c r="F42" s="317">
        <f t="shared" si="10"/>
        <v>230</v>
      </c>
      <c r="G42" s="317">
        <f t="shared" si="10"/>
        <v>122</v>
      </c>
      <c r="H42" s="317">
        <f>D42-F42+G42</f>
        <v>191</v>
      </c>
      <c r="I42" s="317">
        <f>SUM(I39:I40)</f>
        <v>281.18717399999986</v>
      </c>
      <c r="J42" s="266">
        <f>SUM(J39:J40)</f>
        <v>287.26464030000056</v>
      </c>
      <c r="K42" s="266">
        <f>SUM(K39:K40)</f>
        <v>305.13705652515011</v>
      </c>
      <c r="L42" s="266">
        <f>SUM(L39:L40)</f>
        <v>387.12416289615084</v>
      </c>
      <c r="M42" s="2934">
        <f>SUM(M39:M40)</f>
        <v>417.95826430436199</v>
      </c>
    </row>
    <row r="43" spans="1:14">
      <c r="A43" s="505" t="s">
        <v>2642</v>
      </c>
      <c r="B43" s="2807">
        <v>-3</v>
      </c>
      <c r="C43" s="2807">
        <v>-5</v>
      </c>
      <c r="D43" s="2807">
        <v>-7</v>
      </c>
      <c r="E43" s="2807">
        <v>-7</v>
      </c>
      <c r="F43" s="2807">
        <v>-6</v>
      </c>
      <c r="G43" s="2807">
        <v>-6</v>
      </c>
      <c r="H43" s="2916">
        <f>D43-F43+G43</f>
        <v>-7</v>
      </c>
      <c r="I43" s="2929">
        <f>E43</f>
        <v>-7</v>
      </c>
      <c r="J43" s="2730">
        <f>+I43</f>
        <v>-7</v>
      </c>
      <c r="K43" s="2730">
        <f>+J43</f>
        <v>-7</v>
      </c>
      <c r="L43" s="2730">
        <f>+K43</f>
        <v>-7</v>
      </c>
      <c r="M43" s="2923">
        <f>+L43</f>
        <v>-7</v>
      </c>
    </row>
    <row r="44" spans="1:14" s="1773" customFormat="1" ht="4.5" customHeight="1">
      <c r="A44" s="2930"/>
      <c r="B44" s="2885" t="s">
        <v>587</v>
      </c>
      <c r="C44" s="2885" t="s">
        <v>587</v>
      </c>
      <c r="D44" s="2885" t="s">
        <v>587</v>
      </c>
      <c r="E44" s="2885" t="s">
        <v>587</v>
      </c>
      <c r="F44" s="2885" t="s">
        <v>587</v>
      </c>
      <c r="G44" s="2885" t="s">
        <v>587</v>
      </c>
      <c r="H44" s="2885" t="s">
        <v>587</v>
      </c>
      <c r="I44" s="2885" t="s">
        <v>587</v>
      </c>
      <c r="J44" s="2886" t="s">
        <v>587</v>
      </c>
      <c r="K44" s="2886" t="s">
        <v>587</v>
      </c>
      <c r="L44" s="2886" t="s">
        <v>587</v>
      </c>
      <c r="M44" s="2887" t="s">
        <v>587</v>
      </c>
    </row>
    <row r="45" spans="1:14">
      <c r="A45" s="505" t="s">
        <v>2644</v>
      </c>
      <c r="B45" s="580">
        <f t="shared" ref="B45:L45" si="11">B42+B43</f>
        <v>144</v>
      </c>
      <c r="C45" s="580">
        <f t="shared" si="11"/>
        <v>176</v>
      </c>
      <c r="D45" s="580">
        <f t="shared" si="11"/>
        <v>292</v>
      </c>
      <c r="E45" s="580">
        <f>E42+E43</f>
        <v>408</v>
      </c>
      <c r="F45" s="580">
        <f>F42+F43</f>
        <v>224</v>
      </c>
      <c r="G45" s="580">
        <f>G42+G43</f>
        <v>116</v>
      </c>
      <c r="H45" s="580">
        <f t="shared" si="11"/>
        <v>184</v>
      </c>
      <c r="I45" s="3043">
        <f t="shared" si="11"/>
        <v>274.18717399999986</v>
      </c>
      <c r="J45" s="3043">
        <f t="shared" si="11"/>
        <v>280.26464030000056</v>
      </c>
      <c r="K45" s="3043">
        <f t="shared" si="11"/>
        <v>298.13705652515011</v>
      </c>
      <c r="L45" s="3043">
        <f t="shared" si="11"/>
        <v>380.12416289615084</v>
      </c>
      <c r="M45" s="3044">
        <f>M42+M43</f>
        <v>410.95826430436199</v>
      </c>
    </row>
    <row r="46" spans="1:14">
      <c r="A46" s="1979" t="s">
        <v>2649</v>
      </c>
      <c r="B46" s="2807">
        <v>-10</v>
      </c>
      <c r="C46" s="2807">
        <v>-22</v>
      </c>
      <c r="D46" s="2807">
        <v>-12</v>
      </c>
      <c r="E46" s="2807">
        <v>0</v>
      </c>
      <c r="F46" s="2807">
        <v>-16</v>
      </c>
      <c r="G46" s="2807">
        <v>9</v>
      </c>
      <c r="H46" s="2916">
        <f>D46-F46+G46</f>
        <v>13</v>
      </c>
      <c r="I46" s="2916">
        <f>G46/4</f>
        <v>2.25</v>
      </c>
      <c r="J46" s="2730">
        <f>I46/4</f>
        <v>0.5625</v>
      </c>
      <c r="K46" s="2730">
        <f>J46/4</f>
        <v>0.140625</v>
      </c>
      <c r="L46" s="2730">
        <f>K46/4</f>
        <v>3.515625E-2</v>
      </c>
      <c r="M46" s="2923">
        <f>L46/4</f>
        <v>8.7890625E-3</v>
      </c>
    </row>
    <row r="47" spans="1:14" s="1773" customFormat="1" ht="4.5" customHeight="1">
      <c r="A47" s="2930"/>
      <c r="B47" s="2885" t="s">
        <v>587</v>
      </c>
      <c r="C47" s="2885" t="s">
        <v>587</v>
      </c>
      <c r="D47" s="2885" t="s">
        <v>587</v>
      </c>
      <c r="E47" s="2885" t="s">
        <v>587</v>
      </c>
      <c r="F47" s="2885" t="s">
        <v>587</v>
      </c>
      <c r="G47" s="2885" t="s">
        <v>587</v>
      </c>
      <c r="H47" s="2885" t="s">
        <v>587</v>
      </c>
      <c r="I47" s="2885" t="s">
        <v>587</v>
      </c>
      <c r="J47" s="2886" t="s">
        <v>587</v>
      </c>
      <c r="K47" s="2886" t="s">
        <v>587</v>
      </c>
      <c r="L47" s="2886" t="s">
        <v>587</v>
      </c>
      <c r="M47" s="2887" t="s">
        <v>587</v>
      </c>
    </row>
    <row r="48" spans="1:14">
      <c r="A48" s="505" t="s">
        <v>2645</v>
      </c>
      <c r="B48" s="580">
        <f t="shared" ref="B48:L48" si="12">B42+B46</f>
        <v>137</v>
      </c>
      <c r="C48" s="580">
        <f t="shared" si="12"/>
        <v>159</v>
      </c>
      <c r="D48" s="580">
        <f t="shared" si="12"/>
        <v>287</v>
      </c>
      <c r="E48" s="580">
        <f>E42+E46</f>
        <v>415</v>
      </c>
      <c r="F48" s="580">
        <f>F42+F46</f>
        <v>214</v>
      </c>
      <c r="G48" s="580">
        <f>G42+G46</f>
        <v>131</v>
      </c>
      <c r="H48" s="580">
        <f t="shared" si="12"/>
        <v>204</v>
      </c>
      <c r="I48" s="3043">
        <f t="shared" si="12"/>
        <v>283.43717399999986</v>
      </c>
      <c r="J48" s="3043">
        <f t="shared" si="12"/>
        <v>287.82714030000056</v>
      </c>
      <c r="K48" s="3043">
        <f t="shared" si="12"/>
        <v>305.27768152515011</v>
      </c>
      <c r="L48" s="3043">
        <f t="shared" si="12"/>
        <v>387.15931914615084</v>
      </c>
      <c r="M48" s="3044">
        <f>M42+M46</f>
        <v>417.96705336686199</v>
      </c>
    </row>
    <row r="49" spans="1:13">
      <c r="A49" s="505" t="s">
        <v>2643</v>
      </c>
      <c r="B49" s="2807">
        <v>-3</v>
      </c>
      <c r="C49" s="2807">
        <v>-5</v>
      </c>
      <c r="D49" s="2807">
        <v>-7</v>
      </c>
      <c r="E49" s="2807">
        <v>0</v>
      </c>
      <c r="F49" s="2807">
        <v>-6</v>
      </c>
      <c r="G49" s="2807">
        <v>-6</v>
      </c>
      <c r="H49" s="2916">
        <f>D49-F49+G49</f>
        <v>-7</v>
      </c>
      <c r="I49" s="2916">
        <v>0</v>
      </c>
      <c r="J49" s="2730">
        <f>I49/4</f>
        <v>0</v>
      </c>
      <c r="K49" s="2730">
        <f>J49/4</f>
        <v>0</v>
      </c>
      <c r="L49" s="2730">
        <f>K49/4</f>
        <v>0</v>
      </c>
      <c r="M49" s="2923">
        <f>L49/4</f>
        <v>0</v>
      </c>
    </row>
    <row r="50" spans="1:13" s="1773" customFormat="1" ht="4.5" customHeight="1">
      <c r="A50" s="2930"/>
      <c r="B50" s="2885" t="s">
        <v>587</v>
      </c>
      <c r="C50" s="2885" t="s">
        <v>587</v>
      </c>
      <c r="D50" s="2885" t="s">
        <v>587</v>
      </c>
      <c r="E50" s="2885" t="s">
        <v>587</v>
      </c>
      <c r="F50" s="2885" t="s">
        <v>587</v>
      </c>
      <c r="G50" s="2885" t="s">
        <v>587</v>
      </c>
      <c r="H50" s="2885" t="s">
        <v>587</v>
      </c>
      <c r="I50" s="2885" t="s">
        <v>587</v>
      </c>
      <c r="J50" s="2886" t="s">
        <v>587</v>
      </c>
      <c r="K50" s="2886" t="s">
        <v>587</v>
      </c>
      <c r="L50" s="2886" t="s">
        <v>587</v>
      </c>
      <c r="M50" s="2887" t="s">
        <v>587</v>
      </c>
    </row>
    <row r="51" spans="1:13">
      <c r="A51" s="2160" t="s">
        <v>2646</v>
      </c>
      <c r="B51" s="2991">
        <f>B48+B49</f>
        <v>134</v>
      </c>
      <c r="C51" s="2991">
        <f t="shared" ref="C51:L51" si="13">C48+C49</f>
        <v>154</v>
      </c>
      <c r="D51" s="2991">
        <f t="shared" si="13"/>
        <v>280</v>
      </c>
      <c r="E51" s="2991">
        <f>E48+E49</f>
        <v>415</v>
      </c>
      <c r="F51" s="2991">
        <f>F48+F49</f>
        <v>208</v>
      </c>
      <c r="G51" s="2991">
        <f>G48+G49</f>
        <v>125</v>
      </c>
      <c r="H51" s="2991">
        <f t="shared" si="13"/>
        <v>197</v>
      </c>
      <c r="I51" s="3045">
        <f t="shared" si="13"/>
        <v>283.43717399999986</v>
      </c>
      <c r="J51" s="3045">
        <f t="shared" si="13"/>
        <v>287.82714030000056</v>
      </c>
      <c r="K51" s="3045">
        <f t="shared" si="13"/>
        <v>305.27768152515011</v>
      </c>
      <c r="L51" s="3045">
        <f t="shared" si="13"/>
        <v>387.15931914615084</v>
      </c>
      <c r="M51" s="3046">
        <f>M48+M49</f>
        <v>417.96705336686199</v>
      </c>
    </row>
    <row r="52" spans="1:13">
      <c r="A52" s="228"/>
      <c r="B52" s="580"/>
      <c r="C52" s="580"/>
      <c r="D52" s="580"/>
      <c r="E52" s="580"/>
      <c r="F52" s="580"/>
      <c r="G52" s="580"/>
      <c r="H52" s="580"/>
      <c r="I52" s="3043"/>
      <c r="J52" s="3043"/>
      <c r="K52" s="3043"/>
      <c r="L52" s="3043"/>
      <c r="M52" s="3043"/>
    </row>
    <row r="53" spans="1:13">
      <c r="A53" s="218" t="s">
        <v>2931</v>
      </c>
      <c r="B53" s="3471"/>
      <c r="C53" s="3471"/>
      <c r="D53" s="3471"/>
      <c r="E53" s="3471"/>
      <c r="F53" s="3471"/>
      <c r="G53" s="3471"/>
      <c r="H53" s="3471"/>
      <c r="I53" s="3471"/>
      <c r="J53" s="3471"/>
      <c r="K53" s="3471"/>
      <c r="L53" s="3471"/>
      <c r="M53" s="3472"/>
    </row>
    <row r="54" spans="1:13" s="3450" customFormat="1">
      <c r="A54" s="3473" t="s">
        <v>2928</v>
      </c>
      <c r="B54" s="3448"/>
      <c r="C54" s="3448"/>
      <c r="D54" s="3448"/>
      <c r="E54" s="3448"/>
      <c r="F54" s="3448"/>
      <c r="G54" s="3448"/>
      <c r="H54" s="3448"/>
      <c r="I54" s="3449">
        <f>+I42/I58</f>
        <v>1.4279036478654819</v>
      </c>
      <c r="J54" s="3449">
        <f>+J42/J58</f>
        <v>1.4587657820663489</v>
      </c>
      <c r="K54" s="3449">
        <f>+K42/K58</f>
        <v>1.5495241476099397</v>
      </c>
      <c r="L54" s="3449">
        <f>+L42/L58</f>
        <v>1.9658649308673128</v>
      </c>
      <c r="M54" s="3474">
        <f>+M42/M58</f>
        <v>2.1224443553592671</v>
      </c>
    </row>
    <row r="55" spans="1:13" s="3450" customFormat="1">
      <c r="A55" s="3473" t="s">
        <v>2929</v>
      </c>
      <c r="B55" s="3448"/>
      <c r="C55" s="3448"/>
      <c r="D55" s="3448"/>
      <c r="E55" s="3448"/>
      <c r="F55" s="3448"/>
      <c r="G55" s="3448"/>
      <c r="H55" s="3448"/>
      <c r="I55" s="3449">
        <f>+I48/I58</f>
        <v>1.4393294293547092</v>
      </c>
      <c r="J55" s="3449">
        <f>+J48/J58</f>
        <v>1.4616222274386557</v>
      </c>
      <c r="K55" s="3449">
        <f>+K48/K58</f>
        <v>1.5502382589530164</v>
      </c>
      <c r="L55" s="3449">
        <f>+L48/L58</f>
        <v>1.9660434587030822</v>
      </c>
      <c r="M55" s="3474">
        <f>+M48/M58</f>
        <v>2.1224889873182091</v>
      </c>
    </row>
    <row r="56" spans="1:13">
      <c r="A56" s="505"/>
      <c r="B56" s="580"/>
      <c r="C56" s="580"/>
      <c r="D56" s="580"/>
      <c r="E56" s="580"/>
      <c r="F56" s="580"/>
      <c r="G56" s="580"/>
      <c r="H56" s="580"/>
      <c r="I56" s="3043"/>
      <c r="J56" s="3043"/>
      <c r="K56" s="3043"/>
      <c r="L56" s="3043"/>
      <c r="M56" s="3044"/>
    </row>
    <row r="57" spans="1:13">
      <c r="A57" s="505" t="s">
        <v>2292</v>
      </c>
      <c r="B57" s="317"/>
      <c r="C57" s="317"/>
      <c r="D57" s="317"/>
      <c r="E57" s="580"/>
      <c r="F57" s="317"/>
      <c r="G57" s="317"/>
      <c r="H57" s="317"/>
      <c r="I57" s="317">
        <f>+Hilton!$AD$83/5</f>
        <v>197.49167199999999</v>
      </c>
      <c r="J57" s="266">
        <f>+I57+J172/J61</f>
        <v>197.49167199999999</v>
      </c>
      <c r="K57" s="266">
        <f>+J57+K172/K61</f>
        <v>197.49167199999999</v>
      </c>
      <c r="L57" s="266">
        <f>+K57+L172/L61</f>
        <v>197.49167199999999</v>
      </c>
      <c r="M57" s="2934">
        <f>+L57+M172/M61</f>
        <v>197.49167199999999</v>
      </c>
    </row>
    <row r="58" spans="1:13">
      <c r="A58" s="505" t="s">
        <v>2925</v>
      </c>
      <c r="B58" s="317"/>
      <c r="C58" s="317"/>
      <c r="D58" s="317"/>
      <c r="E58" s="580"/>
      <c r="F58" s="317"/>
      <c r="G58" s="317"/>
      <c r="H58" s="317"/>
      <c r="I58" s="317">
        <f>+Hilton!$AC$91/5</f>
        <v>196.9230728</v>
      </c>
      <c r="J58" s="266">
        <f>+J57+(I58-I57)</f>
        <v>196.9230728</v>
      </c>
      <c r="K58" s="266">
        <f>+K57+(J58-J57)</f>
        <v>196.9230728</v>
      </c>
      <c r="L58" s="266">
        <f>+L57+(K58-K57)</f>
        <v>196.9230728</v>
      </c>
      <c r="M58" s="2934">
        <f>+M57+(L58-L57)</f>
        <v>196.9230728</v>
      </c>
    </row>
    <row r="59" spans="1:13">
      <c r="A59" s="505" t="s">
        <v>1327</v>
      </c>
      <c r="B59" s="317"/>
      <c r="C59" s="317"/>
      <c r="D59" s="317"/>
      <c r="E59" s="580"/>
      <c r="F59" s="317"/>
      <c r="G59" s="317"/>
      <c r="H59" s="317"/>
      <c r="I59" s="3483">
        <v>198</v>
      </c>
      <c r="J59" s="317">
        <f>+AVERAGE(I58:J58)</f>
        <v>196.9230728</v>
      </c>
      <c r="K59" s="317">
        <f>+AVERAGE(J58:K58)</f>
        <v>196.9230728</v>
      </c>
      <c r="L59" s="317">
        <f>+AVERAGE(K58:L58)</f>
        <v>196.9230728</v>
      </c>
      <c r="M59" s="2957">
        <f>+AVERAGE(L58:M58)</f>
        <v>196.9230728</v>
      </c>
    </row>
    <row r="60" spans="1:13" s="1828" customFormat="1">
      <c r="A60" s="482"/>
      <c r="B60" s="266"/>
      <c r="C60" s="266"/>
      <c r="D60" s="266"/>
      <c r="E60" s="3043"/>
      <c r="F60" s="266"/>
      <c r="G60" s="266"/>
      <c r="H60" s="266"/>
      <c r="I60" s="3468"/>
      <c r="J60" s="266"/>
      <c r="K60" s="266"/>
      <c r="L60" s="266"/>
      <c r="M60" s="2934"/>
    </row>
    <row r="61" spans="1:13" s="1828" customFormat="1">
      <c r="A61" s="482" t="s">
        <v>893</v>
      </c>
      <c r="B61" s="266"/>
      <c r="C61" s="266"/>
      <c r="D61" s="266"/>
      <c r="E61" s="3043"/>
      <c r="F61" s="266"/>
      <c r="G61" s="266"/>
      <c r="H61" s="266"/>
      <c r="I61" s="3470">
        <f>('EBITDA Val'!$H$7+'Owned Assets Spun Out'!I$183-'Owned Assets Spun Out'!I$196)/'Owned Assets Spun Out'!I$59</f>
        <v>151.41374710969569</v>
      </c>
      <c r="J61" s="3469">
        <f>I61*(1+J62/4)</f>
        <v>155.19909078743808</v>
      </c>
      <c r="K61" s="3469">
        <f>J61*(1+K62/4)</f>
        <v>159.07906805712403</v>
      </c>
      <c r="L61" s="3469">
        <f>K61*(1+L62/4)</f>
        <v>163.05604475855213</v>
      </c>
      <c r="M61" s="3475">
        <f>L61*(1+M62/4)</f>
        <v>167.13244587751592</v>
      </c>
    </row>
    <row r="62" spans="1:13" s="1828" customFormat="1">
      <c r="A62" s="3476" t="s">
        <v>2433</v>
      </c>
      <c r="B62" s="3477"/>
      <c r="C62" s="3477"/>
      <c r="D62" s="3477"/>
      <c r="E62" s="3045"/>
      <c r="F62" s="3477"/>
      <c r="G62" s="3477"/>
      <c r="H62" s="3477"/>
      <c r="I62" s="3478">
        <v>0.1</v>
      </c>
      <c r="J62" s="3479">
        <f>I62</f>
        <v>0.1</v>
      </c>
      <c r="K62" s="3479">
        <f>J62</f>
        <v>0.1</v>
      </c>
      <c r="L62" s="3479">
        <f>K62</f>
        <v>0.1</v>
      </c>
      <c r="M62" s="3480">
        <f>L62</f>
        <v>0.1</v>
      </c>
    </row>
    <row r="63" spans="1:13">
      <c r="A63" s="2"/>
      <c r="B63" s="2873"/>
      <c r="C63" s="2873"/>
      <c r="D63" s="2873"/>
      <c r="E63" s="2873"/>
      <c r="F63" s="2873"/>
      <c r="G63" s="2873"/>
      <c r="H63" s="2873"/>
      <c r="I63" s="2873"/>
      <c r="J63" s="2875"/>
      <c r="K63" s="2875"/>
      <c r="L63" s="2875"/>
      <c r="M63" s="266"/>
    </row>
    <row r="64" spans="1:13">
      <c r="A64" s="218" t="s">
        <v>2842</v>
      </c>
      <c r="B64" s="3039">
        <v>2013</v>
      </c>
      <c r="C64" s="3039" t="s">
        <v>2625</v>
      </c>
      <c r="D64" s="3039" t="s">
        <v>2626</v>
      </c>
      <c r="E64" s="3039" t="s">
        <v>2834</v>
      </c>
      <c r="F64" s="3040" t="s">
        <v>2897</v>
      </c>
      <c r="G64" s="3040" t="s">
        <v>2896</v>
      </c>
      <c r="H64" s="3040" t="s">
        <v>2684</v>
      </c>
      <c r="I64" s="3039" t="s">
        <v>2902</v>
      </c>
      <c r="J64" s="3039" t="s">
        <v>43</v>
      </c>
      <c r="K64" s="3039" t="s">
        <v>44</v>
      </c>
      <c r="L64" s="3039" t="s">
        <v>1343</v>
      </c>
      <c r="M64" s="3041" t="s">
        <v>1813</v>
      </c>
    </row>
    <row r="65" spans="1:13">
      <c r="A65" s="1898" t="s">
        <v>396</v>
      </c>
      <c r="B65" s="1968">
        <f t="shared" ref="B65:G65" si="14">+B42</f>
        <v>147</v>
      </c>
      <c r="C65" s="1968">
        <f t="shared" si="14"/>
        <v>181</v>
      </c>
      <c r="D65" s="1968">
        <f t="shared" si="14"/>
        <v>299</v>
      </c>
      <c r="E65" s="1968">
        <f t="shared" si="14"/>
        <v>415</v>
      </c>
      <c r="F65" s="1968">
        <f t="shared" si="14"/>
        <v>230</v>
      </c>
      <c r="G65" s="1968">
        <f t="shared" si="14"/>
        <v>122</v>
      </c>
      <c r="H65" s="1968">
        <f t="shared" ref="H65:H85" si="15">D65-F65+G65</f>
        <v>191</v>
      </c>
      <c r="I65" s="2855">
        <f>+I42</f>
        <v>281.18717399999986</v>
      </c>
      <c r="J65" s="2855">
        <f>+J42</f>
        <v>287.26464030000056</v>
      </c>
      <c r="K65" s="2855">
        <f>+K42</f>
        <v>305.13705652515011</v>
      </c>
      <c r="L65" s="2855">
        <f>+L42</f>
        <v>387.12416289615084</v>
      </c>
      <c r="M65" s="2133">
        <f>+M42</f>
        <v>417.95826430436199</v>
      </c>
    </row>
    <row r="66" spans="1:13">
      <c r="A66" s="1898" t="s">
        <v>2892</v>
      </c>
      <c r="B66" s="2807">
        <v>37</v>
      </c>
      <c r="C66" s="2807">
        <v>33</v>
      </c>
      <c r="D66" s="2807">
        <v>25</v>
      </c>
      <c r="E66" s="2953">
        <f>+D66</f>
        <v>25</v>
      </c>
      <c r="F66" s="2807">
        <v>19</v>
      </c>
      <c r="G66" s="2807">
        <v>19</v>
      </c>
      <c r="H66" s="2916">
        <f t="shared" si="15"/>
        <v>25</v>
      </c>
      <c r="I66" s="2807">
        <f>+G66*(1.33333333333333)</f>
        <v>25.333333333333268</v>
      </c>
      <c r="J66" s="2953">
        <f>+I66</f>
        <v>25.333333333333268</v>
      </c>
      <c r="K66" s="2953">
        <f>+J66</f>
        <v>25.333333333333268</v>
      </c>
      <c r="L66" s="2953">
        <f>+K66</f>
        <v>25.333333333333268</v>
      </c>
      <c r="M66" s="2955">
        <f>+L66</f>
        <v>25.333333333333268</v>
      </c>
    </row>
    <row r="67" spans="1:13">
      <c r="A67" s="1898" t="s">
        <v>189</v>
      </c>
      <c r="B67" s="2916">
        <f t="shared" ref="B67:G67" si="16">+B22</f>
        <v>246</v>
      </c>
      <c r="C67" s="2916">
        <f t="shared" si="16"/>
        <v>248</v>
      </c>
      <c r="D67" s="2916">
        <f t="shared" si="16"/>
        <v>287</v>
      </c>
      <c r="E67" s="2916">
        <f t="shared" si="16"/>
        <v>287</v>
      </c>
      <c r="F67" s="2916">
        <f t="shared" si="16"/>
        <v>212</v>
      </c>
      <c r="G67" s="2916">
        <f t="shared" si="16"/>
        <v>220</v>
      </c>
      <c r="H67" s="2916">
        <f t="shared" si="15"/>
        <v>295</v>
      </c>
      <c r="I67" s="2916">
        <f>+I22</f>
        <v>297.83018867924528</v>
      </c>
      <c r="J67" s="2916">
        <f>+J22</f>
        <v>303.78679245283018</v>
      </c>
      <c r="K67" s="2916">
        <f>+K22</f>
        <v>309.86252830188681</v>
      </c>
      <c r="L67" s="2916">
        <f>+L22</f>
        <v>316.05977886792454</v>
      </c>
      <c r="M67" s="2919">
        <f>+M22</f>
        <v>322.38097444528302</v>
      </c>
    </row>
    <row r="68" spans="1:13">
      <c r="A68" s="1898" t="s">
        <v>1904</v>
      </c>
      <c r="B68" s="2916">
        <f t="shared" ref="B68:G68" si="17">-B40</f>
        <v>104</v>
      </c>
      <c r="C68" s="2916">
        <f t="shared" si="17"/>
        <v>117</v>
      </c>
      <c r="D68" s="2916">
        <f t="shared" si="17"/>
        <v>118</v>
      </c>
      <c r="E68" s="2916">
        <f t="shared" si="17"/>
        <v>29</v>
      </c>
      <c r="F68" s="2916">
        <f t="shared" si="17"/>
        <v>113</v>
      </c>
      <c r="G68" s="2916">
        <f t="shared" si="17"/>
        <v>79</v>
      </c>
      <c r="H68" s="2916">
        <f t="shared" si="15"/>
        <v>84</v>
      </c>
      <c r="I68" s="2916">
        <f>-I40</f>
        <v>21.164625999999991</v>
      </c>
      <c r="J68" s="2916">
        <f>-J40</f>
        <v>21.622069700000047</v>
      </c>
      <c r="K68" s="2916">
        <f>-K40</f>
        <v>22.967305329850014</v>
      </c>
      <c r="L68" s="2916">
        <f>-L40</f>
        <v>29.138377852398452</v>
      </c>
      <c r="M68" s="2919">
        <f>-M40</f>
        <v>31.459224194951979</v>
      </c>
    </row>
    <row r="69" spans="1:13">
      <c r="A69" s="1898" t="s">
        <v>577</v>
      </c>
      <c r="B69" s="2916">
        <f t="shared" ref="B69:G69" si="18">+-B33</f>
        <v>162</v>
      </c>
      <c r="C69" s="2916">
        <f t="shared" si="18"/>
        <v>186</v>
      </c>
      <c r="D69" s="2916">
        <f t="shared" si="18"/>
        <v>186</v>
      </c>
      <c r="E69" s="2916">
        <f t="shared" si="18"/>
        <v>120</v>
      </c>
      <c r="F69" s="2916">
        <f t="shared" si="18"/>
        <v>139</v>
      </c>
      <c r="G69" s="2916">
        <f t="shared" si="18"/>
        <v>141</v>
      </c>
      <c r="H69" s="2916">
        <f t="shared" si="15"/>
        <v>188</v>
      </c>
      <c r="I69" s="2916">
        <f>+-I33</f>
        <v>110.7882</v>
      </c>
      <c r="J69" s="2916">
        <f>+-J33</f>
        <v>110.7882</v>
      </c>
      <c r="K69" s="2916">
        <f>+-K33</f>
        <v>110.7882</v>
      </c>
      <c r="L69" s="2916">
        <f>+-L33</f>
        <v>110.7882</v>
      </c>
      <c r="M69" s="2919">
        <f>+-M33</f>
        <v>110.7882</v>
      </c>
    </row>
    <row r="70" spans="1:13">
      <c r="A70" s="1898" t="s">
        <v>578</v>
      </c>
      <c r="B70" s="2916">
        <f t="shared" ref="B70:G70" si="19">+-B32</f>
        <v>-2</v>
      </c>
      <c r="C70" s="2916">
        <f t="shared" si="19"/>
        <v>-1</v>
      </c>
      <c r="D70" s="2916">
        <f t="shared" si="19"/>
        <v>-1</v>
      </c>
      <c r="E70" s="2916">
        <f t="shared" si="19"/>
        <v>-1</v>
      </c>
      <c r="F70" s="2916">
        <f t="shared" si="19"/>
        <v>-1</v>
      </c>
      <c r="G70" s="2916">
        <f t="shared" si="19"/>
        <v>-1</v>
      </c>
      <c r="H70" s="2916">
        <f t="shared" si="15"/>
        <v>-1</v>
      </c>
      <c r="I70" s="2916">
        <f>+-I32</f>
        <v>-1</v>
      </c>
      <c r="J70" s="2916">
        <f>+-J32</f>
        <v>-1</v>
      </c>
      <c r="K70" s="2916">
        <f>+-K32</f>
        <v>-1</v>
      </c>
      <c r="L70" s="2916">
        <f>+-L32</f>
        <v>-1</v>
      </c>
      <c r="M70" s="2919">
        <f>+-M32</f>
        <v>-1</v>
      </c>
    </row>
    <row r="71" spans="1:13" ht="3.95" customHeight="1">
      <c r="A71" s="1898"/>
      <c r="B71" s="1779" t="s">
        <v>601</v>
      </c>
      <c r="C71" s="1779" t="s">
        <v>601</v>
      </c>
      <c r="D71" s="1779" t="s">
        <v>601</v>
      </c>
      <c r="E71" s="1779" t="s">
        <v>601</v>
      </c>
      <c r="F71" s="1779" t="s">
        <v>601</v>
      </c>
      <c r="G71" s="1779" t="s">
        <v>601</v>
      </c>
      <c r="H71" s="1779" t="s">
        <v>601</v>
      </c>
      <c r="I71" s="1779" t="s">
        <v>601</v>
      </c>
      <c r="J71" s="1779" t="s">
        <v>601</v>
      </c>
      <c r="K71" s="1779" t="s">
        <v>601</v>
      </c>
      <c r="L71" s="1779" t="s">
        <v>601</v>
      </c>
      <c r="M71" s="3432" t="s">
        <v>601</v>
      </c>
    </row>
    <row r="72" spans="1:13" s="2" customFormat="1">
      <c r="A72" s="505" t="s">
        <v>1228</v>
      </c>
      <c r="B72" s="580">
        <f t="shared" ref="B72:G72" si="20">SUM(B65:B70)</f>
        <v>694</v>
      </c>
      <c r="C72" s="580">
        <f t="shared" si="20"/>
        <v>764</v>
      </c>
      <c r="D72" s="580">
        <f t="shared" si="20"/>
        <v>914</v>
      </c>
      <c r="E72" s="580">
        <f t="shared" si="20"/>
        <v>875</v>
      </c>
      <c r="F72" s="580">
        <f t="shared" si="20"/>
        <v>712</v>
      </c>
      <c r="G72" s="580">
        <f t="shared" si="20"/>
        <v>580</v>
      </c>
      <c r="H72" s="580">
        <f t="shared" si="15"/>
        <v>782</v>
      </c>
      <c r="I72" s="580">
        <f>SUM(I65:I70)</f>
        <v>735.30352201257836</v>
      </c>
      <c r="J72" s="580">
        <f>SUM(J65:J70)</f>
        <v>747.79503578616402</v>
      </c>
      <c r="K72" s="580">
        <f>SUM(K65:K70)</f>
        <v>773.08842349022007</v>
      </c>
      <c r="L72" s="580">
        <f>SUM(L65:L70)</f>
        <v>867.44385294980702</v>
      </c>
      <c r="M72" s="581">
        <f>SUM(M65:M70)</f>
        <v>906.91999627793018</v>
      </c>
    </row>
    <row r="73" spans="1:13">
      <c r="A73" s="1898" t="s">
        <v>2893</v>
      </c>
      <c r="B73" s="2807">
        <v>54</v>
      </c>
      <c r="C73" s="2807">
        <v>15</v>
      </c>
      <c r="D73" s="2807">
        <v>38</v>
      </c>
      <c r="E73" s="2807">
        <v>38</v>
      </c>
      <c r="F73" s="2807">
        <v>35</v>
      </c>
      <c r="G73" s="2807">
        <v>11</v>
      </c>
      <c r="H73" s="2916">
        <f t="shared" si="15"/>
        <v>14</v>
      </c>
      <c r="I73" s="2781">
        <f>+G73*(1.33333333333333)</f>
        <v>14.666666666666629</v>
      </c>
      <c r="J73" s="3438">
        <f>+I73</f>
        <v>14.666666666666629</v>
      </c>
      <c r="K73" s="3438">
        <f>+J73</f>
        <v>14.666666666666629</v>
      </c>
      <c r="L73" s="3438">
        <f>+K73</f>
        <v>14.666666666666629</v>
      </c>
      <c r="M73" s="3439">
        <f>+L73</f>
        <v>14.666666666666629</v>
      </c>
    </row>
    <row r="74" spans="1:13">
      <c r="A74" s="1898" t="s">
        <v>2894</v>
      </c>
      <c r="B74" s="2916">
        <f t="shared" ref="B74:G74" si="21">-B37</f>
        <v>0</v>
      </c>
      <c r="C74" s="2916">
        <f t="shared" si="21"/>
        <v>-25</v>
      </c>
      <c r="D74" s="2916">
        <f t="shared" si="21"/>
        <v>6</v>
      </c>
      <c r="E74" s="2916">
        <f t="shared" si="21"/>
        <v>6</v>
      </c>
      <c r="F74" s="2916">
        <f t="shared" si="21"/>
        <v>5</v>
      </c>
      <c r="G74" s="2916">
        <f t="shared" si="21"/>
        <v>7</v>
      </c>
      <c r="H74" s="2916">
        <f t="shared" si="15"/>
        <v>8</v>
      </c>
      <c r="I74" s="2953">
        <f>+G74</f>
        <v>7</v>
      </c>
      <c r="J74" s="2916">
        <f>-J37</f>
        <v>0</v>
      </c>
      <c r="K74" s="2916">
        <f>-K37</f>
        <v>0</v>
      </c>
      <c r="L74" s="2916">
        <f>-L37</f>
        <v>0</v>
      </c>
      <c r="M74" s="2919">
        <f>-M37</f>
        <v>0</v>
      </c>
    </row>
    <row r="75" spans="1:13">
      <c r="A75" s="1898" t="s">
        <v>2647</v>
      </c>
      <c r="B75" s="2807">
        <v>0</v>
      </c>
      <c r="C75" s="2807">
        <v>0</v>
      </c>
      <c r="D75" s="2807">
        <v>0</v>
      </c>
      <c r="E75" s="2807">
        <v>0</v>
      </c>
      <c r="F75" s="2807">
        <v>0</v>
      </c>
      <c r="G75" s="2807">
        <v>15</v>
      </c>
      <c r="H75" s="2916">
        <f t="shared" si="15"/>
        <v>15</v>
      </c>
      <c r="I75" s="2953">
        <f>+G75</f>
        <v>15</v>
      </c>
      <c r="J75" s="2807">
        <v>0</v>
      </c>
      <c r="K75" s="2807">
        <v>0</v>
      </c>
      <c r="L75" s="2807">
        <v>0</v>
      </c>
      <c r="M75" s="2808">
        <v>0</v>
      </c>
    </row>
    <row r="76" spans="1:13">
      <c r="A76" s="1898" t="s">
        <v>2753</v>
      </c>
      <c r="B76" s="2807">
        <v>0</v>
      </c>
      <c r="C76" s="2807">
        <v>0</v>
      </c>
      <c r="D76" s="2807">
        <v>0</v>
      </c>
      <c r="E76" s="2807">
        <v>0</v>
      </c>
      <c r="F76" s="2807">
        <v>0</v>
      </c>
      <c r="G76" s="2807">
        <v>0</v>
      </c>
      <c r="H76" s="2916">
        <f t="shared" si="15"/>
        <v>0</v>
      </c>
      <c r="I76" s="2807">
        <v>0</v>
      </c>
      <c r="J76" s="2807">
        <v>0</v>
      </c>
      <c r="K76" s="2807">
        <v>0</v>
      </c>
      <c r="L76" s="2807">
        <v>0</v>
      </c>
      <c r="M76" s="2808">
        <v>0</v>
      </c>
    </row>
    <row r="77" spans="1:13">
      <c r="A77" s="1898" t="s">
        <v>775</v>
      </c>
      <c r="B77" s="2807">
        <v>1</v>
      </c>
      <c r="C77" s="2807">
        <v>2</v>
      </c>
      <c r="D77" s="2807">
        <v>2</v>
      </c>
      <c r="E77" s="2953">
        <v>2</v>
      </c>
      <c r="F77" s="2953">
        <v>2</v>
      </c>
      <c r="G77" s="2953">
        <v>2</v>
      </c>
      <c r="H77" s="2916">
        <f t="shared" si="15"/>
        <v>2</v>
      </c>
      <c r="I77" s="2953">
        <f>+G77</f>
        <v>2</v>
      </c>
      <c r="J77" s="2953">
        <f>+I77</f>
        <v>2</v>
      </c>
      <c r="K77" s="2953">
        <f>+J77</f>
        <v>2</v>
      </c>
      <c r="L77" s="2953">
        <f>+K77</f>
        <v>2</v>
      </c>
      <c r="M77" s="2955">
        <f>+L77</f>
        <v>2</v>
      </c>
    </row>
    <row r="78" spans="1:13">
      <c r="A78" s="1898" t="s">
        <v>2900</v>
      </c>
      <c r="B78" s="2916">
        <f t="shared" ref="B78:G78" si="22">+-B35</f>
        <v>0</v>
      </c>
      <c r="C78" s="2916">
        <f t="shared" si="22"/>
        <v>-2</v>
      </c>
      <c r="D78" s="2916">
        <f t="shared" si="22"/>
        <v>0</v>
      </c>
      <c r="E78" s="2916">
        <f t="shared" si="22"/>
        <v>0</v>
      </c>
      <c r="F78" s="2916">
        <f t="shared" si="22"/>
        <v>0</v>
      </c>
      <c r="G78" s="2916">
        <f t="shared" si="22"/>
        <v>0</v>
      </c>
      <c r="H78" s="2916">
        <f t="shared" si="15"/>
        <v>0</v>
      </c>
      <c r="I78" s="2953">
        <f>+G78</f>
        <v>0</v>
      </c>
      <c r="J78" s="2916">
        <f>+-J35</f>
        <v>0</v>
      </c>
      <c r="K78" s="2916">
        <f>+-K35</f>
        <v>0</v>
      </c>
      <c r="L78" s="2916">
        <f>+-L35</f>
        <v>0</v>
      </c>
      <c r="M78" s="2919">
        <f>+-M35</f>
        <v>0</v>
      </c>
    </row>
    <row r="79" spans="1:13">
      <c r="A79" s="1898" t="s">
        <v>2895</v>
      </c>
      <c r="B79" s="2916">
        <f t="shared" ref="B79:G79" si="23">+-B28</f>
        <v>0</v>
      </c>
      <c r="C79" s="2916">
        <f t="shared" si="23"/>
        <v>0</v>
      </c>
      <c r="D79" s="2916">
        <f t="shared" si="23"/>
        <v>-143</v>
      </c>
      <c r="E79" s="2916">
        <f t="shared" si="23"/>
        <v>-143</v>
      </c>
      <c r="F79" s="2916">
        <f t="shared" si="23"/>
        <v>-143</v>
      </c>
      <c r="G79" s="2916">
        <f t="shared" si="23"/>
        <v>-1</v>
      </c>
      <c r="H79" s="2916">
        <f t="shared" si="15"/>
        <v>-1</v>
      </c>
      <c r="I79" s="2953">
        <f>+G79</f>
        <v>-1</v>
      </c>
      <c r="J79" s="2916">
        <f>+-J28</f>
        <v>0</v>
      </c>
      <c r="K79" s="2916">
        <f>+-K28</f>
        <v>0</v>
      </c>
      <c r="L79" s="2916">
        <f>+-L28</f>
        <v>0</v>
      </c>
      <c r="M79" s="2919">
        <f>+-M28</f>
        <v>0</v>
      </c>
    </row>
    <row r="80" spans="1:13" ht="3.95" customHeight="1">
      <c r="A80" s="1898"/>
      <c r="B80" s="2920" t="s">
        <v>601</v>
      </c>
      <c r="C80" s="2920" t="s">
        <v>601</v>
      </c>
      <c r="D80" s="2920" t="s">
        <v>601</v>
      </c>
      <c r="E80" s="2920" t="s">
        <v>601</v>
      </c>
      <c r="F80" s="2920" t="s">
        <v>601</v>
      </c>
      <c r="G80" s="2920" t="s">
        <v>601</v>
      </c>
      <c r="H80" s="1779" t="s">
        <v>601</v>
      </c>
      <c r="I80" s="2920" t="s">
        <v>601</v>
      </c>
      <c r="J80" s="2920" t="s">
        <v>601</v>
      </c>
      <c r="K80" s="2920" t="s">
        <v>601</v>
      </c>
      <c r="L80" s="2920" t="s">
        <v>601</v>
      </c>
      <c r="M80" s="2921" t="s">
        <v>601</v>
      </c>
    </row>
    <row r="81" spans="1:14" s="2" customFormat="1">
      <c r="A81" s="505" t="s">
        <v>2756</v>
      </c>
      <c r="B81" s="580">
        <f t="shared" ref="B81:G81" si="24">+SUM(B72:B79)</f>
        <v>749</v>
      </c>
      <c r="C81" s="580">
        <f t="shared" si="24"/>
        <v>754</v>
      </c>
      <c r="D81" s="580">
        <f t="shared" si="24"/>
        <v>817</v>
      </c>
      <c r="E81" s="580">
        <f t="shared" si="24"/>
        <v>778</v>
      </c>
      <c r="F81" s="580">
        <f t="shared" si="24"/>
        <v>611</v>
      </c>
      <c r="G81" s="580">
        <f t="shared" si="24"/>
        <v>614</v>
      </c>
      <c r="H81" s="580">
        <f t="shared" si="15"/>
        <v>820</v>
      </c>
      <c r="I81" s="580">
        <f>+SUM(I72:I79)</f>
        <v>772.97018867924498</v>
      </c>
      <c r="J81" s="580">
        <f>+SUM(J72:J79)</f>
        <v>764.46170245283065</v>
      </c>
      <c r="K81" s="580">
        <f>+SUM(K72:K79)</f>
        <v>789.75509015688669</v>
      </c>
      <c r="L81" s="580">
        <f>+SUM(L72:L79)</f>
        <v>884.11051961647365</v>
      </c>
      <c r="M81" s="581">
        <f>+SUM(M72:M79)</f>
        <v>923.58666294459681</v>
      </c>
      <c r="N81" s="1734"/>
    </row>
    <row r="82" spans="1:14">
      <c r="A82" s="1898" t="s">
        <v>2696</v>
      </c>
      <c r="B82" s="2807">
        <v>-10</v>
      </c>
      <c r="C82" s="2807">
        <v>-10</v>
      </c>
      <c r="D82" s="2807">
        <v>-10</v>
      </c>
      <c r="E82" s="2807">
        <v>-10</v>
      </c>
      <c r="F82" s="2807">
        <v>-10</v>
      </c>
      <c r="G82" s="2807">
        <v>-10</v>
      </c>
      <c r="H82" s="2916">
        <f t="shared" si="15"/>
        <v>-10</v>
      </c>
      <c r="I82" s="2807">
        <v>-10</v>
      </c>
      <c r="J82" s="2807">
        <v>-10</v>
      </c>
      <c r="K82" s="2807">
        <v>-10</v>
      </c>
      <c r="L82" s="2807">
        <v>-10</v>
      </c>
      <c r="M82" s="2808">
        <v>-10</v>
      </c>
    </row>
    <row r="83" spans="1:14" s="1777" customFormat="1" ht="3.95" customHeight="1">
      <c r="B83" s="2920" t="s">
        <v>601</v>
      </c>
      <c r="C83" s="2920" t="s">
        <v>601</v>
      </c>
      <c r="D83" s="2920" t="s">
        <v>601</v>
      </c>
      <c r="E83" s="2920" t="s">
        <v>601</v>
      </c>
      <c r="F83" s="2920" t="s">
        <v>601</v>
      </c>
      <c r="G83" s="2920" t="s">
        <v>601</v>
      </c>
      <c r="H83" s="1779" t="s">
        <v>601</v>
      </c>
      <c r="I83" s="2920" t="s">
        <v>601</v>
      </c>
      <c r="J83" s="2920" t="s">
        <v>601</v>
      </c>
      <c r="K83" s="2920" t="s">
        <v>601</v>
      </c>
      <c r="L83" s="2920" t="s">
        <v>601</v>
      </c>
      <c r="M83" s="2921" t="s">
        <v>601</v>
      </c>
    </row>
    <row r="84" spans="1:14" s="2" customFormat="1">
      <c r="A84" s="505" t="s">
        <v>2697</v>
      </c>
      <c r="B84" s="580">
        <f t="shared" ref="B84:G84" si="25">+SUM(B81:B82)</f>
        <v>739</v>
      </c>
      <c r="C84" s="580">
        <f t="shared" si="25"/>
        <v>744</v>
      </c>
      <c r="D84" s="580">
        <f t="shared" si="25"/>
        <v>807</v>
      </c>
      <c r="E84" s="580">
        <f t="shared" si="25"/>
        <v>768</v>
      </c>
      <c r="F84" s="580">
        <f t="shared" si="25"/>
        <v>601</v>
      </c>
      <c r="G84" s="580">
        <f t="shared" si="25"/>
        <v>604</v>
      </c>
      <c r="H84" s="580">
        <f t="shared" si="15"/>
        <v>810</v>
      </c>
      <c r="I84" s="580">
        <f>+SUM(I81:I82)</f>
        <v>762.97018867924498</v>
      </c>
      <c r="J84" s="580">
        <f>+SUM(J81:J82)</f>
        <v>754.46170245283065</v>
      </c>
      <c r="K84" s="580">
        <f>+SUM(K81:K82)</f>
        <v>779.75509015688669</v>
      </c>
      <c r="L84" s="580">
        <f>+SUM(L81:L82)</f>
        <v>874.11051961647365</v>
      </c>
      <c r="M84" s="581">
        <f>+SUM(M81:M82)</f>
        <v>913.58666294459681</v>
      </c>
      <c r="N84" s="1734"/>
    </row>
    <row r="85" spans="1:14" s="2" customFormat="1">
      <c r="A85" s="509" t="s">
        <v>1197</v>
      </c>
      <c r="B85" s="471">
        <f t="shared" ref="B85:G85" si="26">+B84/B12</f>
        <v>0.31675953707672527</v>
      </c>
      <c r="C85" s="471">
        <f t="shared" si="26"/>
        <v>0.29606048547552727</v>
      </c>
      <c r="D85" s="471">
        <f t="shared" si="26"/>
        <v>0.3002232142857143</v>
      </c>
      <c r="E85" s="471">
        <f t="shared" si="26"/>
        <v>0.2857142857142857</v>
      </c>
      <c r="F85" s="471">
        <f t="shared" si="26"/>
        <v>0.29855936413313461</v>
      </c>
      <c r="G85" s="471">
        <f t="shared" si="26"/>
        <v>0.29363150218765194</v>
      </c>
      <c r="H85" s="471">
        <f t="shared" si="15"/>
        <v>0.29529535234023163</v>
      </c>
      <c r="I85" s="471">
        <f>+I84/I12</f>
        <v>0.27934937562398215</v>
      </c>
      <c r="J85" s="471">
        <f>+J84/J12</f>
        <v>0.27208483524886051</v>
      </c>
      <c r="K85" s="471">
        <f>+K84/K12</f>
        <v>0.27691432858163129</v>
      </c>
      <c r="L85" s="471">
        <f>+L84/L12</f>
        <v>0.30734926787931433</v>
      </c>
      <c r="M85" s="579">
        <f>+M84/M12</f>
        <v>0.33098736357672354</v>
      </c>
      <c r="N85" s="1734"/>
    </row>
    <row r="86" spans="1:14" s="2" customFormat="1">
      <c r="A86" s="509" t="s">
        <v>2401</v>
      </c>
      <c r="B86" s="471"/>
      <c r="C86" s="471"/>
      <c r="D86" s="471"/>
      <c r="E86" s="471"/>
      <c r="F86" s="471"/>
      <c r="G86" s="471">
        <f>+G84/F84-1</f>
        <v>4.991680532445919E-3</v>
      </c>
      <c r="H86" s="471"/>
      <c r="I86" s="471">
        <f>+I84/E84-1</f>
        <v>-6.549233490566464E-3</v>
      </c>
      <c r="J86" s="471">
        <f>+J84/I84-1</f>
        <v>-1.1151793808802823E-2</v>
      </c>
      <c r="K86" s="471">
        <f>+K84/J84-1</f>
        <v>3.352507837286467E-2</v>
      </c>
      <c r="L86" s="471">
        <f>+L84/K84-1</f>
        <v>0.12100649377050243</v>
      </c>
      <c r="M86" s="579">
        <f>+M84/L84-1</f>
        <v>4.5161501254376679E-2</v>
      </c>
      <c r="N86" s="1734"/>
    </row>
    <row r="87" spans="1:14" s="2" customFormat="1">
      <c r="A87" s="2977" t="s">
        <v>1420</v>
      </c>
      <c r="B87" s="471"/>
      <c r="C87" s="471"/>
      <c r="D87" s="471"/>
      <c r="E87" s="471"/>
      <c r="F87" s="317"/>
      <c r="G87" s="317"/>
      <c r="H87" s="317"/>
      <c r="I87" s="2978" t="s">
        <v>2824</v>
      </c>
      <c r="J87" s="471"/>
      <c r="K87" s="471"/>
      <c r="L87" s="471"/>
      <c r="M87" s="579"/>
      <c r="N87" s="1734"/>
    </row>
    <row r="88" spans="1:14">
      <c r="A88" s="1898"/>
      <c r="B88" s="2916"/>
      <c r="C88" s="2916"/>
      <c r="D88" s="2916"/>
      <c r="E88" s="2916"/>
      <c r="F88" s="2916"/>
      <c r="G88" s="2916"/>
      <c r="H88" s="2916"/>
      <c r="I88" s="2730"/>
      <c r="J88" s="2730"/>
      <c r="K88" s="2916"/>
      <c r="L88" s="2916"/>
      <c r="M88" s="2919"/>
    </row>
    <row r="89" spans="1:14">
      <c r="A89" s="1898" t="s">
        <v>1491</v>
      </c>
      <c r="B89" s="2916"/>
      <c r="C89" s="2916"/>
      <c r="D89" s="2916"/>
      <c r="E89" s="2916"/>
      <c r="F89" s="2916"/>
      <c r="G89" s="2916"/>
      <c r="H89" s="2916"/>
      <c r="I89" s="2100">
        <f>+I196</f>
        <v>3027</v>
      </c>
      <c r="J89" s="1968">
        <f>+J196</f>
        <v>3027</v>
      </c>
      <c r="K89" s="1968">
        <f>+K196</f>
        <v>3027</v>
      </c>
      <c r="L89" s="1968">
        <f>+L196</f>
        <v>3027</v>
      </c>
      <c r="M89" s="1969">
        <f>+M196</f>
        <v>3027</v>
      </c>
    </row>
    <row r="90" spans="1:14">
      <c r="A90" s="1898" t="s">
        <v>1191</v>
      </c>
      <c r="B90" s="2916"/>
      <c r="C90" s="2916"/>
      <c r="D90" s="2916"/>
      <c r="E90" s="2916"/>
      <c r="F90" s="2916"/>
      <c r="G90" s="2916"/>
      <c r="H90" s="2916"/>
      <c r="I90" s="3054">
        <f>+I92-I89</f>
        <v>-150.60238867924636</v>
      </c>
      <c r="J90" s="2008">
        <f>+-J183</f>
        <v>-252.12810505566171</v>
      </c>
      <c r="K90" s="2008">
        <f>+-K183</f>
        <v>-365.62789746918008</v>
      </c>
      <c r="L90" s="2916">
        <f>+-L183</f>
        <v>-523.21986835121766</v>
      </c>
      <c r="M90" s="2919">
        <f>+-M183</f>
        <v>-699.3894877260401</v>
      </c>
    </row>
    <row r="91" spans="1:14" ht="3.95" customHeight="1">
      <c r="A91" s="1898"/>
      <c r="B91" s="2916"/>
      <c r="C91" s="2916"/>
      <c r="D91" s="2916"/>
      <c r="E91" s="2916"/>
      <c r="F91" s="2916"/>
      <c r="G91" s="2916"/>
      <c r="H91" s="2916"/>
      <c r="I91" s="2920" t="s">
        <v>601</v>
      </c>
      <c r="J91" s="2920" t="s">
        <v>601</v>
      </c>
      <c r="K91" s="2920" t="s">
        <v>601</v>
      </c>
      <c r="L91" s="2920" t="s">
        <v>601</v>
      </c>
      <c r="M91" s="2921" t="s">
        <v>601</v>
      </c>
    </row>
    <row r="92" spans="1:14">
      <c r="A92" s="1898" t="s">
        <v>1652</v>
      </c>
      <c r="B92" s="2916"/>
      <c r="C92" s="2916"/>
      <c r="D92" s="2916"/>
      <c r="E92" s="2916"/>
      <c r="F92" s="2916"/>
      <c r="G92" s="2916"/>
      <c r="H92" s="2916"/>
      <c r="I92" s="2889">
        <f>+I94*I84</f>
        <v>2876.3976113207536</v>
      </c>
      <c r="J92" s="1968">
        <f>J89+J90</f>
        <v>2774.8718949443382</v>
      </c>
      <c r="K92" s="1968">
        <f>K89+K90</f>
        <v>2661.37210253082</v>
      </c>
      <c r="L92" s="1968">
        <f>L89+L90</f>
        <v>2503.7801316487821</v>
      </c>
      <c r="M92" s="1969">
        <f>M89+M90</f>
        <v>2327.61051227396</v>
      </c>
    </row>
    <row r="93" spans="1:14" ht="3.95" customHeight="1">
      <c r="A93" s="1898"/>
      <c r="B93" s="2916"/>
      <c r="C93" s="2916"/>
      <c r="D93" s="2916"/>
      <c r="E93" s="2916"/>
      <c r="F93" s="2916"/>
      <c r="G93" s="2916"/>
      <c r="H93" s="2916"/>
      <c r="I93" s="2916"/>
      <c r="J93" s="2916"/>
      <c r="K93" s="2916"/>
      <c r="L93" s="2916"/>
      <c r="M93" s="2919"/>
    </row>
    <row r="94" spans="1:14">
      <c r="A94" s="1898" t="s">
        <v>2459</v>
      </c>
      <c r="B94" s="2916"/>
      <c r="C94" s="2916"/>
      <c r="D94" s="2916"/>
      <c r="E94" s="2916"/>
      <c r="F94" s="2916"/>
      <c r="G94" s="2916"/>
      <c r="H94" s="2916"/>
      <c r="I94" s="2892">
        <v>3.77</v>
      </c>
      <c r="J94" s="2893">
        <f>+J92/J84</f>
        <v>3.677949306005794</v>
      </c>
      <c r="K94" s="2893">
        <f>+K92/K84</f>
        <v>3.4130871809959613</v>
      </c>
      <c r="L94" s="2893">
        <f>+L92/L84</f>
        <v>2.8643747849497858</v>
      </c>
      <c r="M94" s="2894">
        <f>+M92/M84</f>
        <v>2.5477719921740087</v>
      </c>
    </row>
    <row r="95" spans="1:14">
      <c r="A95" s="509" t="s">
        <v>2757</v>
      </c>
      <c r="B95" s="2916"/>
      <c r="C95" s="2916"/>
      <c r="D95" s="2916"/>
      <c r="E95" s="2916"/>
      <c r="F95" s="2916"/>
      <c r="G95" s="2916"/>
      <c r="H95" s="2916"/>
      <c r="I95" s="2971" t="s">
        <v>2548</v>
      </c>
      <c r="J95" s="2972"/>
      <c r="K95" s="2973"/>
      <c r="L95" s="2973"/>
      <c r="M95" s="3555"/>
    </row>
    <row r="96" spans="1:14" s="1777" customFormat="1">
      <c r="A96" s="2970"/>
      <c r="B96" s="2916"/>
      <c r="C96" s="2916"/>
      <c r="D96" s="2916"/>
      <c r="E96" s="2916"/>
      <c r="F96" s="2916"/>
      <c r="G96" s="2916"/>
      <c r="H96" s="2916"/>
      <c r="I96" s="2971"/>
      <c r="J96" s="2972"/>
      <c r="K96" s="2973"/>
      <c r="L96" s="2973"/>
      <c r="M96" s="3555"/>
    </row>
    <row r="97" spans="1:13">
      <c r="A97" s="1972" t="s">
        <v>2984</v>
      </c>
      <c r="B97" s="2922"/>
      <c r="C97" s="2922"/>
      <c r="D97" s="2922"/>
      <c r="E97" s="2922"/>
      <c r="F97" s="2922"/>
      <c r="G97" s="2922"/>
      <c r="H97" s="2922"/>
      <c r="I97" s="3556">
        <f>+Hilton!AD609-Hilton!AF609</f>
        <v>211</v>
      </c>
      <c r="J97" s="2104">
        <f>+I97</f>
        <v>211</v>
      </c>
      <c r="K97" s="2104">
        <f>+J97</f>
        <v>211</v>
      </c>
      <c r="L97" s="2104">
        <f>+K97</f>
        <v>211</v>
      </c>
      <c r="M97" s="2081">
        <f>+L97</f>
        <v>211</v>
      </c>
    </row>
    <row r="98" spans="1:13">
      <c r="A98" s="2970"/>
      <c r="B98" s="2916"/>
      <c r="C98" s="2916"/>
      <c r="D98" s="2916"/>
      <c r="E98" s="2916"/>
      <c r="F98" s="2916"/>
      <c r="G98" s="2916"/>
      <c r="H98" s="2916"/>
      <c r="I98" s="2971"/>
      <c r="J98" s="2972"/>
      <c r="K98" s="2973"/>
      <c r="L98" s="2973"/>
      <c r="M98" s="2973"/>
    </row>
    <row r="99" spans="1:13">
      <c r="B99" s="2872"/>
      <c r="C99" s="2872"/>
      <c r="D99" s="2872"/>
      <c r="E99" s="2872"/>
      <c r="F99" s="2872"/>
      <c r="G99" s="2872"/>
      <c r="H99" s="2872"/>
      <c r="I99" s="2872"/>
      <c r="J99" s="2872"/>
      <c r="K99" s="2872"/>
      <c r="L99" s="2872"/>
      <c r="M99" s="2916"/>
    </row>
    <row r="100" spans="1:13">
      <c r="A100" s="218" t="s">
        <v>2843</v>
      </c>
      <c r="B100" s="3039">
        <v>2013</v>
      </c>
      <c r="C100" s="3039" t="s">
        <v>2625</v>
      </c>
      <c r="D100" s="3039" t="s">
        <v>2626</v>
      </c>
      <c r="E100" s="3039" t="s">
        <v>2834</v>
      </c>
      <c r="F100" s="3040" t="s">
        <v>2897</v>
      </c>
      <c r="G100" s="3040" t="s">
        <v>2896</v>
      </c>
      <c r="H100" s="3040" t="s">
        <v>2684</v>
      </c>
      <c r="I100" s="3039" t="s">
        <v>2902</v>
      </c>
      <c r="J100" s="3039" t="s">
        <v>43</v>
      </c>
      <c r="K100" s="3039" t="s">
        <v>44</v>
      </c>
      <c r="L100" s="3039" t="s">
        <v>1343</v>
      </c>
      <c r="M100" s="3041" t="s">
        <v>1813</v>
      </c>
    </row>
    <row r="101" spans="1:13">
      <c r="A101" s="505" t="s">
        <v>2802</v>
      </c>
      <c r="B101" s="2807">
        <v>144</v>
      </c>
      <c r="C101" s="2665">
        <v>176</v>
      </c>
      <c r="D101" s="2665">
        <v>292</v>
      </c>
      <c r="E101" s="2665"/>
      <c r="F101" s="2665">
        <v>224</v>
      </c>
      <c r="G101" s="2665">
        <v>116</v>
      </c>
      <c r="H101" s="1968">
        <f>D101-F101+G101</f>
        <v>184</v>
      </c>
      <c r="I101" s="1968">
        <f>I42</f>
        <v>281.18717399999986</v>
      </c>
      <c r="J101" s="1968">
        <f>J42</f>
        <v>287.26464030000056</v>
      </c>
      <c r="K101" s="1968">
        <f>K42</f>
        <v>305.13705652515011</v>
      </c>
      <c r="L101" s="1968">
        <f>L42</f>
        <v>387.12416289615084</v>
      </c>
      <c r="M101" s="1969">
        <f>M42</f>
        <v>417.95826430436199</v>
      </c>
    </row>
    <row r="102" spans="1:13">
      <c r="A102" s="1979" t="s">
        <v>2803</v>
      </c>
      <c r="B102" s="2807">
        <v>246</v>
      </c>
      <c r="C102" s="2807">
        <v>248</v>
      </c>
      <c r="D102" s="2807">
        <v>287</v>
      </c>
      <c r="E102" s="2807"/>
      <c r="F102" s="2807">
        <v>212</v>
      </c>
      <c r="G102" s="2807">
        <v>220</v>
      </c>
      <c r="H102" s="2916">
        <f t="shared" ref="H102:H108" si="27">D102-F102+G102</f>
        <v>295</v>
      </c>
      <c r="I102" s="2916">
        <f>I22</f>
        <v>297.83018867924528</v>
      </c>
      <c r="J102" s="2916">
        <f>J22</f>
        <v>303.78679245283018</v>
      </c>
      <c r="K102" s="2916">
        <f>K22</f>
        <v>309.86252830188681</v>
      </c>
      <c r="L102" s="2916">
        <f>L22</f>
        <v>316.05977886792454</v>
      </c>
      <c r="M102" s="2919">
        <f>M22</f>
        <v>322.38097444528302</v>
      </c>
    </row>
    <row r="103" spans="1:13">
      <c r="A103" s="1979" t="s">
        <v>2647</v>
      </c>
      <c r="B103" s="2807">
        <v>0</v>
      </c>
      <c r="C103" s="2807">
        <v>0</v>
      </c>
      <c r="D103" s="2807">
        <v>0</v>
      </c>
      <c r="E103" s="2807"/>
      <c r="F103" s="2807">
        <v>0</v>
      </c>
      <c r="G103" s="2807">
        <v>15</v>
      </c>
      <c r="H103" s="2916">
        <f t="shared" si="27"/>
        <v>15</v>
      </c>
      <c r="I103" s="2953">
        <f>+G103</f>
        <v>15</v>
      </c>
      <c r="J103" s="2807">
        <v>0</v>
      </c>
      <c r="K103" s="2807">
        <v>0</v>
      </c>
      <c r="L103" s="2807">
        <v>0</v>
      </c>
      <c r="M103" s="2808">
        <v>0</v>
      </c>
    </row>
    <row r="104" spans="1:13">
      <c r="A104" s="1979" t="s">
        <v>2804</v>
      </c>
      <c r="B104" s="2807">
        <v>0</v>
      </c>
      <c r="C104" s="2807">
        <v>0</v>
      </c>
      <c r="D104" s="2807">
        <v>-143</v>
      </c>
      <c r="E104" s="2807"/>
      <c r="F104" s="2807">
        <v>-143</v>
      </c>
      <c r="G104" s="2807">
        <v>-1</v>
      </c>
      <c r="H104" s="2916">
        <f t="shared" si="27"/>
        <v>-1</v>
      </c>
      <c r="I104" s="2953">
        <f>+G104</f>
        <v>-1</v>
      </c>
      <c r="J104" s="2807">
        <v>0</v>
      </c>
      <c r="K104" s="2807">
        <v>0</v>
      </c>
      <c r="L104" s="2807">
        <v>0</v>
      </c>
      <c r="M104" s="2808">
        <v>0</v>
      </c>
    </row>
    <row r="105" spans="1:13">
      <c r="A105" s="1979" t="s">
        <v>2805</v>
      </c>
      <c r="B105" s="2807">
        <v>0</v>
      </c>
      <c r="C105" s="2807">
        <v>-24</v>
      </c>
      <c r="D105" s="2807">
        <v>0</v>
      </c>
      <c r="E105" s="2807"/>
      <c r="F105" s="2807">
        <v>0</v>
      </c>
      <c r="G105" s="2807">
        <v>0</v>
      </c>
      <c r="H105" s="2916">
        <f>D105-F105+G105</f>
        <v>0</v>
      </c>
      <c r="I105" s="2953">
        <v>0</v>
      </c>
      <c r="J105" s="2807">
        <v>0</v>
      </c>
      <c r="K105" s="2807">
        <v>0</v>
      </c>
      <c r="L105" s="2807">
        <v>0</v>
      </c>
      <c r="M105" s="2808">
        <v>0</v>
      </c>
    </row>
    <row r="106" spans="1:13">
      <c r="A106" s="1979" t="s">
        <v>2806</v>
      </c>
      <c r="B106" s="2916">
        <f t="shared" ref="B106:L106" si="28">SUM(B107:B108)</f>
        <v>26</v>
      </c>
      <c r="C106" s="2916">
        <f t="shared" si="28"/>
        <v>24</v>
      </c>
      <c r="D106" s="2916">
        <f t="shared" si="28"/>
        <v>18</v>
      </c>
      <c r="E106" s="2916"/>
      <c r="F106" s="2916">
        <f t="shared" si="28"/>
        <v>13</v>
      </c>
      <c r="G106" s="2916">
        <f t="shared" si="28"/>
        <v>13</v>
      </c>
      <c r="H106" s="2916">
        <f t="shared" si="28"/>
        <v>18</v>
      </c>
      <c r="I106" s="2916">
        <f t="shared" si="28"/>
        <v>17.333333333333332</v>
      </c>
      <c r="J106" s="2916">
        <f t="shared" si="28"/>
        <v>17.333333333333332</v>
      </c>
      <c r="K106" s="2916">
        <f t="shared" si="28"/>
        <v>17.333333333333332</v>
      </c>
      <c r="L106" s="2916">
        <f t="shared" si="28"/>
        <v>17.333333333333332</v>
      </c>
      <c r="M106" s="2919">
        <f>SUM(M107:M108)</f>
        <v>17.333333333333332</v>
      </c>
    </row>
    <row r="107" spans="1:13">
      <c r="A107" s="2954" t="s">
        <v>2638</v>
      </c>
      <c r="B107" s="2807">
        <v>-13</v>
      </c>
      <c r="C107" s="2807">
        <v>-16</v>
      </c>
      <c r="D107" s="2807">
        <v>-22</v>
      </c>
      <c r="E107" s="2807"/>
      <c r="F107" s="2807">
        <v>-18</v>
      </c>
      <c r="G107" s="2807">
        <v>-16</v>
      </c>
      <c r="H107" s="2916">
        <f t="shared" si="27"/>
        <v>-20</v>
      </c>
      <c r="I107" s="2807">
        <f>+G107*(4/3)</f>
        <v>-21.333333333333332</v>
      </c>
      <c r="J107" s="2953">
        <f t="shared" ref="J107:M108" si="29">I107</f>
        <v>-21.333333333333332</v>
      </c>
      <c r="K107" s="2953">
        <f t="shared" si="29"/>
        <v>-21.333333333333332</v>
      </c>
      <c r="L107" s="2953">
        <f t="shared" si="29"/>
        <v>-21.333333333333332</v>
      </c>
      <c r="M107" s="2955">
        <f t="shared" si="29"/>
        <v>-21.333333333333332</v>
      </c>
    </row>
    <row r="108" spans="1:13">
      <c r="A108" s="2954" t="s">
        <v>2807</v>
      </c>
      <c r="B108" s="2807">
        <v>39</v>
      </c>
      <c r="C108" s="2807">
        <v>40</v>
      </c>
      <c r="D108" s="2807">
        <v>40</v>
      </c>
      <c r="E108" s="2807"/>
      <c r="F108" s="2807">
        <v>31</v>
      </c>
      <c r="G108" s="2807">
        <v>29</v>
      </c>
      <c r="H108" s="2916">
        <f t="shared" si="27"/>
        <v>38</v>
      </c>
      <c r="I108" s="2807">
        <f>+G108*(4/3)</f>
        <v>38.666666666666664</v>
      </c>
      <c r="J108" s="2953">
        <f t="shared" si="29"/>
        <v>38.666666666666664</v>
      </c>
      <c r="K108" s="2953">
        <f t="shared" si="29"/>
        <v>38.666666666666664</v>
      </c>
      <c r="L108" s="2953">
        <f t="shared" si="29"/>
        <v>38.666666666666664</v>
      </c>
      <c r="M108" s="2955">
        <f t="shared" si="29"/>
        <v>38.666666666666664</v>
      </c>
    </row>
    <row r="109" spans="1:13" s="1773" customFormat="1" ht="3.95" customHeight="1">
      <c r="A109" s="2930"/>
      <c r="B109" s="2885" t="s">
        <v>587</v>
      </c>
      <c r="C109" s="2885" t="s">
        <v>587</v>
      </c>
      <c r="D109" s="2885" t="s">
        <v>587</v>
      </c>
      <c r="E109" s="2885"/>
      <c r="F109" s="2885" t="s">
        <v>587</v>
      </c>
      <c r="G109" s="2885" t="s">
        <v>587</v>
      </c>
      <c r="H109" s="2885" t="s">
        <v>587</v>
      </c>
      <c r="I109" s="2885" t="s">
        <v>587</v>
      </c>
      <c r="J109" s="2885" t="s">
        <v>587</v>
      </c>
      <c r="K109" s="2885" t="s">
        <v>587</v>
      </c>
      <c r="L109" s="2885" t="s">
        <v>587</v>
      </c>
      <c r="M109" s="2956" t="s">
        <v>587</v>
      </c>
    </row>
    <row r="110" spans="1:13" ht="12.75" customHeight="1">
      <c r="A110" s="505" t="s">
        <v>2808</v>
      </c>
      <c r="B110" s="317">
        <f>SUM(B101:B106)</f>
        <v>416</v>
      </c>
      <c r="C110" s="580">
        <f t="shared" ref="C110:L110" si="30">SUM(C101:C106)</f>
        <v>424</v>
      </c>
      <c r="D110" s="580">
        <f t="shared" si="30"/>
        <v>454</v>
      </c>
      <c r="E110" s="580"/>
      <c r="F110" s="580">
        <f t="shared" si="30"/>
        <v>306</v>
      </c>
      <c r="G110" s="580">
        <f t="shared" si="30"/>
        <v>363</v>
      </c>
      <c r="H110" s="580">
        <f t="shared" si="30"/>
        <v>511</v>
      </c>
      <c r="I110" s="580">
        <f t="shared" si="30"/>
        <v>610.35069601257851</v>
      </c>
      <c r="J110" s="580">
        <f t="shared" si="30"/>
        <v>608.38476608616418</v>
      </c>
      <c r="K110" s="580">
        <f t="shared" si="30"/>
        <v>632.33291816037024</v>
      </c>
      <c r="L110" s="580">
        <f t="shared" si="30"/>
        <v>720.51727509740874</v>
      </c>
      <c r="M110" s="581">
        <f>SUM(M101:M106)</f>
        <v>757.67257208297838</v>
      </c>
    </row>
    <row r="111" spans="1:13">
      <c r="A111" s="1979" t="s">
        <v>2753</v>
      </c>
      <c r="B111" s="2807">
        <v>-68</v>
      </c>
      <c r="C111" s="2807">
        <v>0</v>
      </c>
      <c r="D111" s="2807">
        <v>0</v>
      </c>
      <c r="E111" s="2807"/>
      <c r="F111" s="2807">
        <v>0</v>
      </c>
      <c r="G111" s="2807">
        <v>0</v>
      </c>
      <c r="H111" s="2916">
        <f>D111-F111+G111</f>
        <v>0</v>
      </c>
      <c r="I111" s="2807">
        <v>0</v>
      </c>
      <c r="J111" s="2807">
        <v>0</v>
      </c>
      <c r="K111" s="2807">
        <v>0</v>
      </c>
      <c r="L111" s="2807">
        <v>0</v>
      </c>
      <c r="M111" s="2808">
        <v>0</v>
      </c>
    </row>
    <row r="112" spans="1:13">
      <c r="A112" s="1979" t="s">
        <v>2639</v>
      </c>
      <c r="B112" s="2807">
        <v>0</v>
      </c>
      <c r="C112" s="2807">
        <v>-2</v>
      </c>
      <c r="D112" s="2807">
        <v>0</v>
      </c>
      <c r="E112" s="2807"/>
      <c r="F112" s="2807">
        <v>0</v>
      </c>
      <c r="G112" s="2807">
        <v>0</v>
      </c>
      <c r="H112" s="2916">
        <f>D112-F112+G112</f>
        <v>0</v>
      </c>
      <c r="I112" s="2807">
        <v>0</v>
      </c>
      <c r="J112" s="2807">
        <v>0</v>
      </c>
      <c r="K112" s="2807">
        <v>0</v>
      </c>
      <c r="L112" s="2807">
        <v>0</v>
      </c>
      <c r="M112" s="2808">
        <v>0</v>
      </c>
    </row>
    <row r="113" spans="1:13">
      <c r="A113" s="1979" t="s">
        <v>2809</v>
      </c>
      <c r="B113" s="2807">
        <v>0</v>
      </c>
      <c r="C113" s="2807">
        <v>1</v>
      </c>
      <c r="D113" s="2807">
        <v>26</v>
      </c>
      <c r="E113" s="2807"/>
      <c r="F113" s="2807">
        <v>26</v>
      </c>
      <c r="G113" s="2807">
        <v>0</v>
      </c>
      <c r="H113" s="2916">
        <f>D113-F113+G113</f>
        <v>0</v>
      </c>
      <c r="I113" s="2807">
        <v>0</v>
      </c>
      <c r="J113" s="2807">
        <v>0</v>
      </c>
      <c r="K113" s="2807">
        <v>0</v>
      </c>
      <c r="L113" s="2807">
        <v>0</v>
      </c>
      <c r="M113" s="2808">
        <v>0</v>
      </c>
    </row>
    <row r="114" spans="1:13">
      <c r="A114" s="1979" t="s">
        <v>2810</v>
      </c>
      <c r="B114" s="2807">
        <v>1</v>
      </c>
      <c r="C114" s="2807">
        <v>4</v>
      </c>
      <c r="D114" s="2807">
        <v>0</v>
      </c>
      <c r="E114" s="2807"/>
      <c r="F114" s="2807">
        <v>0</v>
      </c>
      <c r="G114" s="2807">
        <v>0</v>
      </c>
      <c r="H114" s="2916">
        <f>D114-F114+G114</f>
        <v>0</v>
      </c>
      <c r="I114" s="2807">
        <v>0</v>
      </c>
      <c r="J114" s="2807">
        <v>0</v>
      </c>
      <c r="K114" s="2807">
        <v>0</v>
      </c>
      <c r="L114" s="2807">
        <v>0</v>
      </c>
      <c r="M114" s="2808">
        <v>0</v>
      </c>
    </row>
    <row r="115" spans="1:13" s="1773" customFormat="1" ht="3.95" customHeight="1">
      <c r="A115" s="2930"/>
      <c r="B115" s="2885" t="s">
        <v>587</v>
      </c>
      <c r="C115" s="2885" t="s">
        <v>587</v>
      </c>
      <c r="D115" s="2885" t="s">
        <v>587</v>
      </c>
      <c r="E115" s="2885"/>
      <c r="F115" s="2885" t="s">
        <v>587</v>
      </c>
      <c r="G115" s="2885" t="s">
        <v>587</v>
      </c>
      <c r="H115" s="2885" t="s">
        <v>587</v>
      </c>
      <c r="I115" s="2885" t="s">
        <v>587</v>
      </c>
      <c r="J115" s="2885" t="s">
        <v>587</v>
      </c>
      <c r="K115" s="2885" t="s">
        <v>587</v>
      </c>
      <c r="L115" s="2885" t="s">
        <v>587</v>
      </c>
      <c r="M115" s="2956" t="s">
        <v>587</v>
      </c>
    </row>
    <row r="116" spans="1:13">
      <c r="A116" s="505" t="s">
        <v>2693</v>
      </c>
      <c r="B116" s="317">
        <f t="shared" ref="B116:L116" si="31">SUM(B110:B115)</f>
        <v>349</v>
      </c>
      <c r="C116" s="580">
        <f t="shared" si="31"/>
        <v>427</v>
      </c>
      <c r="D116" s="580">
        <f t="shared" si="31"/>
        <v>480</v>
      </c>
      <c r="E116" s="580"/>
      <c r="F116" s="580">
        <f t="shared" si="31"/>
        <v>332</v>
      </c>
      <c r="G116" s="580">
        <f t="shared" si="31"/>
        <v>363</v>
      </c>
      <c r="H116" s="580">
        <f t="shared" si="31"/>
        <v>511</v>
      </c>
      <c r="I116" s="580">
        <f t="shared" si="31"/>
        <v>610.35069601257851</v>
      </c>
      <c r="J116" s="580">
        <f t="shared" si="31"/>
        <v>608.38476608616418</v>
      </c>
      <c r="K116" s="580">
        <f t="shared" si="31"/>
        <v>632.33291816037024</v>
      </c>
      <c r="L116" s="580">
        <f t="shared" si="31"/>
        <v>720.51727509740874</v>
      </c>
      <c r="M116" s="581">
        <f>SUM(M110:M115)</f>
        <v>757.67257208297838</v>
      </c>
    </row>
    <row r="117" spans="1:13">
      <c r="A117" s="1979" t="s">
        <v>2469</v>
      </c>
      <c r="B117" s="317"/>
      <c r="C117" s="317"/>
      <c r="D117" s="317"/>
      <c r="E117" s="317"/>
      <c r="F117" s="317"/>
      <c r="G117" s="317"/>
      <c r="H117" s="317"/>
      <c r="I117" s="317"/>
      <c r="J117" s="2916">
        <f>+J151</f>
        <v>-200</v>
      </c>
      <c r="K117" s="2916">
        <f>+K151</f>
        <v>-200</v>
      </c>
      <c r="L117" s="2916">
        <f>+L151</f>
        <v>-200</v>
      </c>
      <c r="M117" s="2919">
        <f>+M151</f>
        <v>-200</v>
      </c>
    </row>
    <row r="118" spans="1:13" ht="3.95" customHeight="1">
      <c r="A118" s="505"/>
      <c r="B118" s="317"/>
      <c r="C118" s="317"/>
      <c r="D118" s="317"/>
      <c r="E118" s="317"/>
      <c r="F118" s="317"/>
      <c r="G118" s="317"/>
      <c r="H118" s="317"/>
      <c r="I118" s="317"/>
      <c r="J118" s="2885" t="s">
        <v>587</v>
      </c>
      <c r="K118" s="2885" t="s">
        <v>587</v>
      </c>
      <c r="L118" s="2885" t="s">
        <v>587</v>
      </c>
      <c r="M118" s="2956" t="s">
        <v>587</v>
      </c>
    </row>
    <row r="119" spans="1:13">
      <c r="A119" s="505" t="s">
        <v>2859</v>
      </c>
      <c r="B119" s="317"/>
      <c r="C119" s="317"/>
      <c r="D119" s="317"/>
      <c r="E119" s="317"/>
      <c r="F119" s="317"/>
      <c r="G119" s="317"/>
      <c r="H119" s="317"/>
      <c r="I119" s="317"/>
      <c r="J119" s="580">
        <f>+J116+J117</f>
        <v>408.38476608616418</v>
      </c>
      <c r="K119" s="580">
        <f>+K116+K117</f>
        <v>432.33291816037024</v>
      </c>
      <c r="L119" s="580">
        <f>+L116+L117</f>
        <v>520.51727509740874</v>
      </c>
      <c r="M119" s="581">
        <f>+M116+M117</f>
        <v>557.67257208297838</v>
      </c>
    </row>
    <row r="120" spans="1:13" s="1777" customFormat="1">
      <c r="A120" s="505"/>
      <c r="B120" s="317"/>
      <c r="C120" s="317"/>
      <c r="D120" s="317"/>
      <c r="E120" s="317"/>
      <c r="F120" s="317"/>
      <c r="G120" s="317"/>
      <c r="H120" s="317"/>
      <c r="I120" s="317"/>
      <c r="J120" s="317"/>
      <c r="K120" s="317"/>
      <c r="L120" s="317"/>
      <c r="M120" s="2957"/>
    </row>
    <row r="121" spans="1:13">
      <c r="A121" s="1898" t="s">
        <v>2863</v>
      </c>
      <c r="B121" s="2916"/>
      <c r="C121" s="2916"/>
      <c r="D121" s="2916"/>
      <c r="E121" s="2916"/>
      <c r="F121" s="2916"/>
      <c r="G121" s="2916"/>
      <c r="H121" s="2916"/>
      <c r="I121" s="2916"/>
      <c r="J121" s="2663">
        <v>0.5</v>
      </c>
      <c r="K121" s="2962">
        <v>0.5</v>
      </c>
      <c r="L121" s="2962">
        <v>0.5</v>
      </c>
      <c r="M121" s="2963">
        <v>0.5</v>
      </c>
    </row>
    <row r="122" spans="1:13" s="1773" customFormat="1" ht="4.5" customHeight="1">
      <c r="A122" s="2930"/>
      <c r="B122" s="2885"/>
      <c r="C122" s="2885"/>
      <c r="D122" s="2885"/>
      <c r="E122" s="2885"/>
      <c r="F122" s="2885"/>
      <c r="G122" s="2885"/>
      <c r="H122" s="2885"/>
      <c r="I122" s="2885"/>
      <c r="J122" s="2885" t="s">
        <v>587</v>
      </c>
      <c r="K122" s="2885" t="s">
        <v>587</v>
      </c>
      <c r="L122" s="2885" t="s">
        <v>587</v>
      </c>
      <c r="M122" s="2956" t="s">
        <v>587</v>
      </c>
    </row>
    <row r="123" spans="1:13">
      <c r="A123" s="505" t="s">
        <v>2839</v>
      </c>
      <c r="B123" s="317"/>
      <c r="C123" s="317"/>
      <c r="D123" s="317"/>
      <c r="E123" s="317"/>
      <c r="F123" s="317"/>
      <c r="G123" s="317"/>
      <c r="H123" s="317"/>
      <c r="I123" s="317"/>
      <c r="J123" s="580">
        <f>+J121*J116</f>
        <v>304.19238304308209</v>
      </c>
      <c r="K123" s="580">
        <f>+K121*K116</f>
        <v>316.16645908018512</v>
      </c>
      <c r="L123" s="580">
        <f>+L121*L116</f>
        <v>360.25863754870437</v>
      </c>
      <c r="M123" s="581">
        <f>+M121*M116</f>
        <v>378.83628604148919</v>
      </c>
    </row>
    <row r="124" spans="1:13">
      <c r="A124" s="509" t="s">
        <v>2860</v>
      </c>
      <c r="B124" s="2916"/>
      <c r="C124" s="2916"/>
      <c r="D124" s="2916"/>
      <c r="E124" s="2916"/>
      <c r="F124" s="2916"/>
      <c r="G124" s="2916"/>
      <c r="H124" s="2916"/>
      <c r="I124" s="2916"/>
      <c r="J124" s="1109">
        <f>+J123/J51</f>
        <v>1.0568578860423798</v>
      </c>
      <c r="K124" s="2931">
        <f>+K123/K51</f>
        <v>1.0356684363581226</v>
      </c>
      <c r="L124" s="2931">
        <f>+L123/L51</f>
        <v>0.93051779908908361</v>
      </c>
      <c r="M124" s="3056">
        <f>+M123/M51</f>
        <v>0.90637834487153568</v>
      </c>
    </row>
    <row r="125" spans="1:13" ht="3.95" customHeight="1">
      <c r="A125" s="509"/>
      <c r="B125" s="2916"/>
      <c r="C125" s="2916"/>
      <c r="D125" s="2916"/>
      <c r="E125" s="2916"/>
      <c r="F125" s="2916"/>
      <c r="G125" s="2916"/>
      <c r="H125" s="2916"/>
      <c r="I125" s="2916"/>
      <c r="J125" s="2663"/>
      <c r="K125" s="3035"/>
      <c r="L125" s="3035"/>
      <c r="M125" s="3036"/>
    </row>
    <row r="126" spans="1:13" s="122" customFormat="1">
      <c r="A126" s="3037" t="s">
        <v>2840</v>
      </c>
      <c r="B126" s="3038"/>
      <c r="C126" s="3038"/>
      <c r="D126" s="3038"/>
      <c r="E126" s="3038"/>
      <c r="F126" s="3038"/>
      <c r="G126" s="3038"/>
      <c r="H126" s="3038"/>
      <c r="I126" s="3038"/>
      <c r="J126" s="437">
        <f>J123/('EBITDA Val'!$H$7-'Owned Assets Spun Out'!J92)</f>
        <v>1.0112292022713987E-2</v>
      </c>
      <c r="K126" s="437">
        <f>K123/('EBITDA Val'!$H$7-'Owned Assets Spun Out'!K92)</f>
        <v>1.0470839856402535E-2</v>
      </c>
      <c r="L126" s="437">
        <f>L123/('EBITDA Val'!$H$7-'Owned Assets Spun Out'!L92)</f>
        <v>1.1869143227632908E-2</v>
      </c>
      <c r="M126" s="589">
        <f>M123/('EBITDA Val'!$H$7-'Owned Assets Spun Out'!M92)</f>
        <v>1.2409181328609025E-2</v>
      </c>
    </row>
    <row r="127" spans="1:13">
      <c r="B127" s="2872"/>
      <c r="C127" s="2872"/>
      <c r="D127" s="2872"/>
      <c r="E127" s="2872"/>
      <c r="F127" s="2872"/>
      <c r="G127" s="2872"/>
      <c r="H127" s="2872"/>
      <c r="I127" s="2872"/>
      <c r="J127" s="1775">
        <f>+J123/J116</f>
        <v>0.5</v>
      </c>
      <c r="K127" s="2872"/>
      <c r="L127" s="2872"/>
      <c r="M127" s="2916"/>
    </row>
    <row r="128" spans="1:13">
      <c r="A128" s="218" t="s">
        <v>842</v>
      </c>
      <c r="B128" s="3039">
        <v>2013</v>
      </c>
      <c r="C128" s="3039" t="s">
        <v>2625</v>
      </c>
      <c r="D128" s="3039" t="s">
        <v>2626</v>
      </c>
      <c r="E128" s="3039" t="s">
        <v>2834</v>
      </c>
      <c r="F128" s="3040" t="s">
        <v>2897</v>
      </c>
      <c r="G128" s="3040" t="s">
        <v>2896</v>
      </c>
      <c r="H128" s="3040" t="s">
        <v>2684</v>
      </c>
      <c r="I128" s="3039" t="s">
        <v>2902</v>
      </c>
      <c r="J128" s="3039" t="s">
        <v>43</v>
      </c>
      <c r="K128" s="3039" t="s">
        <v>44</v>
      </c>
      <c r="L128" s="3039" t="s">
        <v>1343</v>
      </c>
      <c r="M128" s="3041" t="s">
        <v>1813</v>
      </c>
    </row>
    <row r="129" spans="1:13">
      <c r="A129" s="1979" t="s">
        <v>396</v>
      </c>
      <c r="B129" s="2916">
        <f>+B42</f>
        <v>147</v>
      </c>
      <c r="C129" s="2916">
        <f>+C42</f>
        <v>181</v>
      </c>
      <c r="D129" s="2916">
        <f>+D42</f>
        <v>299</v>
      </c>
      <c r="E129" s="2916"/>
      <c r="F129" s="2916">
        <f t="shared" ref="F129:M129" si="32">+F42</f>
        <v>230</v>
      </c>
      <c r="G129" s="2916">
        <f t="shared" si="32"/>
        <v>122</v>
      </c>
      <c r="H129" s="2916">
        <f t="shared" si="32"/>
        <v>191</v>
      </c>
      <c r="I129" s="2916">
        <f t="shared" si="32"/>
        <v>281.18717399999986</v>
      </c>
      <c r="J129" s="2916">
        <f t="shared" si="32"/>
        <v>287.26464030000056</v>
      </c>
      <c r="K129" s="2916">
        <f t="shared" si="32"/>
        <v>305.13705652515011</v>
      </c>
      <c r="L129" s="2916">
        <f t="shared" si="32"/>
        <v>387.12416289615084</v>
      </c>
      <c r="M129" s="2919">
        <f t="shared" si="32"/>
        <v>417.95826430436199</v>
      </c>
    </row>
    <row r="130" spans="1:13">
      <c r="A130" s="1979" t="s">
        <v>2165</v>
      </c>
      <c r="B130" s="2807">
        <v>246</v>
      </c>
      <c r="C130" s="2807">
        <v>248</v>
      </c>
      <c r="D130" s="2807">
        <v>287</v>
      </c>
      <c r="E130" s="2807"/>
      <c r="F130" s="2807">
        <v>212</v>
      </c>
      <c r="G130" s="2807">
        <v>220</v>
      </c>
      <c r="H130" s="2916">
        <f t="shared" ref="H130:H140" si="33">D130-F130+G130</f>
        <v>295</v>
      </c>
      <c r="I130" s="2916">
        <f>+I22</f>
        <v>297.83018867924528</v>
      </c>
      <c r="J130" s="2916">
        <f>+J22</f>
        <v>303.78679245283018</v>
      </c>
      <c r="K130" s="2916">
        <f>+K22</f>
        <v>309.86252830188681</v>
      </c>
      <c r="L130" s="2916">
        <f>+L22</f>
        <v>316.05977886792454</v>
      </c>
      <c r="M130" s="2919">
        <f>+M22</f>
        <v>322.38097444528302</v>
      </c>
    </row>
    <row r="131" spans="1:13">
      <c r="A131" s="1979" t="s">
        <v>2647</v>
      </c>
      <c r="B131" s="2807">
        <v>0</v>
      </c>
      <c r="C131" s="2807">
        <v>0</v>
      </c>
      <c r="D131" s="2807">
        <v>0</v>
      </c>
      <c r="E131" s="2807"/>
      <c r="F131" s="2807">
        <v>0</v>
      </c>
      <c r="G131" s="2807">
        <v>15</v>
      </c>
      <c r="H131" s="2916">
        <f t="shared" si="33"/>
        <v>15</v>
      </c>
      <c r="I131" s="2807">
        <v>0</v>
      </c>
      <c r="J131" s="2807">
        <v>0</v>
      </c>
      <c r="K131" s="2807">
        <v>0</v>
      </c>
      <c r="L131" s="2807">
        <v>0</v>
      </c>
      <c r="M131" s="2808">
        <v>0</v>
      </c>
    </row>
    <row r="132" spans="1:13">
      <c r="A132" s="1979" t="s">
        <v>2637</v>
      </c>
      <c r="B132" s="2807">
        <v>0</v>
      </c>
      <c r="C132" s="2807">
        <v>0</v>
      </c>
      <c r="D132" s="2807">
        <v>-143</v>
      </c>
      <c r="E132" s="2807"/>
      <c r="F132" s="2807">
        <v>-143</v>
      </c>
      <c r="G132" s="2807">
        <v>-1</v>
      </c>
      <c r="H132" s="2916">
        <f t="shared" si="33"/>
        <v>-1</v>
      </c>
      <c r="I132" s="2807">
        <v>0</v>
      </c>
      <c r="J132" s="2807">
        <v>0</v>
      </c>
      <c r="K132" s="2807">
        <v>0</v>
      </c>
      <c r="L132" s="2807">
        <v>0</v>
      </c>
      <c r="M132" s="2808">
        <v>0</v>
      </c>
    </row>
    <row r="133" spans="1:13">
      <c r="A133" s="1979" t="s">
        <v>2638</v>
      </c>
      <c r="B133" s="2807">
        <v>-13</v>
      </c>
      <c r="C133" s="2807">
        <v>-16</v>
      </c>
      <c r="D133" s="2807">
        <v>-22</v>
      </c>
      <c r="E133" s="2807"/>
      <c r="F133" s="2807">
        <v>-18</v>
      </c>
      <c r="G133" s="2807">
        <v>-16</v>
      </c>
      <c r="H133" s="2916">
        <f>D133-F133+G133</f>
        <v>-20</v>
      </c>
      <c r="I133" s="2953">
        <f>H133</f>
        <v>-20</v>
      </c>
      <c r="J133" s="2916">
        <f>+J107</f>
        <v>-21.333333333333332</v>
      </c>
      <c r="K133" s="2916">
        <f>+K107</f>
        <v>-21.333333333333332</v>
      </c>
      <c r="L133" s="2916">
        <f>+L107</f>
        <v>-21.333333333333332</v>
      </c>
      <c r="M133" s="2919">
        <f>+M107</f>
        <v>-21.333333333333332</v>
      </c>
    </row>
    <row r="134" spans="1:13">
      <c r="A134" s="1979" t="s">
        <v>2651</v>
      </c>
      <c r="B134" s="2807">
        <v>0</v>
      </c>
      <c r="C134" s="2807">
        <v>-2</v>
      </c>
      <c r="D134" s="2807">
        <v>0</v>
      </c>
      <c r="E134" s="2807"/>
      <c r="F134" s="2807">
        <v>0</v>
      </c>
      <c r="G134" s="2807">
        <v>0</v>
      </c>
      <c r="H134" s="2916">
        <f t="shared" si="33"/>
        <v>0</v>
      </c>
      <c r="I134" s="2807">
        <v>0</v>
      </c>
      <c r="J134" s="2807">
        <v>0</v>
      </c>
      <c r="K134" s="2807">
        <v>0</v>
      </c>
      <c r="L134" s="2807">
        <v>0</v>
      </c>
      <c r="M134" s="2808">
        <v>0</v>
      </c>
    </row>
    <row r="135" spans="1:13">
      <c r="A135" s="1979" t="s">
        <v>2753</v>
      </c>
      <c r="B135" s="2807">
        <v>-68</v>
      </c>
      <c r="C135" s="2807">
        <v>0</v>
      </c>
      <c r="D135" s="2807">
        <v>0</v>
      </c>
      <c r="E135" s="2807"/>
      <c r="F135" s="2807">
        <v>0</v>
      </c>
      <c r="G135" s="2807">
        <v>0</v>
      </c>
      <c r="H135" s="2916">
        <f t="shared" si="33"/>
        <v>0</v>
      </c>
      <c r="I135" s="2807"/>
      <c r="J135" s="2807"/>
      <c r="K135" s="2807"/>
      <c r="L135" s="2807"/>
      <c r="M135" s="2808"/>
    </row>
    <row r="136" spans="1:13">
      <c r="A136" s="1979" t="s">
        <v>2652</v>
      </c>
      <c r="B136" s="2807">
        <v>0</v>
      </c>
      <c r="C136" s="2807">
        <v>-25</v>
      </c>
      <c r="D136" s="2807">
        <v>6</v>
      </c>
      <c r="E136" s="2807"/>
      <c r="F136" s="2807">
        <v>5</v>
      </c>
      <c r="G136" s="2807">
        <v>7</v>
      </c>
      <c r="H136" s="2916">
        <f t="shared" si="33"/>
        <v>8</v>
      </c>
      <c r="I136" s="2807">
        <v>0</v>
      </c>
      <c r="J136" s="2807">
        <v>0</v>
      </c>
      <c r="K136" s="2807">
        <v>0</v>
      </c>
      <c r="L136" s="2807">
        <v>0</v>
      </c>
      <c r="M136" s="2808">
        <v>0</v>
      </c>
    </row>
    <row r="137" spans="1:13">
      <c r="A137" s="1979" t="s">
        <v>2653</v>
      </c>
      <c r="B137" s="2807">
        <v>-3</v>
      </c>
      <c r="C137" s="2807">
        <v>13</v>
      </c>
      <c r="D137" s="2807">
        <v>11</v>
      </c>
      <c r="E137" s="2807"/>
      <c r="F137" s="2807">
        <v>9</v>
      </c>
      <c r="G137" s="2807">
        <v>8</v>
      </c>
      <c r="H137" s="2916">
        <f t="shared" si="33"/>
        <v>10</v>
      </c>
      <c r="I137" s="2953">
        <f t="shared" ref="I137:M140" si="34">H137</f>
        <v>10</v>
      </c>
      <c r="J137" s="2953">
        <f t="shared" si="34"/>
        <v>10</v>
      </c>
      <c r="K137" s="2953">
        <f t="shared" si="34"/>
        <v>10</v>
      </c>
      <c r="L137" s="2953">
        <f t="shared" si="34"/>
        <v>10</v>
      </c>
      <c r="M137" s="2955">
        <f t="shared" si="34"/>
        <v>10</v>
      </c>
    </row>
    <row r="138" spans="1:13">
      <c r="A138" s="1979" t="s">
        <v>2654</v>
      </c>
      <c r="B138" s="2807">
        <v>24</v>
      </c>
      <c r="C138" s="2807">
        <v>20</v>
      </c>
      <c r="D138" s="2807">
        <v>27</v>
      </c>
      <c r="E138" s="2807"/>
      <c r="F138" s="2807">
        <v>21</v>
      </c>
      <c r="G138" s="2807">
        <v>14</v>
      </c>
      <c r="H138" s="2916">
        <f t="shared" si="33"/>
        <v>20</v>
      </c>
      <c r="I138" s="2953">
        <f t="shared" si="34"/>
        <v>20</v>
      </c>
      <c r="J138" s="2953">
        <f t="shared" si="34"/>
        <v>20</v>
      </c>
      <c r="K138" s="2953">
        <f t="shared" si="34"/>
        <v>20</v>
      </c>
      <c r="L138" s="2953">
        <f t="shared" si="34"/>
        <v>20</v>
      </c>
      <c r="M138" s="2955">
        <f t="shared" si="34"/>
        <v>20</v>
      </c>
    </row>
    <row r="139" spans="1:13">
      <c r="A139" s="1979" t="s">
        <v>2655</v>
      </c>
      <c r="B139" s="2807">
        <v>14</v>
      </c>
      <c r="C139" s="2807">
        <v>85</v>
      </c>
      <c r="D139" s="2807">
        <v>-7</v>
      </c>
      <c r="E139" s="2807"/>
      <c r="F139" s="2807">
        <v>-5</v>
      </c>
      <c r="G139" s="2807">
        <v>-52</v>
      </c>
      <c r="H139" s="2916">
        <f t="shared" si="33"/>
        <v>-54</v>
      </c>
      <c r="I139" s="2953">
        <f t="shared" si="34"/>
        <v>-54</v>
      </c>
      <c r="J139" s="3534">
        <v>0</v>
      </c>
      <c r="K139" s="2953">
        <f t="shared" si="34"/>
        <v>0</v>
      </c>
      <c r="L139" s="2953">
        <f t="shared" si="34"/>
        <v>0</v>
      </c>
      <c r="M139" s="2955">
        <f t="shared" si="34"/>
        <v>0</v>
      </c>
    </row>
    <row r="140" spans="1:13">
      <c r="A140" s="1979" t="s">
        <v>2677</v>
      </c>
      <c r="B140" s="2916">
        <f>SUM(B141:B147)</f>
        <v>93</v>
      </c>
      <c r="C140" s="2916">
        <f>SUM(C141:C147)</f>
        <v>12</v>
      </c>
      <c r="D140" s="2916">
        <f>SUM(D141:D147)</f>
        <v>61</v>
      </c>
      <c r="E140" s="2916"/>
      <c r="F140" s="2807">
        <v>62</v>
      </c>
      <c r="G140" s="2807">
        <v>-23</v>
      </c>
      <c r="H140" s="2916">
        <f t="shared" si="33"/>
        <v>-24</v>
      </c>
      <c r="I140" s="2953">
        <f t="shared" si="34"/>
        <v>-24</v>
      </c>
      <c r="J140" s="2807">
        <v>0</v>
      </c>
      <c r="K140" s="2807">
        <v>0</v>
      </c>
      <c r="L140" s="2807">
        <v>0</v>
      </c>
      <c r="M140" s="2808">
        <v>0</v>
      </c>
    </row>
    <row r="141" spans="1:13">
      <c r="A141" s="2954" t="s">
        <v>2673</v>
      </c>
      <c r="B141" s="2807">
        <v>5</v>
      </c>
      <c r="C141" s="2807">
        <v>-9</v>
      </c>
      <c r="D141" s="2807">
        <v>-25</v>
      </c>
      <c r="E141" s="2807"/>
      <c r="F141" s="2807">
        <v>0</v>
      </c>
      <c r="G141" s="2807">
        <v>0</v>
      </c>
      <c r="H141" s="2807">
        <v>0</v>
      </c>
      <c r="I141" s="2807">
        <v>0</v>
      </c>
      <c r="J141" s="2807">
        <v>0</v>
      </c>
      <c r="K141" s="2807">
        <v>0</v>
      </c>
      <c r="L141" s="2807">
        <v>0</v>
      </c>
      <c r="M141" s="2808">
        <v>0</v>
      </c>
    </row>
    <row r="142" spans="1:13">
      <c r="A142" s="2954" t="s">
        <v>1476</v>
      </c>
      <c r="B142" s="2807">
        <v>-8</v>
      </c>
      <c r="C142" s="2807">
        <v>-27</v>
      </c>
      <c r="D142" s="2807">
        <v>-13</v>
      </c>
      <c r="E142" s="2807"/>
      <c r="F142" s="2807">
        <v>0</v>
      </c>
      <c r="G142" s="2807">
        <v>0</v>
      </c>
      <c r="H142" s="2807">
        <v>0</v>
      </c>
      <c r="I142" s="2807">
        <v>0</v>
      </c>
      <c r="J142" s="2807">
        <v>0</v>
      </c>
      <c r="K142" s="2807">
        <v>0</v>
      </c>
      <c r="L142" s="2807">
        <v>0</v>
      </c>
      <c r="M142" s="2808">
        <v>0</v>
      </c>
    </row>
    <row r="143" spans="1:13">
      <c r="A143" s="2954" t="s">
        <v>2674</v>
      </c>
      <c r="B143" s="2807">
        <v>3</v>
      </c>
      <c r="C143" s="2807">
        <v>-8</v>
      </c>
      <c r="D143" s="2807">
        <v>44</v>
      </c>
      <c r="E143" s="2807"/>
      <c r="F143" s="2807">
        <v>0</v>
      </c>
      <c r="G143" s="2807">
        <v>0</v>
      </c>
      <c r="H143" s="2807">
        <v>0</v>
      </c>
      <c r="I143" s="2807">
        <v>0</v>
      </c>
      <c r="J143" s="2807">
        <v>0</v>
      </c>
      <c r="K143" s="2807">
        <v>0</v>
      </c>
      <c r="L143" s="2807">
        <v>0</v>
      </c>
      <c r="M143" s="2808">
        <v>0</v>
      </c>
    </row>
    <row r="144" spans="1:13">
      <c r="A144" s="2954" t="s">
        <v>2811</v>
      </c>
      <c r="B144" s="2807">
        <v>28</v>
      </c>
      <c r="C144" s="2807">
        <v>35</v>
      </c>
      <c r="D144" s="2807">
        <v>-16</v>
      </c>
      <c r="E144" s="2807"/>
      <c r="F144" s="2807">
        <v>0</v>
      </c>
      <c r="G144" s="2807">
        <v>0</v>
      </c>
      <c r="H144" s="2807">
        <v>0</v>
      </c>
      <c r="I144" s="2807">
        <v>0</v>
      </c>
      <c r="J144" s="2807">
        <v>0</v>
      </c>
      <c r="K144" s="2807">
        <v>0</v>
      </c>
      <c r="L144" s="2807">
        <v>0</v>
      </c>
      <c r="M144" s="2808">
        <v>0</v>
      </c>
    </row>
    <row r="145" spans="1:14">
      <c r="A145" s="2954" t="s">
        <v>2675</v>
      </c>
      <c r="B145" s="2807">
        <v>1</v>
      </c>
      <c r="C145" s="2807">
        <v>5</v>
      </c>
      <c r="D145" s="2807">
        <v>15</v>
      </c>
      <c r="E145" s="2807"/>
      <c r="F145" s="2807">
        <v>0</v>
      </c>
      <c r="G145" s="2807">
        <v>0</v>
      </c>
      <c r="H145" s="2807">
        <v>0</v>
      </c>
      <c r="I145" s="2807">
        <v>0</v>
      </c>
      <c r="J145" s="2807">
        <v>0</v>
      </c>
      <c r="K145" s="2807">
        <v>0</v>
      </c>
      <c r="L145" s="2807">
        <v>0</v>
      </c>
      <c r="M145" s="2808">
        <v>0</v>
      </c>
    </row>
    <row r="146" spans="1:14">
      <c r="A146" s="2954" t="s">
        <v>2676</v>
      </c>
      <c r="B146" s="2807">
        <v>-7</v>
      </c>
      <c r="C146" s="2807">
        <v>5</v>
      </c>
      <c r="D146" s="2807">
        <v>25</v>
      </c>
      <c r="E146" s="2807"/>
      <c r="F146" s="2807">
        <v>0</v>
      </c>
      <c r="G146" s="2807">
        <v>0</v>
      </c>
      <c r="H146" s="2807">
        <v>0</v>
      </c>
      <c r="I146" s="2807">
        <v>0</v>
      </c>
      <c r="J146" s="2807">
        <v>0</v>
      </c>
      <c r="K146" s="2807">
        <v>0</v>
      </c>
      <c r="L146" s="2807">
        <v>0</v>
      </c>
      <c r="M146" s="2808">
        <v>0</v>
      </c>
    </row>
    <row r="147" spans="1:14">
      <c r="A147" s="1979" t="s">
        <v>395</v>
      </c>
      <c r="B147" s="2807">
        <v>71</v>
      </c>
      <c r="C147" s="2807">
        <v>11</v>
      </c>
      <c r="D147" s="2807">
        <v>31</v>
      </c>
      <c r="E147" s="2807"/>
      <c r="F147" s="2807">
        <v>0</v>
      </c>
      <c r="G147" s="2807">
        <v>0</v>
      </c>
      <c r="H147" s="2807">
        <v>0</v>
      </c>
      <c r="I147" s="3055">
        <f>-I90-SUM(I129:I140,I159,I174,D180,I176)</f>
        <v>-343.41497399999878</v>
      </c>
      <c r="J147" s="2807">
        <v>0</v>
      </c>
      <c r="K147" s="2807">
        <v>0</v>
      </c>
      <c r="L147" s="2807">
        <v>0</v>
      </c>
      <c r="M147" s="2808">
        <v>0</v>
      </c>
    </row>
    <row r="148" spans="1:14" s="1773" customFormat="1" ht="4.5" customHeight="1">
      <c r="A148" s="2930"/>
      <c r="B148" s="2885" t="s">
        <v>587</v>
      </c>
      <c r="C148" s="2885" t="s">
        <v>587</v>
      </c>
      <c r="D148" s="2885" t="s">
        <v>587</v>
      </c>
      <c r="E148" s="2885"/>
      <c r="F148" s="2885" t="s">
        <v>587</v>
      </c>
      <c r="G148" s="2885" t="s">
        <v>587</v>
      </c>
      <c r="H148" s="2885" t="s">
        <v>587</v>
      </c>
      <c r="I148" s="2885" t="s">
        <v>587</v>
      </c>
      <c r="J148" s="2886" t="s">
        <v>587</v>
      </c>
      <c r="K148" s="2886" t="s">
        <v>587</v>
      </c>
      <c r="L148" s="2886" t="s">
        <v>587</v>
      </c>
      <c r="M148" s="2887" t="s">
        <v>587</v>
      </c>
    </row>
    <row r="149" spans="1:14">
      <c r="A149" s="505" t="s">
        <v>2656</v>
      </c>
      <c r="B149" s="317">
        <f>+SUM(B129:B140)</f>
        <v>440</v>
      </c>
      <c r="C149" s="317">
        <f t="shared" ref="C149:L149" si="35">+SUM(C129:C140)</f>
        <v>516</v>
      </c>
      <c r="D149" s="317">
        <f t="shared" si="35"/>
        <v>519</v>
      </c>
      <c r="E149" s="317"/>
      <c r="F149" s="317">
        <f t="shared" si="35"/>
        <v>373</v>
      </c>
      <c r="G149" s="317">
        <f t="shared" si="35"/>
        <v>294</v>
      </c>
      <c r="H149" s="317">
        <f t="shared" si="35"/>
        <v>440</v>
      </c>
      <c r="I149" s="317">
        <f>+SUM(I129:I140,I147)</f>
        <v>167.60238867924636</v>
      </c>
      <c r="J149" s="317">
        <f t="shared" si="35"/>
        <v>599.71809941949743</v>
      </c>
      <c r="K149" s="317">
        <f t="shared" si="35"/>
        <v>623.6662514937035</v>
      </c>
      <c r="L149" s="317">
        <f t="shared" si="35"/>
        <v>711.850608430742</v>
      </c>
      <c r="M149" s="2957">
        <f>+SUM(M129:M140)</f>
        <v>749.00590541631163</v>
      </c>
    </row>
    <row r="150" spans="1:14">
      <c r="A150" s="1898"/>
      <c r="B150" s="2916"/>
      <c r="C150" s="2916"/>
      <c r="D150" s="2916"/>
      <c r="E150" s="2916"/>
      <c r="F150" s="2916"/>
      <c r="G150" s="2916"/>
      <c r="H150" s="2916"/>
      <c r="I150" s="2916"/>
      <c r="J150" s="2916"/>
      <c r="K150" s="2916"/>
      <c r="L150" s="2916"/>
      <c r="M150" s="2919"/>
    </row>
    <row r="151" spans="1:14">
      <c r="A151" s="1979" t="s">
        <v>2657</v>
      </c>
      <c r="B151" s="2807">
        <v>-184</v>
      </c>
      <c r="C151" s="2807">
        <v>-171</v>
      </c>
      <c r="D151" s="2807">
        <v>-226</v>
      </c>
      <c r="E151" s="2807"/>
      <c r="F151" s="2807">
        <v>-162</v>
      </c>
      <c r="G151" s="2807">
        <v>-170</v>
      </c>
      <c r="H151" s="2916">
        <f t="shared" ref="H151:H178" si="36">D151-F151+G151</f>
        <v>-234</v>
      </c>
      <c r="I151" s="2807">
        <v>-200</v>
      </c>
      <c r="J151" s="2953">
        <f>I151</f>
        <v>-200</v>
      </c>
      <c r="K151" s="2953">
        <f>J151</f>
        <v>-200</v>
      </c>
      <c r="L151" s="2953">
        <f>K151</f>
        <v>-200</v>
      </c>
      <c r="M151" s="2955">
        <f>L151</f>
        <v>-200</v>
      </c>
      <c r="N151" s="1775"/>
    </row>
    <row r="152" spans="1:14">
      <c r="A152" s="1979" t="s">
        <v>2658</v>
      </c>
      <c r="B152" s="2807">
        <v>-30</v>
      </c>
      <c r="C152" s="2807">
        <v>0</v>
      </c>
      <c r="D152" s="2807">
        <v>-1410</v>
      </c>
      <c r="E152" s="2807"/>
      <c r="F152" s="2807">
        <v>-1410</v>
      </c>
      <c r="G152" s="2807">
        <v>0</v>
      </c>
      <c r="H152" s="2916">
        <f t="shared" si="36"/>
        <v>0</v>
      </c>
      <c r="I152" s="2916">
        <f t="shared" ref="I152:M156" si="37">H152</f>
        <v>0</v>
      </c>
      <c r="J152" s="2916">
        <f t="shared" si="37"/>
        <v>0</v>
      </c>
      <c r="K152" s="2916">
        <f t="shared" si="37"/>
        <v>0</v>
      </c>
      <c r="L152" s="2916">
        <f t="shared" si="37"/>
        <v>0</v>
      </c>
      <c r="M152" s="2919">
        <f t="shared" si="37"/>
        <v>0</v>
      </c>
    </row>
    <row r="153" spans="1:14">
      <c r="A153" s="1979" t="s">
        <v>2678</v>
      </c>
      <c r="B153" s="2807">
        <v>-1</v>
      </c>
      <c r="C153" s="2807">
        <v>-5</v>
      </c>
      <c r="D153" s="2807">
        <v>-1</v>
      </c>
      <c r="E153" s="2807"/>
      <c r="F153" s="2807">
        <v>-1</v>
      </c>
      <c r="G153" s="2807">
        <v>0</v>
      </c>
      <c r="H153" s="2916">
        <f t="shared" si="36"/>
        <v>0</v>
      </c>
      <c r="I153" s="2953">
        <f t="shared" si="37"/>
        <v>0</v>
      </c>
      <c r="J153" s="2953">
        <f t="shared" si="37"/>
        <v>0</v>
      </c>
      <c r="K153" s="2953">
        <f t="shared" si="37"/>
        <v>0</v>
      </c>
      <c r="L153" s="2953">
        <f t="shared" si="37"/>
        <v>0</v>
      </c>
      <c r="M153" s="2955">
        <f t="shared" si="37"/>
        <v>0</v>
      </c>
    </row>
    <row r="154" spans="1:14">
      <c r="A154" s="1979" t="s">
        <v>2659</v>
      </c>
      <c r="B154" s="2807">
        <v>0</v>
      </c>
      <c r="C154" s="2807">
        <v>0</v>
      </c>
      <c r="D154" s="2807">
        <v>-14</v>
      </c>
      <c r="E154" s="2807"/>
      <c r="F154" s="2807">
        <v>0</v>
      </c>
      <c r="G154" s="2807">
        <v>14</v>
      </c>
      <c r="H154" s="2916">
        <f t="shared" si="36"/>
        <v>0</v>
      </c>
      <c r="I154" s="2953">
        <f t="shared" si="37"/>
        <v>0</v>
      </c>
      <c r="J154" s="2807">
        <v>0</v>
      </c>
      <c r="K154" s="2807">
        <v>0</v>
      </c>
      <c r="L154" s="2807">
        <v>0</v>
      </c>
      <c r="M154" s="2808">
        <v>0</v>
      </c>
    </row>
    <row r="155" spans="1:14">
      <c r="A155" s="1979" t="s">
        <v>2660</v>
      </c>
      <c r="B155" s="2807">
        <v>13</v>
      </c>
      <c r="C155" s="2807">
        <v>26</v>
      </c>
      <c r="D155" s="2807">
        <v>15</v>
      </c>
      <c r="E155" s="2807"/>
      <c r="F155" s="2807">
        <v>4</v>
      </c>
      <c r="G155" s="2807">
        <v>2</v>
      </c>
      <c r="H155" s="2916">
        <f t="shared" si="36"/>
        <v>13</v>
      </c>
      <c r="I155" s="2953">
        <f t="shared" si="37"/>
        <v>13</v>
      </c>
      <c r="J155" s="2953">
        <f t="shared" si="37"/>
        <v>13</v>
      </c>
      <c r="K155" s="2953">
        <f t="shared" si="37"/>
        <v>13</v>
      </c>
      <c r="L155" s="2953">
        <f t="shared" si="37"/>
        <v>13</v>
      </c>
      <c r="M155" s="2955">
        <f t="shared" si="37"/>
        <v>13</v>
      </c>
    </row>
    <row r="156" spans="1:14">
      <c r="A156" s="1979" t="s">
        <v>2679</v>
      </c>
      <c r="B156" s="2807">
        <v>2</v>
      </c>
      <c r="C156" s="2807">
        <v>15</v>
      </c>
      <c r="D156" s="2807">
        <v>0</v>
      </c>
      <c r="E156" s="2807"/>
      <c r="F156" s="2807">
        <v>0</v>
      </c>
      <c r="G156" s="2807">
        <v>0</v>
      </c>
      <c r="H156" s="2916">
        <f t="shared" si="36"/>
        <v>0</v>
      </c>
      <c r="I156" s="2916">
        <f t="shared" si="37"/>
        <v>0</v>
      </c>
      <c r="J156" s="2916">
        <f t="shared" si="37"/>
        <v>0</v>
      </c>
      <c r="K156" s="2916">
        <f t="shared" si="37"/>
        <v>0</v>
      </c>
      <c r="L156" s="2916">
        <f t="shared" si="37"/>
        <v>0</v>
      </c>
      <c r="M156" s="2919">
        <f t="shared" si="37"/>
        <v>0</v>
      </c>
    </row>
    <row r="157" spans="1:14">
      <c r="A157" s="1979" t="s">
        <v>2661</v>
      </c>
      <c r="B157" s="2807">
        <v>0</v>
      </c>
      <c r="C157" s="2807">
        <v>15</v>
      </c>
      <c r="D157" s="2807">
        <v>1866</v>
      </c>
      <c r="E157" s="2807"/>
      <c r="F157" s="2807">
        <v>1866</v>
      </c>
      <c r="G157" s="2807">
        <v>0</v>
      </c>
      <c r="H157" s="2916">
        <f t="shared" si="36"/>
        <v>0</v>
      </c>
      <c r="I157" s="2807">
        <v>0</v>
      </c>
      <c r="J157" s="2807">
        <v>0</v>
      </c>
      <c r="K157" s="2807">
        <v>0</v>
      </c>
      <c r="L157" s="2807">
        <v>0</v>
      </c>
      <c r="M157" s="2808">
        <v>0</v>
      </c>
    </row>
    <row r="158" spans="1:14" s="1773" customFormat="1" ht="4.5" customHeight="1">
      <c r="A158" s="2930"/>
      <c r="B158" s="2885" t="s">
        <v>587</v>
      </c>
      <c r="C158" s="2885" t="s">
        <v>587</v>
      </c>
      <c r="D158" s="2885" t="s">
        <v>587</v>
      </c>
      <c r="E158" s="2885"/>
      <c r="F158" s="2885" t="s">
        <v>587</v>
      </c>
      <c r="G158" s="2885" t="s">
        <v>587</v>
      </c>
      <c r="H158" s="2885" t="s">
        <v>587</v>
      </c>
      <c r="I158" s="2885" t="s">
        <v>587</v>
      </c>
      <c r="J158" s="2886" t="s">
        <v>587</v>
      </c>
      <c r="K158" s="2886" t="s">
        <v>587</v>
      </c>
      <c r="L158" s="2886" t="s">
        <v>587</v>
      </c>
      <c r="M158" s="2887" t="s">
        <v>587</v>
      </c>
      <c r="N158" s="2205"/>
    </row>
    <row r="159" spans="1:14">
      <c r="A159" s="505" t="s">
        <v>2662</v>
      </c>
      <c r="B159" s="317">
        <f t="shared" ref="B159:L159" si="38">SUM(B151:B157)</f>
        <v>-200</v>
      </c>
      <c r="C159" s="317">
        <f t="shared" si="38"/>
        <v>-120</v>
      </c>
      <c r="D159" s="317">
        <f t="shared" si="38"/>
        <v>230</v>
      </c>
      <c r="E159" s="317"/>
      <c r="F159" s="317">
        <f t="shared" si="38"/>
        <v>297</v>
      </c>
      <c r="G159" s="317">
        <f t="shared" si="38"/>
        <v>-154</v>
      </c>
      <c r="H159" s="317">
        <f t="shared" si="38"/>
        <v>-221</v>
      </c>
      <c r="I159" s="317">
        <f t="shared" si="38"/>
        <v>-187</v>
      </c>
      <c r="J159" s="317">
        <f t="shared" si="38"/>
        <v>-187</v>
      </c>
      <c r="K159" s="317">
        <f t="shared" si="38"/>
        <v>-187</v>
      </c>
      <c r="L159" s="317">
        <f t="shared" si="38"/>
        <v>-187</v>
      </c>
      <c r="M159" s="2957">
        <f>SUM(M151:M157)</f>
        <v>-187</v>
      </c>
    </row>
    <row r="160" spans="1:14">
      <c r="A160" s="1898"/>
      <c r="B160" s="2916"/>
      <c r="C160" s="2916"/>
      <c r="D160" s="2916"/>
      <c r="E160" s="2916"/>
      <c r="F160" s="2916"/>
      <c r="G160" s="2916"/>
      <c r="H160" s="2916">
        <f t="shared" si="36"/>
        <v>0</v>
      </c>
      <c r="I160" s="2916"/>
      <c r="J160" s="2916"/>
      <c r="K160" s="2916"/>
      <c r="L160" s="2916"/>
      <c r="M160" s="2919"/>
    </row>
    <row r="161" spans="1:14">
      <c r="A161" s="1979" t="s">
        <v>2663</v>
      </c>
      <c r="B161" s="2807">
        <v>4026</v>
      </c>
      <c r="C161" s="2807">
        <v>0</v>
      </c>
      <c r="D161" s="2807">
        <v>271</v>
      </c>
      <c r="E161" s="2807"/>
      <c r="F161" s="2807">
        <v>214</v>
      </c>
      <c r="G161" s="2807">
        <v>0</v>
      </c>
      <c r="H161" s="2916">
        <f t="shared" si="36"/>
        <v>57</v>
      </c>
      <c r="I161" s="2807">
        <v>0</v>
      </c>
      <c r="J161" s="2807">
        <v>0</v>
      </c>
      <c r="K161" s="2807">
        <v>0</v>
      </c>
      <c r="L161" s="2807">
        <v>0</v>
      </c>
      <c r="M161" s="2808">
        <v>0</v>
      </c>
    </row>
    <row r="162" spans="1:14">
      <c r="A162" s="1979" t="s">
        <v>2664</v>
      </c>
      <c r="B162" s="2807">
        <v>-1</v>
      </c>
      <c r="C162" s="2807">
        <v>-14</v>
      </c>
      <c r="D162" s="2807">
        <v>-883</v>
      </c>
      <c r="E162" s="2807"/>
      <c r="F162" s="2807">
        <v>-739</v>
      </c>
      <c r="G162" s="2807">
        <v>-995</v>
      </c>
      <c r="H162" s="2916">
        <f t="shared" si="36"/>
        <v>-1139</v>
      </c>
      <c r="I162" s="2807">
        <v>0</v>
      </c>
      <c r="J162" s="2807">
        <v>0</v>
      </c>
      <c r="K162" s="2807">
        <v>0</v>
      </c>
      <c r="L162" s="2807">
        <v>0</v>
      </c>
      <c r="M162" s="2808">
        <v>0</v>
      </c>
    </row>
    <row r="163" spans="1:14">
      <c r="A163" s="1979" t="s">
        <v>2680</v>
      </c>
      <c r="B163" s="2807">
        <v>-4550</v>
      </c>
      <c r="C163" s="2807">
        <v>0</v>
      </c>
      <c r="D163" s="2807">
        <v>0</v>
      </c>
      <c r="E163" s="2807"/>
      <c r="F163" s="2807">
        <v>0</v>
      </c>
      <c r="G163" s="2807">
        <v>0</v>
      </c>
      <c r="H163" s="2916">
        <f t="shared" si="36"/>
        <v>0</v>
      </c>
      <c r="I163" s="2916">
        <f t="shared" ref="I163:M171" si="39">H163</f>
        <v>0</v>
      </c>
      <c r="J163" s="2916">
        <f t="shared" si="39"/>
        <v>0</v>
      </c>
      <c r="K163" s="2916">
        <f t="shared" si="39"/>
        <v>0</v>
      </c>
      <c r="L163" s="2916">
        <f t="shared" si="39"/>
        <v>0</v>
      </c>
      <c r="M163" s="2919">
        <f t="shared" si="39"/>
        <v>0</v>
      </c>
    </row>
    <row r="164" spans="1:14">
      <c r="A164" s="1979" t="s">
        <v>2681</v>
      </c>
      <c r="B164" s="2807">
        <v>-58</v>
      </c>
      <c r="C164" s="2807">
        <v>-1</v>
      </c>
      <c r="D164" s="2807">
        <v>0</v>
      </c>
      <c r="E164" s="2807"/>
      <c r="F164" s="2807">
        <v>0</v>
      </c>
      <c r="G164" s="2807">
        <v>0</v>
      </c>
      <c r="H164" s="2916">
        <f t="shared" si="36"/>
        <v>0</v>
      </c>
      <c r="I164" s="2916">
        <f t="shared" si="39"/>
        <v>0</v>
      </c>
      <c r="J164" s="2916">
        <f t="shared" si="39"/>
        <v>0</v>
      </c>
      <c r="K164" s="2916">
        <f t="shared" si="39"/>
        <v>0</v>
      </c>
      <c r="L164" s="2916">
        <f t="shared" si="39"/>
        <v>0</v>
      </c>
      <c r="M164" s="2919">
        <f t="shared" si="39"/>
        <v>0</v>
      </c>
    </row>
    <row r="165" spans="1:14">
      <c r="A165" s="1979" t="s">
        <v>2682</v>
      </c>
      <c r="B165" s="2807">
        <v>0</v>
      </c>
      <c r="C165" s="2807">
        <v>22</v>
      </c>
      <c r="D165" s="2807">
        <v>0</v>
      </c>
      <c r="E165" s="2807"/>
      <c r="F165" s="2807">
        <v>0</v>
      </c>
      <c r="G165" s="2807">
        <v>0</v>
      </c>
      <c r="H165" s="2916">
        <f t="shared" si="36"/>
        <v>0</v>
      </c>
      <c r="I165" s="2916">
        <f t="shared" si="39"/>
        <v>0</v>
      </c>
      <c r="J165" s="2916">
        <f t="shared" si="39"/>
        <v>0</v>
      </c>
      <c r="K165" s="2916">
        <f t="shared" si="39"/>
        <v>0</v>
      </c>
      <c r="L165" s="2916">
        <f t="shared" si="39"/>
        <v>0</v>
      </c>
      <c r="M165" s="2919">
        <f t="shared" si="39"/>
        <v>0</v>
      </c>
    </row>
    <row r="166" spans="1:14">
      <c r="A166" s="1979" t="s">
        <v>2665</v>
      </c>
      <c r="B166" s="2807">
        <v>-32</v>
      </c>
      <c r="C166" s="2807">
        <v>10</v>
      </c>
      <c r="D166" s="2807">
        <v>-18</v>
      </c>
      <c r="E166" s="2807"/>
      <c r="F166" s="2807">
        <v>-59</v>
      </c>
      <c r="G166" s="2807">
        <v>-21</v>
      </c>
      <c r="H166" s="2916">
        <f t="shared" si="36"/>
        <v>20</v>
      </c>
      <c r="I166" s="2953">
        <f>+-D184+22</f>
        <v>-50</v>
      </c>
      <c r="J166" s="2807">
        <v>0</v>
      </c>
      <c r="K166" s="2807">
        <v>0</v>
      </c>
      <c r="L166" s="2807">
        <v>0</v>
      </c>
      <c r="M166" s="2808">
        <v>0</v>
      </c>
    </row>
    <row r="167" spans="1:14">
      <c r="A167" s="1979" t="s">
        <v>2683</v>
      </c>
      <c r="B167" s="2807">
        <v>0</v>
      </c>
      <c r="C167" s="2807">
        <v>22</v>
      </c>
      <c r="D167" s="2807">
        <v>0</v>
      </c>
      <c r="E167" s="2807"/>
      <c r="F167" s="2807">
        <v>0</v>
      </c>
      <c r="G167" s="2807">
        <v>0</v>
      </c>
      <c r="H167" s="2916">
        <f t="shared" si="36"/>
        <v>0</v>
      </c>
      <c r="I167" s="2953">
        <f t="shared" si="39"/>
        <v>0</v>
      </c>
      <c r="J167" s="2953">
        <f t="shared" si="39"/>
        <v>0</v>
      </c>
      <c r="K167" s="2953">
        <f t="shared" si="39"/>
        <v>0</v>
      </c>
      <c r="L167" s="2953">
        <f t="shared" si="39"/>
        <v>0</v>
      </c>
      <c r="M167" s="2955">
        <f t="shared" si="39"/>
        <v>0</v>
      </c>
    </row>
    <row r="168" spans="1:14">
      <c r="A168" s="1979" t="s">
        <v>2898</v>
      </c>
      <c r="B168" s="2807"/>
      <c r="C168" s="2807"/>
      <c r="D168" s="2807"/>
      <c r="E168" s="2807"/>
      <c r="F168" s="2807"/>
      <c r="G168" s="2807">
        <v>987</v>
      </c>
      <c r="H168" s="2916"/>
      <c r="I168" s="2953"/>
      <c r="J168" s="2953"/>
      <c r="K168" s="2953"/>
      <c r="L168" s="2953"/>
      <c r="M168" s="2955"/>
    </row>
    <row r="169" spans="1:14">
      <c r="A169" s="1979" t="s">
        <v>2666</v>
      </c>
      <c r="B169" s="2807">
        <v>507</v>
      </c>
      <c r="C169" s="2807">
        <v>-84</v>
      </c>
      <c r="D169" s="2807">
        <v>3</v>
      </c>
      <c r="E169" s="2807"/>
      <c r="F169" s="2807">
        <v>17</v>
      </c>
      <c r="G169" s="2807">
        <v>167</v>
      </c>
      <c r="H169" s="2916">
        <f t="shared" si="36"/>
        <v>153</v>
      </c>
      <c r="I169" s="2953">
        <f t="shared" si="39"/>
        <v>153</v>
      </c>
      <c r="J169" s="3535">
        <v>0</v>
      </c>
      <c r="K169" s="3438">
        <f t="shared" si="39"/>
        <v>0</v>
      </c>
      <c r="L169" s="3438">
        <f t="shared" si="39"/>
        <v>0</v>
      </c>
      <c r="M169" s="3439">
        <f t="shared" si="39"/>
        <v>0</v>
      </c>
    </row>
    <row r="170" spans="1:14">
      <c r="A170" s="1979" t="s">
        <v>2858</v>
      </c>
      <c r="B170" s="2807">
        <v>-103</v>
      </c>
      <c r="C170" s="2807">
        <v>-351</v>
      </c>
      <c r="D170" s="2807">
        <v>-81</v>
      </c>
      <c r="E170" s="2807"/>
      <c r="F170" s="2807">
        <v>-81</v>
      </c>
      <c r="G170" s="2807">
        <v>0</v>
      </c>
      <c r="H170" s="2916">
        <f t="shared" si="36"/>
        <v>0</v>
      </c>
      <c r="I170" s="2953">
        <f t="shared" si="39"/>
        <v>0</v>
      </c>
      <c r="J170" s="2916">
        <f>+-J123</f>
        <v>-304.19238304308209</v>
      </c>
      <c r="K170" s="2916">
        <f>+-K123</f>
        <v>-316.16645908018512</v>
      </c>
      <c r="L170" s="2916">
        <f>+-L123</f>
        <v>-360.25863754870437</v>
      </c>
      <c r="M170" s="2919">
        <f>+-M123</f>
        <v>-378.83628604148919</v>
      </c>
    </row>
    <row r="171" spans="1:14">
      <c r="A171" s="1979" t="s">
        <v>2667</v>
      </c>
      <c r="B171" s="2807">
        <v>-4</v>
      </c>
      <c r="C171" s="2807">
        <v>-5</v>
      </c>
      <c r="D171" s="2807">
        <v>-7</v>
      </c>
      <c r="E171" s="2807"/>
      <c r="F171" s="2807">
        <v>-6</v>
      </c>
      <c r="G171" s="2807">
        <v>-6</v>
      </c>
      <c r="H171" s="2916">
        <f t="shared" si="36"/>
        <v>-7</v>
      </c>
      <c r="I171" s="2953">
        <f t="shared" si="39"/>
        <v>-7</v>
      </c>
      <c r="J171" s="2953">
        <f t="shared" si="39"/>
        <v>-7</v>
      </c>
      <c r="K171" s="2953">
        <f t="shared" si="39"/>
        <v>-7</v>
      </c>
      <c r="L171" s="2953">
        <f t="shared" si="39"/>
        <v>-7</v>
      </c>
      <c r="M171" s="2955">
        <f t="shared" si="39"/>
        <v>-7</v>
      </c>
    </row>
    <row r="172" spans="1:14">
      <c r="A172" s="1979" t="s">
        <v>2930</v>
      </c>
      <c r="B172" s="2807">
        <v>0</v>
      </c>
      <c r="C172" s="2807">
        <v>0</v>
      </c>
      <c r="D172" s="2807">
        <v>0</v>
      </c>
      <c r="E172" s="2807"/>
      <c r="F172" s="2807">
        <v>0</v>
      </c>
      <c r="G172" s="2807">
        <v>0</v>
      </c>
      <c r="H172" s="2916">
        <f t="shared" si="36"/>
        <v>0</v>
      </c>
      <c r="I172" s="2953">
        <f>F172</f>
        <v>0</v>
      </c>
      <c r="J172" s="2953">
        <f>G172</f>
        <v>0</v>
      </c>
      <c r="K172" s="2953">
        <f>H172</f>
        <v>0</v>
      </c>
      <c r="L172" s="2953">
        <f>I172</f>
        <v>0</v>
      </c>
      <c r="M172" s="2955">
        <f>J172</f>
        <v>0</v>
      </c>
    </row>
    <row r="173" spans="1:14" s="1773" customFormat="1" ht="4.5" customHeight="1">
      <c r="A173" s="2930"/>
      <c r="B173" s="2885" t="s">
        <v>587</v>
      </c>
      <c r="C173" s="2885" t="s">
        <v>587</v>
      </c>
      <c r="D173" s="2885" t="s">
        <v>587</v>
      </c>
      <c r="E173" s="2885"/>
      <c r="F173" s="2885" t="s">
        <v>587</v>
      </c>
      <c r="G173" s="2885" t="s">
        <v>587</v>
      </c>
      <c r="H173" s="2885" t="s">
        <v>587</v>
      </c>
      <c r="I173" s="2885" t="s">
        <v>587</v>
      </c>
      <c r="J173" s="2886" t="s">
        <v>587</v>
      </c>
      <c r="K173" s="2886" t="s">
        <v>587</v>
      </c>
      <c r="L173" s="2886" t="s">
        <v>587</v>
      </c>
      <c r="M173" s="2887" t="s">
        <v>587</v>
      </c>
      <c r="N173" s="2205"/>
    </row>
    <row r="174" spans="1:14" ht="12" customHeight="1">
      <c r="A174" s="505" t="s">
        <v>2668</v>
      </c>
      <c r="B174" s="2916">
        <f t="shared" ref="B174:L174" si="40">SUM(B161:B173)</f>
        <v>-215</v>
      </c>
      <c r="C174" s="2916">
        <f t="shared" si="40"/>
        <v>-401</v>
      </c>
      <c r="D174" s="2916">
        <f t="shared" si="40"/>
        <v>-715</v>
      </c>
      <c r="E174" s="2916"/>
      <c r="F174" s="2916">
        <f t="shared" si="40"/>
        <v>-654</v>
      </c>
      <c r="G174" s="2916">
        <f t="shared" si="40"/>
        <v>132</v>
      </c>
      <c r="H174" s="2916">
        <f t="shared" si="40"/>
        <v>-916</v>
      </c>
      <c r="I174" s="2916">
        <f t="shared" si="40"/>
        <v>96</v>
      </c>
      <c r="J174" s="2916">
        <f t="shared" si="40"/>
        <v>-311.19238304308209</v>
      </c>
      <c r="K174" s="2916">
        <f t="shared" si="40"/>
        <v>-323.16645908018512</v>
      </c>
      <c r="L174" s="2916">
        <f t="shared" si="40"/>
        <v>-367.25863754870437</v>
      </c>
      <c r="M174" s="2919">
        <f>SUM(M161:M173)</f>
        <v>-385.83628604148919</v>
      </c>
    </row>
    <row r="175" spans="1:14" ht="12" customHeight="1">
      <c r="A175" s="1898"/>
      <c r="B175" s="2916"/>
      <c r="C175" s="2916"/>
      <c r="D175" s="2916"/>
      <c r="E175" s="2916"/>
      <c r="F175" s="2916"/>
      <c r="G175" s="2916"/>
      <c r="H175" s="2916">
        <f t="shared" si="36"/>
        <v>0</v>
      </c>
      <c r="I175" s="2916"/>
      <c r="J175" s="2916"/>
      <c r="K175" s="2916"/>
      <c r="L175" s="2916"/>
      <c r="M175" s="2919"/>
    </row>
    <row r="176" spans="1:14">
      <c r="A176" s="1898" t="s">
        <v>2669</v>
      </c>
      <c r="B176" s="2807">
        <v>-4</v>
      </c>
      <c r="C176" s="2807">
        <v>-1</v>
      </c>
      <c r="D176" s="2807">
        <v>-4</v>
      </c>
      <c r="E176" s="2807"/>
      <c r="F176" s="2807">
        <v>-4</v>
      </c>
      <c r="G176" s="2807">
        <v>2</v>
      </c>
      <c r="H176" s="2916">
        <f t="shared" si="36"/>
        <v>2</v>
      </c>
      <c r="I176" s="2916">
        <f>H176</f>
        <v>2</v>
      </c>
      <c r="J176" s="2807">
        <v>0</v>
      </c>
      <c r="K176" s="2807">
        <v>0</v>
      </c>
      <c r="L176" s="2807">
        <v>0</v>
      </c>
      <c r="M176" s="2808">
        <v>0</v>
      </c>
    </row>
    <row r="177" spans="1:14">
      <c r="A177" s="505" t="s">
        <v>2670</v>
      </c>
      <c r="B177" s="2916">
        <f>B149+B159+B174+B176</f>
        <v>21</v>
      </c>
      <c r="C177" s="2916">
        <f>C149+C159+C174+C176</f>
        <v>-6</v>
      </c>
      <c r="D177" s="2916">
        <f>D149+D159+D174+D176</f>
        <v>30</v>
      </c>
      <c r="E177" s="2916"/>
      <c r="F177" s="2916">
        <f>F149+F159+F174+F176</f>
        <v>12</v>
      </c>
      <c r="G177" s="2916">
        <f>G149+G159+G174+G176</f>
        <v>274</v>
      </c>
      <c r="H177" s="2916">
        <f t="shared" si="36"/>
        <v>292</v>
      </c>
      <c r="I177" s="2916">
        <f>I149+I159+I174+I176</f>
        <v>78.60238867924636</v>
      </c>
      <c r="J177" s="2916">
        <f>J149+J159+J174+J176</f>
        <v>101.52571637641535</v>
      </c>
      <c r="K177" s="2916">
        <f>K149+K159+K174+K176</f>
        <v>113.49979241351838</v>
      </c>
      <c r="L177" s="2916">
        <f>L149+L159+L174+L176</f>
        <v>157.59197088203763</v>
      </c>
      <c r="M177" s="2919">
        <f>M149+M159+M174+M176</f>
        <v>176.16961937482245</v>
      </c>
    </row>
    <row r="178" spans="1:14">
      <c r="A178" s="505" t="s">
        <v>2671</v>
      </c>
      <c r="B178" s="2807">
        <v>27</v>
      </c>
      <c r="C178" s="2807">
        <v>48</v>
      </c>
      <c r="D178" s="2807">
        <v>42</v>
      </c>
      <c r="E178" s="2807"/>
      <c r="F178" s="2807">
        <v>42</v>
      </c>
      <c r="G178" s="2807">
        <v>72</v>
      </c>
      <c r="H178" s="2916">
        <f t="shared" si="36"/>
        <v>72</v>
      </c>
      <c r="I178" s="2916">
        <f>H178</f>
        <v>72</v>
      </c>
      <c r="J178" s="2916">
        <f>+I180</f>
        <v>150.60238867924636</v>
      </c>
      <c r="K178" s="2916">
        <f>+J180</f>
        <v>252.12810505566171</v>
      </c>
      <c r="L178" s="2916">
        <f>+K180</f>
        <v>365.62789746918008</v>
      </c>
      <c r="M178" s="2919">
        <f>+L180</f>
        <v>523.21986835121766</v>
      </c>
    </row>
    <row r="179" spans="1:14" s="1773" customFormat="1" ht="4.5" customHeight="1">
      <c r="A179" s="2930"/>
      <c r="B179" s="2885" t="s">
        <v>587</v>
      </c>
      <c r="C179" s="2885" t="s">
        <v>587</v>
      </c>
      <c r="D179" s="2885" t="s">
        <v>587</v>
      </c>
      <c r="E179" s="2885"/>
      <c r="F179" s="2885" t="s">
        <v>587</v>
      </c>
      <c r="G179" s="2885" t="s">
        <v>587</v>
      </c>
      <c r="H179" s="2885" t="s">
        <v>587</v>
      </c>
      <c r="I179" s="2885" t="s">
        <v>587</v>
      </c>
      <c r="J179" s="2886" t="s">
        <v>587</v>
      </c>
      <c r="K179" s="2886" t="s">
        <v>587</v>
      </c>
      <c r="L179" s="2886" t="s">
        <v>587</v>
      </c>
      <c r="M179" s="2887" t="s">
        <v>587</v>
      </c>
      <c r="N179" s="2205"/>
    </row>
    <row r="180" spans="1:14">
      <c r="A180" s="2160" t="s">
        <v>2672</v>
      </c>
      <c r="B180" s="2935">
        <f t="shared" ref="B180:L180" si="41">B177+B178</f>
        <v>48</v>
      </c>
      <c r="C180" s="2935">
        <f t="shared" si="41"/>
        <v>42</v>
      </c>
      <c r="D180" s="2935">
        <f t="shared" si="41"/>
        <v>72</v>
      </c>
      <c r="E180" s="2935"/>
      <c r="F180" s="2935">
        <f t="shared" si="41"/>
        <v>54</v>
      </c>
      <c r="G180" s="2935">
        <f t="shared" si="41"/>
        <v>346</v>
      </c>
      <c r="H180" s="2935">
        <f t="shared" si="41"/>
        <v>364</v>
      </c>
      <c r="I180" s="2935">
        <f t="shared" si="41"/>
        <v>150.60238867924636</v>
      </c>
      <c r="J180" s="2935">
        <f t="shared" si="41"/>
        <v>252.12810505566171</v>
      </c>
      <c r="K180" s="2935">
        <f t="shared" si="41"/>
        <v>365.62789746918008</v>
      </c>
      <c r="L180" s="2935">
        <f t="shared" si="41"/>
        <v>523.21986835121766</v>
      </c>
      <c r="M180" s="2958">
        <f>M177+M178</f>
        <v>699.3894877260401</v>
      </c>
    </row>
    <row r="182" spans="1:14">
      <c r="A182" s="218" t="s">
        <v>2219</v>
      </c>
      <c r="B182" s="3039">
        <v>2013</v>
      </c>
      <c r="C182" s="3039" t="s">
        <v>2625</v>
      </c>
      <c r="D182" s="3039" t="s">
        <v>2626</v>
      </c>
      <c r="E182" s="3039" t="s">
        <v>2834</v>
      </c>
      <c r="F182" s="3040" t="s">
        <v>2627</v>
      </c>
      <c r="G182" s="3040" t="s">
        <v>2896</v>
      </c>
      <c r="H182" s="3040" t="s">
        <v>2684</v>
      </c>
      <c r="I182" s="3039" t="s">
        <v>2902</v>
      </c>
      <c r="J182" s="3039" t="s">
        <v>43</v>
      </c>
      <c r="K182" s="3039" t="s">
        <v>44</v>
      </c>
      <c r="L182" s="3039" t="s">
        <v>1343</v>
      </c>
      <c r="M182" s="3041" t="s">
        <v>1813</v>
      </c>
    </row>
    <row r="183" spans="1:14">
      <c r="A183" s="1898" t="s">
        <v>1191</v>
      </c>
      <c r="B183" s="1777"/>
      <c r="C183" s="2665">
        <v>42</v>
      </c>
      <c r="D183" s="2665">
        <v>72</v>
      </c>
      <c r="E183" s="2665"/>
      <c r="F183" s="1777"/>
      <c r="G183" s="2665">
        <v>346</v>
      </c>
      <c r="H183" s="1777"/>
      <c r="I183" s="2889">
        <f>-I90</f>
        <v>150.60238867924636</v>
      </c>
      <c r="J183" s="1968">
        <f>+J180</f>
        <v>252.12810505566171</v>
      </c>
      <c r="K183" s="1968">
        <f>+K180</f>
        <v>365.62789746918008</v>
      </c>
      <c r="L183" s="1968">
        <f>+L180</f>
        <v>523.21986835121766</v>
      </c>
      <c r="M183" s="1969">
        <f>+M180</f>
        <v>699.3894877260401</v>
      </c>
    </row>
    <row r="184" spans="1:14">
      <c r="A184" s="1898" t="s">
        <v>2685</v>
      </c>
      <c r="B184" s="1777"/>
      <c r="C184" s="2888">
        <v>32</v>
      </c>
      <c r="D184" s="2888">
        <v>72</v>
      </c>
      <c r="E184" s="2888"/>
      <c r="F184" s="1777"/>
      <c r="G184" s="2888">
        <v>79</v>
      </c>
      <c r="H184" s="1777"/>
      <c r="I184" s="2888">
        <v>22</v>
      </c>
      <c r="J184" s="1777">
        <f>+I184-J166-J154</f>
        <v>22</v>
      </c>
      <c r="K184" s="1777">
        <f>+J184-K166-K154</f>
        <v>22</v>
      </c>
      <c r="L184" s="1777">
        <f>+K184-L166-L154</f>
        <v>22</v>
      </c>
      <c r="M184" s="1976">
        <f>+L184-M166-M154</f>
        <v>22</v>
      </c>
    </row>
    <row r="185" spans="1:14">
      <c r="A185" s="1898" t="s">
        <v>2714</v>
      </c>
      <c r="B185" s="1777"/>
      <c r="C185" s="2888">
        <v>6911</v>
      </c>
      <c r="D185" s="2888">
        <v>8676</v>
      </c>
      <c r="E185" s="2888"/>
      <c r="F185" s="1777"/>
      <c r="G185" s="2888">
        <v>8573</v>
      </c>
      <c r="H185" s="1777"/>
      <c r="I185" s="2888">
        <v>8573</v>
      </c>
      <c r="J185" s="1777">
        <f>+I185-J130-J151</f>
        <v>8469.2132075471691</v>
      </c>
      <c r="K185" s="1777">
        <f>+J185-K130-K151</f>
        <v>8359.3506792452827</v>
      </c>
      <c r="L185" s="1777">
        <f>+K185-L130-L151</f>
        <v>8243.2909003773584</v>
      </c>
      <c r="M185" s="1976">
        <f>+L185-M130-M151</f>
        <v>8120.9099259320756</v>
      </c>
    </row>
    <row r="186" spans="1:14">
      <c r="A186" s="1898" t="s">
        <v>2826</v>
      </c>
      <c r="B186" s="1777"/>
      <c r="C186" s="2888">
        <v>1585</v>
      </c>
      <c r="D186" s="2888">
        <v>0</v>
      </c>
      <c r="E186" s="2888"/>
      <c r="F186" s="1777"/>
      <c r="G186" s="2888">
        <v>0</v>
      </c>
      <c r="H186" s="1777"/>
      <c r="I186" s="2888">
        <v>0</v>
      </c>
      <c r="J186" s="2989">
        <f>+I186</f>
        <v>0</v>
      </c>
      <c r="K186" s="2989">
        <f>+J186</f>
        <v>0</v>
      </c>
      <c r="L186" s="2989">
        <f>+K186</f>
        <v>0</v>
      </c>
      <c r="M186" s="2990">
        <f>+L186</f>
        <v>0</v>
      </c>
    </row>
    <row r="187" spans="1:14">
      <c r="A187" s="1898" t="s">
        <v>2678</v>
      </c>
      <c r="B187" s="1777"/>
      <c r="C187" s="2888">
        <v>126</v>
      </c>
      <c r="D187" s="2888">
        <v>104</v>
      </c>
      <c r="E187" s="2888"/>
      <c r="F187" s="1777"/>
      <c r="G187" s="2888">
        <v>100</v>
      </c>
      <c r="H187" s="1777"/>
      <c r="I187" s="2888">
        <v>100</v>
      </c>
      <c r="J187" s="1777">
        <f>+I187-J155-J153-J133-J138</f>
        <v>88.333333333333329</v>
      </c>
      <c r="K187" s="1777">
        <f>+J187-K155-K153-K133-K138</f>
        <v>76.666666666666657</v>
      </c>
      <c r="L187" s="1777">
        <f>+K187-L155-L153-L133-L138</f>
        <v>64.999999999999986</v>
      </c>
      <c r="M187" s="1976">
        <f>+L187-M155-M153-M133-M138</f>
        <v>53.333333333333314</v>
      </c>
    </row>
    <row r="188" spans="1:14">
      <c r="A188" s="1898" t="s">
        <v>2141</v>
      </c>
      <c r="B188" s="1777"/>
      <c r="C188" s="2888">
        <v>805</v>
      </c>
      <c r="D188" s="2888">
        <v>617</v>
      </c>
      <c r="E188" s="2888"/>
      <c r="F188" s="1777"/>
      <c r="G188" s="2888">
        <v>605</v>
      </c>
      <c r="H188" s="1777"/>
      <c r="I188" s="2888">
        <v>605</v>
      </c>
      <c r="J188" s="2989">
        <f t="shared" ref="J188:M191" si="42">+I188</f>
        <v>605</v>
      </c>
      <c r="K188" s="2989">
        <f t="shared" si="42"/>
        <v>605</v>
      </c>
      <c r="L188" s="2989">
        <f t="shared" si="42"/>
        <v>605</v>
      </c>
      <c r="M188" s="2990">
        <f t="shared" si="42"/>
        <v>605</v>
      </c>
    </row>
    <row r="189" spans="1:14">
      <c r="A189" s="1898" t="s">
        <v>2827</v>
      </c>
      <c r="B189" s="1777"/>
      <c r="C189" s="2888">
        <v>52</v>
      </c>
      <c r="D189" s="2888">
        <v>52</v>
      </c>
      <c r="E189" s="2888"/>
      <c r="F189" s="1777"/>
      <c r="G189" s="2888">
        <v>45</v>
      </c>
      <c r="H189" s="1777"/>
      <c r="I189" s="2888">
        <v>45</v>
      </c>
      <c r="J189" s="2989">
        <f t="shared" si="42"/>
        <v>45</v>
      </c>
      <c r="K189" s="2989">
        <f t="shared" si="42"/>
        <v>45</v>
      </c>
      <c r="L189" s="2989">
        <f t="shared" si="42"/>
        <v>45</v>
      </c>
      <c r="M189" s="2990">
        <f t="shared" si="42"/>
        <v>45</v>
      </c>
    </row>
    <row r="190" spans="1:14">
      <c r="A190" s="1898" t="s">
        <v>2828</v>
      </c>
      <c r="B190" s="1777"/>
      <c r="C190" s="2888">
        <v>99</v>
      </c>
      <c r="D190" s="2888">
        <v>122</v>
      </c>
      <c r="E190" s="2888"/>
      <c r="F190" s="1777"/>
      <c r="G190" s="2888">
        <v>156</v>
      </c>
      <c r="H190" s="1777"/>
      <c r="I190" s="2888">
        <v>156</v>
      </c>
      <c r="J190" s="2989">
        <f t="shared" si="42"/>
        <v>156</v>
      </c>
      <c r="K190" s="2989">
        <f t="shared" si="42"/>
        <v>156</v>
      </c>
      <c r="L190" s="2989">
        <f t="shared" si="42"/>
        <v>156</v>
      </c>
      <c r="M190" s="2990">
        <f t="shared" si="42"/>
        <v>156</v>
      </c>
    </row>
    <row r="191" spans="1:14">
      <c r="A191" s="1898" t="s">
        <v>1476</v>
      </c>
      <c r="B191" s="1777"/>
      <c r="C191" s="2888">
        <v>48</v>
      </c>
      <c r="D191" s="2888">
        <v>53</v>
      </c>
      <c r="E191" s="2888"/>
      <c r="F191" s="1777"/>
      <c r="G191" s="2888">
        <v>43</v>
      </c>
      <c r="H191" s="1777"/>
      <c r="I191" s="2888">
        <v>43</v>
      </c>
      <c r="J191" s="2989">
        <f t="shared" si="42"/>
        <v>43</v>
      </c>
      <c r="K191" s="2989">
        <f t="shared" si="42"/>
        <v>43</v>
      </c>
      <c r="L191" s="2989">
        <f t="shared" si="42"/>
        <v>43</v>
      </c>
      <c r="M191" s="2990">
        <f t="shared" si="42"/>
        <v>43</v>
      </c>
    </row>
    <row r="192" spans="1:14">
      <c r="A192" s="1898" t="s">
        <v>2674</v>
      </c>
      <c r="B192" s="1777"/>
      <c r="C192" s="2888">
        <v>14</v>
      </c>
      <c r="D192" s="2888">
        <v>19</v>
      </c>
      <c r="E192" s="2888"/>
      <c r="F192" s="1777"/>
      <c r="G192" s="2888">
        <v>22</v>
      </c>
      <c r="H192" s="1777"/>
      <c r="I192" s="2888">
        <v>32</v>
      </c>
      <c r="J192" s="1777">
        <f>+I192-J137-J139</f>
        <v>22</v>
      </c>
      <c r="K192" s="1777">
        <f>+J192-K137-K139</f>
        <v>12</v>
      </c>
      <c r="L192" s="1777">
        <f>+K192-L137-L139</f>
        <v>2</v>
      </c>
      <c r="M192" s="1976">
        <f>+L192-M137-M139</f>
        <v>-8</v>
      </c>
    </row>
    <row r="193" spans="1:13" ht="3.95" customHeight="1">
      <c r="A193" s="1898"/>
      <c r="B193" s="1777"/>
      <c r="C193" s="1791" t="s">
        <v>601</v>
      </c>
      <c r="D193" s="1791" t="s">
        <v>601</v>
      </c>
      <c r="E193" s="1791"/>
      <c r="F193" s="1777"/>
      <c r="G193" s="1791" t="s">
        <v>601</v>
      </c>
      <c r="H193" s="1777"/>
      <c r="I193" s="1791" t="s">
        <v>601</v>
      </c>
      <c r="J193" s="1791" t="s">
        <v>601</v>
      </c>
      <c r="K193" s="1791" t="s">
        <v>601</v>
      </c>
      <c r="L193" s="1791" t="s">
        <v>601</v>
      </c>
      <c r="M193" s="2672" t="s">
        <v>601</v>
      </c>
    </row>
    <row r="194" spans="1:13" s="2" customFormat="1">
      <c r="A194" s="505" t="s">
        <v>1722</v>
      </c>
      <c r="B194" s="228"/>
      <c r="C194" s="580">
        <f>SUM(C183:C192)</f>
        <v>9714</v>
      </c>
      <c r="D194" s="580">
        <f>SUM(D183:D192)</f>
        <v>9787</v>
      </c>
      <c r="E194" s="580"/>
      <c r="F194" s="228"/>
      <c r="G194" s="580">
        <f>SUM(G183:G192)</f>
        <v>9969</v>
      </c>
      <c r="H194" s="228"/>
      <c r="I194" s="580">
        <f>SUM(I183:I192)</f>
        <v>9726.6023886792464</v>
      </c>
      <c r="J194" s="580">
        <f>SUM(J183:J192)</f>
        <v>9702.6746459361639</v>
      </c>
      <c r="K194" s="580">
        <f>SUM(K183:K192)</f>
        <v>9684.6452433811282</v>
      </c>
      <c r="L194" s="580">
        <f>SUM(L183:L192)</f>
        <v>9704.5107687285763</v>
      </c>
      <c r="M194" s="581">
        <f>SUM(M183:M192)</f>
        <v>9736.6327469914504</v>
      </c>
    </row>
    <row r="195" spans="1:13">
      <c r="A195" s="1898"/>
      <c r="B195" s="1777"/>
      <c r="C195" s="1777"/>
      <c r="D195" s="1777"/>
      <c r="E195" s="1777"/>
      <c r="F195" s="1777"/>
      <c r="G195" s="1777"/>
      <c r="H195" s="1777"/>
      <c r="I195" s="1777"/>
      <c r="J195" s="1777"/>
      <c r="K195" s="1777"/>
      <c r="L195" s="1777"/>
      <c r="M195" s="1976"/>
    </row>
    <row r="196" spans="1:13">
      <c r="A196" s="1898" t="s">
        <v>1491</v>
      </c>
      <c r="B196" s="1777"/>
      <c r="C196" s="2665">
        <v>4246</v>
      </c>
      <c r="D196" s="2665">
        <v>4057</v>
      </c>
      <c r="E196" s="2665"/>
      <c r="F196" s="1777"/>
      <c r="G196" s="2665">
        <v>3073</v>
      </c>
      <c r="H196" s="1777"/>
      <c r="I196" s="2665">
        <v>3027</v>
      </c>
      <c r="J196" s="1968">
        <f>+I196+J161+J162</f>
        <v>3027</v>
      </c>
      <c r="K196" s="1968">
        <f>+J196+K161+K162</f>
        <v>3027</v>
      </c>
      <c r="L196" s="1968">
        <f>+K196+L161+L162</f>
        <v>3027</v>
      </c>
      <c r="M196" s="1969">
        <f>+L196+M161+M162</f>
        <v>3027</v>
      </c>
    </row>
    <row r="197" spans="1:13">
      <c r="A197" s="1898" t="s">
        <v>2811</v>
      </c>
      <c r="B197" s="1777"/>
      <c r="C197" s="2888">
        <v>182</v>
      </c>
      <c r="D197" s="2888">
        <v>171</v>
      </c>
      <c r="E197" s="2888"/>
      <c r="F197" s="1777"/>
      <c r="G197" s="2888">
        <v>177</v>
      </c>
      <c r="H197" s="1777"/>
      <c r="I197" s="2888">
        <v>175</v>
      </c>
      <c r="J197" s="2989">
        <f t="shared" ref="J197:M201" si="43">+I197</f>
        <v>175</v>
      </c>
      <c r="K197" s="2989">
        <f t="shared" si="43"/>
        <v>175</v>
      </c>
      <c r="L197" s="2989">
        <f t="shared" si="43"/>
        <v>175</v>
      </c>
      <c r="M197" s="2990">
        <f t="shared" si="43"/>
        <v>175</v>
      </c>
    </row>
    <row r="198" spans="1:13">
      <c r="A198" s="1898" t="s">
        <v>2675</v>
      </c>
      <c r="B198" s="1777"/>
      <c r="C198" s="2888">
        <v>95</v>
      </c>
      <c r="D198" s="2888">
        <v>110</v>
      </c>
      <c r="E198" s="2888"/>
      <c r="F198" s="1777"/>
      <c r="G198" s="2888">
        <v>93</v>
      </c>
      <c r="H198" s="1777"/>
      <c r="I198" s="2888">
        <v>93</v>
      </c>
      <c r="J198" s="2989">
        <f t="shared" si="43"/>
        <v>93</v>
      </c>
      <c r="K198" s="2989">
        <f t="shared" si="43"/>
        <v>93</v>
      </c>
      <c r="L198" s="2989">
        <f t="shared" si="43"/>
        <v>93</v>
      </c>
      <c r="M198" s="2990">
        <f t="shared" si="43"/>
        <v>93</v>
      </c>
    </row>
    <row r="199" spans="1:13">
      <c r="A199" s="1898" t="s">
        <v>2829</v>
      </c>
      <c r="B199" s="1777"/>
      <c r="C199" s="2888">
        <v>7</v>
      </c>
      <c r="D199" s="2888">
        <v>52</v>
      </c>
      <c r="E199" s="2888"/>
      <c r="F199" s="1777"/>
      <c r="G199" s="2888">
        <v>7</v>
      </c>
      <c r="H199" s="1777"/>
      <c r="I199" s="2888">
        <v>196</v>
      </c>
      <c r="J199" s="2989">
        <f t="shared" si="43"/>
        <v>196</v>
      </c>
      <c r="K199" s="2989">
        <f t="shared" si="43"/>
        <v>196</v>
      </c>
      <c r="L199" s="2989">
        <f t="shared" si="43"/>
        <v>196</v>
      </c>
      <c r="M199" s="2990">
        <f t="shared" si="43"/>
        <v>196</v>
      </c>
    </row>
    <row r="200" spans="1:13">
      <c r="A200" s="1898" t="s">
        <v>2720</v>
      </c>
      <c r="B200" s="1777"/>
      <c r="C200" s="2888">
        <v>2517</v>
      </c>
      <c r="D200" s="2888">
        <v>2502</v>
      </c>
      <c r="E200" s="2888"/>
      <c r="F200" s="1777"/>
      <c r="G200" s="2888">
        <v>2448</v>
      </c>
      <c r="H200" s="1777"/>
      <c r="I200" s="2888">
        <v>97</v>
      </c>
      <c r="J200" s="2989">
        <f t="shared" si="43"/>
        <v>97</v>
      </c>
      <c r="K200" s="2989">
        <f t="shared" si="43"/>
        <v>97</v>
      </c>
      <c r="L200" s="2989">
        <f t="shared" si="43"/>
        <v>97</v>
      </c>
      <c r="M200" s="2990">
        <f t="shared" si="43"/>
        <v>97</v>
      </c>
    </row>
    <row r="201" spans="1:13">
      <c r="A201" s="1898" t="s">
        <v>2676</v>
      </c>
      <c r="B201" s="1777"/>
      <c r="C201" s="2888">
        <v>74</v>
      </c>
      <c r="D201" s="2888">
        <v>98</v>
      </c>
      <c r="E201" s="2888"/>
      <c r="F201" s="1777"/>
      <c r="G201" s="2888">
        <v>100</v>
      </c>
      <c r="H201" s="1777"/>
      <c r="I201" s="2888">
        <v>100</v>
      </c>
      <c r="J201" s="2989">
        <f t="shared" si="43"/>
        <v>100</v>
      </c>
      <c r="K201" s="2989">
        <f t="shared" si="43"/>
        <v>100</v>
      </c>
      <c r="L201" s="2989">
        <f t="shared" si="43"/>
        <v>100</v>
      </c>
      <c r="M201" s="2990">
        <f t="shared" si="43"/>
        <v>100</v>
      </c>
    </row>
    <row r="202" spans="1:13" ht="3.95" customHeight="1">
      <c r="A202" s="1898"/>
      <c r="B202" s="1777"/>
      <c r="C202" s="1791" t="s">
        <v>601</v>
      </c>
      <c r="D202" s="1791" t="s">
        <v>601</v>
      </c>
      <c r="E202" s="1791"/>
      <c r="F202" s="1777"/>
      <c r="G202" s="1791" t="s">
        <v>601</v>
      </c>
      <c r="H202" s="1777"/>
      <c r="I202" s="1791" t="s">
        <v>601</v>
      </c>
      <c r="J202" s="1791" t="s">
        <v>601</v>
      </c>
      <c r="K202" s="1791" t="s">
        <v>601</v>
      </c>
      <c r="L202" s="1791" t="s">
        <v>601</v>
      </c>
      <c r="M202" s="2672" t="s">
        <v>601</v>
      </c>
    </row>
    <row r="203" spans="1:13" s="2" customFormat="1">
      <c r="A203" s="505" t="s">
        <v>2721</v>
      </c>
      <c r="B203" s="228"/>
      <c r="C203" s="580">
        <f>SUM(C196:C201)</f>
        <v>7121</v>
      </c>
      <c r="D203" s="580">
        <f>SUM(D196:D201)</f>
        <v>6990</v>
      </c>
      <c r="E203" s="580"/>
      <c r="F203" s="228"/>
      <c r="G203" s="580">
        <f>SUM(G196:G201)</f>
        <v>5898</v>
      </c>
      <c r="H203" s="228"/>
      <c r="I203" s="580">
        <f>SUM(I196:I201)</f>
        <v>3688</v>
      </c>
      <c r="J203" s="580">
        <f>SUM(J196:J201)</f>
        <v>3688</v>
      </c>
      <c r="K203" s="580">
        <f>SUM(K196:K201)</f>
        <v>3688</v>
      </c>
      <c r="L203" s="580">
        <f>SUM(L196:L201)</f>
        <v>3688</v>
      </c>
      <c r="M203" s="581">
        <f>SUM(M196:M201)</f>
        <v>3688</v>
      </c>
    </row>
    <row r="204" spans="1:13">
      <c r="A204" s="1898"/>
      <c r="B204" s="1777"/>
      <c r="C204" s="1777"/>
      <c r="D204" s="1777"/>
      <c r="E204" s="1777"/>
      <c r="F204" s="1777"/>
      <c r="G204" s="1777"/>
      <c r="H204" s="1777"/>
      <c r="I204" s="1777"/>
      <c r="J204" s="1777"/>
      <c r="K204" s="1777"/>
      <c r="L204" s="1777"/>
      <c r="M204" s="1976"/>
    </row>
    <row r="205" spans="1:13">
      <c r="A205" s="1898" t="s">
        <v>2830</v>
      </c>
      <c r="B205" s="1777"/>
      <c r="C205" s="2665">
        <v>2668</v>
      </c>
      <c r="D205" s="2665">
        <v>2884</v>
      </c>
      <c r="E205" s="2665"/>
      <c r="F205" s="1777"/>
      <c r="G205" s="2665">
        <v>4145</v>
      </c>
      <c r="H205" s="1777"/>
      <c r="I205" s="3055">
        <f>+I194-I203-I206-I207</f>
        <v>6137.6023886792464</v>
      </c>
      <c r="J205" s="1968">
        <f>+I205+J169+J170+J129+J176</f>
        <v>6120.6746459361648</v>
      </c>
      <c r="K205" s="1968">
        <f>+J205+K169+K170+K129+K176</f>
        <v>6109.6452433811301</v>
      </c>
      <c r="L205" s="1968">
        <f>+K205+L169+L170+L129+L176</f>
        <v>6136.5107687285763</v>
      </c>
      <c r="M205" s="1969">
        <f>+L205+M169+M170+M129+M176</f>
        <v>6175.6327469914495</v>
      </c>
    </row>
    <row r="206" spans="1:13">
      <c r="A206" s="1898" t="s">
        <v>2831</v>
      </c>
      <c r="B206" s="1777"/>
      <c r="C206" s="2888">
        <v>-51</v>
      </c>
      <c r="D206" s="2888">
        <v>-63</v>
      </c>
      <c r="E206" s="2888"/>
      <c r="F206" s="1777"/>
      <c r="G206" s="2888">
        <v>-51</v>
      </c>
      <c r="H206" s="1777"/>
      <c r="I206" s="2888">
        <v>-51</v>
      </c>
      <c r="J206" s="2989">
        <f>+I206</f>
        <v>-51</v>
      </c>
      <c r="K206" s="2989">
        <f>+J206</f>
        <v>-51</v>
      </c>
      <c r="L206" s="2989">
        <f>+K206</f>
        <v>-51</v>
      </c>
      <c r="M206" s="2990">
        <f>+L206</f>
        <v>-51</v>
      </c>
    </row>
    <row r="207" spans="1:13">
      <c r="A207" s="1898" t="s">
        <v>2642</v>
      </c>
      <c r="B207" s="1777"/>
      <c r="C207" s="2888">
        <v>-24</v>
      </c>
      <c r="D207" s="2888">
        <v>-24</v>
      </c>
      <c r="E207" s="2888"/>
      <c r="F207" s="1777"/>
      <c r="G207" s="2888">
        <v>-23</v>
      </c>
      <c r="H207" s="1777"/>
      <c r="I207" s="2888">
        <v>-48</v>
      </c>
      <c r="J207" s="1777">
        <f>+I207+J171</f>
        <v>-55</v>
      </c>
      <c r="K207" s="1777">
        <f>+J207+K171</f>
        <v>-62</v>
      </c>
      <c r="L207" s="1777">
        <f>+K207+L171</f>
        <v>-69</v>
      </c>
      <c r="M207" s="1976">
        <f>+L207+M171</f>
        <v>-76</v>
      </c>
    </row>
    <row r="208" spans="1:13" ht="3.95" customHeight="1">
      <c r="A208" s="1898"/>
      <c r="B208" s="1777"/>
      <c r="C208" s="1791" t="s">
        <v>601</v>
      </c>
      <c r="D208" s="1791" t="s">
        <v>601</v>
      </c>
      <c r="E208" s="1791"/>
      <c r="F208" s="1777"/>
      <c r="G208" s="1791" t="s">
        <v>601</v>
      </c>
      <c r="H208" s="1777"/>
      <c r="I208" s="1791" t="s">
        <v>601</v>
      </c>
      <c r="J208" s="1791" t="s">
        <v>601</v>
      </c>
      <c r="K208" s="1791" t="s">
        <v>601</v>
      </c>
      <c r="L208" s="1791" t="s">
        <v>601</v>
      </c>
      <c r="M208" s="2672" t="s">
        <v>601</v>
      </c>
    </row>
    <row r="209" spans="1:13" s="2" customFormat="1">
      <c r="A209" s="505" t="s">
        <v>2832</v>
      </c>
      <c r="B209" s="228"/>
      <c r="C209" s="580">
        <f>SUM(C205:C207)</f>
        <v>2593</v>
      </c>
      <c r="D209" s="580">
        <f>SUM(D205:D207)</f>
        <v>2797</v>
      </c>
      <c r="E209" s="580"/>
      <c r="F209" s="228"/>
      <c r="G209" s="580">
        <f>SUM(G205:G207)</f>
        <v>4071</v>
      </c>
      <c r="H209" s="228"/>
      <c r="I209" s="580">
        <f>SUM(I205:I207)</f>
        <v>6038.6023886792464</v>
      </c>
      <c r="J209" s="580">
        <f>SUM(J205:J207)</f>
        <v>6014.6746459361648</v>
      </c>
      <c r="K209" s="580">
        <f>SUM(K205:K207)</f>
        <v>5996.6452433811301</v>
      </c>
      <c r="L209" s="580">
        <f>SUM(L205:L207)</f>
        <v>6016.5107687285763</v>
      </c>
      <c r="M209" s="581">
        <f>SUM(M205:M207)</f>
        <v>6048.6327469914495</v>
      </c>
    </row>
    <row r="210" spans="1:13">
      <c r="A210" s="505"/>
      <c r="B210" s="1777"/>
      <c r="C210" s="1968"/>
      <c r="D210" s="1968"/>
      <c r="E210" s="1968"/>
      <c r="F210" s="1777"/>
      <c r="G210" s="1968"/>
      <c r="H210" s="1777"/>
      <c r="I210" s="1968"/>
      <c r="J210" s="1777"/>
      <c r="K210" s="1777"/>
      <c r="L210" s="1777"/>
      <c r="M210" s="1976"/>
    </row>
    <row r="211" spans="1:13" s="2" customFormat="1">
      <c r="A211" s="2160" t="s">
        <v>2833</v>
      </c>
      <c r="B211" s="230"/>
      <c r="C211" s="2991">
        <f>+C209+C203</f>
        <v>9714</v>
      </c>
      <c r="D211" s="2991">
        <f>+D209+D203</f>
        <v>9787</v>
      </c>
      <c r="E211" s="2991"/>
      <c r="F211" s="230"/>
      <c r="G211" s="2991">
        <f>+G209+G203</f>
        <v>9969</v>
      </c>
      <c r="H211" s="230"/>
      <c r="I211" s="2991">
        <f>+I209+I203</f>
        <v>9726.6023886792464</v>
      </c>
      <c r="J211" s="2991">
        <f>+J209+J203</f>
        <v>9702.6746459361639</v>
      </c>
      <c r="K211" s="2991">
        <f>+K209+K203</f>
        <v>9684.6452433811301</v>
      </c>
      <c r="L211" s="2991">
        <f>+L209+L203</f>
        <v>9704.5107687285763</v>
      </c>
      <c r="M211" s="2992">
        <f>+M209+M203</f>
        <v>9736.6327469914504</v>
      </c>
    </row>
    <row r="212" spans="1:13">
      <c r="G212" s="1734">
        <f>+G211-G194</f>
        <v>0</v>
      </c>
      <c r="I212" s="1734">
        <f>+I211-I194</f>
        <v>0</v>
      </c>
      <c r="J212" s="1734">
        <f>+J211-J194</f>
        <v>0</v>
      </c>
      <c r="K212" s="1734">
        <f>+K211-K194</f>
        <v>0</v>
      </c>
      <c r="L212" s="1734">
        <f>+L211-L194</f>
        <v>0</v>
      </c>
      <c r="M212" s="1734">
        <f>+M211-M194</f>
        <v>0</v>
      </c>
    </row>
    <row r="214" spans="1:13">
      <c r="A214" s="2471" t="s">
        <v>2686</v>
      </c>
      <c r="B214" s="1743"/>
      <c r="C214" s="1743"/>
      <c r="D214" s="1743"/>
      <c r="E214" s="2162"/>
      <c r="F214" s="1743"/>
      <c r="G214" s="2162"/>
      <c r="I214" s="2690"/>
    </row>
    <row r="215" spans="1:13">
      <c r="A215" s="1979" t="s">
        <v>2687</v>
      </c>
      <c r="B215" s="2807">
        <v>70</v>
      </c>
      <c r="C215" s="2807">
        <v>64</v>
      </c>
      <c r="D215" s="2807">
        <v>69</v>
      </c>
      <c r="E215" s="2808"/>
      <c r="F215" s="2807">
        <v>69</v>
      </c>
      <c r="G215" s="2808">
        <v>67</v>
      </c>
    </row>
    <row r="216" spans="1:13">
      <c r="A216" s="1979" t="s">
        <v>2688</v>
      </c>
      <c r="B216" s="2807">
        <v>35664</v>
      </c>
      <c r="C216" s="2807">
        <v>34263</v>
      </c>
      <c r="D216" s="2807">
        <v>36062</v>
      </c>
      <c r="E216" s="2808"/>
      <c r="F216" s="2807">
        <v>36065</v>
      </c>
      <c r="G216" s="2808">
        <v>35418</v>
      </c>
    </row>
    <row r="217" spans="1:13">
      <c r="A217" s="1979" t="s">
        <v>2689</v>
      </c>
      <c r="B217" s="2960"/>
      <c r="C217" s="2960"/>
      <c r="D217" s="2960"/>
      <c r="E217" s="2961"/>
      <c r="F217" s="2960"/>
      <c r="G217" s="2961"/>
      <c r="H217" s="2874"/>
      <c r="I217" s="2874"/>
      <c r="J217" s="2874"/>
      <c r="K217" s="2874"/>
      <c r="L217" s="2874"/>
      <c r="M217" s="2998"/>
    </row>
    <row r="218" spans="1:13">
      <c r="A218" s="2969" t="s">
        <v>2086</v>
      </c>
      <c r="B218" s="2967">
        <v>153.94999999999999</v>
      </c>
      <c r="C218" s="2967">
        <v>160.53</v>
      </c>
      <c r="D218" s="2967">
        <v>160.37</v>
      </c>
      <c r="E218" s="2968"/>
      <c r="F218" s="2967">
        <v>160.4</v>
      </c>
      <c r="G218" s="2968">
        <v>162.66999999999999</v>
      </c>
      <c r="H218" s="1862"/>
      <c r="I218" s="1862"/>
      <c r="J218" s="1862"/>
      <c r="K218" s="1862"/>
      <c r="L218" s="1862"/>
      <c r="M218" s="2673"/>
    </row>
    <row r="219" spans="1:13">
      <c r="A219" s="2954" t="s">
        <v>2077</v>
      </c>
      <c r="B219" s="2962">
        <v>0.79500000000000004</v>
      </c>
      <c r="C219" s="2962">
        <v>0.81</v>
      </c>
      <c r="D219" s="2962">
        <v>0.81799999999999995</v>
      </c>
      <c r="E219" s="2963"/>
      <c r="F219" s="2962">
        <v>0.83</v>
      </c>
      <c r="G219" s="2963">
        <v>0.81499999999999995</v>
      </c>
      <c r="H219" s="2874"/>
      <c r="I219" s="2874"/>
      <c r="J219" s="2874"/>
      <c r="K219" s="2874"/>
      <c r="L219" s="2874"/>
      <c r="M219" s="2998"/>
    </row>
    <row r="220" spans="1:13">
      <c r="A220" s="2954" t="s">
        <v>45</v>
      </c>
      <c r="B220" s="2960">
        <v>193.7</v>
      </c>
      <c r="C220" s="2960">
        <v>198.26</v>
      </c>
      <c r="D220" s="2960">
        <v>196.1</v>
      </c>
      <c r="E220" s="2961"/>
      <c r="F220" s="2960">
        <v>193.26</v>
      </c>
      <c r="G220" s="2961">
        <v>199.51</v>
      </c>
      <c r="H220" s="2874"/>
      <c r="I220" s="2874"/>
      <c r="J220" s="2874"/>
      <c r="K220" s="2874"/>
      <c r="L220" s="2874"/>
      <c r="M220" s="2998"/>
    </row>
    <row r="221" spans="1:13">
      <c r="A221" s="2966" t="s">
        <v>2690</v>
      </c>
      <c r="B221" s="2967">
        <v>2323</v>
      </c>
      <c r="C221" s="2967">
        <v>2503</v>
      </c>
      <c r="D221" s="2967">
        <v>2675</v>
      </c>
      <c r="E221" s="2968"/>
      <c r="F221" s="2967">
        <v>2004</v>
      </c>
      <c r="G221" s="2968">
        <v>2047</v>
      </c>
      <c r="H221" s="2874"/>
      <c r="I221" s="2874"/>
      <c r="J221" s="2874"/>
      <c r="K221" s="2874"/>
      <c r="L221" s="2874"/>
      <c r="M221" s="2998"/>
    </row>
    <row r="222" spans="1:13">
      <c r="A222" s="1979" t="s">
        <v>2691</v>
      </c>
      <c r="B222" s="2960">
        <v>670</v>
      </c>
      <c r="C222" s="2960">
        <v>747</v>
      </c>
      <c r="D222" s="2960">
        <v>815</v>
      </c>
      <c r="E222" s="2961"/>
      <c r="F222" s="2960">
        <v>611</v>
      </c>
      <c r="G222" s="2961">
        <v>615</v>
      </c>
      <c r="H222" s="1862"/>
      <c r="I222" s="1862"/>
      <c r="J222" s="1862"/>
      <c r="K222" s="1862"/>
      <c r="L222" s="1862"/>
      <c r="M222" s="2673"/>
    </row>
    <row r="223" spans="1:13">
      <c r="A223" s="1979" t="s">
        <v>2812</v>
      </c>
      <c r="B223" s="2962">
        <v>0.28799999999999998</v>
      </c>
      <c r="C223" s="2962">
        <v>0.29799999999999999</v>
      </c>
      <c r="D223" s="2962">
        <v>0.30499999999999999</v>
      </c>
      <c r="E223" s="2963"/>
      <c r="F223" s="2962">
        <v>0.30499999999999999</v>
      </c>
      <c r="G223" s="2963">
        <v>0.3</v>
      </c>
      <c r="H223" s="2874"/>
      <c r="I223" s="2874"/>
      <c r="J223" s="2874"/>
      <c r="K223" s="2874"/>
      <c r="L223" s="2874"/>
      <c r="M223" s="2998"/>
    </row>
    <row r="224" spans="1:13">
      <c r="A224" s="1979" t="s">
        <v>2692</v>
      </c>
      <c r="B224" s="2960">
        <v>349</v>
      </c>
      <c r="C224" s="2960">
        <v>424</v>
      </c>
      <c r="D224" s="2960">
        <v>454</v>
      </c>
      <c r="E224" s="2961"/>
      <c r="F224" s="2960">
        <v>306</v>
      </c>
      <c r="G224" s="2961">
        <v>363</v>
      </c>
      <c r="H224" s="2874"/>
      <c r="I224" s="2874"/>
      <c r="J224" s="2874"/>
      <c r="K224" s="2874"/>
      <c r="L224" s="2874"/>
      <c r="M224" s="2998"/>
    </row>
    <row r="225" spans="1:17">
      <c r="A225" s="2102" t="s">
        <v>2693</v>
      </c>
      <c r="B225" s="2964">
        <v>349</v>
      </c>
      <c r="C225" s="2964">
        <v>427</v>
      </c>
      <c r="D225" s="2964">
        <v>480</v>
      </c>
      <c r="E225" s="2965"/>
      <c r="F225" s="2964">
        <v>332</v>
      </c>
      <c r="G225" s="2965">
        <v>363</v>
      </c>
    </row>
    <row r="227" spans="1:17">
      <c r="N227" s="2156" t="s">
        <v>2855</v>
      </c>
      <c r="O227" s="2651" t="s">
        <v>2861</v>
      </c>
      <c r="P227" s="2651"/>
      <c r="Q227" s="2652"/>
    </row>
    <row r="228" spans="1:17">
      <c r="N228" s="3037" t="s">
        <v>2857</v>
      </c>
      <c r="O228" s="3058">
        <v>11</v>
      </c>
      <c r="P228" s="3058">
        <f>+O228+0.5</f>
        <v>11.5</v>
      </c>
      <c r="Q228" s="3059">
        <f>+P228+0.5</f>
        <v>12</v>
      </c>
    </row>
    <row r="229" spans="1:17" ht="3.95" customHeight="1">
      <c r="N229" s="1353"/>
      <c r="O229" s="1777"/>
      <c r="P229" s="1777"/>
      <c r="Q229" s="1976"/>
    </row>
    <row r="230" spans="1:17">
      <c r="N230" s="1898" t="s">
        <v>2844</v>
      </c>
      <c r="O230" s="2660">
        <v>22.33</v>
      </c>
      <c r="P230" s="1785">
        <f>+O230</f>
        <v>22.33</v>
      </c>
      <c r="Q230" s="2114">
        <f>+P230</f>
        <v>22.33</v>
      </c>
    </row>
    <row r="231" spans="1:17">
      <c r="N231" s="1898" t="s">
        <v>1824</v>
      </c>
      <c r="O231" s="3049">
        <f>+'EBITDA Val'!H14</f>
        <v>322</v>
      </c>
      <c r="P231" s="1777">
        <f>+O231</f>
        <v>322</v>
      </c>
      <c r="Q231" s="1976">
        <f>+P231</f>
        <v>322</v>
      </c>
    </row>
    <row r="232" spans="1:17" ht="3.95" customHeight="1">
      <c r="N232" s="1898"/>
      <c r="O232" s="1791" t="s">
        <v>601</v>
      </c>
      <c r="P232" s="1791" t="s">
        <v>601</v>
      </c>
      <c r="Q232" s="2672" t="s">
        <v>601</v>
      </c>
    </row>
    <row r="233" spans="1:17">
      <c r="N233" s="1898" t="s">
        <v>2845</v>
      </c>
      <c r="O233" s="1968">
        <f>+O230*O231</f>
        <v>7190.2599999999993</v>
      </c>
      <c r="P233" s="1968">
        <f>+P230*P231</f>
        <v>7190.2599999999993</v>
      </c>
      <c r="Q233" s="1969">
        <f>+Q230*Q231</f>
        <v>7190.2599999999993</v>
      </c>
    </row>
    <row r="234" spans="1:17">
      <c r="N234" s="1898"/>
      <c r="O234" s="1777"/>
      <c r="P234" s="1777"/>
      <c r="Q234" s="1976"/>
    </row>
    <row r="235" spans="1:17">
      <c r="N235" s="2671" t="s">
        <v>2849</v>
      </c>
      <c r="O235" s="1777"/>
      <c r="P235" s="1777"/>
      <c r="Q235" s="1976"/>
    </row>
    <row r="236" spans="1:17">
      <c r="N236" s="1979" t="s">
        <v>2846</v>
      </c>
      <c r="O236" s="2889">
        <f ca="1">+Hilton!AJ121-Hilton!AJ116</f>
        <v>1844</v>
      </c>
      <c r="P236" s="1968">
        <f ca="1">+O236</f>
        <v>1844</v>
      </c>
      <c r="Q236" s="1969">
        <f ca="1">+P236</f>
        <v>1844</v>
      </c>
    </row>
    <row r="237" spans="1:17">
      <c r="N237" s="1979" t="s">
        <v>1278</v>
      </c>
      <c r="O237" s="3051">
        <f>+O228</f>
        <v>11</v>
      </c>
      <c r="P237" s="3051">
        <f>+P228</f>
        <v>11.5</v>
      </c>
      <c r="Q237" s="3052">
        <f>+Q228</f>
        <v>12</v>
      </c>
    </row>
    <row r="238" spans="1:17" ht="3.95" customHeight="1">
      <c r="N238" s="1979"/>
      <c r="O238" s="1791" t="s">
        <v>601</v>
      </c>
      <c r="P238" s="1791" t="s">
        <v>601</v>
      </c>
      <c r="Q238" s="2672" t="s">
        <v>601</v>
      </c>
    </row>
    <row r="239" spans="1:17">
      <c r="N239" s="1979" t="s">
        <v>2847</v>
      </c>
      <c r="O239" s="1968">
        <f ca="1">+O236*O237</f>
        <v>20284</v>
      </c>
      <c r="P239" s="1968">
        <f ca="1">+P236*P237</f>
        <v>21206</v>
      </c>
      <c r="Q239" s="1969">
        <f ca="1">+Q236*Q237</f>
        <v>22128</v>
      </c>
    </row>
    <row r="240" spans="1:17">
      <c r="N240" s="1979" t="s">
        <v>2864</v>
      </c>
      <c r="O240" s="3049">
        <f ca="1">-Hilton!AJ616</f>
        <v>-6114</v>
      </c>
      <c r="P240" s="1777">
        <f ca="1">+O240</f>
        <v>-6114</v>
      </c>
      <c r="Q240" s="1976">
        <f ca="1">+P240</f>
        <v>-6114</v>
      </c>
    </row>
    <row r="241" spans="14:17" ht="3.95" customHeight="1">
      <c r="N241" s="1979"/>
      <c r="O241" s="1791" t="s">
        <v>601</v>
      </c>
      <c r="P241" s="1791" t="s">
        <v>601</v>
      </c>
      <c r="Q241" s="2672" t="s">
        <v>601</v>
      </c>
    </row>
    <row r="242" spans="14:17">
      <c r="N242" s="1979" t="s">
        <v>2848</v>
      </c>
      <c r="O242" s="1968">
        <f ca="1">+O239+O240</f>
        <v>14170</v>
      </c>
      <c r="P242" s="1968">
        <f ca="1">+P239+P240</f>
        <v>15092</v>
      </c>
      <c r="Q242" s="1969">
        <f ca="1">+Q239+Q240</f>
        <v>16014</v>
      </c>
    </row>
    <row r="243" spans="14:17">
      <c r="N243" s="1898"/>
      <c r="O243" s="1777"/>
      <c r="P243" s="1777"/>
      <c r="Q243" s="1976"/>
    </row>
    <row r="244" spans="14:17">
      <c r="N244" s="2671" t="s">
        <v>2850</v>
      </c>
      <c r="O244" s="1777"/>
      <c r="P244" s="1777"/>
      <c r="Q244" s="1976"/>
    </row>
    <row r="245" spans="14:17">
      <c r="N245" s="1979" t="s">
        <v>2851</v>
      </c>
      <c r="O245" s="2889">
        <f>+'Timeshare Assets Spun Out'!J68</f>
        <v>394.01125000000013</v>
      </c>
      <c r="P245" s="1968">
        <f>+O245</f>
        <v>394.01125000000013</v>
      </c>
      <c r="Q245" s="1969">
        <f>+P245</f>
        <v>394.01125000000013</v>
      </c>
    </row>
    <row r="246" spans="14:17">
      <c r="N246" s="1979" t="s">
        <v>1278</v>
      </c>
      <c r="O246" s="3050">
        <v>8</v>
      </c>
      <c r="P246" s="3051">
        <f>+O246</f>
        <v>8</v>
      </c>
      <c r="Q246" s="3052">
        <f>+P246</f>
        <v>8</v>
      </c>
    </row>
    <row r="247" spans="14:17" ht="3.95" customHeight="1">
      <c r="N247" s="1979"/>
      <c r="O247" s="1791" t="s">
        <v>601</v>
      </c>
      <c r="P247" s="1791" t="s">
        <v>601</v>
      </c>
      <c r="Q247" s="2672" t="s">
        <v>601</v>
      </c>
    </row>
    <row r="248" spans="14:17">
      <c r="N248" s="1979" t="s">
        <v>2852</v>
      </c>
      <c r="O248" s="1968">
        <f>+O245*O246</f>
        <v>3152.0900000000011</v>
      </c>
      <c r="P248" s="1968">
        <f>+P245*P246</f>
        <v>3152.0900000000011</v>
      </c>
      <c r="Q248" s="1969">
        <f>+Q245*Q246</f>
        <v>3152.0900000000011</v>
      </c>
    </row>
    <row r="249" spans="14:17">
      <c r="N249" s="1979" t="s">
        <v>2864</v>
      </c>
      <c r="O249" s="3049">
        <f>+-'Timeshare Assets Spun Out'!J75</f>
        <v>-142.3459764742766</v>
      </c>
      <c r="P249" s="1777">
        <f>+O249</f>
        <v>-142.3459764742766</v>
      </c>
      <c r="Q249" s="1976">
        <f>+P249</f>
        <v>-142.3459764742766</v>
      </c>
    </row>
    <row r="250" spans="14:17" ht="3.95" customHeight="1">
      <c r="N250" s="1979"/>
      <c r="O250" s="1791" t="s">
        <v>601</v>
      </c>
      <c r="P250" s="1791" t="s">
        <v>601</v>
      </c>
      <c r="Q250" s="2672" t="s">
        <v>601</v>
      </c>
    </row>
    <row r="251" spans="14:17">
      <c r="N251" s="1979" t="s">
        <v>2853</v>
      </c>
      <c r="O251" s="1968">
        <f>+O248+O249</f>
        <v>3009.7440235257245</v>
      </c>
      <c r="P251" s="1968">
        <f>+P248+P249</f>
        <v>3009.7440235257245</v>
      </c>
      <c r="Q251" s="1969">
        <f>+Q248+Q249</f>
        <v>3009.7440235257245</v>
      </c>
    </row>
    <row r="252" spans="14:17">
      <c r="N252" s="1898"/>
      <c r="O252" s="1777"/>
      <c r="P252" s="1777"/>
      <c r="Q252" s="1976"/>
    </row>
    <row r="253" spans="14:17">
      <c r="N253" s="1898" t="s">
        <v>2854</v>
      </c>
      <c r="O253" s="1968">
        <f ca="1">+O233-O242-O251</f>
        <v>-9989.4840235257252</v>
      </c>
      <c r="P253" s="1968">
        <f ca="1">+P233-P242-P251</f>
        <v>-10911.484023525725</v>
      </c>
      <c r="Q253" s="1969">
        <f ca="1">+Q233-Q242-Q251</f>
        <v>-11833.484023525725</v>
      </c>
    </row>
    <row r="254" spans="14:17" ht="3.95" customHeight="1">
      <c r="N254" s="1898"/>
      <c r="O254" s="1777"/>
      <c r="P254" s="1777"/>
      <c r="Q254" s="1976"/>
    </row>
    <row r="255" spans="14:17">
      <c r="N255" s="1898" t="s">
        <v>2856</v>
      </c>
      <c r="O255" s="2889">
        <f>+J123</f>
        <v>304.19238304308209</v>
      </c>
      <c r="P255" s="1968">
        <f>+O255</f>
        <v>304.19238304308209</v>
      </c>
      <c r="Q255" s="1969">
        <f>+P255</f>
        <v>304.19238304308209</v>
      </c>
    </row>
    <row r="256" spans="14:17" ht="3.95" customHeight="1">
      <c r="N256" s="1898"/>
      <c r="O256" s="1777"/>
      <c r="P256" s="1777"/>
      <c r="Q256" s="1976"/>
    </row>
    <row r="257" spans="14:17">
      <c r="N257" s="218" t="s">
        <v>2862</v>
      </c>
      <c r="O257" s="2669">
        <f ca="1">+O255/O253</f>
        <v>-3.0451260778504085E-2</v>
      </c>
      <c r="P257" s="2669">
        <f ca="1">+P255/P253</f>
        <v>-2.7878186174055478E-2</v>
      </c>
      <c r="Q257" s="2670">
        <f ca="1">+Q255/Q253</f>
        <v>-2.5706071216078725E-2</v>
      </c>
    </row>
  </sheetData>
  <pageMargins left="0" right="0" top="0" bottom="0" header="0" footer="0"/>
  <pageSetup paperSize="5"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M190"/>
  <sheetViews>
    <sheetView showGridLines="0" zoomScale="85" zoomScaleNormal="85" workbookViewId="0">
      <pane xSplit="1" ySplit="3" topLeftCell="B4" activePane="bottomRight" state="frozen"/>
      <selection pane="topRight" activeCell="B1" sqref="B1"/>
      <selection pane="bottomLeft" activeCell="A4" sqref="A4"/>
      <selection pane="bottomRight" activeCell="B4" sqref="B4"/>
    </sheetView>
  </sheetViews>
  <sheetFormatPr defaultRowHeight="12.75" outlineLevelRow="1" outlineLevelCol="1"/>
  <cols>
    <col min="1" max="1" width="38.625" style="1734" bestFit="1" customWidth="1"/>
    <col min="2" max="5" width="9" style="1734"/>
    <col min="6" max="8" width="9" style="1734" customWidth="1" outlineLevel="1"/>
    <col min="9" max="12" width="9" style="1734"/>
    <col min="13" max="13" width="9" style="1777"/>
    <col min="14" max="16384" width="9" style="1734"/>
  </cols>
  <sheetData>
    <row r="1" spans="1:13">
      <c r="A1" s="2156" t="s">
        <v>1394</v>
      </c>
      <c r="B1" s="1743"/>
      <c r="C1" s="1743"/>
      <c r="D1" s="1743"/>
      <c r="E1" s="2899"/>
      <c r="F1" s="1743"/>
      <c r="G1" s="1743"/>
      <c r="H1" s="1743"/>
      <c r="I1" s="1743"/>
      <c r="J1" s="1743"/>
      <c r="K1" s="1743"/>
      <c r="L1" s="1743"/>
      <c r="M1" s="2162"/>
    </row>
    <row r="2" spans="1:13">
      <c r="A2" s="1353" t="s">
        <v>2841</v>
      </c>
      <c r="B2" s="2899"/>
      <c r="C2" s="2899"/>
      <c r="D2" s="2899"/>
      <c r="E2" s="2899"/>
      <c r="F2" s="2898"/>
      <c r="G2" s="2898"/>
      <c r="H2" s="2898"/>
      <c r="I2" s="2899"/>
      <c r="J2" s="2900"/>
      <c r="K2" s="2900"/>
      <c r="L2" s="2900"/>
      <c r="M2" s="2901"/>
    </row>
    <row r="3" spans="1:13">
      <c r="A3" s="218" t="s">
        <v>1501</v>
      </c>
      <c r="B3" s="3039">
        <v>2013</v>
      </c>
      <c r="C3" s="3039" t="s">
        <v>2625</v>
      </c>
      <c r="D3" s="3039" t="s">
        <v>2626</v>
      </c>
      <c r="E3" s="3039" t="s">
        <v>2834</v>
      </c>
      <c r="F3" s="3040" t="s">
        <v>2897</v>
      </c>
      <c r="G3" s="3040" t="s">
        <v>2896</v>
      </c>
      <c r="H3" s="3040" t="s">
        <v>2684</v>
      </c>
      <c r="I3" s="3039" t="s">
        <v>2902</v>
      </c>
      <c r="J3" s="3039" t="s">
        <v>43</v>
      </c>
      <c r="K3" s="3039" t="s">
        <v>44</v>
      </c>
      <c r="L3" s="3039" t="s">
        <v>1343</v>
      </c>
      <c r="M3" s="3041" t="s">
        <v>1813</v>
      </c>
    </row>
    <row r="4" spans="1:13">
      <c r="A4" s="505" t="s">
        <v>698</v>
      </c>
      <c r="B4" s="1777"/>
      <c r="C4" s="1777"/>
      <c r="D4" s="1777"/>
      <c r="E4" s="1777"/>
      <c r="F4" s="1777"/>
      <c r="G4" s="1777"/>
      <c r="H4" s="1777"/>
      <c r="I4" s="1777"/>
      <c r="J4" s="1777"/>
      <c r="K4" s="1777"/>
      <c r="L4" s="1777"/>
      <c r="M4" s="1976"/>
    </row>
    <row r="5" spans="1:13">
      <c r="A5" s="1979" t="s">
        <v>2698</v>
      </c>
      <c r="B5" s="2665">
        <v>546</v>
      </c>
      <c r="C5" s="2665">
        <v>520</v>
      </c>
      <c r="D5" s="2665">
        <v>492</v>
      </c>
      <c r="E5" s="2665">
        <v>492</v>
      </c>
      <c r="F5" s="2665">
        <v>355</v>
      </c>
      <c r="G5" s="2902">
        <v>359</v>
      </c>
      <c r="H5" s="2903">
        <f t="shared" ref="H5:H10" si="0">D5-F5+G5</f>
        <v>496</v>
      </c>
      <c r="I5" s="1968">
        <f t="shared" ref="I5:I10" si="1">+$I$12*(G5/$G$12)</f>
        <v>482.82887414383561</v>
      </c>
      <c r="J5" s="2904"/>
      <c r="K5" s="2904"/>
      <c r="L5" s="2904"/>
      <c r="M5" s="2905"/>
    </row>
    <row r="6" spans="1:13">
      <c r="A6" s="1979" t="s">
        <v>2699</v>
      </c>
      <c r="B6" s="2807">
        <v>234</v>
      </c>
      <c r="C6" s="2807">
        <v>300</v>
      </c>
      <c r="D6" s="2807">
        <v>457</v>
      </c>
      <c r="E6" s="2807">
        <v>457</v>
      </c>
      <c r="F6" s="2807">
        <v>352</v>
      </c>
      <c r="G6" s="2807">
        <v>382</v>
      </c>
      <c r="H6" s="2906">
        <f t="shared" si="0"/>
        <v>487</v>
      </c>
      <c r="I6" s="1777">
        <f t="shared" si="1"/>
        <v>513.76220034246569</v>
      </c>
      <c r="J6" s="2904"/>
      <c r="K6" s="2904"/>
      <c r="L6" s="2904"/>
      <c r="M6" s="2905"/>
    </row>
    <row r="7" spans="1:13">
      <c r="A7" s="1979" t="s">
        <v>2700</v>
      </c>
      <c r="B7" s="2807">
        <v>117</v>
      </c>
      <c r="C7" s="2807">
        <v>121</v>
      </c>
      <c r="D7" s="2807">
        <v>127</v>
      </c>
      <c r="E7" s="2807">
        <v>127</v>
      </c>
      <c r="F7" s="2807">
        <v>95</v>
      </c>
      <c r="G7" s="2907">
        <v>100</v>
      </c>
      <c r="H7" s="2906">
        <f t="shared" si="0"/>
        <v>132</v>
      </c>
      <c r="I7" s="1777">
        <f t="shared" si="1"/>
        <v>134.49272260273972</v>
      </c>
      <c r="J7" s="2904"/>
      <c r="K7" s="2904"/>
      <c r="L7" s="2904"/>
      <c r="M7" s="2905"/>
    </row>
    <row r="8" spans="1:13">
      <c r="A8" s="1979" t="s">
        <v>2701</v>
      </c>
      <c r="B8" s="2807">
        <v>92</v>
      </c>
      <c r="C8" s="2807">
        <v>112</v>
      </c>
      <c r="D8" s="2807">
        <v>125</v>
      </c>
      <c r="E8" s="2807">
        <v>125</v>
      </c>
      <c r="F8" s="2807">
        <v>85</v>
      </c>
      <c r="G8" s="2807">
        <v>98</v>
      </c>
      <c r="H8" s="2906">
        <f t="shared" si="0"/>
        <v>138</v>
      </c>
      <c r="I8" s="1777">
        <f t="shared" si="1"/>
        <v>131.80286815068493</v>
      </c>
      <c r="J8" s="2904"/>
      <c r="K8" s="2904"/>
      <c r="L8" s="2904"/>
      <c r="M8" s="2905"/>
    </row>
    <row r="9" spans="1:13">
      <c r="A9" s="1979" t="s">
        <v>2702</v>
      </c>
      <c r="B9" s="2807">
        <v>136</v>
      </c>
      <c r="C9" s="2807">
        <v>157</v>
      </c>
      <c r="D9" s="2807">
        <v>164</v>
      </c>
      <c r="E9" s="2807">
        <v>164</v>
      </c>
      <c r="F9" s="2807">
        <v>125</v>
      </c>
      <c r="G9" s="2807">
        <v>135</v>
      </c>
      <c r="H9" s="2906">
        <f t="shared" si="0"/>
        <v>174</v>
      </c>
      <c r="I9" s="1777">
        <f t="shared" si="1"/>
        <v>181.56517551369865</v>
      </c>
      <c r="J9" s="2908"/>
      <c r="K9" s="2908"/>
      <c r="L9" s="2904"/>
      <c r="M9" s="2905"/>
    </row>
    <row r="10" spans="1:13">
      <c r="A10" s="1979" t="s">
        <v>2703</v>
      </c>
      <c r="B10" s="2807">
        <v>99</v>
      </c>
      <c r="C10" s="2807">
        <v>107</v>
      </c>
      <c r="D10" s="2807">
        <v>110</v>
      </c>
      <c r="E10" s="2807">
        <v>110</v>
      </c>
      <c r="F10" s="2807">
        <v>82</v>
      </c>
      <c r="G10" s="2807">
        <v>94</v>
      </c>
      <c r="H10" s="2906">
        <f t="shared" si="0"/>
        <v>122</v>
      </c>
      <c r="I10" s="1777">
        <f t="shared" si="1"/>
        <v>126.42315924657535</v>
      </c>
      <c r="J10" s="2904"/>
      <c r="K10" s="2904"/>
      <c r="L10" s="2904"/>
      <c r="M10" s="2905"/>
    </row>
    <row r="11" spans="1:13" ht="4.5" customHeight="1">
      <c r="A11" s="1979"/>
      <c r="B11" s="2885" t="s">
        <v>587</v>
      </c>
      <c r="C11" s="2885" t="s">
        <v>587</v>
      </c>
      <c r="D11" s="2885" t="s">
        <v>587</v>
      </c>
      <c r="E11" s="2885" t="s">
        <v>587</v>
      </c>
      <c r="F11" s="2885" t="s">
        <v>587</v>
      </c>
      <c r="G11" s="2885" t="s">
        <v>587</v>
      </c>
      <c r="H11" s="2885" t="s">
        <v>587</v>
      </c>
      <c r="I11" s="2885" t="s">
        <v>587</v>
      </c>
      <c r="J11" s="2885" t="s">
        <v>587</v>
      </c>
      <c r="K11" s="2886" t="s">
        <v>587</v>
      </c>
      <c r="L11" s="2886" t="s">
        <v>587</v>
      </c>
      <c r="M11" s="2887" t="s">
        <v>587</v>
      </c>
    </row>
    <row r="12" spans="1:13">
      <c r="A12" s="505" t="s">
        <v>1895</v>
      </c>
      <c r="B12" s="1968">
        <f t="shared" ref="B12:H12" si="2">SUM(B5:B11)</f>
        <v>1224</v>
      </c>
      <c r="C12" s="1968">
        <f t="shared" si="2"/>
        <v>1317</v>
      </c>
      <c r="D12" s="1968">
        <f t="shared" si="2"/>
        <v>1475</v>
      </c>
      <c r="E12" s="1968">
        <f>SUM(E5:E11)</f>
        <v>1475</v>
      </c>
      <c r="F12" s="1968">
        <f t="shared" si="2"/>
        <v>1094</v>
      </c>
      <c r="G12" s="1968">
        <f t="shared" si="2"/>
        <v>1168</v>
      </c>
      <c r="H12" s="1968">
        <f t="shared" si="2"/>
        <v>1549</v>
      </c>
      <c r="I12" s="1968">
        <f>+E12*(1+I13)</f>
        <v>1570.875</v>
      </c>
      <c r="J12" s="2909">
        <f>I12*(1+J13)+27.5</f>
        <v>1676.91875</v>
      </c>
      <c r="K12" s="2889">
        <f>J12*(1+K13)</f>
        <v>1727.2263125000002</v>
      </c>
      <c r="L12" s="2889">
        <f>K12*(1+L13)</f>
        <v>1675.4095231250001</v>
      </c>
      <c r="M12" s="2910">
        <f>L12*(1+M13)</f>
        <v>1541.376761275</v>
      </c>
    </row>
    <row r="13" spans="1:13">
      <c r="A13" s="2911" t="s">
        <v>2650</v>
      </c>
      <c r="B13" s="499"/>
      <c r="C13" s="499"/>
      <c r="D13" s="499"/>
      <c r="E13" s="499"/>
      <c r="F13" s="499"/>
      <c r="G13" s="471">
        <f>+G12/F12-1</f>
        <v>6.7641681901279727E-2</v>
      </c>
      <c r="H13" s="499"/>
      <c r="I13" s="2912">
        <v>6.5000000000000002E-2</v>
      </c>
      <c r="J13" s="2912">
        <v>0.05</v>
      </c>
      <c r="K13" s="2912">
        <v>0.03</v>
      </c>
      <c r="L13" s="2912">
        <v>-0.03</v>
      </c>
      <c r="M13" s="2974">
        <v>-0.08</v>
      </c>
    </row>
    <row r="14" spans="1:13">
      <c r="A14" s="3518" t="s">
        <v>2943</v>
      </c>
      <c r="B14" s="499"/>
      <c r="C14" s="499"/>
      <c r="D14" s="499"/>
      <c r="E14" s="499"/>
      <c r="F14" s="499"/>
      <c r="G14" s="471"/>
      <c r="H14" s="499"/>
      <c r="I14" s="3519" t="s">
        <v>2953</v>
      </c>
      <c r="J14" s="2912"/>
      <c r="K14" s="2912"/>
      <c r="L14" s="3519" t="s">
        <v>2952</v>
      </c>
      <c r="M14" s="2974"/>
    </row>
    <row r="15" spans="1:13">
      <c r="A15" s="1898"/>
      <c r="B15" s="1777"/>
      <c r="C15" s="1777"/>
      <c r="D15" s="1777"/>
      <c r="E15" s="1777"/>
      <c r="F15" s="1777"/>
      <c r="G15" s="1777"/>
      <c r="H15" s="1777"/>
      <c r="I15" s="1777"/>
      <c r="J15" s="1777"/>
      <c r="K15" s="1777"/>
      <c r="L15" s="1777"/>
      <c r="M15" s="1976"/>
    </row>
    <row r="16" spans="1:13" outlineLevel="1">
      <c r="A16" s="505" t="s">
        <v>840</v>
      </c>
      <c r="B16" s="1777"/>
      <c r="C16" s="1777"/>
      <c r="D16" s="1777"/>
      <c r="E16" s="1777"/>
      <c r="F16" s="1777"/>
      <c r="G16" s="1777"/>
      <c r="H16" s="1777"/>
      <c r="I16" s="1777"/>
      <c r="J16" s="1777"/>
      <c r="K16" s="1777"/>
      <c r="L16" s="1777"/>
      <c r="M16" s="1976"/>
    </row>
    <row r="17" spans="1:13" outlineLevel="1">
      <c r="A17" s="1979" t="s">
        <v>2704</v>
      </c>
      <c r="B17" s="2665">
        <v>128</v>
      </c>
      <c r="C17" s="2665">
        <v>126</v>
      </c>
      <c r="D17" s="2665">
        <v>173</v>
      </c>
      <c r="E17" s="2665">
        <v>173</v>
      </c>
      <c r="F17" s="2665">
        <v>144</v>
      </c>
      <c r="G17" s="2902">
        <v>110</v>
      </c>
      <c r="H17" s="2903">
        <f t="shared" ref="H17:H25" si="3">D17-F17+G17</f>
        <v>139</v>
      </c>
      <c r="I17" s="1968">
        <f>$I$27*(E17/$E$27)</f>
        <v>185.97499999999999</v>
      </c>
      <c r="J17" s="2904"/>
      <c r="K17" s="2904"/>
      <c r="L17" s="2904"/>
      <c r="M17" s="2905"/>
    </row>
    <row r="18" spans="1:13" outlineLevel="1">
      <c r="A18" s="1979" t="s">
        <v>2705</v>
      </c>
      <c r="B18" s="2807">
        <v>450</v>
      </c>
      <c r="C18" s="2807">
        <v>479</v>
      </c>
      <c r="D18" s="2807">
        <v>541</v>
      </c>
      <c r="E18" s="2807">
        <v>541</v>
      </c>
      <c r="F18" s="2807">
        <v>395</v>
      </c>
      <c r="G18" s="2907">
        <v>443</v>
      </c>
      <c r="H18" s="2906">
        <f t="shared" si="3"/>
        <v>589</v>
      </c>
      <c r="I18" s="1777">
        <f t="shared" ref="I18:I24" si="4">$I$27*(E18/$E$27)</f>
        <v>581.57499999999993</v>
      </c>
      <c r="J18" s="2904"/>
      <c r="K18" s="2904"/>
      <c r="L18" s="2904"/>
      <c r="M18" s="2905"/>
    </row>
    <row r="19" spans="1:13" outlineLevel="1">
      <c r="A19" s="1979" t="s">
        <v>2700</v>
      </c>
      <c r="B19" s="2807">
        <v>22</v>
      </c>
      <c r="C19" s="2807">
        <v>33</v>
      </c>
      <c r="D19" s="2807">
        <v>32</v>
      </c>
      <c r="E19" s="2807">
        <v>38</v>
      </c>
      <c r="F19" s="2807">
        <v>24</v>
      </c>
      <c r="G19" s="2907">
        <v>24</v>
      </c>
      <c r="H19" s="2906">
        <f t="shared" si="3"/>
        <v>32</v>
      </c>
      <c r="I19" s="1777">
        <f t="shared" si="4"/>
        <v>40.849999999999994</v>
      </c>
      <c r="J19" s="2904"/>
      <c r="K19" s="2904"/>
      <c r="L19" s="2904"/>
      <c r="M19" s="2905"/>
    </row>
    <row r="20" spans="1:13" outlineLevel="1">
      <c r="A20" s="1979" t="s">
        <v>2701</v>
      </c>
      <c r="B20" s="2807">
        <v>27</v>
      </c>
      <c r="C20" s="2807">
        <v>29</v>
      </c>
      <c r="D20" s="2807">
        <v>32</v>
      </c>
      <c r="E20" s="2807">
        <v>32</v>
      </c>
      <c r="F20" s="2807">
        <v>23</v>
      </c>
      <c r="G20" s="2907">
        <v>25</v>
      </c>
      <c r="H20" s="2906">
        <f t="shared" si="3"/>
        <v>34</v>
      </c>
      <c r="I20" s="1777">
        <f t="shared" si="4"/>
        <v>34.4</v>
      </c>
      <c r="J20" s="2904"/>
      <c r="K20" s="2904"/>
      <c r="L20" s="2904"/>
      <c r="M20" s="2905"/>
    </row>
    <row r="21" spans="1:13" outlineLevel="1">
      <c r="A21" s="1979" t="s">
        <v>2702</v>
      </c>
      <c r="B21" s="2807">
        <v>107</v>
      </c>
      <c r="C21" s="2807">
        <v>110</v>
      </c>
      <c r="D21" s="2807">
        <v>113</v>
      </c>
      <c r="E21" s="2807">
        <v>113</v>
      </c>
      <c r="F21" s="2807">
        <v>83</v>
      </c>
      <c r="G21" s="2907">
        <v>86</v>
      </c>
      <c r="H21" s="2906">
        <f t="shared" si="3"/>
        <v>116</v>
      </c>
      <c r="I21" s="1777">
        <f t="shared" si="4"/>
        <v>121.47499999999999</v>
      </c>
      <c r="J21" s="2904"/>
      <c r="K21" s="2904"/>
      <c r="L21" s="2904"/>
      <c r="M21" s="2905"/>
    </row>
    <row r="22" spans="1:13" outlineLevel="1">
      <c r="A22" s="1979" t="s">
        <v>2706</v>
      </c>
      <c r="B22" s="2807">
        <v>70</v>
      </c>
      <c r="C22" s="2807">
        <v>40</v>
      </c>
      <c r="D22" s="2807">
        <v>57</v>
      </c>
      <c r="E22" s="2807">
        <v>57</v>
      </c>
      <c r="F22" s="2807">
        <v>41</v>
      </c>
      <c r="G22" s="2907">
        <v>61</v>
      </c>
      <c r="H22" s="2906">
        <f t="shared" si="3"/>
        <v>77</v>
      </c>
      <c r="I22" s="1777">
        <f t="shared" si="4"/>
        <v>61.274999999999991</v>
      </c>
      <c r="J22" s="2904"/>
      <c r="K22" s="2904"/>
      <c r="L22" s="2904"/>
      <c r="M22" s="2905"/>
    </row>
    <row r="23" spans="1:13" outlineLevel="1">
      <c r="A23" s="1979" t="s">
        <v>2165</v>
      </c>
      <c r="B23" s="2807">
        <v>16</v>
      </c>
      <c r="C23" s="2807">
        <v>18</v>
      </c>
      <c r="D23" s="2807">
        <v>22</v>
      </c>
      <c r="E23" s="2807">
        <v>29</v>
      </c>
      <c r="F23" s="2807">
        <v>16</v>
      </c>
      <c r="G23" s="2907">
        <v>17</v>
      </c>
      <c r="H23" s="2906">
        <f t="shared" si="3"/>
        <v>23</v>
      </c>
      <c r="I23" s="1777">
        <f t="shared" si="4"/>
        <v>31.174999999999997</v>
      </c>
      <c r="J23" s="1752">
        <f>I23*1.02</f>
        <v>31.798499999999997</v>
      </c>
      <c r="K23" s="1752">
        <f>J23*1.02</f>
        <v>32.434469999999997</v>
      </c>
      <c r="L23" s="1752">
        <f>K23*1.02</f>
        <v>33.0831594</v>
      </c>
      <c r="M23" s="2836">
        <f>L23*1.02</f>
        <v>33.744822587999998</v>
      </c>
    </row>
    <row r="24" spans="1:13" outlineLevel="1">
      <c r="A24" s="1979" t="s">
        <v>2707</v>
      </c>
      <c r="B24" s="2807">
        <v>56</v>
      </c>
      <c r="C24" s="2807">
        <v>62</v>
      </c>
      <c r="D24" s="2807">
        <v>74</v>
      </c>
      <c r="E24" s="2807">
        <v>74</v>
      </c>
      <c r="F24" s="2807">
        <v>55</v>
      </c>
      <c r="G24" s="2907">
        <v>61</v>
      </c>
      <c r="H24" s="2906">
        <f t="shared" si="3"/>
        <v>80</v>
      </c>
      <c r="I24" s="1777">
        <f t="shared" si="4"/>
        <v>79.55</v>
      </c>
      <c r="J24" s="2904"/>
      <c r="K24" s="2904"/>
      <c r="L24" s="2904"/>
      <c r="M24" s="2905"/>
    </row>
    <row r="25" spans="1:13" outlineLevel="1">
      <c r="A25" s="1979" t="s">
        <v>2703</v>
      </c>
      <c r="B25" s="2807">
        <v>99</v>
      </c>
      <c r="C25" s="2807">
        <v>107</v>
      </c>
      <c r="D25" s="2807">
        <v>110</v>
      </c>
      <c r="E25" s="2807">
        <v>110</v>
      </c>
      <c r="F25" s="2807">
        <v>82</v>
      </c>
      <c r="G25" s="2907">
        <v>94</v>
      </c>
      <c r="H25" s="2906">
        <f t="shared" si="3"/>
        <v>122</v>
      </c>
      <c r="I25" s="1777">
        <f>$I$27*(E25/$E$27)</f>
        <v>118.25</v>
      </c>
      <c r="J25" s="2904"/>
      <c r="K25" s="2904"/>
      <c r="L25" s="2904"/>
      <c r="M25" s="2905"/>
    </row>
    <row r="26" spans="1:13" ht="4.5" customHeight="1" outlineLevel="1">
      <c r="A26" s="1979"/>
      <c r="B26" s="2885" t="s">
        <v>587</v>
      </c>
      <c r="C26" s="2885" t="s">
        <v>587</v>
      </c>
      <c r="D26" s="2885" t="s">
        <v>587</v>
      </c>
      <c r="E26" s="2885" t="s">
        <v>587</v>
      </c>
      <c r="F26" s="2885" t="s">
        <v>587</v>
      </c>
      <c r="G26" s="2885" t="s">
        <v>587</v>
      </c>
      <c r="H26" s="2885" t="s">
        <v>587</v>
      </c>
      <c r="I26" s="2885" t="s">
        <v>587</v>
      </c>
      <c r="J26" s="2885" t="s">
        <v>587</v>
      </c>
      <c r="K26" s="2886" t="s">
        <v>587</v>
      </c>
      <c r="L26" s="2886" t="s">
        <v>587</v>
      </c>
      <c r="M26" s="2887" t="s">
        <v>587</v>
      </c>
    </row>
    <row r="27" spans="1:13">
      <c r="A27" s="505" t="s">
        <v>2708</v>
      </c>
      <c r="B27" s="1968">
        <f t="shared" ref="B27:H27" si="5">SUM(B17:B26)</f>
        <v>975</v>
      </c>
      <c r="C27" s="1968">
        <f t="shared" si="5"/>
        <v>1004</v>
      </c>
      <c r="D27" s="1968">
        <f t="shared" si="5"/>
        <v>1154</v>
      </c>
      <c r="E27" s="1968">
        <f>SUM(E17:E26)</f>
        <v>1167</v>
      </c>
      <c r="F27" s="1968">
        <f t="shared" si="5"/>
        <v>863</v>
      </c>
      <c r="G27" s="1968">
        <f t="shared" si="5"/>
        <v>921</v>
      </c>
      <c r="H27" s="1968">
        <f t="shared" si="5"/>
        <v>1212</v>
      </c>
      <c r="I27" s="1968">
        <f>+E27*(1+I28)</f>
        <v>1254.5249999999999</v>
      </c>
      <c r="J27" s="2909">
        <f>I27*(1+J28)+28-18</f>
        <v>1314.7059999999999</v>
      </c>
      <c r="K27" s="2889">
        <f>J27*(1+K28)</f>
        <v>1341.0001199999999</v>
      </c>
      <c r="L27" s="2889">
        <f>K27*(1+L28)</f>
        <v>1300.7701163999998</v>
      </c>
      <c r="M27" s="2910">
        <f>L27*(1+M28)</f>
        <v>1235.7316105799998</v>
      </c>
    </row>
    <row r="28" spans="1:13">
      <c r="A28" s="2911" t="s">
        <v>2650</v>
      </c>
      <c r="B28" s="1777"/>
      <c r="C28" s="1777"/>
      <c r="D28" s="1777"/>
      <c r="E28" s="1777"/>
      <c r="F28" s="1777"/>
      <c r="G28" s="471">
        <f>+G27/F27-1</f>
        <v>6.7207415990730102E-2</v>
      </c>
      <c r="H28" s="1777"/>
      <c r="I28" s="2912">
        <v>7.4999999999999997E-2</v>
      </c>
      <c r="J28" s="2927">
        <v>0.04</v>
      </c>
      <c r="K28" s="2927">
        <v>0.02</v>
      </c>
      <c r="L28" s="2927">
        <v>-0.03</v>
      </c>
      <c r="M28" s="2928">
        <v>-0.05</v>
      </c>
    </row>
    <row r="29" spans="1:13">
      <c r="A29" s="2911"/>
      <c r="B29" s="1777"/>
      <c r="C29" s="1777"/>
      <c r="D29" s="1777"/>
      <c r="E29" s="1777"/>
      <c r="F29" s="1777"/>
      <c r="G29" s="471"/>
      <c r="H29" s="1777"/>
      <c r="I29" s="2913"/>
      <c r="J29" s="2914"/>
      <c r="K29" s="2914"/>
      <c r="L29" s="2914"/>
      <c r="M29" s="2915"/>
    </row>
    <row r="30" spans="1:13">
      <c r="A30" s="1979" t="s">
        <v>2639</v>
      </c>
      <c r="B30" s="2665">
        <v>-48</v>
      </c>
      <c r="C30" s="2665">
        <v>-36</v>
      </c>
      <c r="D30" s="2665">
        <v>0</v>
      </c>
      <c r="E30" s="2665">
        <v>0</v>
      </c>
      <c r="F30" s="2665">
        <v>0</v>
      </c>
      <c r="G30" s="2902">
        <v>2</v>
      </c>
      <c r="H30" s="2903">
        <f>D30-F30+G30</f>
        <v>2</v>
      </c>
      <c r="I30" s="1968">
        <f>+G30</f>
        <v>2</v>
      </c>
      <c r="J30" s="2665">
        <v>0</v>
      </c>
      <c r="K30" s="2665">
        <v>0</v>
      </c>
      <c r="L30" s="2665">
        <v>0</v>
      </c>
      <c r="M30" s="2666">
        <v>0</v>
      </c>
    </row>
    <row r="31" spans="1:13">
      <c r="A31" s="1979" t="s">
        <v>2709</v>
      </c>
      <c r="B31" s="2807">
        <v>22</v>
      </c>
      <c r="C31" s="2807">
        <v>0</v>
      </c>
      <c r="D31" s="2807">
        <v>-29</v>
      </c>
      <c r="E31" s="2807">
        <v>-27</v>
      </c>
      <c r="F31" s="2807">
        <v>-22</v>
      </c>
      <c r="G31" s="2907">
        <v>-20</v>
      </c>
      <c r="H31" s="2906">
        <f>D31-F31+G31</f>
        <v>-27</v>
      </c>
      <c r="I31" s="2916">
        <f>+G31</f>
        <v>-20</v>
      </c>
      <c r="J31" s="2807">
        <f>+-J72*0.0482</f>
        <v>-24.40763650000001</v>
      </c>
      <c r="K31" s="2807">
        <f>+-K72*0.0482</f>
        <v>-24.40763650000001</v>
      </c>
      <c r="L31" s="2807">
        <f>+-L72*0.0482</f>
        <v>-24.40763650000001</v>
      </c>
      <c r="M31" s="2808">
        <f>+-M72*0.0482</f>
        <v>-24.40763650000001</v>
      </c>
    </row>
    <row r="32" spans="1:13">
      <c r="A32" s="1979" t="s">
        <v>2652</v>
      </c>
      <c r="B32" s="2807">
        <v>0</v>
      </c>
      <c r="C32" s="2807">
        <v>5</v>
      </c>
      <c r="D32" s="2807">
        <v>0</v>
      </c>
      <c r="E32" s="2807">
        <v>0</v>
      </c>
      <c r="F32" s="2807">
        <v>0</v>
      </c>
      <c r="G32" s="2907">
        <v>-1</v>
      </c>
      <c r="H32" s="2906">
        <f>D32-F32+G32</f>
        <v>-1</v>
      </c>
      <c r="I32" s="2916">
        <f>+G32</f>
        <v>-1</v>
      </c>
      <c r="J32" s="2807">
        <v>0</v>
      </c>
      <c r="K32" s="2807">
        <v>0</v>
      </c>
      <c r="L32" s="2807">
        <v>0</v>
      </c>
      <c r="M32" s="2808">
        <v>0</v>
      </c>
    </row>
    <row r="33" spans="1:13">
      <c r="A33" s="1979" t="s">
        <v>577</v>
      </c>
      <c r="B33" s="2807">
        <v>-5</v>
      </c>
      <c r="C33" s="2807">
        <v>-2</v>
      </c>
      <c r="D33" s="2807">
        <v>0</v>
      </c>
      <c r="E33" s="2807">
        <v>0</v>
      </c>
      <c r="F33" s="2807">
        <v>0</v>
      </c>
      <c r="G33" s="2907">
        <v>0</v>
      </c>
      <c r="H33" s="2906">
        <f>D33-F33+G33</f>
        <v>0</v>
      </c>
      <c r="I33" s="2916">
        <f>+G33</f>
        <v>0</v>
      </c>
      <c r="J33" s="2807">
        <v>0</v>
      </c>
      <c r="K33" s="2807">
        <v>0</v>
      </c>
      <c r="L33" s="2807">
        <v>0</v>
      </c>
      <c r="M33" s="2808">
        <v>0</v>
      </c>
    </row>
    <row r="34" spans="1:13" ht="4.5" customHeight="1">
      <c r="A34" s="1979"/>
      <c r="B34" s="2885" t="s">
        <v>587</v>
      </c>
      <c r="C34" s="2885" t="s">
        <v>587</v>
      </c>
      <c r="D34" s="2885" t="s">
        <v>587</v>
      </c>
      <c r="E34" s="2885" t="s">
        <v>587</v>
      </c>
      <c r="F34" s="2885" t="s">
        <v>587</v>
      </c>
      <c r="G34" s="2885" t="s">
        <v>587</v>
      </c>
      <c r="H34" s="2885" t="s">
        <v>587</v>
      </c>
      <c r="I34" s="2885" t="s">
        <v>587</v>
      </c>
      <c r="J34" s="2885" t="s">
        <v>587</v>
      </c>
      <c r="K34" s="2886" t="s">
        <v>587</v>
      </c>
      <c r="L34" s="2886" t="s">
        <v>587</v>
      </c>
      <c r="M34" s="2887" t="s">
        <v>587</v>
      </c>
    </row>
    <row r="35" spans="1:13">
      <c r="A35" s="505" t="s">
        <v>2641</v>
      </c>
      <c r="B35" s="1968">
        <f t="shared" ref="B35:M35" si="6">B12-B27+B30+B31+B32+B33</f>
        <v>218</v>
      </c>
      <c r="C35" s="1968">
        <f t="shared" si="6"/>
        <v>280</v>
      </c>
      <c r="D35" s="1968">
        <f t="shared" si="6"/>
        <v>292</v>
      </c>
      <c r="E35" s="1968">
        <f t="shared" si="6"/>
        <v>281</v>
      </c>
      <c r="F35" s="1968">
        <f t="shared" si="6"/>
        <v>209</v>
      </c>
      <c r="G35" s="1968">
        <f t="shared" si="6"/>
        <v>228</v>
      </c>
      <c r="H35" s="1968">
        <f t="shared" si="6"/>
        <v>311</v>
      </c>
      <c r="I35" s="1968">
        <f t="shared" si="6"/>
        <v>297.35000000000014</v>
      </c>
      <c r="J35" s="1968">
        <f t="shared" si="6"/>
        <v>337.80511350000012</v>
      </c>
      <c r="K35" s="1968">
        <f t="shared" si="6"/>
        <v>361.81855600000023</v>
      </c>
      <c r="L35" s="1968">
        <f t="shared" si="6"/>
        <v>350.23177022500028</v>
      </c>
      <c r="M35" s="1969">
        <f t="shared" si="6"/>
        <v>281.23751419500019</v>
      </c>
    </row>
    <row r="36" spans="1:13">
      <c r="A36" s="1979" t="s">
        <v>1904</v>
      </c>
      <c r="B36" s="2807">
        <v>-90</v>
      </c>
      <c r="C36" s="2807">
        <v>-113</v>
      </c>
      <c r="D36" s="2807">
        <v>-118</v>
      </c>
      <c r="E36" s="2807">
        <v>-114</v>
      </c>
      <c r="F36" s="2807">
        <v>-84</v>
      </c>
      <c r="G36" s="2907">
        <v>-98</v>
      </c>
      <c r="H36" s="2906">
        <f>D36-F36+G36</f>
        <v>-132</v>
      </c>
      <c r="I36" s="1777">
        <f>-I35*I37</f>
        <v>-126.20643086816726</v>
      </c>
      <c r="J36" s="1777">
        <f>-J35*J37</f>
        <v>-143.37708997427657</v>
      </c>
      <c r="K36" s="1777">
        <f>-K35*K37</f>
        <v>-153.56929064951777</v>
      </c>
      <c r="L36" s="1777">
        <f>-L35*L37</f>
        <v>-148.65142659067536</v>
      </c>
      <c r="M36" s="1976">
        <f>-M35*M37</f>
        <v>-119.36769091234734</v>
      </c>
    </row>
    <row r="37" spans="1:13">
      <c r="A37" s="2911" t="s">
        <v>2648</v>
      </c>
      <c r="B37" s="2913">
        <f t="shared" ref="B37:H37" si="7">-B36/B35</f>
        <v>0.41284403669724773</v>
      </c>
      <c r="C37" s="2913">
        <f t="shared" si="7"/>
        <v>0.40357142857142858</v>
      </c>
      <c r="D37" s="2913">
        <f t="shared" si="7"/>
        <v>0.4041095890410959</v>
      </c>
      <c r="E37" s="2913">
        <f>-E36/E35</f>
        <v>0.40569395017793597</v>
      </c>
      <c r="F37" s="2913">
        <f t="shared" si="7"/>
        <v>0.40191387559808611</v>
      </c>
      <c r="G37" s="2913">
        <f t="shared" si="7"/>
        <v>0.42982456140350878</v>
      </c>
      <c r="H37" s="2913">
        <f t="shared" si="7"/>
        <v>0.42443729903536975</v>
      </c>
      <c r="I37" s="2917">
        <f>H37</f>
        <v>0.42443729903536975</v>
      </c>
      <c r="J37" s="2917">
        <f>I37</f>
        <v>0.42443729903536975</v>
      </c>
      <c r="K37" s="2917">
        <f>J37</f>
        <v>0.42443729903536975</v>
      </c>
      <c r="L37" s="2917">
        <f>K37</f>
        <v>0.42443729903536975</v>
      </c>
      <c r="M37" s="2918">
        <f>L37</f>
        <v>0.42443729903536975</v>
      </c>
    </row>
    <row r="38" spans="1:13" ht="4.5" customHeight="1">
      <c r="A38" s="1979"/>
      <c r="B38" s="2885" t="s">
        <v>587</v>
      </c>
      <c r="C38" s="2885" t="s">
        <v>587</v>
      </c>
      <c r="D38" s="2885" t="s">
        <v>587</v>
      </c>
      <c r="E38" s="2885" t="s">
        <v>587</v>
      </c>
      <c r="F38" s="2885" t="s">
        <v>587</v>
      </c>
      <c r="G38" s="2885" t="s">
        <v>587</v>
      </c>
      <c r="H38" s="2885" t="s">
        <v>587</v>
      </c>
      <c r="I38" s="2885" t="s">
        <v>587</v>
      </c>
      <c r="J38" s="2885" t="s">
        <v>587</v>
      </c>
      <c r="K38" s="2886" t="s">
        <v>587</v>
      </c>
      <c r="L38" s="2886" t="s">
        <v>587</v>
      </c>
      <c r="M38" s="2887" t="s">
        <v>587</v>
      </c>
    </row>
    <row r="39" spans="1:13">
      <c r="A39" s="505" t="s">
        <v>2121</v>
      </c>
      <c r="B39" s="1968">
        <f t="shared" ref="B39:H39" si="8">SUM(B35:B36)</f>
        <v>128</v>
      </c>
      <c r="C39" s="1968">
        <f t="shared" si="8"/>
        <v>167</v>
      </c>
      <c r="D39" s="1968">
        <f t="shared" si="8"/>
        <v>174</v>
      </c>
      <c r="E39" s="1968">
        <f>SUM(E35:E36)</f>
        <v>167</v>
      </c>
      <c r="F39" s="1968">
        <f t="shared" si="8"/>
        <v>125</v>
      </c>
      <c r="G39" s="1968">
        <f t="shared" si="8"/>
        <v>130</v>
      </c>
      <c r="H39" s="1968">
        <f t="shared" si="8"/>
        <v>179</v>
      </c>
      <c r="I39" s="1968">
        <f>SUM(I35:I36)</f>
        <v>171.14356913183286</v>
      </c>
      <c r="J39" s="1968">
        <f>SUM(J35:J36)</f>
        <v>194.42802352572355</v>
      </c>
      <c r="K39" s="1968">
        <f>SUM(K35:K36)</f>
        <v>208.24926535048246</v>
      </c>
      <c r="L39" s="1968">
        <f>SUM(L35:L36)</f>
        <v>201.58034363432492</v>
      </c>
      <c r="M39" s="1969">
        <f>SUM(M35:M36)</f>
        <v>161.86982328265285</v>
      </c>
    </row>
    <row r="40" spans="1:13">
      <c r="A40" s="3522" t="s">
        <v>2943</v>
      </c>
      <c r="B40" s="2104"/>
      <c r="C40" s="2104"/>
      <c r="D40" s="2104"/>
      <c r="E40" s="2104"/>
      <c r="F40" s="2104"/>
      <c r="G40" s="2104"/>
      <c r="H40" s="2104"/>
      <c r="I40" s="3523" t="s">
        <v>2956</v>
      </c>
      <c r="J40" s="3523" t="s">
        <v>2957</v>
      </c>
      <c r="K40" s="2104"/>
      <c r="L40" s="3523" t="s">
        <v>2955</v>
      </c>
      <c r="M40" s="2081"/>
    </row>
    <row r="42" spans="1:13">
      <c r="A42" s="218" t="s">
        <v>2932</v>
      </c>
      <c r="B42" s="3481"/>
      <c r="C42" s="3481"/>
      <c r="D42" s="3481"/>
      <c r="E42" s="3481"/>
      <c r="F42" s="3481"/>
      <c r="G42" s="3481"/>
      <c r="H42" s="3481"/>
      <c r="I42" s="3481"/>
      <c r="J42" s="3481"/>
      <c r="K42" s="3481"/>
      <c r="L42" s="3481"/>
      <c r="M42" s="3482"/>
    </row>
    <row r="43" spans="1:13" s="3450" customFormat="1">
      <c r="A43" s="3473" t="s">
        <v>2928</v>
      </c>
      <c r="B43" s="3448"/>
      <c r="C43" s="3448"/>
      <c r="D43" s="3448"/>
      <c r="E43" s="3448"/>
      <c r="F43" s="3448"/>
      <c r="G43" s="3448"/>
      <c r="H43" s="3448"/>
      <c r="I43" s="3449">
        <f>+I39/I46</f>
        <v>1.7381769103882565</v>
      </c>
      <c r="J43" s="3449">
        <f ca="1">+J39/J46</f>
        <v>1.9633217943985484</v>
      </c>
      <c r="K43" s="3449">
        <f ca="1">+K39/K46</f>
        <v>2.1150316454993128</v>
      </c>
      <c r="L43" s="3449">
        <f ca="1">+L39/L46</f>
        <v>2.0355454671751954</v>
      </c>
      <c r="M43" s="3474">
        <f ca="1">+M39/M46</f>
        <v>1.6439904271354926</v>
      </c>
    </row>
    <row r="44" spans="1:13">
      <c r="A44" s="505"/>
      <c r="B44" s="580"/>
      <c r="C44" s="580"/>
      <c r="D44" s="580"/>
      <c r="E44" s="580"/>
      <c r="F44" s="580"/>
      <c r="G44" s="580"/>
      <c r="H44" s="580"/>
      <c r="I44" s="3043"/>
      <c r="J44" s="3043"/>
      <c r="K44" s="3043"/>
      <c r="L44" s="3043"/>
      <c r="M44" s="3044"/>
    </row>
    <row r="45" spans="1:13">
      <c r="A45" s="505" t="s">
        <v>2292</v>
      </c>
      <c r="B45" s="317"/>
      <c r="C45" s="317"/>
      <c r="D45" s="317"/>
      <c r="E45" s="580"/>
      <c r="F45" s="317"/>
      <c r="G45" s="317"/>
      <c r="H45" s="317"/>
      <c r="I45" s="317">
        <f>+Hilton!$AD$83/10</f>
        <v>98.745835999999997</v>
      </c>
      <c r="J45" s="317">
        <f ca="1">I45+J142/J49</f>
        <v>98.745835999999997</v>
      </c>
      <c r="K45" s="317">
        <f ca="1">+J45</f>
        <v>98.745835999999997</v>
      </c>
      <c r="L45" s="317">
        <f ca="1">+K45</f>
        <v>98.745835999999997</v>
      </c>
      <c r="M45" s="2957">
        <f ca="1">+L45</f>
        <v>98.745835999999997</v>
      </c>
    </row>
    <row r="46" spans="1:13">
      <c r="A46" s="505" t="s">
        <v>2925</v>
      </c>
      <c r="B46" s="317"/>
      <c r="C46" s="317"/>
      <c r="D46" s="317"/>
      <c r="E46" s="580"/>
      <c r="F46" s="317"/>
      <c r="G46" s="317"/>
      <c r="H46" s="317"/>
      <c r="I46" s="317">
        <f>+Hilton!$AC$91/10</f>
        <v>98.4615364</v>
      </c>
      <c r="J46" s="266">
        <f ca="1">J45+(I45-I46)</f>
        <v>99.030135599999994</v>
      </c>
      <c r="K46" s="266">
        <f ca="1">K45+(J45-J46)</f>
        <v>98.4615364</v>
      </c>
      <c r="L46" s="266">
        <f ca="1">L45+(K45-K46)</f>
        <v>99.030135599999994</v>
      </c>
      <c r="M46" s="2934">
        <f ca="1">M45+(L45-L46)</f>
        <v>98.4615364</v>
      </c>
    </row>
    <row r="47" spans="1:13">
      <c r="A47" s="505" t="s">
        <v>1327</v>
      </c>
      <c r="B47" s="317"/>
      <c r="C47" s="317"/>
      <c r="D47" s="317"/>
      <c r="E47" s="580"/>
      <c r="F47" s="317"/>
      <c r="G47" s="317"/>
      <c r="H47" s="317"/>
      <c r="I47" s="3483">
        <v>99</v>
      </c>
      <c r="J47" s="266">
        <f ca="1">AVERAGE(I46:J46)</f>
        <v>98.745835999999997</v>
      </c>
      <c r="K47" s="266">
        <f ca="1">AVERAGE(J46:K46)</f>
        <v>98.745835999999997</v>
      </c>
      <c r="L47" s="266">
        <f ca="1">AVERAGE(K46:L46)</f>
        <v>98.745835999999997</v>
      </c>
      <c r="M47" s="2934">
        <f ca="1">AVERAGE(L46:M46)</f>
        <v>98.745835999999997</v>
      </c>
    </row>
    <row r="48" spans="1:13" s="1828" customFormat="1">
      <c r="A48" s="482"/>
      <c r="B48" s="266"/>
      <c r="C48" s="266"/>
      <c r="D48" s="266"/>
      <c r="E48" s="3043"/>
      <c r="F48" s="266"/>
      <c r="G48" s="266"/>
      <c r="H48" s="266"/>
      <c r="I48" s="3468"/>
      <c r="J48" s="266"/>
      <c r="K48" s="266"/>
      <c r="L48" s="266"/>
      <c r="M48" s="2934"/>
    </row>
    <row r="49" spans="1:13" s="1828" customFormat="1">
      <c r="A49" s="482" t="s">
        <v>893</v>
      </c>
      <c r="B49" s="266"/>
      <c r="C49" s="266"/>
      <c r="D49" s="266"/>
      <c r="E49" s="3043"/>
      <c r="F49" s="266"/>
      <c r="G49" s="266"/>
      <c r="H49" s="266"/>
      <c r="I49" s="3470">
        <f ca="1">('EBITDA Val'!H8+'Timeshare Assets Spun Out'!I161-'Timeshare Assets Spun Out'!I176)/'Timeshare Assets Spun Out'!I47</f>
        <v>-43.869251783354819</v>
      </c>
      <c r="J49" s="3469">
        <f ca="1">I49*(1+J50/4)</f>
        <v>-44.965983077938688</v>
      </c>
      <c r="K49" s="3469">
        <f ca="1">J49*(1+K50/4)</f>
        <v>-46.090132654887149</v>
      </c>
      <c r="L49" s="3469">
        <f ca="1">K49*(1+L50/4)</f>
        <v>-47.242385971259324</v>
      </c>
      <c r="M49" s="3475">
        <f ca="1">L49*(1+M50/4)</f>
        <v>-48.423445620540804</v>
      </c>
    </row>
    <row r="50" spans="1:13" s="1828" customFormat="1">
      <c r="A50" s="3476" t="s">
        <v>2433</v>
      </c>
      <c r="B50" s="3477"/>
      <c r="C50" s="3477"/>
      <c r="D50" s="3477"/>
      <c r="E50" s="3045"/>
      <c r="F50" s="3477"/>
      <c r="G50" s="3477"/>
      <c r="H50" s="3477"/>
      <c r="I50" s="3478">
        <v>0.1</v>
      </c>
      <c r="J50" s="3479">
        <f>I50</f>
        <v>0.1</v>
      </c>
      <c r="K50" s="3479">
        <f>J50</f>
        <v>0.1</v>
      </c>
      <c r="L50" s="3479">
        <f>K50</f>
        <v>0.1</v>
      </c>
      <c r="M50" s="3480">
        <f>L50</f>
        <v>0.1</v>
      </c>
    </row>
    <row r="52" spans="1:13">
      <c r="A52" s="218" t="s">
        <v>2842</v>
      </c>
      <c r="B52" s="3039">
        <v>2013</v>
      </c>
      <c r="C52" s="3039" t="s">
        <v>2625</v>
      </c>
      <c r="D52" s="3039" t="s">
        <v>2626</v>
      </c>
      <c r="E52" s="3039" t="s">
        <v>2834</v>
      </c>
      <c r="F52" s="3040" t="s">
        <v>2897</v>
      </c>
      <c r="G52" s="3040" t="s">
        <v>2896</v>
      </c>
      <c r="H52" s="3040" t="s">
        <v>2684</v>
      </c>
      <c r="I52" s="3039" t="s">
        <v>2902</v>
      </c>
      <c r="J52" s="3039" t="s">
        <v>43</v>
      </c>
      <c r="K52" s="3039" t="s">
        <v>44</v>
      </c>
      <c r="L52" s="3039" t="s">
        <v>1343</v>
      </c>
      <c r="M52" s="3041" t="s">
        <v>1813</v>
      </c>
    </row>
    <row r="53" spans="1:13">
      <c r="A53" s="1898" t="s">
        <v>2121</v>
      </c>
      <c r="B53" s="1968">
        <f t="shared" ref="B53:G53" si="9">+B39</f>
        <v>128</v>
      </c>
      <c r="C53" s="1968">
        <f t="shared" si="9"/>
        <v>167</v>
      </c>
      <c r="D53" s="1968">
        <f t="shared" si="9"/>
        <v>174</v>
      </c>
      <c r="E53" s="1968">
        <f t="shared" si="9"/>
        <v>167</v>
      </c>
      <c r="F53" s="1968">
        <f t="shared" si="9"/>
        <v>125</v>
      </c>
      <c r="G53" s="1968">
        <f t="shared" si="9"/>
        <v>130</v>
      </c>
      <c r="H53" s="1968">
        <f t="shared" ref="H53:H63" si="10">D53-F53+G53</f>
        <v>179</v>
      </c>
      <c r="I53" s="2855">
        <f>+I39</f>
        <v>171.14356913183286</v>
      </c>
      <c r="J53" s="2855">
        <f>+J39</f>
        <v>194.42802352572355</v>
      </c>
      <c r="K53" s="2855">
        <f>+K39</f>
        <v>208.24926535048246</v>
      </c>
      <c r="L53" s="2855">
        <f>+L39</f>
        <v>201.58034363432492</v>
      </c>
      <c r="M53" s="2133">
        <f>+M39</f>
        <v>161.86982328265285</v>
      </c>
    </row>
    <row r="54" spans="1:13">
      <c r="A54" s="1898" t="s">
        <v>2165</v>
      </c>
      <c r="B54" s="1777">
        <f t="shared" ref="B54:G54" si="11">+B23</f>
        <v>16</v>
      </c>
      <c r="C54" s="1777">
        <f t="shared" si="11"/>
        <v>18</v>
      </c>
      <c r="D54" s="1777">
        <f t="shared" si="11"/>
        <v>22</v>
      </c>
      <c r="E54" s="1777">
        <f t="shared" si="11"/>
        <v>29</v>
      </c>
      <c r="F54" s="1777">
        <f t="shared" si="11"/>
        <v>16</v>
      </c>
      <c r="G54" s="1777">
        <f t="shared" si="11"/>
        <v>17</v>
      </c>
      <c r="H54" s="1777">
        <f t="shared" si="10"/>
        <v>23</v>
      </c>
      <c r="I54" s="1777">
        <f>+I23</f>
        <v>31.174999999999997</v>
      </c>
      <c r="J54" s="1777">
        <f>+J23</f>
        <v>31.798499999999997</v>
      </c>
      <c r="K54" s="1777">
        <f>+K23</f>
        <v>32.434469999999997</v>
      </c>
      <c r="L54" s="1777">
        <f>+L23</f>
        <v>33.0831594</v>
      </c>
      <c r="M54" s="1976">
        <f>+M23</f>
        <v>33.744822587999998</v>
      </c>
    </row>
    <row r="55" spans="1:13">
      <c r="A55" s="1898" t="s">
        <v>1904</v>
      </c>
      <c r="B55" s="1777">
        <f t="shared" ref="B55:G55" si="12">+-B36</f>
        <v>90</v>
      </c>
      <c r="C55" s="1777">
        <f t="shared" si="12"/>
        <v>113</v>
      </c>
      <c r="D55" s="1777">
        <f t="shared" si="12"/>
        <v>118</v>
      </c>
      <c r="E55" s="1777">
        <f t="shared" si="12"/>
        <v>114</v>
      </c>
      <c r="F55" s="1777">
        <f t="shared" si="12"/>
        <v>84</v>
      </c>
      <c r="G55" s="1777">
        <f t="shared" si="12"/>
        <v>98</v>
      </c>
      <c r="H55" s="1777">
        <f t="shared" si="10"/>
        <v>132</v>
      </c>
      <c r="I55" s="1777">
        <f>+-I36</f>
        <v>126.20643086816726</v>
      </c>
      <c r="J55" s="1777">
        <f>+-J36</f>
        <v>143.37708997427657</v>
      </c>
      <c r="K55" s="1777">
        <f>+-K36</f>
        <v>153.56929064951777</v>
      </c>
      <c r="L55" s="1777">
        <f>+-L36</f>
        <v>148.65142659067536</v>
      </c>
      <c r="M55" s="1976">
        <f>+-M36</f>
        <v>119.36769091234734</v>
      </c>
    </row>
    <row r="56" spans="1:13">
      <c r="A56" s="1898" t="s">
        <v>2709</v>
      </c>
      <c r="B56" s="2888">
        <v>48</v>
      </c>
      <c r="C56" s="2888">
        <v>36</v>
      </c>
      <c r="D56" s="1777">
        <f>-D31</f>
        <v>29</v>
      </c>
      <c r="E56" s="1777">
        <f>-E31</f>
        <v>27</v>
      </c>
      <c r="F56" s="1777">
        <f>-F31</f>
        <v>22</v>
      </c>
      <c r="G56" s="1777">
        <f>-G31</f>
        <v>20</v>
      </c>
      <c r="H56" s="1777">
        <f t="shared" si="10"/>
        <v>27</v>
      </c>
      <c r="I56" s="1777">
        <f>-I31</f>
        <v>20</v>
      </c>
      <c r="J56" s="2888">
        <v>0</v>
      </c>
      <c r="K56" s="2888">
        <v>0</v>
      </c>
      <c r="L56" s="2888">
        <v>0</v>
      </c>
      <c r="M56" s="2825">
        <v>0</v>
      </c>
    </row>
    <row r="57" spans="1:13">
      <c r="A57" s="1898" t="s">
        <v>2754</v>
      </c>
      <c r="B57" s="2888">
        <v>7</v>
      </c>
      <c r="C57" s="2888">
        <v>15</v>
      </c>
      <c r="D57" s="2888">
        <v>13</v>
      </c>
      <c r="E57" s="2989">
        <f>+D57</f>
        <v>13</v>
      </c>
      <c r="F57" s="2888">
        <v>10</v>
      </c>
      <c r="G57" s="2888">
        <v>9</v>
      </c>
      <c r="H57" s="1777">
        <f t="shared" si="10"/>
        <v>12</v>
      </c>
      <c r="I57" s="2989">
        <f>+H57</f>
        <v>12</v>
      </c>
      <c r="J57" s="1777">
        <f>+-J31</f>
        <v>24.40763650000001</v>
      </c>
      <c r="K57" s="1777">
        <f>+-K31</f>
        <v>24.40763650000001</v>
      </c>
      <c r="L57" s="1777">
        <f>+-L31</f>
        <v>24.40763650000001</v>
      </c>
      <c r="M57" s="1976">
        <f>+-M31</f>
        <v>24.40763650000001</v>
      </c>
    </row>
    <row r="58" spans="1:13" ht="3.95" customHeight="1">
      <c r="A58" s="1898"/>
      <c r="B58" s="1791" t="s">
        <v>601</v>
      </c>
      <c r="C58" s="1791" t="s">
        <v>601</v>
      </c>
      <c r="D58" s="1791" t="s">
        <v>601</v>
      </c>
      <c r="E58" s="1791" t="s">
        <v>601</v>
      </c>
      <c r="F58" s="1791" t="s">
        <v>601</v>
      </c>
      <c r="G58" s="1791" t="s">
        <v>601</v>
      </c>
      <c r="H58" s="1791" t="s">
        <v>601</v>
      </c>
      <c r="I58" s="1791" t="s">
        <v>601</v>
      </c>
      <c r="J58" s="1791" t="s">
        <v>601</v>
      </c>
      <c r="K58" s="1791" t="s">
        <v>601</v>
      </c>
      <c r="L58" s="1791" t="s">
        <v>601</v>
      </c>
      <c r="M58" s="2672" t="s">
        <v>601</v>
      </c>
    </row>
    <row r="59" spans="1:13" s="2" customFormat="1">
      <c r="A59" s="505" t="s">
        <v>1228</v>
      </c>
      <c r="B59" s="580">
        <f t="shared" ref="B59:G59" si="13">SUM(B53:B57)</f>
        <v>289</v>
      </c>
      <c r="C59" s="580">
        <f t="shared" si="13"/>
        <v>349</v>
      </c>
      <c r="D59" s="580">
        <f t="shared" si="13"/>
        <v>356</v>
      </c>
      <c r="E59" s="580">
        <f t="shared" si="13"/>
        <v>350</v>
      </c>
      <c r="F59" s="580">
        <f t="shared" si="13"/>
        <v>257</v>
      </c>
      <c r="G59" s="580">
        <f t="shared" si="13"/>
        <v>274</v>
      </c>
      <c r="H59" s="580">
        <f t="shared" si="10"/>
        <v>373</v>
      </c>
      <c r="I59" s="580">
        <f>SUM(I53:I57)</f>
        <v>360.52500000000015</v>
      </c>
      <c r="J59" s="580">
        <f>SUM(J53:J57)</f>
        <v>394.01125000000013</v>
      </c>
      <c r="K59" s="580">
        <f>SUM(K53:K57)</f>
        <v>418.66066250000023</v>
      </c>
      <c r="L59" s="580">
        <f>SUM(L53:L57)</f>
        <v>407.7225661250003</v>
      </c>
      <c r="M59" s="581">
        <f>SUM(M53:M57)</f>
        <v>339.38997328300019</v>
      </c>
    </row>
    <row r="60" spans="1:13">
      <c r="A60" s="1898" t="s">
        <v>2893</v>
      </c>
      <c r="B60" s="2888">
        <v>12</v>
      </c>
      <c r="C60" s="2888">
        <v>3</v>
      </c>
      <c r="D60" s="2888">
        <v>4</v>
      </c>
      <c r="E60" s="2989">
        <f>+D60</f>
        <v>4</v>
      </c>
      <c r="F60" s="2888">
        <v>2</v>
      </c>
      <c r="G60" s="2888">
        <v>21</v>
      </c>
      <c r="H60" s="1777">
        <f t="shared" si="10"/>
        <v>23</v>
      </c>
      <c r="I60" s="2888">
        <f>+G60</f>
        <v>21</v>
      </c>
      <c r="J60" s="2888">
        <v>0</v>
      </c>
      <c r="K60" s="2888">
        <v>0</v>
      </c>
      <c r="L60" s="2888">
        <v>0</v>
      </c>
      <c r="M60" s="2825">
        <v>0</v>
      </c>
    </row>
    <row r="61" spans="1:13">
      <c r="A61" s="1898" t="s">
        <v>2899</v>
      </c>
      <c r="B61" s="2888">
        <v>22</v>
      </c>
      <c r="C61" s="2888">
        <v>4</v>
      </c>
      <c r="D61" s="2888">
        <v>13</v>
      </c>
      <c r="E61" s="2989">
        <f>+D61</f>
        <v>13</v>
      </c>
      <c r="F61" s="2888">
        <v>11</v>
      </c>
      <c r="G61" s="2888">
        <v>7</v>
      </c>
      <c r="H61" s="1777">
        <f t="shared" si="10"/>
        <v>9</v>
      </c>
      <c r="I61" s="2989">
        <f>+H61</f>
        <v>9</v>
      </c>
      <c r="J61" s="2888">
        <v>5</v>
      </c>
      <c r="K61" s="2989">
        <f>+J61</f>
        <v>5</v>
      </c>
      <c r="L61" s="2989">
        <f>+K61</f>
        <v>5</v>
      </c>
      <c r="M61" s="2990">
        <f>+L61</f>
        <v>5</v>
      </c>
    </row>
    <row r="62" spans="1:13">
      <c r="A62" s="1898" t="s">
        <v>2900</v>
      </c>
      <c r="B62" s="2888">
        <v>5</v>
      </c>
      <c r="C62" s="2888">
        <v>2</v>
      </c>
      <c r="D62" s="2888">
        <v>0</v>
      </c>
      <c r="E62" s="2989">
        <f>+D62</f>
        <v>0</v>
      </c>
      <c r="F62" s="2888">
        <v>0</v>
      </c>
      <c r="G62" s="2888">
        <v>-2</v>
      </c>
      <c r="H62" s="1777">
        <f t="shared" si="10"/>
        <v>-2</v>
      </c>
      <c r="I62" s="2888">
        <f>+G62</f>
        <v>-2</v>
      </c>
      <c r="J62" s="2888">
        <v>0</v>
      </c>
      <c r="K62" s="2888">
        <v>0</v>
      </c>
      <c r="L62" s="2888">
        <v>0</v>
      </c>
      <c r="M62" s="2825">
        <v>0</v>
      </c>
    </row>
    <row r="63" spans="1:13">
      <c r="A63" s="1898" t="s">
        <v>2901</v>
      </c>
      <c r="B63" s="2888">
        <v>-22</v>
      </c>
      <c r="C63" s="2888">
        <v>-5</v>
      </c>
      <c r="D63" s="2888">
        <v>0</v>
      </c>
      <c r="E63" s="2989">
        <f>+D63</f>
        <v>0</v>
      </c>
      <c r="F63" s="2888">
        <v>0</v>
      </c>
      <c r="G63" s="2888">
        <v>1</v>
      </c>
      <c r="H63" s="1777">
        <f t="shared" si="10"/>
        <v>1</v>
      </c>
      <c r="I63" s="2888">
        <f>+G63</f>
        <v>1</v>
      </c>
      <c r="J63" s="2888">
        <v>0</v>
      </c>
      <c r="K63" s="2888">
        <v>0</v>
      </c>
      <c r="L63" s="2888">
        <v>0</v>
      </c>
      <c r="M63" s="2825">
        <v>0</v>
      </c>
    </row>
    <row r="64" spans="1:13" ht="3.95" customHeight="1">
      <c r="A64" s="1898"/>
      <c r="B64" s="1791" t="s">
        <v>601</v>
      </c>
      <c r="C64" s="1791" t="s">
        <v>601</v>
      </c>
      <c r="D64" s="1791" t="s">
        <v>601</v>
      </c>
      <c r="E64" s="1791" t="s">
        <v>601</v>
      </c>
      <c r="F64" s="1791" t="s">
        <v>601</v>
      </c>
      <c r="G64" s="1791" t="s">
        <v>601</v>
      </c>
      <c r="H64" s="1791" t="s">
        <v>601</v>
      </c>
      <c r="I64" s="1791" t="s">
        <v>601</v>
      </c>
      <c r="J64" s="1791" t="s">
        <v>601</v>
      </c>
      <c r="K64" s="1791" t="s">
        <v>601</v>
      </c>
      <c r="L64" s="1791" t="s">
        <v>601</v>
      </c>
      <c r="M64" s="2672" t="s">
        <v>601</v>
      </c>
    </row>
    <row r="65" spans="1:13" s="2" customFormat="1">
      <c r="A65" s="505" t="s">
        <v>2695</v>
      </c>
      <c r="B65" s="580">
        <f t="shared" ref="B65:M65" si="14">SUM(B59:B63)</f>
        <v>306</v>
      </c>
      <c r="C65" s="580">
        <f t="shared" si="14"/>
        <v>353</v>
      </c>
      <c r="D65" s="580">
        <f t="shared" si="14"/>
        <v>373</v>
      </c>
      <c r="E65" s="580">
        <f t="shared" si="14"/>
        <v>367</v>
      </c>
      <c r="F65" s="580">
        <f t="shared" si="14"/>
        <v>270</v>
      </c>
      <c r="G65" s="580">
        <f t="shared" si="14"/>
        <v>301</v>
      </c>
      <c r="H65" s="580">
        <f t="shared" si="14"/>
        <v>404</v>
      </c>
      <c r="I65" s="580">
        <f t="shared" si="14"/>
        <v>389.52500000000015</v>
      </c>
      <c r="J65" s="580">
        <f t="shared" si="14"/>
        <v>399.01125000000013</v>
      </c>
      <c r="K65" s="580">
        <f t="shared" si="14"/>
        <v>423.66066250000023</v>
      </c>
      <c r="L65" s="580">
        <f t="shared" si="14"/>
        <v>412.7225661250003</v>
      </c>
      <c r="M65" s="581">
        <f t="shared" si="14"/>
        <v>344.38997328300019</v>
      </c>
    </row>
    <row r="66" spans="1:13">
      <c r="A66" s="1898" t="s">
        <v>2696</v>
      </c>
      <c r="B66" s="1777">
        <f t="shared" ref="B66:G66" si="15">+-B61</f>
        <v>-22</v>
      </c>
      <c r="C66" s="1777">
        <f t="shared" si="15"/>
        <v>-4</v>
      </c>
      <c r="D66" s="1777">
        <f t="shared" si="15"/>
        <v>-13</v>
      </c>
      <c r="E66" s="1777">
        <f t="shared" si="15"/>
        <v>-13</v>
      </c>
      <c r="F66" s="1777">
        <f t="shared" si="15"/>
        <v>-11</v>
      </c>
      <c r="G66" s="1777">
        <f t="shared" si="15"/>
        <v>-7</v>
      </c>
      <c r="H66" s="1777">
        <f>D66-F66+G66</f>
        <v>-9</v>
      </c>
      <c r="I66" s="1777">
        <f>+-I61</f>
        <v>-9</v>
      </c>
      <c r="J66" s="1777">
        <f>+-J61</f>
        <v>-5</v>
      </c>
      <c r="K66" s="1777">
        <f>+-K61</f>
        <v>-5</v>
      </c>
      <c r="L66" s="1777">
        <f>+-L61</f>
        <v>-5</v>
      </c>
      <c r="M66" s="1976">
        <f>+-M61</f>
        <v>-5</v>
      </c>
    </row>
    <row r="67" spans="1:13" ht="4.5" customHeight="1">
      <c r="A67" s="1979"/>
      <c r="B67" s="2885" t="s">
        <v>587</v>
      </c>
      <c r="C67" s="2885" t="s">
        <v>587</v>
      </c>
      <c r="D67" s="2885" t="s">
        <v>587</v>
      </c>
      <c r="E67" s="2885" t="s">
        <v>587</v>
      </c>
      <c r="F67" s="2885" t="s">
        <v>587</v>
      </c>
      <c r="G67" s="2885" t="s">
        <v>587</v>
      </c>
      <c r="H67" s="1791" t="s">
        <v>601</v>
      </c>
      <c r="I67" s="2885" t="s">
        <v>587</v>
      </c>
      <c r="J67" s="2885" t="s">
        <v>587</v>
      </c>
      <c r="K67" s="2886" t="s">
        <v>587</v>
      </c>
      <c r="L67" s="2886" t="s">
        <v>587</v>
      </c>
      <c r="M67" s="2887" t="s">
        <v>587</v>
      </c>
    </row>
    <row r="68" spans="1:13">
      <c r="A68" s="505" t="s">
        <v>2697</v>
      </c>
      <c r="B68" s="3043">
        <f t="shared" ref="B68:M68" si="16">SUM(B65:B67)</f>
        <v>284</v>
      </c>
      <c r="C68" s="3043">
        <f t="shared" si="16"/>
        <v>349</v>
      </c>
      <c r="D68" s="3043">
        <f t="shared" si="16"/>
        <v>360</v>
      </c>
      <c r="E68" s="3043">
        <f t="shared" si="16"/>
        <v>354</v>
      </c>
      <c r="F68" s="3043">
        <f t="shared" si="16"/>
        <v>259</v>
      </c>
      <c r="G68" s="3043">
        <f t="shared" si="16"/>
        <v>294</v>
      </c>
      <c r="H68" s="3043">
        <f t="shared" si="16"/>
        <v>395</v>
      </c>
      <c r="I68" s="3043">
        <f t="shared" si="16"/>
        <v>380.52500000000015</v>
      </c>
      <c r="J68" s="580">
        <f t="shared" si="16"/>
        <v>394.01125000000013</v>
      </c>
      <c r="K68" s="580">
        <f t="shared" si="16"/>
        <v>418.66066250000023</v>
      </c>
      <c r="L68" s="580">
        <f t="shared" si="16"/>
        <v>407.7225661250003</v>
      </c>
      <c r="M68" s="581">
        <f t="shared" si="16"/>
        <v>339.38997328300019</v>
      </c>
    </row>
    <row r="69" spans="1:13" s="1775" customFormat="1">
      <c r="A69" s="3061" t="s">
        <v>1774</v>
      </c>
      <c r="B69" s="1784"/>
      <c r="C69" s="1784">
        <f>+C68/B68-1</f>
        <v>0.22887323943661975</v>
      </c>
      <c r="D69" s="1784">
        <f>+D68/C68-1</f>
        <v>3.1518624641833748E-2</v>
      </c>
      <c r="E69" s="1784"/>
      <c r="F69" s="1784"/>
      <c r="G69" s="1784"/>
      <c r="H69" s="1784"/>
      <c r="I69" s="1784">
        <f>+I68/E68-1</f>
        <v>7.4929378531073842E-2</v>
      </c>
      <c r="J69" s="1784">
        <f>+J68/I68-1</f>
        <v>3.5441166809013769E-2</v>
      </c>
      <c r="K69" s="1784">
        <f>+K68/J68-1</f>
        <v>6.2560174360503984E-2</v>
      </c>
      <c r="L69" s="1784">
        <f>+L68/K68-1</f>
        <v>-2.6126401056368431E-2</v>
      </c>
      <c r="M69" s="2662">
        <f>+M68/L68-1</f>
        <v>-0.16759580783431693</v>
      </c>
    </row>
    <row r="70" spans="1:13" s="2" customFormat="1">
      <c r="A70" s="2977" t="s">
        <v>1420</v>
      </c>
      <c r="B70" s="471"/>
      <c r="C70" s="471"/>
      <c r="D70" s="471"/>
      <c r="E70" s="471"/>
      <c r="F70" s="317"/>
      <c r="G70" s="317"/>
      <c r="H70" s="317"/>
      <c r="I70" s="2978" t="s">
        <v>2825</v>
      </c>
      <c r="J70" s="471"/>
      <c r="K70" s="471"/>
      <c r="L70" s="471"/>
      <c r="M70" s="579"/>
    </row>
    <row r="71" spans="1:13">
      <c r="A71" s="3520" t="s">
        <v>2943</v>
      </c>
      <c r="B71" s="1777"/>
      <c r="C71" s="1777"/>
      <c r="D71" s="1777"/>
      <c r="E71" s="1777"/>
      <c r="F71" s="1777"/>
      <c r="G71" s="1777"/>
      <c r="H71" s="1777"/>
      <c r="I71" s="3521" t="s">
        <v>2958</v>
      </c>
      <c r="J71" s="3521" t="s">
        <v>2959</v>
      </c>
      <c r="K71" s="580"/>
      <c r="L71" s="3521" t="s">
        <v>2954</v>
      </c>
      <c r="M71" s="581"/>
    </row>
    <row r="72" spans="1:13">
      <c r="A72" s="1898" t="s">
        <v>1491</v>
      </c>
      <c r="B72" s="1777"/>
      <c r="C72" s="1777"/>
      <c r="D72" s="1777"/>
      <c r="E72" s="1777"/>
      <c r="F72" s="1777"/>
      <c r="G72" s="1777"/>
      <c r="H72" s="1777"/>
      <c r="I72" s="2889">
        <f>+I78*I65</f>
        <v>506.38250000000022</v>
      </c>
      <c r="J72" s="1968">
        <f>+J176</f>
        <v>506.38250000000022</v>
      </c>
      <c r="K72" s="1968">
        <f>+K176</f>
        <v>506.38250000000022</v>
      </c>
      <c r="L72" s="1968">
        <f>+L176</f>
        <v>506.38250000000022</v>
      </c>
      <c r="M72" s="1969">
        <f>+M176</f>
        <v>506.38250000000022</v>
      </c>
    </row>
    <row r="73" spans="1:13">
      <c r="A73" s="1898" t="s">
        <v>1191</v>
      </c>
      <c r="B73" s="1777"/>
      <c r="C73" s="1777"/>
      <c r="D73" s="1777"/>
      <c r="E73" s="1777"/>
      <c r="F73" s="1777"/>
      <c r="G73" s="1777"/>
      <c r="H73" s="1777"/>
      <c r="I73" s="3054">
        <f>+I75-I72</f>
        <v>-155.81000000000006</v>
      </c>
      <c r="J73" s="2008">
        <f>+-J161</f>
        <v>-364.03652352572362</v>
      </c>
      <c r="K73" s="2008">
        <f>+-K161</f>
        <v>-436.72025887620612</v>
      </c>
      <c r="L73" s="2008">
        <f>+-L161</f>
        <v>-503.38376191053101</v>
      </c>
      <c r="M73" s="2204">
        <f>+-M161</f>
        <v>-530.99840778118391</v>
      </c>
    </row>
    <row r="74" spans="1:13" ht="3.95" customHeight="1">
      <c r="A74" s="1898"/>
      <c r="B74" s="1777"/>
      <c r="C74" s="1777"/>
      <c r="D74" s="1777"/>
      <c r="E74" s="1777"/>
      <c r="F74" s="1777"/>
      <c r="G74" s="1777"/>
      <c r="H74" s="1777"/>
      <c r="I74" s="3536" t="s">
        <v>601</v>
      </c>
      <c r="J74" s="2890" t="s">
        <v>601</v>
      </c>
      <c r="K74" s="2890" t="s">
        <v>601</v>
      </c>
      <c r="L74" s="2890" t="s">
        <v>601</v>
      </c>
      <c r="M74" s="2891" t="s">
        <v>601</v>
      </c>
    </row>
    <row r="75" spans="1:13">
      <c r="A75" s="1898" t="s">
        <v>1652</v>
      </c>
      <c r="B75" s="1777"/>
      <c r="C75" s="1777"/>
      <c r="D75" s="1777"/>
      <c r="E75" s="1777"/>
      <c r="F75" s="1777"/>
      <c r="G75" s="1777"/>
      <c r="H75" s="1777"/>
      <c r="I75" s="1968">
        <f>+I77*I65</f>
        <v>350.57250000000016</v>
      </c>
      <c r="J75" s="1968">
        <f>+J72+J73</f>
        <v>142.3459764742766</v>
      </c>
      <c r="K75" s="1968">
        <f>+K72+K73</f>
        <v>69.662241123794104</v>
      </c>
      <c r="L75" s="1968">
        <f>+L72+L73</f>
        <v>2.9987380894692137</v>
      </c>
      <c r="M75" s="1969">
        <f>+M72+M73</f>
        <v>-24.615907781183694</v>
      </c>
    </row>
    <row r="76" spans="1:13" ht="3.95" customHeight="1">
      <c r="A76" s="1898"/>
      <c r="B76" s="1777"/>
      <c r="C76" s="1777"/>
      <c r="D76" s="1777"/>
      <c r="E76" s="1777"/>
      <c r="F76" s="1777"/>
      <c r="G76" s="1777"/>
      <c r="H76" s="1777"/>
      <c r="I76" s="580"/>
      <c r="J76" s="580"/>
      <c r="K76" s="580"/>
      <c r="L76" s="580"/>
      <c r="M76" s="581"/>
    </row>
    <row r="77" spans="1:13">
      <c r="A77" s="1898" t="s">
        <v>2459</v>
      </c>
      <c r="B77" s="1777"/>
      <c r="C77" s="1777"/>
      <c r="D77" s="1777"/>
      <c r="E77" s="1777"/>
      <c r="F77" s="1777"/>
      <c r="G77" s="1777"/>
      <c r="H77" s="1777"/>
      <c r="I77" s="2892">
        <v>0.9</v>
      </c>
      <c r="J77" s="2893">
        <f>+J75/J65</f>
        <v>0.35674677461920323</v>
      </c>
      <c r="K77" s="2893">
        <f>+K75/K65</f>
        <v>0.1644293352909395</v>
      </c>
      <c r="L77" s="2893">
        <f>+L75/L65</f>
        <v>7.2657478306165429E-3</v>
      </c>
      <c r="M77" s="2894">
        <f>+M75/M65</f>
        <v>-7.1476842216180711E-2</v>
      </c>
    </row>
    <row r="78" spans="1:13">
      <c r="A78" s="509" t="s">
        <v>2962</v>
      </c>
      <c r="B78" s="1777"/>
      <c r="C78" s="1777"/>
      <c r="D78" s="1777"/>
      <c r="E78" s="1777"/>
      <c r="F78" s="1777"/>
      <c r="G78" s="1777"/>
      <c r="H78" s="1777"/>
      <c r="I78" s="2972">
        <v>1.3</v>
      </c>
      <c r="J78" s="2893"/>
      <c r="K78" s="2893"/>
      <c r="L78" s="2893"/>
      <c r="M78" s="2894"/>
    </row>
    <row r="79" spans="1:13" s="122" customFormat="1">
      <c r="A79" s="510" t="s">
        <v>2963</v>
      </c>
      <c r="B79" s="438"/>
      <c r="C79" s="438"/>
      <c r="D79" s="438"/>
      <c r="E79" s="438"/>
      <c r="F79" s="438"/>
      <c r="G79" s="438"/>
      <c r="H79" s="438"/>
      <c r="I79" s="2896">
        <v>0.9</v>
      </c>
      <c r="J79" s="2896"/>
      <c r="K79" s="2895"/>
      <c r="L79" s="2895"/>
      <c r="M79" s="2897"/>
    </row>
    <row r="80" spans="1:13">
      <c r="A80" s="2"/>
      <c r="I80" s="1546"/>
      <c r="J80" s="1546"/>
      <c r="K80" s="1546"/>
      <c r="L80" s="1546"/>
      <c r="M80" s="580"/>
    </row>
    <row r="82" spans="1:13" hidden="1" outlineLevel="1"/>
    <row r="83" spans="1:13" hidden="1" outlineLevel="1">
      <c r="A83" s="2878" t="s">
        <v>2694</v>
      </c>
      <c r="B83" s="2877">
        <f>B35-B102</f>
        <v>234</v>
      </c>
      <c r="C83" s="2877">
        <f>C35-C102</f>
        <v>298</v>
      </c>
      <c r="D83" s="2877">
        <f>D35-D102</f>
        <v>314</v>
      </c>
      <c r="E83" s="2877"/>
      <c r="F83" s="2877">
        <f>F35-F102</f>
        <v>220</v>
      </c>
      <c r="G83" s="2877">
        <f>G35-G102</f>
        <v>239</v>
      </c>
      <c r="H83" s="2877">
        <f>H35-H102</f>
        <v>333</v>
      </c>
      <c r="I83" s="2877"/>
      <c r="J83" s="2877"/>
      <c r="K83" s="2877"/>
      <c r="L83" s="2877"/>
      <c r="M83" s="2999"/>
    </row>
    <row r="84" spans="1:13" hidden="1" outlineLevel="1">
      <c r="A84" s="2879" t="s">
        <v>2741</v>
      </c>
      <c r="B84" s="2880">
        <v>294</v>
      </c>
      <c r="C84" s="2880">
        <v>305</v>
      </c>
      <c r="D84" s="2880">
        <v>329</v>
      </c>
      <c r="E84" s="2880"/>
      <c r="F84" s="2880">
        <v>145</v>
      </c>
      <c r="G84" s="2880">
        <v>171</v>
      </c>
      <c r="H84" s="2881">
        <f>D84-F84+G84</f>
        <v>355</v>
      </c>
      <c r="I84" s="2877"/>
      <c r="J84" s="2877"/>
      <c r="K84" s="2877"/>
      <c r="L84" s="2877"/>
      <c r="M84" s="2999"/>
    </row>
    <row r="85" spans="1:13" hidden="1" outlineLevel="1">
      <c r="A85" s="2879" t="s">
        <v>2742</v>
      </c>
      <c r="B85" s="2880">
        <v>104</v>
      </c>
      <c r="C85" s="2880">
        <v>144</v>
      </c>
      <c r="D85" s="2880">
        <v>162</v>
      </c>
      <c r="E85" s="2880"/>
      <c r="F85" s="2880">
        <v>79</v>
      </c>
      <c r="G85" s="2880">
        <v>97</v>
      </c>
      <c r="H85" s="2881">
        <f>D85-F85+G85</f>
        <v>180</v>
      </c>
      <c r="I85" s="2877"/>
      <c r="J85" s="2877"/>
      <c r="K85" s="2877"/>
      <c r="L85" s="2877"/>
      <c r="M85" s="2999"/>
    </row>
    <row r="86" spans="1:13" ht="4.5" hidden="1" customHeight="1" outlineLevel="1">
      <c r="A86" s="2879"/>
      <c r="B86" s="2882" t="s">
        <v>587</v>
      </c>
      <c r="C86" s="2882" t="s">
        <v>587</v>
      </c>
      <c r="D86" s="2882" t="s">
        <v>587</v>
      </c>
      <c r="E86" s="2882"/>
      <c r="F86" s="2882" t="s">
        <v>587</v>
      </c>
      <c r="G86" s="2882" t="s">
        <v>587</v>
      </c>
      <c r="H86" s="2882" t="s">
        <v>587</v>
      </c>
      <c r="I86" s="2882"/>
      <c r="J86" s="2882"/>
      <c r="K86" s="2882"/>
      <c r="L86" s="2882"/>
      <c r="M86" s="3000"/>
    </row>
    <row r="87" spans="1:13" hidden="1" outlineLevel="1">
      <c r="A87" s="2883" t="s">
        <v>2743</v>
      </c>
      <c r="B87" s="2884">
        <f t="shared" ref="B87:H87" si="17">SUM(B84:B86)</f>
        <v>398</v>
      </c>
      <c r="C87" s="2884">
        <f t="shared" si="17"/>
        <v>449</v>
      </c>
      <c r="D87" s="2884">
        <f t="shared" si="17"/>
        <v>491</v>
      </c>
      <c r="E87" s="2884"/>
      <c r="F87" s="2884">
        <f t="shared" si="17"/>
        <v>224</v>
      </c>
      <c r="G87" s="2884">
        <f t="shared" si="17"/>
        <v>268</v>
      </c>
      <c r="H87" s="2884">
        <f t="shared" si="17"/>
        <v>535</v>
      </c>
      <c r="I87" s="2884"/>
      <c r="J87" s="2884"/>
      <c r="K87" s="2884"/>
      <c r="L87" s="2884"/>
      <c r="M87" s="3001"/>
    </row>
    <row r="88" spans="1:13" hidden="1" outlineLevel="1">
      <c r="A88" s="2879" t="s">
        <v>2744</v>
      </c>
      <c r="B88" s="2880">
        <v>36</v>
      </c>
      <c r="C88" s="2880">
        <v>34</v>
      </c>
      <c r="D88" s="2880">
        <v>44</v>
      </c>
      <c r="E88" s="2880"/>
      <c r="F88" s="2880">
        <v>19</v>
      </c>
      <c r="G88" s="2880">
        <v>24</v>
      </c>
      <c r="H88" s="2881">
        <f>D88-F88+G88</f>
        <v>49</v>
      </c>
      <c r="I88" s="2877"/>
      <c r="J88" s="2877"/>
      <c r="K88" s="2877"/>
      <c r="L88" s="2877"/>
      <c r="M88" s="2999"/>
    </row>
    <row r="89" spans="1:13" hidden="1" outlineLevel="1">
      <c r="A89" s="2879" t="s">
        <v>2745</v>
      </c>
      <c r="B89" s="2880">
        <v>56</v>
      </c>
      <c r="C89" s="2880">
        <v>62</v>
      </c>
      <c r="D89" s="2880">
        <v>74</v>
      </c>
      <c r="E89" s="2880"/>
      <c r="F89" s="2880">
        <v>36</v>
      </c>
      <c r="G89" s="2880">
        <v>39</v>
      </c>
      <c r="H89" s="2881">
        <f>D89-F89+G89</f>
        <v>77</v>
      </c>
      <c r="I89" s="2877"/>
      <c r="J89" s="2877"/>
      <c r="K89" s="2877"/>
      <c r="L89" s="2877"/>
      <c r="M89" s="2999"/>
    </row>
    <row r="90" spans="1:13" ht="4.5" hidden="1" customHeight="1" outlineLevel="1">
      <c r="A90" s="2879"/>
      <c r="B90" s="2882" t="s">
        <v>587</v>
      </c>
      <c r="C90" s="2882" t="s">
        <v>587</v>
      </c>
      <c r="D90" s="2882" t="s">
        <v>587</v>
      </c>
      <c r="E90" s="2882"/>
      <c r="F90" s="2882" t="s">
        <v>587</v>
      </c>
      <c r="G90" s="2882" t="s">
        <v>587</v>
      </c>
      <c r="H90" s="2882" t="s">
        <v>587</v>
      </c>
      <c r="I90" s="2882"/>
      <c r="J90" s="2882"/>
      <c r="K90" s="2882"/>
      <c r="L90" s="2882"/>
      <c r="M90" s="3000"/>
    </row>
    <row r="91" spans="1:13" hidden="1" outlineLevel="1">
      <c r="A91" s="2883" t="s">
        <v>2756</v>
      </c>
      <c r="B91" s="2877">
        <f t="shared" ref="B91:H91" si="18">B87-B88-B89</f>
        <v>306</v>
      </c>
      <c r="C91" s="2877">
        <f t="shared" si="18"/>
        <v>353</v>
      </c>
      <c r="D91" s="2877">
        <f t="shared" si="18"/>
        <v>373</v>
      </c>
      <c r="E91" s="2877"/>
      <c r="F91" s="2877">
        <f t="shared" si="18"/>
        <v>169</v>
      </c>
      <c r="G91" s="2877">
        <f t="shared" si="18"/>
        <v>205</v>
      </c>
      <c r="H91" s="2877">
        <f t="shared" si="18"/>
        <v>409</v>
      </c>
      <c r="I91" s="2877"/>
      <c r="J91" s="2877"/>
      <c r="K91" s="2877"/>
      <c r="L91" s="2877"/>
      <c r="M91" s="2999"/>
    </row>
    <row r="92" spans="1:13" hidden="1" outlineLevel="1">
      <c r="A92" s="2879" t="s">
        <v>2753</v>
      </c>
      <c r="B92" s="2880">
        <v>22</v>
      </c>
      <c r="C92" s="2880">
        <v>0</v>
      </c>
      <c r="D92" s="2880">
        <v>0</v>
      </c>
      <c r="E92" s="2880"/>
      <c r="F92" s="2880"/>
      <c r="G92" s="2880"/>
      <c r="H92" s="2880"/>
      <c r="I92" s="2880"/>
      <c r="J92" s="2880"/>
      <c r="K92" s="2880"/>
      <c r="L92" s="2880"/>
      <c r="M92" s="3002"/>
    </row>
    <row r="93" spans="1:13" hidden="1" outlineLevel="1">
      <c r="A93" s="2879" t="s">
        <v>2652</v>
      </c>
      <c r="B93" s="2880">
        <v>0</v>
      </c>
      <c r="C93" s="2880">
        <v>5</v>
      </c>
      <c r="D93" s="2880">
        <v>0</v>
      </c>
      <c r="E93" s="2880"/>
      <c r="F93" s="2880">
        <v>0</v>
      </c>
      <c r="G93" s="2880">
        <v>-1</v>
      </c>
      <c r="H93" s="2881">
        <f>D93-F93+G93</f>
        <v>-1</v>
      </c>
      <c r="I93" s="2877"/>
      <c r="J93" s="2877"/>
      <c r="K93" s="2877"/>
      <c r="L93" s="2877"/>
      <c r="M93" s="2999"/>
    </row>
    <row r="94" spans="1:13" hidden="1" outlineLevel="1">
      <c r="A94" s="2879" t="s">
        <v>2639</v>
      </c>
      <c r="B94" s="2880">
        <v>-5</v>
      </c>
      <c r="C94" s="2880">
        <v>-2</v>
      </c>
      <c r="D94" s="2880">
        <v>0</v>
      </c>
      <c r="E94" s="2880"/>
      <c r="F94" s="2880">
        <v>0</v>
      </c>
      <c r="G94" s="2880">
        <v>1</v>
      </c>
      <c r="H94" s="2881">
        <f>D94-F94+G94</f>
        <v>1</v>
      </c>
      <c r="I94" s="2877"/>
      <c r="J94" s="2877"/>
      <c r="K94" s="2877"/>
      <c r="L94" s="2877"/>
      <c r="M94" s="2999"/>
    </row>
    <row r="95" spans="1:13" hidden="1" outlineLevel="1">
      <c r="A95" s="2879" t="s">
        <v>776</v>
      </c>
      <c r="B95" s="2880">
        <v>-22</v>
      </c>
      <c r="C95" s="2880">
        <v>-4</v>
      </c>
      <c r="D95" s="2880">
        <v>-13</v>
      </c>
      <c r="E95" s="2880"/>
      <c r="F95" s="2880">
        <v>-9</v>
      </c>
      <c r="G95" s="2880">
        <v>-5</v>
      </c>
      <c r="H95" s="2881">
        <f>D95-F95+G95</f>
        <v>-9</v>
      </c>
      <c r="I95" s="2877"/>
      <c r="J95" s="2877"/>
      <c r="K95" s="2877"/>
      <c r="L95" s="2877"/>
      <c r="M95" s="2999"/>
    </row>
    <row r="96" spans="1:13" hidden="1" outlineLevel="1">
      <c r="A96" s="2879" t="s">
        <v>2746</v>
      </c>
      <c r="B96" s="2880">
        <v>-12</v>
      </c>
      <c r="C96" s="2880">
        <v>-3</v>
      </c>
      <c r="D96" s="2880">
        <v>-4</v>
      </c>
      <c r="E96" s="2880"/>
      <c r="F96" s="2880">
        <v>-3</v>
      </c>
      <c r="G96" s="2880">
        <v>-10</v>
      </c>
      <c r="H96" s="2881">
        <f>D96-F96+G96</f>
        <v>-11</v>
      </c>
      <c r="I96" s="2877"/>
      <c r="J96" s="2877"/>
      <c r="K96" s="2877"/>
      <c r="L96" s="2877"/>
      <c r="M96" s="2999"/>
    </row>
    <row r="97" spans="1:13" ht="4.5" hidden="1" customHeight="1" outlineLevel="1">
      <c r="A97" s="2879"/>
      <c r="B97" s="2882" t="s">
        <v>587</v>
      </c>
      <c r="C97" s="2882" t="s">
        <v>587</v>
      </c>
      <c r="D97" s="2882" t="s">
        <v>587</v>
      </c>
      <c r="E97" s="2882"/>
      <c r="F97" s="2882" t="s">
        <v>587</v>
      </c>
      <c r="G97" s="2882" t="s">
        <v>587</v>
      </c>
      <c r="H97" s="2882" t="s">
        <v>587</v>
      </c>
      <c r="I97" s="2882"/>
      <c r="J97" s="2882"/>
      <c r="K97" s="2882"/>
      <c r="L97" s="2882"/>
      <c r="M97" s="3000"/>
    </row>
    <row r="98" spans="1:13" hidden="1" outlineLevel="1">
      <c r="A98" s="2883" t="s">
        <v>2740</v>
      </c>
      <c r="B98" s="2877">
        <f t="shared" ref="B98:H98" si="19">SUM(B91:B96)</f>
        <v>289</v>
      </c>
      <c r="C98" s="2877">
        <f t="shared" si="19"/>
        <v>349</v>
      </c>
      <c r="D98" s="2877">
        <f t="shared" si="19"/>
        <v>356</v>
      </c>
      <c r="E98" s="2877"/>
      <c r="F98" s="2877">
        <f t="shared" si="19"/>
        <v>157</v>
      </c>
      <c r="G98" s="2877">
        <f t="shared" si="19"/>
        <v>190</v>
      </c>
      <c r="H98" s="2877">
        <f t="shared" si="19"/>
        <v>389</v>
      </c>
      <c r="I98" s="2877"/>
      <c r="J98" s="2877"/>
      <c r="K98" s="2877"/>
      <c r="L98" s="2877"/>
      <c r="M98" s="2999"/>
    </row>
    <row r="99" spans="1:13" hidden="1" outlineLevel="1">
      <c r="A99" s="2879" t="s">
        <v>2754</v>
      </c>
      <c r="B99" s="2880">
        <v>-7</v>
      </c>
      <c r="C99" s="2880">
        <v>-15</v>
      </c>
      <c r="D99" s="2880">
        <v>-13</v>
      </c>
      <c r="E99" s="2880"/>
      <c r="F99" s="2880">
        <v>-7</v>
      </c>
      <c r="G99" s="2880">
        <v>-6</v>
      </c>
      <c r="H99" s="2881">
        <f>D99-F99+G99</f>
        <v>-12</v>
      </c>
      <c r="I99" s="2880"/>
      <c r="J99" s="2880"/>
      <c r="K99" s="2880"/>
      <c r="L99" s="2880"/>
      <c r="M99" s="3002"/>
    </row>
    <row r="100" spans="1:13" hidden="1" outlineLevel="1">
      <c r="A100" s="2879" t="s">
        <v>2709</v>
      </c>
      <c r="B100" s="2880">
        <v>-48</v>
      </c>
      <c r="C100" s="2880">
        <v>-36</v>
      </c>
      <c r="D100" s="2880">
        <v>-29</v>
      </c>
      <c r="E100" s="2880"/>
      <c r="F100" s="2880">
        <v>-15</v>
      </c>
      <c r="G100" s="2880">
        <v>-13</v>
      </c>
      <c r="H100" s="2881">
        <f>D100-F100+G100</f>
        <v>-27</v>
      </c>
      <c r="I100" s="2880"/>
      <c r="J100" s="2880"/>
      <c r="K100" s="2880"/>
      <c r="L100" s="2880"/>
      <c r="M100" s="3002"/>
    </row>
    <row r="101" spans="1:13" hidden="1" outlineLevel="1">
      <c r="A101" s="2879" t="s">
        <v>1904</v>
      </c>
      <c r="B101" s="2884">
        <f>B36</f>
        <v>-90</v>
      </c>
      <c r="C101" s="2884">
        <f>C36</f>
        <v>-113</v>
      </c>
      <c r="D101" s="2884">
        <v>-118</v>
      </c>
      <c r="E101" s="2884"/>
      <c r="F101" s="2884">
        <f>F36</f>
        <v>-84</v>
      </c>
      <c r="G101" s="2884">
        <f>G36</f>
        <v>-98</v>
      </c>
      <c r="H101" s="2884">
        <f>H36</f>
        <v>-132</v>
      </c>
      <c r="I101" s="2884"/>
      <c r="J101" s="2884"/>
      <c r="K101" s="2884"/>
      <c r="L101" s="2884"/>
      <c r="M101" s="3001"/>
    </row>
    <row r="102" spans="1:13" hidden="1" outlineLevel="1">
      <c r="A102" s="2879" t="s">
        <v>2165</v>
      </c>
      <c r="B102" s="2880">
        <v>-16</v>
      </c>
      <c r="C102" s="2880">
        <v>-18</v>
      </c>
      <c r="D102" s="2880">
        <v>-22</v>
      </c>
      <c r="E102" s="2880"/>
      <c r="F102" s="2880">
        <v>-11</v>
      </c>
      <c r="G102" s="2880">
        <v>-11</v>
      </c>
      <c r="H102" s="2881">
        <f>D102-F102+G102</f>
        <v>-22</v>
      </c>
      <c r="I102" s="2880"/>
      <c r="J102" s="2880"/>
      <c r="K102" s="2880"/>
      <c r="L102" s="2880"/>
      <c r="M102" s="3002"/>
    </row>
    <row r="103" spans="1:13" ht="4.5" hidden="1" customHeight="1" outlineLevel="1">
      <c r="A103" s="2879"/>
      <c r="B103" s="2882" t="s">
        <v>587</v>
      </c>
      <c r="C103" s="2882" t="s">
        <v>587</v>
      </c>
      <c r="D103" s="2882" t="s">
        <v>587</v>
      </c>
      <c r="E103" s="2882"/>
      <c r="F103" s="2882" t="s">
        <v>587</v>
      </c>
      <c r="G103" s="2882" t="s">
        <v>587</v>
      </c>
      <c r="H103" s="2882" t="s">
        <v>587</v>
      </c>
      <c r="I103" s="2882"/>
      <c r="J103" s="2882"/>
      <c r="K103" s="2882"/>
      <c r="L103" s="2882"/>
      <c r="M103" s="3000"/>
    </row>
    <row r="104" spans="1:13" hidden="1" outlineLevel="1">
      <c r="A104" s="2883" t="s">
        <v>396</v>
      </c>
      <c r="B104" s="2877">
        <f t="shared" ref="B104:H104" si="20">SUM(B98:B102)</f>
        <v>128</v>
      </c>
      <c r="C104" s="2877">
        <f t="shared" si="20"/>
        <v>167</v>
      </c>
      <c r="D104" s="2877">
        <f t="shared" si="20"/>
        <v>174</v>
      </c>
      <c r="E104" s="2877"/>
      <c r="F104" s="2877">
        <f t="shared" si="20"/>
        <v>40</v>
      </c>
      <c r="G104" s="2877">
        <f t="shared" si="20"/>
        <v>62</v>
      </c>
      <c r="H104" s="2877">
        <f t="shared" si="20"/>
        <v>196</v>
      </c>
      <c r="I104" s="2877"/>
      <c r="J104" s="2877"/>
      <c r="K104" s="2877"/>
      <c r="L104" s="2877"/>
      <c r="M104" s="2999"/>
    </row>
    <row r="105" spans="1:13" collapsed="1">
      <c r="A105" s="1774"/>
    </row>
    <row r="106" spans="1:13">
      <c r="A106" s="218" t="s">
        <v>842</v>
      </c>
      <c r="B106" s="3039">
        <v>2013</v>
      </c>
      <c r="C106" s="3039" t="s">
        <v>2625</v>
      </c>
      <c r="D106" s="3039" t="s">
        <v>2626</v>
      </c>
      <c r="E106" s="3039" t="s">
        <v>2834</v>
      </c>
      <c r="F106" s="3040" t="s">
        <v>2897</v>
      </c>
      <c r="G106" s="3040" t="s">
        <v>2896</v>
      </c>
      <c r="H106" s="3040" t="s">
        <v>2684</v>
      </c>
      <c r="I106" s="3039" t="s">
        <v>2902</v>
      </c>
      <c r="J106" s="3039" t="s">
        <v>43</v>
      </c>
      <c r="K106" s="3039" t="s">
        <v>44</v>
      </c>
      <c r="L106" s="3039" t="s">
        <v>1343</v>
      </c>
      <c r="M106" s="3041" t="s">
        <v>1813</v>
      </c>
    </row>
    <row r="107" spans="1:13">
      <c r="A107" s="2154" t="s">
        <v>396</v>
      </c>
      <c r="B107" s="2916">
        <f>B39</f>
        <v>128</v>
      </c>
      <c r="C107" s="2916">
        <f>C39</f>
        <v>167</v>
      </c>
      <c r="D107" s="2916">
        <f>D39</f>
        <v>174</v>
      </c>
      <c r="E107" s="2916"/>
      <c r="F107" s="2916">
        <f t="shared" ref="F107:M107" si="21">F39</f>
        <v>125</v>
      </c>
      <c r="G107" s="2916">
        <f t="shared" si="21"/>
        <v>130</v>
      </c>
      <c r="H107" s="2916">
        <f t="shared" si="21"/>
        <v>179</v>
      </c>
      <c r="I107" s="2916">
        <f t="shared" si="21"/>
        <v>171.14356913183286</v>
      </c>
      <c r="J107" s="2916">
        <f t="shared" si="21"/>
        <v>194.42802352572355</v>
      </c>
      <c r="K107" s="2916">
        <f t="shared" si="21"/>
        <v>208.24926535048246</v>
      </c>
      <c r="L107" s="2916">
        <f t="shared" si="21"/>
        <v>201.58034363432492</v>
      </c>
      <c r="M107" s="2919">
        <f t="shared" si="21"/>
        <v>161.86982328265285</v>
      </c>
    </row>
    <row r="108" spans="1:13">
      <c r="A108" s="1979" t="s">
        <v>2165</v>
      </c>
      <c r="B108" s="2807">
        <v>16</v>
      </c>
      <c r="C108" s="2807">
        <v>18</v>
      </c>
      <c r="D108" s="2807">
        <v>22</v>
      </c>
      <c r="E108" s="2807"/>
      <c r="F108" s="2807">
        <v>16</v>
      </c>
      <c r="G108" s="2807">
        <v>17</v>
      </c>
      <c r="H108" s="2906">
        <f t="shared" ref="H108:H124" si="22">D108-F108+G108</f>
        <v>23</v>
      </c>
      <c r="I108" s="2916">
        <f>+I23</f>
        <v>31.174999999999997</v>
      </c>
      <c r="J108" s="2916">
        <f>+J23</f>
        <v>31.798499999999997</v>
      </c>
      <c r="K108" s="2916">
        <f>+K23</f>
        <v>32.434469999999997</v>
      </c>
      <c r="L108" s="2916">
        <f>+L23</f>
        <v>33.0831594</v>
      </c>
      <c r="M108" s="2919">
        <f>+M23</f>
        <v>33.744822587999998</v>
      </c>
    </row>
    <row r="109" spans="1:13">
      <c r="A109" s="1979" t="s">
        <v>2653</v>
      </c>
      <c r="B109" s="2807">
        <v>4</v>
      </c>
      <c r="C109" s="2807">
        <v>7</v>
      </c>
      <c r="D109" s="2807">
        <v>5</v>
      </c>
      <c r="E109" s="2807"/>
      <c r="F109" s="2807">
        <v>4</v>
      </c>
      <c r="G109" s="2807">
        <v>3</v>
      </c>
      <c r="H109" s="2906">
        <f t="shared" si="22"/>
        <v>4</v>
      </c>
      <c r="I109" s="2953">
        <f t="shared" ref="I109:M110" si="23">H109</f>
        <v>4</v>
      </c>
      <c r="J109" s="2953">
        <f t="shared" si="23"/>
        <v>4</v>
      </c>
      <c r="K109" s="2953">
        <f t="shared" si="23"/>
        <v>4</v>
      </c>
      <c r="L109" s="2953">
        <f t="shared" si="23"/>
        <v>4</v>
      </c>
      <c r="M109" s="2955">
        <f t="shared" si="23"/>
        <v>4</v>
      </c>
    </row>
    <row r="110" spans="1:13">
      <c r="A110" s="1979" t="s">
        <v>2726</v>
      </c>
      <c r="B110" s="2807">
        <v>24</v>
      </c>
      <c r="C110" s="2807">
        <v>35</v>
      </c>
      <c r="D110" s="2807">
        <v>39</v>
      </c>
      <c r="E110" s="2807"/>
      <c r="F110" s="2807">
        <v>29</v>
      </c>
      <c r="G110" s="2807">
        <v>37</v>
      </c>
      <c r="H110" s="2906">
        <f t="shared" si="22"/>
        <v>47</v>
      </c>
      <c r="I110" s="2953">
        <f t="shared" si="23"/>
        <v>47</v>
      </c>
      <c r="J110" s="2953">
        <f t="shared" si="23"/>
        <v>47</v>
      </c>
      <c r="K110" s="2953">
        <f t="shared" si="23"/>
        <v>47</v>
      </c>
      <c r="L110" s="2953">
        <f t="shared" si="23"/>
        <v>47</v>
      </c>
      <c r="M110" s="2955">
        <f t="shared" si="23"/>
        <v>47</v>
      </c>
    </row>
    <row r="111" spans="1:13">
      <c r="A111" s="1979" t="s">
        <v>2753</v>
      </c>
      <c r="B111" s="2807">
        <v>-22</v>
      </c>
      <c r="C111" s="2807">
        <v>0</v>
      </c>
      <c r="D111" s="2807">
        <v>0</v>
      </c>
      <c r="E111" s="2807"/>
      <c r="F111" s="2807">
        <v>0</v>
      </c>
      <c r="G111" s="2807">
        <v>0</v>
      </c>
      <c r="H111" s="2906">
        <f t="shared" si="22"/>
        <v>0</v>
      </c>
      <c r="I111" s="2953">
        <v>0</v>
      </c>
      <c r="J111" s="2953">
        <v>0</v>
      </c>
      <c r="K111" s="2953">
        <v>0</v>
      </c>
      <c r="L111" s="2953">
        <v>0</v>
      </c>
      <c r="M111" s="2955">
        <v>0</v>
      </c>
    </row>
    <row r="112" spans="1:13">
      <c r="A112" s="1979" t="s">
        <v>2652</v>
      </c>
      <c r="B112" s="2807">
        <v>0</v>
      </c>
      <c r="C112" s="2807">
        <v>-5</v>
      </c>
      <c r="D112" s="2807">
        <v>0</v>
      </c>
      <c r="E112" s="2807"/>
      <c r="F112" s="2807">
        <v>0</v>
      </c>
      <c r="G112" s="2807">
        <v>1</v>
      </c>
      <c r="H112" s="2906">
        <f t="shared" si="22"/>
        <v>1</v>
      </c>
      <c r="I112" s="2953">
        <v>0</v>
      </c>
      <c r="J112" s="2953">
        <v>0</v>
      </c>
      <c r="K112" s="2953">
        <v>0</v>
      </c>
      <c r="L112" s="2953">
        <v>0</v>
      </c>
      <c r="M112" s="2955">
        <v>0</v>
      </c>
    </row>
    <row r="113" spans="1:13">
      <c r="A113" s="1979" t="s">
        <v>2639</v>
      </c>
      <c r="B113" s="2807">
        <v>5</v>
      </c>
      <c r="C113" s="2807">
        <v>2</v>
      </c>
      <c r="D113" s="2807">
        <v>0</v>
      </c>
      <c r="E113" s="2807"/>
      <c r="F113" s="2807">
        <v>0</v>
      </c>
      <c r="G113" s="2807">
        <v>-2</v>
      </c>
      <c r="H113" s="2906">
        <f t="shared" si="22"/>
        <v>-2</v>
      </c>
      <c r="I113" s="2953">
        <v>0</v>
      </c>
      <c r="J113" s="2953">
        <v>0</v>
      </c>
      <c r="K113" s="2953">
        <v>0</v>
      </c>
      <c r="L113" s="2953">
        <v>0</v>
      </c>
      <c r="M113" s="2955">
        <v>0</v>
      </c>
    </row>
    <row r="114" spans="1:13">
      <c r="A114" s="1979" t="s">
        <v>2655</v>
      </c>
      <c r="B114" s="2807">
        <v>33</v>
      </c>
      <c r="C114" s="2807">
        <v>37</v>
      </c>
      <c r="D114" s="2807">
        <v>20</v>
      </c>
      <c r="E114" s="2807"/>
      <c r="F114" s="2807">
        <v>-3</v>
      </c>
      <c r="G114" s="2807">
        <v>12</v>
      </c>
      <c r="H114" s="2906">
        <f t="shared" si="22"/>
        <v>35</v>
      </c>
      <c r="I114" s="2807">
        <v>0</v>
      </c>
      <c r="J114" s="2807">
        <v>0</v>
      </c>
      <c r="K114" s="2807">
        <v>0</v>
      </c>
      <c r="L114" s="2807">
        <v>0</v>
      </c>
      <c r="M114" s="2808">
        <v>0</v>
      </c>
    </row>
    <row r="115" spans="1:13">
      <c r="A115" s="1979" t="s">
        <v>2685</v>
      </c>
      <c r="B115" s="2807">
        <v>19</v>
      </c>
      <c r="C115" s="2807">
        <v>3</v>
      </c>
      <c r="D115" s="2807">
        <v>-21</v>
      </c>
      <c r="E115" s="2807"/>
      <c r="F115" s="2807">
        <v>-30</v>
      </c>
      <c r="G115" s="2807">
        <v>-17</v>
      </c>
      <c r="H115" s="2906">
        <f t="shared" si="22"/>
        <v>-8</v>
      </c>
      <c r="I115" s="2807">
        <v>0</v>
      </c>
      <c r="J115" s="2807">
        <v>0</v>
      </c>
      <c r="K115" s="2807">
        <v>0</v>
      </c>
      <c r="L115" s="2807">
        <v>0</v>
      </c>
      <c r="M115" s="2808">
        <v>0</v>
      </c>
    </row>
    <row r="116" spans="1:13">
      <c r="A116" s="1979" t="s">
        <v>2673</v>
      </c>
      <c r="B116" s="2807">
        <v>-35</v>
      </c>
      <c r="C116" s="2807">
        <v>-17</v>
      </c>
      <c r="D116" s="2807">
        <v>-6</v>
      </c>
      <c r="E116" s="2807"/>
      <c r="F116" s="2807">
        <v>-7</v>
      </c>
      <c r="G116" s="2807">
        <v>-28</v>
      </c>
      <c r="H116" s="2906">
        <f t="shared" si="22"/>
        <v>-27</v>
      </c>
      <c r="I116" s="2953">
        <f t="shared" ref="I116:M117" si="24">H116</f>
        <v>-27</v>
      </c>
      <c r="J116" s="2953">
        <f t="shared" si="24"/>
        <v>-27</v>
      </c>
      <c r="K116" s="2953">
        <f t="shared" si="24"/>
        <v>-27</v>
      </c>
      <c r="L116" s="2953">
        <f t="shared" si="24"/>
        <v>-27</v>
      </c>
      <c r="M116" s="2955">
        <f t="shared" si="24"/>
        <v>-27</v>
      </c>
    </row>
    <row r="117" spans="1:13">
      <c r="A117" s="1979" t="s">
        <v>2727</v>
      </c>
      <c r="B117" s="2807">
        <v>-38</v>
      </c>
      <c r="C117" s="2807">
        <v>-61</v>
      </c>
      <c r="D117" s="2807">
        <v>-88</v>
      </c>
      <c r="E117" s="2807"/>
      <c r="F117" s="2807">
        <v>-54</v>
      </c>
      <c r="G117" s="2807">
        <v>-52</v>
      </c>
      <c r="H117" s="2906">
        <f t="shared" si="22"/>
        <v>-86</v>
      </c>
      <c r="I117" s="2953">
        <f t="shared" si="24"/>
        <v>-86</v>
      </c>
      <c r="J117" s="2953">
        <f>+H117</f>
        <v>-86</v>
      </c>
      <c r="K117" s="2953">
        <f>+I117</f>
        <v>-86</v>
      </c>
      <c r="L117" s="2953">
        <f t="shared" si="24"/>
        <v>-86</v>
      </c>
      <c r="M117" s="2955">
        <f t="shared" si="24"/>
        <v>-86</v>
      </c>
    </row>
    <row r="118" spans="1:13">
      <c r="A118" s="1979" t="s">
        <v>2713</v>
      </c>
      <c r="B118" s="2807">
        <v>17</v>
      </c>
      <c r="C118" s="2807">
        <v>51</v>
      </c>
      <c r="D118" s="2807">
        <v>-38</v>
      </c>
      <c r="E118" s="2807"/>
      <c r="F118" s="2807">
        <v>-30</v>
      </c>
      <c r="G118" s="2807">
        <v>-10</v>
      </c>
      <c r="H118" s="2906">
        <f t="shared" si="22"/>
        <v>-18</v>
      </c>
      <c r="I118" s="2807">
        <v>0</v>
      </c>
      <c r="J118" s="2807">
        <v>0</v>
      </c>
      <c r="K118" s="2807">
        <v>0</v>
      </c>
      <c r="L118" s="2807">
        <v>0</v>
      </c>
      <c r="M118" s="2808">
        <v>0</v>
      </c>
    </row>
    <row r="119" spans="1:13">
      <c r="A119" s="1979" t="s">
        <v>2728</v>
      </c>
      <c r="B119" s="2807">
        <v>0</v>
      </c>
      <c r="C119" s="2807">
        <v>-22</v>
      </c>
      <c r="D119" s="2807">
        <v>0</v>
      </c>
      <c r="E119" s="2807"/>
      <c r="F119" s="2807">
        <v>0</v>
      </c>
      <c r="G119" s="2807">
        <v>0</v>
      </c>
      <c r="H119" s="2906">
        <f t="shared" si="22"/>
        <v>0</v>
      </c>
      <c r="I119" s="2807">
        <v>0</v>
      </c>
      <c r="J119" s="2807">
        <v>0</v>
      </c>
      <c r="K119" s="2807">
        <v>0</v>
      </c>
      <c r="L119" s="2807">
        <v>0</v>
      </c>
      <c r="M119" s="2808">
        <v>0</v>
      </c>
    </row>
    <row r="120" spans="1:13">
      <c r="A120" s="1979" t="s">
        <v>2674</v>
      </c>
      <c r="B120" s="2807">
        <v>2</v>
      </c>
      <c r="C120" s="2807">
        <v>-6</v>
      </c>
      <c r="D120" s="2807">
        <v>2</v>
      </c>
      <c r="E120" s="2807"/>
      <c r="F120" s="2807">
        <v>-3</v>
      </c>
      <c r="G120" s="2807">
        <v>-7</v>
      </c>
      <c r="H120" s="2906">
        <f t="shared" si="22"/>
        <v>-2</v>
      </c>
      <c r="I120" s="2807">
        <v>0</v>
      </c>
      <c r="J120" s="2807">
        <v>0</v>
      </c>
      <c r="K120" s="2807">
        <v>0</v>
      </c>
      <c r="L120" s="2807">
        <v>0</v>
      </c>
      <c r="M120" s="2808">
        <v>0</v>
      </c>
    </row>
    <row r="121" spans="1:13">
      <c r="A121" s="1979" t="s">
        <v>2729</v>
      </c>
      <c r="B121" s="2807">
        <v>22</v>
      </c>
      <c r="C121" s="2807">
        <v>-6</v>
      </c>
      <c r="D121" s="2807">
        <v>18</v>
      </c>
      <c r="E121" s="2807"/>
      <c r="F121" s="2807">
        <v>13</v>
      </c>
      <c r="G121" s="2807">
        <v>17</v>
      </c>
      <c r="H121" s="2906">
        <f t="shared" si="22"/>
        <v>22</v>
      </c>
      <c r="I121" s="2953">
        <f>H121</f>
        <v>22</v>
      </c>
      <c r="J121" s="2953">
        <f>I121</f>
        <v>22</v>
      </c>
      <c r="K121" s="2953">
        <f>J121</f>
        <v>22</v>
      </c>
      <c r="L121" s="2953">
        <f>K121</f>
        <v>22</v>
      </c>
      <c r="M121" s="2955">
        <f>L121</f>
        <v>22</v>
      </c>
    </row>
    <row r="122" spans="1:13">
      <c r="A122" s="1979" t="s">
        <v>2717</v>
      </c>
      <c r="B122" s="2807">
        <v>19</v>
      </c>
      <c r="C122" s="2807">
        <v>6</v>
      </c>
      <c r="D122" s="2807">
        <v>-1</v>
      </c>
      <c r="E122" s="2807"/>
      <c r="F122" s="2807">
        <v>0</v>
      </c>
      <c r="G122" s="2807">
        <v>6</v>
      </c>
      <c r="H122" s="2906">
        <f t="shared" si="22"/>
        <v>5</v>
      </c>
      <c r="I122" s="2807">
        <v>0</v>
      </c>
      <c r="J122" s="2807">
        <v>0</v>
      </c>
      <c r="K122" s="2807">
        <v>0</v>
      </c>
      <c r="L122" s="2807">
        <v>0</v>
      </c>
      <c r="M122" s="2808">
        <v>0</v>
      </c>
    </row>
    <row r="123" spans="1:13">
      <c r="A123" s="1979" t="s">
        <v>2719</v>
      </c>
      <c r="B123" s="2807">
        <v>-11</v>
      </c>
      <c r="C123" s="2807">
        <v>-12</v>
      </c>
      <c r="D123" s="2807">
        <v>3</v>
      </c>
      <c r="E123" s="2807"/>
      <c r="F123" s="2807">
        <v>22</v>
      </c>
      <c r="G123" s="2807">
        <v>10</v>
      </c>
      <c r="H123" s="2906">
        <f t="shared" si="22"/>
        <v>-9</v>
      </c>
      <c r="I123" s="2807">
        <v>0</v>
      </c>
      <c r="J123" s="2807">
        <v>0</v>
      </c>
      <c r="K123" s="2807">
        <v>0</v>
      </c>
      <c r="L123" s="2807">
        <v>0</v>
      </c>
      <c r="M123" s="2808">
        <v>0</v>
      </c>
    </row>
    <row r="124" spans="1:13">
      <c r="A124" s="1979" t="s">
        <v>395</v>
      </c>
      <c r="B124" s="2920">
        <v>13</v>
      </c>
      <c r="C124" s="2807">
        <v>16</v>
      </c>
      <c r="D124" s="2807">
        <v>2</v>
      </c>
      <c r="E124" s="2807"/>
      <c r="F124" s="2807">
        <v>0</v>
      </c>
      <c r="G124" s="2807">
        <v>-1</v>
      </c>
      <c r="H124" s="2906">
        <f t="shared" si="22"/>
        <v>1</v>
      </c>
      <c r="I124" s="2929">
        <f>-I73-SUM(I107:I123,I132,I144,D149)</f>
        <v>107.49143086816719</v>
      </c>
      <c r="J124" s="2807">
        <v>0</v>
      </c>
      <c r="K124" s="2807">
        <v>0</v>
      </c>
      <c r="L124" s="2807">
        <v>0</v>
      </c>
      <c r="M124" s="2808">
        <v>0</v>
      </c>
    </row>
    <row r="125" spans="1:13" ht="4.5" customHeight="1">
      <c r="A125" s="1979"/>
      <c r="B125" s="2885" t="s">
        <v>587</v>
      </c>
      <c r="C125" s="2885" t="s">
        <v>587</v>
      </c>
      <c r="D125" s="2885" t="s">
        <v>587</v>
      </c>
      <c r="E125" s="2885"/>
      <c r="F125" s="2885" t="s">
        <v>587</v>
      </c>
      <c r="G125" s="2885" t="s">
        <v>587</v>
      </c>
      <c r="H125" s="2885" t="s">
        <v>587</v>
      </c>
      <c r="I125" s="2885" t="s">
        <v>587</v>
      </c>
      <c r="J125" s="2885" t="s">
        <v>587</v>
      </c>
      <c r="K125" s="2886" t="s">
        <v>587</v>
      </c>
      <c r="L125" s="2886" t="s">
        <v>587</v>
      </c>
      <c r="M125" s="2887" t="s">
        <v>587</v>
      </c>
    </row>
    <row r="126" spans="1:13">
      <c r="A126" s="505" t="s">
        <v>2656</v>
      </c>
      <c r="B126" s="1777">
        <f>SUM(B107:B125)</f>
        <v>196</v>
      </c>
      <c r="C126" s="1777">
        <f>SUM(C107:C125)</f>
        <v>213</v>
      </c>
      <c r="D126" s="1777">
        <f>SUM(D107:D125)</f>
        <v>131</v>
      </c>
      <c r="E126" s="1777"/>
      <c r="F126" s="1777">
        <f>SUM(F107:F125)</f>
        <v>82</v>
      </c>
      <c r="G126" s="1777">
        <f t="shared" ref="G126:L126" si="25">SUM(G107:G125)</f>
        <v>116</v>
      </c>
      <c r="H126" s="1777">
        <f t="shared" si="25"/>
        <v>165</v>
      </c>
      <c r="I126" s="1777">
        <f t="shared" si="25"/>
        <v>269.81000000000006</v>
      </c>
      <c r="J126" s="1777">
        <f t="shared" si="25"/>
        <v>186.22652352572356</v>
      </c>
      <c r="K126" s="1777">
        <f t="shared" si="25"/>
        <v>200.68373535048249</v>
      </c>
      <c r="L126" s="1777">
        <f t="shared" si="25"/>
        <v>194.66350303432489</v>
      </c>
      <c r="M126" s="1976">
        <f>SUM(M107:M125)</f>
        <v>155.61464587065285</v>
      </c>
    </row>
    <row r="127" spans="1:13">
      <c r="A127" s="1898"/>
      <c r="B127" s="1777"/>
      <c r="C127" s="1777"/>
      <c r="D127" s="1777"/>
      <c r="E127" s="1777"/>
      <c r="F127" s="1777"/>
      <c r="G127" s="1777"/>
      <c r="H127" s="1777"/>
      <c r="I127" s="1777"/>
      <c r="J127" s="1777"/>
      <c r="K127" s="1777"/>
      <c r="L127" s="1777"/>
      <c r="M127" s="1976"/>
    </row>
    <row r="128" spans="1:13">
      <c r="A128" s="1979" t="s">
        <v>2730</v>
      </c>
      <c r="B128" s="2807">
        <v>-9</v>
      </c>
      <c r="C128" s="2807">
        <v>-12</v>
      </c>
      <c r="D128" s="2807">
        <v>-12</v>
      </c>
      <c r="E128" s="2807"/>
      <c r="F128" s="2807">
        <v>-10</v>
      </c>
      <c r="G128" s="2807">
        <v>-16</v>
      </c>
      <c r="H128" s="2906">
        <f>D128-F128+G128</f>
        <v>-18</v>
      </c>
      <c r="I128" s="2953">
        <f t="shared" ref="I128:M130" si="26">H128</f>
        <v>-18</v>
      </c>
      <c r="J128" s="2807">
        <v>-35</v>
      </c>
      <c r="K128" s="2953">
        <f t="shared" si="26"/>
        <v>-35</v>
      </c>
      <c r="L128" s="2953">
        <f t="shared" si="26"/>
        <v>-35</v>
      </c>
      <c r="M128" s="2955">
        <f t="shared" si="26"/>
        <v>-35</v>
      </c>
    </row>
    <row r="129" spans="1:13">
      <c r="A129" s="1979" t="s">
        <v>2661</v>
      </c>
      <c r="B129" s="2807">
        <v>0</v>
      </c>
      <c r="C129" s="2807">
        <v>6</v>
      </c>
      <c r="D129" s="2807">
        <v>0</v>
      </c>
      <c r="E129" s="2807"/>
      <c r="F129" s="2807">
        <v>0</v>
      </c>
      <c r="G129" s="2807">
        <v>0</v>
      </c>
      <c r="H129" s="2906">
        <f>D129-F129+G129</f>
        <v>0</v>
      </c>
      <c r="I129" s="2953">
        <f t="shared" si="26"/>
        <v>0</v>
      </c>
      <c r="J129" s="2953">
        <f t="shared" si="26"/>
        <v>0</v>
      </c>
      <c r="K129" s="2953">
        <f t="shared" si="26"/>
        <v>0</v>
      </c>
      <c r="L129" s="2953">
        <f t="shared" si="26"/>
        <v>0</v>
      </c>
      <c r="M129" s="2955">
        <f t="shared" si="26"/>
        <v>0</v>
      </c>
    </row>
    <row r="130" spans="1:13">
      <c r="A130" s="1979" t="s">
        <v>2731</v>
      </c>
      <c r="B130" s="2807">
        <v>-8</v>
      </c>
      <c r="C130" s="2807">
        <v>-5</v>
      </c>
      <c r="D130" s="2807">
        <v>-6</v>
      </c>
      <c r="E130" s="2807"/>
      <c r="F130" s="2807">
        <v>-3</v>
      </c>
      <c r="G130" s="2807">
        <v>-5</v>
      </c>
      <c r="H130" s="2906">
        <f>D130-F130+G130</f>
        <v>-8</v>
      </c>
      <c r="I130" s="2953">
        <f t="shared" si="26"/>
        <v>-8</v>
      </c>
      <c r="J130" s="2953">
        <f t="shared" si="26"/>
        <v>-8</v>
      </c>
      <c r="K130" s="2953">
        <f t="shared" si="26"/>
        <v>-8</v>
      </c>
      <c r="L130" s="2953">
        <f t="shared" si="26"/>
        <v>-8</v>
      </c>
      <c r="M130" s="2955">
        <f t="shared" si="26"/>
        <v>-8</v>
      </c>
    </row>
    <row r="131" spans="1:13" ht="4.5" customHeight="1">
      <c r="A131" s="1979"/>
      <c r="B131" s="2885" t="s">
        <v>587</v>
      </c>
      <c r="C131" s="2885" t="s">
        <v>587</v>
      </c>
      <c r="D131" s="2885" t="s">
        <v>587</v>
      </c>
      <c r="E131" s="2885"/>
      <c r="F131" s="2885" t="s">
        <v>587</v>
      </c>
      <c r="G131" s="2885" t="s">
        <v>587</v>
      </c>
      <c r="H131" s="2885" t="s">
        <v>587</v>
      </c>
      <c r="I131" s="2885" t="s">
        <v>587</v>
      </c>
      <c r="J131" s="2885" t="s">
        <v>587</v>
      </c>
      <c r="K131" s="2886" t="s">
        <v>587</v>
      </c>
      <c r="L131" s="2886" t="s">
        <v>587</v>
      </c>
      <c r="M131" s="2887" t="s">
        <v>587</v>
      </c>
    </row>
    <row r="132" spans="1:13">
      <c r="A132" s="505" t="s">
        <v>2662</v>
      </c>
      <c r="B132" s="1777">
        <f>SUM(B128:B131)</f>
        <v>-17</v>
      </c>
      <c r="C132" s="1777">
        <f>SUM(C128:C131)</f>
        <v>-11</v>
      </c>
      <c r="D132" s="1777">
        <f>SUM(D128:D131)</f>
        <v>-18</v>
      </c>
      <c r="E132" s="1777"/>
      <c r="F132" s="1777">
        <f>SUM(F128:F131)</f>
        <v>-13</v>
      </c>
      <c r="G132" s="1777">
        <f t="shared" ref="G132:L132" si="27">SUM(G128:G131)</f>
        <v>-21</v>
      </c>
      <c r="H132" s="1777">
        <f t="shared" si="27"/>
        <v>-26</v>
      </c>
      <c r="I132" s="1777">
        <f t="shared" si="27"/>
        <v>-26</v>
      </c>
      <c r="J132" s="1777">
        <f t="shared" si="27"/>
        <v>-43</v>
      </c>
      <c r="K132" s="1777">
        <f t="shared" si="27"/>
        <v>-43</v>
      </c>
      <c r="L132" s="1777">
        <f t="shared" si="27"/>
        <v>-43</v>
      </c>
      <c r="M132" s="1976">
        <f>SUM(M128:M131)</f>
        <v>-43</v>
      </c>
    </row>
    <row r="133" spans="1:13">
      <c r="A133" s="1898"/>
      <c r="B133" s="1777"/>
      <c r="C133" s="1777"/>
      <c r="D133" s="1777"/>
      <c r="E133" s="1777"/>
      <c r="F133" s="1777"/>
      <c r="G133" s="1777"/>
      <c r="H133" s="1777"/>
      <c r="I133" s="1777"/>
      <c r="J133" s="1777"/>
      <c r="K133" s="1777"/>
      <c r="L133" s="1777"/>
      <c r="M133" s="1976"/>
    </row>
    <row r="134" spans="1:13">
      <c r="A134" s="1979" t="s">
        <v>2749</v>
      </c>
      <c r="B134" s="2807">
        <v>950</v>
      </c>
      <c r="C134" s="2807">
        <v>350</v>
      </c>
      <c r="D134" s="2807">
        <v>0</v>
      </c>
      <c r="E134" s="2807"/>
      <c r="F134" s="2807">
        <v>0</v>
      </c>
      <c r="G134" s="2807">
        <v>0</v>
      </c>
      <c r="H134" s="2906">
        <f t="shared" ref="H134:I142" si="28">D134-F134+G134</f>
        <v>0</v>
      </c>
      <c r="I134" s="2916">
        <f t="shared" ref="I134:I141" si="29">+G134</f>
        <v>0</v>
      </c>
      <c r="J134" s="2807">
        <f>450-300</f>
        <v>150</v>
      </c>
      <c r="K134" s="2807">
        <v>0</v>
      </c>
      <c r="L134" s="2807">
        <v>0</v>
      </c>
      <c r="M134" s="2808">
        <v>0</v>
      </c>
    </row>
    <row r="135" spans="1:13">
      <c r="A135" s="1979" t="s">
        <v>2732</v>
      </c>
      <c r="B135" s="2807">
        <v>-278</v>
      </c>
      <c r="C135" s="2807">
        <v>-391</v>
      </c>
      <c r="D135" s="2807">
        <v>-125</v>
      </c>
      <c r="E135" s="2807"/>
      <c r="F135" s="2807">
        <v>-97</v>
      </c>
      <c r="G135" s="2807">
        <v>-85</v>
      </c>
      <c r="H135" s="2906">
        <f t="shared" si="28"/>
        <v>-113</v>
      </c>
      <c r="I135" s="2916">
        <f t="shared" si="29"/>
        <v>-85</v>
      </c>
      <c r="J135" s="2953">
        <f>+I135</f>
        <v>-85</v>
      </c>
      <c r="K135" s="2953">
        <f>+J135</f>
        <v>-85</v>
      </c>
      <c r="L135" s="2953">
        <f>+K135</f>
        <v>-85</v>
      </c>
      <c r="M135" s="2955">
        <f>+L135</f>
        <v>-85</v>
      </c>
    </row>
    <row r="136" spans="1:13">
      <c r="A136" s="1979" t="s">
        <v>2969</v>
      </c>
      <c r="B136" s="2807"/>
      <c r="C136" s="2807"/>
      <c r="D136" s="2807"/>
      <c r="E136" s="2807"/>
      <c r="F136" s="2807"/>
      <c r="G136" s="2807"/>
      <c r="H136" s="2906"/>
      <c r="I136" s="2916"/>
      <c r="J136" s="2807">
        <v>0</v>
      </c>
      <c r="K136" s="2807">
        <v>0</v>
      </c>
      <c r="L136" s="2807">
        <v>0</v>
      </c>
      <c r="M136" s="2808">
        <v>0</v>
      </c>
    </row>
    <row r="137" spans="1:13">
      <c r="A137" s="1979" t="s">
        <v>2681</v>
      </c>
      <c r="B137" s="2807">
        <v>-6</v>
      </c>
      <c r="C137" s="2807">
        <v>-6</v>
      </c>
      <c r="D137" s="2807">
        <v>0</v>
      </c>
      <c r="E137" s="2807"/>
      <c r="F137" s="2807">
        <v>0</v>
      </c>
      <c r="G137" s="2807">
        <v>-6</v>
      </c>
      <c r="H137" s="2906">
        <f t="shared" si="28"/>
        <v>-6</v>
      </c>
      <c r="I137" s="2916">
        <f t="shared" si="29"/>
        <v>-6</v>
      </c>
      <c r="J137" s="2807">
        <v>0</v>
      </c>
      <c r="K137" s="2807">
        <v>0</v>
      </c>
      <c r="L137" s="2807">
        <v>0</v>
      </c>
      <c r="M137" s="2808">
        <v>0</v>
      </c>
    </row>
    <row r="138" spans="1:13">
      <c r="A138" s="1979" t="s">
        <v>2665</v>
      </c>
      <c r="B138" s="2807">
        <v>-20</v>
      </c>
      <c r="C138" s="2807">
        <v>-4</v>
      </c>
      <c r="D138" s="2807">
        <v>8</v>
      </c>
      <c r="E138" s="2807"/>
      <c r="F138" s="2807">
        <v>6</v>
      </c>
      <c r="G138" s="2807">
        <v>2</v>
      </c>
      <c r="H138" s="2906">
        <f t="shared" si="28"/>
        <v>4</v>
      </c>
      <c r="I138" s="2916">
        <f t="shared" si="29"/>
        <v>2</v>
      </c>
      <c r="J138" s="2807">
        <v>0</v>
      </c>
      <c r="K138" s="2807">
        <v>0</v>
      </c>
      <c r="L138" s="2807">
        <v>0</v>
      </c>
      <c r="M138" s="2808">
        <v>0</v>
      </c>
    </row>
    <row r="139" spans="1:13">
      <c r="A139" s="1979" t="s">
        <v>2733</v>
      </c>
      <c r="B139" s="2807">
        <v>-667</v>
      </c>
      <c r="C139" s="2807">
        <v>-112</v>
      </c>
      <c r="D139" s="2807">
        <v>-87</v>
      </c>
      <c r="E139" s="2807"/>
      <c r="F139" s="2807">
        <v>-76</v>
      </c>
      <c r="G139" s="2807">
        <v>111</v>
      </c>
      <c r="H139" s="2906">
        <f t="shared" si="28"/>
        <v>100</v>
      </c>
      <c r="I139" s="2916">
        <f t="shared" si="29"/>
        <v>111</v>
      </c>
      <c r="J139" s="2807">
        <v>0</v>
      </c>
      <c r="K139" s="2807">
        <v>0</v>
      </c>
      <c r="L139" s="2807">
        <v>0</v>
      </c>
      <c r="M139" s="2808">
        <v>0</v>
      </c>
    </row>
    <row r="140" spans="1:13">
      <c r="A140" s="1979" t="s">
        <v>2734</v>
      </c>
      <c r="B140" s="2807">
        <v>-157</v>
      </c>
      <c r="C140" s="2807">
        <v>-39</v>
      </c>
      <c r="D140" s="2807">
        <v>95</v>
      </c>
      <c r="E140" s="2807"/>
      <c r="F140" s="2807">
        <v>98</v>
      </c>
      <c r="G140" s="2807">
        <v>-114</v>
      </c>
      <c r="H140" s="2906">
        <f t="shared" si="28"/>
        <v>-117</v>
      </c>
      <c r="I140" s="2916">
        <f t="shared" si="29"/>
        <v>-114</v>
      </c>
      <c r="J140" s="2807">
        <v>0</v>
      </c>
      <c r="K140" s="2807">
        <v>0</v>
      </c>
      <c r="L140" s="2807">
        <v>0</v>
      </c>
      <c r="M140" s="2808">
        <v>0</v>
      </c>
    </row>
    <row r="141" spans="1:13">
      <c r="A141" s="1979" t="s">
        <v>2750</v>
      </c>
      <c r="B141" s="2807">
        <v>0</v>
      </c>
      <c r="C141" s="2807">
        <v>0</v>
      </c>
      <c r="D141" s="2807">
        <v>-2</v>
      </c>
      <c r="E141" s="2807"/>
      <c r="F141" s="2807"/>
      <c r="G141" s="2807"/>
      <c r="H141" s="2906">
        <f t="shared" si="28"/>
        <v>-2</v>
      </c>
      <c r="I141" s="2916">
        <f t="shared" si="29"/>
        <v>0</v>
      </c>
      <c r="J141" s="2807">
        <v>0</v>
      </c>
      <c r="K141" s="2807">
        <v>0</v>
      </c>
      <c r="L141" s="2807">
        <v>0</v>
      </c>
      <c r="M141" s="2808">
        <v>0</v>
      </c>
    </row>
    <row r="142" spans="1:13">
      <c r="A142" s="1979" t="s">
        <v>2930</v>
      </c>
      <c r="B142" s="2807">
        <v>0</v>
      </c>
      <c r="C142" s="2807">
        <v>0</v>
      </c>
      <c r="D142" s="2807">
        <v>0</v>
      </c>
      <c r="E142" s="2807"/>
      <c r="F142" s="2807">
        <v>0</v>
      </c>
      <c r="G142" s="2807">
        <v>0</v>
      </c>
      <c r="H142" s="2906">
        <f t="shared" si="28"/>
        <v>0</v>
      </c>
      <c r="I142" s="2906">
        <f t="shared" si="28"/>
        <v>0</v>
      </c>
      <c r="J142" s="2953">
        <f>I142</f>
        <v>0</v>
      </c>
      <c r="K142" s="2953">
        <f>J142</f>
        <v>0</v>
      </c>
      <c r="L142" s="2953">
        <f>K142</f>
        <v>0</v>
      </c>
      <c r="M142" s="2955">
        <f>L142</f>
        <v>0</v>
      </c>
    </row>
    <row r="143" spans="1:13" ht="4.5" customHeight="1">
      <c r="A143" s="1979"/>
      <c r="B143" s="2885" t="s">
        <v>587</v>
      </c>
      <c r="C143" s="2885" t="s">
        <v>587</v>
      </c>
      <c r="D143" s="2885" t="s">
        <v>587</v>
      </c>
      <c r="E143" s="2885"/>
      <c r="F143" s="2885" t="s">
        <v>587</v>
      </c>
      <c r="G143" s="2885" t="s">
        <v>587</v>
      </c>
      <c r="H143" s="2885" t="s">
        <v>587</v>
      </c>
      <c r="I143" s="2885" t="s">
        <v>587</v>
      </c>
      <c r="J143" s="2885" t="s">
        <v>587</v>
      </c>
      <c r="K143" s="2886" t="s">
        <v>587</v>
      </c>
      <c r="L143" s="2886" t="s">
        <v>587</v>
      </c>
      <c r="M143" s="2887" t="s">
        <v>587</v>
      </c>
    </row>
    <row r="144" spans="1:13">
      <c r="A144" s="505" t="s">
        <v>2668</v>
      </c>
      <c r="B144" s="1777">
        <f>SUM(B134:B143)</f>
        <v>-178</v>
      </c>
      <c r="C144" s="1777">
        <f t="shared" ref="C144:L144" si="30">SUM(C134:C143)</f>
        <v>-202</v>
      </c>
      <c r="D144" s="1777">
        <f t="shared" si="30"/>
        <v>-111</v>
      </c>
      <c r="E144" s="1777"/>
      <c r="F144" s="1777">
        <f t="shared" si="30"/>
        <v>-69</v>
      </c>
      <c r="G144" s="1777">
        <f t="shared" si="30"/>
        <v>-92</v>
      </c>
      <c r="H144" s="1777">
        <f t="shared" si="30"/>
        <v>-134</v>
      </c>
      <c r="I144" s="1777">
        <f t="shared" si="30"/>
        <v>-92</v>
      </c>
      <c r="J144" s="1777">
        <f t="shared" si="30"/>
        <v>65</v>
      </c>
      <c r="K144" s="1777">
        <f t="shared" si="30"/>
        <v>-85</v>
      </c>
      <c r="L144" s="1777">
        <f t="shared" si="30"/>
        <v>-85</v>
      </c>
      <c r="M144" s="1976">
        <f>SUM(M134:M143)</f>
        <v>-85</v>
      </c>
    </row>
    <row r="145" spans="1:13">
      <c r="A145" s="1898"/>
      <c r="B145" s="1777"/>
      <c r="C145" s="1777"/>
      <c r="D145" s="1777"/>
      <c r="E145" s="1777"/>
      <c r="F145" s="1777"/>
      <c r="G145" s="1777"/>
      <c r="H145" s="1777"/>
      <c r="I145" s="1777"/>
      <c r="J145" s="1777"/>
      <c r="K145" s="1777"/>
      <c r="L145" s="1777"/>
      <c r="M145" s="1976"/>
    </row>
    <row r="146" spans="1:13">
      <c r="A146" s="505" t="s">
        <v>2735</v>
      </c>
      <c r="B146" s="2888">
        <v>1</v>
      </c>
      <c r="C146" s="2888">
        <v>0</v>
      </c>
      <c r="D146" s="2888">
        <v>2</v>
      </c>
      <c r="E146" s="2888"/>
      <c r="F146" s="2888">
        <v>3</v>
      </c>
      <c r="G146" s="2888">
        <v>0</v>
      </c>
      <c r="H146" s="2906"/>
      <c r="I146" s="2916">
        <f>+I126+I132+I144</f>
        <v>151.81000000000006</v>
      </c>
      <c r="J146" s="2916">
        <f>+J126+J132+J144</f>
        <v>208.22652352572356</v>
      </c>
      <c r="K146" s="2916">
        <f>+K126+K132+K144</f>
        <v>72.683735350482493</v>
      </c>
      <c r="L146" s="2916">
        <f>+L126+L132+L144</f>
        <v>66.66350303432489</v>
      </c>
      <c r="M146" s="2919">
        <f>+M126+M132+M144</f>
        <v>27.614645870652851</v>
      </c>
    </row>
    <row r="147" spans="1:13">
      <c r="A147" s="505" t="s">
        <v>2671</v>
      </c>
      <c r="B147" s="1777">
        <v>1</v>
      </c>
      <c r="C147" s="1777">
        <v>2</v>
      </c>
      <c r="D147" s="1777">
        <v>2</v>
      </c>
      <c r="E147" s="1777"/>
      <c r="F147" s="2888">
        <v>4</v>
      </c>
      <c r="G147" s="2888">
        <v>2</v>
      </c>
      <c r="H147" s="2906"/>
      <c r="I147" s="2916">
        <f>+D149</f>
        <v>4</v>
      </c>
      <c r="J147" s="2916">
        <f>+I149</f>
        <v>155.81000000000006</v>
      </c>
      <c r="K147" s="2916">
        <f>+J149</f>
        <v>364.03652352572362</v>
      </c>
      <c r="L147" s="2916">
        <f>+K149</f>
        <v>436.72025887620612</v>
      </c>
      <c r="M147" s="2919">
        <f>+L149</f>
        <v>503.38376191053101</v>
      </c>
    </row>
    <row r="148" spans="1:13" ht="4.5" customHeight="1">
      <c r="A148" s="1979"/>
      <c r="B148" s="2885" t="s">
        <v>587</v>
      </c>
      <c r="C148" s="2885" t="s">
        <v>587</v>
      </c>
      <c r="D148" s="2885" t="s">
        <v>587</v>
      </c>
      <c r="E148" s="2885"/>
      <c r="F148" s="2885" t="s">
        <v>587</v>
      </c>
      <c r="G148" s="2885" t="s">
        <v>587</v>
      </c>
      <c r="H148" s="2885"/>
      <c r="I148" s="2885" t="s">
        <v>587</v>
      </c>
      <c r="J148" s="2885" t="s">
        <v>587</v>
      </c>
      <c r="K148" s="2886" t="s">
        <v>587</v>
      </c>
      <c r="L148" s="2886" t="s">
        <v>587</v>
      </c>
      <c r="M148" s="2887" t="s">
        <v>587</v>
      </c>
    </row>
    <row r="149" spans="1:13">
      <c r="A149" s="505" t="s">
        <v>2672</v>
      </c>
      <c r="B149" s="1777">
        <f>SUM(B146:B148)</f>
        <v>2</v>
      </c>
      <c r="C149" s="1777">
        <f>SUM(C146:C148)</f>
        <v>2</v>
      </c>
      <c r="D149" s="1777">
        <f>SUM(D146:D148)</f>
        <v>4</v>
      </c>
      <c r="E149" s="1777"/>
      <c r="F149" s="1777">
        <f>SUM(F146:F148)</f>
        <v>7</v>
      </c>
      <c r="G149" s="1777">
        <f t="shared" ref="G149:L149" si="31">SUM(G146:G148)</f>
        <v>2</v>
      </c>
      <c r="H149" s="1777"/>
      <c r="I149" s="1777">
        <f t="shared" si="31"/>
        <v>155.81000000000006</v>
      </c>
      <c r="J149" s="1777">
        <f t="shared" si="31"/>
        <v>364.03652352572362</v>
      </c>
      <c r="K149" s="1777">
        <f t="shared" si="31"/>
        <v>436.72025887620612</v>
      </c>
      <c r="L149" s="1777">
        <f t="shared" si="31"/>
        <v>503.38376191053101</v>
      </c>
      <c r="M149" s="1976">
        <f>SUM(M146:M148)</f>
        <v>530.99840778118391</v>
      </c>
    </row>
    <row r="150" spans="1:13">
      <c r="A150" s="1972"/>
      <c r="B150" s="1735"/>
      <c r="C150" s="1735"/>
      <c r="D150" s="1735"/>
      <c r="E150" s="1735"/>
      <c r="F150" s="1735"/>
      <c r="G150" s="1735"/>
      <c r="H150" s="1735"/>
      <c r="I150" s="1735"/>
      <c r="J150" s="1735"/>
      <c r="K150" s="1735"/>
      <c r="L150" s="1735"/>
      <c r="M150" s="1973"/>
    </row>
    <row r="151" spans="1:13" hidden="1" outlineLevel="1">
      <c r="A151" s="505" t="s">
        <v>2736</v>
      </c>
      <c r="B151" s="1777"/>
      <c r="C151" s="1777"/>
      <c r="D151" s="1777"/>
      <c r="E151" s="1777"/>
      <c r="F151" s="1777"/>
      <c r="G151" s="1777"/>
      <c r="H151" s="1777"/>
      <c r="I151" s="1777"/>
      <c r="J151" s="1777"/>
      <c r="K151" s="1777"/>
      <c r="L151" s="1777"/>
      <c r="M151" s="1976"/>
    </row>
    <row r="152" spans="1:13" hidden="1" outlineLevel="1">
      <c r="A152" s="2981" t="s">
        <v>2751</v>
      </c>
      <c r="B152" s="2982"/>
      <c r="C152" s="2982"/>
      <c r="D152" s="2982"/>
      <c r="E152" s="2982"/>
      <c r="F152" s="2982"/>
      <c r="G152" s="2982"/>
      <c r="H152" s="2982"/>
      <c r="I152" s="2904"/>
      <c r="J152" s="2904"/>
      <c r="K152" s="2904"/>
      <c r="L152" s="2904"/>
      <c r="M152" s="2905"/>
    </row>
    <row r="153" spans="1:13" hidden="1" outlineLevel="1">
      <c r="A153" s="2954" t="s">
        <v>2752</v>
      </c>
      <c r="B153" s="2807">
        <v>45</v>
      </c>
      <c r="C153" s="2807">
        <v>44</v>
      </c>
      <c r="D153" s="2807">
        <v>37</v>
      </c>
      <c r="E153" s="2807"/>
      <c r="F153" s="2807">
        <v>0</v>
      </c>
      <c r="G153" s="2807">
        <v>0</v>
      </c>
      <c r="H153" s="2906">
        <f>D153-F153+G153</f>
        <v>37</v>
      </c>
      <c r="I153" s="2807">
        <v>0</v>
      </c>
      <c r="J153" s="2807">
        <v>0</v>
      </c>
      <c r="K153" s="2807">
        <v>0</v>
      </c>
      <c r="L153" s="2807">
        <v>0</v>
      </c>
      <c r="M153" s="2808">
        <v>0</v>
      </c>
    </row>
    <row r="154" spans="1:13" hidden="1" outlineLevel="1">
      <c r="A154" s="2981" t="s">
        <v>2737</v>
      </c>
      <c r="B154" s="2982"/>
      <c r="C154" s="2982"/>
      <c r="D154" s="2982"/>
      <c r="E154" s="2982"/>
      <c r="F154" s="2982"/>
      <c r="G154" s="2982"/>
      <c r="H154" s="2982"/>
      <c r="I154" s="2904"/>
      <c r="J154" s="2904"/>
      <c r="K154" s="2904"/>
      <c r="L154" s="2904"/>
      <c r="M154" s="2905"/>
    </row>
    <row r="155" spans="1:13" hidden="1" outlineLevel="1">
      <c r="A155" s="2954" t="s">
        <v>2738</v>
      </c>
      <c r="B155" s="2807">
        <v>0</v>
      </c>
      <c r="C155" s="2807">
        <v>-14</v>
      </c>
      <c r="D155" s="2807">
        <v>0</v>
      </c>
      <c r="E155" s="2807"/>
      <c r="F155" s="2807">
        <v>0</v>
      </c>
      <c r="G155" s="2807">
        <v>9</v>
      </c>
      <c r="H155" s="2906">
        <f>D155-F155+G155</f>
        <v>9</v>
      </c>
      <c r="I155" s="2807">
        <v>0</v>
      </c>
      <c r="J155" s="2807">
        <v>0</v>
      </c>
      <c r="K155" s="2807">
        <v>0</v>
      </c>
      <c r="L155" s="2807">
        <v>0</v>
      </c>
      <c r="M155" s="2808">
        <v>0</v>
      </c>
    </row>
    <row r="156" spans="1:13" hidden="1" outlineLevel="1">
      <c r="A156" s="2983" t="s">
        <v>2739</v>
      </c>
      <c r="B156" s="2959">
        <v>0</v>
      </c>
      <c r="C156" s="2959">
        <v>48</v>
      </c>
      <c r="D156" s="2959">
        <v>0</v>
      </c>
      <c r="E156" s="2959"/>
      <c r="F156" s="2959">
        <v>0</v>
      </c>
      <c r="G156" s="2959">
        <v>33</v>
      </c>
      <c r="H156" s="2984">
        <f>D156-F156+G156</f>
        <v>33</v>
      </c>
      <c r="I156" s="2959">
        <v>0</v>
      </c>
      <c r="J156" s="2959">
        <v>0</v>
      </c>
      <c r="K156" s="2959">
        <v>0</v>
      </c>
      <c r="L156" s="2959">
        <v>0</v>
      </c>
      <c r="M156" s="2985">
        <v>0</v>
      </c>
    </row>
    <row r="157" spans="1:13" collapsed="1"/>
    <row r="159" spans="1:13">
      <c r="A159" s="218" t="s">
        <v>2219</v>
      </c>
      <c r="B159" s="3039">
        <v>2013</v>
      </c>
      <c r="C159" s="3039" t="s">
        <v>2625</v>
      </c>
      <c r="D159" s="3039" t="s">
        <v>2626</v>
      </c>
      <c r="E159" s="3039" t="s">
        <v>2834</v>
      </c>
      <c r="F159" s="3040" t="s">
        <v>2897</v>
      </c>
      <c r="G159" s="3040" t="s">
        <v>2896</v>
      </c>
      <c r="H159" s="3040" t="s">
        <v>2684</v>
      </c>
      <c r="I159" s="3039" t="s">
        <v>2902</v>
      </c>
      <c r="J159" s="3039" t="s">
        <v>43</v>
      </c>
      <c r="K159" s="3039" t="s">
        <v>44</v>
      </c>
      <c r="L159" s="3039" t="s">
        <v>1343</v>
      </c>
      <c r="M159" s="3041" t="s">
        <v>1813</v>
      </c>
    </row>
    <row r="160" spans="1:13">
      <c r="A160" s="505" t="s">
        <v>1674</v>
      </c>
      <c r="B160" s="1777"/>
      <c r="C160" s="1777"/>
      <c r="D160" s="1777"/>
      <c r="E160" s="1777"/>
      <c r="F160" s="1777"/>
      <c r="G160" s="1777"/>
      <c r="H160" s="1777"/>
      <c r="I160" s="1777"/>
      <c r="J160" s="1777"/>
      <c r="K160" s="1777"/>
      <c r="L160" s="1777"/>
      <c r="M160" s="1976"/>
    </row>
    <row r="161" spans="1:13">
      <c r="A161" s="1979" t="s">
        <v>2710</v>
      </c>
      <c r="B161" s="2807"/>
      <c r="C161" s="2665">
        <v>2</v>
      </c>
      <c r="D161" s="2665">
        <v>4</v>
      </c>
      <c r="E161" s="2665"/>
      <c r="F161" s="2993"/>
      <c r="G161" s="2665">
        <v>7</v>
      </c>
      <c r="H161" s="2903">
        <f t="shared" ref="H161:H168" si="32">G161</f>
        <v>7</v>
      </c>
      <c r="I161" s="2903">
        <f>+I149</f>
        <v>155.81000000000006</v>
      </c>
      <c r="J161" s="2903">
        <f>+J149</f>
        <v>364.03652352572362</v>
      </c>
      <c r="K161" s="2903">
        <f>+K149</f>
        <v>436.72025887620612</v>
      </c>
      <c r="L161" s="2903">
        <f>+L149</f>
        <v>503.38376191053101</v>
      </c>
      <c r="M161" s="2994">
        <f>+M149</f>
        <v>530.99840778118391</v>
      </c>
    </row>
    <row r="162" spans="1:13">
      <c r="A162" s="1979" t="s">
        <v>81</v>
      </c>
      <c r="B162" s="2807"/>
      <c r="C162" s="2807">
        <v>62</v>
      </c>
      <c r="D162" s="2807">
        <v>75</v>
      </c>
      <c r="E162" s="2807"/>
      <c r="F162" s="2979"/>
      <c r="G162" s="2807">
        <v>90</v>
      </c>
      <c r="H162" s="2906">
        <f t="shared" si="32"/>
        <v>90</v>
      </c>
      <c r="I162" s="2907">
        <v>90</v>
      </c>
      <c r="J162" s="2906">
        <f>+I162+J138</f>
        <v>90</v>
      </c>
      <c r="K162" s="2906">
        <f>+J162+K138</f>
        <v>90</v>
      </c>
      <c r="L162" s="2906">
        <f>+K162+L138</f>
        <v>90</v>
      </c>
      <c r="M162" s="2986">
        <f>+L162+M138</f>
        <v>90</v>
      </c>
    </row>
    <row r="163" spans="1:13">
      <c r="A163" s="1979" t="s">
        <v>2711</v>
      </c>
      <c r="B163" s="2807"/>
      <c r="C163" s="2807">
        <v>83</v>
      </c>
      <c r="D163" s="2807">
        <v>89</v>
      </c>
      <c r="E163" s="2807"/>
      <c r="F163" s="2979"/>
      <c r="G163" s="2807">
        <v>117</v>
      </c>
      <c r="H163" s="2906">
        <f t="shared" si="32"/>
        <v>117</v>
      </c>
      <c r="I163" s="2907">
        <v>117</v>
      </c>
      <c r="J163" s="2906">
        <f t="shared" ref="J163:M165" si="33">+I163+J116</f>
        <v>90</v>
      </c>
      <c r="K163" s="2906">
        <f t="shared" si="33"/>
        <v>63</v>
      </c>
      <c r="L163" s="2906">
        <f t="shared" si="33"/>
        <v>36</v>
      </c>
      <c r="M163" s="2986">
        <f t="shared" si="33"/>
        <v>9</v>
      </c>
    </row>
    <row r="164" spans="1:13">
      <c r="A164" s="1979" t="s">
        <v>2712</v>
      </c>
      <c r="B164" s="2807"/>
      <c r="C164" s="2807">
        <v>928</v>
      </c>
      <c r="D164" s="2807">
        <v>976</v>
      </c>
      <c r="E164" s="2807"/>
      <c r="F164" s="2979"/>
      <c r="G164" s="2807">
        <v>992</v>
      </c>
      <c r="H164" s="2906">
        <f t="shared" si="32"/>
        <v>992</v>
      </c>
      <c r="I164" s="2907">
        <v>992</v>
      </c>
      <c r="J164" s="2906">
        <f t="shared" si="33"/>
        <v>906</v>
      </c>
      <c r="K164" s="2906">
        <f t="shared" si="33"/>
        <v>820</v>
      </c>
      <c r="L164" s="2906">
        <f t="shared" si="33"/>
        <v>734</v>
      </c>
      <c r="M164" s="2986">
        <f t="shared" si="33"/>
        <v>648</v>
      </c>
    </row>
    <row r="165" spans="1:13">
      <c r="A165" s="1979" t="s">
        <v>2713</v>
      </c>
      <c r="B165" s="2807"/>
      <c r="C165" s="2807">
        <v>370</v>
      </c>
      <c r="D165" s="2807">
        <v>412</v>
      </c>
      <c r="E165" s="2807"/>
      <c r="F165" s="2979"/>
      <c r="G165" s="2807">
        <v>482</v>
      </c>
      <c r="H165" s="2906">
        <f t="shared" si="32"/>
        <v>482</v>
      </c>
      <c r="I165" s="2907">
        <v>536</v>
      </c>
      <c r="J165" s="2906">
        <f t="shared" si="33"/>
        <v>536</v>
      </c>
      <c r="K165" s="2906">
        <f t="shared" si="33"/>
        <v>536</v>
      </c>
      <c r="L165" s="2906">
        <f t="shared" si="33"/>
        <v>536</v>
      </c>
      <c r="M165" s="2986">
        <f t="shared" si="33"/>
        <v>536</v>
      </c>
    </row>
    <row r="166" spans="1:13">
      <c r="A166" s="1979" t="s">
        <v>2714</v>
      </c>
      <c r="B166" s="2807"/>
      <c r="C166" s="2807">
        <v>47</v>
      </c>
      <c r="D166" s="2807">
        <v>51</v>
      </c>
      <c r="E166" s="2807"/>
      <c r="F166" s="2979"/>
      <c r="G166" s="2807">
        <v>55</v>
      </c>
      <c r="H166" s="2906">
        <f t="shared" si="32"/>
        <v>55</v>
      </c>
      <c r="I166" s="2907">
        <v>244</v>
      </c>
      <c r="J166" s="2906">
        <f>+I166-J128-J108</f>
        <v>247.20150000000001</v>
      </c>
      <c r="K166" s="2906">
        <f>+J166-K128-K108</f>
        <v>249.76703000000001</v>
      </c>
      <c r="L166" s="2906">
        <f>+K166-L128-L108</f>
        <v>251.68387059999998</v>
      </c>
      <c r="M166" s="2986">
        <f>+L166-M128-M108</f>
        <v>252.93904801199997</v>
      </c>
    </row>
    <row r="167" spans="1:13">
      <c r="A167" s="1979" t="s">
        <v>2715</v>
      </c>
      <c r="B167" s="2807"/>
      <c r="C167" s="2807">
        <v>80</v>
      </c>
      <c r="D167" s="2807">
        <v>74</v>
      </c>
      <c r="E167" s="2807"/>
      <c r="F167" s="2979"/>
      <c r="G167" s="2807">
        <v>71</v>
      </c>
      <c r="H167" s="2906">
        <f t="shared" si="32"/>
        <v>71</v>
      </c>
      <c r="I167" s="2907">
        <v>71</v>
      </c>
      <c r="J167" s="2987">
        <f t="shared" ref="J167:M168" si="34">I167</f>
        <v>71</v>
      </c>
      <c r="K167" s="2987">
        <f t="shared" si="34"/>
        <v>71</v>
      </c>
      <c r="L167" s="2987">
        <f t="shared" si="34"/>
        <v>71</v>
      </c>
      <c r="M167" s="2988">
        <f t="shared" si="34"/>
        <v>71</v>
      </c>
    </row>
    <row r="168" spans="1:13">
      <c r="A168" s="1979" t="s">
        <v>2674</v>
      </c>
      <c r="B168" s="2807"/>
      <c r="C168" s="2807">
        <v>49</v>
      </c>
      <c r="D168" s="2807">
        <v>43</v>
      </c>
      <c r="E168" s="2807"/>
      <c r="F168" s="2979"/>
      <c r="G168" s="2807">
        <v>45</v>
      </c>
      <c r="H168" s="2906">
        <f t="shared" si="32"/>
        <v>45</v>
      </c>
      <c r="I168" s="2907">
        <v>45</v>
      </c>
      <c r="J168" s="2987">
        <f t="shared" si="34"/>
        <v>45</v>
      </c>
      <c r="K168" s="2987">
        <f t="shared" si="34"/>
        <v>45</v>
      </c>
      <c r="L168" s="2987">
        <f t="shared" si="34"/>
        <v>45</v>
      </c>
      <c r="M168" s="2988">
        <f t="shared" si="34"/>
        <v>45</v>
      </c>
    </row>
    <row r="169" spans="1:13" ht="4.5" customHeight="1">
      <c r="A169" s="1979"/>
      <c r="B169" s="2885" t="s">
        <v>587</v>
      </c>
      <c r="C169" s="2885" t="s">
        <v>587</v>
      </c>
      <c r="D169" s="2885" t="s">
        <v>587</v>
      </c>
      <c r="E169" s="2885"/>
      <c r="F169" s="2885"/>
      <c r="G169" s="2885" t="s">
        <v>587</v>
      </c>
      <c r="H169" s="2885" t="s">
        <v>587</v>
      </c>
      <c r="I169" s="2885" t="s">
        <v>587</v>
      </c>
      <c r="J169" s="2885" t="s">
        <v>587</v>
      </c>
      <c r="K169" s="2886" t="s">
        <v>587</v>
      </c>
      <c r="L169" s="2886" t="s">
        <v>587</v>
      </c>
      <c r="M169" s="2887" t="s">
        <v>587</v>
      </c>
    </row>
    <row r="170" spans="1:13">
      <c r="A170" s="505" t="s">
        <v>1674</v>
      </c>
      <c r="B170" s="1777">
        <f t="shared" ref="B170:L170" si="35">SUM(B161:B169)</f>
        <v>0</v>
      </c>
      <c r="C170" s="1968">
        <f t="shared" si="35"/>
        <v>1621</v>
      </c>
      <c r="D170" s="1968">
        <f t="shared" si="35"/>
        <v>1724</v>
      </c>
      <c r="E170" s="1968"/>
      <c r="F170" s="1968"/>
      <c r="G170" s="1968">
        <f t="shared" si="35"/>
        <v>1859</v>
      </c>
      <c r="H170" s="1968">
        <f t="shared" si="35"/>
        <v>1859</v>
      </c>
      <c r="I170" s="1968">
        <f t="shared" si="35"/>
        <v>2250.81</v>
      </c>
      <c r="J170" s="1968">
        <f t="shared" si="35"/>
        <v>2349.2380235257237</v>
      </c>
      <c r="K170" s="1968">
        <f t="shared" si="35"/>
        <v>2311.4872888762061</v>
      </c>
      <c r="L170" s="1968">
        <f t="shared" si="35"/>
        <v>2267.067632510531</v>
      </c>
      <c r="M170" s="1969">
        <f>SUM(M161:M169)</f>
        <v>2182.9374557931837</v>
      </c>
    </row>
    <row r="171" spans="1:13">
      <c r="A171" s="1979"/>
      <c r="B171" s="1777"/>
      <c r="C171" s="1777"/>
      <c r="D171" s="1777"/>
      <c r="E171" s="1777"/>
      <c r="F171" s="1777"/>
      <c r="G171" s="1777"/>
      <c r="H171" s="1777"/>
      <c r="I171" s="1777"/>
      <c r="J171" s="1777"/>
      <c r="K171" s="1777"/>
      <c r="L171" s="1777"/>
      <c r="M171" s="1976"/>
    </row>
    <row r="172" spans="1:13">
      <c r="A172" s="505" t="s">
        <v>2716</v>
      </c>
      <c r="B172" s="1777"/>
      <c r="C172" s="1777"/>
      <c r="D172" s="1777"/>
      <c r="E172" s="1777"/>
      <c r="F172" s="1777"/>
      <c r="G172" s="1777"/>
      <c r="H172" s="1777"/>
      <c r="I172" s="1777"/>
      <c r="J172" s="1777"/>
      <c r="K172" s="1777"/>
      <c r="L172" s="1777"/>
      <c r="M172" s="1976"/>
    </row>
    <row r="173" spans="1:13">
      <c r="A173" s="1979" t="s">
        <v>2755</v>
      </c>
      <c r="B173" s="2807"/>
      <c r="C173" s="2665">
        <v>181</v>
      </c>
      <c r="D173" s="2665">
        <v>208</v>
      </c>
      <c r="E173" s="2665"/>
      <c r="F173" s="2993"/>
      <c r="G173" s="2665">
        <v>221</v>
      </c>
      <c r="H173" s="1968">
        <f t="shared" ref="H173:H179" si="36">G173</f>
        <v>221</v>
      </c>
      <c r="I173" s="2665">
        <v>221</v>
      </c>
      <c r="J173" s="1968">
        <f t="shared" ref="J173:M174" si="37">+I173+J121</f>
        <v>243</v>
      </c>
      <c r="K173" s="1968">
        <f t="shared" si="37"/>
        <v>265</v>
      </c>
      <c r="L173" s="1968">
        <f t="shared" si="37"/>
        <v>287</v>
      </c>
      <c r="M173" s="1969">
        <f t="shared" si="37"/>
        <v>309</v>
      </c>
    </row>
    <row r="174" spans="1:13">
      <c r="A174" s="1979" t="s">
        <v>2717</v>
      </c>
      <c r="B174" s="2807"/>
      <c r="C174" s="2807">
        <v>97</v>
      </c>
      <c r="D174" s="2807">
        <v>96</v>
      </c>
      <c r="E174" s="2807"/>
      <c r="F174" s="2979"/>
      <c r="G174" s="2807">
        <v>102</v>
      </c>
      <c r="H174" s="2916">
        <f t="shared" si="36"/>
        <v>102</v>
      </c>
      <c r="I174" s="2807">
        <v>102</v>
      </c>
      <c r="J174" s="2916">
        <f t="shared" si="37"/>
        <v>102</v>
      </c>
      <c r="K174" s="2916">
        <f t="shared" si="37"/>
        <v>102</v>
      </c>
      <c r="L174" s="2916">
        <f t="shared" si="37"/>
        <v>102</v>
      </c>
      <c r="M174" s="2919">
        <f t="shared" si="37"/>
        <v>102</v>
      </c>
    </row>
    <row r="175" spans="1:13">
      <c r="A175" s="1979" t="s">
        <v>2718</v>
      </c>
      <c r="B175" s="2807"/>
      <c r="C175" s="2807">
        <v>719</v>
      </c>
      <c r="D175" s="2807">
        <v>634</v>
      </c>
      <c r="E175" s="2807"/>
      <c r="F175" s="2979"/>
      <c r="G175" s="2807">
        <v>743</v>
      </c>
      <c r="H175" s="2916">
        <f t="shared" si="36"/>
        <v>743</v>
      </c>
      <c r="I175" s="2807">
        <v>0</v>
      </c>
      <c r="J175" s="2995">
        <f>I175</f>
        <v>0</v>
      </c>
      <c r="K175" s="2995">
        <f>J175</f>
        <v>0</v>
      </c>
      <c r="L175" s="2995">
        <f>K175</f>
        <v>0</v>
      </c>
      <c r="M175" s="2996">
        <f>L175</f>
        <v>0</v>
      </c>
    </row>
    <row r="176" spans="1:13">
      <c r="A176" s="1979" t="s">
        <v>1491</v>
      </c>
      <c r="B176" s="2807"/>
      <c r="C176" s="2807"/>
      <c r="D176" s="2807"/>
      <c r="E176" s="2807"/>
      <c r="F176" s="2979"/>
      <c r="G176" s="2807"/>
      <c r="H176" s="2916"/>
      <c r="I176" s="2916">
        <f>+I72</f>
        <v>506.38250000000022</v>
      </c>
      <c r="J176" s="2730">
        <f>+I176+J136</f>
        <v>506.38250000000022</v>
      </c>
      <c r="K176" s="2730">
        <f>+J176+K136</f>
        <v>506.38250000000022</v>
      </c>
      <c r="L176" s="2730">
        <f>+K176+L136</f>
        <v>506.38250000000022</v>
      </c>
      <c r="M176" s="2923">
        <f>+L176+M136</f>
        <v>506.38250000000022</v>
      </c>
    </row>
    <row r="177" spans="1:13">
      <c r="A177" s="1979" t="s">
        <v>1238</v>
      </c>
      <c r="B177" s="2807"/>
      <c r="C177" s="2807">
        <v>625</v>
      </c>
      <c r="D177" s="2807">
        <v>502</v>
      </c>
      <c r="E177" s="2807"/>
      <c r="F177" s="2979"/>
      <c r="G177" s="2807">
        <v>417</v>
      </c>
      <c r="H177" s="2916">
        <f t="shared" si="36"/>
        <v>417</v>
      </c>
      <c r="I177" s="2807">
        <v>717</v>
      </c>
      <c r="J177" s="2916">
        <f>+I177+J135+J134</f>
        <v>782</v>
      </c>
      <c r="K177" s="2916">
        <f>+J177+K135+K134</f>
        <v>697</v>
      </c>
      <c r="L177" s="2916">
        <f>+K177+L135+L134</f>
        <v>612</v>
      </c>
      <c r="M177" s="2919">
        <f>+L177+M135+M134</f>
        <v>527</v>
      </c>
    </row>
    <row r="178" spans="1:13">
      <c r="A178" s="1979" t="s">
        <v>2719</v>
      </c>
      <c r="B178" s="2807"/>
      <c r="C178" s="2807">
        <v>100</v>
      </c>
      <c r="D178" s="2807">
        <v>103</v>
      </c>
      <c r="E178" s="2807"/>
      <c r="F178" s="2979"/>
      <c r="G178" s="2807">
        <v>113</v>
      </c>
      <c r="H178" s="2916">
        <f t="shared" si="36"/>
        <v>113</v>
      </c>
      <c r="I178" s="2807">
        <v>113</v>
      </c>
      <c r="J178" s="2916">
        <f>+I178+J123</f>
        <v>113</v>
      </c>
      <c r="K178" s="2916">
        <f>+J178+K123</f>
        <v>113</v>
      </c>
      <c r="L178" s="2916">
        <f>+K178+L123</f>
        <v>113</v>
      </c>
      <c r="M178" s="2919">
        <f>+L178+M123</f>
        <v>113</v>
      </c>
    </row>
    <row r="179" spans="1:13">
      <c r="A179" s="1979" t="s">
        <v>2720</v>
      </c>
      <c r="B179" s="2807"/>
      <c r="C179" s="2807">
        <v>272</v>
      </c>
      <c r="D179" s="2807">
        <v>287</v>
      </c>
      <c r="E179" s="2807"/>
      <c r="F179" s="2979"/>
      <c r="G179" s="2807">
        <v>311</v>
      </c>
      <c r="H179" s="2916">
        <f t="shared" si="36"/>
        <v>311</v>
      </c>
      <c r="I179" s="2807">
        <v>379</v>
      </c>
      <c r="J179" s="2916">
        <f>+I179+J114</f>
        <v>379</v>
      </c>
      <c r="K179" s="2916">
        <f>+J179+K114</f>
        <v>379</v>
      </c>
      <c r="L179" s="2916">
        <f>+K179+L114</f>
        <v>379</v>
      </c>
      <c r="M179" s="2919">
        <f>+L179+M114</f>
        <v>379</v>
      </c>
    </row>
    <row r="180" spans="1:13" ht="4.5" customHeight="1">
      <c r="A180" s="1979"/>
      <c r="B180" s="2885" t="s">
        <v>587</v>
      </c>
      <c r="C180" s="2885" t="s">
        <v>587</v>
      </c>
      <c r="D180" s="2885" t="s">
        <v>587</v>
      </c>
      <c r="E180" s="2885"/>
      <c r="F180" s="2885"/>
      <c r="G180" s="2885" t="s">
        <v>587</v>
      </c>
      <c r="H180" s="2885" t="s">
        <v>587</v>
      </c>
      <c r="I180" s="2885" t="s">
        <v>587</v>
      </c>
      <c r="J180" s="2885" t="s">
        <v>587</v>
      </c>
      <c r="K180" s="2886" t="s">
        <v>587</v>
      </c>
      <c r="L180" s="2886" t="s">
        <v>587</v>
      </c>
      <c r="M180" s="2887" t="s">
        <v>587</v>
      </c>
    </row>
    <row r="181" spans="1:13">
      <c r="A181" s="505" t="s">
        <v>2721</v>
      </c>
      <c r="B181" s="1777">
        <f>SUM(B171:B180)</f>
        <v>0</v>
      </c>
      <c r="C181" s="1968">
        <f>SUM(C173:C180)</f>
        <v>1994</v>
      </c>
      <c r="D181" s="1968">
        <f>SUM(D173:D180)</f>
        <v>1830</v>
      </c>
      <c r="E181" s="1968"/>
      <c r="F181" s="1968"/>
      <c r="G181" s="1968">
        <f>SUM(G173:G180)</f>
        <v>1907</v>
      </c>
      <c r="H181" s="1968">
        <f>SUM(H173:H180)</f>
        <v>1907</v>
      </c>
      <c r="I181" s="1968">
        <f>SUM(I171:I180)</f>
        <v>2038.3825000000002</v>
      </c>
      <c r="J181" s="1968">
        <f>SUM(J171:J180)</f>
        <v>2125.3825000000002</v>
      </c>
      <c r="K181" s="1968">
        <f>SUM(K171:K180)</f>
        <v>2062.3825000000002</v>
      </c>
      <c r="L181" s="1968">
        <f>SUM(L171:L180)</f>
        <v>1999.3825000000002</v>
      </c>
      <c r="M181" s="1969">
        <f>SUM(M171:M180)</f>
        <v>1936.3825000000002</v>
      </c>
    </row>
    <row r="182" spans="1:13">
      <c r="A182" s="1898"/>
      <c r="B182" s="1777"/>
      <c r="C182" s="1777"/>
      <c r="D182" s="1777"/>
      <c r="E182" s="1777"/>
      <c r="F182" s="1777"/>
      <c r="G182" s="1777"/>
      <c r="H182" s="1777"/>
      <c r="I182" s="1777"/>
      <c r="J182" s="1777"/>
      <c r="K182" s="1777"/>
      <c r="L182" s="1777"/>
      <c r="M182" s="1976"/>
    </row>
    <row r="183" spans="1:13">
      <c r="A183" s="505" t="s">
        <v>2722</v>
      </c>
      <c r="B183" s="1777"/>
      <c r="C183" s="1777"/>
      <c r="D183" s="1777"/>
      <c r="E183" s="1777"/>
      <c r="F183" s="1777"/>
      <c r="G183" s="1777"/>
      <c r="H183" s="1777"/>
      <c r="I183" s="1777"/>
      <c r="J183" s="1777"/>
      <c r="K183" s="1777"/>
      <c r="L183" s="1777"/>
      <c r="M183" s="1976"/>
    </row>
    <row r="184" spans="1:13">
      <c r="A184" s="1979" t="s">
        <v>2723</v>
      </c>
      <c r="B184" s="2807"/>
      <c r="C184" s="2807"/>
      <c r="D184" s="2807"/>
      <c r="E184" s="2807"/>
      <c r="F184" s="2807"/>
      <c r="G184" s="2807">
        <v>0</v>
      </c>
      <c r="H184" s="2979">
        <f>G184</f>
        <v>0</v>
      </c>
      <c r="I184" s="2807">
        <v>0</v>
      </c>
      <c r="J184" s="2979">
        <f>I184</f>
        <v>0</v>
      </c>
      <c r="K184" s="2979">
        <f>J184</f>
        <v>0</v>
      </c>
      <c r="L184" s="2979">
        <f>K184</f>
        <v>0</v>
      </c>
      <c r="M184" s="2980">
        <f>L184</f>
        <v>0</v>
      </c>
    </row>
    <row r="185" spans="1:13">
      <c r="A185" s="1979" t="s">
        <v>2724</v>
      </c>
      <c r="B185" s="2807"/>
      <c r="C185" s="2807"/>
      <c r="D185" s="2807"/>
      <c r="E185" s="2807"/>
      <c r="F185" s="2807"/>
      <c r="G185" s="2807">
        <v>0</v>
      </c>
      <c r="H185" s="2979">
        <f t="shared" ref="H185:M186" si="38">G185</f>
        <v>0</v>
      </c>
      <c r="I185" s="2807">
        <v>0</v>
      </c>
      <c r="J185" s="2979">
        <f t="shared" si="38"/>
        <v>0</v>
      </c>
      <c r="K185" s="2979">
        <f t="shared" si="38"/>
        <v>0</v>
      </c>
      <c r="L185" s="2979">
        <f t="shared" si="38"/>
        <v>0</v>
      </c>
      <c r="M185" s="2980">
        <f t="shared" si="38"/>
        <v>0</v>
      </c>
    </row>
    <row r="186" spans="1:13">
      <c r="A186" s="1979" t="s">
        <v>2725</v>
      </c>
      <c r="B186" s="2807"/>
      <c r="C186" s="2807"/>
      <c r="D186" s="2807"/>
      <c r="E186" s="2807"/>
      <c r="F186" s="2807"/>
      <c r="G186" s="2807">
        <v>-48</v>
      </c>
      <c r="H186" s="2953">
        <f t="shared" si="38"/>
        <v>-48</v>
      </c>
      <c r="I186" s="3055">
        <f>+I188-SUM(I184:I185)</f>
        <v>212.42749999999978</v>
      </c>
      <c r="J186" s="3055">
        <f>+J188-SUM(J184:J185)</f>
        <v>223.85552352572358</v>
      </c>
      <c r="K186" s="3055">
        <f>+K188-SUM(K184:K185)</f>
        <v>249.10478887620593</v>
      </c>
      <c r="L186" s="3055">
        <f>+L188-SUM(L184:L185)</f>
        <v>267.68513251053082</v>
      </c>
      <c r="M186" s="3057">
        <f>+M188-SUM(M184:M185)</f>
        <v>246.55495579318358</v>
      </c>
    </row>
    <row r="187" spans="1:13" ht="4.5" customHeight="1">
      <c r="A187" s="1979"/>
      <c r="B187" s="2885" t="s">
        <v>587</v>
      </c>
      <c r="C187" s="2885" t="s">
        <v>587</v>
      </c>
      <c r="D187" s="2885" t="s">
        <v>587</v>
      </c>
      <c r="E187" s="2885"/>
      <c r="F187" s="2885"/>
      <c r="G187" s="2885" t="s">
        <v>587</v>
      </c>
      <c r="H187" s="2885" t="s">
        <v>587</v>
      </c>
      <c r="I187" s="2885" t="s">
        <v>587</v>
      </c>
      <c r="J187" s="2885" t="s">
        <v>587</v>
      </c>
      <c r="K187" s="2886" t="s">
        <v>587</v>
      </c>
      <c r="L187" s="2886" t="s">
        <v>587</v>
      </c>
      <c r="M187" s="2887" t="s">
        <v>587</v>
      </c>
    </row>
    <row r="188" spans="1:13">
      <c r="A188" s="505" t="s">
        <v>2747</v>
      </c>
      <c r="B188" s="1777">
        <f>B170-B181</f>
        <v>0</v>
      </c>
      <c r="C188" s="1968">
        <f>C170-C181</f>
        <v>-373</v>
      </c>
      <c r="D188" s="1968">
        <f>D170-D181</f>
        <v>-106</v>
      </c>
      <c r="E188" s="1968"/>
      <c r="F188" s="1968"/>
      <c r="G188" s="1968">
        <f>SUM(G184:G187)</f>
        <v>-48</v>
      </c>
      <c r="H188" s="1968">
        <f>SUM(H184:H187)</f>
        <v>-48</v>
      </c>
      <c r="I188" s="1968">
        <f>I170-I181</f>
        <v>212.42749999999978</v>
      </c>
      <c r="J188" s="1968">
        <f>J170-J181</f>
        <v>223.85552352572358</v>
      </c>
      <c r="K188" s="1968">
        <f>K170-K181</f>
        <v>249.10478887620593</v>
      </c>
      <c r="L188" s="1968">
        <f>L170-L181</f>
        <v>267.68513251053082</v>
      </c>
      <c r="M188" s="1969">
        <f>M170-M181</f>
        <v>246.55495579318358</v>
      </c>
    </row>
    <row r="189" spans="1:13" ht="4.5" customHeight="1">
      <c r="A189" s="1979"/>
      <c r="B189" s="2885" t="s">
        <v>587</v>
      </c>
      <c r="C189" s="2885" t="s">
        <v>587</v>
      </c>
      <c r="D189" s="2885" t="s">
        <v>587</v>
      </c>
      <c r="E189" s="2885"/>
      <c r="F189" s="2885"/>
      <c r="G189" s="2885" t="s">
        <v>587</v>
      </c>
      <c r="H189" s="2885" t="s">
        <v>587</v>
      </c>
      <c r="I189" s="2885" t="s">
        <v>587</v>
      </c>
      <c r="J189" s="2885" t="s">
        <v>587</v>
      </c>
      <c r="K189" s="2886" t="s">
        <v>587</v>
      </c>
      <c r="L189" s="2886" t="s">
        <v>587</v>
      </c>
      <c r="M189" s="2887" t="s">
        <v>587</v>
      </c>
    </row>
    <row r="190" spans="1:13">
      <c r="A190" s="2160" t="s">
        <v>2748</v>
      </c>
      <c r="B190" s="1735">
        <f t="shared" ref="B190:L190" si="39">B181+B188</f>
        <v>0</v>
      </c>
      <c r="C190" s="2104">
        <f t="shared" si="39"/>
        <v>1621</v>
      </c>
      <c r="D190" s="2104">
        <f t="shared" si="39"/>
        <v>1724</v>
      </c>
      <c r="E190" s="2104"/>
      <c r="F190" s="2104"/>
      <c r="G190" s="2104">
        <f t="shared" si="39"/>
        <v>1859</v>
      </c>
      <c r="H190" s="2104">
        <f t="shared" si="39"/>
        <v>1859</v>
      </c>
      <c r="I190" s="2104">
        <f t="shared" si="39"/>
        <v>2250.81</v>
      </c>
      <c r="J190" s="2104">
        <f t="shared" si="39"/>
        <v>2349.2380235257237</v>
      </c>
      <c r="K190" s="2104">
        <f t="shared" si="39"/>
        <v>2311.4872888762061</v>
      </c>
      <c r="L190" s="2104">
        <f t="shared" si="39"/>
        <v>2267.067632510531</v>
      </c>
      <c r="M190" s="2081">
        <f>M181+M188</f>
        <v>2182.9374557931837</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E879"/>
  <sheetViews>
    <sheetView showGridLines="0" topLeftCell="JF817" zoomScale="85" zoomScaleNormal="85" workbookViewId="0">
      <selection activeCell="JG818" sqref="JG818"/>
    </sheetView>
  </sheetViews>
  <sheetFormatPr defaultRowHeight="12.75" outlineLevelCol="1"/>
  <cols>
    <col min="1" max="1" width="27.125" style="1734" customWidth="1"/>
    <col min="2" max="5" width="9" style="1734"/>
    <col min="6" max="6" width="18.5" style="1734" customWidth="1"/>
    <col min="7" max="7" width="9.375" style="1828" customWidth="1"/>
    <col min="8" max="8" width="18.125" style="1734" customWidth="1"/>
    <col min="9" max="12" width="9" style="1734"/>
    <col min="13" max="13" width="20.625" style="1734" customWidth="1"/>
    <col min="14" max="20" width="9" style="1734"/>
    <col min="21" max="21" width="13.375" style="1734" bestFit="1" customWidth="1"/>
    <col min="22" max="23" width="9" style="1734"/>
    <col min="24" max="24" width="14" style="1734" bestFit="1" customWidth="1"/>
    <col min="25" max="25" width="11.375" style="1734" bestFit="1" customWidth="1"/>
    <col min="26" max="27" width="9" style="1734"/>
    <col min="28" max="28" width="10.625" style="1734" customWidth="1"/>
    <col min="29" max="29" width="9" style="2425"/>
    <col min="30" max="30" width="25.625" style="2698" customWidth="1"/>
    <col min="31" max="31" width="20.625" style="2698" customWidth="1"/>
    <col min="32" max="33" width="9" style="2698" hidden="1" customWidth="1" outlineLevel="1"/>
    <col min="34" max="34" width="9" style="2698" customWidth="1" collapsed="1"/>
    <col min="35" max="39" width="9" style="2698" customWidth="1"/>
    <col min="40" max="66" width="9" style="1734"/>
    <col min="67" max="67" width="25.625" style="1734" customWidth="1"/>
    <col min="68" max="70" width="9" style="1734"/>
    <col min="71" max="71" width="17.125" style="1734" bestFit="1" customWidth="1"/>
    <col min="72" max="74" width="9" style="1734"/>
    <col min="75" max="75" width="25.625" style="1734" customWidth="1"/>
    <col min="76" max="76" width="15.25" style="1734" bestFit="1" customWidth="1"/>
    <col min="77" max="78" width="9" style="1734"/>
    <col min="79" max="79" width="12.75" style="1734" bestFit="1" customWidth="1"/>
    <col min="80" max="82" width="9" style="1734"/>
    <col min="83" max="83" width="1.625" style="1734" customWidth="1"/>
    <col min="84" max="86" width="9" style="1734"/>
    <col min="87" max="87" width="1.625" style="1734" customWidth="1"/>
    <col min="88" max="90" width="9" style="1734"/>
    <col min="91" max="91" width="16.375" style="1734" customWidth="1"/>
    <col min="92" max="92" width="9.625" style="1734" bestFit="1" customWidth="1"/>
    <col min="93" max="94" width="9" style="1734"/>
    <col min="95" max="95" width="1.625" style="1734" customWidth="1"/>
    <col min="96" max="112" width="9" style="1734"/>
    <col min="113" max="113" width="10.5" style="1734" bestFit="1" customWidth="1"/>
    <col min="114" max="116" width="9" style="1734"/>
    <col min="117" max="117" width="1.625" style="1734" customWidth="1"/>
    <col min="118" max="122" width="9" style="1734"/>
    <col min="123" max="123" width="23" style="1734" bestFit="1" customWidth="1"/>
    <col min="124" max="124" width="6.5" style="1734" customWidth="1"/>
    <col min="125" max="125" width="9" style="1734"/>
    <col min="126" max="126" width="13.5" style="1734" bestFit="1" customWidth="1"/>
    <col min="127" max="132" width="9" style="1734"/>
    <col min="133" max="133" width="12.625" style="1734" bestFit="1" customWidth="1"/>
    <col min="134" max="140" width="9" style="1734"/>
    <col min="141" max="141" width="12.625" style="1734" bestFit="1" customWidth="1"/>
    <col min="142" max="159" width="9" style="1734"/>
    <col min="160" max="160" width="38" style="1734" customWidth="1"/>
    <col min="161" max="161" width="9" style="1734"/>
    <col min="162" max="162" width="11.125" style="1734" customWidth="1"/>
    <col min="163" max="163" width="38" style="1734" customWidth="1"/>
    <col min="164" max="164" width="9" style="1734" customWidth="1"/>
    <col min="165" max="165" width="10.5" style="1734" bestFit="1" customWidth="1"/>
    <col min="166" max="166" width="9" style="1734" customWidth="1"/>
    <col min="167" max="167" width="25.625" style="1734" customWidth="1"/>
    <col min="168" max="175" width="9" style="1734"/>
    <col min="176" max="176" width="12.625" style="1734" customWidth="1"/>
    <col min="177" max="179" width="9" style="1734"/>
    <col min="180" max="180" width="11.75" style="1734" bestFit="1" customWidth="1"/>
    <col min="181" max="182" width="12.625" style="1734" bestFit="1" customWidth="1"/>
    <col min="183" max="183" width="10.625" style="1734" customWidth="1"/>
    <col min="184" max="184" width="6.25" style="1734" customWidth="1"/>
    <col min="185" max="185" width="11.75" style="1734" customWidth="1"/>
    <col min="186" max="204" width="9" style="1734"/>
    <col min="205" max="205" width="38.5" style="1734" bestFit="1" customWidth="1"/>
    <col min="206" max="206" width="19.375" style="1734" bestFit="1" customWidth="1"/>
    <col min="207" max="208" width="9" style="1734"/>
    <col min="209" max="209" width="30.25" style="1734" bestFit="1" customWidth="1"/>
    <col min="210" max="213" width="9" style="1734"/>
    <col min="214" max="214" width="13" style="1734" bestFit="1" customWidth="1"/>
    <col min="215" max="215" width="12.125" style="1734" bestFit="1" customWidth="1"/>
    <col min="216" max="216" width="1.625" style="1734" customWidth="1"/>
    <col min="217" max="217" width="13.5" style="1734" bestFit="1" customWidth="1"/>
    <col min="218" max="218" width="12.125" style="1734" bestFit="1" customWidth="1"/>
    <col min="219" max="228" width="9" style="1734"/>
    <col min="229" max="229" width="44.375" style="1734" customWidth="1"/>
    <col min="230" max="230" width="9" style="1734"/>
    <col min="231" max="231" width="9" style="1828"/>
    <col min="232" max="232" width="31" style="1828" bestFit="1" customWidth="1"/>
    <col min="233" max="235" width="9" style="1828"/>
    <col min="236" max="236" width="13.375" style="1828" customWidth="1"/>
    <col min="237" max="238" width="9" style="1828"/>
    <col min="239" max="239" width="10.625" style="1828" customWidth="1"/>
    <col min="240" max="240" width="12.5" style="1828" bestFit="1" customWidth="1"/>
    <col min="241" max="241" width="13.875" style="1734" bestFit="1" customWidth="1"/>
    <col min="242" max="242" width="37" style="1734" customWidth="1"/>
    <col min="243" max="243" width="16" style="1734" customWidth="1"/>
    <col min="244" max="244" width="37" style="1734" customWidth="1"/>
    <col min="245" max="245" width="16" style="1734" customWidth="1"/>
    <col min="246" max="246" width="14.75" style="1734" bestFit="1" customWidth="1"/>
    <col min="247" max="247" width="12.5" style="1734" bestFit="1" customWidth="1"/>
    <col min="248" max="249" width="9" style="1734"/>
    <col min="250" max="250" width="35.75" style="1734" bestFit="1" customWidth="1"/>
    <col min="251" max="251" width="5.625" style="1734" customWidth="1"/>
    <col min="252" max="252" width="27.125" style="1734" bestFit="1" customWidth="1"/>
    <col min="253" max="253" width="6.125" style="1734" customWidth="1"/>
    <col min="254" max="254" width="16.125" style="1734" bestFit="1" customWidth="1"/>
    <col min="255" max="257" width="9" style="1734"/>
    <col min="258" max="258" width="35.75" style="1734" customWidth="1"/>
    <col min="259" max="259" width="4.25" style="1734" customWidth="1"/>
    <col min="260" max="260" width="27.125" style="1734" bestFit="1" customWidth="1"/>
    <col min="261" max="261" width="6.5" style="1734" customWidth="1"/>
    <col min="262" max="262" width="16.125" style="1734" customWidth="1"/>
    <col min="263" max="266" width="9" style="1734"/>
    <col min="267" max="267" width="15.625" style="1734" customWidth="1"/>
    <col min="268" max="268" width="9" style="1734"/>
    <col min="269" max="269" width="12.625" style="1734" customWidth="1"/>
    <col min="270" max="270" width="16.625" style="1734" customWidth="1"/>
    <col min="271" max="271" width="14.625" style="1734" customWidth="1"/>
    <col min="272" max="272" width="28.875" style="1734" bestFit="1" customWidth="1"/>
    <col min="273" max="273" width="15.625" style="1734" bestFit="1" customWidth="1"/>
    <col min="274" max="276" width="9" style="1734"/>
    <col min="277" max="285" width="6.625" style="1734" customWidth="1"/>
    <col min="286" max="286" width="31.875" style="1734" customWidth="1"/>
    <col min="287" max="287" width="11.75" style="1734" bestFit="1" customWidth="1"/>
    <col min="288" max="288" width="9" style="1734"/>
    <col min="289" max="289" width="20.625" style="1734" customWidth="1"/>
    <col min="290" max="16384" width="9" style="1734"/>
  </cols>
  <sheetData>
    <row r="1" spans="1:8">
      <c r="A1" s="2" t="s">
        <v>2400</v>
      </c>
    </row>
    <row r="2" spans="1:8">
      <c r="D2" s="2624" t="s">
        <v>2401</v>
      </c>
      <c r="E2" s="2625"/>
      <c r="F2" s="2641"/>
      <c r="G2" s="3408"/>
      <c r="H2" s="2637"/>
    </row>
    <row r="3" spans="1:8">
      <c r="B3" s="2626">
        <v>2013</v>
      </c>
      <c r="C3" s="2626">
        <v>2014</v>
      </c>
      <c r="D3" s="805" t="s">
        <v>1925</v>
      </c>
      <c r="E3" s="805" t="s">
        <v>2143</v>
      </c>
      <c r="F3" s="227"/>
      <c r="G3" s="203"/>
      <c r="H3" s="227"/>
    </row>
    <row r="4" spans="1:8">
      <c r="A4" s="1734" t="s">
        <v>1589</v>
      </c>
      <c r="B4" s="2628">
        <f>Hilton!P9</f>
        <v>4046</v>
      </c>
      <c r="C4" s="2628">
        <f>Hilton!U9</f>
        <v>4239</v>
      </c>
      <c r="D4" s="2628">
        <f>+C4-B4</f>
        <v>193</v>
      </c>
      <c r="E4" s="2627">
        <f>+C4/B4-1</f>
        <v>4.7701433514582225E-2</v>
      </c>
      <c r="F4" s="2627"/>
      <c r="G4" s="3409"/>
      <c r="H4" s="2627"/>
    </row>
    <row r="5" spans="1:8">
      <c r="A5" s="1734" t="s">
        <v>167</v>
      </c>
      <c r="B5" s="1734">
        <f>Hilton!P16</f>
        <v>1175</v>
      </c>
      <c r="C5" s="1734">
        <f>Hilton!U16</f>
        <v>1401</v>
      </c>
      <c r="D5" s="1734">
        <f>+C5-B5</f>
        <v>226</v>
      </c>
      <c r="E5" s="2627">
        <f>+C5/B5-1</f>
        <v>0.19234042553191499</v>
      </c>
      <c r="F5" s="2627"/>
      <c r="G5" s="3409"/>
      <c r="H5" s="2627"/>
    </row>
    <row r="6" spans="1:8" ht="5.0999999999999996" customHeight="1">
      <c r="E6" s="2627"/>
      <c r="F6" s="2627"/>
      <c r="G6" s="3409"/>
      <c r="H6" s="2627"/>
    </row>
    <row r="7" spans="1:8">
      <c r="A7" s="140" t="s">
        <v>2409</v>
      </c>
      <c r="B7" s="2633">
        <f>+B5+B4</f>
        <v>5221</v>
      </c>
      <c r="C7" s="2633">
        <f>+C5+C4</f>
        <v>5640</v>
      </c>
      <c r="D7" s="2633">
        <f>+C7-B7</f>
        <v>419</v>
      </c>
      <c r="E7" s="2634">
        <f>+C7/B7-1</f>
        <v>8.0252825129285554E-2</v>
      </c>
      <c r="F7" s="2634"/>
      <c r="G7" s="3410"/>
      <c r="H7" s="2634"/>
    </row>
    <row r="9" spans="1:8">
      <c r="A9" s="1734" t="s">
        <v>2402</v>
      </c>
    </row>
    <row r="10" spans="1:8">
      <c r="A10" s="2021" t="s">
        <v>2171</v>
      </c>
      <c r="B10" s="1734">
        <f>'QTR Rooms'!M438</f>
        <v>32134</v>
      </c>
      <c r="C10" s="1734">
        <f>'QTR Rooms'!R438</f>
        <v>29923</v>
      </c>
    </row>
    <row r="11" spans="1:8">
      <c r="A11" s="2021" t="s">
        <v>208</v>
      </c>
      <c r="B11" s="1734">
        <f>'QTR Rooms'!M509</f>
        <v>1836</v>
      </c>
      <c r="C11" s="1734">
        <f>'QTR Rooms'!R509</f>
        <v>1836</v>
      </c>
    </row>
    <row r="12" spans="1:8">
      <c r="A12" s="2021" t="s">
        <v>2218</v>
      </c>
      <c r="B12" s="1734">
        <f>'QTR Rooms'!M580</f>
        <v>19575</v>
      </c>
      <c r="C12" s="1734">
        <f>'QTR Rooms'!R580</f>
        <v>19079</v>
      </c>
    </row>
    <row r="13" spans="1:8">
      <c r="A13" s="2021" t="s">
        <v>209</v>
      </c>
      <c r="B13" s="1734">
        <f>'QTR Rooms'!M651</f>
        <v>2896</v>
      </c>
      <c r="C13" s="1734">
        <f>'QTR Rooms'!R651</f>
        <v>2890</v>
      </c>
    </row>
    <row r="14" spans="1:8">
      <c r="A14" s="2021" t="s">
        <v>1688</v>
      </c>
      <c r="B14" s="1734">
        <f>'QTR Rooms'!M722</f>
        <v>3957</v>
      </c>
      <c r="C14" s="1734">
        <f>'QTR Rooms'!R722</f>
        <v>3954</v>
      </c>
    </row>
    <row r="16" spans="1:8">
      <c r="A16" s="1734" t="s">
        <v>2404</v>
      </c>
    </row>
    <row r="17" spans="1:3">
      <c r="A17" s="2021" t="s">
        <v>2171</v>
      </c>
      <c r="B17" s="1734">
        <f>'QTR Rooms'!M454+'QTR Rooms'!M470</f>
        <v>486240</v>
      </c>
      <c r="C17" s="1734">
        <f>'QTR Rooms'!R454+'QTR Rooms'!R470</f>
        <v>507249</v>
      </c>
    </row>
    <row r="18" spans="1:3">
      <c r="A18" s="2021" t="s">
        <v>208</v>
      </c>
      <c r="B18" s="1734">
        <f>'QTR Rooms'!M525+'QTR Rooms'!M541</f>
        <v>31587</v>
      </c>
      <c r="C18" s="1734">
        <f>'QTR Rooms'!R525+'QTR Rooms'!R541</f>
        <v>34471</v>
      </c>
    </row>
    <row r="19" spans="1:3">
      <c r="A19" s="2021" t="s">
        <v>2218</v>
      </c>
      <c r="B19" s="1734">
        <f>'QTR Rooms'!M596+'QTR Rooms'!M612</f>
        <v>39141</v>
      </c>
      <c r="C19" s="1734">
        <f>'QTR Rooms'!R596+'QTR Rooms'!R612</f>
        <v>47026</v>
      </c>
    </row>
    <row r="20" spans="1:3">
      <c r="A20" s="2021" t="s">
        <v>209</v>
      </c>
      <c r="B20" s="1734">
        <f>'QTR Rooms'!M667+'QTR Rooms'!M683</f>
        <v>16618</v>
      </c>
      <c r="C20" s="1734">
        <f>'QTR Rooms'!R667+'QTR Rooms'!R683</f>
        <v>17893</v>
      </c>
    </row>
    <row r="21" spans="1:3">
      <c r="A21" s="2021" t="s">
        <v>1688</v>
      </c>
      <c r="B21" s="1734">
        <f>'QTR Rooms'!M738+'QTR Rooms'!M754</f>
        <v>35732</v>
      </c>
      <c r="C21" s="1734">
        <f>'QTR Rooms'!R738+'QTR Rooms'!R754</f>
        <v>41450</v>
      </c>
    </row>
    <row r="23" spans="1:3">
      <c r="A23" s="1838" t="s">
        <v>2410</v>
      </c>
      <c r="B23" s="1838"/>
      <c r="C23" s="1838"/>
    </row>
    <row r="24" spans="1:3">
      <c r="A24" s="1838" t="s">
        <v>2406</v>
      </c>
      <c r="B24" s="2635">
        <f>C24/(1+7.4%)</f>
        <v>96.052141527001851</v>
      </c>
      <c r="C24" s="2636">
        <v>103.16</v>
      </c>
    </row>
    <row r="25" spans="1:3">
      <c r="A25" s="1838" t="s">
        <v>2218</v>
      </c>
      <c r="B25" s="2635">
        <f>C25/(1+6.1%)</f>
        <v>121.25353440150802</v>
      </c>
      <c r="C25" s="2636">
        <v>128.65</v>
      </c>
    </row>
    <row r="26" spans="1:3">
      <c r="A26" s="1838" t="s">
        <v>2142</v>
      </c>
      <c r="B26" s="2635">
        <f>C26/(1+4.4%)</f>
        <v>100.50766283524905</v>
      </c>
      <c r="C26" s="2636">
        <v>104.93</v>
      </c>
    </row>
    <row r="27" spans="1:3">
      <c r="A27" s="1838" t="s">
        <v>1688</v>
      </c>
      <c r="B27" s="2635">
        <f>C27/(1+4.9%)</f>
        <v>105.95805529075311</v>
      </c>
      <c r="C27" s="2636">
        <v>111.15</v>
      </c>
    </row>
    <row r="29" spans="1:3">
      <c r="A29" s="1734" t="s">
        <v>2405</v>
      </c>
    </row>
    <row r="30" spans="1:3">
      <c r="A30" s="1734" t="s">
        <v>2406</v>
      </c>
      <c r="B30" s="2628">
        <f>C30/(1+7.4%)</f>
        <v>96.052141527001851</v>
      </c>
      <c r="C30" s="2629">
        <v>103.16</v>
      </c>
    </row>
    <row r="31" spans="1:3">
      <c r="A31" s="1734" t="s">
        <v>2218</v>
      </c>
      <c r="B31" s="2628">
        <f>C31/(1+6.1%)</f>
        <v>121.25353440150802</v>
      </c>
      <c r="C31" s="2629">
        <v>128.65</v>
      </c>
    </row>
    <row r="32" spans="1:3">
      <c r="A32" s="1734" t="s">
        <v>2142</v>
      </c>
      <c r="B32" s="2628">
        <f>C32/(1+4.4%)</f>
        <v>100.50766283524905</v>
      </c>
      <c r="C32" s="2629">
        <v>104.93</v>
      </c>
    </row>
    <row r="33" spans="1:7">
      <c r="A33" s="1734" t="s">
        <v>1688</v>
      </c>
      <c r="B33" s="2628">
        <f>C33/(1+4.9%)</f>
        <v>105.95805529075311</v>
      </c>
      <c r="C33" s="2629">
        <v>111.15</v>
      </c>
    </row>
    <row r="35" spans="1:7">
      <c r="A35" s="2156" t="s">
        <v>2407</v>
      </c>
      <c r="B35" s="1743"/>
      <c r="C35" s="1743"/>
      <c r="D35" s="1743"/>
      <c r="E35" s="2162"/>
      <c r="F35" s="1777"/>
      <c r="G35" s="1752"/>
    </row>
    <row r="36" spans="1:7">
      <c r="A36" s="1734" t="s">
        <v>2406</v>
      </c>
      <c r="B36" s="2630">
        <f>B30*(B17+B18)*365/1000000</f>
        <v>18154.513186033517</v>
      </c>
      <c r="C36" s="2630">
        <f>C30*(C17+C18)*365/1000000</f>
        <v>20397.599848000002</v>
      </c>
      <c r="D36" s="2630">
        <f>+C36-B36</f>
        <v>2243.0866619664848</v>
      </c>
      <c r="E36" s="2631">
        <f>+C36/B36-1</f>
        <v>0.12355531866820413</v>
      </c>
      <c r="F36" s="2638"/>
      <c r="G36" s="3411"/>
    </row>
    <row r="37" spans="1:7">
      <c r="A37" s="1734" t="s">
        <v>2218</v>
      </c>
      <c r="B37" s="1777">
        <f t="shared" ref="B37:C39" si="0">B31*B19*365/1000000</f>
        <v>1732.2843753534405</v>
      </c>
      <c r="C37" s="1777">
        <f t="shared" si="0"/>
        <v>2208.2116384999999</v>
      </c>
      <c r="D37" s="1777">
        <f>+C37-B37</f>
        <v>475.92726314655943</v>
      </c>
      <c r="E37" s="2631">
        <f>+C37/B37-1</f>
        <v>0.27473968472956711</v>
      </c>
      <c r="F37" s="2638"/>
      <c r="G37" s="3411"/>
    </row>
    <row r="38" spans="1:7">
      <c r="A38" s="1734" t="s">
        <v>2142</v>
      </c>
      <c r="B38" s="1777">
        <f t="shared" si="0"/>
        <v>609.63626446360161</v>
      </c>
      <c r="C38" s="1777">
        <f t="shared" si="0"/>
        <v>685.29205884999999</v>
      </c>
      <c r="D38" s="1777">
        <f>+C38-B38</f>
        <v>75.655794386398384</v>
      </c>
      <c r="E38" s="2631">
        <f>+C38/B38-1</f>
        <v>0.12409989168371638</v>
      </c>
      <c r="F38" s="2638"/>
      <c r="G38" s="3411"/>
    </row>
    <row r="39" spans="1:7">
      <c r="A39" s="1734" t="s">
        <v>1688</v>
      </c>
      <c r="B39" s="1777">
        <f t="shared" si="0"/>
        <v>1381.9240295519546</v>
      </c>
      <c r="C39" s="1777">
        <f t="shared" si="0"/>
        <v>1681.6161374999999</v>
      </c>
      <c r="D39" s="1777">
        <f>+C39-B39</f>
        <v>299.6921079480453</v>
      </c>
      <c r="E39" s="2631">
        <f>+C39/B39-1</f>
        <v>0.21686583454606478</v>
      </c>
      <c r="F39" s="2638"/>
      <c r="G39" s="3411"/>
    </row>
    <row r="40" spans="1:7">
      <c r="A40" s="1518" t="s">
        <v>2408</v>
      </c>
      <c r="B40" s="2639">
        <f>SUM(B36:B39)</f>
        <v>21878.357855402515</v>
      </c>
      <c r="C40" s="2639">
        <f>SUM(C36:C39)</f>
        <v>24972.719682850002</v>
      </c>
      <c r="D40" s="1521">
        <f>+C40-B40</f>
        <v>3094.3618274474866</v>
      </c>
      <c r="E40" s="2640">
        <f>+C40/B40-1</f>
        <v>0.1414348301594941</v>
      </c>
      <c r="F40" s="2638"/>
      <c r="G40" s="3411"/>
    </row>
    <row r="42" spans="1:7">
      <c r="A42" s="2156" t="s">
        <v>2411</v>
      </c>
      <c r="B42" s="1743"/>
      <c r="C42" s="1743"/>
      <c r="D42" s="1743"/>
      <c r="E42" s="2162"/>
    </row>
    <row r="43" spans="1:7">
      <c r="A43" s="1898" t="s">
        <v>2406</v>
      </c>
      <c r="B43" s="2630">
        <f t="shared" ref="B43:C46" si="1">B$5*B36/B$40</f>
        <v>975.00704278506407</v>
      </c>
      <c r="C43" s="2630">
        <f t="shared" si="1"/>
        <v>1144.3302031165338</v>
      </c>
      <c r="D43" s="2630">
        <f>C43-B43</f>
        <v>169.32316033146969</v>
      </c>
      <c r="E43" s="2631">
        <f>+C43/B43-1</f>
        <v>0.1736635253913712</v>
      </c>
    </row>
    <row r="44" spans="1:7">
      <c r="A44" s="1898" t="s">
        <v>2218</v>
      </c>
      <c r="B44" s="1777">
        <f t="shared" si="1"/>
        <v>93.034136953641351</v>
      </c>
      <c r="C44" s="1777">
        <f t="shared" si="1"/>
        <v>123.88336331917822</v>
      </c>
      <c r="D44" s="1777">
        <f>C44-B44</f>
        <v>30.849226365536865</v>
      </c>
      <c r="E44" s="2631">
        <f>+C44/B44-1</f>
        <v>0.33159039655421263</v>
      </c>
    </row>
    <row r="45" spans="1:7">
      <c r="A45" s="1898" t="s">
        <v>2142</v>
      </c>
      <c r="B45" s="1777">
        <f t="shared" si="1"/>
        <v>32.741150660347543</v>
      </c>
      <c r="C45" s="1777">
        <f t="shared" si="1"/>
        <v>38.445719434723564</v>
      </c>
      <c r="D45" s="1777">
        <f>C45-B45</f>
        <v>5.7045687743760212</v>
      </c>
      <c r="E45" s="2631">
        <f>+C45/B45-1</f>
        <v>0.17423238521927575</v>
      </c>
    </row>
    <row r="46" spans="1:7">
      <c r="A46" s="1898" t="s">
        <v>1688</v>
      </c>
      <c r="B46" s="1735">
        <f t="shared" si="1"/>
        <v>74.217669600946977</v>
      </c>
      <c r="C46" s="1735">
        <f t="shared" si="1"/>
        <v>94.340714129564461</v>
      </c>
      <c r="D46" s="1735">
        <f>C46-B46</f>
        <v>20.123044528617484</v>
      </c>
      <c r="E46" s="2647">
        <f>+C46/B46-1</f>
        <v>0.27113549424031946</v>
      </c>
    </row>
    <row r="47" spans="1:7">
      <c r="A47" s="1518" t="s">
        <v>2408</v>
      </c>
      <c r="B47" s="2639">
        <f>SUM(B43:B46)</f>
        <v>1175</v>
      </c>
      <c r="C47" s="2639">
        <f>SUM(C43:C46)</f>
        <v>1401</v>
      </c>
      <c r="D47" s="1521">
        <f>C47-B47</f>
        <v>226</v>
      </c>
      <c r="E47" s="2640">
        <f>+C47/B47-1</f>
        <v>0.19234042553191499</v>
      </c>
    </row>
    <row r="49" spans="1:7">
      <c r="A49" s="2156" t="s">
        <v>2403</v>
      </c>
      <c r="B49" s="1743"/>
      <c r="C49" s="1743"/>
      <c r="D49" s="1743"/>
      <c r="E49" s="2162"/>
      <c r="F49" s="1777"/>
      <c r="G49" s="1752"/>
    </row>
    <row r="50" spans="1:7">
      <c r="A50" s="1898" t="s">
        <v>2406</v>
      </c>
      <c r="B50" s="2630">
        <f>B24*(B10+B11)*365/1000000</f>
        <v>1190.9553054003723</v>
      </c>
      <c r="C50" s="2630">
        <f>C24*(C10+C11)*365/1000000</f>
        <v>1195.8343305999999</v>
      </c>
      <c r="D50" s="2632">
        <f>+C50-B50</f>
        <v>4.8790251996276766</v>
      </c>
      <c r="E50" s="2631">
        <f>+C50/B50-1</f>
        <v>4.0967324109508763E-3</v>
      </c>
      <c r="F50" s="2638"/>
      <c r="G50" s="3411"/>
    </row>
    <row r="51" spans="1:7">
      <c r="A51" s="1898" t="s">
        <v>2218</v>
      </c>
      <c r="B51" s="1777">
        <f t="shared" ref="B51:C53" si="2">B12*B25*365/1000000</f>
        <v>866.34134660697464</v>
      </c>
      <c r="C51" s="1777">
        <f t="shared" si="2"/>
        <v>895.89737275000005</v>
      </c>
      <c r="D51" s="1777">
        <f>+C51-B51</f>
        <v>29.556026143025406</v>
      </c>
      <c r="E51" s="2631">
        <f>+C51/B51-1</f>
        <v>3.4115913154533883E-2</v>
      </c>
      <c r="F51" s="2638"/>
      <c r="G51" s="3411"/>
    </row>
    <row r="52" spans="1:7">
      <c r="A52" s="1898" t="s">
        <v>2142</v>
      </c>
      <c r="B52" s="1777">
        <f t="shared" si="2"/>
        <v>106.24061992337164</v>
      </c>
      <c r="C52" s="1777">
        <f t="shared" si="2"/>
        <v>110.6854105</v>
      </c>
      <c r="D52" s="1777">
        <f>+C52-B52</f>
        <v>4.444790576628364</v>
      </c>
      <c r="E52" s="2631">
        <f>+C52/B52-1</f>
        <v>4.1837016574585828E-2</v>
      </c>
      <c r="F52" s="2638"/>
      <c r="G52" s="3411"/>
    </row>
    <row r="53" spans="1:7">
      <c r="A53" s="1898" t="s">
        <v>1688</v>
      </c>
      <c r="B53" s="1777">
        <f t="shared" si="2"/>
        <v>153.03574904671115</v>
      </c>
      <c r="C53" s="1777">
        <f t="shared" si="2"/>
        <v>160.4127915</v>
      </c>
      <c r="D53" s="1777">
        <f>+C53-B53</f>
        <v>7.3770424532888512</v>
      </c>
      <c r="E53" s="2631">
        <f>+C53/B53-1</f>
        <v>4.8204700530705136E-2</v>
      </c>
      <c r="F53" s="2638"/>
      <c r="G53" s="3411"/>
    </row>
    <row r="54" spans="1:7">
      <c r="A54" s="1518" t="s">
        <v>568</v>
      </c>
      <c r="B54" s="2639">
        <f>SUM(B50:B53)</f>
        <v>2316.5730209774297</v>
      </c>
      <c r="C54" s="2639">
        <f>SUM(C50:C53)</f>
        <v>2362.82990535</v>
      </c>
      <c r="D54" s="1521">
        <f>+C54-B54</f>
        <v>46.256884372570312</v>
      </c>
      <c r="E54" s="2640">
        <f>+C54/B54-1</f>
        <v>1.9967807599284404E-2</v>
      </c>
      <c r="F54" s="2638"/>
      <c r="G54" s="3411"/>
    </row>
    <row r="56" spans="1:7">
      <c r="A56" s="2156" t="s">
        <v>2412</v>
      </c>
      <c r="B56" s="1743"/>
      <c r="C56" s="1743"/>
      <c r="D56" s="1743"/>
      <c r="E56" s="2162"/>
    </row>
    <row r="57" spans="1:7">
      <c r="A57" s="1898" t="s">
        <v>2406</v>
      </c>
      <c r="B57" s="2630">
        <f t="shared" ref="B57:C60" si="3">B$4*B50/B$54</f>
        <v>2080.0575341315148</v>
      </c>
      <c r="C57" s="2630">
        <f t="shared" si="3"/>
        <v>2145.3688714264522</v>
      </c>
      <c r="D57" s="2630">
        <f>C57-B57</f>
        <v>65.311337294937402</v>
      </c>
      <c r="E57" s="2631">
        <f>+C57/B57-1</f>
        <v>3.1398812880532478E-2</v>
      </c>
    </row>
    <row r="58" spans="1:7">
      <c r="A58" s="1898" t="s">
        <v>2218</v>
      </c>
      <c r="B58" s="1777">
        <f t="shared" si="3"/>
        <v>1513.1045111165397</v>
      </c>
      <c r="C58" s="1777">
        <f t="shared" si="3"/>
        <v>1607.271414031263</v>
      </c>
      <c r="D58" s="1777">
        <f>C58-B58</f>
        <v>94.166902914723323</v>
      </c>
      <c r="E58" s="2631">
        <f>+C58/B58-1</f>
        <v>6.2234235786684966E-2</v>
      </c>
    </row>
    <row r="59" spans="1:7">
      <c r="A59" s="1898" t="s">
        <v>2142</v>
      </c>
      <c r="B59" s="1777">
        <f t="shared" si="3"/>
        <v>185.55406815045944</v>
      </c>
      <c r="C59" s="1777">
        <f t="shared" si="3"/>
        <v>198.57352154174606</v>
      </c>
      <c r="D59" s="1777">
        <f>C59-B59</f>
        <v>13.019453391286618</v>
      </c>
      <c r="E59" s="2631">
        <f>+C59/B59-1</f>
        <v>7.0165281316977524E-2</v>
      </c>
    </row>
    <row r="60" spans="1:7">
      <c r="A60" s="1898" t="s">
        <v>1688</v>
      </c>
      <c r="B60" s="1735">
        <f t="shared" si="3"/>
        <v>267.28388660148602</v>
      </c>
      <c r="C60" s="1735">
        <f t="shared" si="3"/>
        <v>287.78619300053884</v>
      </c>
      <c r="D60" s="1735">
        <f>C60-B60</f>
        <v>20.502306399052827</v>
      </c>
      <c r="E60" s="2647">
        <f>+C60/B60-1</f>
        <v>7.6706106977639354E-2</v>
      </c>
    </row>
    <row r="61" spans="1:7">
      <c r="A61" s="1518" t="s">
        <v>568</v>
      </c>
      <c r="B61" s="2639">
        <f>SUM(B57:B60)</f>
        <v>4046</v>
      </c>
      <c r="C61" s="2639">
        <f>SUM(C57:C60)</f>
        <v>4239.0000000000009</v>
      </c>
      <c r="D61" s="1521">
        <f>C61-B61</f>
        <v>193.00000000000091</v>
      </c>
      <c r="E61" s="2640">
        <f>+C61/B61-1</f>
        <v>4.7701433514582448E-2</v>
      </c>
    </row>
    <row r="63" spans="1:7">
      <c r="A63" s="2156" t="s">
        <v>2413</v>
      </c>
      <c r="B63" s="1743"/>
      <c r="C63" s="1743"/>
      <c r="D63" s="1743"/>
      <c r="E63" s="1743"/>
      <c r="F63" s="2643" t="s">
        <v>2414</v>
      </c>
      <c r="G63" s="203"/>
    </row>
    <row r="64" spans="1:7">
      <c r="A64" s="1898" t="s">
        <v>2406</v>
      </c>
      <c r="B64" s="2630">
        <f t="shared" ref="B64:C68" si="4">+B43+B57</f>
        <v>3055.064576916579</v>
      </c>
      <c r="C64" s="2630">
        <f t="shared" si="4"/>
        <v>3289.6990745429857</v>
      </c>
      <c r="D64" s="2630">
        <f>C64-B64</f>
        <v>234.63449762640676</v>
      </c>
      <c r="E64" s="2638">
        <f>+C64/B64-1</f>
        <v>7.6801812766661426E-2</v>
      </c>
      <c r="F64" s="2644">
        <f>+D64/$D$68</f>
        <v>0.55998686784345164</v>
      </c>
      <c r="G64" s="3412"/>
    </row>
    <row r="65" spans="1:39">
      <c r="A65" s="1898" t="s">
        <v>2218</v>
      </c>
      <c r="B65" s="1777">
        <f t="shared" si="4"/>
        <v>1606.138648070181</v>
      </c>
      <c r="C65" s="1777">
        <f t="shared" si="4"/>
        <v>1731.1547773504412</v>
      </c>
      <c r="D65" s="1777">
        <f>C65-B65</f>
        <v>125.0161292802602</v>
      </c>
      <c r="E65" s="2638">
        <f>+C65/B65-1</f>
        <v>7.783644919476318E-2</v>
      </c>
      <c r="F65" s="2644">
        <f>+D65/$D$68</f>
        <v>0.29836785031088287</v>
      </c>
      <c r="G65" s="3412"/>
    </row>
    <row r="66" spans="1:39">
      <c r="A66" s="1898" t="s">
        <v>2142</v>
      </c>
      <c r="B66" s="1777">
        <f t="shared" si="4"/>
        <v>218.295218810807</v>
      </c>
      <c r="C66" s="1777">
        <f t="shared" si="4"/>
        <v>237.01924097646963</v>
      </c>
      <c r="D66" s="1777">
        <f>C66-B66</f>
        <v>18.724022165662632</v>
      </c>
      <c r="E66" s="2638">
        <f>+C66/B66-1</f>
        <v>8.5773853718209114E-2</v>
      </c>
      <c r="F66" s="2644">
        <f>+D66/$D$68</f>
        <v>4.4687403736664896E-2</v>
      </c>
      <c r="G66" s="3412"/>
    </row>
    <row r="67" spans="1:39">
      <c r="A67" s="1898" t="s">
        <v>1688</v>
      </c>
      <c r="B67" s="1735">
        <f t="shared" si="4"/>
        <v>341.50155620243299</v>
      </c>
      <c r="C67" s="1735">
        <f t="shared" si="4"/>
        <v>382.12690713010329</v>
      </c>
      <c r="D67" s="1735">
        <f>C67-B67</f>
        <v>40.625350927670297</v>
      </c>
      <c r="E67" s="2648">
        <f>+C67/B67-1</f>
        <v>0.11896095402736218</v>
      </c>
      <c r="F67" s="2645">
        <f>+D67/$D$68</f>
        <v>9.6957878108998113E-2</v>
      </c>
      <c r="G67" s="3412"/>
    </row>
    <row r="68" spans="1:39">
      <c r="A68" s="1518" t="s">
        <v>1687</v>
      </c>
      <c r="B68" s="2639">
        <f t="shared" si="4"/>
        <v>5221</v>
      </c>
      <c r="C68" s="2639">
        <f t="shared" si="4"/>
        <v>5640.0000000000009</v>
      </c>
      <c r="D68" s="1521">
        <f>C68-B68</f>
        <v>419.00000000000091</v>
      </c>
      <c r="E68" s="2642">
        <f>+C68/B68-1</f>
        <v>8.0252825129285776E-2</v>
      </c>
      <c r="F68" s="2646">
        <f>+D68/$D$68</f>
        <v>1</v>
      </c>
      <c r="G68" s="3412"/>
    </row>
    <row r="69" spans="1:39" s="1828" customFormat="1">
      <c r="A69" s="140"/>
      <c r="B69" s="3416"/>
      <c r="C69" s="3416"/>
      <c r="D69" s="140"/>
      <c r="E69" s="3412"/>
      <c r="F69" s="3412"/>
      <c r="G69" s="3412"/>
      <c r="AC69" s="3400"/>
      <c r="AD69" s="3401"/>
      <c r="AE69" s="3401"/>
      <c r="AF69" s="3401"/>
      <c r="AG69" s="3401"/>
      <c r="AH69" s="3401"/>
      <c r="AI69" s="3401"/>
      <c r="AJ69" s="3401"/>
      <c r="AK69" s="3401"/>
      <c r="AL69" s="3401"/>
      <c r="AM69" s="3401"/>
    </row>
    <row r="70" spans="1:39" s="1828" customFormat="1">
      <c r="A70" s="140"/>
      <c r="B70" s="3416"/>
      <c r="C70" s="3416"/>
      <c r="D70" s="140"/>
      <c r="E70" s="3412"/>
      <c r="F70" s="3412"/>
      <c r="G70" s="3412"/>
      <c r="AC70" s="3400"/>
      <c r="AD70" s="3401"/>
      <c r="AE70" s="3401"/>
      <c r="AF70" s="3401"/>
      <c r="AG70" s="3401"/>
      <c r="AH70" s="3401"/>
      <c r="AI70" s="3401"/>
      <c r="AJ70" s="3401"/>
      <c r="AK70" s="3401"/>
      <c r="AL70" s="3401"/>
      <c r="AM70" s="3401"/>
    </row>
    <row r="71" spans="1:39" s="1828" customFormat="1">
      <c r="A71" s="140"/>
      <c r="B71" s="3416"/>
      <c r="C71" s="3416"/>
      <c r="D71" s="140"/>
      <c r="E71" s="3412"/>
      <c r="F71" s="3412"/>
      <c r="G71" s="3412"/>
      <c r="AC71" s="3400"/>
      <c r="AD71" s="3401"/>
      <c r="AE71" s="3401"/>
      <c r="AF71" s="3401"/>
      <c r="AG71" s="3401"/>
      <c r="AH71" s="3401"/>
      <c r="AI71" s="3401"/>
      <c r="AJ71" s="3401"/>
      <c r="AK71" s="3401"/>
      <c r="AL71" s="3401"/>
      <c r="AM71" s="3401"/>
    </row>
    <row r="72" spans="1:39" s="1828" customFormat="1">
      <c r="A72" s="140"/>
      <c r="B72" s="3416"/>
      <c r="C72" s="3416"/>
      <c r="D72" s="140"/>
      <c r="E72" s="3412"/>
      <c r="F72" s="3412"/>
      <c r="G72" s="3412"/>
      <c r="AC72" s="3400"/>
      <c r="AD72" s="3401"/>
      <c r="AE72" s="3401"/>
      <c r="AF72" s="3401"/>
      <c r="AG72" s="3401"/>
      <c r="AH72" s="3401"/>
      <c r="AI72" s="3401"/>
      <c r="AJ72" s="3401"/>
      <c r="AK72" s="3401"/>
      <c r="AL72" s="3401"/>
      <c r="AM72" s="3401"/>
    </row>
    <row r="73" spans="1:39" s="1828" customFormat="1">
      <c r="A73" s="140"/>
      <c r="B73" s="3416"/>
      <c r="C73" s="3416"/>
      <c r="D73" s="140"/>
      <c r="E73" s="3412"/>
      <c r="F73" s="3412"/>
      <c r="G73" s="3412"/>
      <c r="AC73" s="3400"/>
      <c r="AD73" s="3401"/>
      <c r="AE73" s="3401"/>
      <c r="AF73" s="3401"/>
      <c r="AG73" s="3401"/>
      <c r="AH73" s="3401"/>
      <c r="AI73" s="3401"/>
      <c r="AJ73" s="3401"/>
      <c r="AK73" s="3401"/>
      <c r="AL73" s="3401"/>
      <c r="AM73" s="3401"/>
    </row>
    <row r="74" spans="1:39" s="1828" customFormat="1">
      <c r="A74" s="140"/>
      <c r="B74" s="3416"/>
      <c r="C74" s="3416"/>
      <c r="D74" s="140"/>
      <c r="E74" s="3412"/>
      <c r="F74" s="3412"/>
      <c r="G74" s="3412"/>
      <c r="AC74" s="3400"/>
      <c r="AD74" s="3401"/>
      <c r="AE74" s="3401"/>
      <c r="AF74" s="3401"/>
      <c r="AG74" s="3401"/>
      <c r="AH74" s="3401"/>
      <c r="AI74" s="3401"/>
      <c r="AJ74" s="3401"/>
      <c r="AK74" s="3401"/>
      <c r="AL74" s="3401"/>
      <c r="AM74" s="3401"/>
    </row>
    <row r="75" spans="1:39" s="1828" customFormat="1">
      <c r="A75" s="140"/>
      <c r="B75" s="3416"/>
      <c r="C75" s="3416"/>
      <c r="D75" s="140"/>
      <c r="E75" s="3412"/>
      <c r="F75" s="3412"/>
      <c r="G75" s="3412"/>
      <c r="AC75" s="3400"/>
      <c r="AD75" s="3401"/>
      <c r="AE75" s="3401"/>
      <c r="AF75" s="3401"/>
      <c r="AG75" s="3401"/>
      <c r="AH75" s="3401"/>
      <c r="AI75" s="3401"/>
      <c r="AJ75" s="3401"/>
      <c r="AK75" s="3401"/>
      <c r="AL75" s="3401"/>
      <c r="AM75" s="3401"/>
    </row>
    <row r="76" spans="1:39" s="1828" customFormat="1">
      <c r="A76" s="140"/>
      <c r="B76" s="3416"/>
      <c r="C76" s="3416"/>
      <c r="D76" s="140"/>
      <c r="E76" s="3412"/>
      <c r="F76" s="3412"/>
      <c r="G76" s="3412"/>
      <c r="AC76" s="3400"/>
      <c r="AD76" s="3401"/>
      <c r="AE76" s="3401"/>
      <c r="AF76" s="3401"/>
      <c r="AG76" s="3401"/>
      <c r="AH76" s="3401"/>
      <c r="AI76" s="3401"/>
      <c r="AJ76" s="3401"/>
      <c r="AK76" s="3401"/>
      <c r="AL76" s="3401"/>
      <c r="AM76" s="3401"/>
    </row>
    <row r="77" spans="1:39" s="1828" customFormat="1">
      <c r="A77" s="140"/>
      <c r="B77" s="3416"/>
      <c r="C77" s="3416"/>
      <c r="D77" s="140"/>
      <c r="E77" s="3412"/>
      <c r="F77" s="3412"/>
      <c r="G77" s="3412"/>
      <c r="AC77" s="3400"/>
      <c r="AD77" s="3401"/>
      <c r="AE77" s="3401"/>
      <c r="AF77" s="3401"/>
      <c r="AG77" s="3401"/>
      <c r="AH77" s="3401"/>
      <c r="AI77" s="3401"/>
      <c r="AJ77" s="3401"/>
      <c r="AK77" s="3401"/>
      <c r="AL77" s="3401"/>
      <c r="AM77" s="3401"/>
    </row>
    <row r="78" spans="1:39" s="1828" customFormat="1">
      <c r="A78" s="140"/>
      <c r="B78" s="3416"/>
      <c r="C78" s="3416"/>
      <c r="D78" s="140"/>
      <c r="E78" s="3412"/>
      <c r="F78" s="3412"/>
      <c r="G78" s="3412"/>
      <c r="AC78" s="3400"/>
      <c r="AD78" s="3401"/>
      <c r="AE78" s="3401"/>
      <c r="AF78" s="3401"/>
      <c r="AG78" s="3401"/>
      <c r="AH78" s="3401"/>
      <c r="AI78" s="3401"/>
      <c r="AJ78" s="3401"/>
      <c r="AK78" s="3401"/>
      <c r="AL78" s="3401"/>
      <c r="AM78" s="3401"/>
    </row>
    <row r="79" spans="1:39" s="1828" customFormat="1">
      <c r="A79" s="140"/>
      <c r="B79" s="3416"/>
      <c r="C79" s="3416"/>
      <c r="D79" s="140"/>
      <c r="E79" s="3412"/>
      <c r="F79" s="3412"/>
      <c r="G79" s="3412"/>
      <c r="AC79" s="3400"/>
      <c r="AD79" s="3401"/>
      <c r="AE79" s="3401"/>
      <c r="AF79" s="3401"/>
      <c r="AG79" s="3401"/>
      <c r="AH79" s="3401"/>
      <c r="AI79" s="3401"/>
      <c r="AJ79" s="3401"/>
      <c r="AK79" s="3401"/>
      <c r="AL79" s="3401"/>
      <c r="AM79" s="3401"/>
    </row>
    <row r="80" spans="1:39" s="1828" customFormat="1">
      <c r="A80" s="140"/>
      <c r="B80" s="3416"/>
      <c r="C80" s="3416"/>
      <c r="D80" s="140"/>
      <c r="E80" s="3412"/>
      <c r="F80" s="3412"/>
      <c r="G80" s="3412"/>
      <c r="AC80" s="3400"/>
      <c r="AD80" s="3401"/>
      <c r="AE80" s="3401"/>
      <c r="AF80" s="3401"/>
      <c r="AG80" s="3401"/>
      <c r="AH80" s="3401"/>
      <c r="AI80" s="3401"/>
      <c r="AJ80" s="3401"/>
      <c r="AK80" s="3401"/>
      <c r="AL80" s="3401"/>
      <c r="AM80" s="3401"/>
    </row>
    <row r="81" spans="1:39" s="1828" customFormat="1">
      <c r="A81" s="140"/>
      <c r="B81" s="3416"/>
      <c r="C81" s="3416"/>
      <c r="D81" s="140"/>
      <c r="E81" s="3412"/>
      <c r="F81" s="3412"/>
      <c r="G81" s="3412"/>
      <c r="AC81" s="3400"/>
      <c r="AD81" s="3401"/>
      <c r="AE81" s="3401"/>
      <c r="AF81" s="3401"/>
      <c r="AG81" s="3401"/>
      <c r="AH81" s="3401"/>
      <c r="AI81" s="3401"/>
      <c r="AJ81" s="3401"/>
      <c r="AK81" s="3401"/>
      <c r="AL81" s="3401"/>
      <c r="AM81" s="3401"/>
    </row>
    <row r="82" spans="1:39" s="1828" customFormat="1">
      <c r="A82" s="140"/>
      <c r="B82" s="3416"/>
      <c r="C82" s="3416"/>
      <c r="D82" s="140"/>
      <c r="E82" s="3412"/>
      <c r="F82" s="3412"/>
      <c r="G82" s="3412"/>
      <c r="AC82" s="3400"/>
      <c r="AD82" s="3401"/>
      <c r="AE82" s="3401"/>
      <c r="AF82" s="3401"/>
      <c r="AG82" s="3401"/>
      <c r="AH82" s="3401"/>
      <c r="AI82" s="3401"/>
      <c r="AJ82" s="3401"/>
      <c r="AK82" s="3401"/>
      <c r="AL82" s="3401"/>
      <c r="AM82" s="3401"/>
    </row>
    <row r="83" spans="1:39" s="1828" customFormat="1">
      <c r="A83" s="140"/>
      <c r="B83" s="3416"/>
      <c r="C83" s="3416"/>
      <c r="D83" s="140"/>
      <c r="E83" s="3412"/>
      <c r="F83" s="3412"/>
      <c r="G83" s="3412"/>
      <c r="AC83" s="3400"/>
      <c r="AD83" s="3401"/>
      <c r="AE83" s="3401"/>
      <c r="AF83" s="3401"/>
      <c r="AG83" s="3401"/>
      <c r="AH83" s="3401"/>
      <c r="AI83" s="3401"/>
      <c r="AJ83" s="3401"/>
      <c r="AK83" s="3401"/>
      <c r="AL83" s="3401"/>
      <c r="AM83" s="3401"/>
    </row>
    <row r="84" spans="1:39">
      <c r="H84" s="1734" t="s">
        <v>2424</v>
      </c>
    </row>
    <row r="85" spans="1:39">
      <c r="H85" s="2156"/>
      <c r="I85" s="2651" t="s">
        <v>2382</v>
      </c>
      <c r="J85" s="2652"/>
      <c r="K85" s="2653">
        <v>2015</v>
      </c>
      <c r="L85" s="2652"/>
    </row>
    <row r="86" spans="1:39">
      <c r="H86" s="2160" t="s">
        <v>2086</v>
      </c>
      <c r="I86" s="805" t="s">
        <v>2422</v>
      </c>
      <c r="J86" s="1819" t="s">
        <v>2423</v>
      </c>
      <c r="K86" s="805" t="s">
        <v>2422</v>
      </c>
      <c r="L86" s="1819" t="s">
        <v>2423</v>
      </c>
    </row>
    <row r="87" spans="1:39">
      <c r="H87" s="2021" t="s">
        <v>2171</v>
      </c>
      <c r="I87" s="128">
        <f>RevPAR!V10</f>
        <v>3.7999999999999999E-2</v>
      </c>
      <c r="J87" s="786">
        <v>0.06</v>
      </c>
      <c r="K87" s="128">
        <f>RevPAR!W10</f>
        <v>5.1999999999999998E-2</v>
      </c>
      <c r="L87" s="786">
        <v>5.5749999999999994E-2</v>
      </c>
    </row>
    <row r="88" spans="1:39">
      <c r="H88" s="2021" t="s">
        <v>208</v>
      </c>
      <c r="I88" s="128">
        <f>RevPAR!V11</f>
        <v>3.7999999999999999E-2</v>
      </c>
      <c r="J88" s="786">
        <v>0.06</v>
      </c>
      <c r="K88" s="128">
        <f>RevPAR!W11</f>
        <v>5.1694213664527311E-2</v>
      </c>
      <c r="L88" s="786">
        <v>5.8750000000000004E-2</v>
      </c>
    </row>
    <row r="89" spans="1:39">
      <c r="H89" s="2021" t="s">
        <v>2218</v>
      </c>
      <c r="I89" s="128">
        <f>RevPAR!V12</f>
        <v>5.0000000000000044E-2</v>
      </c>
      <c r="J89" s="786">
        <v>0.04</v>
      </c>
      <c r="K89" s="128">
        <f>RevPAR!W12</f>
        <v>6.0999999999999943E-2</v>
      </c>
      <c r="L89" s="786">
        <v>5.2749999999999998E-2</v>
      </c>
    </row>
    <row r="90" spans="1:39">
      <c r="H90" s="2021" t="s">
        <v>209</v>
      </c>
      <c r="I90" s="417">
        <f>RevPAR!V13</f>
        <v>-8.7999999999999967E-2</v>
      </c>
      <c r="J90" s="655">
        <v>0.04</v>
      </c>
      <c r="K90" s="417">
        <f>RevPAR!W13</f>
        <v>1.6999999999999904E-2</v>
      </c>
      <c r="L90" s="655">
        <v>4.7249999999999993E-2</v>
      </c>
    </row>
    <row r="91" spans="1:39">
      <c r="H91" s="2022" t="s">
        <v>1688</v>
      </c>
      <c r="I91" s="612">
        <f>RevPAR!V14</f>
        <v>6.6999999999999948E-2</v>
      </c>
      <c r="J91" s="693">
        <v>7.0000000000000007E-2</v>
      </c>
      <c r="K91" s="612">
        <f>RevPAR!W14</f>
        <v>9.2999999999999972E-2</v>
      </c>
      <c r="L91" s="693">
        <v>7.7500000000000013E-2</v>
      </c>
    </row>
    <row r="92" spans="1:39">
      <c r="H92" s="507" t="s">
        <v>788</v>
      </c>
      <c r="I92" s="1392">
        <f>RevPAR!V15</f>
        <v>3.6999999999999998E-2</v>
      </c>
      <c r="J92" s="1394">
        <v>5.8170762678913128E-2</v>
      </c>
      <c r="K92" s="1392">
        <f>RevPAR!W15</f>
        <v>5.3999999999999999E-2</v>
      </c>
      <c r="L92" s="1394">
        <v>5.6375454571018106E-2</v>
      </c>
    </row>
    <row r="93" spans="1:39">
      <c r="M93" s="2156" t="s">
        <v>2426</v>
      </c>
      <c r="N93" s="1743"/>
      <c r="O93" s="1743"/>
      <c r="P93" s="1743"/>
      <c r="Q93" s="1743"/>
      <c r="R93" s="1743"/>
      <c r="S93" s="1743"/>
      <c r="T93" s="2162"/>
    </row>
    <row r="94" spans="1:39">
      <c r="M94" s="1972"/>
      <c r="N94" s="1742">
        <v>1998</v>
      </c>
      <c r="O94" s="1742">
        <f t="shared" ref="O94:T94" si="5">+N94+1</f>
        <v>1999</v>
      </c>
      <c r="P94" s="1742">
        <f t="shared" si="5"/>
        <v>2000</v>
      </c>
      <c r="Q94" s="1742">
        <f t="shared" si="5"/>
        <v>2001</v>
      </c>
      <c r="R94" s="1742">
        <f t="shared" si="5"/>
        <v>2002</v>
      </c>
      <c r="S94" s="1742">
        <f t="shared" si="5"/>
        <v>2003</v>
      </c>
      <c r="T94" s="2658">
        <f t="shared" si="5"/>
        <v>2004</v>
      </c>
    </row>
    <row r="95" spans="1:39" ht="3.95" customHeight="1">
      <c r="M95" s="1898"/>
      <c r="N95" s="1777"/>
      <c r="O95" s="1777"/>
      <c r="P95" s="1777"/>
      <c r="Q95" s="1777"/>
      <c r="R95" s="1777"/>
      <c r="S95" s="1777"/>
      <c r="T95" s="2162"/>
    </row>
    <row r="96" spans="1:39" ht="12.75" customHeight="1">
      <c r="M96" s="2659" t="s">
        <v>2086</v>
      </c>
      <c r="N96" s="1777"/>
      <c r="O96" s="1777"/>
      <c r="P96" s="1777"/>
      <c r="Q96" s="1777"/>
      <c r="R96" s="1777"/>
      <c r="S96" s="1777"/>
      <c r="T96" s="1976"/>
    </row>
    <row r="97" spans="7:240" s="1777" customFormat="1" ht="12.75" customHeight="1">
      <c r="G97" s="1752"/>
      <c r="M97" s="2671" t="s">
        <v>2425</v>
      </c>
      <c r="T97" s="1976"/>
      <c r="AC97" s="1971"/>
      <c r="AD97" s="2699"/>
      <c r="AE97" s="2699"/>
      <c r="AF97" s="2699"/>
      <c r="AG97" s="2699"/>
      <c r="AH97" s="2699"/>
      <c r="AI97" s="2699"/>
      <c r="AJ97" s="2699"/>
      <c r="AK97" s="2699"/>
      <c r="AL97" s="2699"/>
      <c r="AM97" s="2699"/>
      <c r="HW97" s="1752"/>
      <c r="HX97" s="1752"/>
      <c r="HY97" s="1752"/>
      <c r="HZ97" s="1752"/>
      <c r="IA97" s="1752"/>
      <c r="IB97" s="1752"/>
      <c r="IC97" s="1752"/>
      <c r="ID97" s="1752"/>
      <c r="IE97" s="1752"/>
      <c r="IF97" s="1752"/>
    </row>
    <row r="98" spans="7:240" ht="12.75" customHeight="1">
      <c r="M98" s="1898" t="s">
        <v>45</v>
      </c>
      <c r="N98" s="2660">
        <v>155.01</v>
      </c>
      <c r="O98" s="2660">
        <v>131.33000000000001</v>
      </c>
      <c r="P98" s="2660">
        <v>133.13999999999999</v>
      </c>
      <c r="Q98" s="2660">
        <v>132.38</v>
      </c>
      <c r="R98" s="2660">
        <v>126.36</v>
      </c>
      <c r="S98" s="2660">
        <v>125.35</v>
      </c>
      <c r="T98" s="2661">
        <v>130.66</v>
      </c>
    </row>
    <row r="99" spans="7:240">
      <c r="M99" s="1898"/>
      <c r="N99" s="1777"/>
      <c r="O99" s="1784"/>
      <c r="P99" s="1784">
        <f>+P98/O98-1</f>
        <v>1.3782075687200024E-2</v>
      </c>
      <c r="Q99" s="1784">
        <f>+Q98/P98-1</f>
        <v>-5.7082770016523288E-3</v>
      </c>
      <c r="R99" s="1784">
        <f>+R98/Q98-1</f>
        <v>-4.5475147303218E-2</v>
      </c>
      <c r="S99" s="1784">
        <f>+S98/R98-1</f>
        <v>-7.9930357708135613E-3</v>
      </c>
      <c r="T99" s="2662">
        <f>+T98/S98-1</f>
        <v>4.2361388113282938E-2</v>
      </c>
    </row>
    <row r="100" spans="7:240" ht="3.95" customHeight="1">
      <c r="M100" s="1898"/>
      <c r="N100" s="1777"/>
      <c r="O100" s="1777"/>
      <c r="P100" s="1777"/>
      <c r="Q100" s="1777"/>
      <c r="R100" s="1777"/>
      <c r="S100" s="1777"/>
      <c r="T100" s="1976"/>
    </row>
    <row r="101" spans="7:240">
      <c r="M101" s="1898" t="s">
        <v>2077</v>
      </c>
      <c r="N101" s="2663">
        <v>0.72699999999999998</v>
      </c>
      <c r="O101" s="2663">
        <v>0.71299999999999997</v>
      </c>
      <c r="P101" s="2663">
        <v>0.73199999999999998</v>
      </c>
      <c r="Q101" s="2663">
        <v>0.67700000000000005</v>
      </c>
      <c r="R101" s="2663">
        <v>0.68799999999999994</v>
      </c>
      <c r="S101" s="2663">
        <v>0.68200000000000005</v>
      </c>
      <c r="T101" s="2664">
        <v>0.71299999999999997</v>
      </c>
    </row>
    <row r="102" spans="7:240">
      <c r="M102" s="1898"/>
      <c r="N102" s="1777"/>
      <c r="O102" s="1784"/>
      <c r="P102" s="1784">
        <f>+P101/O101-1</f>
        <v>2.6647966339411022E-2</v>
      </c>
      <c r="Q102" s="1784">
        <f>+Q101/P101-1</f>
        <v>-7.513661202185784E-2</v>
      </c>
      <c r="R102" s="1784">
        <f>+R101/Q101-1</f>
        <v>1.6248153618906747E-2</v>
      </c>
      <c r="S102" s="1784">
        <f>+S101/R101-1</f>
        <v>-8.720930232557933E-3</v>
      </c>
      <c r="T102" s="2662">
        <f>+T101/S101-1</f>
        <v>4.5454545454545414E-2</v>
      </c>
    </row>
    <row r="103" spans="7:240" ht="3.95" customHeight="1">
      <c r="M103" s="1898"/>
      <c r="N103" s="1777"/>
      <c r="O103" s="1777"/>
      <c r="P103" s="1777"/>
      <c r="Q103" s="1777"/>
      <c r="R103" s="1777"/>
      <c r="S103" s="1777"/>
      <c r="T103" s="1976"/>
    </row>
    <row r="104" spans="7:240">
      <c r="M104" s="1898" t="s">
        <v>2086</v>
      </c>
      <c r="N104" s="2660">
        <v>112.69</v>
      </c>
      <c r="O104" s="2660">
        <v>93.67</v>
      </c>
      <c r="P104" s="2660">
        <v>97.46</v>
      </c>
      <c r="Q104" s="2660">
        <v>89.68</v>
      </c>
      <c r="R104" s="2660">
        <v>86.89</v>
      </c>
      <c r="S104" s="2660">
        <v>85.51</v>
      </c>
      <c r="T104" s="2661">
        <v>93.16</v>
      </c>
    </row>
    <row r="105" spans="7:240">
      <c r="M105" s="1898"/>
      <c r="N105" s="1777"/>
      <c r="O105" s="1784"/>
      <c r="P105" s="1784">
        <f>+P104/O104-1</f>
        <v>4.0461193551830865E-2</v>
      </c>
      <c r="Q105" s="1327">
        <f>+Q104/P104-1</f>
        <v>-7.9827621588343778E-2</v>
      </c>
      <c r="R105" s="2669">
        <f>+R104/Q104-1</f>
        <v>-3.1110615521855567E-2</v>
      </c>
      <c r="S105" s="2670">
        <f>+S104/R104-1</f>
        <v>-1.5882149844631099E-2</v>
      </c>
      <c r="T105" s="2662">
        <f>+T104/S104-1</f>
        <v>8.9463220675944255E-2</v>
      </c>
    </row>
    <row r="106" spans="7:240" ht="3.95" customHeight="1">
      <c r="M106" s="1898"/>
      <c r="N106" s="1777"/>
      <c r="O106" s="1777"/>
      <c r="P106" s="1777"/>
      <c r="Q106" s="1777"/>
      <c r="R106" s="1777"/>
      <c r="S106" s="1777"/>
      <c r="T106" s="1976"/>
    </row>
    <row r="107" spans="7:240">
      <c r="M107" s="2671" t="s">
        <v>1284</v>
      </c>
      <c r="N107" s="1777"/>
      <c r="O107" s="1777"/>
      <c r="P107" s="1777"/>
      <c r="Q107" s="1777"/>
      <c r="R107" s="1777"/>
      <c r="S107" s="1777"/>
      <c r="T107" s="1976"/>
    </row>
    <row r="108" spans="7:240">
      <c r="M108" s="1898" t="s">
        <v>45</v>
      </c>
      <c r="N108" s="2660">
        <v>97.3</v>
      </c>
      <c r="O108" s="2660">
        <v>84.91</v>
      </c>
      <c r="P108" s="2660">
        <v>88.35</v>
      </c>
      <c r="Q108" s="2660">
        <v>89.4</v>
      </c>
      <c r="R108" s="2660">
        <v>88.81</v>
      </c>
      <c r="S108" s="2660">
        <v>89.14</v>
      </c>
      <c r="T108" s="2661">
        <v>92.51</v>
      </c>
    </row>
    <row r="109" spans="7:240">
      <c r="M109" s="1898"/>
      <c r="N109" s="1777"/>
      <c r="O109" s="1784"/>
      <c r="P109" s="1784">
        <f>+P108/O108-1</f>
        <v>4.0513484866329108E-2</v>
      </c>
      <c r="Q109" s="1784">
        <f>+Q108/P108-1</f>
        <v>1.1884550084889867E-2</v>
      </c>
      <c r="R109" s="1784">
        <f>+R108/Q108-1</f>
        <v>-6.599552572706946E-3</v>
      </c>
      <c r="S109" s="1784">
        <f>+S108/R108-1</f>
        <v>3.7157977705213341E-3</v>
      </c>
      <c r="T109" s="2662">
        <f>+T108/S108-1</f>
        <v>3.7805698900605922E-2</v>
      </c>
    </row>
    <row r="110" spans="7:240" ht="3.95" customHeight="1">
      <c r="M110" s="1898"/>
      <c r="N110" s="1777"/>
      <c r="O110" s="1777"/>
      <c r="P110" s="1777"/>
      <c r="Q110" s="1777"/>
      <c r="R110" s="1777"/>
      <c r="S110" s="1777"/>
      <c r="T110" s="1976"/>
    </row>
    <row r="111" spans="7:240">
      <c r="M111" s="1898" t="s">
        <v>2077</v>
      </c>
      <c r="N111" s="2663">
        <v>0.68200000000000005</v>
      </c>
      <c r="O111" s="2663">
        <v>0.68300000000000005</v>
      </c>
      <c r="P111" s="2663">
        <v>0.69099999999999995</v>
      </c>
      <c r="Q111" s="2663">
        <v>0.66800000000000004</v>
      </c>
      <c r="R111" s="2663">
        <v>0.67</v>
      </c>
      <c r="S111" s="2663">
        <v>0.66200000000000003</v>
      </c>
      <c r="T111" s="2664">
        <v>0.68400000000000005</v>
      </c>
    </row>
    <row r="112" spans="7:240">
      <c r="M112" s="1898"/>
      <c r="N112" s="1777"/>
      <c r="O112" s="1784"/>
      <c r="P112" s="1784">
        <f>+P111/O111-1</f>
        <v>1.1713030746705488E-2</v>
      </c>
      <c r="Q112" s="1784">
        <f>+Q111/P111-1</f>
        <v>-3.3285094066570098E-2</v>
      </c>
      <c r="R112" s="1784">
        <f>+R111/Q111-1</f>
        <v>2.9940119760478723E-3</v>
      </c>
      <c r="S112" s="1784">
        <f>+S111/R111-1</f>
        <v>-1.1940298507462699E-2</v>
      </c>
      <c r="T112" s="2662">
        <f>+T111/S111-1</f>
        <v>3.3232628398791597E-2</v>
      </c>
    </row>
    <row r="113" spans="1:240" ht="3.95" customHeight="1">
      <c r="M113" s="1898"/>
      <c r="N113" s="1777"/>
      <c r="O113" s="1777"/>
      <c r="P113" s="1777"/>
      <c r="Q113" s="1777"/>
      <c r="R113" s="1777"/>
      <c r="S113" s="1777"/>
      <c r="T113" s="1976"/>
    </row>
    <row r="114" spans="1:240">
      <c r="M114" s="1898" t="s">
        <v>2086</v>
      </c>
      <c r="N114" s="2660">
        <v>66.36</v>
      </c>
      <c r="O114" s="2660">
        <v>58.01</v>
      </c>
      <c r="P114" s="2660">
        <v>61.02</v>
      </c>
      <c r="Q114" s="2660">
        <v>59.74</v>
      </c>
      <c r="R114" s="2660">
        <v>59.49</v>
      </c>
      <c r="S114" s="2660">
        <v>59.03</v>
      </c>
      <c r="T114" s="2661">
        <v>63.3</v>
      </c>
    </row>
    <row r="115" spans="1:240">
      <c r="M115" s="1898"/>
      <c r="N115" s="1777"/>
      <c r="O115" s="1784"/>
      <c r="P115" s="1784">
        <f>+P114/O114-1</f>
        <v>5.1887605585243968E-2</v>
      </c>
      <c r="Q115" s="1327">
        <f>+Q114/P114-1</f>
        <v>-2.0976728941330736E-2</v>
      </c>
      <c r="R115" s="2669">
        <f>+R114/Q114-1</f>
        <v>-4.1848008034817141E-3</v>
      </c>
      <c r="S115" s="2670">
        <f>+S114/R114-1</f>
        <v>-7.7323919986552747E-3</v>
      </c>
      <c r="T115" s="2662">
        <f>+T114/S114-1</f>
        <v>7.233610028798898E-2</v>
      </c>
    </row>
    <row r="116" spans="1:240" ht="12.75" customHeight="1">
      <c r="M116" s="1898"/>
      <c r="N116" s="1777"/>
      <c r="O116" s="1777"/>
      <c r="P116" s="1777"/>
      <c r="Q116" s="1777"/>
      <c r="R116" s="1777"/>
      <c r="S116" s="1777"/>
      <c r="T116" s="1976"/>
    </row>
    <row r="117" spans="1:240" ht="12.75" customHeight="1">
      <c r="M117" s="1898"/>
      <c r="N117" s="1777"/>
      <c r="O117" s="1777"/>
      <c r="P117" s="1777"/>
      <c r="Q117" s="1777"/>
      <c r="R117" s="1777"/>
      <c r="S117" s="1777"/>
      <c r="T117" s="1976"/>
    </row>
    <row r="118" spans="1:240" ht="12.75" customHeight="1">
      <c r="M118" s="505" t="s">
        <v>725</v>
      </c>
      <c r="N118" s="2665">
        <v>1769</v>
      </c>
      <c r="O118" s="2665">
        <v>2150</v>
      </c>
      <c r="P118" s="2665">
        <v>3451</v>
      </c>
      <c r="Q118" s="2665">
        <v>3050</v>
      </c>
      <c r="R118" s="2665">
        <v>2864</v>
      </c>
      <c r="S118" s="2665">
        <v>2849</v>
      </c>
      <c r="T118" s="2666">
        <v>3020</v>
      </c>
    </row>
    <row r="119" spans="1:240">
      <c r="M119" s="1898"/>
      <c r="N119" s="1777"/>
      <c r="O119" s="1784"/>
      <c r="P119" s="1784">
        <f>+P118/O118-1</f>
        <v>0.6051162790697675</v>
      </c>
      <c r="Q119" s="1327">
        <f>+Q118/P118-1</f>
        <v>-0.11619820341929876</v>
      </c>
      <c r="R119" s="2669">
        <f>+R118/Q118-1</f>
        <v>-6.0983606557377001E-2</v>
      </c>
      <c r="S119" s="2670">
        <f>+S118/R118-1</f>
        <v>-5.2374301675978119E-3</v>
      </c>
      <c r="T119" s="2662">
        <f>+T118/S118-1</f>
        <v>6.0021060021060002E-2</v>
      </c>
    </row>
    <row r="120" spans="1:240" ht="3.95" customHeight="1">
      <c r="M120" s="1898"/>
      <c r="N120" s="1777"/>
      <c r="O120" s="1777"/>
      <c r="P120" s="1777"/>
      <c r="Q120" s="1777"/>
      <c r="R120" s="1777"/>
      <c r="S120" s="1777"/>
      <c r="T120" s="1976"/>
    </row>
    <row r="121" spans="1:240">
      <c r="M121" s="505" t="s">
        <v>1228</v>
      </c>
      <c r="N121" s="2665">
        <v>596</v>
      </c>
      <c r="O121" s="2665">
        <v>695</v>
      </c>
      <c r="P121" s="2665">
        <v>1271</v>
      </c>
      <c r="Q121" s="2665">
        <v>1072</v>
      </c>
      <c r="R121" s="2665">
        <v>990</v>
      </c>
      <c r="S121" s="2665">
        <f>515+334+22</f>
        <v>871</v>
      </c>
      <c r="T121" s="2666">
        <f>658+330+5</f>
        <v>993</v>
      </c>
    </row>
    <row r="122" spans="1:240">
      <c r="M122" s="1972"/>
      <c r="N122" s="1735"/>
      <c r="O122" s="2667"/>
      <c r="P122" s="2667">
        <f>+P121/O121-1</f>
        <v>0.82877697841726627</v>
      </c>
      <c r="Q122" s="1327">
        <f>+Q121/P121-1</f>
        <v>-0.1565696302124312</v>
      </c>
      <c r="R122" s="2669">
        <f>+R121/Q121-1</f>
        <v>-7.6492537313432862E-2</v>
      </c>
      <c r="S122" s="2670">
        <f>+S121/R121-1</f>
        <v>-0.1202020202020202</v>
      </c>
      <c r="T122" s="2668">
        <f>+T121/S121-1</f>
        <v>0.140068886337543</v>
      </c>
    </row>
    <row r="123" spans="1:240">
      <c r="O123" s="1775"/>
      <c r="P123" s="1775"/>
      <c r="Q123" s="1775"/>
      <c r="R123" s="1775"/>
      <c r="S123" s="1775"/>
      <c r="T123" s="1775"/>
      <c r="U123" s="2691">
        <v>2015</v>
      </c>
      <c r="V123" s="1965" t="s">
        <v>45</v>
      </c>
      <c r="W123" s="1966" t="s">
        <v>2086</v>
      </c>
    </row>
    <row r="124" spans="1:240" s="2690" customFormat="1">
      <c r="A124" s="1734"/>
      <c r="B124" s="1734"/>
      <c r="C124" s="1734"/>
      <c r="D124" s="1734"/>
      <c r="E124" s="1734"/>
      <c r="F124" s="1734"/>
      <c r="G124" s="1828"/>
      <c r="H124" s="1734"/>
      <c r="I124" s="1734"/>
      <c r="J124" s="1734"/>
      <c r="K124" s="1734"/>
      <c r="L124" s="1734"/>
      <c r="M124" s="1734"/>
      <c r="N124" s="1734"/>
      <c r="O124" s="1734"/>
      <c r="P124" s="1734"/>
      <c r="Q124" s="1734"/>
      <c r="R124" s="1734"/>
      <c r="S124" s="1734"/>
      <c r="T124" s="1734"/>
      <c r="U124" s="2692" t="s">
        <v>2441</v>
      </c>
      <c r="V124" s="2693">
        <v>239.97</v>
      </c>
      <c r="W124" s="2694">
        <v>196.22</v>
      </c>
      <c r="AC124" s="2425"/>
      <c r="AD124" s="2700"/>
      <c r="AE124" s="2700"/>
      <c r="AF124" s="2700"/>
      <c r="AG124" s="2700"/>
      <c r="AH124" s="2700"/>
      <c r="AI124" s="2700"/>
      <c r="AJ124" s="2700"/>
      <c r="AK124" s="2700"/>
      <c r="AL124" s="2700"/>
      <c r="AM124" s="2700"/>
      <c r="HW124" s="3413"/>
      <c r="HX124" s="3413"/>
      <c r="HY124" s="3413"/>
      <c r="HZ124" s="3413"/>
      <c r="IA124" s="3413"/>
      <c r="IB124" s="3413"/>
      <c r="IC124" s="3413"/>
      <c r="ID124" s="3413"/>
      <c r="IE124" s="3413"/>
      <c r="IF124" s="3413"/>
    </row>
    <row r="125" spans="1:240" s="2690" customFormat="1">
      <c r="G125" s="3413"/>
      <c r="U125" s="2692" t="s">
        <v>2439</v>
      </c>
      <c r="V125" s="2693">
        <v>220.11</v>
      </c>
      <c r="W125" s="2694">
        <v>170.34</v>
      </c>
      <c r="AC125" s="2425"/>
      <c r="AD125" s="2700"/>
      <c r="AE125" s="2700"/>
      <c r="AF125" s="2700"/>
      <c r="AG125" s="2700"/>
      <c r="AH125" s="2700"/>
      <c r="AI125" s="2700"/>
      <c r="AJ125" s="2700"/>
      <c r="AK125" s="2700"/>
      <c r="AL125" s="2700"/>
      <c r="AM125" s="2700"/>
      <c r="HW125" s="3413"/>
      <c r="HX125" s="3413"/>
      <c r="HY125" s="3413"/>
      <c r="HZ125" s="3413"/>
      <c r="IA125" s="3413"/>
      <c r="IB125" s="3413"/>
      <c r="IC125" s="3413"/>
      <c r="ID125" s="3413"/>
      <c r="IE125" s="3413"/>
      <c r="IF125" s="3413"/>
    </row>
    <row r="126" spans="1:240" s="2690" customFormat="1">
      <c r="G126" s="3413"/>
      <c r="U126" s="2692" t="s">
        <v>2438</v>
      </c>
      <c r="V126" s="2693">
        <v>213.74</v>
      </c>
      <c r="W126" s="2694">
        <v>170.87</v>
      </c>
      <c r="AC126" s="2425"/>
      <c r="AD126" s="2700"/>
      <c r="AE126" s="2700"/>
      <c r="AF126" s="2700"/>
      <c r="AG126" s="2700"/>
      <c r="AH126" s="2700"/>
      <c r="AI126" s="2700"/>
      <c r="AJ126" s="2700"/>
      <c r="AK126" s="2700"/>
      <c r="AL126" s="2700"/>
      <c r="AM126" s="2700"/>
      <c r="HW126" s="3413"/>
      <c r="HX126" s="3413"/>
      <c r="HY126" s="3413"/>
      <c r="HZ126" s="3413"/>
      <c r="IA126" s="3413"/>
      <c r="IB126" s="3413"/>
      <c r="IC126" s="3413"/>
      <c r="ID126" s="3413"/>
      <c r="IE126" s="3413"/>
      <c r="IF126" s="3413"/>
    </row>
    <row r="127" spans="1:240" s="2690" customFormat="1" ht="13.5" thickBot="1">
      <c r="G127" s="3413"/>
      <c r="U127" s="2692" t="s">
        <v>2437</v>
      </c>
      <c r="V127" s="2693">
        <v>197.35</v>
      </c>
      <c r="W127" s="2694">
        <v>187.22</v>
      </c>
      <c r="AC127" s="2425"/>
      <c r="AD127" s="2700"/>
      <c r="AE127" s="2700"/>
      <c r="AF127" s="2700"/>
      <c r="AG127" s="2700"/>
      <c r="AH127" s="2700"/>
      <c r="AI127" s="2700"/>
      <c r="AJ127" s="2700"/>
      <c r="AK127" s="2700"/>
      <c r="AL127" s="2700"/>
      <c r="AM127" s="2700"/>
      <c r="HW127" s="3413"/>
      <c r="HX127" s="3413"/>
      <c r="HY127" s="3413"/>
      <c r="HZ127" s="3413"/>
      <c r="IA127" s="3413"/>
      <c r="IB127" s="3413"/>
      <c r="IC127" s="3413"/>
      <c r="ID127" s="3413"/>
      <c r="IE127" s="3413"/>
      <c r="IF127" s="3413"/>
    </row>
    <row r="128" spans="1:240" s="2690" customFormat="1" ht="13.5" thickBot="1">
      <c r="G128" s="3413"/>
      <c r="U128" s="2695" t="s">
        <v>2624</v>
      </c>
      <c r="V128" s="2696">
        <v>196.1</v>
      </c>
      <c r="W128" s="2697">
        <v>160.37</v>
      </c>
      <c r="AC128" s="2425"/>
      <c r="AD128" s="2700"/>
      <c r="AE128" s="2700"/>
      <c r="AF128" s="2700"/>
      <c r="AG128" s="2700"/>
      <c r="AH128" s="2700"/>
      <c r="AI128" s="2700"/>
      <c r="AJ128" s="2700"/>
      <c r="AK128" s="2700"/>
      <c r="AL128" s="2700"/>
      <c r="AM128" s="2700"/>
      <c r="HW128" s="3413"/>
      <c r="HX128" s="3413"/>
      <c r="HY128" s="3413"/>
      <c r="HZ128" s="3413"/>
      <c r="IA128" s="3413"/>
      <c r="IB128" s="3413"/>
      <c r="IC128" s="3413"/>
      <c r="ID128" s="3413"/>
      <c r="IE128" s="3413"/>
      <c r="IF128" s="3413"/>
    </row>
    <row r="129" spans="7:240" s="2690" customFormat="1">
      <c r="G129" s="3413"/>
      <c r="U129" s="3405" t="s">
        <v>2440</v>
      </c>
      <c r="V129" s="3406">
        <v>190.03</v>
      </c>
      <c r="W129" s="3407">
        <v>144.91999999999999</v>
      </c>
      <c r="AC129" s="2425"/>
      <c r="AD129" s="2700"/>
      <c r="AE129" s="2700"/>
      <c r="AF129" s="2700"/>
      <c r="AG129" s="2700"/>
      <c r="AH129" s="2700"/>
      <c r="AI129" s="2700"/>
      <c r="AJ129" s="2700"/>
      <c r="AK129" s="2700"/>
      <c r="AL129" s="2700"/>
      <c r="AM129" s="2700"/>
      <c r="HW129" s="3413"/>
      <c r="HX129" s="3413"/>
      <c r="HY129" s="3413"/>
      <c r="HZ129" s="3413"/>
      <c r="IA129" s="3413"/>
      <c r="IB129" s="3413"/>
      <c r="IC129" s="3413"/>
      <c r="ID129" s="3413"/>
      <c r="IE129" s="3413"/>
      <c r="IF129" s="3413"/>
    </row>
    <row r="130" spans="7:240" s="2690" customFormat="1">
      <c r="G130" s="3413"/>
      <c r="Z130" s="2425"/>
      <c r="AA130" s="2700"/>
      <c r="AB130" s="2700"/>
      <c r="AC130" s="2700"/>
      <c r="AD130" s="2700"/>
      <c r="AE130" s="2700"/>
      <c r="AF130" s="2700"/>
      <c r="AG130" s="2700"/>
      <c r="AH130" s="2700"/>
      <c r="AI130" s="2700"/>
      <c r="AJ130" s="2700"/>
      <c r="HW130" s="3413"/>
      <c r="HX130" s="3413"/>
      <c r="HY130" s="3413"/>
      <c r="HZ130" s="3413"/>
      <c r="IA130" s="3413"/>
      <c r="IB130" s="3413"/>
      <c r="IC130" s="3413"/>
      <c r="ID130" s="3413"/>
      <c r="IE130" s="3413"/>
      <c r="IF130" s="3413"/>
    </row>
    <row r="131" spans="7:240" s="2690" customFormat="1">
      <c r="G131" s="3413"/>
      <c r="U131" s="1734"/>
      <c r="V131" s="1734"/>
      <c r="W131" s="1734"/>
      <c r="AC131" s="2425"/>
      <c r="AD131" s="2700"/>
      <c r="AE131" s="2700"/>
      <c r="AF131" s="2700"/>
      <c r="AG131" s="2700"/>
      <c r="AH131" s="2700"/>
      <c r="AI131" s="2700"/>
      <c r="AJ131" s="2700"/>
      <c r="AK131" s="2700"/>
      <c r="AL131" s="2700"/>
      <c r="AM131" s="2700"/>
      <c r="HW131" s="3413"/>
      <c r="HX131" s="3413"/>
      <c r="HY131" s="3413"/>
      <c r="HZ131" s="3413"/>
      <c r="IA131" s="3413"/>
      <c r="IB131" s="3413"/>
      <c r="IC131" s="3413"/>
      <c r="ID131" s="3413"/>
      <c r="IE131" s="3413"/>
      <c r="IF131" s="3413"/>
    </row>
    <row r="132" spans="7:240">
      <c r="X132" s="1964" t="s">
        <v>2442</v>
      </c>
      <c r="Y132" s="1965" t="s">
        <v>1228</v>
      </c>
      <c r="Z132" s="1965" t="s">
        <v>2076</v>
      </c>
      <c r="AA132" s="1966" t="s">
        <v>434</v>
      </c>
    </row>
    <row r="133" spans="7:240" ht="13.5" thickBot="1">
      <c r="X133" s="1898" t="s">
        <v>2439</v>
      </c>
      <c r="Y133" s="2703">
        <v>1410</v>
      </c>
      <c r="Z133" s="2703">
        <f>3893+57477</f>
        <v>61370</v>
      </c>
      <c r="AA133" s="2704">
        <v>117</v>
      </c>
    </row>
    <row r="134" spans="7:240" ht="13.5" thickBot="1">
      <c r="X134" s="2705" t="s">
        <v>2624</v>
      </c>
      <c r="Y134" s="2701">
        <v>817</v>
      </c>
      <c r="Z134" s="2702">
        <v>36062</v>
      </c>
      <c r="AA134" s="2706">
        <v>69</v>
      </c>
    </row>
    <row r="135" spans="7:240">
      <c r="X135" s="1898" t="s">
        <v>2441</v>
      </c>
      <c r="Y135" s="2703">
        <v>386.50600000000003</v>
      </c>
      <c r="Z135" s="2703">
        <v>12057</v>
      </c>
      <c r="AA135" s="2704">
        <v>47</v>
      </c>
    </row>
    <row r="136" spans="7:240">
      <c r="X136" s="1898" t="s">
        <v>2437</v>
      </c>
      <c r="Y136" s="2703">
        <v>351.33199999999994</v>
      </c>
      <c r="Z136" s="2703">
        <v>14313</v>
      </c>
      <c r="AA136" s="2704">
        <v>30</v>
      </c>
    </row>
    <row r="137" spans="7:240">
      <c r="V137" s="1775"/>
      <c r="X137" s="1898" t="s">
        <v>2440</v>
      </c>
      <c r="Y137" s="2703">
        <v>292.51399999999995</v>
      </c>
      <c r="Z137" s="2703">
        <v>12548</v>
      </c>
      <c r="AA137" s="2704">
        <v>50</v>
      </c>
    </row>
    <row r="138" spans="7:240">
      <c r="X138" s="1972" t="s">
        <v>2438</v>
      </c>
      <c r="Y138" s="2707">
        <v>265.87599999999998</v>
      </c>
      <c r="Z138" s="2707">
        <v>10928</v>
      </c>
      <c r="AA138" s="2708">
        <v>29</v>
      </c>
    </row>
    <row r="139" spans="7:240">
      <c r="Y139" s="2425"/>
      <c r="Z139" s="2698"/>
      <c r="AA139" s="2698"/>
      <c r="AB139" s="2698"/>
      <c r="AC139" s="2698"/>
      <c r="AJ139" s="1734"/>
      <c r="AK139" s="1734"/>
      <c r="AL139" s="1734"/>
      <c r="AM139" s="1734"/>
    </row>
    <row r="141" spans="7:240" ht="13.5" thickBot="1">
      <c r="AB141" s="2091" t="s">
        <v>2445</v>
      </c>
      <c r="AC141" s="2868" t="s">
        <v>2444</v>
      </c>
      <c r="AD141" s="2869" t="s">
        <v>2443</v>
      </c>
      <c r="AE141" s="2699"/>
      <c r="AF141" s="2699"/>
      <c r="AG141" s="2699"/>
      <c r="AH141" s="2699"/>
      <c r="AI141" s="2699"/>
      <c r="AJ141" s="2699"/>
      <c r="AK141" s="2699"/>
      <c r="AL141" s="2699"/>
      <c r="AM141" s="2699"/>
    </row>
    <row r="142" spans="7:240" ht="13.5" thickBot="1">
      <c r="AB142" s="2864" t="s">
        <v>2624</v>
      </c>
      <c r="AC142" s="2870">
        <v>1</v>
      </c>
      <c r="AD142" s="2871" t="s">
        <v>1735</v>
      </c>
      <c r="AE142" s="2699"/>
      <c r="AF142" s="2699"/>
      <c r="AG142" s="2699"/>
      <c r="AH142" s="2699"/>
      <c r="AI142" s="2699"/>
      <c r="AJ142" s="2699"/>
      <c r="AK142" s="2699"/>
      <c r="AL142" s="2699"/>
      <c r="AM142" s="2699"/>
    </row>
    <row r="143" spans="7:240">
      <c r="AB143" s="1898" t="s">
        <v>2439</v>
      </c>
      <c r="AC143" s="2709">
        <v>0.78</v>
      </c>
      <c r="AD143" s="2710" t="s">
        <v>2866</v>
      </c>
      <c r="AE143" s="2699"/>
      <c r="AF143" s="2699"/>
      <c r="AG143" s="2699"/>
      <c r="AH143" s="2699"/>
      <c r="AI143" s="2699"/>
      <c r="AJ143" s="2699"/>
      <c r="AK143" s="2699"/>
      <c r="AL143" s="2699"/>
      <c r="AM143" s="2699"/>
    </row>
    <row r="144" spans="7:240">
      <c r="AB144" s="1898" t="s">
        <v>2438</v>
      </c>
      <c r="AC144" s="2709">
        <v>0.77</v>
      </c>
      <c r="AD144" s="2710" t="s">
        <v>2866</v>
      </c>
      <c r="AE144" s="2699"/>
      <c r="AF144" s="2699"/>
      <c r="AG144" s="2699"/>
      <c r="AH144" s="2699"/>
      <c r="AI144" s="2699"/>
      <c r="AJ144" s="2699"/>
      <c r="AK144" s="2699"/>
      <c r="AL144" s="2699"/>
      <c r="AM144" s="2699"/>
    </row>
    <row r="145" spans="28:39">
      <c r="AB145" s="1898" t="s">
        <v>2437</v>
      </c>
      <c r="AC145" s="2709">
        <v>0.49</v>
      </c>
      <c r="AD145" s="2710" t="s">
        <v>2866</v>
      </c>
      <c r="AE145" s="2699"/>
      <c r="AF145" s="2699"/>
      <c r="AG145" s="2699"/>
      <c r="AH145" s="2699"/>
      <c r="AI145" s="2699"/>
      <c r="AJ145" s="2699"/>
      <c r="AK145" s="2699"/>
      <c r="AL145" s="2699"/>
      <c r="AM145" s="2699"/>
    </row>
    <row r="146" spans="28:39">
      <c r="AB146" s="1898" t="s">
        <v>2440</v>
      </c>
      <c r="AC146" s="2709">
        <v>0.53</v>
      </c>
      <c r="AD146" s="2710" t="s">
        <v>2867</v>
      </c>
      <c r="AE146" s="2699"/>
      <c r="AF146" s="2699"/>
      <c r="AG146" s="2699"/>
      <c r="AH146" s="2699"/>
      <c r="AI146" s="2699"/>
      <c r="AJ146" s="2699"/>
      <c r="AK146" s="2699"/>
      <c r="AL146" s="2699"/>
      <c r="AM146" s="2699"/>
    </row>
    <row r="147" spans="28:39">
      <c r="AB147" s="1972" t="s">
        <v>2441</v>
      </c>
      <c r="AC147" s="2711">
        <v>0.25</v>
      </c>
      <c r="AD147" s="2712" t="s">
        <v>2867</v>
      </c>
      <c r="AE147" s="2699"/>
      <c r="AF147" s="2699"/>
      <c r="AG147" s="2699"/>
      <c r="AH147" s="2699"/>
      <c r="AI147" s="2699"/>
      <c r="AJ147" s="2699"/>
      <c r="AK147" s="2699"/>
      <c r="AL147" s="2699"/>
      <c r="AM147" s="2699"/>
    </row>
    <row r="148" spans="28:39">
      <c r="AB148" s="1777"/>
      <c r="AC148" s="2709"/>
      <c r="AD148" s="2699"/>
      <c r="AE148" s="2699"/>
      <c r="AF148" s="2699"/>
      <c r="AG148" s="2699"/>
      <c r="AH148" s="2699"/>
      <c r="AI148" s="2699"/>
      <c r="AJ148" s="2699"/>
      <c r="AK148" s="2699"/>
      <c r="AL148" s="2699"/>
      <c r="AM148" s="2699"/>
    </row>
    <row r="149" spans="28:39">
      <c r="AB149" s="1777"/>
      <c r="AC149" s="2709"/>
      <c r="AD149" s="2699"/>
      <c r="AE149" s="2091" t="s">
        <v>2891</v>
      </c>
      <c r="AF149" s="1802"/>
      <c r="AG149" s="1802"/>
      <c r="AH149" s="3431"/>
      <c r="AI149" s="2699"/>
      <c r="AJ149" s="2699"/>
      <c r="AK149" s="2699"/>
      <c r="AL149" s="2699"/>
      <c r="AM149" s="2699"/>
    </row>
    <row r="150" spans="28:39">
      <c r="AB150" s="1777"/>
      <c r="AC150" s="2709"/>
      <c r="AD150" s="2699"/>
      <c r="AE150" s="2183"/>
      <c r="AF150" s="1737">
        <v>2013</v>
      </c>
      <c r="AG150" s="1737">
        <v>2014</v>
      </c>
      <c r="AH150" s="3429">
        <v>2015</v>
      </c>
      <c r="AI150" s="2699"/>
      <c r="AJ150" s="2699"/>
      <c r="AK150" s="2699"/>
      <c r="AL150" s="2699"/>
      <c r="AM150" s="2699"/>
    </row>
    <row r="151" spans="28:39">
      <c r="AB151" s="1777"/>
      <c r="AC151" s="2709"/>
      <c r="AD151" s="2699"/>
      <c r="AE151" s="1898" t="s">
        <v>2441</v>
      </c>
      <c r="AF151" s="3424">
        <v>0.30705121186788398</v>
      </c>
      <c r="AG151" s="3424">
        <v>0.3098322367176139</v>
      </c>
      <c r="AH151" s="3425">
        <v>0.31769775042249454</v>
      </c>
      <c r="AI151" s="2699"/>
      <c r="AJ151" s="2699"/>
      <c r="AK151" s="2699"/>
      <c r="AL151" s="2699"/>
      <c r="AM151" s="2699"/>
    </row>
    <row r="152" spans="28:39" ht="13.5" thickBot="1">
      <c r="AB152" s="1777"/>
      <c r="AC152" s="2709"/>
      <c r="AD152" s="2699"/>
      <c r="AE152" s="1898" t="s">
        <v>2440</v>
      </c>
      <c r="AF152" s="3424">
        <v>0.28258846986952896</v>
      </c>
      <c r="AG152" s="3424">
        <v>0.2772971996622533</v>
      </c>
      <c r="AH152" s="3426">
        <v>0.2996627546755396</v>
      </c>
      <c r="AI152" s="2699"/>
      <c r="AJ152" s="2699"/>
      <c r="AK152" s="2699"/>
      <c r="AL152" s="2699"/>
      <c r="AM152" s="2699"/>
    </row>
    <row r="153" spans="28:39" ht="13.5" thickBot="1">
      <c r="AB153" s="1777"/>
      <c r="AC153" s="2709"/>
      <c r="AD153" s="2699"/>
      <c r="AE153" s="2864" t="s">
        <v>2890</v>
      </c>
      <c r="AF153" s="3423">
        <f>681/2333</f>
        <v>0.2918988426918131</v>
      </c>
      <c r="AG153" s="3423">
        <f>754/2513</f>
        <v>0.30003979307600476</v>
      </c>
      <c r="AH153" s="2867">
        <f>+'Owned Assets Spun Out'!E85</f>
        <v>0.2857142857142857</v>
      </c>
      <c r="AI153" s="3430"/>
      <c r="AJ153" s="2699"/>
      <c r="AK153" s="2699"/>
      <c r="AL153" s="2699"/>
      <c r="AM153" s="2699"/>
    </row>
    <row r="154" spans="28:39">
      <c r="AB154" s="1777"/>
      <c r="AC154" s="2709"/>
      <c r="AD154" s="2699"/>
      <c r="AE154" s="1898" t="s">
        <v>2438</v>
      </c>
      <c r="AF154" s="3424">
        <v>0.24083747861110058</v>
      </c>
      <c r="AG154" s="3424">
        <v>0.2701148635179445</v>
      </c>
      <c r="AH154" s="3426">
        <v>0.28558416309519968</v>
      </c>
      <c r="AI154" s="2699"/>
      <c r="AJ154" s="2699"/>
      <c r="AK154" s="2699"/>
      <c r="AL154" s="2699"/>
      <c r="AM154" s="2699"/>
    </row>
    <row r="155" spans="28:39">
      <c r="AB155" s="1777"/>
      <c r="AC155" s="2709"/>
      <c r="AD155" s="2699"/>
      <c r="AE155" s="1898" t="s">
        <v>2437</v>
      </c>
      <c r="AF155" s="3424">
        <v>0.2606665338852423</v>
      </c>
      <c r="AG155" s="3424">
        <v>0.27384811532069248</v>
      </c>
      <c r="AH155" s="3426">
        <v>0.28125010006564299</v>
      </c>
      <c r="AI155" s="2699"/>
      <c r="AJ155" s="2699"/>
      <c r="AK155" s="2699"/>
      <c r="AL155" s="2699"/>
      <c r="AM155" s="2699"/>
    </row>
    <row r="156" spans="28:39">
      <c r="AB156" s="1777"/>
      <c r="AC156" s="2709"/>
      <c r="AD156" s="2699"/>
      <c r="AE156" s="1972" t="s">
        <v>2439</v>
      </c>
      <c r="AF156" s="3427">
        <v>0.24976094855612929</v>
      </c>
      <c r="AG156" s="3427">
        <v>0.2616735151288756</v>
      </c>
      <c r="AH156" s="3428">
        <v>0.2617412288843512</v>
      </c>
      <c r="AI156" s="2699"/>
      <c r="AJ156" s="2699"/>
      <c r="AK156" s="2699"/>
      <c r="AL156" s="2699"/>
      <c r="AM156" s="2699"/>
    </row>
    <row r="157" spans="28:39" ht="13.5" thickBot="1">
      <c r="AB157" s="1777"/>
      <c r="AC157" s="2709"/>
      <c r="AD157" s="2699"/>
      <c r="AE157" s="1777"/>
      <c r="AF157" s="2699"/>
      <c r="AG157" s="2699"/>
      <c r="AH157" s="2699"/>
      <c r="AI157" s="2091" t="s">
        <v>2445</v>
      </c>
      <c r="AJ157" s="2862"/>
      <c r="AK157" s="2863" t="s">
        <v>2459</v>
      </c>
      <c r="AL157" s="2699"/>
      <c r="AM157" s="2699"/>
    </row>
    <row r="158" spans="28:39" ht="13.5" thickBot="1">
      <c r="AB158" s="1777"/>
      <c r="AC158" s="2709"/>
      <c r="AD158" s="2699"/>
      <c r="AE158" s="1777"/>
      <c r="AF158" s="2699"/>
      <c r="AG158" s="2699"/>
      <c r="AH158" s="2699"/>
      <c r="AI158" s="2864" t="s">
        <v>2624</v>
      </c>
      <c r="AJ158" s="2865"/>
      <c r="AK158" s="2866">
        <v>3.875</v>
      </c>
      <c r="AL158" s="2699"/>
      <c r="AM158" s="2699"/>
    </row>
    <row r="159" spans="28:39">
      <c r="AB159" s="1777"/>
      <c r="AC159" s="2709"/>
      <c r="AD159" s="2699"/>
      <c r="AE159" s="1777"/>
      <c r="AF159" s="2699"/>
      <c r="AG159" s="2699"/>
      <c r="AH159" s="2699"/>
      <c r="AI159" s="1898" t="s">
        <v>2440</v>
      </c>
      <c r="AJ159" s="2699"/>
      <c r="AK159" s="2859">
        <v>3.3126982530261895</v>
      </c>
      <c r="AL159" s="2699"/>
      <c r="AM159" s="2699"/>
    </row>
    <row r="160" spans="28:39">
      <c r="AB160" s="1777"/>
      <c r="AC160" s="2709"/>
      <c r="AD160" s="2699"/>
      <c r="AE160" s="1777"/>
      <c r="AF160" s="2699"/>
      <c r="AG160" s="2699"/>
      <c r="AH160" s="2699"/>
      <c r="AI160" s="1898" t="s">
        <v>2441</v>
      </c>
      <c r="AJ160" s="2699"/>
      <c r="AK160" s="2859">
        <v>3.3013875491695566</v>
      </c>
      <c r="AL160" s="2699"/>
      <c r="AM160" s="2699"/>
    </row>
    <row r="161" spans="28:44">
      <c r="AB161" s="1777"/>
      <c r="AC161" s="2709"/>
      <c r="AD161" s="2699"/>
      <c r="AE161" s="1777"/>
      <c r="AF161" s="2699"/>
      <c r="AG161" s="2699"/>
      <c r="AH161" s="2699"/>
      <c r="AI161" s="1898" t="s">
        <v>2438</v>
      </c>
      <c r="AJ161" s="2699"/>
      <c r="AK161" s="2859">
        <v>2.8020754856340946</v>
      </c>
      <c r="AL161" s="2699"/>
      <c r="AM161" s="2699"/>
    </row>
    <row r="162" spans="28:44">
      <c r="AB162" s="1777"/>
      <c r="AC162" s="2709"/>
      <c r="AD162" s="2699"/>
      <c r="AE162" s="1777"/>
      <c r="AF162" s="2699"/>
      <c r="AG162" s="2699"/>
      <c r="AH162" s="2699"/>
      <c r="AI162" s="1898" t="s">
        <v>2439</v>
      </c>
      <c r="AJ162" s="2699"/>
      <c r="AK162" s="2859">
        <v>2.614036538674033</v>
      </c>
      <c r="AL162" s="2699"/>
      <c r="AM162" s="2699"/>
    </row>
    <row r="163" spans="28:44">
      <c r="AB163" s="1777"/>
      <c r="AC163" s="2709"/>
      <c r="AD163" s="2699"/>
      <c r="AE163" s="1777"/>
      <c r="AF163" s="2699"/>
      <c r="AG163" s="2699"/>
      <c r="AH163" s="2699"/>
      <c r="AI163" s="1972" t="s">
        <v>2437</v>
      </c>
      <c r="AJ163" s="2858"/>
      <c r="AK163" s="2860">
        <v>2.3092732600256056</v>
      </c>
      <c r="AL163" s="2699"/>
      <c r="AM163" s="2699"/>
    </row>
    <row r="164" spans="28:44">
      <c r="AE164" s="1777"/>
      <c r="AF164" s="2699"/>
      <c r="AG164" s="2699"/>
      <c r="AH164" s="2699"/>
      <c r="AI164" s="2699"/>
      <c r="AJ164" s="2699"/>
      <c r="AK164" s="2861"/>
      <c r="AL164" s="2699"/>
      <c r="AM164" s="2699"/>
    </row>
    <row r="165" spans="28:44" ht="38.25">
      <c r="AE165" s="2699"/>
      <c r="AF165" s="2699"/>
      <c r="AG165" s="2699"/>
      <c r="AH165" s="2699"/>
      <c r="AI165" s="2699"/>
      <c r="AJ165" s="2699"/>
      <c r="AK165" s="2699"/>
      <c r="AL165" s="2699"/>
      <c r="AM165" s="2699"/>
      <c r="AO165" s="2714" t="s">
        <v>3031</v>
      </c>
      <c r="AP165" s="2715" t="s">
        <v>2450</v>
      </c>
      <c r="AQ165" s="2715" t="s">
        <v>3030</v>
      </c>
      <c r="AR165" s="2715" t="s">
        <v>2451</v>
      </c>
    </row>
    <row r="166" spans="28:44">
      <c r="AN166" s="1734" t="s">
        <v>2448</v>
      </c>
      <c r="AO166" s="1775">
        <v>-1.5084533007937106E-2</v>
      </c>
      <c r="AP166" s="2713">
        <v>9.8695149679228837</v>
      </c>
      <c r="AQ166" s="2713">
        <v>9.721722792830759</v>
      </c>
      <c r="AR166" s="2716">
        <v>0</v>
      </c>
    </row>
    <row r="167" spans="28:44">
      <c r="AN167" s="1734" t="s">
        <v>2449</v>
      </c>
      <c r="AO167" s="1775">
        <v>-0.42692618682710493</v>
      </c>
      <c r="AP167" s="2713">
        <v>9.4628515424116397</v>
      </c>
      <c r="AQ167" s="2713">
        <v>9.2785749372164581</v>
      </c>
      <c r="AR167" s="2713">
        <f t="shared" ref="AR167:AR173" si="6">+AQ167/(AO167*100)</f>
        <v>-0.21733440635662066</v>
      </c>
    </row>
    <row r="168" spans="28:44">
      <c r="AN168" s="1734" t="s">
        <v>1750</v>
      </c>
      <c r="AO168" s="1775">
        <f ca="1">(Hilton!AO130/Hilton!AE121)^(1/2)-1</f>
        <v>5.0342220818197836E-2</v>
      </c>
      <c r="AP168" s="2713">
        <v>13.569192032314136</v>
      </c>
      <c r="AQ168" s="2713">
        <v>12.736972916466947</v>
      </c>
      <c r="AR168" s="2713">
        <f t="shared" ca="1" si="6"/>
        <v>2.5300776782304273</v>
      </c>
    </row>
    <row r="169" spans="28:44">
      <c r="AN169" s="1734" t="s">
        <v>1622</v>
      </c>
      <c r="AO169" s="1775">
        <v>-0.48689156691862712</v>
      </c>
      <c r="AP169" s="2713">
        <v>11.047710425443629</v>
      </c>
      <c r="AQ169" s="2713">
        <v>10.166092921109691</v>
      </c>
      <c r="AR169" s="2713">
        <f t="shared" si="6"/>
        <v>-0.20879583077290639</v>
      </c>
    </row>
    <row r="170" spans="28:44">
      <c r="AN170" s="1734" t="s">
        <v>1752</v>
      </c>
      <c r="AO170" s="1775">
        <v>6.5016677964692349E-2</v>
      </c>
      <c r="AP170" s="2713">
        <v>14.708832607603361</v>
      </c>
      <c r="AQ170" s="2713">
        <v>14.0486799695407</v>
      </c>
      <c r="AR170" s="2713">
        <f t="shared" si="6"/>
        <v>2.1607809579520367</v>
      </c>
    </row>
    <row r="171" spans="28:44">
      <c r="AN171" s="1734" t="s">
        <v>879</v>
      </c>
      <c r="AO171" s="1775" t="e">
        <v>#DIV/0!</v>
      </c>
      <c r="AP171" s="2713">
        <v>13.754177764859708</v>
      </c>
      <c r="AQ171" s="2713">
        <v>12.392382457630893</v>
      </c>
      <c r="AR171" s="2713" t="e">
        <f t="shared" si="6"/>
        <v>#DIV/0!</v>
      </c>
    </row>
    <row r="172" spans="28:44">
      <c r="AN172" s="1734" t="s">
        <v>1569</v>
      </c>
      <c r="AO172" s="1775">
        <v>-0.50179507369913856</v>
      </c>
      <c r="AP172" s="2713">
        <v>14.313988360533674</v>
      </c>
      <c r="AQ172" s="2713">
        <v>13.375495411312261</v>
      </c>
      <c r="AR172" s="2713">
        <f t="shared" si="6"/>
        <v>-0.2665529438683133</v>
      </c>
    </row>
    <row r="173" spans="28:44">
      <c r="AN173" s="1734" t="s">
        <v>979</v>
      </c>
      <c r="AO173" s="1775" t="e">
        <f ca="1">AVERAGE(AO166:AO172)</f>
        <v>#DIV/0!</v>
      </c>
      <c r="AQ173" s="2713">
        <f>AVERAGE(AQ166:AQ172)</f>
        <v>11.674274486586814</v>
      </c>
      <c r="AR173" s="2713" t="e">
        <f t="shared" ca="1" si="6"/>
        <v>#DIV/0!</v>
      </c>
    </row>
    <row r="185" spans="54:55" ht="38.25">
      <c r="BB185" s="2063" t="s">
        <v>2453</v>
      </c>
      <c r="BC185" s="2717">
        <f>+'EBITDA Val'!F7</f>
        <v>15.75</v>
      </c>
    </row>
    <row r="186" spans="54:55" ht="38.25">
      <c r="BB186" s="2063" t="s">
        <v>2454</v>
      </c>
      <c r="BC186" s="2718">
        <v>10.196743820072678</v>
      </c>
    </row>
    <row r="188" spans="54:55" ht="38.25">
      <c r="BB188" s="2063" t="s">
        <v>2455</v>
      </c>
      <c r="BC188" s="2717">
        <f>+'EBITDA Val'!F8</f>
        <v>15.722965816384368</v>
      </c>
    </row>
    <row r="189" spans="54:55">
      <c r="BB189" s="1734" t="s">
        <v>485</v>
      </c>
      <c r="BC189" s="2718">
        <v>9.0292796156820607</v>
      </c>
    </row>
    <row r="190" spans="54:55">
      <c r="BB190" s="1734" t="s">
        <v>486</v>
      </c>
      <c r="BC190" s="2718">
        <v>9.3787256239963952</v>
      </c>
    </row>
    <row r="191" spans="54:55" ht="25.5">
      <c r="BB191" s="2063" t="s">
        <v>2452</v>
      </c>
      <c r="BC191" s="2718">
        <v>7.3796418844906713</v>
      </c>
    </row>
    <row r="193" spans="54:70" ht="38.25">
      <c r="BB193" s="2063" t="s">
        <v>2456</v>
      </c>
      <c r="BC193" s="2717"/>
    </row>
    <row r="194" spans="54:70">
      <c r="BB194" s="1734" t="s">
        <v>879</v>
      </c>
      <c r="BC194" s="2718">
        <v>11.932226794695858</v>
      </c>
    </row>
    <row r="195" spans="54:70">
      <c r="BB195" s="1734" t="s">
        <v>1569</v>
      </c>
      <c r="BC195" s="2718">
        <v>13.401319365398809</v>
      </c>
    </row>
    <row r="200" spans="54:70">
      <c r="BO200" s="2" t="s">
        <v>2457</v>
      </c>
      <c r="BP200" s="2719">
        <v>2016</v>
      </c>
      <c r="BQ200" s="2719">
        <v>2017</v>
      </c>
      <c r="BR200" s="2719">
        <v>2018</v>
      </c>
    </row>
    <row r="201" spans="54:70" ht="3.95" customHeight="1">
      <c r="BO201" s="2"/>
      <c r="BP201" s="2719"/>
      <c r="BQ201" s="2719"/>
      <c r="BR201" s="2719"/>
    </row>
    <row r="202" spans="54:70">
      <c r="BO202" s="1734" t="s">
        <v>2458</v>
      </c>
      <c r="BP202" s="1776">
        <f>+Hilton!AE39</f>
        <v>1026</v>
      </c>
      <c r="BQ202" s="1776">
        <f>+Hilton!AJ39</f>
        <v>164</v>
      </c>
      <c r="BR202" s="1776">
        <f>+Hilton!AO39</f>
        <v>158.47145956150916</v>
      </c>
    </row>
    <row r="203" spans="54:70">
      <c r="BO203" s="1734" t="s">
        <v>2462</v>
      </c>
      <c r="BP203" s="2722">
        <f>+-350*0.9</f>
        <v>-315</v>
      </c>
      <c r="BQ203" s="2723">
        <f>+BP203</f>
        <v>-315</v>
      </c>
      <c r="BR203" s="2723">
        <f>+BQ203</f>
        <v>-315</v>
      </c>
    </row>
    <row r="204" spans="54:70" ht="3.95" customHeight="1">
      <c r="BP204" s="1773" t="s">
        <v>601</v>
      </c>
      <c r="BQ204" s="1773" t="s">
        <v>601</v>
      </c>
      <c r="BR204" s="1773" t="s">
        <v>601</v>
      </c>
    </row>
    <row r="205" spans="54:70">
      <c r="BO205" s="1734" t="s">
        <v>2463</v>
      </c>
      <c r="BP205" s="1776">
        <f>+BP202+BP203</f>
        <v>711</v>
      </c>
      <c r="BQ205" s="1776">
        <f>+BQ202+BQ203</f>
        <v>-151</v>
      </c>
      <c r="BR205" s="1776">
        <f>+BR202+BR203</f>
        <v>-156.52854043849084</v>
      </c>
    </row>
    <row r="206" spans="54:70">
      <c r="BO206" s="1734" t="s">
        <v>2464</v>
      </c>
      <c r="BP206" s="1734">
        <f>+-BP226</f>
        <v>-128.25</v>
      </c>
      <c r="BQ206" s="1734">
        <f>+-BQ226</f>
        <v>-128.25</v>
      </c>
      <c r="BR206" s="1734">
        <f>+-BR226</f>
        <v>-128.25</v>
      </c>
    </row>
    <row r="207" spans="54:70" ht="3.95" customHeight="1">
      <c r="BP207" s="1773" t="s">
        <v>601</v>
      </c>
      <c r="BQ207" s="1773" t="s">
        <v>601</v>
      </c>
      <c r="BR207" s="1773" t="s">
        <v>601</v>
      </c>
    </row>
    <row r="208" spans="54:70">
      <c r="BO208" s="1734" t="s">
        <v>2465</v>
      </c>
      <c r="BP208" s="1776">
        <f>+BP205+BP206</f>
        <v>582.75</v>
      </c>
      <c r="BQ208" s="1776">
        <f>+BQ205+BQ206</f>
        <v>-279.25</v>
      </c>
      <c r="BR208" s="1776">
        <f>+BR205+BR206</f>
        <v>-284.77854043849084</v>
      </c>
    </row>
    <row r="209" spans="67:70">
      <c r="BO209" s="1734" t="s">
        <v>2466</v>
      </c>
      <c r="BP209" s="1734">
        <f>+-BP208*BP227</f>
        <v>-413.72928286852584</v>
      </c>
      <c r="BQ209" s="1734">
        <f ca="1">+-BQ208*BQ227</f>
        <v>-100.28978494623655</v>
      </c>
      <c r="BR209" s="1734">
        <f ca="1">+-BR208*BR227</f>
        <v>82.585776727162425</v>
      </c>
    </row>
    <row r="210" spans="67:70" ht="3.95" customHeight="1">
      <c r="BP210" s="1773" t="s">
        <v>601</v>
      </c>
      <c r="BQ210" s="1773" t="s">
        <v>601</v>
      </c>
      <c r="BR210" s="1773" t="s">
        <v>601</v>
      </c>
    </row>
    <row r="211" spans="67:70">
      <c r="BO211" s="1734" t="s">
        <v>2467</v>
      </c>
      <c r="BP211" s="1776">
        <f>+BP208+BP209</f>
        <v>169.02071713147416</v>
      </c>
      <c r="BQ211" s="1776">
        <f ca="1">+BQ208+BQ209</f>
        <v>-379.53978494623652</v>
      </c>
      <c r="BR211" s="1776">
        <f ca="1">+BR208+BR209</f>
        <v>-202.19276371132841</v>
      </c>
    </row>
    <row r="212" spans="67:70">
      <c r="BO212" s="1734" t="s">
        <v>2468</v>
      </c>
      <c r="BP212" s="1734">
        <f>+-BP203</f>
        <v>315</v>
      </c>
      <c r="BQ212" s="1734">
        <f>+-BQ203</f>
        <v>315</v>
      </c>
      <c r="BR212" s="1734">
        <f>+-BR203</f>
        <v>315</v>
      </c>
    </row>
    <row r="213" spans="67:70">
      <c r="BO213" s="1734" t="s">
        <v>2469</v>
      </c>
      <c r="BP213" s="1734">
        <f>+-Hilton!AE465</f>
        <v>-270</v>
      </c>
      <c r="BQ213" s="1734">
        <f>+-Hilton!AJ465</f>
        <v>-58</v>
      </c>
      <c r="BR213" s="1734">
        <f>+-Hilton!AO465</f>
        <v>-39.822990052350548</v>
      </c>
    </row>
    <row r="214" spans="67:70" ht="3.95" customHeight="1">
      <c r="BP214" s="1773" t="s">
        <v>601</v>
      </c>
      <c r="BQ214" s="1773" t="s">
        <v>601</v>
      </c>
      <c r="BR214" s="1773" t="s">
        <v>601</v>
      </c>
    </row>
    <row r="215" spans="67:70">
      <c r="BO215" s="1734" t="s">
        <v>2470</v>
      </c>
      <c r="BP215" s="1776">
        <f>SUM(BP211:BP213)</f>
        <v>214.02071713147416</v>
      </c>
      <c r="BQ215" s="1776">
        <f ca="1">SUM(BQ211:BQ213)</f>
        <v>-122.53978494623652</v>
      </c>
      <c r="BR215" s="1776">
        <f ca="1">SUM(BR211:BR213)</f>
        <v>72.984246236321042</v>
      </c>
    </row>
    <row r="217" spans="67:70">
      <c r="BO217" s="1734" t="s">
        <v>2471</v>
      </c>
      <c r="BP217" s="1734">
        <f>+'EBITDA Val'!$H$7</f>
        <v>32856.319539040502</v>
      </c>
      <c r="BQ217" s="1734">
        <f>+'EBITDA Val'!$H$7</f>
        <v>32856.319539040502</v>
      </c>
      <c r="BR217" s="1734">
        <f>+'EBITDA Val'!$H$7</f>
        <v>32856.319539040502</v>
      </c>
    </row>
    <row r="218" spans="67:70">
      <c r="BO218" s="1734" t="s">
        <v>2472</v>
      </c>
      <c r="BP218" s="1734">
        <f>+-BP225</f>
        <v>-2565</v>
      </c>
      <c r="BQ218" s="1734">
        <f>+-BQ225</f>
        <v>-2565</v>
      </c>
      <c r="BR218" s="1734">
        <f>+-BR225</f>
        <v>-2565</v>
      </c>
    </row>
    <row r="219" spans="67:70" ht="3.95" customHeight="1">
      <c r="BP219" s="1773" t="s">
        <v>601</v>
      </c>
      <c r="BQ219" s="1773" t="s">
        <v>601</v>
      </c>
      <c r="BR219" s="1773" t="s">
        <v>601</v>
      </c>
    </row>
    <row r="220" spans="67:70">
      <c r="BO220" s="1734" t="s">
        <v>721</v>
      </c>
      <c r="BP220" s="1734">
        <f>+BP217+BP218</f>
        <v>30291.319539040502</v>
      </c>
      <c r="BQ220" s="1734">
        <f>+BQ217+BQ218</f>
        <v>30291.319539040502</v>
      </c>
      <c r="BR220" s="1734">
        <f>+BR217+BR218</f>
        <v>30291.319539040502</v>
      </c>
    </row>
    <row r="222" spans="67:70">
      <c r="BO222" s="1734" t="s">
        <v>2473</v>
      </c>
      <c r="BP222" s="1775">
        <f>+BP215/BP220</f>
        <v>7.0654141314523073E-3</v>
      </c>
      <c r="BQ222" s="1775">
        <f ca="1">+BQ215/BQ220</f>
        <v>-4.0453762599646078E-3</v>
      </c>
      <c r="BR222" s="1775">
        <f ca="1">+BR215/BR220</f>
        <v>2.4094112553352592E-3</v>
      </c>
    </row>
    <row r="224" spans="67:70">
      <c r="BO224" s="1734" t="s">
        <v>2459</v>
      </c>
      <c r="BP224" s="2716">
        <v>2.5</v>
      </c>
      <c r="BQ224" s="2713">
        <f>+BQ225/BQ202</f>
        <v>15.640243902439025</v>
      </c>
      <c r="BR224" s="2713">
        <f>+BR225/BR202</f>
        <v>16.185879824022319</v>
      </c>
    </row>
    <row r="225" spans="7:240">
      <c r="BO225" s="1734" t="s">
        <v>2460</v>
      </c>
      <c r="BP225" s="1776">
        <f>+BP202*BP224</f>
        <v>2565</v>
      </c>
      <c r="BQ225" s="2720">
        <f>+BP225</f>
        <v>2565</v>
      </c>
      <c r="BR225" s="2720">
        <f>+BQ225</f>
        <v>2565</v>
      </c>
    </row>
    <row r="226" spans="7:240">
      <c r="BO226" s="1734" t="s">
        <v>2461</v>
      </c>
      <c r="BP226" s="1734">
        <f>+BP225*0.05</f>
        <v>128.25</v>
      </c>
      <c r="BQ226" s="1734">
        <f>+BQ225*0.05</f>
        <v>128.25</v>
      </c>
      <c r="BR226" s="1734">
        <f>+BR225*0.05</f>
        <v>128.25</v>
      </c>
    </row>
    <row r="227" spans="7:240">
      <c r="BO227" s="1734" t="s">
        <v>2122</v>
      </c>
      <c r="BP227" s="2721">
        <f>+Hilton!AE98</f>
        <v>0.70996015936254975</v>
      </c>
      <c r="BQ227" s="2721">
        <f ca="1">+Hilton!AJ98</f>
        <v>-0.35913978494623655</v>
      </c>
      <c r="BR227" s="2721">
        <f ca="1">+Hilton!AO98</f>
        <v>0.29000000000000031</v>
      </c>
    </row>
    <row r="228" spans="7:240">
      <c r="AB228" s="2063"/>
      <c r="AC228" s="2829"/>
      <c r="AD228" s="2830"/>
      <c r="AN228" s="2063"/>
      <c r="AO228" s="2063"/>
      <c r="AP228" s="2063"/>
      <c r="AQ228" s="2063"/>
      <c r="AR228" s="2063"/>
    </row>
    <row r="229" spans="7:240">
      <c r="U229" s="2063"/>
      <c r="V229" s="2063"/>
      <c r="W229" s="2063"/>
      <c r="X229" s="2063"/>
      <c r="Y229" s="2063"/>
      <c r="Z229" s="2063"/>
      <c r="AA229" s="2063"/>
      <c r="AB229" s="2063"/>
      <c r="AC229" s="2829"/>
      <c r="AD229" s="2830"/>
      <c r="AN229" s="2063"/>
      <c r="AO229" s="2063"/>
      <c r="AP229" s="2063"/>
      <c r="AQ229" s="2063"/>
      <c r="AR229" s="2063"/>
      <c r="BS229" s="1964" t="s">
        <v>2541</v>
      </c>
      <c r="BT229" s="1965" t="s">
        <v>1274</v>
      </c>
      <c r="BU229" s="1965" t="s">
        <v>1228</v>
      </c>
      <c r="BV229" s="1966" t="s">
        <v>366</v>
      </c>
    </row>
    <row r="230" spans="7:240" s="2063" customFormat="1">
      <c r="G230" s="3414"/>
      <c r="AC230" s="2829"/>
      <c r="AD230" s="2830"/>
      <c r="AE230" s="2830"/>
      <c r="AF230" s="2830"/>
      <c r="AG230" s="2830"/>
      <c r="AH230" s="2830"/>
      <c r="AI230" s="2830"/>
      <c r="AJ230" s="2830"/>
      <c r="AK230" s="2830"/>
      <c r="AL230" s="2830"/>
      <c r="AM230" s="2830"/>
      <c r="BS230" s="2105" t="s">
        <v>2542</v>
      </c>
      <c r="BT230" s="2067" t="s">
        <v>551</v>
      </c>
      <c r="BU230" s="2834">
        <f ca="1">+Hilton!AJ121</f>
        <v>1965</v>
      </c>
      <c r="BV230" s="2831">
        <f ca="1">+'EBITDA Val'!H15</f>
        <v>76.163715712972916</v>
      </c>
      <c r="HW230" s="3414"/>
      <c r="HX230" s="3414"/>
      <c r="HY230" s="3414"/>
      <c r="HZ230" s="3414"/>
      <c r="IA230" s="3414"/>
      <c r="IB230" s="3414"/>
      <c r="IC230" s="3414"/>
      <c r="ID230" s="3414"/>
      <c r="IE230" s="3414"/>
      <c r="IF230" s="3414"/>
    </row>
    <row r="231" spans="7:240" s="2063" customFormat="1" ht="25.5" customHeight="1">
      <c r="G231" s="3414"/>
      <c r="AC231" s="2829"/>
      <c r="AD231" s="2830"/>
      <c r="AE231" s="2830"/>
      <c r="AF231" s="2830"/>
      <c r="AG231" s="2830"/>
      <c r="AH231" s="2830"/>
      <c r="AI231" s="2830"/>
      <c r="AJ231" s="2830"/>
      <c r="AK231" s="2830"/>
      <c r="AL231" s="2830"/>
      <c r="AM231" s="2830"/>
      <c r="BS231" s="2105" t="s">
        <v>2543</v>
      </c>
      <c r="BT231" s="2832">
        <f>+Hilton!$AJ$281*0.02</f>
        <v>38.800000000000004</v>
      </c>
      <c r="BU231" s="2832">
        <f ca="1">+$BU$230+BT231</f>
        <v>2003.8</v>
      </c>
      <c r="BV231" s="2833">
        <f ca="1">+(('EBITDA Val'!$C$9+'Exhibits 3'!BT231)*('EBITDA Val'!$C$9+1)+'EBITDA Val'!$H$11)/'EBITDA Val'!$H$14</f>
        <v>12014.77558174821</v>
      </c>
      <c r="HW231" s="3414"/>
      <c r="HX231" s="3414"/>
      <c r="HY231" s="3414"/>
      <c r="HZ231" s="3414"/>
      <c r="IA231" s="3414"/>
      <c r="IB231" s="3414"/>
      <c r="IC231" s="3414"/>
      <c r="ID231" s="3414"/>
      <c r="IE231" s="3414"/>
      <c r="IF231" s="3414"/>
    </row>
    <row r="232" spans="7:240" s="2063" customFormat="1" ht="25.5" customHeight="1">
      <c r="G232" s="3414"/>
      <c r="AB232" s="1734"/>
      <c r="AC232" s="2425"/>
      <c r="AD232" s="2698"/>
      <c r="AE232" s="2830"/>
      <c r="AF232" s="2830"/>
      <c r="AG232" s="2830"/>
      <c r="AH232" s="2830"/>
      <c r="AI232" s="2830"/>
      <c r="AJ232" s="2830"/>
      <c r="AK232" s="2830"/>
      <c r="AL232" s="2830"/>
      <c r="AM232" s="2830"/>
      <c r="AN232" s="1734"/>
      <c r="AO232" s="1734"/>
      <c r="AP232" s="1734"/>
      <c r="AQ232" s="1734"/>
      <c r="AR232" s="1734"/>
      <c r="BS232" s="2105" t="s">
        <v>2544</v>
      </c>
      <c r="BT232" s="2832">
        <f>-Hilton!$AJ$281*0.02</f>
        <v>-38.800000000000004</v>
      </c>
      <c r="BU232" s="2832">
        <f ca="1">+$BU$230+BT232</f>
        <v>1926.2</v>
      </c>
      <c r="BV232" s="2833">
        <f ca="1">+(('EBITDA Val'!$C$9+'Exhibits 3'!BT232)*('EBITDA Val'!$C$9-1)+'EBITDA Val'!$H$11)/'EBITDA Val'!$H$14</f>
        <v>11533.057117221359</v>
      </c>
      <c r="HW232" s="3414"/>
      <c r="HX232" s="3414"/>
      <c r="HY232" s="3414"/>
      <c r="HZ232" s="3414"/>
      <c r="IA232" s="3414"/>
      <c r="IB232" s="3414"/>
      <c r="IC232" s="3414"/>
      <c r="ID232" s="3414"/>
      <c r="IE232" s="3414"/>
      <c r="IF232" s="3414"/>
    </row>
    <row r="233" spans="7:240" s="2063" customFormat="1" ht="25.5">
      <c r="G233" s="3414"/>
      <c r="U233" s="1734"/>
      <c r="V233" s="1734"/>
      <c r="W233" s="1734"/>
      <c r="X233" s="1734"/>
      <c r="Y233" s="1734"/>
      <c r="Z233" s="1734"/>
      <c r="AA233" s="1734"/>
      <c r="AB233" s="1734"/>
      <c r="AC233" s="2425"/>
      <c r="AD233" s="2698"/>
      <c r="AE233" s="2830"/>
      <c r="AF233" s="2830"/>
      <c r="AG233" s="2830"/>
      <c r="AH233" s="2830"/>
      <c r="AI233" s="2830"/>
      <c r="AJ233" s="2830"/>
      <c r="AK233" s="2830"/>
      <c r="AL233" s="2830"/>
      <c r="AM233" s="2830"/>
      <c r="AN233" s="1734"/>
      <c r="AO233" s="1734"/>
      <c r="AP233" s="1734"/>
      <c r="AQ233" s="1734"/>
      <c r="AR233" s="1734"/>
      <c r="BS233" s="2105" t="s">
        <v>2545</v>
      </c>
      <c r="BT233" s="2832">
        <f>-Hilton!AJ281*0.03-Hilton!AJ249*0.03*0.5</f>
        <v>-79.949999999999989</v>
      </c>
      <c r="BU233" s="2832">
        <f ca="1">+$BU$230+BT233</f>
        <v>1885.05</v>
      </c>
      <c r="BV233" s="2833">
        <f ca="1">+(('EBITDA Val'!$C$9+'Exhibits 3'!BT233)*('EBITDA Val'!$C$9-2)+'EBITDA Val'!$H$11)/'EBITDA Val'!$H$14</f>
        <v>11278.352384079803</v>
      </c>
      <c r="HW233" s="3414"/>
      <c r="HX233" s="3414"/>
      <c r="HY233" s="3414"/>
      <c r="HZ233" s="3414"/>
      <c r="IA233" s="3414"/>
      <c r="IB233" s="3414"/>
      <c r="IC233" s="3414"/>
      <c r="ID233" s="3414"/>
      <c r="IE233" s="3414"/>
      <c r="IF233" s="3414"/>
    </row>
    <row r="234" spans="7:240">
      <c r="BW234" s="1734" t="s">
        <v>2796</v>
      </c>
    </row>
    <row r="235" spans="7:240">
      <c r="BX235" s="2948">
        <v>2014</v>
      </c>
      <c r="BY235" s="2948">
        <v>2015</v>
      </c>
      <c r="BZ235" s="2948" t="s">
        <v>2797</v>
      </c>
    </row>
    <row r="236" spans="7:240">
      <c r="BW236" s="1734" t="s">
        <v>2798</v>
      </c>
      <c r="BX236" s="2950">
        <f>+RevPAR!R71</f>
        <v>154.25</v>
      </c>
      <c r="BY236" s="2950">
        <f>+RevPAR!W71</f>
        <v>146.71</v>
      </c>
      <c r="BZ236" s="2950">
        <f>AVERAGE(RevPAR!X71:Y71)</f>
        <v>145.41499999999999</v>
      </c>
    </row>
    <row r="237" spans="7:240">
      <c r="BW237" s="1734" t="s">
        <v>2076</v>
      </c>
      <c r="BX237" s="2951">
        <f>+'QTR Rooms'!R794</f>
        <v>58954</v>
      </c>
      <c r="BY237" s="2951">
        <f>+'QTR Rooms'!W794</f>
        <v>59463</v>
      </c>
      <c r="BZ237" s="2951">
        <f>+'QTR Rooms'!Y794</f>
        <v>57996</v>
      </c>
    </row>
    <row r="239" spans="7:240">
      <c r="BW239" s="1734" t="s">
        <v>2799</v>
      </c>
      <c r="BX239" s="2949">
        <v>160.53</v>
      </c>
      <c r="BY239" s="2949">
        <v>160.37</v>
      </c>
      <c r="BZ239" s="2949">
        <v>161.49</v>
      </c>
    </row>
    <row r="240" spans="7:240">
      <c r="BW240" s="1734" t="s">
        <v>2076</v>
      </c>
      <c r="BX240" s="2722">
        <v>34263</v>
      </c>
      <c r="BY240" s="2722">
        <v>36062</v>
      </c>
      <c r="BZ240" s="2722">
        <v>35717</v>
      </c>
    </row>
    <row r="242" spans="7:240">
      <c r="BW242" s="1734" t="s">
        <v>2800</v>
      </c>
      <c r="BX242" s="1734">
        <f>(BX236-(BX239*(BX240/BX237)))/(BX243/BX237)</f>
        <v>145.53542221862216</v>
      </c>
      <c r="BY242" s="1734">
        <f>(BY236-(BY239*(BY240/BY237)))/(BY243/BY237)</f>
        <v>125.65932182385373</v>
      </c>
      <c r="BZ242" s="1734">
        <f>(BZ236-(BZ239*(BZ240/BZ237)))/(BZ243/BZ237)</f>
        <v>119.6440598770142</v>
      </c>
    </row>
    <row r="243" spans="7:240">
      <c r="BW243" s="1734" t="s">
        <v>2076</v>
      </c>
      <c r="BX243" s="2951">
        <f>+BX237-BX240</f>
        <v>24691</v>
      </c>
      <c r="BY243" s="2951">
        <f>+BY237-BY240</f>
        <v>23401</v>
      </c>
      <c r="BZ243" s="2951">
        <f>+BZ237-BZ240</f>
        <v>22279</v>
      </c>
    </row>
    <row r="245" spans="7:240">
      <c r="AB245" s="2301"/>
      <c r="AC245" s="2301"/>
      <c r="AD245" s="3378"/>
      <c r="AN245" s="2301"/>
      <c r="AO245" s="2301"/>
      <c r="AP245" s="2301"/>
      <c r="AQ245" s="2301"/>
      <c r="AR245" s="2301"/>
      <c r="BW245" s="1734" t="s">
        <v>2801</v>
      </c>
      <c r="BX245" s="1775">
        <f>+BX242/BX236-1</f>
        <v>-5.649645239142842E-2</v>
      </c>
      <c r="BY245" s="1775">
        <f>+BY242/BY236-1</f>
        <v>-0.14348495791797611</v>
      </c>
      <c r="BZ245" s="1775">
        <f>+BZ242/BZ236-1</f>
        <v>-0.17722339595630299</v>
      </c>
    </row>
    <row r="246" spans="7:240" ht="25.5">
      <c r="U246" s="2301"/>
      <c r="V246" s="2301"/>
      <c r="W246" s="2301"/>
      <c r="X246" s="2301"/>
      <c r="Y246" s="2301"/>
      <c r="Z246" s="2301"/>
      <c r="AA246" s="2301"/>
      <c r="AB246" s="2301"/>
      <c r="AC246" s="2301"/>
      <c r="AD246" s="3378"/>
      <c r="AN246" s="2301"/>
      <c r="AO246" s="2301"/>
      <c r="AP246" s="2301"/>
      <c r="AQ246" s="2301"/>
      <c r="AR246" s="2301"/>
      <c r="CB246" s="17" t="s">
        <v>1228</v>
      </c>
      <c r="CC246" s="2853"/>
      <c r="CD246" s="2853"/>
      <c r="CF246" s="17" t="s">
        <v>2879</v>
      </c>
      <c r="CG246" s="17"/>
      <c r="CH246" s="17"/>
      <c r="CJ246" s="3383" t="s">
        <v>2876</v>
      </c>
      <c r="CK246" s="2853"/>
    </row>
    <row r="247" spans="7:240" s="2301" customFormat="1">
      <c r="G247" s="3415"/>
      <c r="AD247" s="3378"/>
      <c r="AE247" s="3378"/>
      <c r="AF247" s="3378"/>
      <c r="AG247" s="3378"/>
      <c r="AH247" s="3378"/>
      <c r="AI247" s="3378"/>
      <c r="AJ247" s="3378"/>
      <c r="AK247" s="3378"/>
      <c r="AL247" s="3378"/>
      <c r="AM247" s="3378"/>
      <c r="CA247" s="1564"/>
      <c r="CB247" s="1652" t="s">
        <v>42</v>
      </c>
      <c r="CC247" s="1652" t="s">
        <v>43</v>
      </c>
      <c r="CD247" s="1652" t="s">
        <v>44</v>
      </c>
      <c r="CE247" s="1564"/>
      <c r="CF247" s="1652" t="s">
        <v>42</v>
      </c>
      <c r="CG247" s="1652" t="s">
        <v>43</v>
      </c>
      <c r="CH247" s="1652" t="s">
        <v>44</v>
      </c>
      <c r="CI247" s="1652"/>
      <c r="CJ247" s="3391" t="s">
        <v>43</v>
      </c>
      <c r="CK247" s="3391" t="s">
        <v>44</v>
      </c>
      <c r="HW247" s="3415"/>
      <c r="HX247" s="3415"/>
      <c r="HY247" s="3415"/>
      <c r="HZ247" s="3415"/>
      <c r="IA247" s="3415"/>
      <c r="IB247" s="3415"/>
      <c r="IC247" s="3415"/>
      <c r="ID247" s="3415"/>
      <c r="IE247" s="3415"/>
      <c r="IF247" s="3415"/>
    </row>
    <row r="248" spans="7:240" s="2301" customFormat="1">
      <c r="G248" s="3415"/>
      <c r="AD248" s="3378"/>
      <c r="AE248" s="3378"/>
      <c r="AF248" s="3378"/>
      <c r="AG248" s="3378"/>
      <c r="AH248" s="3378"/>
      <c r="AI248" s="3378"/>
      <c r="AJ248" s="3378"/>
      <c r="AK248" s="3378"/>
      <c r="AL248" s="3378"/>
      <c r="AM248" s="3378"/>
      <c r="CA248" s="3388" t="s">
        <v>2882</v>
      </c>
      <c r="CB248" s="3389"/>
      <c r="CC248" s="3389"/>
      <c r="CD248" s="3389"/>
      <c r="CE248" s="3389"/>
      <c r="CF248" s="3389"/>
      <c r="CG248" s="3389"/>
      <c r="CH248" s="3389"/>
      <c r="CI248" s="3389"/>
      <c r="CJ248" s="3390"/>
      <c r="CK248" s="3390"/>
      <c r="HW248" s="3415"/>
      <c r="HX248" s="3415"/>
      <c r="HY248" s="3415"/>
      <c r="HZ248" s="3415"/>
      <c r="IA248" s="3415"/>
      <c r="IB248" s="3415"/>
      <c r="IC248" s="3415"/>
      <c r="ID248" s="3415"/>
      <c r="IE248" s="3415"/>
      <c r="IF248" s="3415"/>
    </row>
    <row r="249" spans="7:240" s="2301" customFormat="1">
      <c r="G249" s="3415"/>
      <c r="AD249" s="3378"/>
      <c r="AE249" s="3378"/>
      <c r="AF249" s="3378"/>
      <c r="AG249" s="3378"/>
      <c r="AH249" s="3378"/>
      <c r="AI249" s="3378"/>
      <c r="AJ249" s="3378"/>
      <c r="AK249" s="3378"/>
      <c r="AL249" s="3378"/>
      <c r="AM249" s="3378"/>
      <c r="CA249" s="2837" t="s">
        <v>554</v>
      </c>
      <c r="CB249" s="3404" t="str">
        <f>IFERROR(CB258+CB267+CB276,"--")</f>
        <v>--</v>
      </c>
      <c r="CC249" s="3404">
        <f ca="1">IFERROR(CC258+CC267+CC276,"--")</f>
        <v>3128.4729524528307</v>
      </c>
      <c r="CD249" s="3404">
        <f ca="1">IFERROR(CD258+CD267+CD276,"--")</f>
        <v>3282.0758729790791</v>
      </c>
      <c r="CE249" s="3404"/>
      <c r="CF249" s="3393"/>
      <c r="CG249" s="3393"/>
      <c r="CH249" s="3393"/>
      <c r="CI249" s="3393"/>
      <c r="CJ249" s="3386"/>
      <c r="CK249" s="3386"/>
      <c r="HW249" s="3415"/>
      <c r="HX249" s="3415"/>
      <c r="HY249" s="3415"/>
      <c r="HZ249" s="3415"/>
      <c r="IA249" s="3415"/>
      <c r="IB249" s="3415"/>
      <c r="IC249" s="3415"/>
      <c r="ID249" s="3415"/>
      <c r="IE249" s="3415"/>
      <c r="IF249" s="3415"/>
    </row>
    <row r="250" spans="7:240" s="2301" customFormat="1" ht="4.5" customHeight="1">
      <c r="G250" s="3415"/>
      <c r="AD250" s="3378"/>
      <c r="AE250" s="3378"/>
      <c r="AF250" s="3378"/>
      <c r="AG250" s="3378"/>
      <c r="AH250" s="3378"/>
      <c r="AI250" s="3378"/>
      <c r="AJ250" s="3378"/>
      <c r="AK250" s="3378"/>
      <c r="AL250" s="3378"/>
      <c r="AM250" s="3378"/>
      <c r="CA250" s="1734"/>
      <c r="CB250" s="2943"/>
      <c r="CC250" s="2943"/>
      <c r="CD250" s="2943"/>
      <c r="CE250" s="2938"/>
      <c r="CF250" s="3394"/>
      <c r="CG250" s="3394"/>
      <c r="CH250" s="3394"/>
      <c r="CI250" s="3394"/>
      <c r="CJ250" s="3382"/>
      <c r="CK250" s="3382"/>
      <c r="HW250" s="3415"/>
      <c r="HX250" s="3415"/>
      <c r="HY250" s="3415"/>
      <c r="HZ250" s="3415"/>
      <c r="IA250" s="3415"/>
      <c r="IB250" s="3415"/>
      <c r="IC250" s="3415"/>
      <c r="ID250" s="3415"/>
      <c r="IE250" s="3415"/>
      <c r="IF250" s="3415"/>
    </row>
    <row r="251" spans="7:240" s="2301" customFormat="1">
      <c r="G251" s="3415"/>
      <c r="AD251" s="3378"/>
      <c r="AE251" s="3378"/>
      <c r="AF251" s="3378"/>
      <c r="AG251" s="3378"/>
      <c r="AH251" s="3378"/>
      <c r="AI251" s="3378"/>
      <c r="AJ251" s="3378"/>
      <c r="AK251" s="3378"/>
      <c r="AL251" s="3378"/>
      <c r="AM251" s="3378"/>
      <c r="CA251" s="1734" t="s">
        <v>2869</v>
      </c>
      <c r="CB251" s="2943">
        <f t="shared" ref="CB251:CD253" si="7">IFERROR(CB260+CB269+CB278,"--")</f>
        <v>2905</v>
      </c>
      <c r="CC251" s="2943">
        <f t="shared" si="7"/>
        <v>3046</v>
      </c>
      <c r="CD251" s="2943">
        <f t="shared" si="7"/>
        <v>3170</v>
      </c>
      <c r="CE251" s="2938"/>
      <c r="CF251" s="3394" t="str">
        <f t="shared" ref="CF251:CH253" si="8">IFERROR(CB$249/CB251-1,"--")</f>
        <v>--</v>
      </c>
      <c r="CG251" s="3394">
        <f t="shared" ca="1" si="8"/>
        <v>2.7075821553785406E-2</v>
      </c>
      <c r="CH251" s="3394">
        <f t="shared" ca="1" si="8"/>
        <v>3.5355164977627584E-2</v>
      </c>
      <c r="CI251" s="3394"/>
      <c r="CJ251" s="3382"/>
      <c r="CK251" s="3382"/>
      <c r="HW251" s="3415"/>
      <c r="HX251" s="3415"/>
      <c r="HY251" s="3415"/>
      <c r="HZ251" s="3415"/>
      <c r="IA251" s="3415"/>
      <c r="IB251" s="3415"/>
      <c r="IC251" s="3415"/>
      <c r="ID251" s="3415"/>
      <c r="IE251" s="3415"/>
      <c r="IF251" s="3415"/>
    </row>
    <row r="252" spans="7:240" s="2301" customFormat="1">
      <c r="G252" s="3415"/>
      <c r="AD252" s="3378"/>
      <c r="AE252" s="3378"/>
      <c r="AF252" s="3378"/>
      <c r="AG252" s="3378"/>
      <c r="AH252" s="3378"/>
      <c r="AI252" s="3378"/>
      <c r="AJ252" s="3378"/>
      <c r="AK252" s="3378"/>
      <c r="AL252" s="3378"/>
      <c r="AM252" s="3378"/>
      <c r="CA252" s="1734" t="s">
        <v>2872</v>
      </c>
      <c r="CB252" s="2943">
        <f t="shared" si="7"/>
        <v>2939</v>
      </c>
      <c r="CC252" s="2943">
        <f t="shared" si="7"/>
        <v>3100</v>
      </c>
      <c r="CD252" s="2943">
        <f t="shared" si="7"/>
        <v>3248</v>
      </c>
      <c r="CE252" s="2938"/>
      <c r="CF252" s="3394" t="str">
        <f t="shared" si="8"/>
        <v>--</v>
      </c>
      <c r="CG252" s="3394">
        <f t="shared" ca="1" si="8"/>
        <v>9.184823371880757E-3</v>
      </c>
      <c r="CH252" s="3394">
        <f t="shared" ca="1" si="8"/>
        <v>1.0491340202918531E-2</v>
      </c>
      <c r="CI252" s="3394"/>
      <c r="CJ252" s="3382"/>
      <c r="CK252" s="3382"/>
      <c r="HW252" s="3415"/>
      <c r="HX252" s="3415"/>
      <c r="HY252" s="3415"/>
      <c r="HZ252" s="3415"/>
      <c r="IA252" s="3415"/>
      <c r="IB252" s="3415"/>
      <c r="IC252" s="3415"/>
      <c r="ID252" s="3415"/>
      <c r="IE252" s="3415"/>
      <c r="IF252" s="3415"/>
    </row>
    <row r="253" spans="7:240" s="2301" customFormat="1">
      <c r="G253" s="3415"/>
      <c r="AD253" s="3378"/>
      <c r="AE253" s="3378"/>
      <c r="AF253" s="3378"/>
      <c r="AG253" s="3378"/>
      <c r="AH253" s="3378"/>
      <c r="AI253" s="3378"/>
      <c r="AJ253" s="3378"/>
      <c r="AK253" s="3378"/>
      <c r="AL253" s="3378"/>
      <c r="AM253" s="3378"/>
      <c r="CA253" s="1734" t="s">
        <v>2874</v>
      </c>
      <c r="CB253" s="2943" t="str">
        <f t="shared" si="7"/>
        <v>--</v>
      </c>
      <c r="CC253" s="2943">
        <f t="shared" si="7"/>
        <v>3106</v>
      </c>
      <c r="CD253" s="2943" t="str">
        <f t="shared" si="7"/>
        <v>--</v>
      </c>
      <c r="CE253" s="2938"/>
      <c r="CF253" s="3394" t="str">
        <f t="shared" si="8"/>
        <v>--</v>
      </c>
      <c r="CG253" s="3394">
        <f t="shared" ca="1" si="8"/>
        <v>7.2353356255088208E-3</v>
      </c>
      <c r="CH253" s="3394" t="str">
        <f t="shared" ca="1" si="8"/>
        <v>--</v>
      </c>
      <c r="CI253" s="3394"/>
      <c r="CJ253" s="3382"/>
      <c r="CK253" s="3382"/>
      <c r="HW253" s="3415"/>
      <c r="HX253" s="3415"/>
      <c r="HY253" s="3415"/>
      <c r="HZ253" s="3415"/>
      <c r="IA253" s="3415"/>
      <c r="IB253" s="3415"/>
      <c r="IC253" s="3415"/>
      <c r="ID253" s="3415"/>
      <c r="IE253" s="3415"/>
      <c r="IF253" s="3415"/>
    </row>
    <row r="254" spans="7:240" s="2301" customFormat="1" ht="4.5" customHeight="1">
      <c r="G254" s="3415"/>
      <c r="AD254" s="3378"/>
      <c r="AE254" s="3378"/>
      <c r="AF254" s="3378"/>
      <c r="AG254" s="3378"/>
      <c r="AH254" s="3378"/>
      <c r="AI254" s="3378"/>
      <c r="AJ254" s="3378"/>
      <c r="AK254" s="3378"/>
      <c r="AL254" s="3378"/>
      <c r="AM254" s="3378"/>
      <c r="CA254" s="1734"/>
      <c r="CB254" s="3395" t="s">
        <v>2878</v>
      </c>
      <c r="CC254" s="3395" t="s">
        <v>2878</v>
      </c>
      <c r="CD254" s="3395" t="s">
        <v>2878</v>
      </c>
      <c r="CE254" s="2938"/>
      <c r="CF254" s="3395" t="s">
        <v>2878</v>
      </c>
      <c r="CG254" s="3395" t="s">
        <v>2878</v>
      </c>
      <c r="CH254" s="3395" t="s">
        <v>2878</v>
      </c>
      <c r="CI254" s="3394"/>
      <c r="CJ254" s="3395"/>
      <c r="CK254" s="3395"/>
      <c r="HW254" s="3415"/>
      <c r="HX254" s="3415"/>
      <c r="HY254" s="3415"/>
      <c r="HZ254" s="3415"/>
      <c r="IA254" s="3415"/>
      <c r="IB254" s="3415"/>
      <c r="IC254" s="3415"/>
      <c r="ID254" s="3415"/>
      <c r="IE254" s="3415"/>
      <c r="IF254" s="3415"/>
    </row>
    <row r="255" spans="7:240" s="2301" customFormat="1">
      <c r="G255" s="3415"/>
      <c r="AB255" s="1734"/>
      <c r="AC255" s="2425"/>
      <c r="AD255" s="2698"/>
      <c r="AE255" s="3378"/>
      <c r="AF255" s="3378"/>
      <c r="AG255" s="3378"/>
      <c r="AH255" s="3378"/>
      <c r="AI255" s="3378"/>
      <c r="AJ255" s="3378"/>
      <c r="AK255" s="3378"/>
      <c r="AL255" s="3378"/>
      <c r="AM255" s="3378"/>
      <c r="AN255" s="1734"/>
      <c r="AO255" s="1734"/>
      <c r="AP255" s="1734"/>
      <c r="AQ255" s="1734"/>
      <c r="AR255" s="1734"/>
      <c r="CA255" s="231" t="s">
        <v>2877</v>
      </c>
      <c r="CB255" s="3404">
        <f>AVERAGE(CB249:CB253)</f>
        <v>2922</v>
      </c>
      <c r="CC255" s="3404">
        <f ca="1">AVERAGE(CC249:CC253)</f>
        <v>3095.1182381132076</v>
      </c>
      <c r="CD255" s="3404">
        <f ca="1">AVERAGE(CD249:CD253)</f>
        <v>3233.3586243263599</v>
      </c>
      <c r="CE255" s="3404"/>
      <c r="CF255" s="3393" t="str">
        <f>IFERROR(CB$249/CB255-1,"--")</f>
        <v>--</v>
      </c>
      <c r="CG255" s="3393">
        <f ca="1">IFERROR(CC$249/CC255-1,"--")</f>
        <v>1.0776555780291019E-2</v>
      </c>
      <c r="CH255" s="3393">
        <f ca="1">IFERROR(CD$249/CD255-1,"--")</f>
        <v>1.5067072450977825E-2</v>
      </c>
      <c r="CI255" s="3393"/>
      <c r="CJ255" s="3386"/>
      <c r="CK255" s="3386"/>
      <c r="HW255" s="3415"/>
      <c r="HX255" s="3415"/>
      <c r="HY255" s="3415"/>
      <c r="HZ255" s="3415"/>
      <c r="IA255" s="3415"/>
      <c r="IB255" s="3415"/>
      <c r="IC255" s="3415"/>
      <c r="ID255" s="3415"/>
      <c r="IE255" s="3415"/>
      <c r="IF255" s="3415"/>
    </row>
    <row r="256" spans="7:240" s="2301" customFormat="1">
      <c r="G256" s="3415"/>
      <c r="U256" s="1734"/>
      <c r="V256" s="1734"/>
      <c r="W256" s="1734"/>
      <c r="X256" s="1734"/>
      <c r="Y256" s="1734"/>
      <c r="Z256" s="1734"/>
      <c r="AA256" s="1734"/>
      <c r="AB256" s="1734"/>
      <c r="AC256" s="2425"/>
      <c r="AD256" s="2698"/>
      <c r="AE256" s="3378"/>
      <c r="AF256" s="3378"/>
      <c r="AG256" s="3378"/>
      <c r="AH256" s="3378"/>
      <c r="AI256" s="3378"/>
      <c r="AJ256" s="3378"/>
      <c r="AK256" s="3378"/>
      <c r="AL256" s="3378"/>
      <c r="AM256" s="3378"/>
      <c r="AN256" s="1734"/>
      <c r="AO256" s="1734"/>
      <c r="AP256" s="1734"/>
      <c r="AQ256" s="1734"/>
      <c r="AR256" s="1734"/>
      <c r="CA256" s="1564"/>
      <c r="CB256" s="3391"/>
      <c r="CC256" s="3391"/>
      <c r="CD256" s="3391"/>
      <c r="CE256" s="3391"/>
      <c r="CF256" s="3391"/>
      <c r="CG256" s="3391"/>
      <c r="CH256" s="3391"/>
      <c r="CI256" s="3391"/>
      <c r="CJ256" s="3391"/>
      <c r="CK256" s="3391"/>
      <c r="HW256" s="3415"/>
      <c r="HX256" s="3415"/>
      <c r="HY256" s="3415"/>
      <c r="HZ256" s="3415"/>
      <c r="IA256" s="3415"/>
      <c r="IB256" s="3415"/>
      <c r="IC256" s="3415"/>
      <c r="ID256" s="3415"/>
      <c r="IE256" s="3415"/>
      <c r="IF256" s="3415"/>
    </row>
    <row r="257" spans="79:89">
      <c r="CA257" s="3388" t="s">
        <v>2868</v>
      </c>
      <c r="CB257" s="3398"/>
      <c r="CC257" s="3398"/>
      <c r="CD257" s="3398"/>
      <c r="CE257" s="3398"/>
      <c r="CF257" s="3398"/>
      <c r="CG257" s="3398"/>
      <c r="CH257" s="3398"/>
      <c r="CI257" s="3398"/>
      <c r="CJ257" s="3390"/>
      <c r="CK257" s="3390"/>
    </row>
    <row r="258" spans="79:89">
      <c r="CA258" s="2837" t="s">
        <v>554</v>
      </c>
      <c r="CB258" s="3403" t="s">
        <v>551</v>
      </c>
      <c r="CC258" s="3404">
        <f ca="1">+Hilton!AJ121</f>
        <v>1965</v>
      </c>
      <c r="CD258" s="3404">
        <f ca="1">+Hilton!AO121</f>
        <v>2068.6601203221921</v>
      </c>
      <c r="CE258" s="3404"/>
      <c r="CF258" s="3393"/>
      <c r="CG258" s="3393"/>
      <c r="CH258" s="3393"/>
      <c r="CI258" s="3393"/>
      <c r="CJ258" s="3387" t="s">
        <v>551</v>
      </c>
      <c r="CK258" s="3386">
        <f>'EBITDA Val'!F6</f>
        <v>11.2</v>
      </c>
    </row>
    <row r="259" spans="79:89" ht="4.5" customHeight="1">
      <c r="CB259" s="3380"/>
      <c r="CC259" s="2938"/>
      <c r="CD259" s="2938"/>
      <c r="CE259" s="2938"/>
      <c r="CF259" s="3394"/>
      <c r="CG259" s="3394"/>
      <c r="CH259" s="3394"/>
      <c r="CI259" s="3394"/>
      <c r="CJ259" s="3381"/>
      <c r="CK259" s="3381"/>
    </row>
    <row r="260" spans="79:89" ht="12.75" customHeight="1">
      <c r="CA260" s="1734" t="s">
        <v>2869</v>
      </c>
      <c r="CB260" s="3380">
        <v>1760</v>
      </c>
      <c r="CC260" s="3380">
        <v>1894</v>
      </c>
      <c r="CD260" s="3380">
        <v>2017</v>
      </c>
      <c r="CE260" s="2938"/>
      <c r="CF260" s="3394" t="str">
        <f t="shared" ref="CF260:CH262" si="9">IFERROR(CB$258/CB260-1,"--")</f>
        <v>--</v>
      </c>
      <c r="CG260" s="3394">
        <f t="shared" ca="1" si="9"/>
        <v>3.7486800422386501E-2</v>
      </c>
      <c r="CH260" s="3394">
        <f t="shared" ca="1" si="9"/>
        <v>2.561235514238569E-2</v>
      </c>
      <c r="CI260" s="3394"/>
      <c r="CJ260" s="3381">
        <v>12</v>
      </c>
      <c r="CK260" s="3381">
        <v>12</v>
      </c>
    </row>
    <row r="261" spans="79:89" ht="12.75" customHeight="1">
      <c r="CA261" s="1734" t="s">
        <v>2872</v>
      </c>
      <c r="CB261" s="3380">
        <v>1775</v>
      </c>
      <c r="CC261" s="3380">
        <v>1913</v>
      </c>
      <c r="CD261" s="3380">
        <v>2041</v>
      </c>
      <c r="CE261" s="2938"/>
      <c r="CF261" s="3394" t="str">
        <f t="shared" si="9"/>
        <v>--</v>
      </c>
      <c r="CG261" s="3394">
        <f t="shared" ca="1" si="9"/>
        <v>2.7182435964453688E-2</v>
      </c>
      <c r="CH261" s="3394">
        <f t="shared" ca="1" si="9"/>
        <v>1.355223925634097E-2</v>
      </c>
      <c r="CI261" s="3394"/>
      <c r="CJ261" s="3381">
        <v>10</v>
      </c>
      <c r="CK261" s="3381">
        <v>9.5</v>
      </c>
    </row>
    <row r="262" spans="79:89" ht="12.75" customHeight="1">
      <c r="CA262" s="1734" t="s">
        <v>2874</v>
      </c>
      <c r="CB262" s="3380" t="s">
        <v>551</v>
      </c>
      <c r="CC262" s="3380">
        <v>1915</v>
      </c>
      <c r="CD262" s="3380" t="s">
        <v>551</v>
      </c>
      <c r="CE262" s="2938"/>
      <c r="CF262" s="3394" t="str">
        <f t="shared" si="9"/>
        <v>--</v>
      </c>
      <c r="CG262" s="3394">
        <f t="shared" ca="1" si="9"/>
        <v>2.6109660574412441E-2</v>
      </c>
      <c r="CH262" s="3394" t="str">
        <f t="shared" ca="1" si="9"/>
        <v>--</v>
      </c>
      <c r="CI262" s="3394"/>
      <c r="CJ262" s="3381">
        <v>10.6</v>
      </c>
      <c r="CK262" s="3381" t="s">
        <v>551</v>
      </c>
    </row>
    <row r="263" spans="79:89" ht="4.5" customHeight="1">
      <c r="CB263" s="3395" t="s">
        <v>2878</v>
      </c>
      <c r="CC263" s="3395" t="s">
        <v>2878</v>
      </c>
      <c r="CD263" s="3395" t="s">
        <v>2878</v>
      </c>
      <c r="CE263" s="2938"/>
      <c r="CF263" s="3395" t="s">
        <v>2878</v>
      </c>
      <c r="CG263" s="3395" t="s">
        <v>2878</v>
      </c>
      <c r="CH263" s="3395" t="s">
        <v>2878</v>
      </c>
      <c r="CI263" s="3394"/>
      <c r="CJ263" s="3395" t="s">
        <v>2878</v>
      </c>
      <c r="CK263" s="3395" t="s">
        <v>2878</v>
      </c>
    </row>
    <row r="264" spans="79:89">
      <c r="CA264" s="231" t="s">
        <v>2877</v>
      </c>
      <c r="CB264" s="3404">
        <f>AVERAGE(CB258:CB262)</f>
        <v>1767.5</v>
      </c>
      <c r="CC264" s="3404">
        <f ca="1">AVERAGE(CC258:CC262)</f>
        <v>1921.75</v>
      </c>
      <c r="CD264" s="3404">
        <f ca="1">AVERAGE(CD258:CD262)</f>
        <v>2042.2200401073976</v>
      </c>
      <c r="CE264" s="3404"/>
      <c r="CF264" s="3393" t="str">
        <f>IFERROR(CB$258/CB264-1,"--")</f>
        <v>--</v>
      </c>
      <c r="CG264" s="3393">
        <f ca="1">IFERROR(CC$258/CC264-1,"--")</f>
        <v>2.2505528814882325E-2</v>
      </c>
      <c r="CH264" s="3393">
        <f ca="1">IFERROR(CD$258/CD264-1,"--")</f>
        <v>1.2946734286969352E-2</v>
      </c>
      <c r="CI264" s="3393"/>
      <c r="CJ264" s="3386">
        <f>AVERAGE(CJ258:CJ262)</f>
        <v>10.866666666666667</v>
      </c>
      <c r="CK264" s="3386">
        <f>AVERAGE(CK258:CK262)</f>
        <v>10.9</v>
      </c>
    </row>
    <row r="265" spans="79:89">
      <c r="CB265" s="2938"/>
      <c r="CC265" s="2938"/>
      <c r="CD265" s="2938"/>
      <c r="CE265" s="2938"/>
      <c r="CF265" s="3394"/>
      <c r="CG265" s="3394"/>
      <c r="CH265" s="3394"/>
      <c r="CI265" s="3394"/>
      <c r="CJ265" s="3381"/>
      <c r="CK265" s="3381"/>
    </row>
    <row r="266" spans="79:89">
      <c r="CA266" s="3388" t="s">
        <v>2870</v>
      </c>
      <c r="CB266" s="3398"/>
      <c r="CC266" s="3398"/>
      <c r="CD266" s="3398"/>
      <c r="CE266" s="3398"/>
      <c r="CF266" s="3396"/>
      <c r="CG266" s="3396"/>
      <c r="CH266" s="3396"/>
      <c r="CI266" s="3396"/>
      <c r="CJ266" s="3390"/>
      <c r="CK266" s="3390"/>
    </row>
    <row r="267" spans="79:89">
      <c r="CA267" s="2837" t="s">
        <v>554</v>
      </c>
      <c r="CB267" s="3404">
        <f>+'Owned Assets Spun Out'!I81</f>
        <v>772.97018867924498</v>
      </c>
      <c r="CC267" s="3404">
        <f>+'Owned Assets Spun Out'!J81</f>
        <v>764.46170245283065</v>
      </c>
      <c r="CD267" s="3404">
        <f>+'Owned Assets Spun Out'!K81</f>
        <v>789.75509015688669</v>
      </c>
      <c r="CE267" s="3404"/>
      <c r="CF267" s="3393"/>
      <c r="CG267" s="3393"/>
      <c r="CH267" s="3393"/>
      <c r="CI267" s="3393"/>
      <c r="CJ267" s="3387" t="s">
        <v>551</v>
      </c>
      <c r="CK267" s="3386">
        <f>'EBITDA Val'!F7</f>
        <v>15.75</v>
      </c>
    </row>
    <row r="268" spans="79:89" ht="4.5" customHeight="1">
      <c r="CB268" s="2938"/>
      <c r="CC268" s="2938"/>
      <c r="CD268" s="2938"/>
      <c r="CE268" s="2938"/>
      <c r="CF268" s="3394"/>
      <c r="CG268" s="3394"/>
      <c r="CH268" s="3394"/>
      <c r="CI268" s="3394"/>
      <c r="CJ268" s="3381"/>
      <c r="CK268" s="3381"/>
    </row>
    <row r="269" spans="79:89">
      <c r="CA269" s="1734" t="s">
        <v>2869</v>
      </c>
      <c r="CB269" s="3380">
        <v>765</v>
      </c>
      <c r="CC269" s="3380">
        <v>757</v>
      </c>
      <c r="CD269" s="3380">
        <v>742</v>
      </c>
      <c r="CE269" s="2938"/>
      <c r="CF269" s="3394">
        <f t="shared" ref="CF269:CH271" si="10">IFERROR(CB$267/CB269-1,"--")</f>
        <v>1.0418547293130631E-2</v>
      </c>
      <c r="CG269" s="3394">
        <f t="shared" si="10"/>
        <v>9.8569385110047758E-3</v>
      </c>
      <c r="CH269" s="3394">
        <f t="shared" si="10"/>
        <v>6.4359959780170728E-2</v>
      </c>
      <c r="CI269" s="3394"/>
      <c r="CJ269" s="3381">
        <v>10.5</v>
      </c>
      <c r="CK269" s="3381">
        <v>10.5</v>
      </c>
    </row>
    <row r="270" spans="79:89">
      <c r="CA270" s="1734" t="s">
        <v>2872</v>
      </c>
      <c r="CB270" s="3380">
        <v>783</v>
      </c>
      <c r="CC270" s="3380">
        <v>798</v>
      </c>
      <c r="CD270" s="3380">
        <v>810</v>
      </c>
      <c r="CE270" s="2938"/>
      <c r="CF270" s="3394">
        <f t="shared" si="10"/>
        <v>-1.2809465288320609E-2</v>
      </c>
      <c r="CG270" s="3394">
        <f t="shared" si="10"/>
        <v>-4.2027941788432721E-2</v>
      </c>
      <c r="CH270" s="3394">
        <f t="shared" si="10"/>
        <v>-2.4993715855695431E-2</v>
      </c>
      <c r="CI270" s="3394"/>
      <c r="CJ270" s="3381">
        <v>10</v>
      </c>
      <c r="CK270" s="3381">
        <v>9.5</v>
      </c>
    </row>
    <row r="271" spans="79:89">
      <c r="CA271" s="1734" t="s">
        <v>2874</v>
      </c>
      <c r="CB271" s="3380" t="s">
        <v>551</v>
      </c>
      <c r="CC271" s="3380">
        <v>788</v>
      </c>
      <c r="CD271" s="3380" t="s">
        <v>551</v>
      </c>
      <c r="CE271" s="2938"/>
      <c r="CF271" s="3394" t="str">
        <f t="shared" si="10"/>
        <v>--</v>
      </c>
      <c r="CG271" s="3394">
        <f t="shared" si="10"/>
        <v>-2.987093597356516E-2</v>
      </c>
      <c r="CH271" s="3394" t="str">
        <f t="shared" si="10"/>
        <v>--</v>
      </c>
      <c r="CI271" s="3394"/>
      <c r="CJ271" s="3381">
        <v>10.3</v>
      </c>
      <c r="CK271" s="3381" t="s">
        <v>551</v>
      </c>
    </row>
    <row r="272" spans="79:89" ht="4.5" customHeight="1">
      <c r="CB272" s="3395" t="s">
        <v>2878</v>
      </c>
      <c r="CC272" s="3395" t="s">
        <v>2878</v>
      </c>
      <c r="CD272" s="3395" t="s">
        <v>2878</v>
      </c>
      <c r="CE272" s="2938"/>
      <c r="CF272" s="3395" t="s">
        <v>2878</v>
      </c>
      <c r="CG272" s="3395" t="s">
        <v>2878</v>
      </c>
      <c r="CH272" s="3395" t="s">
        <v>2878</v>
      </c>
      <c r="CI272" s="3394"/>
      <c r="CJ272" s="3395" t="s">
        <v>2878</v>
      </c>
      <c r="CK272" s="3395" t="s">
        <v>2878</v>
      </c>
    </row>
    <row r="273" spans="79:114">
      <c r="CA273" s="231" t="s">
        <v>2877</v>
      </c>
      <c r="CB273" s="3404">
        <f>AVERAGE(CB267:CB271)</f>
        <v>773.65672955974833</v>
      </c>
      <c r="CC273" s="3404">
        <f>AVERAGE(CC267:CC271)</f>
        <v>776.86542561320766</v>
      </c>
      <c r="CD273" s="3404">
        <f>AVERAGE(CD267:CD271)</f>
        <v>780.58503005229556</v>
      </c>
      <c r="CE273" s="3404"/>
      <c r="CF273" s="3393">
        <f>IFERROR(CB$267/CB273-1,"--")</f>
        <v>-8.8739728392728257E-4</v>
      </c>
      <c r="CG273" s="3393">
        <f>IFERROR(CC$267/CC273-1,"--")</f>
        <v>-1.5966373005448564E-2</v>
      </c>
      <c r="CH273" s="3393">
        <f>IFERROR(CD$267/CD273-1,"--")</f>
        <v>1.1747676103879057E-2</v>
      </c>
      <c r="CI273" s="3393"/>
      <c r="CJ273" s="3386">
        <f>AVERAGE(CJ267:CJ271)</f>
        <v>10.266666666666667</v>
      </c>
      <c r="CK273" s="3386">
        <f>AVERAGE(CK267:CK271)</f>
        <v>11.916666666666666</v>
      </c>
    </row>
    <row r="274" spans="79:114">
      <c r="CB274" s="2938"/>
      <c r="CC274" s="2938"/>
      <c r="CD274" s="2938"/>
      <c r="CE274" s="2938"/>
      <c r="CF274" s="3394"/>
      <c r="CG274" s="3394"/>
      <c r="CH274" s="3394"/>
      <c r="CI274" s="3394"/>
      <c r="CJ274" s="3381"/>
      <c r="CK274" s="3381"/>
    </row>
    <row r="275" spans="79:114">
      <c r="CA275" s="3388" t="s">
        <v>2871</v>
      </c>
      <c r="CB275" s="3398"/>
      <c r="CC275" s="3398"/>
      <c r="CD275" s="3398"/>
      <c r="CE275" s="3398"/>
      <c r="CF275" s="3396"/>
      <c r="CG275" s="3396"/>
      <c r="CH275" s="3396"/>
      <c r="CI275" s="3396"/>
      <c r="CJ275" s="3390"/>
      <c r="CK275" s="3390"/>
    </row>
    <row r="276" spans="79:114">
      <c r="CA276" s="2837" t="s">
        <v>554</v>
      </c>
      <c r="CB276" s="3404">
        <f>+'Timeshare Assets Spun Out'!I65</f>
        <v>389.52500000000015</v>
      </c>
      <c r="CC276" s="3404">
        <f>+'Timeshare Assets Spun Out'!J65</f>
        <v>399.01125000000013</v>
      </c>
      <c r="CD276" s="3404">
        <f>+'Timeshare Assets Spun Out'!K65</f>
        <v>423.66066250000023</v>
      </c>
      <c r="CE276" s="3404"/>
      <c r="CF276" s="3393"/>
      <c r="CG276" s="3393"/>
      <c r="CH276" s="3393"/>
      <c r="CI276" s="3393"/>
      <c r="CJ276" s="3387" t="s">
        <v>551</v>
      </c>
      <c r="CK276" s="3386">
        <f>'EBITDA Val'!F8</f>
        <v>15.722965816384368</v>
      </c>
    </row>
    <row r="277" spans="79:114" ht="4.5" customHeight="1">
      <c r="CB277" s="2938"/>
      <c r="CC277" s="2938"/>
      <c r="CD277" s="2938"/>
      <c r="CE277" s="2938"/>
      <c r="CF277" s="3394"/>
      <c r="CG277" s="3394"/>
      <c r="CH277" s="3394"/>
      <c r="CI277" s="3394"/>
      <c r="CJ277" s="3381"/>
      <c r="CK277" s="3381"/>
    </row>
    <row r="278" spans="79:114">
      <c r="CA278" s="1734" t="s">
        <v>2869</v>
      </c>
      <c r="CB278" s="3380">
        <v>380</v>
      </c>
      <c r="CC278" s="3380">
        <v>395</v>
      </c>
      <c r="CD278" s="3380">
        <v>411</v>
      </c>
      <c r="CE278" s="2938"/>
      <c r="CF278" s="3394">
        <f t="shared" ref="CF278:CH280" si="11">IFERROR(CB$276/CB278-1,"--")</f>
        <v>2.5065789473684541E-2</v>
      </c>
      <c r="CG278" s="3394">
        <f t="shared" si="11"/>
        <v>1.0155063291139577E-2</v>
      </c>
      <c r="CH278" s="3394">
        <f t="shared" si="11"/>
        <v>3.0804531630170828E-2</v>
      </c>
      <c r="CI278" s="3394"/>
      <c r="CJ278" s="3381">
        <v>8.5</v>
      </c>
      <c r="CK278" s="3381">
        <v>8.5</v>
      </c>
    </row>
    <row r="279" spans="79:114">
      <c r="CA279" s="1734" t="s">
        <v>2872</v>
      </c>
      <c r="CB279" s="3380">
        <v>381</v>
      </c>
      <c r="CC279" s="3380">
        <v>389</v>
      </c>
      <c r="CD279" s="3380">
        <v>397</v>
      </c>
      <c r="CE279" s="2938"/>
      <c r="CF279" s="3394">
        <f t="shared" si="11"/>
        <v>2.2375328083989787E-2</v>
      </c>
      <c r="CG279" s="3394">
        <f t="shared" si="11"/>
        <v>2.5735861182519582E-2</v>
      </c>
      <c r="CH279" s="3394">
        <f t="shared" si="11"/>
        <v>6.7155321158690828E-2</v>
      </c>
      <c r="CI279" s="3394"/>
      <c r="CJ279" s="3381">
        <v>8</v>
      </c>
      <c r="CK279" s="3381">
        <v>7.5</v>
      </c>
    </row>
    <row r="280" spans="79:114">
      <c r="CA280" s="1734" t="s">
        <v>2874</v>
      </c>
      <c r="CB280" s="3380" t="s">
        <v>551</v>
      </c>
      <c r="CC280" s="3380">
        <v>403</v>
      </c>
      <c r="CD280" s="3380" t="s">
        <v>551</v>
      </c>
      <c r="CE280" s="2938"/>
      <c r="CF280" s="3394" t="str">
        <f t="shared" si="11"/>
        <v>--</v>
      </c>
      <c r="CG280" s="3394">
        <f t="shared" si="11"/>
        <v>-9.8976426799004535E-3</v>
      </c>
      <c r="CH280" s="3394" t="str">
        <f t="shared" si="11"/>
        <v>--</v>
      </c>
      <c r="CI280" s="3394"/>
      <c r="CJ280" s="3381">
        <v>8.1</v>
      </c>
      <c r="CK280" s="3381" t="s">
        <v>551</v>
      </c>
    </row>
    <row r="281" spans="79:114" ht="4.5" customHeight="1">
      <c r="CB281" s="3395" t="s">
        <v>2878</v>
      </c>
      <c r="CC281" s="3395" t="s">
        <v>2878</v>
      </c>
      <c r="CD281" s="3395" t="s">
        <v>2878</v>
      </c>
      <c r="CE281" s="2938"/>
      <c r="CF281" s="3395" t="s">
        <v>2878</v>
      </c>
      <c r="CG281" s="3395" t="s">
        <v>2878</v>
      </c>
      <c r="CH281" s="3395" t="s">
        <v>2878</v>
      </c>
      <c r="CI281" s="3394"/>
      <c r="CJ281" s="3395" t="s">
        <v>2878</v>
      </c>
      <c r="CK281" s="3395" t="s">
        <v>2878</v>
      </c>
    </row>
    <row r="282" spans="79:114">
      <c r="CA282" s="231" t="s">
        <v>2877</v>
      </c>
      <c r="CB282" s="3404">
        <f>AVERAGE(CB276:CB280)</f>
        <v>383.50833333333338</v>
      </c>
      <c r="CC282" s="3404">
        <f>AVERAGE(CC276:CC280)</f>
        <v>396.5028125</v>
      </c>
      <c r="CD282" s="3404">
        <f>AVERAGE(CD276:CD280)</f>
        <v>410.55355416666674</v>
      </c>
      <c r="CE282" s="3404"/>
      <c r="CF282" s="3393">
        <f>IFERROR(CB$276/CB282-1,"--")</f>
        <v>1.5688490037157221E-2</v>
      </c>
      <c r="CG282" s="3393">
        <f>IFERROR(CC$276/CC282-1,"--")</f>
        <v>6.3264053139600041E-3</v>
      </c>
      <c r="CH282" s="3393">
        <f>IFERROR(CD$276/CD282-1,"--")</f>
        <v>3.1925453330779341E-2</v>
      </c>
      <c r="CI282" s="3393"/>
      <c r="CJ282" s="3386">
        <f>AVERAGE(CJ276:CJ280)</f>
        <v>8.2000000000000011</v>
      </c>
      <c r="CK282" s="3386">
        <f>AVERAGE(CK276:CK280)</f>
        <v>10.574321938794789</v>
      </c>
    </row>
    <row r="283" spans="79:114">
      <c r="CJ283" s="3380"/>
      <c r="CK283" s="3380"/>
      <c r="CL283" s="3380"/>
      <c r="CM283" s="3380"/>
      <c r="CN283" s="3380"/>
      <c r="CO283" s="3380"/>
      <c r="CP283" s="3380"/>
      <c r="CQ283" s="3380"/>
      <c r="CR283" s="3380"/>
      <c r="CS283" s="3380"/>
      <c r="CT283" s="3380"/>
      <c r="CU283" s="3380"/>
      <c r="CV283" s="3380"/>
      <c r="CW283" s="3380"/>
      <c r="CX283" s="3380"/>
      <c r="CY283" s="3380"/>
      <c r="CZ283" s="3380"/>
      <c r="DA283" s="3380"/>
      <c r="DB283" s="3380"/>
      <c r="DC283" s="3380"/>
      <c r="DD283" s="3380"/>
      <c r="DE283" s="3380"/>
      <c r="DF283" s="3380"/>
      <c r="DG283" s="3380"/>
      <c r="DH283" s="3380"/>
      <c r="DI283" s="3380"/>
      <c r="DJ283" s="3380"/>
    </row>
    <row r="284" spans="79:114">
      <c r="CA284" s="3384" t="s">
        <v>214</v>
      </c>
      <c r="CB284" s="3385"/>
      <c r="CJ284" s="3380"/>
      <c r="CK284" s="3380"/>
    </row>
    <row r="285" spans="79:114">
      <c r="CA285" s="3385" t="s">
        <v>554</v>
      </c>
      <c r="CB285" s="3392">
        <v>24</v>
      </c>
      <c r="CC285" s="3379"/>
      <c r="CD285" s="3379"/>
      <c r="CJ285" s="3380"/>
      <c r="CK285" s="3380"/>
    </row>
    <row r="286" spans="79:114">
      <c r="CA286" s="3385" t="s">
        <v>2869</v>
      </c>
      <c r="CB286" s="3392">
        <v>24</v>
      </c>
      <c r="CC286" s="3379"/>
      <c r="CD286" s="3379"/>
      <c r="CJ286" s="3380"/>
      <c r="CK286" s="3380"/>
    </row>
    <row r="287" spans="79:114">
      <c r="CA287" s="3385" t="s">
        <v>2872</v>
      </c>
      <c r="CB287" s="3392">
        <v>27</v>
      </c>
      <c r="CC287" s="3379"/>
      <c r="CD287" s="3379"/>
      <c r="CJ287" s="3380"/>
      <c r="CK287" s="3380"/>
    </row>
    <row r="288" spans="79:114">
      <c r="CA288" s="3385" t="s">
        <v>2873</v>
      </c>
      <c r="CB288" s="3392">
        <v>24</v>
      </c>
      <c r="CC288" s="3379"/>
      <c r="CD288" s="3379"/>
      <c r="CJ288" s="3380"/>
      <c r="CK288" s="3380"/>
    </row>
    <row r="289" spans="29:113">
      <c r="AN289" s="1828"/>
      <c r="AO289" s="1828"/>
      <c r="AP289" s="1828"/>
      <c r="AQ289" s="1828"/>
      <c r="AR289" s="1828"/>
      <c r="CA289" s="3385" t="s">
        <v>2874</v>
      </c>
      <c r="CB289" s="3392">
        <v>28</v>
      </c>
      <c r="CC289" s="3379"/>
      <c r="CD289" s="3379"/>
      <c r="CJ289" s="3380"/>
      <c r="CK289" s="3380"/>
    </row>
    <row r="290" spans="29:113">
      <c r="AN290" s="1828"/>
      <c r="AO290" s="1828"/>
      <c r="AP290" s="1828"/>
      <c r="AQ290" s="1828"/>
      <c r="AR290" s="1828"/>
      <c r="CA290" s="3385" t="s">
        <v>2875</v>
      </c>
      <c r="CB290" s="3392">
        <v>25</v>
      </c>
      <c r="CC290" s="3379"/>
      <c r="CD290" s="3379"/>
      <c r="CJ290" s="3380"/>
      <c r="CK290" s="3380"/>
    </row>
    <row r="291" spans="29:113" s="1828" customFormat="1">
      <c r="AC291" s="3400"/>
      <c r="AD291" s="3401"/>
      <c r="AE291" s="3401"/>
      <c r="AF291" s="3401"/>
      <c r="AG291" s="3401"/>
      <c r="AH291" s="3401"/>
      <c r="AI291" s="3401"/>
      <c r="AJ291" s="3401"/>
      <c r="AK291" s="3401"/>
      <c r="AL291" s="3401"/>
      <c r="AM291" s="3401"/>
      <c r="CB291" s="3418"/>
      <c r="CC291" s="3419"/>
      <c r="CD291" s="3419"/>
      <c r="CJ291" s="3420"/>
      <c r="CK291" s="3420"/>
    </row>
    <row r="292" spans="29:113" s="1828" customFormat="1" ht="25.5">
      <c r="AC292" s="3400"/>
      <c r="AD292" s="3401"/>
      <c r="AE292" s="3401"/>
      <c r="AF292" s="3401"/>
      <c r="AG292" s="3401"/>
      <c r="AH292" s="3401"/>
      <c r="AI292" s="3401"/>
      <c r="AJ292" s="3401"/>
      <c r="AK292" s="3401"/>
      <c r="AL292" s="3401"/>
      <c r="AM292" s="3401"/>
      <c r="CB292" s="3418"/>
      <c r="CC292" s="3419"/>
      <c r="CD292" s="3419"/>
      <c r="CJ292" s="3420"/>
      <c r="CK292" s="3420"/>
      <c r="CM292" s="1734"/>
      <c r="CN292" s="17" t="s">
        <v>1228</v>
      </c>
      <c r="CO292" s="2853"/>
      <c r="CP292" s="2853"/>
      <c r="CQ292" s="1734"/>
      <c r="CR292" s="3383" t="s">
        <v>2876</v>
      </c>
      <c r="CS292" s="2853"/>
    </row>
    <row r="293" spans="29:113" s="1828" customFormat="1">
      <c r="AC293" s="3400"/>
      <c r="AD293" s="3401"/>
      <c r="AE293" s="3401"/>
      <c r="AF293" s="3401"/>
      <c r="AG293" s="3401"/>
      <c r="AH293" s="3401"/>
      <c r="AI293" s="3401"/>
      <c r="AJ293" s="3401"/>
      <c r="AK293" s="3401"/>
      <c r="AL293" s="3401"/>
      <c r="AM293" s="3401"/>
      <c r="CB293" s="3418"/>
      <c r="CC293" s="3419"/>
      <c r="CD293" s="3419"/>
      <c r="CJ293" s="3420"/>
      <c r="CK293" s="3420"/>
      <c r="CM293" s="2301"/>
      <c r="CN293" s="1652" t="s">
        <v>42</v>
      </c>
      <c r="CO293" s="1652" t="s">
        <v>43</v>
      </c>
      <c r="CP293" s="1652" t="s">
        <v>44</v>
      </c>
      <c r="CQ293" s="1564"/>
      <c r="CR293" s="3391" t="s">
        <v>43</v>
      </c>
      <c r="CS293" s="3391" t="s">
        <v>44</v>
      </c>
    </row>
    <row r="294" spans="29:113" s="1828" customFormat="1">
      <c r="AC294" s="3400"/>
      <c r="AD294" s="3401"/>
      <c r="AE294" s="3401"/>
      <c r="AF294" s="3401"/>
      <c r="AG294" s="3401"/>
      <c r="AH294" s="3401"/>
      <c r="AI294" s="3401"/>
      <c r="AJ294" s="3401"/>
      <c r="AK294" s="3401"/>
      <c r="AL294" s="3401"/>
      <c r="AM294" s="3401"/>
      <c r="CB294" s="3418"/>
      <c r="CC294" s="3419"/>
      <c r="CD294" s="3419"/>
      <c r="CJ294" s="3420"/>
      <c r="CK294" s="3420"/>
      <c r="CM294" s="3388" t="s">
        <v>2882</v>
      </c>
      <c r="CN294" s="3389"/>
      <c r="CO294" s="3389"/>
      <c r="CP294" s="3389"/>
      <c r="CQ294" s="3389"/>
      <c r="CR294" s="3390"/>
      <c r="CS294" s="3390"/>
    </row>
    <row r="295" spans="29:113" s="1828" customFormat="1">
      <c r="AC295" s="3400"/>
      <c r="AD295" s="3401"/>
      <c r="AE295" s="3401"/>
      <c r="AF295" s="3401"/>
      <c r="AG295" s="3401"/>
      <c r="AH295" s="3401"/>
      <c r="AI295" s="3401"/>
      <c r="AJ295" s="3401"/>
      <c r="AK295" s="3401"/>
      <c r="AL295" s="3401"/>
      <c r="AM295" s="3401"/>
      <c r="CB295" s="3418"/>
      <c r="CC295" s="3419"/>
      <c r="CD295" s="3419"/>
      <c r="CJ295" s="3420"/>
      <c r="CK295" s="3420"/>
      <c r="CM295" s="1828" t="s">
        <v>554</v>
      </c>
      <c r="CN295" s="2943" t="str">
        <f>$CB$249</f>
        <v>--</v>
      </c>
      <c r="CO295" s="2943">
        <f ca="1">$CC$249</f>
        <v>3128.4729524528307</v>
      </c>
      <c r="CP295" s="2943">
        <f ca="1">$CD$249</f>
        <v>3282.0758729790791</v>
      </c>
      <c r="CQ295" s="3417"/>
      <c r="CR295" s="3402"/>
      <c r="CS295" s="3402"/>
    </row>
    <row r="296" spans="29:113" s="1828" customFormat="1">
      <c r="AC296" s="3400"/>
      <c r="AD296" s="3401"/>
      <c r="AE296" s="3401"/>
      <c r="AF296" s="3401"/>
      <c r="AG296" s="3401"/>
      <c r="AH296" s="3401"/>
      <c r="AI296" s="3401"/>
      <c r="AJ296" s="3401"/>
      <c r="AK296" s="3401"/>
      <c r="AL296" s="3401"/>
      <c r="AM296" s="3401"/>
      <c r="CB296" s="3418"/>
      <c r="CC296" s="3419"/>
      <c r="CD296" s="3419"/>
      <c r="CJ296" s="3420"/>
      <c r="CK296" s="3420"/>
      <c r="CM296" s="1564" t="s">
        <v>2877</v>
      </c>
      <c r="CN296" s="2943">
        <f>$CB$255</f>
        <v>2922</v>
      </c>
      <c r="CO296" s="2943">
        <f ca="1">$CC$255</f>
        <v>3095.1182381132076</v>
      </c>
      <c r="CP296" s="2943">
        <f ca="1">$CD$255</f>
        <v>3233.3586243263599</v>
      </c>
      <c r="CQ296" s="3417"/>
      <c r="CR296" s="3402"/>
      <c r="CS296" s="3402"/>
    </row>
    <row r="297" spans="29:113" s="1828" customFormat="1">
      <c r="AC297" s="3400"/>
      <c r="AD297" s="3401"/>
      <c r="AE297" s="3401"/>
      <c r="AF297" s="3401"/>
      <c r="AG297" s="3401"/>
      <c r="AH297" s="3401"/>
      <c r="AI297" s="3401"/>
      <c r="AJ297" s="3401"/>
      <c r="AK297" s="3401"/>
      <c r="AL297" s="3401"/>
      <c r="AM297" s="3401"/>
      <c r="CB297" s="3418"/>
      <c r="CC297" s="3419"/>
      <c r="CD297" s="3419"/>
      <c r="CJ297" s="3420"/>
      <c r="CK297" s="3420"/>
      <c r="CM297" s="3422" t="s">
        <v>2883</v>
      </c>
      <c r="CN297" s="3417" t="str">
        <f>$CF$255</f>
        <v>--</v>
      </c>
      <c r="CO297" s="3417">
        <f ca="1">$CG$255</f>
        <v>1.0776555780291019E-2</v>
      </c>
      <c r="CP297" s="3417">
        <f ca="1">$CH$255</f>
        <v>1.5067072450977825E-2</v>
      </c>
      <c r="CQ297" s="3417"/>
      <c r="CR297" s="3402"/>
      <c r="CS297" s="3402"/>
    </row>
    <row r="298" spans="29:113" s="1828" customFormat="1">
      <c r="AC298" s="3400"/>
      <c r="AD298" s="3401"/>
      <c r="AE298" s="3401"/>
      <c r="AF298" s="3401"/>
      <c r="AG298" s="3401"/>
      <c r="AH298" s="3401"/>
      <c r="AI298" s="3401"/>
      <c r="AJ298" s="3401"/>
      <c r="AK298" s="3401"/>
      <c r="AL298" s="3401"/>
      <c r="AM298" s="3401"/>
      <c r="CB298" s="3418"/>
      <c r="CC298" s="3419"/>
      <c r="CD298" s="3419"/>
      <c r="CJ298" s="3420"/>
      <c r="CK298" s="3420"/>
      <c r="CM298" s="141" t="s">
        <v>2884</v>
      </c>
      <c r="CN298" s="2943">
        <f>AVERAGE(2865,2945)</f>
        <v>2905</v>
      </c>
      <c r="CQ298" s="3417"/>
      <c r="CR298" s="3402"/>
      <c r="CS298" s="3402"/>
      <c r="CV298" s="3417"/>
      <c r="CW298" s="3417"/>
      <c r="CX298" s="3417"/>
      <c r="CY298" s="3417"/>
      <c r="CZ298" s="3417"/>
      <c r="DA298" s="3417"/>
      <c r="DB298" s="3417"/>
      <c r="DC298" s="3417"/>
      <c r="DD298" s="3417"/>
      <c r="DE298" s="3417"/>
      <c r="DF298" s="3417"/>
      <c r="DG298" s="3417"/>
      <c r="DH298" s="3417"/>
      <c r="DI298" s="3417"/>
    </row>
    <row r="299" spans="29:113" s="1828" customFormat="1">
      <c r="AC299" s="3400"/>
      <c r="AD299" s="3401"/>
      <c r="AE299" s="3401"/>
      <c r="AF299" s="3401"/>
      <c r="AG299" s="3401"/>
      <c r="AH299" s="3401"/>
      <c r="AI299" s="3401"/>
      <c r="AJ299" s="3401"/>
      <c r="AK299" s="3401"/>
      <c r="AL299" s="3401"/>
      <c r="AM299" s="3401"/>
      <c r="CB299" s="3418"/>
      <c r="CC299" s="3419"/>
      <c r="CD299" s="3419"/>
      <c r="CJ299" s="3420"/>
      <c r="CK299" s="3420"/>
      <c r="CM299" s="3388" t="s">
        <v>2868</v>
      </c>
      <c r="CN299" s="3398"/>
      <c r="CO299" s="3398"/>
      <c r="CP299" s="3398"/>
      <c r="CQ299" s="3398"/>
      <c r="CR299" s="3390"/>
      <c r="CS299" s="3390"/>
    </row>
    <row r="300" spans="29:113" s="1828" customFormat="1">
      <c r="AC300" s="3400"/>
      <c r="AD300" s="3401"/>
      <c r="AE300" s="3401"/>
      <c r="AF300" s="3401"/>
      <c r="AG300" s="3401"/>
      <c r="AH300" s="3401"/>
      <c r="AI300" s="3401"/>
      <c r="AJ300" s="3401"/>
      <c r="AK300" s="3401"/>
      <c r="AL300" s="3401"/>
      <c r="AM300" s="3401"/>
      <c r="CB300" s="3418"/>
      <c r="CC300" s="3419"/>
      <c r="CD300" s="3419"/>
      <c r="CJ300" s="3420"/>
      <c r="CK300" s="3420"/>
      <c r="CM300" s="1828" t="s">
        <v>554</v>
      </c>
      <c r="CN300" s="3420" t="s">
        <v>551</v>
      </c>
      <c r="CO300" s="2943">
        <f ca="1">$CC$258</f>
        <v>1965</v>
      </c>
      <c r="CP300" s="2943">
        <f ca="1">$CD$258</f>
        <v>2068.6601203221921</v>
      </c>
      <c r="CQ300" s="2943"/>
      <c r="CR300" s="3421" t="s">
        <v>551</v>
      </c>
      <c r="CS300" s="3402">
        <f>CK$258</f>
        <v>11.2</v>
      </c>
    </row>
    <row r="301" spans="29:113" s="1828" customFormat="1">
      <c r="AC301" s="3400"/>
      <c r="AD301" s="3401"/>
      <c r="AE301" s="3401"/>
      <c r="AF301" s="3401"/>
      <c r="AG301" s="3401"/>
      <c r="AH301" s="3401"/>
      <c r="AI301" s="3401"/>
      <c r="AJ301" s="3401"/>
      <c r="AK301" s="3401"/>
      <c r="AL301" s="3401"/>
      <c r="AM301" s="3401"/>
      <c r="CB301" s="3418"/>
      <c r="CC301" s="3419"/>
      <c r="CD301" s="3419"/>
      <c r="CJ301" s="3420"/>
      <c r="CK301" s="3420"/>
      <c r="CM301" s="1564" t="s">
        <v>2877</v>
      </c>
      <c r="CN301" s="2943">
        <f>$CB$264</f>
        <v>1767.5</v>
      </c>
      <c r="CO301" s="2943">
        <f ca="1">$CC$264</f>
        <v>1921.75</v>
      </c>
      <c r="CP301" s="2943">
        <f ca="1">$CD$264</f>
        <v>2042.2200401073976</v>
      </c>
      <c r="CR301" s="3402">
        <f>$CJ$264</f>
        <v>10.866666666666667</v>
      </c>
      <c r="CS301" s="3402">
        <f>$CK$264</f>
        <v>10.9</v>
      </c>
    </row>
    <row r="302" spans="29:113" s="1828" customFormat="1">
      <c r="AC302" s="3400"/>
      <c r="AD302" s="3401"/>
      <c r="AE302" s="3401"/>
      <c r="AF302" s="3401"/>
      <c r="AG302" s="3401"/>
      <c r="AH302" s="3401"/>
      <c r="AI302" s="3401"/>
      <c r="AJ302" s="3401"/>
      <c r="AK302" s="3401"/>
      <c r="AL302" s="3401"/>
      <c r="AM302" s="3401"/>
      <c r="CB302" s="3418"/>
      <c r="CC302" s="3419"/>
      <c r="CD302" s="3419"/>
      <c r="CJ302" s="3420"/>
      <c r="CK302" s="3420"/>
      <c r="CM302" s="3422" t="s">
        <v>2883</v>
      </c>
      <c r="CN302" s="3417" t="str">
        <f>$CF$264</f>
        <v>--</v>
      </c>
      <c r="CO302" s="3417">
        <f ca="1">$CG$264</f>
        <v>2.2505528814882325E-2</v>
      </c>
      <c r="CP302" s="3417">
        <f ca="1">$CH$264</f>
        <v>1.2946734286969352E-2</v>
      </c>
      <c r="CR302" s="3402" t="str">
        <f>IFERROR(CR300-CR301,"--")</f>
        <v>--</v>
      </c>
      <c r="CS302" s="3402">
        <f>IFERROR(CS300-CS301,"--")</f>
        <v>0.29999999999999893</v>
      </c>
    </row>
    <row r="303" spans="29:113" s="1828" customFormat="1">
      <c r="AC303" s="3400"/>
      <c r="AD303" s="3401"/>
      <c r="AE303" s="3401"/>
      <c r="AF303" s="3401"/>
      <c r="AG303" s="3401"/>
      <c r="AH303" s="3401"/>
      <c r="AI303" s="3401"/>
      <c r="AJ303" s="3401"/>
      <c r="AK303" s="3401"/>
      <c r="AL303" s="3401"/>
      <c r="AM303" s="3401"/>
      <c r="CB303" s="3418"/>
      <c r="CC303" s="3419"/>
      <c r="CD303" s="3419"/>
      <c r="CJ303" s="3420"/>
      <c r="CK303" s="3420"/>
      <c r="CM303" s="141" t="s">
        <v>2884</v>
      </c>
      <c r="CN303" s="2943">
        <f>AVERAGE(1745,1775)</f>
        <v>1760</v>
      </c>
      <c r="CO303" s="3417"/>
      <c r="CP303" s="3417"/>
      <c r="CR303" s="3402"/>
      <c r="CS303" s="3402"/>
    </row>
    <row r="304" spans="29:113" s="1828" customFormat="1">
      <c r="AC304" s="3400"/>
      <c r="AD304" s="3401"/>
      <c r="AE304" s="3401"/>
      <c r="AF304" s="3401"/>
      <c r="AG304" s="3401"/>
      <c r="AH304" s="3401"/>
      <c r="AI304" s="3401"/>
      <c r="AJ304" s="3401"/>
      <c r="AK304" s="3401"/>
      <c r="AL304" s="3401"/>
      <c r="AM304" s="3401"/>
      <c r="CB304" s="3418"/>
      <c r="CC304" s="3419"/>
      <c r="CD304" s="3419"/>
      <c r="CJ304" s="3420"/>
      <c r="CK304" s="3420"/>
      <c r="CM304" s="3388" t="s">
        <v>2870</v>
      </c>
      <c r="CN304" s="3398"/>
      <c r="CO304" s="3398"/>
      <c r="CP304" s="3398"/>
      <c r="CQ304" s="3398"/>
      <c r="CR304" s="3390"/>
      <c r="CS304" s="3390"/>
    </row>
    <row r="305" spans="29:105" s="1828" customFormat="1">
      <c r="AC305" s="3400"/>
      <c r="AD305" s="3401"/>
      <c r="AE305" s="3401"/>
      <c r="AF305" s="3401"/>
      <c r="AG305" s="3401"/>
      <c r="AH305" s="3401"/>
      <c r="AI305" s="3401"/>
      <c r="AJ305" s="3401"/>
      <c r="AK305" s="3401"/>
      <c r="AL305" s="3401"/>
      <c r="AM305" s="3401"/>
      <c r="CB305" s="3418"/>
      <c r="CC305" s="3419"/>
      <c r="CD305" s="3419"/>
      <c r="CJ305" s="3420"/>
      <c r="CK305" s="3420"/>
      <c r="CM305" s="1828" t="s">
        <v>554</v>
      </c>
      <c r="CN305" s="2943">
        <f>$CB$267</f>
        <v>772.97018867924498</v>
      </c>
      <c r="CO305" s="2943">
        <f>$CC$267</f>
        <v>764.46170245283065</v>
      </c>
      <c r="CP305" s="2943">
        <f>$CD$267</f>
        <v>789.75509015688669</v>
      </c>
      <c r="CQ305" s="2943"/>
      <c r="CR305" s="3421" t="s">
        <v>551</v>
      </c>
      <c r="CS305" s="3402">
        <f>$CK$267</f>
        <v>15.75</v>
      </c>
    </row>
    <row r="306" spans="29:105" s="1828" customFormat="1">
      <c r="AC306" s="3400"/>
      <c r="AD306" s="3401"/>
      <c r="AE306" s="3401"/>
      <c r="AF306" s="3401"/>
      <c r="AG306" s="3401"/>
      <c r="AH306" s="3401"/>
      <c r="AI306" s="3401"/>
      <c r="AJ306" s="3401"/>
      <c r="AK306" s="3401"/>
      <c r="AL306" s="3401"/>
      <c r="AM306" s="3401"/>
      <c r="CB306" s="3418"/>
      <c r="CC306" s="3419"/>
      <c r="CD306" s="3419"/>
      <c r="CJ306" s="3420"/>
      <c r="CK306" s="3420"/>
      <c r="CM306" s="1564" t="s">
        <v>2877</v>
      </c>
      <c r="CN306" s="2943">
        <f>$CB$273</f>
        <v>773.65672955974833</v>
      </c>
      <c r="CO306" s="2943">
        <f>$CC$273</f>
        <v>776.86542561320766</v>
      </c>
      <c r="CP306" s="2943">
        <f>$CD$273</f>
        <v>780.58503005229556</v>
      </c>
      <c r="CQ306" s="2943"/>
      <c r="CR306" s="3402">
        <f>$CJ$273</f>
        <v>10.266666666666667</v>
      </c>
      <c r="CS306" s="3402">
        <f>$CK$273</f>
        <v>11.916666666666666</v>
      </c>
    </row>
    <row r="307" spans="29:105" s="1828" customFormat="1">
      <c r="AC307" s="3400"/>
      <c r="AD307" s="3401"/>
      <c r="AE307" s="3401"/>
      <c r="AF307" s="3401"/>
      <c r="AG307" s="3401"/>
      <c r="AH307" s="3401"/>
      <c r="AI307" s="3401"/>
      <c r="AJ307" s="3401"/>
      <c r="AK307" s="3401"/>
      <c r="AL307" s="3401"/>
      <c r="AM307" s="3401"/>
      <c r="CB307" s="3418"/>
      <c r="CC307" s="3419"/>
      <c r="CD307" s="3419"/>
      <c r="CJ307" s="3420"/>
      <c r="CK307" s="3420"/>
      <c r="CM307" s="3422" t="s">
        <v>2883</v>
      </c>
      <c r="CN307" s="3417">
        <f>$CF$273</f>
        <v>-8.8739728392728257E-4</v>
      </c>
      <c r="CO307" s="3417">
        <f>$CG$273</f>
        <v>-1.5966373005448564E-2</v>
      </c>
      <c r="CP307" s="3417">
        <f>$CH$273</f>
        <v>1.1747676103879057E-2</v>
      </c>
      <c r="CQ307" s="2943"/>
      <c r="CR307" s="3402" t="str">
        <f>IFERROR(CR305-CR306,"--")</f>
        <v>--</v>
      </c>
      <c r="CS307" s="3402">
        <f>IFERROR(CS305-CS306,"--")</f>
        <v>3.8333333333333339</v>
      </c>
    </row>
    <row r="308" spans="29:105" s="1828" customFormat="1">
      <c r="AC308" s="3400"/>
      <c r="AD308" s="3401"/>
      <c r="AE308" s="3401"/>
      <c r="AF308" s="3401"/>
      <c r="AG308" s="3401"/>
      <c r="AH308" s="3401"/>
      <c r="AI308" s="3401"/>
      <c r="AJ308" s="3401"/>
      <c r="AK308" s="3401"/>
      <c r="AL308" s="3401"/>
      <c r="AM308" s="3401"/>
      <c r="CB308" s="3418"/>
      <c r="CC308" s="3419"/>
      <c r="CD308" s="3419"/>
      <c r="CJ308" s="3420"/>
      <c r="CK308" s="3420"/>
      <c r="CM308" s="141" t="s">
        <v>2884</v>
      </c>
      <c r="CN308" s="2943">
        <f>AVERAGE(750,780)</f>
        <v>765</v>
      </c>
      <c r="CO308" s="3417"/>
      <c r="CP308" s="3417"/>
      <c r="CQ308" s="2943"/>
      <c r="CR308" s="3402"/>
      <c r="CS308" s="3402"/>
    </row>
    <row r="309" spans="29:105" s="1828" customFormat="1">
      <c r="AC309" s="3400"/>
      <c r="AD309" s="3401"/>
      <c r="AE309" s="3401"/>
      <c r="AF309" s="3401"/>
      <c r="AG309" s="3401"/>
      <c r="AH309" s="3401"/>
      <c r="AI309" s="3401"/>
      <c r="AJ309" s="3401"/>
      <c r="AK309" s="3401"/>
      <c r="AL309" s="3401"/>
      <c r="AM309" s="3401"/>
      <c r="CB309" s="3418"/>
      <c r="CC309" s="3419"/>
      <c r="CD309" s="3419"/>
      <c r="CJ309" s="3420"/>
      <c r="CK309" s="3420"/>
      <c r="CM309" s="3388" t="s">
        <v>2871</v>
      </c>
      <c r="CN309" s="3398"/>
      <c r="CO309" s="3398"/>
      <c r="CP309" s="3398"/>
      <c r="CQ309" s="3398"/>
      <c r="CR309" s="3390"/>
      <c r="CS309" s="3390"/>
    </row>
    <row r="310" spans="29:105" s="1828" customFormat="1">
      <c r="AC310" s="3400"/>
      <c r="AD310" s="3401"/>
      <c r="AE310" s="3401"/>
      <c r="AF310" s="3401"/>
      <c r="AG310" s="3401"/>
      <c r="AH310" s="3401"/>
      <c r="AI310" s="3401"/>
      <c r="AJ310" s="3401"/>
      <c r="AK310" s="3401"/>
      <c r="AL310" s="3401"/>
      <c r="AM310" s="3401"/>
      <c r="CB310" s="3418"/>
      <c r="CC310" s="3419"/>
      <c r="CD310" s="3419"/>
      <c r="CJ310" s="3420"/>
      <c r="CK310" s="3420"/>
      <c r="CM310" s="1828" t="s">
        <v>554</v>
      </c>
      <c r="CN310" s="2943">
        <f>CB276</f>
        <v>389.52500000000015</v>
      </c>
      <c r="CO310" s="2943">
        <f>CC276</f>
        <v>399.01125000000013</v>
      </c>
      <c r="CP310" s="2943">
        <f>CD276</f>
        <v>423.66066250000023</v>
      </c>
      <c r="CQ310" s="2943"/>
      <c r="CR310" s="3421" t="s">
        <v>551</v>
      </c>
      <c r="CS310" s="3402">
        <f>CK276</f>
        <v>15.722965816384368</v>
      </c>
    </row>
    <row r="311" spans="29:105" s="1828" customFormat="1">
      <c r="AC311" s="3400"/>
      <c r="AD311" s="3401"/>
      <c r="AE311" s="3401"/>
      <c r="AF311" s="3401"/>
      <c r="AG311" s="3401"/>
      <c r="AH311" s="3401"/>
      <c r="AI311" s="3401"/>
      <c r="AJ311" s="3401"/>
      <c r="AK311" s="3401"/>
      <c r="AL311" s="3401"/>
      <c r="AM311" s="3401"/>
      <c r="CB311" s="3418"/>
      <c r="CC311" s="3419"/>
      <c r="CD311" s="3419"/>
      <c r="CJ311" s="3420"/>
      <c r="CK311" s="3420"/>
      <c r="CM311" s="1564" t="s">
        <v>2877</v>
      </c>
      <c r="CN311" s="2943">
        <f>CB282</f>
        <v>383.50833333333338</v>
      </c>
      <c r="CO311" s="2943">
        <f>CC282</f>
        <v>396.5028125</v>
      </c>
      <c r="CP311" s="2943">
        <f>CD282</f>
        <v>410.55355416666674</v>
      </c>
      <c r="CQ311" s="2943"/>
      <c r="CR311" s="3402">
        <f>CJ282</f>
        <v>8.2000000000000011</v>
      </c>
      <c r="CS311" s="3402">
        <f>CK282</f>
        <v>10.574321938794789</v>
      </c>
    </row>
    <row r="312" spans="29:105" s="1828" customFormat="1">
      <c r="AC312" s="3400"/>
      <c r="AD312" s="3401"/>
      <c r="AE312" s="3401"/>
      <c r="AF312" s="3401"/>
      <c r="AG312" s="3401"/>
      <c r="AH312" s="3401"/>
      <c r="AI312" s="3401"/>
      <c r="AJ312" s="3401"/>
      <c r="AK312" s="3401"/>
      <c r="AL312" s="3401"/>
      <c r="AM312" s="3401"/>
      <c r="CB312" s="3418"/>
      <c r="CC312" s="3419"/>
      <c r="CD312" s="3419"/>
      <c r="CJ312" s="3420"/>
      <c r="CK312" s="3420"/>
      <c r="CM312" s="3422" t="s">
        <v>2883</v>
      </c>
      <c r="CN312" s="3417">
        <f>CF282</f>
        <v>1.5688490037157221E-2</v>
      </c>
      <c r="CO312" s="3417">
        <f>CG282</f>
        <v>6.3264053139600041E-3</v>
      </c>
      <c r="CP312" s="3417">
        <f>CH282</f>
        <v>3.1925453330779341E-2</v>
      </c>
      <c r="CR312" s="3402" t="str">
        <f>IFERROR(CR310-CR311,"--")</f>
        <v>--</v>
      </c>
      <c r="CS312" s="3402">
        <f>IFERROR(CS310-CS311,"--")</f>
        <v>5.1486438775895795</v>
      </c>
    </row>
    <row r="313" spans="29:105" s="1828" customFormat="1">
      <c r="AC313" s="3400"/>
      <c r="AD313" s="3401"/>
      <c r="AE313" s="3401"/>
      <c r="AF313" s="3401"/>
      <c r="AG313" s="3401"/>
      <c r="AH313" s="3401"/>
      <c r="AI313" s="3401"/>
      <c r="AJ313" s="3401"/>
      <c r="AK313" s="3401"/>
      <c r="AL313" s="3401"/>
      <c r="AM313" s="3401"/>
      <c r="CB313" s="3418"/>
      <c r="CC313" s="3419"/>
      <c r="CD313" s="3419"/>
      <c r="CJ313" s="3420"/>
      <c r="CK313" s="3420"/>
      <c r="CM313" s="141" t="s">
        <v>2884</v>
      </c>
      <c r="CN313" s="2943">
        <f>AVERAGE(370,390)</f>
        <v>380</v>
      </c>
    </row>
    <row r="314" spans="29:105" s="1828" customFormat="1">
      <c r="AC314" s="3400"/>
      <c r="AD314" s="3401"/>
      <c r="AE314" s="3401"/>
      <c r="AF314" s="3401"/>
      <c r="AG314" s="3401"/>
      <c r="AH314" s="3401"/>
      <c r="AI314" s="3401"/>
      <c r="AJ314" s="3401"/>
      <c r="AK314" s="3401"/>
      <c r="AL314" s="3401"/>
      <c r="AM314" s="3401"/>
      <c r="CB314" s="3418"/>
      <c r="CC314" s="3419"/>
      <c r="CD314" s="3419"/>
      <c r="CJ314" s="3420"/>
      <c r="CK314" s="3420"/>
    </row>
    <row r="315" spans="29:105" s="1828" customFormat="1">
      <c r="AC315" s="3400"/>
      <c r="AD315" s="3401"/>
      <c r="AE315" s="3401"/>
      <c r="AF315" s="3401"/>
      <c r="AG315" s="3401"/>
      <c r="AH315" s="3401"/>
      <c r="AI315" s="3401"/>
      <c r="AJ315" s="3401"/>
      <c r="AK315" s="3401"/>
      <c r="AL315" s="3401"/>
      <c r="AM315" s="3401"/>
      <c r="CB315" s="3418"/>
      <c r="CC315" s="3419"/>
      <c r="CD315" s="3419"/>
      <c r="CJ315" s="3420"/>
      <c r="CK315" s="3420"/>
    </row>
    <row r="316" spans="29:105" s="1828" customFormat="1">
      <c r="AC316" s="3400"/>
      <c r="AD316" s="3401"/>
      <c r="AE316" s="3401"/>
      <c r="AF316" s="3401"/>
      <c r="AG316" s="3401"/>
      <c r="AH316" s="3401"/>
      <c r="AI316" s="3401"/>
      <c r="AJ316" s="3401"/>
      <c r="AK316" s="3401"/>
      <c r="AL316" s="3401"/>
      <c r="AM316" s="3401"/>
      <c r="CB316" s="3418"/>
      <c r="CC316" s="3419"/>
      <c r="CD316" s="3419"/>
      <c r="CJ316" s="3420"/>
      <c r="CK316" s="3420"/>
      <c r="CM316" s="1828" t="s">
        <v>2907</v>
      </c>
      <c r="CN316" s="1828">
        <f>$CN$303</f>
        <v>1760</v>
      </c>
      <c r="CT316" s="1828" t="s">
        <v>2868</v>
      </c>
      <c r="DA316" s="1828" t="s">
        <v>2889</v>
      </c>
    </row>
    <row r="317" spans="29:105" s="1828" customFormat="1">
      <c r="AC317" s="3400"/>
      <c r="AD317" s="3401"/>
      <c r="AE317" s="3401"/>
      <c r="AF317" s="3401"/>
      <c r="AG317" s="3401"/>
      <c r="AH317" s="3401"/>
      <c r="AI317" s="3401"/>
      <c r="AJ317" s="3401"/>
      <c r="AK317" s="3401"/>
      <c r="AL317" s="3401"/>
      <c r="AM317" s="3401"/>
      <c r="CB317" s="3418"/>
      <c r="CC317" s="3419"/>
      <c r="CD317" s="3419"/>
      <c r="CJ317" s="3420"/>
      <c r="CK317" s="3420"/>
      <c r="CM317" s="1828" t="s">
        <v>2886</v>
      </c>
      <c r="CN317" s="1828">
        <f ca="1">$CO$300</f>
        <v>1965</v>
      </c>
    </row>
    <row r="318" spans="29:105" s="1828" customFormat="1">
      <c r="AC318" s="3400"/>
      <c r="AD318" s="3401"/>
      <c r="AE318" s="3401"/>
      <c r="AF318" s="3401"/>
      <c r="AG318" s="3401"/>
      <c r="AH318" s="3401"/>
      <c r="AI318" s="3401"/>
      <c r="AJ318" s="3401"/>
      <c r="AK318" s="3401"/>
      <c r="AL318" s="3401"/>
      <c r="AM318" s="3401"/>
      <c r="CB318" s="3418"/>
      <c r="CC318" s="3419"/>
      <c r="CD318" s="3419"/>
      <c r="CJ318" s="3420"/>
      <c r="CK318" s="3420"/>
      <c r="CM318" s="1828" t="s">
        <v>2885</v>
      </c>
      <c r="CN318" s="1828">
        <f ca="1">$CO$301</f>
        <v>1921.75</v>
      </c>
    </row>
    <row r="319" spans="29:105" s="1828" customFormat="1">
      <c r="AC319" s="3400"/>
      <c r="AD319" s="3401"/>
      <c r="AE319" s="3401"/>
      <c r="AF319" s="3401"/>
      <c r="AG319" s="3401"/>
      <c r="AH319" s="3401"/>
      <c r="AI319" s="3401"/>
      <c r="AJ319" s="3401"/>
      <c r="AK319" s="3401"/>
      <c r="AL319" s="3401"/>
      <c r="AM319" s="3401"/>
      <c r="CB319" s="3418"/>
      <c r="CC319" s="3419"/>
      <c r="CD319" s="3419"/>
      <c r="CJ319" s="3420"/>
      <c r="CK319" s="3420"/>
      <c r="CM319" s="1828" t="s">
        <v>2888</v>
      </c>
      <c r="CN319" s="1828">
        <f ca="1">$CP$300</f>
        <v>2068.6601203221921</v>
      </c>
    </row>
    <row r="320" spans="29:105" s="1828" customFormat="1">
      <c r="AC320" s="3400"/>
      <c r="AD320" s="3401"/>
      <c r="AE320" s="3401"/>
      <c r="AF320" s="3401"/>
      <c r="AG320" s="3401"/>
      <c r="AH320" s="3401"/>
      <c r="AI320" s="3401"/>
      <c r="AJ320" s="3401"/>
      <c r="AK320" s="3401"/>
      <c r="AL320" s="3401"/>
      <c r="AM320" s="3401"/>
      <c r="CB320" s="3418"/>
      <c r="CC320" s="3419"/>
      <c r="CD320" s="3419"/>
      <c r="CJ320" s="3420"/>
      <c r="CK320" s="3420"/>
      <c r="CM320" s="1828" t="s">
        <v>2887</v>
      </c>
      <c r="CN320" s="1828">
        <f ca="1">$CP$301</f>
        <v>2042.2200401073976</v>
      </c>
    </row>
    <row r="321" spans="29:93" s="1828" customFormat="1">
      <c r="AC321" s="3400"/>
      <c r="AD321" s="3401"/>
      <c r="AE321" s="3401"/>
      <c r="AF321" s="3401"/>
      <c r="AG321" s="3401"/>
      <c r="AH321" s="3401"/>
      <c r="AI321" s="3401"/>
      <c r="AJ321" s="3401"/>
      <c r="AK321" s="3401"/>
      <c r="AL321" s="3401"/>
      <c r="AM321" s="3401"/>
      <c r="CB321" s="3418"/>
      <c r="CC321" s="3419"/>
      <c r="CD321" s="3419"/>
      <c r="CJ321" s="3420"/>
      <c r="CK321" s="3420"/>
    </row>
    <row r="322" spans="29:93" s="1828" customFormat="1">
      <c r="AC322" s="3400"/>
      <c r="AD322" s="3401"/>
      <c r="AE322" s="3401"/>
      <c r="AF322" s="3401"/>
      <c r="AG322" s="3401"/>
      <c r="AH322" s="3401"/>
      <c r="AI322" s="3401"/>
      <c r="AJ322" s="3401"/>
      <c r="AK322" s="3401"/>
      <c r="AL322" s="3401"/>
      <c r="AM322" s="3401"/>
      <c r="CB322" s="3418"/>
      <c r="CC322" s="3419"/>
      <c r="CD322" s="3419"/>
      <c r="CJ322" s="3420"/>
      <c r="CK322" s="3420"/>
    </row>
    <row r="323" spans="29:93" s="1828" customFormat="1">
      <c r="AC323" s="3400"/>
      <c r="AD323" s="3401"/>
      <c r="AE323" s="3401"/>
      <c r="AF323" s="3401"/>
      <c r="AG323" s="3401"/>
      <c r="AH323" s="3401"/>
      <c r="AI323" s="3401"/>
      <c r="AJ323" s="3401"/>
      <c r="AK323" s="3401"/>
      <c r="AL323" s="3401"/>
      <c r="AM323" s="3401"/>
      <c r="CB323" s="3418"/>
      <c r="CC323" s="3419"/>
      <c r="CD323" s="3419"/>
      <c r="CJ323" s="3420"/>
      <c r="CK323" s="3420"/>
      <c r="CM323" s="1828" t="s">
        <v>2907</v>
      </c>
      <c r="CN323" s="1828">
        <f>$CN$308</f>
        <v>765</v>
      </c>
    </row>
    <row r="324" spans="29:93" s="1828" customFormat="1">
      <c r="AC324" s="3400"/>
      <c r="AD324" s="3401"/>
      <c r="AE324" s="3401"/>
      <c r="AF324" s="3401"/>
      <c r="AG324" s="3401"/>
      <c r="AH324" s="3401"/>
      <c r="AI324" s="3401"/>
      <c r="AJ324" s="3401"/>
      <c r="AK324" s="3401"/>
      <c r="AL324" s="3401"/>
      <c r="AM324" s="3401"/>
      <c r="CB324" s="3418"/>
      <c r="CC324" s="3419"/>
      <c r="CD324" s="3419"/>
      <c r="CJ324" s="3420"/>
      <c r="CK324" s="3420"/>
      <c r="CM324" s="1828" t="s">
        <v>2886</v>
      </c>
      <c r="CN324" s="1828">
        <f>$CO$305</f>
        <v>764.46170245283065</v>
      </c>
      <c r="CO324" s="1830">
        <f>+CN324/CN325-1</f>
        <v>-1.5966373005448564E-2</v>
      </c>
    </row>
    <row r="325" spans="29:93" s="1828" customFormat="1">
      <c r="AC325" s="3400"/>
      <c r="AD325" s="3401"/>
      <c r="AE325" s="3401"/>
      <c r="AF325" s="3401"/>
      <c r="AG325" s="3401"/>
      <c r="AH325" s="3401"/>
      <c r="AI325" s="3401"/>
      <c r="AJ325" s="3401"/>
      <c r="AK325" s="3401"/>
      <c r="AL325" s="3401"/>
      <c r="AM325" s="3401"/>
      <c r="CB325" s="3418"/>
      <c r="CC325" s="3419"/>
      <c r="CD325" s="3419"/>
      <c r="CJ325" s="3420"/>
      <c r="CK325" s="3420"/>
      <c r="CM325" s="1828" t="s">
        <v>2885</v>
      </c>
      <c r="CN325" s="1828">
        <f>$CO$306</f>
        <v>776.86542561320766</v>
      </c>
    </row>
    <row r="326" spans="29:93" s="1828" customFormat="1">
      <c r="AC326" s="3400"/>
      <c r="AD326" s="3401"/>
      <c r="AE326" s="3401"/>
      <c r="AF326" s="3401"/>
      <c r="AG326" s="3401"/>
      <c r="AH326" s="3401"/>
      <c r="AI326" s="3401"/>
      <c r="AJ326" s="3401"/>
      <c r="AK326" s="3401"/>
      <c r="AL326" s="3401"/>
      <c r="AM326" s="3401"/>
      <c r="CB326" s="3418"/>
      <c r="CC326" s="3419"/>
      <c r="CD326" s="3419"/>
      <c r="CJ326" s="3420"/>
      <c r="CK326" s="3420"/>
      <c r="CM326" s="1828" t="s">
        <v>2888</v>
      </c>
      <c r="CN326" s="1828">
        <f>$CP$305</f>
        <v>789.75509015688669</v>
      </c>
      <c r="CO326" s="1830">
        <f>+CN326/CN327-1</f>
        <v>1.1747676103879057E-2</v>
      </c>
    </row>
    <row r="327" spans="29:93" s="1828" customFormat="1">
      <c r="AC327" s="3400"/>
      <c r="AD327" s="3401"/>
      <c r="AE327" s="3401"/>
      <c r="AF327" s="3401"/>
      <c r="AG327" s="3401"/>
      <c r="AH327" s="3401"/>
      <c r="AI327" s="3401"/>
      <c r="AJ327" s="3401"/>
      <c r="AK327" s="3401"/>
      <c r="AL327" s="3401"/>
      <c r="AM327" s="3401"/>
      <c r="CB327" s="3418"/>
      <c r="CC327" s="3419"/>
      <c r="CD327" s="3419"/>
      <c r="CJ327" s="3420"/>
      <c r="CK327" s="3420"/>
      <c r="CM327" s="1828" t="s">
        <v>2887</v>
      </c>
      <c r="CN327" s="1828">
        <f>$CP$306</f>
        <v>780.58503005229556</v>
      </c>
    </row>
    <row r="328" spans="29:93" s="1828" customFormat="1">
      <c r="AC328" s="3400"/>
      <c r="AD328" s="3401"/>
      <c r="AE328" s="3401"/>
      <c r="AF328" s="3401"/>
      <c r="AG328" s="3401"/>
      <c r="AH328" s="3401"/>
      <c r="AI328" s="3401"/>
      <c r="AJ328" s="3401"/>
      <c r="AK328" s="3401"/>
      <c r="AL328" s="3401"/>
      <c r="AM328" s="3401"/>
      <c r="CB328" s="3418"/>
      <c r="CC328" s="3419"/>
      <c r="CD328" s="3419"/>
      <c r="CJ328" s="3420"/>
      <c r="CK328" s="3420"/>
    </row>
    <row r="329" spans="29:93" s="1828" customFormat="1">
      <c r="AC329" s="3400"/>
      <c r="AD329" s="3401"/>
      <c r="AE329" s="3401"/>
      <c r="AF329" s="3401"/>
      <c r="AG329" s="3401"/>
      <c r="AH329" s="3401"/>
      <c r="AI329" s="3401"/>
      <c r="AJ329" s="3401"/>
      <c r="AK329" s="3401"/>
      <c r="AL329" s="3401"/>
      <c r="AM329" s="3401"/>
      <c r="CB329" s="3418"/>
      <c r="CC329" s="3419"/>
      <c r="CD329" s="3419"/>
      <c r="CJ329" s="3420"/>
      <c r="CK329" s="3420"/>
    </row>
    <row r="330" spans="29:93" s="1828" customFormat="1">
      <c r="AC330" s="3400"/>
      <c r="AD330" s="3401"/>
      <c r="AE330" s="3401"/>
      <c r="AF330" s="3401"/>
      <c r="AG330" s="3401"/>
      <c r="AH330" s="3401"/>
      <c r="AI330" s="3401"/>
      <c r="AJ330" s="3401"/>
      <c r="AK330" s="3401"/>
      <c r="AL330" s="3401"/>
      <c r="AM330" s="3401"/>
      <c r="CB330" s="3418"/>
      <c r="CC330" s="3419"/>
      <c r="CD330" s="3419"/>
      <c r="CJ330" s="3420"/>
      <c r="CK330" s="3420"/>
      <c r="CM330" s="1828" t="s">
        <v>2907</v>
      </c>
      <c r="CN330" s="1828">
        <f>$CN$313</f>
        <v>380</v>
      </c>
    </row>
    <row r="331" spans="29:93" s="1828" customFormat="1">
      <c r="AC331" s="3400"/>
      <c r="AD331" s="3401"/>
      <c r="AE331" s="3401"/>
      <c r="AF331" s="3401"/>
      <c r="AG331" s="3401"/>
      <c r="AH331" s="3401"/>
      <c r="AI331" s="3401"/>
      <c r="AJ331" s="3401"/>
      <c r="AK331" s="3401"/>
      <c r="AL331" s="3401"/>
      <c r="AM331" s="3401"/>
      <c r="CB331" s="3418"/>
      <c r="CC331" s="3419"/>
      <c r="CD331" s="3419"/>
      <c r="CJ331" s="3420"/>
      <c r="CK331" s="3420"/>
      <c r="CM331" s="1828" t="s">
        <v>2886</v>
      </c>
      <c r="CN331" s="1828">
        <f>$CO$310</f>
        <v>399.01125000000013</v>
      </c>
      <c r="CO331" s="3433"/>
    </row>
    <row r="332" spans="29:93" s="1828" customFormat="1">
      <c r="AC332" s="3400"/>
      <c r="AD332" s="3401"/>
      <c r="AE332" s="3401"/>
      <c r="AF332" s="3401"/>
      <c r="AG332" s="3401"/>
      <c r="AH332" s="3401"/>
      <c r="AI332" s="3401"/>
      <c r="AJ332" s="3401"/>
      <c r="AK332" s="3401"/>
      <c r="AL332" s="3401"/>
      <c r="AM332" s="3401"/>
      <c r="CB332" s="3418"/>
      <c r="CC332" s="3419"/>
      <c r="CD332" s="3419"/>
      <c r="CJ332" s="3420"/>
      <c r="CK332" s="3420"/>
      <c r="CM332" s="1828" t="s">
        <v>2885</v>
      </c>
      <c r="CN332" s="1828">
        <f>$CO$311</f>
        <v>396.5028125</v>
      </c>
    </row>
    <row r="333" spans="29:93" s="1828" customFormat="1">
      <c r="AC333" s="3400"/>
      <c r="AD333" s="3401"/>
      <c r="AE333" s="3401"/>
      <c r="AF333" s="3401"/>
      <c r="AG333" s="3401"/>
      <c r="AH333" s="3401"/>
      <c r="AI333" s="3401"/>
      <c r="AJ333" s="3401"/>
      <c r="AK333" s="3401"/>
      <c r="AL333" s="3401"/>
      <c r="AM333" s="3401"/>
      <c r="CB333" s="3418"/>
      <c r="CC333" s="3419"/>
      <c r="CD333" s="3419"/>
      <c r="CJ333" s="3420"/>
      <c r="CK333" s="3420"/>
      <c r="CM333" s="1828" t="s">
        <v>2888</v>
      </c>
      <c r="CN333" s="1828">
        <f>$CP$310</f>
        <v>423.66066250000023</v>
      </c>
      <c r="CO333" s="3433"/>
    </row>
    <row r="334" spans="29:93" s="1828" customFormat="1">
      <c r="AC334" s="3400"/>
      <c r="AD334" s="3401"/>
      <c r="AE334" s="3401"/>
      <c r="AF334" s="3401"/>
      <c r="AG334" s="3401"/>
      <c r="AH334" s="3401"/>
      <c r="AI334" s="3401"/>
      <c r="AJ334" s="3401"/>
      <c r="AK334" s="3401"/>
      <c r="AL334" s="3401"/>
      <c r="AM334" s="3401"/>
      <c r="CB334" s="3418"/>
      <c r="CC334" s="3419"/>
      <c r="CD334" s="3419"/>
      <c r="CJ334" s="3420"/>
      <c r="CK334" s="3420"/>
      <c r="CM334" s="1828" t="s">
        <v>2887</v>
      </c>
      <c r="CN334" s="1828">
        <f>$CP$311</f>
        <v>410.55355416666674</v>
      </c>
    </row>
    <row r="335" spans="29:93" s="1828" customFormat="1">
      <c r="AC335" s="3400"/>
      <c r="AD335" s="3401"/>
      <c r="AE335" s="3401"/>
      <c r="AF335" s="3401"/>
      <c r="AG335" s="3401"/>
      <c r="AH335" s="3401"/>
      <c r="AI335" s="3401"/>
      <c r="AJ335" s="3401"/>
      <c r="AK335" s="3401"/>
      <c r="AL335" s="3401"/>
      <c r="AM335" s="3401"/>
      <c r="CB335" s="3418"/>
      <c r="CC335" s="3419"/>
      <c r="CD335" s="3419"/>
      <c r="CJ335" s="3420"/>
      <c r="CK335" s="3420"/>
    </row>
    <row r="336" spans="29:93" s="1828" customFormat="1">
      <c r="AC336" s="3400"/>
      <c r="AD336" s="3401"/>
      <c r="AE336" s="3401"/>
      <c r="AF336" s="3401"/>
      <c r="AG336" s="3401"/>
      <c r="AH336" s="3401"/>
      <c r="AI336" s="3401"/>
      <c r="AJ336" s="3401"/>
      <c r="AK336" s="3401"/>
      <c r="AL336" s="3401"/>
      <c r="AM336" s="3401"/>
      <c r="CB336" s="3418"/>
      <c r="CC336" s="3419"/>
      <c r="CD336" s="3419"/>
      <c r="CJ336" s="3420"/>
      <c r="CK336" s="3420"/>
    </row>
    <row r="337" spans="29:98" s="1828" customFormat="1">
      <c r="AC337" s="3400"/>
      <c r="AD337" s="3401"/>
      <c r="AE337" s="3401"/>
      <c r="AF337" s="3401"/>
      <c r="AG337" s="3401"/>
      <c r="AH337" s="3401"/>
      <c r="AI337" s="3401"/>
      <c r="AJ337" s="3401"/>
      <c r="AK337" s="3401"/>
      <c r="AL337" s="3401"/>
      <c r="AM337" s="3401"/>
      <c r="CB337" s="3418"/>
      <c r="CC337" s="3419"/>
      <c r="CD337" s="3419"/>
      <c r="CJ337" s="3420"/>
      <c r="CK337" s="3420"/>
    </row>
    <row r="338" spans="29:98" s="1828" customFormat="1">
      <c r="AC338" s="3400"/>
      <c r="AD338" s="3401"/>
      <c r="AE338" s="3401"/>
      <c r="AF338" s="3401"/>
      <c r="AG338" s="3401"/>
      <c r="AH338" s="3401"/>
      <c r="AI338" s="3401"/>
      <c r="AJ338" s="3401"/>
      <c r="AK338" s="3401"/>
      <c r="AL338" s="3401"/>
      <c r="AM338" s="3401"/>
      <c r="CB338" s="3418"/>
      <c r="CC338" s="3419"/>
      <c r="CD338" s="3419"/>
      <c r="CJ338" s="3420"/>
      <c r="CK338" s="3420"/>
      <c r="CT338" s="1828" t="s">
        <v>750</v>
      </c>
    </row>
    <row r="339" spans="29:98" s="1828" customFormat="1">
      <c r="AC339" s="3400"/>
      <c r="AD339" s="3401"/>
      <c r="AE339" s="3401"/>
      <c r="AF339" s="3401"/>
      <c r="AG339" s="3401"/>
      <c r="AH339" s="3401"/>
      <c r="AI339" s="3401"/>
      <c r="AJ339" s="3401"/>
      <c r="AK339" s="3401"/>
      <c r="AL339" s="3401"/>
      <c r="AM339" s="3401"/>
      <c r="CB339" s="3418"/>
      <c r="CC339" s="3419"/>
      <c r="CD339" s="3419"/>
      <c r="CJ339" s="3420"/>
      <c r="CK339" s="3420"/>
      <c r="CN339" s="2205"/>
      <c r="CO339" s="2205"/>
      <c r="CP339" s="2205"/>
    </row>
    <row r="340" spans="29:98" s="1828" customFormat="1">
      <c r="AC340" s="3400"/>
      <c r="AD340" s="3401"/>
      <c r="AE340" s="3401"/>
      <c r="AF340" s="3401"/>
      <c r="AG340" s="3401"/>
      <c r="AH340" s="3401"/>
      <c r="AI340" s="3401"/>
      <c r="AJ340" s="3401"/>
      <c r="AK340" s="3401"/>
      <c r="AL340" s="3401"/>
      <c r="AM340" s="3401"/>
      <c r="CB340" s="3418"/>
      <c r="CC340" s="3419"/>
      <c r="CD340" s="3419"/>
      <c r="CJ340" s="3420"/>
      <c r="CL340" s="1828" t="s">
        <v>2907</v>
      </c>
      <c r="CM340" s="2205" t="s">
        <v>2886</v>
      </c>
      <c r="CN340" s="1828" t="s">
        <v>2885</v>
      </c>
      <c r="CO340" s="1828" t="s">
        <v>2888</v>
      </c>
      <c r="CP340" s="1828" t="s">
        <v>2887</v>
      </c>
    </row>
    <row r="341" spans="29:98" s="1828" customFormat="1">
      <c r="AC341" s="3400"/>
      <c r="AD341" s="3401"/>
      <c r="AE341" s="3401"/>
      <c r="AF341" s="3401"/>
      <c r="AG341" s="3401"/>
      <c r="AH341" s="3401"/>
      <c r="AI341" s="3401"/>
      <c r="AJ341" s="3401"/>
      <c r="AK341" s="3401"/>
      <c r="AL341" s="3401"/>
      <c r="AM341" s="3401"/>
      <c r="CB341" s="3418"/>
      <c r="CC341" s="3419"/>
      <c r="CD341" s="3419"/>
      <c r="CJ341" s="3420"/>
      <c r="CK341" s="2205" t="s">
        <v>2906</v>
      </c>
      <c r="CL341" s="1828">
        <f>$CN$303</f>
        <v>1760</v>
      </c>
      <c r="CM341" s="1828">
        <f ca="1">$CO$300</f>
        <v>1965</v>
      </c>
      <c r="CN341" s="1828">
        <f ca="1">$CO$301</f>
        <v>1921.75</v>
      </c>
      <c r="CO341" s="1828">
        <f ca="1">$CP$300</f>
        <v>2068.6601203221921</v>
      </c>
      <c r="CP341" s="1828">
        <f ca="1">$CP$301</f>
        <v>2042.2200401073976</v>
      </c>
    </row>
    <row r="342" spans="29:98" s="1828" customFormat="1">
      <c r="AC342" s="3400"/>
      <c r="AD342" s="3401"/>
      <c r="AE342" s="3401"/>
      <c r="AF342" s="3401"/>
      <c r="AG342" s="3401"/>
      <c r="AH342" s="3401"/>
      <c r="AI342" s="3401"/>
      <c r="AJ342" s="3401"/>
      <c r="AK342" s="3401"/>
      <c r="AL342" s="3401"/>
      <c r="AM342" s="3401"/>
      <c r="CB342" s="3418"/>
      <c r="CC342" s="3419"/>
      <c r="CD342" s="3419"/>
      <c r="CJ342" s="3420"/>
      <c r="CK342" s="2205" t="s">
        <v>2870</v>
      </c>
      <c r="CL342" s="1828">
        <f>$CN$308</f>
        <v>765</v>
      </c>
      <c r="CM342" s="1828">
        <f>$CO$305</f>
        <v>764.46170245283065</v>
      </c>
      <c r="CN342" s="1828">
        <f>$CO$306</f>
        <v>776.86542561320766</v>
      </c>
      <c r="CO342" s="1828">
        <f>$CP$305</f>
        <v>789.75509015688669</v>
      </c>
      <c r="CP342" s="1828">
        <f>$CP$306</f>
        <v>780.58503005229556</v>
      </c>
    </row>
    <row r="343" spans="29:98" s="1828" customFormat="1">
      <c r="AC343" s="3400"/>
      <c r="AD343" s="3401"/>
      <c r="AE343" s="3401"/>
      <c r="AF343" s="3401"/>
      <c r="AG343" s="3401"/>
      <c r="AH343" s="3401"/>
      <c r="AI343" s="3401"/>
      <c r="AJ343" s="3401"/>
      <c r="AK343" s="3401"/>
      <c r="AL343" s="3401"/>
      <c r="AM343" s="3401"/>
      <c r="CB343" s="3418"/>
      <c r="CC343" s="3419"/>
      <c r="CD343" s="3419"/>
      <c r="CJ343" s="3420"/>
      <c r="CK343" s="2205" t="s">
        <v>2871</v>
      </c>
      <c r="CL343" s="1828">
        <f>$CN$313</f>
        <v>380</v>
      </c>
      <c r="CM343" s="1828">
        <f>$CO$310</f>
        <v>399.01125000000013</v>
      </c>
      <c r="CN343" s="1828">
        <f>$CO$311</f>
        <v>396.5028125</v>
      </c>
      <c r="CO343" s="1828">
        <f>$CP$310</f>
        <v>423.66066250000023</v>
      </c>
      <c r="CP343" s="1828">
        <f>$CP$311</f>
        <v>410.55355416666674</v>
      </c>
    </row>
    <row r="344" spans="29:98" s="1828" customFormat="1">
      <c r="AC344" s="3400"/>
      <c r="AD344" s="3401"/>
      <c r="AE344" s="3401"/>
      <c r="AF344" s="3401"/>
      <c r="AG344" s="3401"/>
      <c r="AH344" s="3401"/>
      <c r="AI344" s="3401"/>
      <c r="AJ344" s="3401"/>
      <c r="AK344" s="3401"/>
      <c r="AL344" s="3401"/>
      <c r="AM344" s="3401"/>
      <c r="CB344" s="3418"/>
      <c r="CC344" s="3419"/>
      <c r="CD344" s="3419"/>
      <c r="CJ344" s="3420"/>
      <c r="CL344" s="1828">
        <f>SUM(CL341:CL343)</f>
        <v>2905</v>
      </c>
      <c r="CM344" s="1828">
        <f ca="1">SUM(CM341:CM343)</f>
        <v>3128.4729524528307</v>
      </c>
      <c r="CN344" s="1828">
        <f ca="1">SUM(CN341:CN343)</f>
        <v>3095.1182381132076</v>
      </c>
      <c r="CO344" s="1828">
        <f ca="1">SUM(CO341:CO343)</f>
        <v>3282.0758729790791</v>
      </c>
      <c r="CP344" s="1828">
        <f ca="1">SUM(CP341:CP343)</f>
        <v>3233.3586243263599</v>
      </c>
    </row>
    <row r="345" spans="29:98" s="1828" customFormat="1">
      <c r="AC345" s="3400"/>
      <c r="AD345" s="3401"/>
      <c r="AE345" s="3401"/>
      <c r="AF345" s="3401"/>
      <c r="AG345" s="3401"/>
      <c r="AH345" s="3401"/>
      <c r="AI345" s="3401"/>
      <c r="AJ345" s="3401"/>
      <c r="AK345" s="3401"/>
      <c r="AL345" s="3401"/>
      <c r="AM345" s="3401"/>
      <c r="CB345" s="3418"/>
      <c r="CC345" s="3419"/>
      <c r="CD345" s="3419"/>
      <c r="CJ345" s="3420"/>
      <c r="CK345" s="3420"/>
    </row>
    <row r="346" spans="29:98" s="1828" customFormat="1">
      <c r="AC346" s="3400"/>
      <c r="AD346" s="3401"/>
      <c r="AE346" s="3401"/>
      <c r="AF346" s="3401"/>
      <c r="AG346" s="3401"/>
      <c r="AH346" s="3401"/>
      <c r="AI346" s="3401"/>
      <c r="AJ346" s="3401"/>
      <c r="AK346" s="3401"/>
      <c r="AL346" s="3401"/>
      <c r="AM346" s="3401"/>
      <c r="CB346" s="3418"/>
      <c r="CC346" s="3419"/>
      <c r="CD346" s="3419"/>
      <c r="CJ346" s="3420"/>
      <c r="CK346" s="3420"/>
      <c r="CM346" s="3433">
        <f>+CM343/CN343-1</f>
        <v>6.3264053139600041E-3</v>
      </c>
      <c r="CO346" s="3433">
        <f>+CO343/CP343-1</f>
        <v>3.1925453330779341E-2</v>
      </c>
    </row>
    <row r="347" spans="29:98" s="1828" customFormat="1">
      <c r="AC347" s="3400"/>
      <c r="AD347" s="3401"/>
      <c r="AE347" s="3401"/>
      <c r="AF347" s="3401"/>
      <c r="AG347" s="3401"/>
      <c r="AH347" s="3401"/>
      <c r="AI347" s="3401"/>
      <c r="AJ347" s="3401"/>
      <c r="AK347" s="3401"/>
      <c r="AL347" s="3401"/>
      <c r="AM347" s="3401"/>
      <c r="CB347" s="3418"/>
      <c r="CC347" s="3419"/>
      <c r="CD347" s="3419"/>
      <c r="CJ347" s="3420"/>
      <c r="CK347" s="3420"/>
    </row>
    <row r="348" spans="29:98" s="1828" customFormat="1">
      <c r="AC348" s="3400"/>
      <c r="AD348" s="3401"/>
      <c r="AE348" s="3401"/>
      <c r="AF348" s="3401"/>
      <c r="AG348" s="3401"/>
      <c r="AH348" s="3401"/>
      <c r="AI348" s="3401"/>
      <c r="AJ348" s="3401"/>
      <c r="AK348" s="3401"/>
      <c r="AL348" s="3401"/>
      <c r="AM348" s="3401"/>
      <c r="CB348" s="3418"/>
      <c r="CC348" s="3419"/>
      <c r="CD348" s="3419"/>
      <c r="CJ348" s="3420"/>
      <c r="CK348" s="3420"/>
      <c r="CM348" s="3433"/>
      <c r="CN348" s="1830"/>
    </row>
    <row r="349" spans="29:98" s="1828" customFormat="1">
      <c r="AC349" s="3400"/>
      <c r="AD349" s="3401"/>
      <c r="AE349" s="3401"/>
      <c r="AF349" s="3401"/>
      <c r="AG349" s="3401"/>
      <c r="AH349" s="3401"/>
      <c r="AI349" s="3401"/>
      <c r="AJ349" s="3401"/>
      <c r="AK349" s="3401"/>
      <c r="AL349" s="3401"/>
      <c r="AM349" s="3401"/>
      <c r="CB349" s="3418"/>
      <c r="CC349" s="3419"/>
      <c r="CD349" s="3419"/>
      <c r="CJ349" s="3420"/>
      <c r="CK349" s="3420"/>
    </row>
    <row r="350" spans="29:98" s="1828" customFormat="1">
      <c r="AC350" s="3400"/>
      <c r="AD350" s="3401"/>
      <c r="AE350" s="3401"/>
      <c r="AF350" s="3401"/>
      <c r="AG350" s="3401"/>
      <c r="AH350" s="3401"/>
      <c r="AI350" s="3401"/>
      <c r="AJ350" s="3401"/>
      <c r="AK350" s="3401"/>
      <c r="AL350" s="3401"/>
      <c r="AM350" s="3401"/>
      <c r="CB350" s="3418"/>
      <c r="CC350" s="3419"/>
      <c r="CD350" s="3419"/>
      <c r="CJ350" s="3420"/>
      <c r="CK350" s="3420"/>
    </row>
    <row r="351" spans="29:98" s="1828" customFormat="1">
      <c r="AC351" s="3400"/>
      <c r="AD351" s="3401"/>
      <c r="AE351" s="3401"/>
      <c r="AF351" s="3401"/>
      <c r="AG351" s="3401"/>
      <c r="AH351" s="3401"/>
      <c r="AI351" s="3401"/>
      <c r="AJ351" s="3401"/>
      <c r="AK351" s="3401"/>
      <c r="AL351" s="3401"/>
      <c r="AM351" s="3401"/>
      <c r="CB351" s="3418"/>
      <c r="CC351" s="3419"/>
      <c r="CD351" s="3419"/>
      <c r="CJ351" s="3420"/>
      <c r="CK351" s="3420"/>
    </row>
    <row r="352" spans="29:98" s="1828" customFormat="1">
      <c r="AC352" s="3400"/>
      <c r="AD352" s="3401"/>
      <c r="AE352" s="3401"/>
      <c r="AF352" s="3401"/>
      <c r="AG352" s="3401"/>
      <c r="AH352" s="3401"/>
      <c r="AI352" s="3401"/>
      <c r="AJ352" s="3401"/>
      <c r="AK352" s="3401"/>
      <c r="AL352" s="3401"/>
      <c r="AM352" s="3401"/>
      <c r="CB352" s="3418"/>
      <c r="CC352" s="3419"/>
      <c r="CD352" s="3419"/>
      <c r="CJ352" s="3420"/>
      <c r="CK352" s="3420"/>
    </row>
    <row r="353" spans="28:120" s="1828" customFormat="1">
      <c r="AC353" s="3400"/>
      <c r="AD353" s="3401"/>
      <c r="AE353" s="3401"/>
      <c r="AF353" s="3401"/>
      <c r="AG353" s="3401"/>
      <c r="AH353" s="3401"/>
      <c r="AI353" s="3401"/>
      <c r="AJ353" s="3401"/>
      <c r="AK353" s="3401"/>
      <c r="AL353" s="3401"/>
      <c r="AM353" s="3401"/>
      <c r="CB353" s="3418"/>
      <c r="CC353" s="3419"/>
      <c r="CD353" s="3419"/>
      <c r="CJ353" s="3420"/>
      <c r="CK353" s="3420"/>
    </row>
    <row r="354" spans="28:120" s="1828" customFormat="1">
      <c r="AC354" s="3400"/>
      <c r="AD354" s="3401"/>
      <c r="AE354" s="3401"/>
      <c r="AF354" s="3401"/>
      <c r="AG354" s="3401"/>
      <c r="AH354" s="3401"/>
      <c r="AI354" s="3401"/>
      <c r="AJ354" s="3401"/>
      <c r="AK354" s="3401"/>
      <c r="AL354" s="3401"/>
      <c r="AM354" s="3401"/>
      <c r="CB354" s="3418"/>
      <c r="CC354" s="3419"/>
      <c r="CD354" s="3419"/>
      <c r="CJ354" s="3420"/>
      <c r="CK354" s="3420"/>
    </row>
    <row r="355" spans="28:120" s="1828" customFormat="1">
      <c r="AC355" s="3400"/>
      <c r="AD355" s="3401"/>
      <c r="AE355" s="3401"/>
      <c r="AF355" s="3401"/>
      <c r="AG355" s="3401"/>
      <c r="AH355" s="3401"/>
      <c r="AI355" s="3401"/>
      <c r="AJ355" s="3401"/>
      <c r="AK355" s="3401"/>
      <c r="AL355" s="3401"/>
      <c r="AM355" s="3401"/>
      <c r="CB355" s="3418"/>
      <c r="CC355" s="3419"/>
      <c r="CD355" s="3419"/>
      <c r="CJ355" s="3420"/>
      <c r="CK355" s="3420"/>
    </row>
    <row r="356" spans="28:120" s="1828" customFormat="1">
      <c r="AC356" s="3400"/>
      <c r="AD356" s="3401"/>
      <c r="AE356" s="3401"/>
      <c r="AF356" s="3401"/>
      <c r="AG356" s="3401"/>
      <c r="AH356" s="3401"/>
      <c r="AI356" s="3401"/>
      <c r="AJ356" s="3401"/>
      <c r="AK356" s="3401"/>
      <c r="AL356" s="3401"/>
      <c r="AM356" s="3401"/>
      <c r="CB356" s="3418"/>
      <c r="CC356" s="3419"/>
      <c r="CD356" s="3419"/>
      <c r="CJ356" s="3420"/>
      <c r="CK356" s="3420"/>
    </row>
    <row r="357" spans="28:120" s="1828" customFormat="1">
      <c r="AC357" s="3400"/>
      <c r="AD357" s="3401"/>
      <c r="AE357" s="3401"/>
      <c r="AF357" s="3401"/>
      <c r="AG357" s="3401"/>
      <c r="AH357" s="3401"/>
      <c r="AI357" s="3401"/>
      <c r="AJ357" s="3401"/>
      <c r="AK357" s="3401"/>
      <c r="AL357" s="3401"/>
      <c r="AM357" s="3401"/>
      <c r="AN357" s="1734"/>
      <c r="AO357" s="1734"/>
      <c r="AP357" s="1734"/>
      <c r="AQ357" s="1734"/>
      <c r="AR357" s="1734"/>
      <c r="CB357" s="3418"/>
      <c r="CC357" s="3419"/>
      <c r="CD357" s="3419"/>
      <c r="CJ357" s="3420"/>
      <c r="CK357" s="3420"/>
    </row>
    <row r="358" spans="28:120" s="1828" customFormat="1">
      <c r="AC358" s="3400"/>
      <c r="AD358" s="3401"/>
      <c r="AE358" s="3401"/>
      <c r="AF358" s="3401"/>
      <c r="AG358" s="3401"/>
      <c r="AH358" s="3401"/>
      <c r="AI358" s="3401"/>
      <c r="AJ358" s="3401"/>
      <c r="AK358" s="3401"/>
      <c r="AL358" s="3401"/>
      <c r="AM358" s="3401"/>
      <c r="AN358" s="1734"/>
      <c r="AO358" s="1734"/>
      <c r="AP358" s="1734"/>
      <c r="AQ358" s="1734"/>
      <c r="AR358" s="1734"/>
      <c r="CB358" s="3418"/>
      <c r="CC358" s="3419"/>
      <c r="CD358" s="3419"/>
      <c r="CJ358" s="3420"/>
      <c r="CK358" s="3420"/>
    </row>
    <row r="360" spans="28:120">
      <c r="DJ360" s="17" t="s">
        <v>2880</v>
      </c>
      <c r="DK360" s="17"/>
      <c r="DL360" s="17"/>
      <c r="DN360" s="17" t="s">
        <v>2879</v>
      </c>
      <c r="DO360" s="17"/>
      <c r="DP360" s="17"/>
    </row>
    <row r="361" spans="28:120">
      <c r="DJ361" s="3391" t="s">
        <v>43</v>
      </c>
      <c r="DK361" s="3391" t="s">
        <v>44</v>
      </c>
      <c r="DL361" s="3391" t="s">
        <v>1343</v>
      </c>
      <c r="DN361" s="3391" t="s">
        <v>43</v>
      </c>
      <c r="DO361" s="3391" t="s">
        <v>44</v>
      </c>
      <c r="DP361" s="3391" t="s">
        <v>1343</v>
      </c>
    </row>
    <row r="362" spans="28:120">
      <c r="DI362" s="3388" t="s">
        <v>1354</v>
      </c>
      <c r="DJ362" s="3398"/>
      <c r="DK362" s="3398"/>
      <c r="DL362" s="3398"/>
      <c r="DM362" s="3398"/>
      <c r="DN362" s="3398"/>
      <c r="DO362" s="3398"/>
      <c r="DP362" s="3398"/>
    </row>
    <row r="363" spans="28:120">
      <c r="DI363" s="2837" t="s">
        <v>554</v>
      </c>
      <c r="DJ363" s="3393">
        <f>RevPAR!$AG$15</f>
        <v>2.5000000000000001E-2</v>
      </c>
      <c r="DK363" s="3393">
        <f>RevPAR!$AL$15</f>
        <v>2.3457210246139646E-2</v>
      </c>
      <c r="DL363" s="3393">
        <f>RevPAR!$AM$15</f>
        <v>1.5937306656940566E-2</v>
      </c>
      <c r="DM363" s="3393"/>
      <c r="DN363" s="3393"/>
      <c r="DO363" s="3393"/>
      <c r="DP363" s="3393"/>
    </row>
    <row r="364" spans="28:120" ht="4.5" customHeight="1">
      <c r="DJ364" s="2938"/>
      <c r="DK364" s="2938"/>
      <c r="DL364" s="2938"/>
      <c r="DM364" s="2938"/>
      <c r="DN364" s="2938"/>
      <c r="DO364" s="2938"/>
      <c r="DP364" s="2938"/>
    </row>
    <row r="365" spans="28:120">
      <c r="DI365" s="1734" t="s">
        <v>2869</v>
      </c>
      <c r="DJ365" s="3381" t="s">
        <v>551</v>
      </c>
      <c r="DK365" s="3381" t="s">
        <v>551</v>
      </c>
      <c r="DL365" s="3381" t="s">
        <v>551</v>
      </c>
      <c r="DM365" s="3381"/>
      <c r="DN365" s="3394" t="str">
        <f t="shared" ref="DN365:DP367" si="12">IFERROR(DJ$363-DJ365,"--")</f>
        <v>--</v>
      </c>
      <c r="DO365" s="3394" t="str">
        <f t="shared" si="12"/>
        <v>--</v>
      </c>
      <c r="DP365" s="3394" t="str">
        <f t="shared" si="12"/>
        <v>--</v>
      </c>
    </row>
    <row r="366" spans="28:120">
      <c r="DI366" s="1734" t="s">
        <v>2872</v>
      </c>
      <c r="DJ366" s="3399">
        <v>0.02</v>
      </c>
      <c r="DK366" s="3399">
        <v>1.4999999999999999E-2</v>
      </c>
      <c r="DL366" s="3381" t="s">
        <v>551</v>
      </c>
      <c r="DM366" s="3381"/>
      <c r="DN366" s="3394">
        <f t="shared" si="12"/>
        <v>5.000000000000001E-3</v>
      </c>
      <c r="DO366" s="3394">
        <f t="shared" si="12"/>
        <v>8.4572102461396466E-3</v>
      </c>
      <c r="DP366" s="3394" t="str">
        <f t="shared" si="12"/>
        <v>--</v>
      </c>
    </row>
    <row r="367" spans="28:120">
      <c r="DI367" s="1734" t="s">
        <v>2874</v>
      </c>
      <c r="DJ367" s="3399">
        <v>2.1999999999999999E-2</v>
      </c>
      <c r="DK367" s="3399">
        <v>3.2000000000000001E-2</v>
      </c>
      <c r="DL367" s="3381" t="s">
        <v>551</v>
      </c>
      <c r="DM367" s="3381"/>
      <c r="DN367" s="3394">
        <f t="shared" si="12"/>
        <v>3.0000000000000027E-3</v>
      </c>
      <c r="DO367" s="3394">
        <f t="shared" si="12"/>
        <v>-8.5427897538603546E-3</v>
      </c>
      <c r="DP367" s="3394" t="str">
        <f t="shared" si="12"/>
        <v>--</v>
      </c>
    </row>
    <row r="368" spans="28:120" ht="4.5" customHeight="1">
      <c r="AB368" s="1828"/>
      <c r="AC368" s="3400"/>
      <c r="AD368" s="3401"/>
      <c r="AN368" s="1828"/>
      <c r="AO368" s="1828"/>
      <c r="AP368" s="1828"/>
      <c r="AQ368" s="1828"/>
      <c r="AR368" s="1828"/>
      <c r="DJ368" s="3397"/>
      <c r="DK368" s="3397"/>
      <c r="DL368" s="3397"/>
      <c r="DM368" s="3397"/>
      <c r="DN368" s="3397"/>
      <c r="DO368" s="3397"/>
      <c r="DP368" s="3397"/>
    </row>
    <row r="369" spans="21:120">
      <c r="U369" s="1828"/>
      <c r="V369" s="1828"/>
      <c r="W369" s="1828"/>
      <c r="X369" s="1828"/>
      <c r="Y369" s="1828"/>
      <c r="Z369" s="1828"/>
      <c r="AA369" s="1828"/>
      <c r="DI369" s="231" t="s">
        <v>2877</v>
      </c>
      <c r="DJ369" s="3393">
        <f>IFERROR(AVERAGE(DJ363:DJ367),"--")</f>
        <v>2.2333333333333334E-2</v>
      </c>
      <c r="DK369" s="3393">
        <f>IFERROR(AVERAGE(DK363:DK367),"--")</f>
        <v>2.3485736748713213E-2</v>
      </c>
      <c r="DL369" s="3393">
        <f>IFERROR(AVERAGE(DL363:DL367),"--")</f>
        <v>1.5937306656940566E-2</v>
      </c>
      <c r="DM369" s="3393" t="str">
        <f>IFERROR(AVERAGE(DM363:DM367),"--")</f>
        <v>--</v>
      </c>
      <c r="DN369" s="3393">
        <f>IFERROR(DJ$363-DJ369,"--")</f>
        <v>2.6666666666666679E-3</v>
      </c>
      <c r="DO369" s="3393">
        <f>IFERROR(DK$363-DK369,"--")</f>
        <v>-2.8526502573567036E-5</v>
      </c>
      <c r="DP369" s="3393">
        <f>IFERROR(DL$363-DL369,"--")</f>
        <v>0</v>
      </c>
    </row>
    <row r="370" spans="21:120" s="1828" customFormat="1" ht="12.75" customHeight="1">
      <c r="U370" s="1734"/>
      <c r="V370" s="1734"/>
      <c r="W370" s="1734"/>
      <c r="X370" s="1734"/>
      <c r="Y370" s="1734"/>
      <c r="Z370" s="1734"/>
      <c r="AA370" s="1734"/>
      <c r="AB370" s="1734"/>
      <c r="AC370" s="2425"/>
      <c r="AD370" s="2698"/>
      <c r="AE370" s="3401"/>
      <c r="AF370" s="3401"/>
      <c r="AG370" s="3401"/>
      <c r="AH370" s="3401"/>
      <c r="AI370" s="3401"/>
      <c r="AJ370" s="3401"/>
      <c r="AK370" s="3401"/>
      <c r="AL370" s="3401"/>
      <c r="AM370" s="3401"/>
      <c r="AN370" s="1734"/>
      <c r="AO370" s="1734"/>
      <c r="AP370" s="1734"/>
      <c r="AQ370" s="1734"/>
      <c r="AR370" s="1734"/>
      <c r="DI370" s="141"/>
      <c r="DJ370" s="3402"/>
      <c r="DK370" s="3402"/>
      <c r="DL370" s="3402"/>
      <c r="DM370" s="3402"/>
      <c r="DN370" s="3402"/>
      <c r="DO370" s="3402"/>
      <c r="DP370" s="3402"/>
    </row>
    <row r="371" spans="21:120">
      <c r="DI371" s="3388" t="s">
        <v>1589</v>
      </c>
      <c r="DJ371" s="3398"/>
      <c r="DK371" s="3398"/>
      <c r="DL371" s="3398"/>
      <c r="DM371" s="3398"/>
      <c r="DN371" s="3398"/>
      <c r="DO371" s="3398"/>
      <c r="DP371" s="3398"/>
    </row>
    <row r="372" spans="21:120">
      <c r="DI372" s="2837" t="s">
        <v>554</v>
      </c>
      <c r="DJ372" s="3393">
        <f>RevPAR!$AG$82</f>
        <v>1.525E-2</v>
      </c>
      <c r="DK372" s="3393">
        <f>RevPAR!$AL$82</f>
        <v>1.5499999999999903E-2</v>
      </c>
      <c r="DL372" s="3393">
        <f>RevPAR!$AM$82</f>
        <v>9.9999999999997868E-3</v>
      </c>
      <c r="DM372" s="3393"/>
      <c r="DN372" s="3393"/>
      <c r="DO372" s="3393"/>
      <c r="DP372" s="3393"/>
    </row>
    <row r="373" spans="21:120" ht="4.5" customHeight="1">
      <c r="DJ373" s="2938"/>
      <c r="DK373" s="2938"/>
      <c r="DL373" s="2938"/>
      <c r="DM373" s="2938"/>
      <c r="DN373" s="2938"/>
      <c r="DO373" s="2938"/>
      <c r="DP373" s="2938"/>
    </row>
    <row r="374" spans="21:120">
      <c r="DI374" s="1734" t="s">
        <v>2869</v>
      </c>
      <c r="DJ374" s="3381" t="s">
        <v>551</v>
      </c>
      <c r="DK374" s="3381" t="s">
        <v>551</v>
      </c>
      <c r="DL374" s="3381" t="s">
        <v>551</v>
      </c>
      <c r="DM374" s="3381"/>
      <c r="DN374" s="3394" t="str">
        <f t="shared" ref="DN374:DP376" si="13">IFERROR(DJ$372-DJ374,"--")</f>
        <v>--</v>
      </c>
      <c r="DO374" s="3394" t="str">
        <f t="shared" si="13"/>
        <v>--</v>
      </c>
      <c r="DP374" s="3394" t="str">
        <f t="shared" si="13"/>
        <v>--</v>
      </c>
    </row>
    <row r="375" spans="21:120">
      <c r="DI375" s="1734" t="s">
        <v>2872</v>
      </c>
      <c r="DJ375" s="3399">
        <v>1.4999999999999999E-2</v>
      </c>
      <c r="DK375" s="3399">
        <v>1.4999999999999999E-2</v>
      </c>
      <c r="DL375" s="3381" t="s">
        <v>551</v>
      </c>
      <c r="DM375" s="3381"/>
      <c r="DN375" s="3394">
        <f t="shared" si="13"/>
        <v>2.5000000000000022E-4</v>
      </c>
      <c r="DO375" s="3394">
        <f t="shared" si="13"/>
        <v>4.999999999999033E-4</v>
      </c>
      <c r="DP375" s="3394" t="str">
        <f t="shared" si="13"/>
        <v>--</v>
      </c>
    </row>
    <row r="376" spans="21:120">
      <c r="DI376" s="1734" t="s">
        <v>2874</v>
      </c>
      <c r="DJ376" s="3381" t="s">
        <v>551</v>
      </c>
      <c r="DK376" s="3381" t="s">
        <v>551</v>
      </c>
      <c r="DL376" s="3381" t="s">
        <v>551</v>
      </c>
      <c r="DM376" s="3381"/>
      <c r="DN376" s="3394" t="str">
        <f t="shared" si="13"/>
        <v>--</v>
      </c>
      <c r="DO376" s="3394" t="str">
        <f t="shared" si="13"/>
        <v>--</v>
      </c>
      <c r="DP376" s="3394" t="str">
        <f t="shared" si="13"/>
        <v>--</v>
      </c>
    </row>
    <row r="377" spans="21:120" ht="4.5" customHeight="1">
      <c r="DJ377" s="3397"/>
      <c r="DK377" s="3397"/>
      <c r="DL377" s="3397"/>
      <c r="DM377" s="3397"/>
      <c r="DN377" s="3397"/>
      <c r="DO377" s="3397"/>
      <c r="DP377" s="3397"/>
    </row>
    <row r="378" spans="21:120">
      <c r="DI378" s="231" t="s">
        <v>2877</v>
      </c>
      <c r="DJ378" s="3393">
        <f>IFERROR(AVERAGE(DJ372:DJ376),"--")</f>
        <v>1.5125E-2</v>
      </c>
      <c r="DK378" s="3393">
        <f>IFERROR(AVERAGE(DK372:DK376),"--")</f>
        <v>1.5249999999999951E-2</v>
      </c>
      <c r="DL378" s="3393">
        <f>IFERROR(AVERAGE(DL372:DL376),"--")</f>
        <v>9.9999999999997868E-3</v>
      </c>
      <c r="DM378" s="3393" t="str">
        <f>IFERROR(AVERAGE(DM372:DM376),"--")</f>
        <v>--</v>
      </c>
      <c r="DN378" s="3393">
        <f>IFERROR(DJ$363-DJ378,"--")</f>
        <v>9.8750000000000018E-3</v>
      </c>
      <c r="DO378" s="3393">
        <f>IFERROR(DK$363-DK378,"--")</f>
        <v>8.2072102461396949E-3</v>
      </c>
      <c r="DP378" s="3393">
        <f>IFERROR(DL$363-DL378,"--")</f>
        <v>5.9373066569407794E-3</v>
      </c>
    </row>
    <row r="379" spans="21:120">
      <c r="DJ379" s="3397"/>
      <c r="DK379" s="3397"/>
      <c r="DL379" s="3397"/>
      <c r="DM379" s="3397"/>
      <c r="DN379" s="3397"/>
      <c r="DO379" s="3397"/>
      <c r="DP379" s="3397"/>
    </row>
    <row r="380" spans="21:120">
      <c r="DI380" s="3388" t="s">
        <v>2881</v>
      </c>
      <c r="DJ380" s="3390"/>
      <c r="DK380" s="3390"/>
      <c r="DL380" s="3390"/>
      <c r="DM380" s="3390"/>
      <c r="DN380" s="3390"/>
      <c r="DO380" s="3390"/>
      <c r="DP380" s="3390"/>
    </row>
    <row r="381" spans="21:120">
      <c r="DI381" s="2837" t="s">
        <v>554</v>
      </c>
      <c r="DJ381" s="3393">
        <f>RevPAR!$AG$10</f>
        <v>1.4999999999999999E-2</v>
      </c>
      <c r="DK381" s="3393">
        <f>RevPAR!$AL$10</f>
        <v>1.6875000000000001E-2</v>
      </c>
      <c r="DL381" s="3393">
        <f>RevPAR!$AM$10</f>
        <v>1.2999999999999999E-2</v>
      </c>
      <c r="DM381" s="3393"/>
      <c r="DN381" s="3393"/>
      <c r="DO381" s="3393"/>
      <c r="DP381" s="3393"/>
    </row>
    <row r="382" spans="21:120" ht="4.5" customHeight="1">
      <c r="DJ382" s="3397"/>
      <c r="DK382" s="3397"/>
      <c r="DL382" s="3397"/>
      <c r="DM382" s="3397"/>
      <c r="DN382" s="3397"/>
      <c r="DO382" s="3397"/>
      <c r="DP382" s="3397"/>
    </row>
    <row r="383" spans="21:120">
      <c r="DI383" s="1734" t="s">
        <v>2869</v>
      </c>
      <c r="DJ383" s="3381" t="s">
        <v>551</v>
      </c>
      <c r="DK383" s="3381" t="s">
        <v>551</v>
      </c>
      <c r="DL383" s="3381" t="s">
        <v>551</v>
      </c>
      <c r="DM383" s="3381"/>
      <c r="DN383" s="3394" t="str">
        <f t="shared" ref="DN383:DP385" si="14">IFERROR(DJ$381-DJ383,"--")</f>
        <v>--</v>
      </c>
      <c r="DO383" s="3394" t="str">
        <f t="shared" si="14"/>
        <v>--</v>
      </c>
      <c r="DP383" s="3394" t="str">
        <f t="shared" si="14"/>
        <v>--</v>
      </c>
    </row>
    <row r="384" spans="21:120">
      <c r="DI384" s="1734" t="s">
        <v>2872</v>
      </c>
      <c r="DJ384" s="3399">
        <v>0.02</v>
      </c>
      <c r="DK384" s="3399">
        <v>1.4999999999999999E-2</v>
      </c>
      <c r="DL384" s="3381" t="s">
        <v>551</v>
      </c>
      <c r="DM384" s="3381"/>
      <c r="DN384" s="3394">
        <f t="shared" si="14"/>
        <v>-5.000000000000001E-3</v>
      </c>
      <c r="DO384" s="3394">
        <f t="shared" si="14"/>
        <v>1.8750000000000017E-3</v>
      </c>
      <c r="DP384" s="3394" t="str">
        <f t="shared" si="14"/>
        <v>--</v>
      </c>
    </row>
    <row r="385" spans="113:124">
      <c r="DI385" s="1734" t="s">
        <v>2874</v>
      </c>
      <c r="DJ385" s="3381" t="s">
        <v>551</v>
      </c>
      <c r="DK385" s="3381" t="s">
        <v>551</v>
      </c>
      <c r="DL385" s="3381" t="s">
        <v>551</v>
      </c>
      <c r="DM385" s="3381"/>
      <c r="DN385" s="3394" t="str">
        <f t="shared" si="14"/>
        <v>--</v>
      </c>
      <c r="DO385" s="3394" t="str">
        <f t="shared" si="14"/>
        <v>--</v>
      </c>
      <c r="DP385" s="3394" t="str">
        <f t="shared" si="14"/>
        <v>--</v>
      </c>
    </row>
    <row r="386" spans="113:124" ht="4.5" customHeight="1">
      <c r="DJ386" s="3397"/>
      <c r="DK386" s="3397"/>
      <c r="DL386" s="3397"/>
      <c r="DM386" s="3397"/>
      <c r="DN386" s="3397"/>
      <c r="DO386" s="3397"/>
      <c r="DP386" s="3397"/>
    </row>
    <row r="387" spans="113:124">
      <c r="DI387" s="231" t="s">
        <v>2877</v>
      </c>
      <c r="DJ387" s="3393">
        <f>IFERROR(AVERAGE(DJ381:DJ385),"--")</f>
        <v>1.7500000000000002E-2</v>
      </c>
      <c r="DK387" s="3393">
        <f>IFERROR(AVERAGE(DK381:DK385),"--")</f>
        <v>1.59375E-2</v>
      </c>
      <c r="DL387" s="3393">
        <f>IFERROR(AVERAGE(DL381:DL385),"--")</f>
        <v>1.2999999999999999E-2</v>
      </c>
      <c r="DM387" s="3393" t="str">
        <f>IFERROR(AVERAGE(DM381:DM385),"--")</f>
        <v>--</v>
      </c>
      <c r="DN387" s="3393">
        <f>IFERROR(DJ$363-DJ387,"--")</f>
        <v>7.4999999999999997E-3</v>
      </c>
      <c r="DO387" s="3393">
        <f>IFERROR(DK$363-DK387,"--")</f>
        <v>7.5197102461396458E-3</v>
      </c>
      <c r="DP387" s="3393">
        <f>IFERROR(DL$363-DL387,"--")</f>
        <v>2.9373066569405668E-3</v>
      </c>
    </row>
    <row r="388" spans="113:124">
      <c r="DJ388" s="3397"/>
      <c r="DK388" s="3397"/>
      <c r="DL388" s="3397"/>
      <c r="DM388" s="3397"/>
      <c r="DN388" s="3397"/>
      <c r="DO388" s="3397"/>
      <c r="DP388" s="3397"/>
    </row>
    <row r="389" spans="113:124">
      <c r="DI389" s="3388" t="s">
        <v>750</v>
      </c>
      <c r="DJ389" s="3390"/>
      <c r="DK389" s="3390"/>
      <c r="DL389" s="3390"/>
      <c r="DM389" s="3390"/>
      <c r="DN389" s="3390"/>
      <c r="DO389" s="3390"/>
      <c r="DP389" s="3390"/>
    </row>
    <row r="390" spans="113:124">
      <c r="DI390" s="2837" t="s">
        <v>554</v>
      </c>
      <c r="DJ390" s="3387" t="s">
        <v>551</v>
      </c>
      <c r="DK390" s="3387" t="s">
        <v>551</v>
      </c>
      <c r="DL390" s="3387" t="s">
        <v>551</v>
      </c>
      <c r="DM390" s="3387"/>
      <c r="DN390" s="3387"/>
      <c r="DO390" s="3387"/>
      <c r="DP390" s="3387"/>
    </row>
    <row r="391" spans="113:124" ht="4.5" customHeight="1">
      <c r="DJ391" s="3381"/>
      <c r="DK391" s="3381"/>
      <c r="DL391" s="3381"/>
      <c r="DM391" s="3381"/>
      <c r="DN391" s="3381"/>
      <c r="DO391" s="3381"/>
      <c r="DP391" s="3381"/>
    </row>
    <row r="392" spans="113:124">
      <c r="DI392" s="1734" t="s">
        <v>2869</v>
      </c>
      <c r="DJ392" s="3381" t="s">
        <v>551</v>
      </c>
      <c r="DK392" s="3381" t="s">
        <v>551</v>
      </c>
      <c r="DL392" s="3381" t="s">
        <v>551</v>
      </c>
      <c r="DM392" s="3381"/>
      <c r="DN392" s="3394" t="str">
        <f t="shared" ref="DN392:DP394" si="15">IFERROR(DJ$381-DJ392,"--")</f>
        <v>--</v>
      </c>
      <c r="DO392" s="3394" t="str">
        <f t="shared" si="15"/>
        <v>--</v>
      </c>
      <c r="DP392" s="3394" t="str">
        <f t="shared" si="15"/>
        <v>--</v>
      </c>
    </row>
    <row r="393" spans="113:124">
      <c r="DI393" s="1734" t="s">
        <v>2872</v>
      </c>
      <c r="DJ393" s="3381" t="s">
        <v>551</v>
      </c>
      <c r="DK393" s="3381" t="s">
        <v>551</v>
      </c>
      <c r="DL393" s="3381" t="s">
        <v>551</v>
      </c>
      <c r="DM393" s="3381"/>
      <c r="DN393" s="3394" t="str">
        <f t="shared" si="15"/>
        <v>--</v>
      </c>
      <c r="DO393" s="3394" t="str">
        <f t="shared" si="15"/>
        <v>--</v>
      </c>
      <c r="DP393" s="3394" t="str">
        <f t="shared" si="15"/>
        <v>--</v>
      </c>
    </row>
    <row r="394" spans="113:124">
      <c r="DI394" s="1734" t="s">
        <v>2874</v>
      </c>
      <c r="DJ394" s="3381" t="s">
        <v>551</v>
      </c>
      <c r="DK394" s="3381" t="s">
        <v>551</v>
      </c>
      <c r="DL394" s="3381" t="s">
        <v>551</v>
      </c>
      <c r="DM394" s="3381"/>
      <c r="DN394" s="3394" t="str">
        <f t="shared" si="15"/>
        <v>--</v>
      </c>
      <c r="DO394" s="3394" t="str">
        <f t="shared" si="15"/>
        <v>--</v>
      </c>
      <c r="DP394" s="3394" t="str">
        <f t="shared" si="15"/>
        <v>--</v>
      </c>
    </row>
    <row r="395" spans="113:124" ht="4.5" customHeight="1">
      <c r="DJ395" s="3397"/>
      <c r="DK395" s="3397"/>
      <c r="DL395" s="3397"/>
      <c r="DM395" s="3397"/>
      <c r="DN395" s="3397"/>
      <c r="DO395" s="3397"/>
      <c r="DP395" s="3397"/>
    </row>
    <row r="396" spans="113:124">
      <c r="DI396" s="231" t="s">
        <v>2877</v>
      </c>
      <c r="DJ396" s="3393" t="str">
        <f>IFERROR(AVERAGE(DJ390:DJ394),"--")</f>
        <v>--</v>
      </c>
      <c r="DK396" s="3393" t="str">
        <f>IFERROR(AVERAGE(DK390:DK394),"--")</f>
        <v>--</v>
      </c>
      <c r="DL396" s="3393" t="str">
        <f>IFERROR(AVERAGE(DL390:DL394),"--")</f>
        <v>--</v>
      </c>
      <c r="DM396" s="3393" t="str">
        <f>IFERROR(AVERAGE(DM390:DM394),"--")</f>
        <v>--</v>
      </c>
      <c r="DN396" s="3393" t="str">
        <f>IFERROR(DJ$363-DJ396,"--")</f>
        <v>--</v>
      </c>
      <c r="DO396" s="3393" t="str">
        <f>IFERROR(DK$363-DK396,"--")</f>
        <v>--</v>
      </c>
      <c r="DP396" s="3393" t="str">
        <f>IFERROR(DL$363-DL396,"--")</f>
        <v>--</v>
      </c>
    </row>
    <row r="399" spans="113:124" ht="15.75">
      <c r="DS399" s="2" t="s">
        <v>2911</v>
      </c>
      <c r="DT399"/>
    </row>
    <row r="400" spans="113:124" ht="15.75">
      <c r="DS400" t="s">
        <v>2910</v>
      </c>
      <c r="DT400" s="3441">
        <f>Hilton!AJ11+(Hilton!AJ14/3)+(Hilton!AJ15/3)</f>
        <v>336</v>
      </c>
    </row>
    <row r="401" spans="123:131" ht="15.75">
      <c r="DS401" t="s">
        <v>1364</v>
      </c>
      <c r="DT401" s="3441">
        <f>Hilton!AJ13+(Hilton!AJ14/3)+(Hilton!AJ15/3)</f>
        <v>1382</v>
      </c>
    </row>
    <row r="402" spans="123:131" ht="15.75">
      <c r="DS402" t="s">
        <v>2909</v>
      </c>
      <c r="DT402" s="3441">
        <f>Hilton!AJ12+(Hilton!AJ14/3)+(Hilton!AJ15/3)</f>
        <v>222</v>
      </c>
    </row>
    <row r="403" spans="123:131" ht="15.75">
      <c r="DS403" t="s">
        <v>2908</v>
      </c>
      <c r="DT403" s="3441">
        <f>Hilton!AJ9-Hilton!AJ31</f>
        <v>164</v>
      </c>
    </row>
    <row r="404" spans="123:131" ht="15.75">
      <c r="DS404"/>
      <c r="DT404" s="3441">
        <f>SUM(DT400:DT403)</f>
        <v>2104</v>
      </c>
    </row>
    <row r="405" spans="123:131">
      <c r="DS405" s="122" t="s">
        <v>1167</v>
      </c>
      <c r="DT405" s="3440">
        <f>Hilton!AJ43-Hilton!AJ42</f>
        <v>2104</v>
      </c>
    </row>
    <row r="410" spans="123:131">
      <c r="DV410" s="3444" t="s">
        <v>2918</v>
      </c>
      <c r="DW410" s="3442"/>
      <c r="DX410" s="3442"/>
      <c r="DY410" s="3442"/>
      <c r="DZ410" s="3442"/>
      <c r="EA410" s="3442"/>
    </row>
    <row r="411" spans="123:131">
      <c r="DV411" s="3442"/>
      <c r="DW411" s="3445" t="s">
        <v>2870</v>
      </c>
    </row>
    <row r="412" spans="123:131">
      <c r="DV412" s="3442" t="s">
        <v>2917</v>
      </c>
      <c r="DW412" s="2827">
        <v>0.13</v>
      </c>
    </row>
    <row r="413" spans="123:131">
      <c r="DV413" s="3442" t="s">
        <v>2916</v>
      </c>
      <c r="DW413" s="2827">
        <v>0.13</v>
      </c>
      <c r="DX413" s="3442"/>
      <c r="DY413" s="3442"/>
      <c r="DZ413" s="3442"/>
      <c r="EA413" s="3442"/>
    </row>
    <row r="414" spans="123:131">
      <c r="DV414" s="3442" t="s">
        <v>16</v>
      </c>
      <c r="DW414" s="2827">
        <v>0.12</v>
      </c>
      <c r="DX414" s="3442"/>
      <c r="DY414" s="3442"/>
      <c r="DZ414" s="3442"/>
      <c r="EA414" s="3442"/>
    </row>
    <row r="415" spans="123:131">
      <c r="DV415" s="3442" t="s">
        <v>2915</v>
      </c>
      <c r="DW415" s="2827">
        <v>0.12</v>
      </c>
      <c r="DX415" s="3442"/>
      <c r="DY415" s="3442"/>
      <c r="DZ415" s="3442"/>
      <c r="EA415" s="3442"/>
    </row>
    <row r="416" spans="123:131">
      <c r="DV416" s="3442" t="s">
        <v>2914</v>
      </c>
      <c r="DW416" s="2827">
        <v>0.08</v>
      </c>
      <c r="DX416" s="3442"/>
      <c r="DY416" s="3442"/>
      <c r="DZ416" s="3442"/>
      <c r="EA416" s="3442"/>
    </row>
    <row r="417" spans="126:131">
      <c r="DV417" s="3442" t="s">
        <v>1944</v>
      </c>
      <c r="DW417" s="2827">
        <v>0.08</v>
      </c>
      <c r="DX417" s="3442"/>
      <c r="DY417" s="3442"/>
      <c r="DZ417" s="3442"/>
      <c r="EA417" s="3442"/>
    </row>
    <row r="418" spans="126:131">
      <c r="DV418" s="3442" t="s">
        <v>2913</v>
      </c>
      <c r="DW418" s="2827">
        <v>0.06</v>
      </c>
      <c r="DX418" s="3442"/>
      <c r="DY418" s="3442"/>
      <c r="DZ418" s="3442"/>
      <c r="EA418" s="3442"/>
    </row>
    <row r="419" spans="126:131">
      <c r="DV419" s="3442" t="s">
        <v>1936</v>
      </c>
      <c r="DW419" s="2827">
        <v>0.06</v>
      </c>
      <c r="DX419" s="3442"/>
      <c r="DY419" s="3442"/>
      <c r="DZ419" s="3442"/>
      <c r="EA419" s="3442"/>
    </row>
    <row r="420" spans="126:131">
      <c r="DV420" s="3442" t="s">
        <v>1526</v>
      </c>
      <c r="DW420" s="2827">
        <v>0.05</v>
      </c>
      <c r="DX420" s="3442"/>
      <c r="DY420" s="3442"/>
      <c r="DZ420" s="3442"/>
      <c r="EA420" s="3442"/>
    </row>
    <row r="421" spans="126:131">
      <c r="DV421" s="3442" t="s">
        <v>2912</v>
      </c>
      <c r="DW421" s="2827">
        <v>0.17</v>
      </c>
      <c r="DX421" s="3442"/>
      <c r="DY421" s="3442"/>
      <c r="DZ421" s="3442"/>
      <c r="EA421" s="3442"/>
    </row>
    <row r="422" spans="126:131">
      <c r="DV422" s="3442"/>
      <c r="DW422" s="3443">
        <f>SUM(DW412:DW421)</f>
        <v>1</v>
      </c>
      <c r="DX422" s="3442"/>
      <c r="DY422" s="3442"/>
      <c r="DZ422" s="3442"/>
      <c r="EA422" s="3442"/>
    </row>
    <row r="423" spans="126:131">
      <c r="DV423" s="3442"/>
      <c r="DW423" s="3442"/>
      <c r="DX423" s="3442"/>
      <c r="DY423" s="3442"/>
      <c r="DZ423" s="3442"/>
      <c r="EA423" s="3442"/>
    </row>
    <row r="424" spans="126:131">
      <c r="DV424" s="3442"/>
      <c r="DW424" s="3442"/>
      <c r="DX424" s="3442"/>
      <c r="DY424" s="3442"/>
      <c r="DZ424" s="3442"/>
      <c r="EA424" s="3442"/>
    </row>
    <row r="438" spans="126:134">
      <c r="DV438" s="3442"/>
      <c r="DW438" s="3442"/>
      <c r="DX438" s="3442"/>
      <c r="DY438" s="3442"/>
      <c r="DZ438" s="3442"/>
      <c r="EA438" s="3442"/>
    </row>
    <row r="439" spans="126:134">
      <c r="DV439" s="3442"/>
      <c r="DW439" s="3442"/>
      <c r="DX439" s="3442"/>
      <c r="DY439" s="3442"/>
      <c r="DZ439" s="3442"/>
      <c r="EA439" s="3442"/>
    </row>
    <row r="440" spans="126:134">
      <c r="DV440" s="3442"/>
      <c r="DW440" s="3442"/>
      <c r="DX440" s="3442"/>
      <c r="DY440" s="3442"/>
      <c r="DZ440" s="3442"/>
      <c r="EA440" s="3442"/>
      <c r="EC440" s="2" t="s">
        <v>2921</v>
      </c>
    </row>
    <row r="442" spans="126:134">
      <c r="EC442" s="1734" t="s">
        <v>1270</v>
      </c>
      <c r="ED442" s="2827">
        <v>0.03</v>
      </c>
    </row>
    <row r="443" spans="126:134">
      <c r="EC443" s="1734" t="s">
        <v>1693</v>
      </c>
      <c r="ED443" s="2827">
        <v>0.34</v>
      </c>
    </row>
    <row r="444" spans="126:134">
      <c r="EC444" s="1734" t="s">
        <v>1871</v>
      </c>
      <c r="ED444" s="2827">
        <v>0.28999999999999998</v>
      </c>
    </row>
    <row r="445" spans="126:134">
      <c r="EC445" s="1734" t="s">
        <v>1271</v>
      </c>
      <c r="ED445" s="2827">
        <v>0.33</v>
      </c>
    </row>
    <row r="446" spans="126:134">
      <c r="EC446" s="1734" t="s">
        <v>395</v>
      </c>
      <c r="ED446" s="2827">
        <v>0.01</v>
      </c>
    </row>
    <row r="468" spans="140:142">
      <c r="EJ468" s="2"/>
    </row>
    <row r="469" spans="140:142">
      <c r="EK469" s="2" t="s">
        <v>2922</v>
      </c>
    </row>
    <row r="471" spans="140:142">
      <c r="EK471" s="1734" t="s">
        <v>2923</v>
      </c>
      <c r="EL471" s="2827">
        <v>0.1</v>
      </c>
    </row>
    <row r="472" spans="140:142">
      <c r="EK472" s="1734" t="s">
        <v>2920</v>
      </c>
      <c r="EL472" s="2827">
        <v>0.44</v>
      </c>
    </row>
    <row r="473" spans="140:142">
      <c r="EK473" s="1734" t="s">
        <v>2924</v>
      </c>
      <c r="EL473" s="2827">
        <v>0.18</v>
      </c>
    </row>
    <row r="474" spans="140:142">
      <c r="EK474" s="1734" t="s">
        <v>2919</v>
      </c>
      <c r="EL474" s="2827">
        <v>0.28000000000000003</v>
      </c>
    </row>
    <row r="497" spans="150:153">
      <c r="ET497" s="2" t="s">
        <v>2933</v>
      </c>
    </row>
    <row r="498" spans="150:153">
      <c r="EU498" s="1734" t="s">
        <v>2939</v>
      </c>
    </row>
    <row r="499" spans="150:153">
      <c r="EU499" s="3484">
        <v>2007</v>
      </c>
      <c r="EV499" s="3484" t="s">
        <v>2938</v>
      </c>
      <c r="EW499" s="3484" t="s">
        <v>1372</v>
      </c>
    </row>
    <row r="500" spans="150:153">
      <c r="ET500" s="1734" t="s">
        <v>1735</v>
      </c>
      <c r="EU500" s="1734">
        <v>496</v>
      </c>
      <c r="EV500" s="1734">
        <v>789</v>
      </c>
      <c r="EW500" s="1862">
        <f>EV500/EU500-1</f>
        <v>0.59072580645161299</v>
      </c>
    </row>
    <row r="501" spans="150:153">
      <c r="ET501" s="1734" t="s">
        <v>2934</v>
      </c>
      <c r="EU501" s="1734">
        <v>111</v>
      </c>
      <c r="EV501" s="1734">
        <v>169</v>
      </c>
      <c r="EW501" s="1862">
        <f t="shared" ref="EW501:EW506" si="16">EV501/EU501-1</f>
        <v>0.52252252252252251</v>
      </c>
    </row>
    <row r="502" spans="150:153">
      <c r="ET502" s="1734" t="s">
        <v>2867</v>
      </c>
      <c r="EU502" s="1734">
        <v>782</v>
      </c>
      <c r="EV502" s="1734">
        <v>1155</v>
      </c>
      <c r="EW502" s="1862">
        <f t="shared" si="16"/>
        <v>0.4769820971867007</v>
      </c>
    </row>
    <row r="503" spans="150:153">
      <c r="ET503" s="1734" t="s">
        <v>1752</v>
      </c>
      <c r="EU503" s="1734">
        <v>564</v>
      </c>
      <c r="EV503" s="1734">
        <v>754</v>
      </c>
      <c r="EW503" s="1862">
        <f t="shared" si="16"/>
        <v>0.33687943262411357</v>
      </c>
    </row>
    <row r="504" spans="150:153">
      <c r="ET504" s="1734" t="s">
        <v>2935</v>
      </c>
      <c r="EU504" s="1734">
        <v>542</v>
      </c>
      <c r="EV504" s="1734">
        <v>690</v>
      </c>
      <c r="EW504" s="1862">
        <f t="shared" si="16"/>
        <v>0.27306273062730635</v>
      </c>
    </row>
    <row r="505" spans="150:153">
      <c r="ET505" s="1734" t="s">
        <v>2936</v>
      </c>
      <c r="EU505" s="1734">
        <v>487</v>
      </c>
      <c r="EV505" s="1734">
        <v>575</v>
      </c>
      <c r="EW505" s="1862">
        <f t="shared" si="16"/>
        <v>0.1806981519507187</v>
      </c>
    </row>
    <row r="506" spans="150:153">
      <c r="ET506" s="1734" t="s">
        <v>2937</v>
      </c>
      <c r="EU506" s="1734">
        <v>446</v>
      </c>
      <c r="EV506" s="1734">
        <v>509</v>
      </c>
      <c r="EW506" s="1862">
        <f t="shared" si="16"/>
        <v>0.14125560538116599</v>
      </c>
    </row>
    <row r="526" spans="160:165">
      <c r="FD526" s="2091" t="s">
        <v>872</v>
      </c>
      <c r="FE526" s="3538">
        <v>42643</v>
      </c>
      <c r="FF526" s="1743"/>
      <c r="FG526" s="1743" t="s">
        <v>872</v>
      </c>
      <c r="FH526" s="3538">
        <v>42735</v>
      </c>
      <c r="FI526" s="2162"/>
    </row>
    <row r="527" spans="160:165">
      <c r="FD527" s="1898" t="s">
        <v>245</v>
      </c>
      <c r="FE527" s="1968">
        <f>+Hilton!AC610</f>
        <v>10485</v>
      </c>
      <c r="FF527" s="1777"/>
      <c r="FG527" s="1777" t="s">
        <v>245</v>
      </c>
      <c r="FH527" s="1968">
        <f>+Hilton!AD610</f>
        <v>10621</v>
      </c>
      <c r="FI527" s="1976"/>
    </row>
    <row r="528" spans="160:165">
      <c r="FD528" s="1898" t="s">
        <v>1191</v>
      </c>
      <c r="FE528" s="1777">
        <f>-Hilton!AC551</f>
        <v>-859</v>
      </c>
      <c r="FF528" s="1777"/>
      <c r="FG528" s="1777" t="s">
        <v>1191</v>
      </c>
      <c r="FH528" s="1777">
        <f>-Hilton!AD551</f>
        <v>-1418</v>
      </c>
      <c r="FI528" s="1976"/>
    </row>
    <row r="529" spans="160:166" ht="3.95" customHeight="1">
      <c r="FD529" s="1898"/>
      <c r="FE529" s="1565" t="s">
        <v>2960</v>
      </c>
      <c r="FF529" s="1777"/>
      <c r="FG529" s="1777"/>
      <c r="FH529" s="1565" t="s">
        <v>2960</v>
      </c>
      <c r="FI529" s="1976"/>
    </row>
    <row r="530" spans="160:166">
      <c r="FD530" s="1898" t="s">
        <v>1652</v>
      </c>
      <c r="FE530" s="1968">
        <f>SUM(FE527:FE529)</f>
        <v>9626</v>
      </c>
      <c r="FF530" s="1777"/>
      <c r="FG530" s="1777" t="s">
        <v>1652</v>
      </c>
      <c r="FH530" s="1968">
        <f>SUM(FH527:FH529)</f>
        <v>9203</v>
      </c>
      <c r="FI530" s="1976"/>
      <c r="FJ530" s="3567"/>
    </row>
    <row r="531" spans="160:166">
      <c r="FD531" s="1898"/>
      <c r="FE531" s="1777"/>
      <c r="FF531" s="1777"/>
      <c r="FG531" s="1777"/>
      <c r="FH531" s="1777"/>
      <c r="FI531" s="1976"/>
    </row>
    <row r="532" spans="160:166">
      <c r="FD532" s="1898" t="s">
        <v>2868</v>
      </c>
      <c r="FE532" s="3539">
        <v>42735</v>
      </c>
      <c r="FF532" s="1777"/>
      <c r="FG532" s="1777" t="s">
        <v>2868</v>
      </c>
      <c r="FH532" s="3539">
        <v>42735</v>
      </c>
      <c r="FI532" s="1976"/>
    </row>
    <row r="533" spans="160:166">
      <c r="FD533" s="1898" t="s">
        <v>245</v>
      </c>
      <c r="FE533" s="3540">
        <v>6758</v>
      </c>
      <c r="FF533" s="1777"/>
      <c r="FG533" s="1777" t="s">
        <v>245</v>
      </c>
      <c r="FH533" s="1777">
        <f>+Hilton!AF648</f>
        <v>3959</v>
      </c>
      <c r="FI533" s="1976"/>
    </row>
    <row r="534" spans="160:166">
      <c r="FD534" s="1898" t="s">
        <v>1191</v>
      </c>
      <c r="FE534" s="3541">
        <v>-871</v>
      </c>
      <c r="FF534" s="1777"/>
      <c r="FG534" s="1777" t="s">
        <v>1191</v>
      </c>
      <c r="FH534" s="1777">
        <f>+-Hilton!AE551</f>
        <v>-1418</v>
      </c>
      <c r="FI534" s="1976"/>
    </row>
    <row r="535" spans="160:166" ht="3.95" customHeight="1">
      <c r="FD535" s="1898"/>
      <c r="FE535" s="1565" t="s">
        <v>2960</v>
      </c>
      <c r="FF535" s="1777"/>
      <c r="FG535" s="1777"/>
      <c r="FH535" s="1565" t="s">
        <v>2960</v>
      </c>
      <c r="FI535" s="1976"/>
    </row>
    <row r="536" spans="160:166">
      <c r="FD536" s="1898" t="s">
        <v>1652</v>
      </c>
      <c r="FE536" s="1968">
        <f>SUM(FE533:FE535)</f>
        <v>5887</v>
      </c>
      <c r="FF536" s="1777"/>
      <c r="FG536" s="1777" t="s">
        <v>1652</v>
      </c>
      <c r="FH536" s="1968">
        <f>SUM(FH533:FH535)</f>
        <v>2541</v>
      </c>
      <c r="FI536" s="1976"/>
    </row>
    <row r="537" spans="160:166">
      <c r="FD537" s="1898"/>
      <c r="FE537" s="1777"/>
      <c r="FF537" s="1777"/>
      <c r="FG537" s="1777"/>
      <c r="FH537" s="1777"/>
      <c r="FI537" s="1976"/>
    </row>
    <row r="538" spans="160:166">
      <c r="FD538" s="1898" t="s">
        <v>2870</v>
      </c>
      <c r="FE538" s="3539">
        <v>42735</v>
      </c>
      <c r="FF538" s="1777"/>
      <c r="FG538" s="1777" t="s">
        <v>2870</v>
      </c>
      <c r="FH538" s="3539">
        <v>42735</v>
      </c>
      <c r="FI538" s="1976"/>
    </row>
    <row r="539" spans="160:166">
      <c r="FD539" s="1898" t="s">
        <v>245</v>
      </c>
      <c r="FE539" s="3540">
        <v>3027</v>
      </c>
      <c r="FF539" s="1777"/>
      <c r="FG539" s="1777" t="s">
        <v>245</v>
      </c>
      <c r="FH539" s="1777">
        <f>+'Owned Assets Spun Out'!I89</f>
        <v>3027</v>
      </c>
      <c r="FI539" s="1976"/>
    </row>
    <row r="540" spans="160:166">
      <c r="FD540" s="1898" t="s">
        <v>1191</v>
      </c>
      <c r="FE540" s="3541">
        <v>-150</v>
      </c>
      <c r="FF540" s="1777"/>
      <c r="FG540" s="1777" t="s">
        <v>1191</v>
      </c>
      <c r="FH540" s="1777">
        <f>+'Owned Assets Spun Out'!I90</f>
        <v>-150.60238867924636</v>
      </c>
      <c r="FI540" s="1976"/>
    </row>
    <row r="541" spans="160:166" ht="3.95" customHeight="1">
      <c r="FD541" s="1898"/>
      <c r="FE541" s="1565" t="s">
        <v>2960</v>
      </c>
      <c r="FF541" s="1777"/>
      <c r="FG541" s="1777"/>
      <c r="FH541" s="1565" t="s">
        <v>2960</v>
      </c>
      <c r="FI541" s="1976"/>
    </row>
    <row r="542" spans="160:166">
      <c r="FD542" s="1898" t="s">
        <v>1652</v>
      </c>
      <c r="FE542" s="1968">
        <f>SUM(FE539:FE541)</f>
        <v>2877</v>
      </c>
      <c r="FF542" s="1777"/>
      <c r="FG542" s="1777" t="s">
        <v>1652</v>
      </c>
      <c r="FH542" s="1968">
        <f>SUM(FH539:FH541)</f>
        <v>2876.3976113207536</v>
      </c>
      <c r="FI542" s="1976"/>
    </row>
    <row r="543" spans="160:166">
      <c r="FD543" s="1898" t="s">
        <v>2985</v>
      </c>
      <c r="FE543" s="2888">
        <v>214</v>
      </c>
      <c r="FF543" s="1777"/>
      <c r="FG543" s="1777" t="s">
        <v>2985</v>
      </c>
      <c r="FH543" s="1777">
        <f>+FE543</f>
        <v>214</v>
      </c>
      <c r="FI543" s="1976"/>
    </row>
    <row r="544" spans="160:166" ht="3.95" customHeight="1">
      <c r="FD544" s="1898"/>
      <c r="FE544" s="1565" t="s">
        <v>2960</v>
      </c>
      <c r="FF544" s="1777"/>
      <c r="FG544" s="1777"/>
      <c r="FH544" s="1565" t="s">
        <v>2960</v>
      </c>
      <c r="FI544" s="1976"/>
    </row>
    <row r="545" spans="160:166">
      <c r="FD545" s="1898" t="s">
        <v>2965</v>
      </c>
      <c r="FE545" s="1968">
        <f>+FE542+FE543</f>
        <v>3091</v>
      </c>
      <c r="FF545" s="1777"/>
      <c r="FG545" s="1777" t="s">
        <v>2965</v>
      </c>
      <c r="FH545" s="1968">
        <f>+FH542+FH543</f>
        <v>3090.3976113207536</v>
      </c>
      <c r="FI545" s="1976"/>
    </row>
    <row r="546" spans="160:166">
      <c r="FD546" s="1898"/>
      <c r="FE546" s="1777"/>
      <c r="FF546" s="1777"/>
      <c r="FG546" s="1777"/>
      <c r="FH546" s="1777"/>
      <c r="FI546" s="1976"/>
    </row>
    <row r="547" spans="160:166">
      <c r="FD547" s="1898"/>
      <c r="FE547" s="1777"/>
      <c r="FF547" s="1777"/>
      <c r="FG547" s="1777"/>
      <c r="FH547" s="1777"/>
      <c r="FI547" s="1976"/>
    </row>
    <row r="548" spans="160:166">
      <c r="FD548" s="1898" t="s">
        <v>2871</v>
      </c>
      <c r="FE548" s="3539">
        <v>42643</v>
      </c>
      <c r="FF548" s="1777"/>
      <c r="FG548" s="1777" t="s">
        <v>2871</v>
      </c>
      <c r="FH548" s="3539">
        <v>42735</v>
      </c>
      <c r="FI548" s="1976"/>
    </row>
    <row r="549" spans="160:166">
      <c r="FD549" s="1898" t="s">
        <v>245</v>
      </c>
      <c r="FE549" s="1968">
        <f>+'Timeshare Assets Spun Out'!I72</f>
        <v>506.38250000000022</v>
      </c>
      <c r="FF549" s="1777"/>
      <c r="FG549" s="1777" t="s">
        <v>245</v>
      </c>
      <c r="FH549" s="1968">
        <f>+'Timeshare Assets Spun Out'!I72</f>
        <v>506.38250000000022</v>
      </c>
      <c r="FI549" s="1976"/>
    </row>
    <row r="550" spans="160:166">
      <c r="FD550" s="1898" t="s">
        <v>1191</v>
      </c>
      <c r="FE550" s="1777">
        <f>+'Timeshare Assets Spun Out'!I73</f>
        <v>-155.81000000000006</v>
      </c>
      <c r="FF550" s="1777"/>
      <c r="FG550" s="1777" t="s">
        <v>1191</v>
      </c>
      <c r="FH550" s="1777">
        <f>+'Timeshare Assets Spun Out'!I73</f>
        <v>-155.81000000000006</v>
      </c>
      <c r="FI550" s="1976"/>
    </row>
    <row r="551" spans="160:166" ht="3.95" customHeight="1">
      <c r="FD551" s="1898"/>
      <c r="FE551" s="1565" t="s">
        <v>2960</v>
      </c>
      <c r="FF551" s="1777"/>
      <c r="FG551" s="1777"/>
      <c r="FH551" s="1565" t="s">
        <v>2960</v>
      </c>
      <c r="FI551" s="1976"/>
    </row>
    <row r="552" spans="160:166">
      <c r="FD552" s="1898" t="s">
        <v>1652</v>
      </c>
      <c r="FE552" s="1968">
        <f>+FE549+FE550</f>
        <v>350.57250000000016</v>
      </c>
      <c r="FF552" s="1777"/>
      <c r="FG552" s="1777" t="s">
        <v>1652</v>
      </c>
      <c r="FH552" s="1968">
        <f>+FH549+FH550</f>
        <v>350.57250000000016</v>
      </c>
      <c r="FI552" s="1976"/>
    </row>
    <row r="553" spans="160:166">
      <c r="FD553" s="1898"/>
      <c r="FE553" s="1777"/>
      <c r="FF553" s="1777"/>
      <c r="FG553" s="1777"/>
      <c r="FH553" s="1968"/>
      <c r="FI553" s="1976"/>
    </row>
    <row r="554" spans="160:166">
      <c r="FD554" s="1898" t="s">
        <v>1238</v>
      </c>
      <c r="FE554" s="2888">
        <v>717</v>
      </c>
      <c r="FF554" s="1777"/>
      <c r="FG554" s="1777" t="s">
        <v>1238</v>
      </c>
      <c r="FH554" s="1777">
        <f>+FE554</f>
        <v>717</v>
      </c>
      <c r="FI554" s="1976"/>
    </row>
    <row r="555" spans="160:166">
      <c r="FD555" s="1898"/>
      <c r="FE555" s="1777"/>
      <c r="FF555" s="1777"/>
      <c r="FG555" s="1777"/>
      <c r="FH555" s="1968"/>
      <c r="FI555" s="1976"/>
    </row>
    <row r="556" spans="160:166">
      <c r="FD556" s="1898"/>
      <c r="FE556" s="3540"/>
      <c r="FF556" s="1777"/>
      <c r="FG556" s="1777"/>
      <c r="FH556" s="1777"/>
      <c r="FI556" s="3566" t="s">
        <v>2966</v>
      </c>
    </row>
    <row r="557" spans="160:166">
      <c r="FD557" s="1898" t="s">
        <v>245</v>
      </c>
      <c r="FE557" s="1968">
        <f>+FE533+FE539+FE549</f>
        <v>10291.3825</v>
      </c>
      <c r="FF557" s="1777"/>
      <c r="FG557" s="1777" t="s">
        <v>245</v>
      </c>
      <c r="FH557" s="1968">
        <f>+FH533+FH539+FH549</f>
        <v>7492.3825000000006</v>
      </c>
      <c r="FI557" s="2825">
        <f>500+3027+6758</f>
        <v>10285</v>
      </c>
      <c r="FJ557" s="1734">
        <f>+FH557-FI557</f>
        <v>-2792.6174999999994</v>
      </c>
    </row>
    <row r="558" spans="160:166">
      <c r="FD558" s="1898" t="s">
        <v>2964</v>
      </c>
      <c r="FE558" s="1777">
        <f>+FE534+FE540+FE550</f>
        <v>-1176.81</v>
      </c>
      <c r="FF558" s="1777"/>
      <c r="FG558" s="1777" t="s">
        <v>2964</v>
      </c>
      <c r="FH558" s="1777">
        <f>+FH534+FH540+FH550</f>
        <v>-1724.4123886792463</v>
      </c>
      <c r="FI558" s="2825">
        <f>-(871+150+144)</f>
        <v>-1165</v>
      </c>
      <c r="FJ558" s="1734">
        <f>+FH558-FI558</f>
        <v>-559.41238867924631</v>
      </c>
    </row>
    <row r="559" spans="160:166" ht="3.95" customHeight="1">
      <c r="FD559" s="1898"/>
      <c r="FE559" s="1565" t="s">
        <v>2960</v>
      </c>
      <c r="FF559" s="1777"/>
      <c r="FG559" s="1777"/>
      <c r="FH559" s="1565" t="s">
        <v>2960</v>
      </c>
      <c r="FI559" s="1566" t="s">
        <v>2960</v>
      </c>
    </row>
    <row r="560" spans="160:166">
      <c r="FD560" s="1898" t="s">
        <v>2961</v>
      </c>
      <c r="FE560" s="1968">
        <f>+FE557+FE558</f>
        <v>9114.5725000000002</v>
      </c>
      <c r="FF560" s="1777"/>
      <c r="FG560" s="1777" t="s">
        <v>2965</v>
      </c>
      <c r="FH560" s="1968">
        <f>+FH557+FH558</f>
        <v>5767.9701113207539</v>
      </c>
      <c r="FI560" s="1969">
        <f>+FI557+FI558</f>
        <v>9120</v>
      </c>
      <c r="FJ560" s="2">
        <f>+FH560-FI560</f>
        <v>-3352.0298886792461</v>
      </c>
    </row>
    <row r="561" spans="160:176">
      <c r="FD561" s="1898" t="s">
        <v>2986</v>
      </c>
      <c r="FE561" s="2008">
        <f>+FE560+FE543+FE554</f>
        <v>10045.5725</v>
      </c>
      <c r="FF561" s="1777"/>
      <c r="FG561" s="1777" t="s">
        <v>2986</v>
      </c>
      <c r="FH561" s="2008">
        <f>+FH560+FH543+FH554</f>
        <v>6698.9701113207539</v>
      </c>
      <c r="FI561" s="1976"/>
    </row>
    <row r="562" spans="160:176">
      <c r="FD562" s="1898"/>
      <c r="FE562" s="1777"/>
      <c r="FF562" s="1777"/>
      <c r="FG562" s="1777"/>
      <c r="FH562" s="1777"/>
      <c r="FI562" s="1976"/>
    </row>
    <row r="563" spans="160:176">
      <c r="FD563" s="505" t="s">
        <v>2387</v>
      </c>
      <c r="FE563" s="228">
        <f>+FE560-FE530</f>
        <v>-511.42749999999978</v>
      </c>
      <c r="FF563" s="1777"/>
      <c r="FG563" s="228" t="s">
        <v>2387</v>
      </c>
      <c r="FH563" s="228">
        <f>+FH560-FH530</f>
        <v>-3435.0298886792461</v>
      </c>
      <c r="FI563" s="1976" t="s">
        <v>2967</v>
      </c>
    </row>
    <row r="564" spans="160:176">
      <c r="FD564" s="505"/>
      <c r="FE564" s="228"/>
      <c r="FF564" s="1777"/>
      <c r="FG564" s="1777"/>
      <c r="FH564" s="228"/>
      <c r="FI564" s="1976"/>
    </row>
    <row r="565" spans="160:176">
      <c r="FD565" s="505" t="s">
        <v>2987</v>
      </c>
      <c r="FE565" s="3557">
        <f>+FE561-FE530</f>
        <v>419.57250000000022</v>
      </c>
      <c r="FF565" s="1777"/>
      <c r="FG565" s="228" t="s">
        <v>2987</v>
      </c>
      <c r="FH565" s="3557">
        <f>+FH561-FH530</f>
        <v>-2504.0298886792461</v>
      </c>
      <c r="FI565" s="1976"/>
    </row>
    <row r="566" spans="160:176">
      <c r="FD566" s="1979" t="s">
        <v>2988</v>
      </c>
      <c r="FE566" s="3558">
        <v>300</v>
      </c>
      <c r="FF566" s="1777"/>
      <c r="FG566" s="2169" t="s">
        <v>2988</v>
      </c>
      <c r="FH566" s="3558">
        <v>300</v>
      </c>
      <c r="FI566" s="1976"/>
    </row>
    <row r="567" spans="160:176">
      <c r="FD567" s="1979" t="s">
        <v>2989</v>
      </c>
      <c r="FE567" s="3054">
        <f>+Hilton!AD651-Hilton!AC651</f>
        <v>138</v>
      </c>
      <c r="FF567" s="1777"/>
      <c r="FG567" s="2169" t="s">
        <v>2989</v>
      </c>
      <c r="FH567" s="3558">
        <v>0</v>
      </c>
      <c r="FI567" s="1976"/>
    </row>
    <row r="568" spans="160:176">
      <c r="FD568" s="2102" t="s">
        <v>1896</v>
      </c>
      <c r="FE568" s="3559">
        <f>+FE565-FE566-FE567</f>
        <v>-18.427499999999782</v>
      </c>
      <c r="FF568" s="1735"/>
      <c r="FG568" s="3560" t="s">
        <v>1896</v>
      </c>
      <c r="FH568" s="3559">
        <f>+FH565-FH566-FH567</f>
        <v>-2804.0298886792461</v>
      </c>
      <c r="FI568" s="1973"/>
    </row>
    <row r="569" spans="160:176">
      <c r="FD569" s="1734" t="s">
        <v>2968</v>
      </c>
    </row>
    <row r="571" spans="160:176">
      <c r="FK571" s="2156" t="s">
        <v>2972</v>
      </c>
      <c r="FL571" s="1743"/>
      <c r="FM571" s="1743"/>
      <c r="FN571" s="1743"/>
      <c r="FO571" s="1743"/>
      <c r="FP571" s="1743"/>
      <c r="FQ571" s="1743"/>
      <c r="FR571" s="1743"/>
      <c r="FS571" s="1743"/>
      <c r="FT571" s="2162"/>
    </row>
    <row r="572" spans="160:176">
      <c r="FK572" s="1972"/>
      <c r="FL572" s="1755">
        <v>2015</v>
      </c>
      <c r="FM572" s="805" t="s">
        <v>2973</v>
      </c>
      <c r="FN572" s="805" t="s">
        <v>2834</v>
      </c>
      <c r="FO572" s="805"/>
      <c r="FP572" s="805" t="s">
        <v>42</v>
      </c>
      <c r="FQ572" s="805" t="s">
        <v>2973</v>
      </c>
      <c r="FR572" s="805" t="s">
        <v>2982</v>
      </c>
      <c r="FS572" s="805" t="s">
        <v>43</v>
      </c>
      <c r="FT572" s="1819" t="s">
        <v>2983</v>
      </c>
    </row>
    <row r="573" spans="160:176" ht="3.95" customHeight="1">
      <c r="FK573" s="1898"/>
      <c r="FL573" s="2362"/>
      <c r="FM573" s="227"/>
      <c r="FN573" s="227"/>
      <c r="FO573" s="227"/>
      <c r="FP573" s="227"/>
      <c r="FQ573" s="227"/>
      <c r="FR573" s="227"/>
      <c r="FS573" s="227"/>
      <c r="FT573" s="3552"/>
    </row>
    <row r="574" spans="160:176">
      <c r="FK574" s="1898" t="s">
        <v>2974</v>
      </c>
      <c r="FL574" s="2889">
        <f>+Hilton!Z275</f>
        <v>347</v>
      </c>
      <c r="FM574" s="3553">
        <v>-2</v>
      </c>
      <c r="FN574" s="1968">
        <f>+FL574+FM574</f>
        <v>345</v>
      </c>
      <c r="FO574" s="1968"/>
      <c r="FP574" s="2889">
        <f>+Hilton!AE275</f>
        <v>354</v>
      </c>
      <c r="FQ574" s="3553">
        <v>-2</v>
      </c>
      <c r="FR574" s="1968">
        <f>+FP574+FQ574</f>
        <v>352</v>
      </c>
      <c r="FS574" s="2889">
        <f>+Hilton!AJ275</f>
        <v>336</v>
      </c>
      <c r="FT574" s="579">
        <f>+FS574/FR574-1</f>
        <v>-4.5454545454545414E-2</v>
      </c>
    </row>
    <row r="575" spans="160:176">
      <c r="FK575" s="1898" t="s">
        <v>2975</v>
      </c>
      <c r="FL575" s="3049">
        <f>+Hilton!Z276</f>
        <v>148</v>
      </c>
      <c r="FM575" s="3553">
        <v>47.5</v>
      </c>
      <c r="FN575" s="1777">
        <f>+FL575+FM575</f>
        <v>195.5</v>
      </c>
      <c r="FO575" s="1777"/>
      <c r="FP575" s="3049">
        <f>+Hilton!AE276</f>
        <v>155</v>
      </c>
      <c r="FQ575" s="3553">
        <v>47.5</v>
      </c>
      <c r="FR575" s="1777">
        <f>+FP575+FQ575</f>
        <v>202.5</v>
      </c>
      <c r="FS575" s="3049">
        <f>+Hilton!AJ276</f>
        <v>222</v>
      </c>
      <c r="FT575" s="579">
        <f>+FS575/FR575-1</f>
        <v>9.6296296296296324E-2</v>
      </c>
    </row>
    <row r="576" spans="160:176" ht="3.95" customHeight="1">
      <c r="FK576" s="1898"/>
      <c r="FL576" s="1791" t="s">
        <v>601</v>
      </c>
      <c r="FM576" s="1777"/>
      <c r="FN576" s="1791" t="s">
        <v>601</v>
      </c>
      <c r="FO576" s="1791"/>
      <c r="FP576" s="1791" t="s">
        <v>601</v>
      </c>
      <c r="FQ576" s="1777"/>
      <c r="FR576" s="1791" t="s">
        <v>601</v>
      </c>
      <c r="FS576" s="1791" t="s">
        <v>601</v>
      </c>
      <c r="FT576" s="2672" t="s">
        <v>601</v>
      </c>
    </row>
    <row r="577" spans="167:176">
      <c r="FK577" s="1898" t="s">
        <v>2976</v>
      </c>
      <c r="FL577" s="1968">
        <f>+FL574+FL575</f>
        <v>495</v>
      </c>
      <c r="FM577" s="1777"/>
      <c r="FN577" s="1968">
        <f>+FN574+FN575</f>
        <v>540.5</v>
      </c>
      <c r="FO577" s="1968"/>
      <c r="FP577" s="1968">
        <f>+FP574+FP575</f>
        <v>509</v>
      </c>
      <c r="FQ577" s="1777"/>
      <c r="FR577" s="1968">
        <f>+FR574+FR575</f>
        <v>554.5</v>
      </c>
      <c r="FS577" s="1968">
        <f>+FS574+FS575</f>
        <v>558</v>
      </c>
      <c r="FT577" s="579">
        <f>+FS577/FR577-1</f>
        <v>6.3119927862940184E-3</v>
      </c>
    </row>
    <row r="578" spans="167:176">
      <c r="FK578" s="1898"/>
      <c r="FL578" s="1777"/>
      <c r="FM578" s="1777"/>
      <c r="FN578" s="1777"/>
      <c r="FO578" s="1777"/>
      <c r="FP578" s="1777"/>
      <c r="FQ578" s="1777"/>
      <c r="FR578" s="1777"/>
      <c r="FS578" s="1777"/>
      <c r="FT578" s="1976"/>
    </row>
    <row r="579" spans="167:176">
      <c r="FK579" s="1898" t="s">
        <v>1616</v>
      </c>
      <c r="FL579" s="3049">
        <f>+Hilton!Z278</f>
        <v>1165</v>
      </c>
      <c r="FM579" s="1777"/>
      <c r="FN579" s="1777">
        <f>+FL579+FM579</f>
        <v>1165</v>
      </c>
      <c r="FO579" s="1777"/>
      <c r="FP579" s="3049">
        <f>+Hilton!AE278</f>
        <v>1237</v>
      </c>
      <c r="FQ579" s="1777"/>
      <c r="FR579" s="1777">
        <f>+FP579+FQ579</f>
        <v>1237</v>
      </c>
      <c r="FS579" s="3049">
        <f>+Hilton!AJ278</f>
        <v>1382</v>
      </c>
      <c r="FT579" s="579">
        <f>+FS579/FR579-1</f>
        <v>0.11721907841552137</v>
      </c>
    </row>
    <row r="580" spans="167:176" ht="3.95" customHeight="1">
      <c r="FK580" s="1898"/>
      <c r="FL580" s="1791" t="s">
        <v>601</v>
      </c>
      <c r="FM580" s="1777"/>
      <c r="FN580" s="1791" t="s">
        <v>601</v>
      </c>
      <c r="FO580" s="1791"/>
      <c r="FP580" s="1791" t="s">
        <v>601</v>
      </c>
      <c r="FQ580" s="1777"/>
      <c r="FR580" s="1791" t="s">
        <v>601</v>
      </c>
      <c r="FS580" s="1791" t="s">
        <v>601</v>
      </c>
      <c r="FT580" s="2672" t="s">
        <v>601</v>
      </c>
    </row>
    <row r="581" spans="167:176">
      <c r="FK581" s="1898" t="s">
        <v>2977</v>
      </c>
      <c r="FL581" s="1968">
        <f>+FL577+FL579</f>
        <v>1660</v>
      </c>
      <c r="FM581" s="1777"/>
      <c r="FN581" s="1968">
        <f>+FN577+FN579</f>
        <v>1705.5</v>
      </c>
      <c r="FO581" s="1968"/>
      <c r="FP581" s="1968">
        <f>+FP577+FP579</f>
        <v>1746</v>
      </c>
      <c r="FQ581" s="1777"/>
      <c r="FR581" s="1968">
        <f>+FR577+FR579</f>
        <v>1791.5</v>
      </c>
      <c r="FS581" s="1968">
        <f>+FS577+FS579</f>
        <v>1940</v>
      </c>
      <c r="FT581" s="579">
        <f>+FS581/FR581-1</f>
        <v>8.2891431761094037E-2</v>
      </c>
    </row>
    <row r="582" spans="167:176">
      <c r="FK582" s="1898"/>
      <c r="FL582" s="1777"/>
      <c r="FM582" s="1777"/>
      <c r="FN582" s="1777"/>
      <c r="FO582" s="1777"/>
      <c r="FP582" s="1777"/>
      <c r="FQ582" s="1777"/>
      <c r="FR582" s="1777"/>
      <c r="FS582" s="1777"/>
      <c r="FT582" s="1976"/>
    </row>
    <row r="583" spans="167:176">
      <c r="FK583" s="1898" t="s">
        <v>2978</v>
      </c>
      <c r="FL583" s="3049">
        <f>+Hilton!Z280</f>
        <v>31</v>
      </c>
      <c r="FM583" s="3553">
        <v>-27.5</v>
      </c>
      <c r="FN583" s="1777">
        <f>+FL583+FM583</f>
        <v>3.5</v>
      </c>
      <c r="FO583" s="1777"/>
      <c r="FP583" s="3049">
        <f>+Hilton!AE280</f>
        <v>40</v>
      </c>
      <c r="FQ583" s="3553">
        <v>-27.5</v>
      </c>
      <c r="FR583" s="1777">
        <f>+FP583+FQ583</f>
        <v>12.5</v>
      </c>
      <c r="FS583" s="3049">
        <f>+Hilton!AJ280</f>
        <v>0</v>
      </c>
      <c r="FT583" s="579">
        <f>+FS583/FR583-1</f>
        <v>-1</v>
      </c>
    </row>
    <row r="584" spans="167:176" ht="3.95" customHeight="1">
      <c r="FK584" s="1898"/>
      <c r="FL584" s="1791" t="s">
        <v>601</v>
      </c>
      <c r="FM584" s="1777"/>
      <c r="FN584" s="1791" t="s">
        <v>601</v>
      </c>
      <c r="FO584" s="1791"/>
      <c r="FP584" s="1791" t="s">
        <v>601</v>
      </c>
      <c r="FQ584" s="1777"/>
      <c r="FR584" s="1791" t="s">
        <v>601</v>
      </c>
      <c r="FS584" s="1791" t="s">
        <v>601</v>
      </c>
      <c r="FT584" s="2672" t="s">
        <v>601</v>
      </c>
    </row>
    <row r="585" spans="167:176">
      <c r="FK585" s="1898" t="s">
        <v>2979</v>
      </c>
      <c r="FL585" s="1968">
        <f>+FL581+FL583</f>
        <v>1691</v>
      </c>
      <c r="FM585" s="1777"/>
      <c r="FN585" s="1968">
        <f>+FN581+FN583</f>
        <v>1709</v>
      </c>
      <c r="FO585" s="1968"/>
      <c r="FP585" s="1968">
        <f>+FP581+FP583</f>
        <v>1786</v>
      </c>
      <c r="FQ585" s="1777"/>
      <c r="FR585" s="1968">
        <f>+FR581+FR583</f>
        <v>1804</v>
      </c>
      <c r="FS585" s="1968">
        <f>+FS581+FS583</f>
        <v>1940</v>
      </c>
      <c r="FT585" s="579">
        <f>+FS585/FR585-1</f>
        <v>7.5388026607538849E-2</v>
      </c>
    </row>
    <row r="586" spans="167:176">
      <c r="FK586" s="1898"/>
      <c r="FL586" s="1777"/>
      <c r="FM586" s="1777"/>
      <c r="FN586" s="1777"/>
      <c r="FO586" s="1777"/>
      <c r="FP586" s="1777"/>
      <c r="FQ586" s="1777"/>
      <c r="FR586" s="1777"/>
      <c r="FS586" s="1777"/>
      <c r="FT586" s="1976"/>
    </row>
    <row r="587" spans="167:176">
      <c r="FK587" s="1898" t="s">
        <v>1618</v>
      </c>
      <c r="FL587" s="3049">
        <f>+Hilton!Z290</f>
        <v>91</v>
      </c>
      <c r="FM587" s="3553">
        <v>-91</v>
      </c>
      <c r="FN587" s="1777">
        <f>+FL587+FM587</f>
        <v>0</v>
      </c>
      <c r="FO587" s="1777"/>
      <c r="FP587" s="3049">
        <f>+Hilton!AE290</f>
        <v>102</v>
      </c>
      <c r="FQ587" s="3553">
        <v>-93</v>
      </c>
      <c r="FR587" s="1777">
        <f>+FP587+FQ587</f>
        <v>9</v>
      </c>
      <c r="FS587" s="3049">
        <f>+Hilton!AJ290</f>
        <v>0</v>
      </c>
      <c r="FT587" s="579"/>
    </row>
    <row r="588" spans="167:176">
      <c r="FK588" s="1898" t="s">
        <v>2980</v>
      </c>
      <c r="FL588" s="3049">
        <f>+Hilton!Z291</f>
        <v>-181</v>
      </c>
      <c r="FM588" s="3561">
        <f>+FN588-FL588</f>
        <v>141</v>
      </c>
      <c r="FN588" s="2888">
        <v>-40</v>
      </c>
      <c r="FO588" s="2888"/>
      <c r="FP588" s="3049">
        <f>+Hilton!AE291</f>
        <v>-187</v>
      </c>
      <c r="FQ588" s="3561">
        <f>+FR588-FP588</f>
        <v>147</v>
      </c>
      <c r="FR588" s="2888">
        <v>-40</v>
      </c>
      <c r="FS588" s="3049">
        <f>+Hilton!AJ291</f>
        <v>0</v>
      </c>
      <c r="FT588" s="579"/>
    </row>
    <row r="589" spans="167:176" ht="3.95" customHeight="1">
      <c r="FK589" s="1898"/>
      <c r="FL589" s="1791" t="s">
        <v>601</v>
      </c>
      <c r="FM589" s="1777"/>
      <c r="FN589" s="1791" t="s">
        <v>601</v>
      </c>
      <c r="FO589" s="1791"/>
      <c r="FP589" s="1791" t="s">
        <v>601</v>
      </c>
      <c r="FQ589" s="1777"/>
      <c r="FR589" s="1791" t="s">
        <v>601</v>
      </c>
      <c r="FS589" s="1791" t="s">
        <v>601</v>
      </c>
      <c r="FT589" s="1976"/>
    </row>
    <row r="590" spans="167:176">
      <c r="FK590" s="1898" t="s">
        <v>2981</v>
      </c>
      <c r="FL590" s="1968">
        <f>+FL585+SUM(FL587:FL588)</f>
        <v>1601</v>
      </c>
      <c r="FM590" s="1777"/>
      <c r="FN590" s="1968">
        <f>+FN585+SUM(FN587:FN588)</f>
        <v>1669</v>
      </c>
      <c r="FO590" s="1968"/>
      <c r="FP590" s="1968">
        <f>+FP585+SUM(FP587:FP588)</f>
        <v>1701</v>
      </c>
      <c r="FQ590" s="1777"/>
      <c r="FR590" s="1968">
        <f>+FR585+SUM(FR587:FR588)</f>
        <v>1773</v>
      </c>
      <c r="FS590" s="1968">
        <f>+FS585+SUM(FS587:FS588)</f>
        <v>1940</v>
      </c>
      <c r="FT590" s="579">
        <f>+FS590/FR590-1</f>
        <v>9.4190637337845384E-2</v>
      </c>
    </row>
    <row r="591" spans="167:176">
      <c r="FK591" s="3522" t="s">
        <v>2990</v>
      </c>
      <c r="FL591" s="1735"/>
      <c r="FM591" s="1735"/>
      <c r="FN591" s="3554">
        <v>1669</v>
      </c>
      <c r="FO591" s="1735"/>
      <c r="FP591" s="1735"/>
      <c r="FQ591" s="1735"/>
      <c r="FR591" s="3554">
        <v>1762</v>
      </c>
      <c r="FS591" s="2667"/>
      <c r="FT591" s="1973"/>
    </row>
    <row r="594" spans="179:202">
      <c r="FW594" s="2" t="s">
        <v>2998</v>
      </c>
    </row>
    <row r="595" spans="179:202">
      <c r="FW595" s="588" t="s">
        <v>1750</v>
      </c>
      <c r="GB595" s="1898"/>
    </row>
    <row r="596" spans="179:202">
      <c r="FW596" s="2162" t="s">
        <v>3003</v>
      </c>
      <c r="FX596" s="3569" t="s">
        <v>3002</v>
      </c>
      <c r="FY596" s="3569" t="s">
        <v>1652</v>
      </c>
      <c r="FZ596" s="3569" t="s">
        <v>1275</v>
      </c>
      <c r="GA596" s="3569" t="s">
        <v>1837</v>
      </c>
      <c r="GB596" s="2091"/>
      <c r="GC596" s="3569" t="s">
        <v>1228</v>
      </c>
    </row>
    <row r="597" spans="179:202">
      <c r="FW597" s="1976" t="s">
        <v>2999</v>
      </c>
      <c r="FX597" s="1734">
        <f>_xll.ThomsonONEAddinShim.SpreadsheetFormulas.TF($FW$595,"TF.RF.TotalEquity(period=#1)",,$FW597)/1000000</f>
        <v>0</v>
      </c>
      <c r="FY597" s="1734">
        <f>_xll.ThomsonONEAddinShim.SpreadsheetFormulas.TF($FW$595,"TF.RF.NetDebt(period=#1)",,$FW597)/1000000</f>
        <v>0</v>
      </c>
      <c r="FZ597" s="1734">
        <f>FX597+FY597</f>
        <v>0</v>
      </c>
      <c r="GA597" s="1782" t="e">
        <f>FZ597/$GC$597</f>
        <v>#DIV/0!</v>
      </c>
      <c r="GB597" s="3570">
        <v>2013</v>
      </c>
      <c r="GC597" s="1734">
        <f>_xll.ThomsonONEAddinShim.SpreadsheetFormulas.TF($FW$595,"TF.RFA.EarningsBeforeInterestTaxesDepreciationAndAmortization(period=#1)",,$GB$597)/1000000</f>
        <v>0</v>
      </c>
    </row>
    <row r="598" spans="179:202">
      <c r="FW598" s="1976" t="s">
        <v>3000</v>
      </c>
      <c r="FX598" s="1734">
        <f>_xll.ThomsonONEAddinShim.SpreadsheetFormulas.TF($FW$595,"TF.RF.TotalEquity(period=#1)",,$FW598)/1000000</f>
        <v>0</v>
      </c>
      <c r="FY598" s="1734">
        <f>_xll.ThomsonONEAddinShim.SpreadsheetFormulas.TF($FW$595,"TF.RF.NetDebt(period=#1)",,$FW598)/1000000</f>
        <v>0</v>
      </c>
      <c r="FZ598" s="1734">
        <f>FX598+FY598</f>
        <v>0</v>
      </c>
      <c r="GA598" s="1782" t="e">
        <f>FZ598/$GC$597</f>
        <v>#DIV/0!</v>
      </c>
      <c r="GB598" s="1898"/>
    </row>
    <row r="599" spans="179:202">
      <c r="FW599" s="1976" t="s">
        <v>3001</v>
      </c>
      <c r="FX599" s="1734">
        <f>_xll.ThomsonONEAddinShim.SpreadsheetFormulas.TF($FW$595,"TF.RF.TotalEquity(period=#1)",,$FW599)/1000000</f>
        <v>0</v>
      </c>
      <c r="FY599" s="1734">
        <f>_xll.ThomsonONEAddinShim.SpreadsheetFormulas.TF($FW$595,"TF.RF.NetDebt(period=#1)",,$FW599)/1000000</f>
        <v>0</v>
      </c>
      <c r="FZ599" s="1734">
        <f>FX599+FY599</f>
        <v>0</v>
      </c>
      <c r="GA599" s="1782" t="e">
        <f>FZ599/$GC$597</f>
        <v>#DIV/0!</v>
      </c>
      <c r="GB599" s="1898"/>
    </row>
    <row r="608" spans="179:202">
      <c r="GG608" s="3"/>
      <c r="GH608" s="3"/>
      <c r="GI608" s="3"/>
      <c r="GJ608" s="3"/>
      <c r="GK608" s="3"/>
      <c r="GL608" s="3"/>
      <c r="GM608" s="3"/>
      <c r="GN608" s="3"/>
      <c r="GO608" s="3"/>
      <c r="GP608" s="3"/>
      <c r="GQ608" s="3"/>
      <c r="GR608" s="3"/>
      <c r="GS608" s="3"/>
      <c r="GT608" s="3"/>
    </row>
    <row r="609" spans="189:202">
      <c r="GG609" s="3"/>
      <c r="GH609" s="3"/>
      <c r="GI609" s="3"/>
      <c r="GJ609" s="3"/>
      <c r="GK609" s="3"/>
      <c r="GL609" s="3"/>
      <c r="GM609" s="3"/>
      <c r="GN609" s="3"/>
      <c r="GO609" s="3"/>
      <c r="GP609" s="3"/>
      <c r="GQ609" s="3"/>
      <c r="GR609" s="3"/>
      <c r="GS609" s="3"/>
      <c r="GT609" s="3"/>
    </row>
    <row r="610" spans="189:202">
      <c r="GG610" s="3"/>
      <c r="GH610" s="2" t="s">
        <v>3027</v>
      </c>
      <c r="GI610" s="3"/>
      <c r="GJ610" s="3"/>
      <c r="GK610" s="3"/>
      <c r="GL610" s="3"/>
      <c r="GM610" s="3"/>
      <c r="GN610" s="3"/>
      <c r="GO610" s="3"/>
      <c r="GP610" s="3"/>
      <c r="GQ610" s="3"/>
      <c r="GR610" s="3"/>
      <c r="GS610" s="3"/>
      <c r="GT610" s="3"/>
    </row>
    <row r="611" spans="189:202">
      <c r="GG611" s="3"/>
      <c r="GH611" s="3"/>
      <c r="GI611" s="3"/>
      <c r="GJ611" s="1734" t="s">
        <v>979</v>
      </c>
      <c r="GK611" s="3"/>
      <c r="GL611" s="3"/>
      <c r="GM611" s="3"/>
      <c r="GN611" s="3"/>
      <c r="GO611" s="3"/>
      <c r="GP611" s="3"/>
      <c r="GQ611" s="3"/>
      <c r="GR611" s="3"/>
      <c r="GS611" s="3"/>
      <c r="GT611" s="3"/>
    </row>
    <row r="612" spans="189:202">
      <c r="GG612" s="3"/>
      <c r="GH612" s="1734" t="s">
        <v>2448</v>
      </c>
      <c r="GI612" s="256">
        <v>0</v>
      </c>
      <c r="GJ612" s="256">
        <f t="shared" ref="GJ612:GJ617" si="17">AVERAGE($GI$612:$GI$617)</f>
        <v>2.4000000000000004E-2</v>
      </c>
      <c r="GK612" s="3"/>
      <c r="GL612" s="3"/>
      <c r="GM612" s="3"/>
      <c r="GN612" s="3"/>
      <c r="GO612" s="3"/>
      <c r="GP612" s="3"/>
      <c r="GQ612" s="3"/>
      <c r="GR612" s="3"/>
      <c r="GS612" s="3"/>
      <c r="GT612" s="3"/>
    </row>
    <row r="613" spans="189:202">
      <c r="GG613" s="3"/>
      <c r="GH613" s="1734" t="s">
        <v>1750</v>
      </c>
      <c r="GI613" s="256">
        <f>RevPAR!$AB$15</f>
        <v>1.7999999999999999E-2</v>
      </c>
      <c r="GJ613" s="256">
        <f t="shared" si="17"/>
        <v>2.4000000000000004E-2</v>
      </c>
      <c r="GK613" s="3"/>
      <c r="GL613" s="3"/>
      <c r="GM613" s="3"/>
      <c r="GN613" s="3"/>
      <c r="GO613" s="3"/>
      <c r="GP613" s="3"/>
      <c r="GQ613" s="3"/>
      <c r="GR613" s="3"/>
      <c r="GS613" s="3"/>
      <c r="GT613" s="3"/>
    </row>
    <row r="614" spans="189:202">
      <c r="GG614" s="3"/>
      <c r="GH614" s="1734" t="s">
        <v>879</v>
      </c>
      <c r="GI614" s="256">
        <v>2.3E-2</v>
      </c>
      <c r="GJ614" s="256">
        <f t="shared" si="17"/>
        <v>2.4000000000000004E-2</v>
      </c>
      <c r="GK614" s="3"/>
      <c r="GL614" s="3"/>
      <c r="GM614" s="3"/>
      <c r="GN614" s="3"/>
      <c r="GO614" s="3"/>
      <c r="GP614" s="3"/>
      <c r="GQ614" s="3"/>
      <c r="GR614" s="3"/>
      <c r="GS614" s="3"/>
      <c r="GT614" s="3"/>
    </row>
    <row r="615" spans="189:202">
      <c r="GG615" s="3"/>
      <c r="GH615" s="1734" t="s">
        <v>1622</v>
      </c>
      <c r="GI615" s="256">
        <v>2.5000000000000001E-2</v>
      </c>
      <c r="GJ615" s="256">
        <f t="shared" si="17"/>
        <v>2.4000000000000004E-2</v>
      </c>
      <c r="GK615" s="3"/>
      <c r="GL615" s="3"/>
      <c r="GM615" s="3"/>
      <c r="GN615" s="3"/>
      <c r="GO615" s="3"/>
      <c r="GP615" s="3"/>
      <c r="GQ615" s="3"/>
      <c r="GR615" s="3"/>
      <c r="GS615" s="3"/>
      <c r="GT615" s="3"/>
    </row>
    <row r="616" spans="189:202">
      <c r="GG616" s="3"/>
      <c r="GH616" s="1734" t="s">
        <v>1569</v>
      </c>
      <c r="GI616" s="256">
        <v>3.9E-2</v>
      </c>
      <c r="GJ616" s="256">
        <f t="shared" si="17"/>
        <v>2.4000000000000004E-2</v>
      </c>
      <c r="GK616" s="3"/>
      <c r="GL616" s="3"/>
      <c r="GM616" s="3"/>
      <c r="GN616" s="3"/>
      <c r="GO616" s="3"/>
      <c r="GP616" s="3"/>
      <c r="GQ616" s="3"/>
      <c r="GR616" s="3"/>
      <c r="GS616" s="3"/>
      <c r="GT616" s="3"/>
    </row>
    <row r="617" spans="189:202">
      <c r="GG617" s="3"/>
      <c r="GH617" s="1734" t="s">
        <v>2449</v>
      </c>
      <c r="GI617" s="256">
        <v>3.9E-2</v>
      </c>
      <c r="GJ617" s="256">
        <f t="shared" si="17"/>
        <v>2.4000000000000004E-2</v>
      </c>
      <c r="GK617" s="3"/>
      <c r="GL617" s="3"/>
      <c r="GM617" s="3"/>
      <c r="GN617" s="3"/>
      <c r="GO617" s="3"/>
      <c r="GP617" s="3"/>
      <c r="GQ617" s="3"/>
      <c r="GR617" s="3"/>
      <c r="GS617" s="3"/>
      <c r="GT617" s="3"/>
    </row>
    <row r="618" spans="189:202">
      <c r="GG618" s="3"/>
      <c r="GH618" s="3"/>
      <c r="GI618" s="3"/>
      <c r="GJ618" s="3"/>
      <c r="GK618" s="3"/>
      <c r="GL618" s="3"/>
      <c r="GM618" s="3"/>
      <c r="GN618" s="3"/>
      <c r="GO618" s="3"/>
      <c r="GP618" s="3"/>
      <c r="GQ618" s="3"/>
      <c r="GR618" s="3"/>
      <c r="GS618" s="3"/>
      <c r="GT618" s="3"/>
    </row>
    <row r="619" spans="189:202">
      <c r="GG619" s="3"/>
      <c r="GH619" s="3"/>
      <c r="GI619" s="3"/>
      <c r="GJ619" s="3"/>
      <c r="GK619" s="3"/>
      <c r="GL619" s="3"/>
      <c r="GM619" s="3"/>
      <c r="GN619" s="3"/>
      <c r="GO619" s="3"/>
      <c r="GP619" s="3"/>
      <c r="GQ619" s="3"/>
      <c r="GR619" s="3"/>
      <c r="GS619" s="3"/>
      <c r="GT619" s="3"/>
    </row>
    <row r="620" spans="189:202">
      <c r="GG620" s="3"/>
      <c r="GH620" s="3"/>
      <c r="GI620" s="3"/>
      <c r="GJ620" s="3"/>
      <c r="GK620" s="3"/>
      <c r="GL620" s="3"/>
      <c r="GM620" s="3"/>
      <c r="GN620" s="3"/>
      <c r="GO620" s="3"/>
      <c r="GP620" s="3"/>
      <c r="GQ620" s="3"/>
      <c r="GR620" s="3"/>
      <c r="GS620" s="3"/>
      <c r="GT620" s="3"/>
    </row>
    <row r="621" spans="189:202">
      <c r="GG621" s="3"/>
      <c r="GH621" s="3"/>
      <c r="GI621" s="3"/>
      <c r="GJ621" s="3"/>
      <c r="GK621" s="3"/>
      <c r="GL621" s="3"/>
      <c r="GM621" s="3"/>
      <c r="GN621" s="3"/>
      <c r="GO621" s="3"/>
      <c r="GP621" s="3"/>
      <c r="GQ621" s="3"/>
      <c r="GR621" s="3"/>
      <c r="GS621" s="3"/>
      <c r="GT621" s="3"/>
    </row>
    <row r="622" spans="189:202">
      <c r="GG622" s="3"/>
      <c r="GH622" s="3"/>
      <c r="GI622" s="3"/>
      <c r="GJ622" s="3"/>
      <c r="GK622" s="3"/>
      <c r="GL622" s="3"/>
      <c r="GM622" s="3"/>
      <c r="GN622" s="3"/>
      <c r="GO622" s="3"/>
      <c r="GP622" s="3"/>
      <c r="GQ622" s="3"/>
      <c r="GR622" s="3"/>
      <c r="GS622" s="3"/>
      <c r="GT622" s="3"/>
    </row>
    <row r="623" spans="189:202">
      <c r="GG623" s="3"/>
      <c r="GH623" s="3"/>
      <c r="GI623" s="3"/>
      <c r="GJ623" s="3"/>
      <c r="GK623" s="3"/>
      <c r="GL623" s="3"/>
      <c r="GM623" s="3"/>
      <c r="GN623" s="3"/>
      <c r="GO623" s="3"/>
      <c r="GP623" s="3"/>
      <c r="GQ623" s="3"/>
      <c r="GR623" s="3"/>
      <c r="GS623" s="3"/>
      <c r="GT623" s="3"/>
    </row>
    <row r="624" spans="189:202">
      <c r="GG624" s="3"/>
      <c r="GH624" s="3"/>
      <c r="GI624" s="3"/>
      <c r="GJ624" s="3"/>
      <c r="GK624" s="3"/>
      <c r="GL624" s="3"/>
      <c r="GM624" s="3"/>
      <c r="GN624" s="3"/>
      <c r="GO624" s="3"/>
      <c r="GP624" s="3"/>
      <c r="GQ624" s="3"/>
      <c r="GR624" s="3"/>
      <c r="GS624" s="3"/>
      <c r="GT624" s="3"/>
    </row>
    <row r="625" spans="189:206">
      <c r="GG625" s="3"/>
      <c r="GH625" s="3"/>
      <c r="GI625" s="3"/>
      <c r="GJ625" s="3"/>
      <c r="GK625" s="3"/>
      <c r="GL625" s="3"/>
      <c r="GM625" s="3"/>
      <c r="GN625" s="3"/>
      <c r="GO625" s="3"/>
      <c r="GP625" s="3"/>
      <c r="GQ625" s="3"/>
      <c r="GR625" s="3"/>
      <c r="GS625" s="3"/>
      <c r="GT625" s="3"/>
    </row>
    <row r="626" spans="189:206">
      <c r="GG626" s="3"/>
      <c r="GH626" s="3"/>
      <c r="GI626" s="3"/>
      <c r="GJ626" s="3"/>
      <c r="GK626" s="3"/>
      <c r="GL626" s="3"/>
      <c r="GM626" s="3"/>
      <c r="GN626" s="3"/>
      <c r="GO626" s="3"/>
      <c r="GP626" s="3"/>
      <c r="GQ626" s="3"/>
      <c r="GR626" s="3"/>
      <c r="GS626" s="3"/>
      <c r="GT626" s="3"/>
    </row>
    <row r="627" spans="189:206">
      <c r="GG627" s="3"/>
      <c r="GH627" s="3"/>
      <c r="GI627" s="3"/>
      <c r="GJ627" s="3"/>
      <c r="GK627" s="3"/>
      <c r="GL627" s="3"/>
      <c r="GM627" s="3"/>
      <c r="GN627" s="3"/>
      <c r="GO627" s="3"/>
      <c r="GP627" s="3"/>
      <c r="GQ627" s="3"/>
      <c r="GR627" s="3"/>
      <c r="GS627" s="3"/>
      <c r="GT627" s="3"/>
    </row>
    <row r="628" spans="189:206">
      <c r="GG628" s="3"/>
      <c r="GH628" s="3"/>
      <c r="GI628" s="3"/>
      <c r="GJ628" s="3"/>
      <c r="GK628" s="3"/>
      <c r="GL628" s="3"/>
      <c r="GM628" s="3"/>
      <c r="GN628" s="3"/>
      <c r="GO628" s="3"/>
      <c r="GP628" s="3"/>
      <c r="GQ628" s="3"/>
      <c r="GR628" s="3"/>
      <c r="GS628" s="3"/>
      <c r="GT628" s="3"/>
    </row>
    <row r="629" spans="189:206">
      <c r="GG629" s="3"/>
      <c r="GH629" s="3"/>
      <c r="GI629" s="3"/>
      <c r="GJ629" s="3"/>
      <c r="GK629" s="3"/>
      <c r="GL629" s="3"/>
      <c r="GM629" s="3"/>
      <c r="GN629" s="3"/>
      <c r="GO629" s="3"/>
      <c r="GP629" s="3"/>
      <c r="GQ629" s="3"/>
      <c r="GR629" s="3"/>
      <c r="GS629" s="3"/>
      <c r="GT629" s="3"/>
    </row>
    <row r="630" spans="189:206">
      <c r="GG630" s="3"/>
      <c r="GH630" s="3"/>
      <c r="GI630" s="3"/>
      <c r="GJ630" s="3"/>
      <c r="GK630" s="3"/>
      <c r="GL630" s="3"/>
      <c r="GM630" s="3"/>
      <c r="GN630" s="3"/>
      <c r="GO630" s="3"/>
      <c r="GP630" s="3"/>
      <c r="GQ630" s="3"/>
      <c r="GR630" s="3"/>
      <c r="GS630" s="3"/>
      <c r="GT630" s="3"/>
    </row>
    <row r="631" spans="189:206">
      <c r="GG631" s="3"/>
      <c r="GH631" s="3"/>
      <c r="GI631" s="3"/>
      <c r="GJ631" s="3"/>
      <c r="GK631" s="3"/>
      <c r="GL631" s="3"/>
      <c r="GM631" s="3"/>
      <c r="GN631" s="3"/>
      <c r="GO631" s="3"/>
      <c r="GP631" s="3"/>
      <c r="GQ631" s="3"/>
      <c r="GR631" s="3"/>
      <c r="GS631" s="3"/>
      <c r="GT631" s="3"/>
      <c r="GW631" s="3785" t="s">
        <v>3061</v>
      </c>
      <c r="GX631" s="3786"/>
    </row>
    <row r="632" spans="189:206" ht="2.1" customHeight="1">
      <c r="GG632" s="3"/>
      <c r="GH632" s="3"/>
      <c r="GI632" s="3"/>
      <c r="GJ632" s="3"/>
      <c r="GK632" s="3"/>
      <c r="GL632" s="3"/>
      <c r="GM632" s="3"/>
      <c r="GN632" s="3"/>
      <c r="GO632" s="3"/>
      <c r="GP632" s="3"/>
      <c r="GQ632" s="3"/>
      <c r="GR632" s="3"/>
      <c r="GS632" s="3"/>
      <c r="GT632" s="3"/>
      <c r="GW632" s="1898"/>
      <c r="GX632" s="3552"/>
    </row>
    <row r="633" spans="189:206">
      <c r="GW633" s="1898" t="s">
        <v>3040</v>
      </c>
      <c r="GX633" s="3788">
        <v>650</v>
      </c>
    </row>
    <row r="634" spans="189:206">
      <c r="GW634" s="1979" t="s">
        <v>3060</v>
      </c>
      <c r="GX634" s="3788">
        <v>400</v>
      </c>
    </row>
    <row r="635" spans="189:206">
      <c r="GW635" s="1979" t="s">
        <v>3059</v>
      </c>
      <c r="GX635" s="3788">
        <v>250</v>
      </c>
    </row>
    <row r="636" spans="189:206">
      <c r="GW636" s="1898" t="s">
        <v>3041</v>
      </c>
      <c r="GX636" s="1969">
        <f>GX633/3</f>
        <v>216.66666666666666</v>
      </c>
    </row>
    <row r="637" spans="189:206">
      <c r="GW637" s="1979" t="s">
        <v>3060</v>
      </c>
      <c r="GX637" s="1969">
        <f>GX634/3</f>
        <v>133.33333333333334</v>
      </c>
    </row>
    <row r="638" spans="189:206">
      <c r="GW638" s="1979" t="s">
        <v>3059</v>
      </c>
      <c r="GX638" s="1969">
        <f>GX635/3</f>
        <v>83.333333333333329</v>
      </c>
    </row>
    <row r="639" spans="189:206">
      <c r="GW639" s="1898" t="s">
        <v>3044</v>
      </c>
      <c r="GX639" s="1969">
        <f>GX640-GX636</f>
        <v>33.259390712806862</v>
      </c>
    </row>
    <row r="640" spans="189:206">
      <c r="GW640" s="1898" t="s">
        <v>3039</v>
      </c>
      <c r="GX640" s="1969">
        <f>$GX$636/(1-$HB$656)</f>
        <v>249.92605737947352</v>
      </c>
    </row>
    <row r="641" spans="205:210">
      <c r="GW641" s="1898" t="s">
        <v>3042</v>
      </c>
      <c r="GX641" s="3787">
        <v>39</v>
      </c>
    </row>
    <row r="642" spans="205:210">
      <c r="GW642" s="1898" t="s">
        <v>3043</v>
      </c>
      <c r="GX642" s="3787">
        <v>63</v>
      </c>
    </row>
    <row r="643" spans="205:210" ht="3.95" customHeight="1">
      <c r="GW643" s="3795"/>
      <c r="GX643" s="3796"/>
    </row>
    <row r="644" spans="205:210">
      <c r="GW644" s="1898" t="s">
        <v>3045</v>
      </c>
      <c r="GX644" s="2155">
        <f>(GX640/HB654)/1000</f>
        <v>13.03962038501601</v>
      </c>
    </row>
    <row r="645" spans="205:210">
      <c r="GW645" s="1979" t="s">
        <v>3060</v>
      </c>
      <c r="GX645" s="2155">
        <f>GX637/(1-$HB$656)/$HB$654/1000</f>
        <v>8.0243817753944668</v>
      </c>
    </row>
    <row r="646" spans="205:210">
      <c r="GW646" s="1979" t="s">
        <v>3059</v>
      </c>
      <c r="GX646" s="2155">
        <f>GX638/(1-$HB$656)/$HB$654/1000</f>
        <v>5.0152386096215418</v>
      </c>
    </row>
    <row r="647" spans="205:210">
      <c r="GW647" s="1898" t="s">
        <v>3047</v>
      </c>
      <c r="GX647" s="2199">
        <f>$GX641*0.024</f>
        <v>0.93600000000000005</v>
      </c>
    </row>
    <row r="648" spans="205:210">
      <c r="GW648" s="1898" t="s">
        <v>3046</v>
      </c>
      <c r="GX648" s="2199">
        <f>$GX642*0.024</f>
        <v>1.512</v>
      </c>
    </row>
    <row r="649" spans="205:210">
      <c r="GW649" s="1898" t="s">
        <v>3048</v>
      </c>
      <c r="GX649" s="1976">
        <f>GX$644*1000/GX647</f>
        <v>13931.218360059838</v>
      </c>
    </row>
    <row r="650" spans="205:210">
      <c r="GW650" s="1972" t="s">
        <v>3049</v>
      </c>
      <c r="GX650" s="1973">
        <f>GX$644*1000/GX648</f>
        <v>8624.0875562275196</v>
      </c>
    </row>
    <row r="653" spans="205:210">
      <c r="HA653" s="1734" t="s">
        <v>3051</v>
      </c>
      <c r="HB653" s="3789">
        <f>$GX$644</f>
        <v>13.03962038501601</v>
      </c>
    </row>
    <row r="654" spans="205:210">
      <c r="HA654" s="1734" t="s">
        <v>3052</v>
      </c>
      <c r="HB654" s="3794">
        <v>1.9166666666666669E-2</v>
      </c>
    </row>
    <row r="655" spans="205:210">
      <c r="HA655" s="1734" t="s">
        <v>3054</v>
      </c>
      <c r="HB655" s="3790">
        <f>HB653*HB654*1000</f>
        <v>249.92605737947355</v>
      </c>
    </row>
    <row r="656" spans="205:210">
      <c r="HA656" s="1734" t="s">
        <v>3053</v>
      </c>
      <c r="HB656" s="3794">
        <v>0.13307692307692306</v>
      </c>
    </row>
    <row r="657" spans="209:219">
      <c r="HA657" s="1734" t="s">
        <v>3050</v>
      </c>
      <c r="HB657" s="1776">
        <f>HB655*HB656</f>
        <v>33.259390712806862</v>
      </c>
    </row>
    <row r="659" spans="209:219">
      <c r="HD659" s="3785" t="s">
        <v>3055</v>
      </c>
      <c r="HE659" s="3793"/>
      <c r="HF659" s="3793"/>
      <c r="HG659" s="3793"/>
      <c r="HH659" s="3793"/>
      <c r="HI659" s="3793"/>
      <c r="HJ659" s="3786"/>
    </row>
    <row r="660" spans="209:219" ht="3.95" customHeight="1"/>
    <row r="661" spans="209:219">
      <c r="HF661" s="2" t="s">
        <v>3057</v>
      </c>
      <c r="HG661" s="2" t="s">
        <v>3056</v>
      </c>
      <c r="HI661" s="2" t="s">
        <v>3058</v>
      </c>
      <c r="HJ661" s="2" t="s">
        <v>3056</v>
      </c>
    </row>
    <row r="662" spans="209:219">
      <c r="HD662" s="2" t="s">
        <v>872</v>
      </c>
      <c r="HE662" s="3791">
        <v>0.02</v>
      </c>
      <c r="HF662" s="1734">
        <f>HE662*$HV$701*1000</f>
        <v>756</v>
      </c>
      <c r="HI662" s="1734">
        <f>HF662*$HV$698</f>
        <v>100.60615384615383</v>
      </c>
    </row>
    <row r="663" spans="209:219">
      <c r="HD663" s="2" t="s">
        <v>592</v>
      </c>
      <c r="HE663" s="3792">
        <v>2.75E-2</v>
      </c>
      <c r="HF663" s="1734">
        <f>HE663*$HV$701*1000</f>
        <v>1039.4999999999998</v>
      </c>
      <c r="HG663" s="1734">
        <f>HF663-HF662</f>
        <v>283.49999999999977</v>
      </c>
      <c r="HI663" s="1734">
        <f>HF663*$HV$698</f>
        <v>138.33346153846151</v>
      </c>
      <c r="HJ663" s="1734">
        <f>HI663-HI662</f>
        <v>37.727307692307676</v>
      </c>
      <c r="HK663" s="1734">
        <f>+II748</f>
        <v>54.687499999999986</v>
      </c>
    </row>
    <row r="664" spans="209:219">
      <c r="HD664" s="2" t="s">
        <v>748</v>
      </c>
      <c r="HE664" s="3792">
        <v>3.5000000000000003E-2</v>
      </c>
      <c r="HF664" s="1734">
        <f>HE664*$HV$701*1000</f>
        <v>1323</v>
      </c>
      <c r="HG664" s="1734">
        <f>HF664-HF662</f>
        <v>567</v>
      </c>
      <c r="HI664" s="1734">
        <f>HF664*$HV$698</f>
        <v>176.06076923076921</v>
      </c>
      <c r="HJ664" s="1734">
        <f>HI664-HI662</f>
        <v>75.45461538461538</v>
      </c>
      <c r="HK664" s="1734">
        <f>+IK748</f>
        <v>76.562500000000014</v>
      </c>
    </row>
    <row r="665" spans="209:219">
      <c r="HE665" s="3791"/>
    </row>
    <row r="666" spans="209:219">
      <c r="HE666" s="3791"/>
    </row>
    <row r="667" spans="209:219">
      <c r="HE667" s="3791"/>
    </row>
    <row r="668" spans="209:219">
      <c r="HE668" s="3791"/>
    </row>
    <row r="669" spans="209:219">
      <c r="HE669" s="3791"/>
    </row>
    <row r="670" spans="209:219">
      <c r="HE670" s="3791"/>
    </row>
    <row r="671" spans="209:219">
      <c r="HE671" s="1862"/>
    </row>
    <row r="691" spans="229:240">
      <c r="HU691" s="1734" t="s">
        <v>3066</v>
      </c>
    </row>
    <row r="692" spans="229:240">
      <c r="HU692" s="3785" t="s">
        <v>3061</v>
      </c>
      <c r="HV692" s="3786"/>
      <c r="HW692" s="1752"/>
      <c r="HX692" s="1752"/>
      <c r="HY692" s="1752"/>
      <c r="HZ692" s="1752"/>
      <c r="IA692" s="1752"/>
      <c r="IB692" s="1752"/>
      <c r="IC692" s="1752"/>
      <c r="ID692" s="1752"/>
      <c r="IE692" s="1752"/>
      <c r="IF692" s="1752"/>
    </row>
    <row r="693" spans="229:240">
      <c r="HU693" s="1898" t="s">
        <v>3083</v>
      </c>
      <c r="HV693" s="3788">
        <v>25000</v>
      </c>
      <c r="HW693" s="3804"/>
      <c r="HX693" s="3804"/>
      <c r="HY693" s="3804"/>
      <c r="HZ693" s="3804"/>
      <c r="IA693" s="3804"/>
      <c r="IB693" s="3804"/>
      <c r="IC693" s="3804"/>
      <c r="ID693" s="3804"/>
      <c r="IE693" s="3804"/>
      <c r="IF693" s="3804"/>
    </row>
    <row r="694" spans="229:240">
      <c r="HU694" s="1898" t="s">
        <v>3069</v>
      </c>
      <c r="HV694" s="3787">
        <v>63</v>
      </c>
      <c r="HW694" s="3804"/>
      <c r="HX694" s="3804"/>
      <c r="HY694" s="3804"/>
      <c r="HZ694" s="3804"/>
      <c r="IA694" s="3804"/>
      <c r="IB694" s="3804"/>
      <c r="IC694" s="3804"/>
      <c r="ID694" s="3804"/>
      <c r="IE694" s="3804"/>
      <c r="IF694" s="3804"/>
    </row>
    <row r="695" spans="229:240">
      <c r="HU695" s="1898" t="s">
        <v>3062</v>
      </c>
      <c r="HV695" s="3799">
        <f>2.4/100</f>
        <v>2.4E-2</v>
      </c>
      <c r="HW695" s="3805"/>
      <c r="HX695" s="3805"/>
      <c r="HY695" s="3805"/>
      <c r="HZ695" s="3805"/>
      <c r="IA695" s="3805"/>
      <c r="IB695" s="3805"/>
      <c r="IC695" s="3805"/>
      <c r="ID695" s="3805"/>
      <c r="IE695" s="3805"/>
      <c r="IF695" s="3805"/>
    </row>
    <row r="696" spans="229:240">
      <c r="HU696" s="1898" t="s">
        <v>3067</v>
      </c>
      <c r="HV696" s="3799">
        <f>1.3/60</f>
        <v>2.1666666666666667E-2</v>
      </c>
      <c r="HW696" s="3805"/>
      <c r="HX696" s="3805"/>
      <c r="HY696" s="3805"/>
      <c r="HZ696" s="3805"/>
      <c r="IA696" s="3805"/>
      <c r="IB696" s="3805"/>
      <c r="IC696" s="3805"/>
      <c r="ID696" s="3805"/>
      <c r="IE696" s="3805"/>
      <c r="IF696" s="3805"/>
    </row>
    <row r="697" spans="229:240">
      <c r="HU697" s="1898" t="s">
        <v>3071</v>
      </c>
      <c r="HV697" s="2679">
        <f>HV696-0.25%</f>
        <v>1.9166666666666669E-2</v>
      </c>
      <c r="HW697" s="3806"/>
      <c r="HX697" s="3806"/>
      <c r="HY697" s="3806"/>
      <c r="HZ697" s="3806"/>
      <c r="IA697" s="3806"/>
      <c r="IB697" s="3806"/>
      <c r="IC697" s="3806"/>
      <c r="ID697" s="3806"/>
      <c r="IE697" s="3806"/>
      <c r="IF697" s="3806"/>
    </row>
    <row r="698" spans="229:240">
      <c r="HU698" s="1898" t="s">
        <v>3068</v>
      </c>
      <c r="HV698" s="3799">
        <f>173/1300</f>
        <v>0.13307692307692306</v>
      </c>
      <c r="HW698" s="3805"/>
      <c r="HX698" s="3805"/>
      <c r="HY698" s="3805"/>
      <c r="HZ698" s="3805"/>
      <c r="IA698" s="3805"/>
      <c r="IB698" s="3805"/>
      <c r="IC698" s="3805"/>
      <c r="ID698" s="3805"/>
      <c r="IE698" s="3805"/>
      <c r="IF698" s="3805"/>
    </row>
    <row r="699" spans="229:240" ht="3.95" customHeight="1">
      <c r="HU699" s="3795"/>
      <c r="HV699" s="3800"/>
      <c r="HW699" s="3805"/>
      <c r="HX699" s="3805"/>
      <c r="HY699" s="3805"/>
      <c r="HZ699" s="3805"/>
      <c r="IA699" s="3805"/>
      <c r="IB699" s="3805"/>
      <c r="IC699" s="3805"/>
      <c r="ID699" s="3805"/>
      <c r="IE699" s="3805"/>
      <c r="IF699" s="3805"/>
    </row>
    <row r="700" spans="229:240">
      <c r="HU700" s="1898" t="s">
        <v>3063</v>
      </c>
      <c r="HV700" s="2199">
        <f>HV694*HV695</f>
        <v>1.512</v>
      </c>
      <c r="HW700" s="3807"/>
      <c r="HX700" s="3807"/>
      <c r="HY700" s="3807"/>
      <c r="HZ700" s="3807"/>
      <c r="IA700" s="3807"/>
      <c r="IB700" s="3807"/>
      <c r="IC700" s="3807"/>
      <c r="ID700" s="3807"/>
      <c r="IE700" s="3807"/>
      <c r="IF700" s="3807"/>
    </row>
    <row r="701" spans="229:240">
      <c r="HU701" s="1898" t="s">
        <v>3070</v>
      </c>
      <c r="HV701" s="2204">
        <f>HV700*HV693/1000</f>
        <v>37.799999999999997</v>
      </c>
      <c r="HW701" s="3808"/>
      <c r="HX701" s="3808"/>
      <c r="HY701" s="3808"/>
      <c r="HZ701" s="3808"/>
      <c r="IA701" s="3808"/>
      <c r="IB701" s="3808"/>
      <c r="IC701" s="3808"/>
      <c r="ID701" s="3808"/>
      <c r="IE701" s="3808"/>
      <c r="IF701" s="3808"/>
    </row>
    <row r="702" spans="229:240">
      <c r="HU702" s="1898" t="s">
        <v>3064</v>
      </c>
      <c r="HV702" s="1976">
        <f>HV697*HV701*1000</f>
        <v>724.5</v>
      </c>
      <c r="HW702" s="1752"/>
      <c r="HX702" s="1752"/>
      <c r="HY702" s="1752"/>
      <c r="HZ702" s="1752"/>
      <c r="IA702" s="1752"/>
      <c r="IB702" s="1752"/>
      <c r="IC702" s="1752"/>
      <c r="ID702" s="1752"/>
      <c r="IE702" s="1752"/>
      <c r="IF702" s="1752"/>
    </row>
    <row r="703" spans="229:240">
      <c r="HU703" s="1972" t="s">
        <v>3065</v>
      </c>
      <c r="HV703" s="1973">
        <f>HV702*HV698</f>
        <v>96.414230769230755</v>
      </c>
      <c r="HW703" s="1752"/>
      <c r="HX703" s="1752"/>
      <c r="HY703" s="1752"/>
      <c r="HZ703" s="1752"/>
      <c r="IA703" s="1752"/>
      <c r="IB703" s="1752"/>
      <c r="IC703" s="1752"/>
      <c r="ID703" s="1752"/>
      <c r="IE703" s="1752"/>
      <c r="IF703" s="1752"/>
    </row>
    <row r="706" spans="232:240">
      <c r="HX706" s="1828" t="s">
        <v>3078</v>
      </c>
      <c r="HY706" s="3810">
        <f>4/60</f>
        <v>6.6666666666666666E-2</v>
      </c>
    </row>
    <row r="707" spans="232:240">
      <c r="HX707" s="1828" t="s">
        <v>3079</v>
      </c>
      <c r="HY707" s="3809">
        <f>HY706*$HV$701</f>
        <v>2.5199999999999996</v>
      </c>
    </row>
    <row r="708" spans="232:240">
      <c r="HX708" s="1828" t="s">
        <v>3080</v>
      </c>
      <c r="HY708" s="3810">
        <v>0.02</v>
      </c>
    </row>
    <row r="709" spans="232:240">
      <c r="HX709" s="1828" t="s">
        <v>3081</v>
      </c>
      <c r="HY709" s="1828">
        <f>HY707*HY708*1000</f>
        <v>50.399999999999991</v>
      </c>
    </row>
    <row r="711" spans="232:240" ht="38.25">
      <c r="HX711" s="1734"/>
      <c r="HY711" s="1734"/>
      <c r="IB711" s="3811" t="s">
        <v>3082</v>
      </c>
      <c r="IC711" s="2943" t="s">
        <v>167</v>
      </c>
      <c r="ID711" s="3811" t="s">
        <v>3087</v>
      </c>
      <c r="IE711" s="3414" t="s">
        <v>3086</v>
      </c>
    </row>
    <row r="712" spans="232:240">
      <c r="HX712" s="1734"/>
      <c r="HY712" s="1734"/>
      <c r="IA712" s="1828" t="s">
        <v>872</v>
      </c>
      <c r="IB712" s="3812">
        <v>0.02</v>
      </c>
      <c r="IC712" s="2943">
        <f>IB712*$IK$743</f>
        <v>216</v>
      </c>
      <c r="ID712" s="2943"/>
    </row>
    <row r="713" spans="232:240">
      <c r="HX713" s="1734"/>
      <c r="HY713" s="1734"/>
      <c r="IA713" s="1828" t="s">
        <v>592</v>
      </c>
      <c r="IB713" s="3812">
        <v>1.4999999999999999E-2</v>
      </c>
      <c r="IC713" s="2943">
        <f>IB713*$IK$743</f>
        <v>162</v>
      </c>
      <c r="ID713" s="2943">
        <f>$IC$712-IC713-IE713</f>
        <v>53.201031039537959</v>
      </c>
      <c r="IE713" s="1828">
        <f>+II749</f>
        <v>0.79896896046203869</v>
      </c>
      <c r="IF713" s="1828">
        <f>IE713+ID713</f>
        <v>54</v>
      </c>
    </row>
    <row r="714" spans="232:240">
      <c r="HX714" s="1734"/>
      <c r="HY714" s="1734"/>
      <c r="IA714" s="1828" t="s">
        <v>748</v>
      </c>
      <c r="IB714" s="3812">
        <v>0.01</v>
      </c>
      <c r="IC714" s="2943">
        <f>IB714*$IK$743</f>
        <v>108</v>
      </c>
      <c r="ID714" s="2943">
        <f>$IC$712-IC714-IE714</f>
        <v>106.40206207907592</v>
      </c>
      <c r="IE714" s="1828">
        <f>+IK749</f>
        <v>1.5979379209240774</v>
      </c>
      <c r="IF714" s="1828">
        <f>IE714+ID714</f>
        <v>108</v>
      </c>
    </row>
    <row r="715" spans="232:240">
      <c r="HX715" s="3810"/>
      <c r="IB715" s="3812">
        <f>IB714-0.25%</f>
        <v>7.4999999999999997E-3</v>
      </c>
      <c r="IC715" s="2943">
        <f>IB715*$IK$743</f>
        <v>81</v>
      </c>
      <c r="ID715" s="2943">
        <f>$IC$714-IC715</f>
        <v>27</v>
      </c>
    </row>
    <row r="726" ht="3.95" customHeight="1"/>
    <row r="729" ht="3.95" customHeight="1"/>
    <row r="737" spans="240:247">
      <c r="II737" s="1734">
        <f>+II741*0.0275</f>
        <v>481.25</v>
      </c>
    </row>
    <row r="738" spans="240:247">
      <c r="II738" s="1734">
        <f>+II741*0.0125</f>
        <v>218.75</v>
      </c>
    </row>
    <row r="739" spans="240:247">
      <c r="IH739" s="2" t="s">
        <v>3077</v>
      </c>
    </row>
    <row r="740" spans="240:247">
      <c r="IH740" s="3813" t="s">
        <v>3088</v>
      </c>
      <c r="II740" s="3814"/>
      <c r="IJ740" s="3815" t="s">
        <v>3089</v>
      </c>
      <c r="IK740" s="3816"/>
    </row>
    <row r="741" spans="240:247">
      <c r="IH741" s="1898" t="s">
        <v>3090</v>
      </c>
      <c r="II741" s="3817">
        <v>17500</v>
      </c>
      <c r="IJ741" s="1777" t="s">
        <v>3091</v>
      </c>
      <c r="IK741" s="3788">
        <v>36000</v>
      </c>
      <c r="IL741" s="1734" t="s">
        <v>1589</v>
      </c>
      <c r="IM741" s="1734">
        <f>+Hilton!AJ249</f>
        <v>1450</v>
      </c>
    </row>
    <row r="742" spans="240:247">
      <c r="IH742" s="1898" t="s">
        <v>3092</v>
      </c>
      <c r="II742" s="1968">
        <f>+II741*II743</f>
        <v>306.25000000000006</v>
      </c>
      <c r="IJ742" s="1777" t="s">
        <v>3093</v>
      </c>
      <c r="IK742" s="3818">
        <v>0.3</v>
      </c>
      <c r="IL742" s="3821" t="s">
        <v>3103</v>
      </c>
      <c r="IM742" s="3822">
        <f>+IM741/IK741</f>
        <v>4.027777777777778E-2</v>
      </c>
    </row>
    <row r="743" spans="240:247">
      <c r="IH743" s="1979" t="s">
        <v>3094</v>
      </c>
      <c r="II743" s="3849">
        <v>1.7500000000000002E-2</v>
      </c>
      <c r="IJ743" s="1777" t="s">
        <v>3095</v>
      </c>
      <c r="IK743" s="1969">
        <f>+IK741*IK742</f>
        <v>10800</v>
      </c>
      <c r="IL743" s="1734" t="s">
        <v>3104</v>
      </c>
      <c r="IM743" s="1773">
        <f>+'QTR Rooms'!AC814</f>
        <v>200727.33300000001</v>
      </c>
    </row>
    <row r="744" spans="240:247">
      <c r="IH744" s="1898" t="s">
        <v>3100</v>
      </c>
      <c r="II744" s="1968">
        <f>+II742*II745</f>
        <v>76.562500000000014</v>
      </c>
      <c r="IJ744" s="1777" t="s">
        <v>3096</v>
      </c>
      <c r="IK744" s="3819">
        <v>0.02</v>
      </c>
      <c r="IL744" s="1734" t="s">
        <v>3105</v>
      </c>
      <c r="IM744" s="1773">
        <f>+'QTR Rooms'!AC834</f>
        <v>580481.54100000032</v>
      </c>
    </row>
    <row r="745" spans="240:247">
      <c r="IH745" s="1979" t="s">
        <v>3097</v>
      </c>
      <c r="II745" s="3820">
        <v>0.25</v>
      </c>
      <c r="IJ745" s="1777" t="s">
        <v>3098</v>
      </c>
      <c r="IK745" s="1969">
        <f>+IK744*IK743</f>
        <v>216</v>
      </c>
      <c r="IL745" s="3821" t="s">
        <v>3106</v>
      </c>
      <c r="IM745" s="3822">
        <f>+IM743/SUM(IM743:IM744)</f>
        <v>0.25694451212800729</v>
      </c>
    </row>
    <row r="746" spans="240:247">
      <c r="IF746" s="3785" t="s">
        <v>3127</v>
      </c>
      <c r="IG746" s="3786"/>
      <c r="IH746" s="1898"/>
      <c r="II746" s="3817"/>
      <c r="IJ746" s="1735" t="s">
        <v>3099</v>
      </c>
      <c r="IK746" s="3819">
        <v>0.06</v>
      </c>
      <c r="IL746" s="3785" t="s">
        <v>3128</v>
      </c>
      <c r="IM746" s="3786"/>
    </row>
    <row r="747" spans="240:247">
      <c r="IF747" s="3843"/>
      <c r="IG747" s="3838" t="s">
        <v>3125</v>
      </c>
      <c r="IH747" s="3785" t="s">
        <v>3102</v>
      </c>
      <c r="II747" s="3786"/>
      <c r="IJ747" s="3785" t="s">
        <v>3101</v>
      </c>
      <c r="IK747" s="3786"/>
      <c r="IL747" s="3846" t="s">
        <v>3125</v>
      </c>
      <c r="IM747" s="1976"/>
    </row>
    <row r="748" spans="240:247">
      <c r="IF748" s="3841" t="s">
        <v>3129</v>
      </c>
      <c r="IG748" s="3839">
        <v>0.03</v>
      </c>
      <c r="IH748" s="1898" t="s">
        <v>3072</v>
      </c>
      <c r="II748" s="1969">
        <f>II741*IG748*II745-II744</f>
        <v>54.687499999999986</v>
      </c>
      <c r="IJ748" s="1898" t="s">
        <v>3072</v>
      </c>
      <c r="IK748" s="1969">
        <f>II741*IL748*II745-II744</f>
        <v>76.562500000000014</v>
      </c>
      <c r="IL748" s="3847">
        <v>3.5000000000000003E-2</v>
      </c>
      <c r="IM748" s="3844" t="s">
        <v>3129</v>
      </c>
    </row>
    <row r="749" spans="240:247">
      <c r="IF749" s="3842" t="s">
        <v>3126</v>
      </c>
      <c r="IG749" s="3840">
        <v>1.4999999999999999E-2</v>
      </c>
      <c r="IH749" s="1898" t="s">
        <v>3073</v>
      </c>
      <c r="II749" s="1969">
        <f>(-(IK743*IG749-IK745)-II756)*IM745*IK746</f>
        <v>0.79896896046203869</v>
      </c>
      <c r="IJ749" s="1898" t="s">
        <v>3073</v>
      </c>
      <c r="IK749" s="1969">
        <f>(-(IK743*IL749-IK745)-IK756)*IM745*IK746</f>
        <v>1.5979379209240774</v>
      </c>
      <c r="IL749" s="3848">
        <v>0.01</v>
      </c>
      <c r="IM749" s="3845" t="s">
        <v>3126</v>
      </c>
    </row>
    <row r="750" spans="240:247" ht="3.95" customHeight="1">
      <c r="IH750" s="1898"/>
      <c r="II750" s="3802" t="s">
        <v>587</v>
      </c>
      <c r="IJ750" s="1898"/>
      <c r="IK750" s="3802" t="s">
        <v>587</v>
      </c>
    </row>
    <row r="751" spans="240:247">
      <c r="IH751" s="505" t="s">
        <v>3084</v>
      </c>
      <c r="II751" s="581">
        <f>SUM(II748:II750)</f>
        <v>55.486468960462027</v>
      </c>
      <c r="IJ751" s="505" t="s">
        <v>3084</v>
      </c>
      <c r="IK751" s="581">
        <f>SUM(IK748:IK750)</f>
        <v>78.160437920924096</v>
      </c>
    </row>
    <row r="752" spans="240:247">
      <c r="IH752" s="1898" t="s">
        <v>3085</v>
      </c>
      <c r="II752" s="3801">
        <f>'EBITDA Val'!$F$7</f>
        <v>15.75</v>
      </c>
      <c r="IJ752" s="1898" t="s">
        <v>3085</v>
      </c>
      <c r="IK752" s="3801">
        <f>II752</f>
        <v>15.75</v>
      </c>
    </row>
    <row r="753" spans="242:255" ht="3.95" customHeight="1">
      <c r="IH753" s="1898"/>
      <c r="II753" s="3802" t="s">
        <v>587</v>
      </c>
      <c r="IJ753" s="1898"/>
      <c r="IK753" s="3802" t="s">
        <v>587</v>
      </c>
    </row>
    <row r="754" spans="242:255">
      <c r="IH754" s="505" t="s">
        <v>3107</v>
      </c>
      <c r="II754" s="581">
        <f>II751*II752</f>
        <v>873.91188612727694</v>
      </c>
      <c r="IJ754" s="505" t="s">
        <v>3108</v>
      </c>
      <c r="IK754" s="581">
        <f>IK751*IK752</f>
        <v>1231.0268972545546</v>
      </c>
    </row>
    <row r="755" spans="242:255">
      <c r="IH755" s="505"/>
      <c r="II755" s="581"/>
      <c r="IJ755" s="505"/>
      <c r="IK755" s="581"/>
    </row>
    <row r="756" spans="242:255">
      <c r="IH756" s="1898" t="s">
        <v>3109</v>
      </c>
      <c r="II756" s="1969">
        <f>-(IK743*IG749-IK745)*IM742</f>
        <v>2.1750000000000003</v>
      </c>
      <c r="IJ756" s="1898" t="s">
        <v>3109</v>
      </c>
      <c r="IK756" s="1969">
        <f>-(IK743*IL749-IK745)*IM742</f>
        <v>4.3500000000000005</v>
      </c>
    </row>
    <row r="757" spans="242:255">
      <c r="IH757" s="1898" t="s">
        <v>3110</v>
      </c>
      <c r="II757" s="3801">
        <f>+'EBITDA Val'!F6</f>
        <v>11.2</v>
      </c>
      <c r="IJ757" s="1898" t="s">
        <v>3110</v>
      </c>
      <c r="IK757" s="3801">
        <f>II757</f>
        <v>11.2</v>
      </c>
    </row>
    <row r="758" spans="242:255" ht="3.95" customHeight="1">
      <c r="IH758" s="1898"/>
      <c r="II758" s="3802" t="s">
        <v>587</v>
      </c>
      <c r="IJ758" s="1898"/>
      <c r="IK758" s="3802" t="s">
        <v>587</v>
      </c>
    </row>
    <row r="759" spans="242:255">
      <c r="IH759" s="505" t="s">
        <v>3111</v>
      </c>
      <c r="II759" s="581">
        <f>II756*II757</f>
        <v>24.360000000000003</v>
      </c>
      <c r="IJ759" s="505" t="s">
        <v>3113</v>
      </c>
      <c r="IK759" s="581">
        <f>IK756*IK757</f>
        <v>48.720000000000006</v>
      </c>
    </row>
    <row r="760" spans="242:255" ht="3.95" customHeight="1">
      <c r="IH760" s="1898"/>
      <c r="II760" s="581"/>
      <c r="IJ760" s="505"/>
      <c r="IK760" s="581"/>
    </row>
    <row r="761" spans="242:255">
      <c r="IH761" s="505" t="s">
        <v>3112</v>
      </c>
      <c r="II761" s="581">
        <f>+II754+II759</f>
        <v>898.27188612727696</v>
      </c>
      <c r="IJ761" s="505" t="s">
        <v>3112</v>
      </c>
      <c r="IK761" s="581">
        <f>+IK754+IK759</f>
        <v>1279.7468972545546</v>
      </c>
    </row>
    <row r="762" spans="242:255">
      <c r="IH762" s="1898" t="s">
        <v>3074</v>
      </c>
      <c r="II762" s="1976">
        <f>'EBITDA Val'!$H$14</f>
        <v>322</v>
      </c>
      <c r="IJ762" s="1898" t="s">
        <v>3074</v>
      </c>
      <c r="IK762" s="1976">
        <f>II762</f>
        <v>322</v>
      </c>
    </row>
    <row r="763" spans="242:255">
      <c r="IH763" s="3785" t="s">
        <v>3075</v>
      </c>
      <c r="II763" s="3803">
        <f>II761/II762</f>
        <v>2.7896642426312948</v>
      </c>
      <c r="IJ763" s="3785" t="s">
        <v>3076</v>
      </c>
      <c r="IK763" s="3803">
        <f>IK761/IK762</f>
        <v>3.9743692461321571</v>
      </c>
    </row>
    <row r="768" spans="242:255">
      <c r="IP768" s="3785" t="s">
        <v>3124</v>
      </c>
      <c r="IQ768" s="3793"/>
      <c r="IR768" s="3793"/>
      <c r="IS768" s="3793"/>
      <c r="IT768" s="3793"/>
      <c r="IU768" s="3786"/>
    </row>
    <row r="769" spans="250:255">
      <c r="IP769" s="505" t="s">
        <v>3114</v>
      </c>
      <c r="IQ769" s="1777">
        <f>$II$741*$II$743</f>
        <v>306.25000000000006</v>
      </c>
      <c r="IR769" s="228" t="s">
        <v>3122</v>
      </c>
      <c r="IS769" s="1777">
        <f>($II$741*$IG$748)-$IQ$769</f>
        <v>218.74999999999994</v>
      </c>
      <c r="IT769" s="228" t="s">
        <v>3115</v>
      </c>
      <c r="IU769" s="1976">
        <f>IQ769+IS769</f>
        <v>525</v>
      </c>
    </row>
    <row r="770" spans="250:255">
      <c r="IP770" s="2160" t="s">
        <v>3116</v>
      </c>
      <c r="IQ770" s="1735">
        <f>$II$742*$II$745</f>
        <v>76.562500000000014</v>
      </c>
      <c r="IR770" s="230" t="s">
        <v>3072</v>
      </c>
      <c r="IS770" s="1735">
        <f>IS769*$II$745</f>
        <v>54.687499999999986</v>
      </c>
      <c r="IT770" s="230" t="s">
        <v>3117</v>
      </c>
      <c r="IU770" s="1973">
        <f>IQ770+IS770</f>
        <v>131.25</v>
      </c>
    </row>
    <row r="793" spans="258:263">
      <c r="IX793" s="3785" t="s">
        <v>3123</v>
      </c>
      <c r="IY793" s="3793"/>
      <c r="IZ793" s="3793"/>
      <c r="JA793" s="3793"/>
      <c r="JB793" s="3793"/>
      <c r="JC793" s="3786"/>
    </row>
    <row r="794" spans="258:263">
      <c r="IX794" s="2156" t="s">
        <v>3114</v>
      </c>
      <c r="IY794" s="3814">
        <f>$II$741*$II$743</f>
        <v>306.25000000000006</v>
      </c>
      <c r="IZ794" s="3837" t="s">
        <v>3122</v>
      </c>
      <c r="JA794" s="3814">
        <f>($II$741*$IL$748)-$IY$794</f>
        <v>306.25000000000006</v>
      </c>
      <c r="JB794" s="3837" t="s">
        <v>3115</v>
      </c>
      <c r="JC794" s="3816">
        <f>JA794+IY794</f>
        <v>612.50000000000011</v>
      </c>
    </row>
    <row r="795" spans="258:263">
      <c r="IX795" s="2160" t="s">
        <v>3116</v>
      </c>
      <c r="IY795" s="1735">
        <f>$II$742*$II$745</f>
        <v>76.562500000000014</v>
      </c>
      <c r="IZ795" s="230" t="s">
        <v>3072</v>
      </c>
      <c r="JA795" s="1735">
        <f>JA794*$II$745</f>
        <v>76.562500000000014</v>
      </c>
      <c r="JB795" s="230" t="s">
        <v>3117</v>
      </c>
      <c r="JC795" s="1973">
        <f>JA795+IY795</f>
        <v>153.12500000000003</v>
      </c>
    </row>
    <row r="817" spans="266:280" ht="30" customHeight="1">
      <c r="JF817" s="3823"/>
      <c r="JG817" s="3824" t="s">
        <v>3198</v>
      </c>
      <c r="JH817" s="3824" t="s">
        <v>3118</v>
      </c>
      <c r="JI817" s="3824" t="s">
        <v>3119</v>
      </c>
      <c r="JJ817" s="3824" t="s">
        <v>3120</v>
      </c>
      <c r="JK817" s="3825" t="s">
        <v>3121</v>
      </c>
    </row>
    <row r="818" spans="266:280">
      <c r="JF818" s="3570">
        <v>2014</v>
      </c>
      <c r="JG818" s="3826">
        <v>1000</v>
      </c>
      <c r="JH818" s="3827">
        <v>0.06</v>
      </c>
      <c r="JI818" s="3828">
        <f>JG818*JH818</f>
        <v>60</v>
      </c>
      <c r="JJ818" s="3829">
        <v>2</v>
      </c>
      <c r="JK818" s="3830">
        <f>JJ818/JI818</f>
        <v>3.3333333333333333E-2</v>
      </c>
    </row>
    <row r="819" spans="266:280">
      <c r="JF819" s="3570">
        <f>JF818+1</f>
        <v>2015</v>
      </c>
      <c r="JG819" s="3826">
        <v>1040</v>
      </c>
      <c r="JH819" s="3827">
        <v>0.06</v>
      </c>
      <c r="JI819" s="3828">
        <f t="shared" ref="JI819" si="18">JG819*JH819</f>
        <v>62.4</v>
      </c>
      <c r="JJ819" s="3829">
        <v>2.4</v>
      </c>
      <c r="JK819" s="3830">
        <f>JJ819/JI819</f>
        <v>3.8461538461538464E-2</v>
      </c>
    </row>
    <row r="820" spans="266:280">
      <c r="JF820" s="3831">
        <f t="shared" ref="JF820" si="19">JF819+1</f>
        <v>2016</v>
      </c>
      <c r="JG820" s="3832">
        <f>514*2</f>
        <v>1028</v>
      </c>
      <c r="JH820" s="3833">
        <v>7.0000000000000007E-2</v>
      </c>
      <c r="JI820" s="3834">
        <f>JG820*JH820</f>
        <v>71.960000000000008</v>
      </c>
      <c r="JJ820" s="3835">
        <v>2.7</v>
      </c>
      <c r="JK820" s="3836">
        <f>JJ820/JI820</f>
        <v>3.7520844913841021E-2</v>
      </c>
    </row>
    <row r="821" spans="266:280">
      <c r="JF821" s="2302"/>
      <c r="JT821" s="2690"/>
    </row>
    <row r="822" spans="266:280">
      <c r="JF822" s="2302"/>
      <c r="JL822" s="1964" t="s">
        <v>3162</v>
      </c>
      <c r="JM822" s="2082"/>
    </row>
    <row r="823" spans="266:280">
      <c r="JF823" s="2302"/>
      <c r="JL823" s="2091" t="s">
        <v>3133</v>
      </c>
      <c r="JM823" s="3856">
        <v>36000</v>
      </c>
    </row>
    <row r="824" spans="266:280">
      <c r="JF824" s="2302"/>
      <c r="JL824" s="1898" t="s">
        <v>3131</v>
      </c>
      <c r="JM824" s="3857">
        <v>0.56000000000000005</v>
      </c>
    </row>
    <row r="825" spans="266:280">
      <c r="JF825" s="2302"/>
      <c r="JL825" s="1898" t="s">
        <v>3135</v>
      </c>
      <c r="JM825" s="1969">
        <f>+JM823*JM824</f>
        <v>20160.000000000004</v>
      </c>
    </row>
    <row r="826" spans="266:280">
      <c r="JF826" s="2302"/>
      <c r="JL826" s="1898" t="s">
        <v>3134</v>
      </c>
      <c r="JM826" s="3787">
        <f>AVERAGE(51,60)</f>
        <v>55.5</v>
      </c>
    </row>
    <row r="827" spans="266:280">
      <c r="JL827" s="1898" t="s">
        <v>3157</v>
      </c>
      <c r="JM827" s="3872">
        <v>3</v>
      </c>
    </row>
    <row r="828" spans="266:280">
      <c r="JL828" s="1898" t="s">
        <v>3132</v>
      </c>
      <c r="JM828" s="1969">
        <f>+JM823*JM824/(JM826*JM827)</f>
        <v>121.08108108108111</v>
      </c>
    </row>
    <row r="829" spans="266:280">
      <c r="JL829" s="1898"/>
      <c r="JM829" s="1969"/>
    </row>
    <row r="830" spans="266:280">
      <c r="JL830" s="2671" t="s">
        <v>3137</v>
      </c>
      <c r="JM830" s="1976"/>
    </row>
    <row r="831" spans="266:280">
      <c r="JL831" s="1898" t="s">
        <v>3138</v>
      </c>
      <c r="JM831" s="3857">
        <v>0.1</v>
      </c>
    </row>
    <row r="832" spans="266:280">
      <c r="JL832" s="1898" t="s">
        <v>3160</v>
      </c>
      <c r="JM832" s="3870">
        <v>3</v>
      </c>
    </row>
    <row r="833" spans="272:285">
      <c r="JL833" s="1898" t="s">
        <v>3161</v>
      </c>
      <c r="JM833" s="2199">
        <f>IF((JM832-1)&lt;0,0,(JM832-1))</f>
        <v>2</v>
      </c>
    </row>
    <row r="834" spans="272:285">
      <c r="JL834" s="1898" t="s">
        <v>3132</v>
      </c>
      <c r="JM834" s="1969">
        <f>+JM828</f>
        <v>121.08108108108111</v>
      </c>
    </row>
    <row r="835" spans="272:285" ht="3.95" customHeight="1">
      <c r="JL835" s="1898"/>
      <c r="JM835" s="2672" t="s">
        <v>601</v>
      </c>
    </row>
    <row r="836" spans="272:285">
      <c r="JL836" s="505" t="s">
        <v>3136</v>
      </c>
      <c r="JM836" s="581">
        <f>(JM831*JM826)*JM833*JM834</f>
        <v>1344.0000000000005</v>
      </c>
    </row>
    <row r="837" spans="272:285">
      <c r="JL837" s="1898" t="s">
        <v>3140</v>
      </c>
      <c r="JM837" s="1976">
        <v>-50.811740159999864</v>
      </c>
    </row>
    <row r="838" spans="272:285" ht="3.95" customHeight="1">
      <c r="JL838" s="1898"/>
      <c r="JM838" s="2672" t="s">
        <v>601</v>
      </c>
    </row>
    <row r="839" spans="272:285">
      <c r="JL839" s="505" t="s">
        <v>3141</v>
      </c>
      <c r="JM839" s="581">
        <f>+JM836+JM837</f>
        <v>1293.1882598400007</v>
      </c>
    </row>
    <row r="840" spans="272:285">
      <c r="JL840" s="2102" t="s">
        <v>3158</v>
      </c>
      <c r="JM840" s="2668">
        <f>+JM839/JM823</f>
        <v>3.5921896106666684E-2</v>
      </c>
    </row>
    <row r="841" spans="272:285">
      <c r="JO841" s="2091"/>
      <c r="JP841" s="3814"/>
      <c r="JQ841" s="3858" t="s">
        <v>3159</v>
      </c>
      <c r="JR841" s="3858"/>
      <c r="JS841" s="3858"/>
      <c r="JT841" s="3858"/>
      <c r="JU841" s="3858"/>
      <c r="JV841" s="3858"/>
      <c r="JW841" s="3858"/>
      <c r="JX841" s="3858"/>
      <c r="JY841" s="3859"/>
    </row>
    <row r="842" spans="272:285">
      <c r="JO842" s="1898"/>
      <c r="JP842" s="3871">
        <f>+JM840</f>
        <v>3.5921896106666684E-2</v>
      </c>
      <c r="JQ842" s="3860">
        <f t="shared" ref="JQ842:JS842" si="20">+JR842-0.5</f>
        <v>1</v>
      </c>
      <c r="JR842" s="3860">
        <f t="shared" si="20"/>
        <v>1.5</v>
      </c>
      <c r="JS842" s="3860">
        <f t="shared" si="20"/>
        <v>2</v>
      </c>
      <c r="JT842" s="3860">
        <f>+JU842-0.5</f>
        <v>2.5</v>
      </c>
      <c r="JU842" s="3861">
        <v>3</v>
      </c>
      <c r="JV842" s="3860">
        <f>+JU842+0.5</f>
        <v>3.5</v>
      </c>
      <c r="JW842" s="3860">
        <f t="shared" ref="JW842:JY842" si="21">+JV842+0.5</f>
        <v>4</v>
      </c>
      <c r="JX842" s="3860">
        <f t="shared" si="21"/>
        <v>4.5</v>
      </c>
      <c r="JY842" s="2199">
        <f t="shared" si="21"/>
        <v>5</v>
      </c>
    </row>
    <row r="843" spans="272:285" ht="15" customHeight="1">
      <c r="JO843" s="4142" t="s">
        <v>3139</v>
      </c>
      <c r="JP843" s="1784">
        <f t="shared" ref="JP843:JP845" si="22">+JP844-2.5%</f>
        <v>0</v>
      </c>
      <c r="JQ843" s="3866">
        <f t="dataTable" ref="JQ843:JY851" dt2D="1" dtr="1" r1="JM832" r2="JM831"/>
        <v>-1.3606399999999963E-3</v>
      </c>
      <c r="JR843" s="3867">
        <v>-1.3606399999999963E-3</v>
      </c>
      <c r="JS843" s="3867">
        <v>-1.3606399999999963E-3</v>
      </c>
      <c r="JT843" s="3867">
        <v>-1.3606399999999963E-3</v>
      </c>
      <c r="JU843" s="3867">
        <v>-1.3606399999999963E-3</v>
      </c>
      <c r="JV843" s="3867">
        <v>-1.3606399999999963E-3</v>
      </c>
      <c r="JW843" s="3867">
        <v>-1.3606399999999963E-3</v>
      </c>
      <c r="JX843" s="3867">
        <v>-1.3606399999999963E-3</v>
      </c>
      <c r="JY843" s="3868">
        <v>-1.3606399999999963E-3</v>
      </c>
    </row>
    <row r="844" spans="272:285" ht="15" customHeight="1">
      <c r="JO844" s="4143"/>
      <c r="JP844" s="1784">
        <f t="shared" si="22"/>
        <v>2.5000000000000008E-2</v>
      </c>
      <c r="JQ844" s="3873">
        <v>-1.3606399999999963E-3</v>
      </c>
      <c r="JR844" s="1784">
        <v>9.6951850666667145E-4</v>
      </c>
      <c r="JS844" s="1784">
        <v>3.2996770133333396E-3</v>
      </c>
      <c r="JT844" s="1784">
        <v>5.6298355200000072E-3</v>
      </c>
      <c r="JU844" s="1784">
        <v>7.9599940266666738E-3</v>
      </c>
      <c r="JV844" s="1784">
        <v>1.0290152533333343E-2</v>
      </c>
      <c r="JW844" s="1784">
        <v>1.2620311040000012E-2</v>
      </c>
      <c r="JX844" s="1784">
        <v>1.4950469546666675E-2</v>
      </c>
      <c r="JY844" s="2662">
        <v>1.7280628053333347E-2</v>
      </c>
    </row>
    <row r="845" spans="272:285" ht="15" customHeight="1">
      <c r="JO845" s="4143"/>
      <c r="JP845" s="1784">
        <f t="shared" si="22"/>
        <v>5.000000000000001E-2</v>
      </c>
      <c r="JQ845" s="3873">
        <v>-1.3606399999999963E-3</v>
      </c>
      <c r="JR845" s="1784">
        <v>3.2996770133333388E-3</v>
      </c>
      <c r="JS845" s="1784">
        <v>7.9599940266666738E-3</v>
      </c>
      <c r="JT845" s="1784">
        <v>1.2620311040000009E-2</v>
      </c>
      <c r="JU845" s="1784">
        <v>1.728062805333334E-2</v>
      </c>
      <c r="JV845" s="1784">
        <v>2.1940945066666682E-2</v>
      </c>
      <c r="JW845" s="1784">
        <v>2.6601262080000014E-2</v>
      </c>
      <c r="JX845" s="1784">
        <v>3.1261579093333353E-2</v>
      </c>
      <c r="JY845" s="2662">
        <v>3.5921896106666684E-2</v>
      </c>
    </row>
    <row r="846" spans="272:285" ht="15" customHeight="1">
      <c r="JO846" s="4143"/>
      <c r="JP846" s="1784">
        <f>+JP847-2.5%</f>
        <v>7.5000000000000011E-2</v>
      </c>
      <c r="JQ846" s="3873">
        <v>-1.3606399999999963E-3</v>
      </c>
      <c r="JR846" s="1784">
        <v>5.6298355200000054E-3</v>
      </c>
      <c r="JS846" s="1784">
        <v>1.2620311040000009E-2</v>
      </c>
      <c r="JT846" s="1784">
        <v>1.961078656000001E-2</v>
      </c>
      <c r="JU846" s="1784">
        <v>2.6601262080000014E-2</v>
      </c>
      <c r="JV846" s="1784">
        <v>3.3591737600000018E-2</v>
      </c>
      <c r="JW846" s="1784">
        <v>4.0582213120000016E-2</v>
      </c>
      <c r="JX846" s="1784">
        <v>4.7572688640000027E-2</v>
      </c>
      <c r="JY846" s="2662">
        <v>5.4563164160000024E-2</v>
      </c>
    </row>
    <row r="847" spans="272:285" ht="15" customHeight="1">
      <c r="JO847" s="4143"/>
      <c r="JP847" s="3869">
        <v>0.1</v>
      </c>
      <c r="JQ847" s="3873">
        <v>-1.3606399999999963E-3</v>
      </c>
      <c r="JR847" s="1784">
        <v>7.9599940266666738E-3</v>
      </c>
      <c r="JS847" s="1784">
        <v>1.728062805333334E-2</v>
      </c>
      <c r="JT847" s="1784">
        <v>2.6601262080000014E-2</v>
      </c>
      <c r="JU847" s="1784">
        <v>3.5921896106666684E-2</v>
      </c>
      <c r="JV847" s="1784">
        <v>4.5242530133333354E-2</v>
      </c>
      <c r="JW847" s="1784">
        <v>5.4563164160000024E-2</v>
      </c>
      <c r="JX847" s="1784">
        <v>6.3883798186666702E-2</v>
      </c>
      <c r="JY847" s="2662">
        <v>7.3204432213333365E-2</v>
      </c>
    </row>
    <row r="848" spans="272:285" ht="15" customHeight="1">
      <c r="JO848" s="4143"/>
      <c r="JP848" s="1784">
        <f>+JP847+2.5%</f>
        <v>0.125</v>
      </c>
      <c r="JQ848" s="3873">
        <v>-1.3606399999999963E-3</v>
      </c>
      <c r="JR848" s="1784">
        <v>1.029015253333334E-2</v>
      </c>
      <c r="JS848" s="1784">
        <v>2.1940945066666679E-2</v>
      </c>
      <c r="JT848" s="1784">
        <v>3.3591737600000011E-2</v>
      </c>
      <c r="JU848" s="1784">
        <v>4.5242530133333354E-2</v>
      </c>
      <c r="JV848" s="1784">
        <v>5.6893322666666676E-2</v>
      </c>
      <c r="JW848" s="1784">
        <v>6.8544115200000019E-2</v>
      </c>
      <c r="JX848" s="1784">
        <v>8.0194907733333348E-2</v>
      </c>
      <c r="JY848" s="2662">
        <v>9.1845700266666691E-2</v>
      </c>
    </row>
    <row r="849" spans="7:287" ht="15" customHeight="1">
      <c r="JO849" s="4143"/>
      <c r="JP849" s="1784">
        <f t="shared" ref="JP849:JP851" si="23">+JP848+2.5%</f>
        <v>0.15</v>
      </c>
      <c r="JQ849" s="3873">
        <v>-1.3606399999999963E-3</v>
      </c>
      <c r="JR849" s="1784">
        <v>1.2620311040000005E-2</v>
      </c>
      <c r="JS849" s="1784">
        <v>2.6601262080000007E-2</v>
      </c>
      <c r="JT849" s="1784">
        <v>4.0582213120000009E-2</v>
      </c>
      <c r="JU849" s="1784">
        <v>5.4563164160000011E-2</v>
      </c>
      <c r="JV849" s="1784">
        <v>6.8544115200000019E-2</v>
      </c>
      <c r="JW849" s="1784">
        <v>8.2525066240000014E-2</v>
      </c>
      <c r="JX849" s="1784">
        <v>9.6506017280000009E-2</v>
      </c>
      <c r="JY849" s="2662">
        <v>0.11048696832</v>
      </c>
    </row>
    <row r="850" spans="7:287" ht="15" customHeight="1">
      <c r="JO850" s="4143"/>
      <c r="JP850" s="1784">
        <f t="shared" si="23"/>
        <v>0.17499999999999999</v>
      </c>
      <c r="JQ850" s="3873">
        <v>-1.3606399999999963E-3</v>
      </c>
      <c r="JR850" s="1784">
        <v>1.4950469546666669E-2</v>
      </c>
      <c r="JS850" s="1784">
        <v>3.1261579093333339E-2</v>
      </c>
      <c r="JT850" s="1784">
        <v>4.7572688640000013E-2</v>
      </c>
      <c r="JU850" s="1784">
        <v>6.3883798186666674E-2</v>
      </c>
      <c r="JV850" s="1784">
        <v>8.0194907733333348E-2</v>
      </c>
      <c r="JW850" s="1784">
        <v>9.6506017280000009E-2</v>
      </c>
      <c r="JX850" s="1784">
        <v>0.11281712682666667</v>
      </c>
      <c r="JY850" s="2662">
        <v>0.12912823637333334</v>
      </c>
    </row>
    <row r="851" spans="7:287" ht="15" customHeight="1">
      <c r="JO851" s="4144"/>
      <c r="JP851" s="2667">
        <f t="shared" si="23"/>
        <v>0.19999999999999998</v>
      </c>
      <c r="JQ851" s="3874">
        <v>-1.3606399999999963E-3</v>
      </c>
      <c r="JR851" s="2667">
        <v>1.728062805333334E-2</v>
      </c>
      <c r="JS851" s="2667">
        <v>3.5921896106666677E-2</v>
      </c>
      <c r="JT851" s="2667">
        <v>5.4563164160000011E-2</v>
      </c>
      <c r="JU851" s="2667">
        <v>7.3204432213333351E-2</v>
      </c>
      <c r="JV851" s="2667">
        <v>9.1845700266666691E-2</v>
      </c>
      <c r="JW851" s="2667">
        <v>0.11048696832</v>
      </c>
      <c r="JX851" s="2667">
        <v>0.12912823637333337</v>
      </c>
      <c r="JY851" s="2668">
        <v>0.1477695044266667</v>
      </c>
    </row>
    <row r="853" spans="7:287">
      <c r="JZ853" s="2" t="s">
        <v>3142</v>
      </c>
    </row>
    <row r="854" spans="7:287" ht="3.95" customHeight="1"/>
    <row r="855" spans="7:287">
      <c r="JZ855" s="1734" t="s">
        <v>3145</v>
      </c>
      <c r="KA855" s="1734">
        <v>5045944.6664452627</v>
      </c>
    </row>
    <row r="856" spans="7:287">
      <c r="JZ856" s="1734" t="s">
        <v>212</v>
      </c>
      <c r="KA856" s="3863">
        <v>81.19</v>
      </c>
    </row>
    <row r="857" spans="7:287" ht="3.95" customHeight="1">
      <c r="KA857" s="3864" t="s">
        <v>1872</v>
      </c>
    </row>
    <row r="858" spans="7:287" s="1777" customFormat="1">
      <c r="G858" s="1752"/>
      <c r="AC858" s="1971"/>
      <c r="AD858" s="2699"/>
      <c r="AE858" s="2699"/>
      <c r="AF858" s="2699"/>
      <c r="AG858" s="2699"/>
      <c r="AH858" s="2699"/>
      <c r="AI858" s="2699"/>
      <c r="AJ858" s="2699"/>
      <c r="AK858" s="2699"/>
      <c r="AL858" s="2699"/>
      <c r="AM858" s="2699"/>
      <c r="HW858" s="1752"/>
      <c r="HX858" s="1752"/>
      <c r="HY858" s="1752"/>
      <c r="HZ858" s="1752"/>
      <c r="IA858" s="1752"/>
      <c r="IB858" s="1752"/>
      <c r="IC858" s="1752"/>
      <c r="ID858" s="1752"/>
      <c r="IE858" s="1752"/>
      <c r="IF858" s="1752"/>
      <c r="JZ858" s="1777" t="s">
        <v>3148</v>
      </c>
      <c r="KA858" s="1968">
        <f>+KA855*KA856*365/1000000</f>
        <v>149533.29032607217</v>
      </c>
    </row>
    <row r="860" spans="7:287">
      <c r="JZ860" s="1734" t="s">
        <v>3147</v>
      </c>
      <c r="KA860" s="1775">
        <f>+KE879</f>
        <v>0.48877371330134989</v>
      </c>
    </row>
    <row r="861" spans="7:287">
      <c r="JZ861" s="1734" t="s">
        <v>3155</v>
      </c>
      <c r="KA861" s="1968">
        <f>+KA858*KA860</f>
        <v>73087.94157484312</v>
      </c>
    </row>
    <row r="862" spans="7:287">
      <c r="JZ862" s="1734" t="s">
        <v>3150</v>
      </c>
      <c r="KA862" s="1734">
        <v>621378747.404791</v>
      </c>
    </row>
    <row r="863" spans="7:287">
      <c r="JZ863" s="1734" t="s">
        <v>3151</v>
      </c>
      <c r="KA863" s="3862">
        <f>+(KA861*1000000)/KA862</f>
        <v>117.62221009343712</v>
      </c>
    </row>
    <row r="864" spans="7:287">
      <c r="JZ864" s="3821" t="s">
        <v>3149</v>
      </c>
      <c r="KA864" s="434">
        <f>+KA863/KA856-1</f>
        <v>0.44872780014086855</v>
      </c>
    </row>
    <row r="866" spans="286:291">
      <c r="JZ866" s="1734" t="s">
        <v>3152</v>
      </c>
      <c r="KA866" s="3865">
        <v>0.01</v>
      </c>
    </row>
    <row r="867" spans="286:291">
      <c r="JZ867" s="1734" t="s">
        <v>3153</v>
      </c>
      <c r="KA867" s="1734">
        <v>12713014.847050181</v>
      </c>
    </row>
    <row r="868" spans="286:291">
      <c r="JZ868" s="1734" t="s">
        <v>3154</v>
      </c>
      <c r="KA868" s="3862">
        <f>+KA863</f>
        <v>117.62221009343712</v>
      </c>
    </row>
    <row r="869" spans="286:291">
      <c r="JZ869" s="1734" t="s">
        <v>3156</v>
      </c>
      <c r="KA869" s="1968">
        <f>+KA868*KA867/1000000</f>
        <v>1495.3329032607217</v>
      </c>
    </row>
    <row r="870" spans="286:291">
      <c r="KA870" s="1968"/>
    </row>
    <row r="871" spans="286:291">
      <c r="KC871" s="1734" t="s">
        <v>3143</v>
      </c>
      <c r="KD871" s="1773" t="s">
        <v>3146</v>
      </c>
      <c r="KE871" s="1773" t="s">
        <v>3144</v>
      </c>
    </row>
    <row r="872" spans="286:291">
      <c r="KC872" s="1734" t="s">
        <v>1270</v>
      </c>
      <c r="KD872" s="1734">
        <v>8658.9878373590182</v>
      </c>
      <c r="KE872" s="3865">
        <v>0.34</v>
      </c>
    </row>
    <row r="873" spans="286:291">
      <c r="KC873" s="1734" t="s">
        <v>1693</v>
      </c>
      <c r="KD873" s="1734">
        <v>31118.327375768451</v>
      </c>
      <c r="KE873" s="3865">
        <v>0.55600000000000005</v>
      </c>
    </row>
    <row r="874" spans="286:291">
      <c r="KC874" s="1734" t="s">
        <v>1271</v>
      </c>
      <c r="KD874" s="1734">
        <v>20687.011445879754</v>
      </c>
      <c r="KE874" s="3865">
        <v>0.6</v>
      </c>
    </row>
    <row r="875" spans="286:291">
      <c r="KC875" s="1734" t="s">
        <v>1871</v>
      </c>
      <c r="KD875" s="1734">
        <v>23709.262096718376</v>
      </c>
      <c r="KE875" s="3865">
        <v>0.54</v>
      </c>
    </row>
    <row r="876" spans="286:291">
      <c r="KC876" s="1734" t="s">
        <v>1927</v>
      </c>
      <c r="KD876" s="1734">
        <v>9584.8585562930657</v>
      </c>
      <c r="KE876" s="3865">
        <v>0.40300000000000002</v>
      </c>
    </row>
    <row r="877" spans="286:291">
      <c r="KC877" s="1734" t="s">
        <v>1928</v>
      </c>
      <c r="KD877" s="1734">
        <v>10353.345153259179</v>
      </c>
      <c r="KE877" s="3865">
        <v>0.151</v>
      </c>
    </row>
    <row r="878" spans="286:291" ht="3.95" customHeight="1"/>
    <row r="879" spans="286:291">
      <c r="KC879" s="1734" t="s">
        <v>838</v>
      </c>
      <c r="KD879" s="1734">
        <f>SUM(KD872:KD877)</f>
        <v>104111.79246527783</v>
      </c>
      <c r="KE879" s="1775">
        <f>SUMPRODUCT(KE872:KE877,KD872:KD877)/SUM(KD872:KD877)</f>
        <v>0.48877371330134989</v>
      </c>
    </row>
  </sheetData>
  <sortState ref="AN166:AR172">
    <sortCondition ref="AO166:AO172"/>
  </sortState>
  <mergeCells count="1">
    <mergeCell ref="JO843:JO851"/>
  </mergeCells>
  <pageMargins left="0" right="0" top="0" bottom="0" header="0" footer="0"/>
  <pageSetup paperSize="5" scale="10" orientation="landscape"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3:O96"/>
  <sheetViews>
    <sheetView showGridLines="0" topLeftCell="A10" zoomScale="85" zoomScaleNormal="85" workbookViewId="0">
      <selection activeCell="C30" sqref="C30"/>
    </sheetView>
  </sheetViews>
  <sheetFormatPr defaultRowHeight="12.75"/>
  <cols>
    <col min="1" max="1" width="2.625" style="1734" customWidth="1"/>
    <col min="2" max="2" width="9" style="1734"/>
    <col min="3" max="3" width="30.625" style="1734" customWidth="1"/>
    <col min="4" max="6" width="9" style="1734"/>
    <col min="7" max="7" width="30.625" style="1734" customWidth="1"/>
    <col min="8" max="10" width="9" style="1734"/>
    <col min="11" max="11" width="30.625" style="1734" customWidth="1"/>
    <col min="12" max="12" width="9" style="1734"/>
    <col min="13" max="14" width="9" style="1828"/>
    <col min="15" max="15" width="9" style="1828" customWidth="1"/>
    <col min="16" max="18" width="9" style="1828"/>
    <col min="19" max="19" width="30.625" style="1828" customWidth="1"/>
    <col min="20" max="16384" width="9" style="1828"/>
  </cols>
  <sheetData>
    <row r="3" spans="1:15" s="141" customFormat="1">
      <c r="A3" s="231"/>
      <c r="B3" s="231" t="s">
        <v>2758</v>
      </c>
      <c r="C3" s="231"/>
      <c r="D3" s="231"/>
      <c r="E3" s="231"/>
      <c r="F3" s="231"/>
      <c r="G3" s="231"/>
      <c r="H3" s="231"/>
      <c r="I3" s="231"/>
      <c r="J3" s="231"/>
      <c r="K3" s="231"/>
      <c r="L3" s="231"/>
      <c r="M3" s="231"/>
      <c r="N3" s="231"/>
      <c r="O3" s="231"/>
    </row>
    <row r="5" spans="1:15">
      <c r="B5" s="2940"/>
      <c r="C5" s="4147" t="s">
        <v>2759</v>
      </c>
      <c r="D5" s="4147"/>
      <c r="F5" s="2940"/>
      <c r="G5" s="4147" t="s">
        <v>2776</v>
      </c>
      <c r="H5" s="4147"/>
      <c r="J5" s="2940"/>
      <c r="K5" s="4147" t="s">
        <v>2773</v>
      </c>
      <c r="L5" s="4147"/>
    </row>
    <row r="6" spans="1:15">
      <c r="B6" s="2940"/>
      <c r="C6" s="2940"/>
      <c r="D6" s="2941" t="s">
        <v>2076</v>
      </c>
      <c r="F6" s="2940"/>
      <c r="G6" s="2940"/>
      <c r="H6" s="2941" t="s">
        <v>2076</v>
      </c>
      <c r="J6" s="2940"/>
      <c r="K6" s="2940"/>
      <c r="L6" s="2941" t="s">
        <v>2076</v>
      </c>
    </row>
    <row r="7" spans="1:15">
      <c r="B7" s="2940"/>
      <c r="C7" s="2940" t="s">
        <v>634</v>
      </c>
      <c r="D7" s="2941">
        <v>563</v>
      </c>
      <c r="F7" s="2940"/>
      <c r="G7" s="2940" t="s">
        <v>2777</v>
      </c>
      <c r="H7" s="2941">
        <v>505</v>
      </c>
      <c r="J7" s="2940"/>
      <c r="K7" s="2940" t="s">
        <v>2782</v>
      </c>
      <c r="L7" s="2941">
        <v>182</v>
      </c>
    </row>
    <row r="8" spans="1:15">
      <c r="B8" s="2940"/>
      <c r="C8" s="2940" t="s">
        <v>192</v>
      </c>
      <c r="D8" s="2941">
        <v>1919</v>
      </c>
      <c r="F8" s="2940"/>
      <c r="G8" s="2940" t="s">
        <v>650</v>
      </c>
      <c r="H8" s="2941">
        <v>482</v>
      </c>
      <c r="J8" s="2940"/>
      <c r="K8" s="2940" t="s">
        <v>2783</v>
      </c>
      <c r="L8" s="2941">
        <v>235</v>
      </c>
    </row>
    <row r="9" spans="1:15">
      <c r="B9" s="2940"/>
      <c r="C9" s="2940" t="s">
        <v>2553</v>
      </c>
      <c r="D9" s="2941">
        <v>1190</v>
      </c>
      <c r="F9" s="2940"/>
      <c r="G9" s="2940" t="s">
        <v>3023</v>
      </c>
      <c r="H9" s="2941">
        <v>360</v>
      </c>
      <c r="J9" s="2940"/>
      <c r="K9" s="2940" t="s">
        <v>2784</v>
      </c>
      <c r="L9" s="2941">
        <v>197</v>
      </c>
    </row>
    <row r="10" spans="1:15">
      <c r="B10" s="2940"/>
      <c r="C10" s="2940" t="s">
        <v>2765</v>
      </c>
      <c r="D10" s="2941">
        <v>1024</v>
      </c>
      <c r="F10" s="2940"/>
      <c r="G10" s="2940" t="s">
        <v>2778</v>
      </c>
      <c r="H10" s="2941">
        <v>300</v>
      </c>
      <c r="J10" s="2940"/>
      <c r="K10" s="2940" t="s">
        <v>2785</v>
      </c>
      <c r="L10" s="2941">
        <v>241</v>
      </c>
    </row>
    <row r="11" spans="1:15">
      <c r="B11" s="2940"/>
      <c r="C11" s="2940" t="s">
        <v>2764</v>
      </c>
      <c r="D11" s="2941">
        <v>394</v>
      </c>
      <c r="F11" s="2940"/>
      <c r="G11" s="2940" t="s">
        <v>604</v>
      </c>
      <c r="H11" s="2941">
        <v>245</v>
      </c>
      <c r="J11" s="2940"/>
      <c r="K11" s="2940" t="s">
        <v>2585</v>
      </c>
      <c r="L11" s="2941">
        <v>266</v>
      </c>
    </row>
    <row r="12" spans="1:15">
      <c r="B12" s="2940"/>
      <c r="C12" s="2940" t="s">
        <v>34</v>
      </c>
      <c r="D12" s="2941">
        <v>360</v>
      </c>
      <c r="F12" s="2940"/>
      <c r="G12" s="2940" t="s">
        <v>605</v>
      </c>
      <c r="H12" s="2941">
        <v>159</v>
      </c>
      <c r="J12" s="2940"/>
      <c r="K12" s="2940" t="s">
        <v>2786</v>
      </c>
      <c r="L12" s="2941">
        <v>199</v>
      </c>
    </row>
    <row r="13" spans="1:15">
      <c r="B13" s="2940"/>
      <c r="C13" s="2940" t="s">
        <v>2581</v>
      </c>
      <c r="D13" s="2941">
        <v>550</v>
      </c>
      <c r="F13" s="2940"/>
      <c r="G13" s="2940" t="s">
        <v>2779</v>
      </c>
      <c r="H13" s="2941">
        <v>190</v>
      </c>
      <c r="J13" s="2940"/>
      <c r="K13" s="2940" t="s">
        <v>2595</v>
      </c>
      <c r="L13" s="2941">
        <v>274</v>
      </c>
    </row>
    <row r="14" spans="1:15">
      <c r="B14" s="2940"/>
      <c r="C14" s="2940" t="s">
        <v>2760</v>
      </c>
      <c r="D14" s="2941">
        <v>1417</v>
      </c>
      <c r="F14" s="2940"/>
      <c r="G14" s="2940" t="s">
        <v>2780</v>
      </c>
      <c r="H14" s="2941">
        <v>627</v>
      </c>
      <c r="J14" s="2940"/>
      <c r="K14" s="2940" t="s">
        <v>2787</v>
      </c>
      <c r="L14" s="2941">
        <v>261</v>
      </c>
    </row>
    <row r="15" spans="1:15">
      <c r="B15" s="2940"/>
      <c r="C15" s="2940" t="s">
        <v>2761</v>
      </c>
      <c r="D15" s="2941">
        <v>1001</v>
      </c>
      <c r="F15" s="2940"/>
      <c r="G15" s="2940" t="s">
        <v>1318</v>
      </c>
      <c r="H15" s="2941">
        <v>850</v>
      </c>
      <c r="J15" s="2940"/>
      <c r="K15" s="2940" t="s">
        <v>2788</v>
      </c>
      <c r="L15" s="2941">
        <v>259</v>
      </c>
    </row>
    <row r="16" spans="1:15">
      <c r="B16" s="2940"/>
      <c r="C16" s="2940" t="s">
        <v>195</v>
      </c>
      <c r="D16" s="2941">
        <v>814</v>
      </c>
      <c r="F16" s="2940"/>
      <c r="G16" s="2940" t="s">
        <v>2781</v>
      </c>
      <c r="H16" s="2941">
        <v>375</v>
      </c>
      <c r="J16" s="2940"/>
      <c r="K16" s="2940" t="s">
        <v>2604</v>
      </c>
      <c r="L16" s="2941">
        <v>288</v>
      </c>
    </row>
    <row r="17" spans="2:12">
      <c r="B17" s="2940"/>
      <c r="C17" s="2940" t="s">
        <v>635</v>
      </c>
      <c r="D17" s="2941">
        <v>508</v>
      </c>
      <c r="F17" s="2942" t="s">
        <v>1687</v>
      </c>
      <c r="G17" s="2942">
        <v>10</v>
      </c>
      <c r="H17" s="2942">
        <f>SUM(H7:H16)</f>
        <v>4093</v>
      </c>
      <c r="J17" s="2942" t="s">
        <v>1687</v>
      </c>
      <c r="K17" s="2942">
        <v>10</v>
      </c>
      <c r="L17" s="2942">
        <f>SUM(L7:L16)</f>
        <v>2402</v>
      </c>
    </row>
    <row r="18" spans="2:12">
      <c r="B18" s="2940"/>
      <c r="C18" s="2940" t="s">
        <v>636</v>
      </c>
      <c r="D18" s="2941">
        <v>507</v>
      </c>
      <c r="J18" s="2"/>
    </row>
    <row r="19" spans="2:12">
      <c r="B19" s="2940"/>
      <c r="C19" s="2940" t="s">
        <v>2762</v>
      </c>
      <c r="D19" s="2941">
        <v>2860</v>
      </c>
    </row>
    <row r="20" spans="2:12">
      <c r="B20" s="2940"/>
      <c r="C20" s="2940" t="s">
        <v>713</v>
      </c>
      <c r="D20" s="2941">
        <v>1241</v>
      </c>
    </row>
    <row r="21" spans="2:12">
      <c r="B21" s="2940"/>
      <c r="C21" s="2940" t="s">
        <v>714</v>
      </c>
      <c r="D21" s="2941">
        <v>1544</v>
      </c>
      <c r="F21" s="2940"/>
      <c r="G21" s="4147" t="s">
        <v>2775</v>
      </c>
      <c r="H21" s="4147"/>
    </row>
    <row r="22" spans="2:12">
      <c r="B22" s="2940"/>
      <c r="C22" s="2940" t="s">
        <v>2763</v>
      </c>
      <c r="D22" s="2941">
        <v>860</v>
      </c>
      <c r="F22" s="2940"/>
      <c r="G22" s="2940" t="s">
        <v>2621</v>
      </c>
      <c r="H22" s="2941">
        <v>224</v>
      </c>
      <c r="J22" s="2940"/>
      <c r="K22" s="4147" t="s">
        <v>2789</v>
      </c>
      <c r="L22" s="4147"/>
    </row>
    <row r="23" spans="2:12">
      <c r="B23" s="2940"/>
      <c r="C23" s="2940" t="s">
        <v>1849</v>
      </c>
      <c r="D23" s="2941">
        <v>211</v>
      </c>
      <c r="F23" s="2942" t="s">
        <v>1687</v>
      </c>
      <c r="G23" s="2942">
        <v>1</v>
      </c>
      <c r="H23" s="2942">
        <f>H22</f>
        <v>224</v>
      </c>
      <c r="J23" s="2940"/>
      <c r="K23" s="2940"/>
      <c r="L23" s="2941" t="s">
        <v>2076</v>
      </c>
    </row>
    <row r="24" spans="2:12">
      <c r="B24" s="2940"/>
      <c r="C24" s="2940" t="s">
        <v>716</v>
      </c>
      <c r="D24" s="2941">
        <v>1622</v>
      </c>
      <c r="J24" s="2940"/>
      <c r="K24" s="2940" t="s">
        <v>2790</v>
      </c>
      <c r="L24" s="2941">
        <v>130</v>
      </c>
    </row>
    <row r="25" spans="2:12">
      <c r="B25" s="2940"/>
      <c r="C25" s="2940" t="s">
        <v>37</v>
      </c>
      <c r="D25" s="2941">
        <v>317</v>
      </c>
      <c r="J25" s="2942" t="s">
        <v>1687</v>
      </c>
      <c r="K25" s="2942">
        <v>1</v>
      </c>
      <c r="L25" s="2942">
        <f>L24</f>
        <v>130</v>
      </c>
    </row>
    <row r="26" spans="2:12">
      <c r="B26" s="2940"/>
      <c r="C26" s="2940" t="s">
        <v>196</v>
      </c>
      <c r="D26" s="2941">
        <v>599</v>
      </c>
    </row>
    <row r="27" spans="2:12">
      <c r="B27" s="2940"/>
      <c r="C27" s="2940" t="s">
        <v>38</v>
      </c>
      <c r="D27" s="2941">
        <v>304</v>
      </c>
    </row>
    <row r="28" spans="2:12">
      <c r="B28" s="2940"/>
      <c r="C28" s="2940" t="s">
        <v>2766</v>
      </c>
      <c r="D28" s="2941">
        <v>1929</v>
      </c>
      <c r="F28" s="2940"/>
      <c r="G28" s="4147" t="s">
        <v>2792</v>
      </c>
      <c r="H28" s="4147"/>
    </row>
    <row r="29" spans="2:12">
      <c r="B29" s="2940"/>
      <c r="C29" s="2940" t="s">
        <v>667</v>
      </c>
      <c r="D29" s="2941">
        <v>499</v>
      </c>
      <c r="F29" s="2940"/>
      <c r="G29" s="2940" t="s">
        <v>2793</v>
      </c>
      <c r="H29" s="2941">
        <v>498</v>
      </c>
      <c r="J29" s="2940"/>
      <c r="K29" s="4147" t="s">
        <v>1392</v>
      </c>
      <c r="L29" s="4147"/>
    </row>
    <row r="30" spans="2:12">
      <c r="B30" s="2940"/>
      <c r="C30" s="2940" t="s">
        <v>638</v>
      </c>
      <c r="D30" s="2941">
        <v>458</v>
      </c>
      <c r="F30" s="2940"/>
      <c r="G30" s="2940" t="s">
        <v>2794</v>
      </c>
      <c r="H30" s="2941">
        <v>311</v>
      </c>
      <c r="J30" s="2940"/>
      <c r="K30" s="2940"/>
      <c r="L30" s="2941" t="s">
        <v>2076</v>
      </c>
    </row>
    <row r="31" spans="2:12">
      <c r="B31" s="2940"/>
      <c r="C31" s="2940" t="s">
        <v>33</v>
      </c>
      <c r="D31" s="2941">
        <v>396</v>
      </c>
      <c r="F31" s="2940"/>
      <c r="G31" s="2940" t="s">
        <v>2795</v>
      </c>
      <c r="H31" s="2941">
        <v>150</v>
      </c>
      <c r="J31" s="2940"/>
      <c r="K31" s="2940" t="s">
        <v>653</v>
      </c>
      <c r="L31" s="2941">
        <v>162</v>
      </c>
    </row>
    <row r="32" spans="2:12">
      <c r="B32" s="2942" t="s">
        <v>1687</v>
      </c>
      <c r="C32" s="2942">
        <v>25</v>
      </c>
      <c r="D32" s="2942">
        <f>SUM(D7:D31)</f>
        <v>23087</v>
      </c>
      <c r="F32" s="2942" t="s">
        <v>1687</v>
      </c>
      <c r="G32" s="2942">
        <v>3</v>
      </c>
      <c r="H32" s="2942">
        <f>SUM(H29:H31)</f>
        <v>959</v>
      </c>
      <c r="J32" s="2940"/>
      <c r="K32" s="2940" t="s">
        <v>2791</v>
      </c>
      <c r="L32" s="2941">
        <v>128</v>
      </c>
    </row>
    <row r="33" spans="1:15">
      <c r="J33" s="2942" t="s">
        <v>1687</v>
      </c>
      <c r="K33" s="2942">
        <v>2</v>
      </c>
      <c r="L33" s="2942">
        <f>SUM(L31:L32)</f>
        <v>290</v>
      </c>
    </row>
    <row r="39" spans="1:15" s="141" customFormat="1">
      <c r="A39" s="231"/>
      <c r="B39" s="231" t="s">
        <v>2406</v>
      </c>
      <c r="C39" s="231"/>
      <c r="D39" s="231"/>
      <c r="E39" s="231"/>
      <c r="F39" s="231"/>
      <c r="G39" s="231"/>
      <c r="H39" s="231"/>
      <c r="I39" s="231"/>
      <c r="J39" s="231"/>
      <c r="K39" s="231"/>
      <c r="L39" s="231"/>
      <c r="M39" s="231"/>
      <c r="N39" s="231"/>
      <c r="O39" s="231"/>
    </row>
    <row r="41" spans="1:15">
      <c r="B41" s="2940"/>
      <c r="C41" s="4147" t="s">
        <v>2759</v>
      </c>
      <c r="D41" s="4147"/>
    </row>
    <row r="42" spans="1:15">
      <c r="B42" s="2940"/>
      <c r="C42" s="2940"/>
      <c r="D42" s="2941" t="s">
        <v>2076</v>
      </c>
    </row>
    <row r="43" spans="1:15">
      <c r="B43" s="2940"/>
      <c r="C43" s="2940" t="s">
        <v>2767</v>
      </c>
      <c r="D43" s="2941">
        <v>503</v>
      </c>
    </row>
    <row r="44" spans="1:15">
      <c r="B44" s="2940"/>
      <c r="C44" s="2940" t="s">
        <v>193</v>
      </c>
      <c r="D44" s="2941">
        <v>747</v>
      </c>
    </row>
    <row r="45" spans="1:15" s="1752" customFormat="1">
      <c r="A45" s="1777"/>
      <c r="B45" s="2946" t="s">
        <v>1687</v>
      </c>
      <c r="C45" s="2946">
        <v>2</v>
      </c>
      <c r="D45" s="2946">
        <f>SUM(D43:D44)</f>
        <v>1250</v>
      </c>
      <c r="E45" s="1777"/>
      <c r="F45" s="1777"/>
      <c r="G45" s="1777"/>
      <c r="H45" s="1777"/>
      <c r="I45" s="1777"/>
      <c r="J45" s="1777"/>
      <c r="K45" s="1777"/>
      <c r="L45" s="1777"/>
    </row>
    <row r="49" spans="1:15" s="141" customFormat="1">
      <c r="A49" s="231"/>
      <c r="B49" s="231" t="s">
        <v>2218</v>
      </c>
      <c r="C49" s="231"/>
      <c r="D49" s="231"/>
      <c r="E49" s="231"/>
      <c r="F49" s="231"/>
      <c r="G49" s="231"/>
      <c r="H49" s="231"/>
      <c r="I49" s="231"/>
      <c r="J49" s="231"/>
      <c r="K49" s="231"/>
      <c r="L49" s="231"/>
      <c r="M49" s="231"/>
      <c r="N49" s="231"/>
      <c r="O49" s="231"/>
    </row>
    <row r="51" spans="1:15">
      <c r="B51" s="2940"/>
      <c r="C51" s="4147" t="s">
        <v>2759</v>
      </c>
      <c r="D51" s="4147"/>
    </row>
    <row r="52" spans="1:15">
      <c r="B52" s="2940"/>
      <c r="C52" s="2940"/>
      <c r="D52" s="2941" t="s">
        <v>2076</v>
      </c>
    </row>
    <row r="53" spans="1:15">
      <c r="B53" s="2940"/>
      <c r="C53" s="2940" t="s">
        <v>2607</v>
      </c>
      <c r="D53" s="2941">
        <v>601</v>
      </c>
    </row>
    <row r="54" spans="1:15">
      <c r="B54" s="2940"/>
      <c r="C54" s="2940" t="s">
        <v>1855</v>
      </c>
      <c r="D54" s="2941">
        <v>152</v>
      </c>
    </row>
    <row r="55" spans="1:15">
      <c r="B55" s="2940"/>
      <c r="C55" s="2940" t="s">
        <v>1848</v>
      </c>
      <c r="D55" s="2941">
        <v>254</v>
      </c>
    </row>
    <row r="56" spans="1:15">
      <c r="B56" s="2940"/>
      <c r="C56" s="2940" t="s">
        <v>40</v>
      </c>
      <c r="D56" s="2941">
        <v>274</v>
      </c>
    </row>
    <row r="57" spans="1:15">
      <c r="B57" s="2940"/>
      <c r="C57" s="2940" t="s">
        <v>1850</v>
      </c>
      <c r="D57" s="2941">
        <v>198</v>
      </c>
    </row>
    <row r="58" spans="1:15">
      <c r="B58" s="2940"/>
      <c r="C58" s="2940" t="s">
        <v>1851</v>
      </c>
      <c r="D58" s="2941">
        <v>188</v>
      </c>
    </row>
    <row r="59" spans="1:15">
      <c r="B59" s="2940"/>
      <c r="C59" s="2940" t="s">
        <v>1852</v>
      </c>
      <c r="D59" s="2941">
        <v>184</v>
      </c>
    </row>
    <row r="60" spans="1:15">
      <c r="B60" s="2940"/>
      <c r="C60" s="2940" t="s">
        <v>1853</v>
      </c>
      <c r="D60" s="2941">
        <v>175</v>
      </c>
    </row>
    <row r="61" spans="1:15">
      <c r="B61" s="2940"/>
      <c r="C61" s="2940" t="s">
        <v>1854</v>
      </c>
      <c r="D61" s="2941">
        <v>173</v>
      </c>
    </row>
    <row r="62" spans="1:15">
      <c r="B62" s="2940"/>
      <c r="C62" s="2940" t="s">
        <v>2768</v>
      </c>
      <c r="D62" s="2941">
        <v>138</v>
      </c>
    </row>
    <row r="63" spans="1:15">
      <c r="B63" s="2940"/>
      <c r="C63" s="2940" t="s">
        <v>643</v>
      </c>
      <c r="D63" s="2941">
        <v>128</v>
      </c>
    </row>
    <row r="64" spans="1:15">
      <c r="B64" s="2942" t="s">
        <v>1687</v>
      </c>
      <c r="C64" s="2942">
        <v>11</v>
      </c>
      <c r="D64" s="2942">
        <f>SUM(D53:D63)</f>
        <v>2465</v>
      </c>
    </row>
    <row r="67" spans="1:15">
      <c r="B67" s="2940"/>
      <c r="C67" s="4147" t="s">
        <v>2770</v>
      </c>
      <c r="D67" s="4147"/>
    </row>
    <row r="68" spans="1:15">
      <c r="B68" s="2940"/>
      <c r="C68" s="2940"/>
      <c r="D68" s="2941" t="s">
        <v>2076</v>
      </c>
    </row>
    <row r="69" spans="1:15">
      <c r="B69" s="2940"/>
      <c r="C69" s="2940" t="s">
        <v>2611</v>
      </c>
      <c r="D69" s="2941">
        <v>191</v>
      </c>
    </row>
    <row r="70" spans="1:15">
      <c r="B70" s="2942" t="s">
        <v>1687</v>
      </c>
      <c r="C70" s="2942">
        <v>1</v>
      </c>
      <c r="D70" s="2942">
        <f>D69</f>
        <v>191</v>
      </c>
    </row>
    <row r="71" spans="1:15">
      <c r="A71" s="1828"/>
      <c r="B71" s="141"/>
      <c r="C71" s="141"/>
      <c r="D71" s="141"/>
      <c r="E71" s="1828"/>
      <c r="F71" s="1828"/>
      <c r="G71" s="1828"/>
      <c r="H71" s="1828"/>
      <c r="I71" s="1828"/>
      <c r="J71" s="1828"/>
      <c r="K71" s="1828"/>
      <c r="L71" s="1828"/>
    </row>
    <row r="73" spans="1:15" s="141" customFormat="1">
      <c r="A73" s="231"/>
      <c r="B73" s="231" t="s">
        <v>209</v>
      </c>
      <c r="C73" s="231"/>
      <c r="D73" s="231"/>
      <c r="E73" s="231"/>
      <c r="F73" s="231"/>
      <c r="G73" s="231"/>
      <c r="H73" s="231"/>
      <c r="I73" s="231"/>
      <c r="J73" s="231"/>
      <c r="K73" s="231"/>
      <c r="L73" s="231"/>
      <c r="M73" s="231"/>
      <c r="N73" s="231"/>
      <c r="O73" s="231"/>
    </row>
    <row r="75" spans="1:15">
      <c r="B75" s="2940"/>
      <c r="C75" s="4147" t="s">
        <v>2759</v>
      </c>
      <c r="D75" s="4147"/>
    </row>
    <row r="76" spans="1:15">
      <c r="B76" s="2940"/>
      <c r="C76" s="2940"/>
      <c r="D76" s="2940" t="s">
        <v>2076</v>
      </c>
    </row>
    <row r="77" spans="1:15">
      <c r="B77" s="2940"/>
      <c r="C77" s="2940" t="s">
        <v>36</v>
      </c>
      <c r="D77" s="2940">
        <v>327</v>
      </c>
    </row>
    <row r="78" spans="1:15">
      <c r="B78" s="2942" t="s">
        <v>1687</v>
      </c>
      <c r="C78" s="2942">
        <v>1</v>
      </c>
      <c r="D78" s="2942">
        <f>SUM(D77)</f>
        <v>327</v>
      </c>
    </row>
    <row r="81" spans="1:15" s="141" customFormat="1">
      <c r="A81" s="231"/>
      <c r="B81" s="231" t="s">
        <v>1687</v>
      </c>
      <c r="C81" s="231"/>
      <c r="D81" s="231"/>
      <c r="E81" s="231"/>
      <c r="F81" s="231"/>
      <c r="G81" s="231"/>
      <c r="H81" s="231"/>
      <c r="I81" s="231"/>
      <c r="J81" s="231"/>
      <c r="K81" s="231"/>
      <c r="L81" s="231"/>
      <c r="M81" s="231"/>
      <c r="N81" s="231"/>
      <c r="O81" s="231"/>
    </row>
    <row r="82" spans="1:15" s="141" customFormat="1"/>
    <row r="83" spans="1:15">
      <c r="K83" s="1828"/>
      <c r="L83" s="4145" t="s">
        <v>488</v>
      </c>
      <c r="M83" s="4145"/>
      <c r="N83" s="4146" t="s">
        <v>2076</v>
      </c>
      <c r="O83" s="4146"/>
    </row>
    <row r="84" spans="1:15">
      <c r="D84" s="1773" t="s">
        <v>488</v>
      </c>
      <c r="E84" s="1773" t="s">
        <v>2076</v>
      </c>
      <c r="K84" s="1828"/>
      <c r="L84" s="2938" t="s">
        <v>1925</v>
      </c>
      <c r="M84" s="2938" t="s">
        <v>2771</v>
      </c>
      <c r="N84" s="2943" t="s">
        <v>1925</v>
      </c>
      <c r="O84" s="2943" t="s">
        <v>2771</v>
      </c>
    </row>
    <row r="85" spans="1:15">
      <c r="C85" s="1734" t="s">
        <v>2770</v>
      </c>
      <c r="D85" s="1773">
        <f>C70</f>
        <v>1</v>
      </c>
      <c r="E85" s="1773">
        <f>D70:D70</f>
        <v>191</v>
      </c>
      <c r="K85" s="1828"/>
      <c r="L85" s="2938">
        <v>1</v>
      </c>
      <c r="M85" s="2938">
        <f t="shared" ref="M85:M92" si="0">D85-L85</f>
        <v>0</v>
      </c>
      <c r="N85" s="2943">
        <v>191</v>
      </c>
      <c r="O85" s="2943">
        <f t="shared" ref="O85:O92" si="1">E85-N85</f>
        <v>0</v>
      </c>
    </row>
    <row r="86" spans="1:15">
      <c r="C86" s="1734" t="s">
        <v>2772</v>
      </c>
      <c r="D86" s="1773">
        <f>G17</f>
        <v>10</v>
      </c>
      <c r="E86" s="1773">
        <f>H17</f>
        <v>4093</v>
      </c>
      <c r="K86" s="1828"/>
      <c r="L86" s="2938">
        <v>11</v>
      </c>
      <c r="M86" s="2938">
        <f t="shared" si="0"/>
        <v>-1</v>
      </c>
      <c r="N86" s="2943">
        <v>4264</v>
      </c>
      <c r="O86" s="2943">
        <f t="shared" si="1"/>
        <v>-171</v>
      </c>
    </row>
    <row r="87" spans="1:15">
      <c r="C87" s="1734" t="s">
        <v>2773</v>
      </c>
      <c r="D87" s="1773">
        <f>K17</f>
        <v>10</v>
      </c>
      <c r="E87" s="1773">
        <f>L17</f>
        <v>2402</v>
      </c>
      <c r="K87" s="1828"/>
      <c r="L87" s="2938">
        <v>10</v>
      </c>
      <c r="M87" s="2938">
        <f t="shared" si="0"/>
        <v>0</v>
      </c>
      <c r="N87" s="2943">
        <v>2402</v>
      </c>
      <c r="O87" s="2943">
        <f t="shared" si="1"/>
        <v>0</v>
      </c>
    </row>
    <row r="88" spans="1:15">
      <c r="C88" s="1734" t="s">
        <v>2774</v>
      </c>
      <c r="D88" s="1773">
        <f>K25</f>
        <v>1</v>
      </c>
      <c r="E88" s="1773">
        <f>L25</f>
        <v>130</v>
      </c>
      <c r="K88" s="1828"/>
      <c r="L88" s="2938">
        <v>1</v>
      </c>
      <c r="M88" s="2938">
        <f t="shared" si="0"/>
        <v>0</v>
      </c>
      <c r="N88" s="2943">
        <v>130</v>
      </c>
      <c r="O88" s="2943">
        <f t="shared" si="1"/>
        <v>0</v>
      </c>
    </row>
    <row r="89" spans="1:15">
      <c r="C89" s="1734" t="s">
        <v>2769</v>
      </c>
      <c r="D89" s="1734">
        <f>C32+C45+C64+C78</f>
        <v>39</v>
      </c>
      <c r="E89" s="1734">
        <f>D32+D45+D64+D78</f>
        <v>27129</v>
      </c>
      <c r="K89" s="1828"/>
      <c r="L89" s="2938">
        <v>40</v>
      </c>
      <c r="M89" s="2938">
        <f t="shared" si="0"/>
        <v>-1</v>
      </c>
      <c r="N89" s="2943">
        <v>27258</v>
      </c>
      <c r="O89" s="2943">
        <f t="shared" si="1"/>
        <v>-129</v>
      </c>
    </row>
    <row r="90" spans="1:15">
      <c r="C90" s="1734" t="s">
        <v>1392</v>
      </c>
      <c r="D90" s="1734">
        <f>K33</f>
        <v>2</v>
      </c>
      <c r="E90" s="1734">
        <f>L33</f>
        <v>290</v>
      </c>
      <c r="K90" s="1828"/>
      <c r="L90" s="2938">
        <v>2</v>
      </c>
      <c r="M90" s="2938">
        <f t="shared" si="0"/>
        <v>0</v>
      </c>
      <c r="N90" s="2943">
        <v>290</v>
      </c>
      <c r="O90" s="2943">
        <f t="shared" si="1"/>
        <v>0</v>
      </c>
    </row>
    <row r="91" spans="1:15">
      <c r="C91" s="1734" t="s">
        <v>2775</v>
      </c>
      <c r="D91" s="1734">
        <f>G23</f>
        <v>1</v>
      </c>
      <c r="E91" s="1734">
        <f>H23</f>
        <v>224</v>
      </c>
      <c r="K91" s="1828"/>
      <c r="L91" s="2938">
        <v>1</v>
      </c>
      <c r="M91" s="2938">
        <f t="shared" si="0"/>
        <v>0</v>
      </c>
      <c r="N91" s="2943">
        <v>224</v>
      </c>
      <c r="O91" s="2943">
        <f t="shared" si="1"/>
        <v>0</v>
      </c>
    </row>
    <row r="92" spans="1:15">
      <c r="C92" s="1734" t="s">
        <v>2792</v>
      </c>
      <c r="D92" s="1734">
        <f>G32</f>
        <v>3</v>
      </c>
      <c r="E92" s="1734">
        <f>H32</f>
        <v>959</v>
      </c>
      <c r="K92" s="1828"/>
      <c r="L92" s="2938">
        <v>3</v>
      </c>
      <c r="M92" s="2938">
        <f t="shared" si="0"/>
        <v>0</v>
      </c>
      <c r="N92" s="2943">
        <v>959</v>
      </c>
      <c r="O92" s="2943">
        <f t="shared" si="1"/>
        <v>0</v>
      </c>
    </row>
    <row r="93" spans="1:15">
      <c r="D93" s="1734">
        <f>SUM(D85:D92)</f>
        <v>67</v>
      </c>
      <c r="E93" s="1734">
        <f>SUM(E85:E92)</f>
        <v>35418</v>
      </c>
    </row>
    <row r="96" spans="1:15">
      <c r="C96" s="1734" t="s">
        <v>1396</v>
      </c>
      <c r="E96" s="1734">
        <f>+D32+H17+H23+H32+L33+L25+L17</f>
        <v>31185</v>
      </c>
    </row>
  </sheetData>
  <mergeCells count="13">
    <mergeCell ref="C75:D75"/>
    <mergeCell ref="C51:D51"/>
    <mergeCell ref="C41:D41"/>
    <mergeCell ref="C5:D5"/>
    <mergeCell ref="C67:D67"/>
    <mergeCell ref="L83:M83"/>
    <mergeCell ref="N83:O83"/>
    <mergeCell ref="G5:H5"/>
    <mergeCell ref="K5:L5"/>
    <mergeCell ref="K22:L22"/>
    <mergeCell ref="K29:L29"/>
    <mergeCell ref="G21:H21"/>
    <mergeCell ref="G28:H28"/>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U164"/>
  <sheetViews>
    <sheetView showGridLines="0" zoomScale="70" zoomScaleNormal="70" workbookViewId="0"/>
  </sheetViews>
  <sheetFormatPr defaultRowHeight="13.5" customHeight="1"/>
  <cols>
    <col min="1" max="1" width="42.625" style="2301" customWidth="1"/>
    <col min="2" max="2" width="1.5" style="1734" customWidth="1"/>
    <col min="3" max="4" width="9" style="1734"/>
    <col min="5" max="5" width="1.5" style="1734" customWidth="1"/>
    <col min="6" max="8" width="9" style="1734"/>
    <col min="9" max="9" width="1.5" style="1734" customWidth="1"/>
    <col min="10" max="11" width="9" style="1734"/>
    <col min="12" max="13" width="11.625" style="1734" customWidth="1"/>
    <col min="14" max="14" width="22.375" style="1734" customWidth="1"/>
    <col min="15" max="16" width="9" style="1734"/>
    <col min="17" max="17" width="1.625" style="1734" customWidth="1"/>
    <col min="18" max="19" width="9" style="1734"/>
    <col min="20" max="20" width="1.625" style="1734" customWidth="1"/>
    <col min="21" max="22" width="9" style="1734"/>
    <col min="23" max="23" width="1.625" style="1734" customWidth="1"/>
    <col min="24" max="25" width="9" style="1734"/>
    <col min="26" max="26" width="1.625" style="1734" customWidth="1"/>
    <col min="27" max="27" width="19.25" style="1734" customWidth="1"/>
    <col min="28" max="28" width="10.125" style="1734" customWidth="1"/>
    <col min="29" max="29" width="8.625" style="1734" customWidth="1"/>
    <col min="30" max="30" width="1.625" style="1734" customWidth="1"/>
    <col min="31" max="31" width="8.625" style="1734" customWidth="1"/>
    <col min="32" max="32" width="1.625" style="1734" customWidth="1"/>
    <col min="33" max="33" width="7.625" style="1734" customWidth="1"/>
    <col min="34" max="34" width="1.625" style="1734" customWidth="1"/>
    <col min="35" max="35" width="10.25" style="1734" customWidth="1"/>
    <col min="36" max="44" width="9.625" style="1734" customWidth="1"/>
    <col min="45" max="45" width="7.625" style="1734" customWidth="1"/>
    <col min="46" max="46" width="44" style="1734" customWidth="1"/>
    <col min="47" max="47" width="13.125" style="1734" customWidth="1"/>
    <col min="48" max="48" width="14" style="1734" customWidth="1"/>
    <col min="49" max="60" width="9" style="1734"/>
    <col min="61" max="61" width="4" style="1734" customWidth="1"/>
    <col min="62" max="62" width="13.875" style="1734" customWidth="1"/>
    <col min="63" max="16384" width="9" style="1734"/>
  </cols>
  <sheetData>
    <row r="1" spans="1:19" ht="13.5" customHeight="1">
      <c r="A1" s="2255" t="s">
        <v>1894</v>
      </c>
      <c r="B1" s="2256"/>
      <c r="C1" s="2324" t="s">
        <v>2307</v>
      </c>
      <c r="D1" s="2256"/>
      <c r="E1" s="2256"/>
      <c r="F1" s="2256"/>
      <c r="G1" s="2256"/>
      <c r="H1" s="2256"/>
      <c r="I1" s="2256"/>
      <c r="J1" s="2256"/>
      <c r="K1" s="2256"/>
      <c r="L1" s="2256"/>
      <c r="M1" s="2256"/>
      <c r="N1" s="2256"/>
      <c r="O1" s="2256"/>
      <c r="P1" s="2256"/>
      <c r="Q1" s="2256"/>
      <c r="R1" s="2256"/>
      <c r="S1" s="2256"/>
    </row>
    <row r="2" spans="1:19" ht="13.5" customHeight="1">
      <c r="A2" s="2255" t="s">
        <v>2152</v>
      </c>
      <c r="B2" s="2256"/>
      <c r="C2" s="2256"/>
      <c r="D2" s="2256"/>
      <c r="E2" s="2256"/>
      <c r="F2" s="2256"/>
      <c r="G2" s="2256"/>
      <c r="H2" s="2256"/>
      <c r="I2" s="2256"/>
      <c r="J2" s="2256"/>
      <c r="K2" s="2256"/>
      <c r="L2" s="2256"/>
      <c r="M2" s="2257"/>
      <c r="N2" s="2257"/>
      <c r="O2" s="2257"/>
      <c r="P2" s="2257"/>
      <c r="Q2" s="2257"/>
      <c r="R2" s="2257"/>
      <c r="S2" s="2257"/>
    </row>
    <row r="3" spans="1:19" ht="13.5" customHeight="1">
      <c r="A3" s="2258"/>
      <c r="B3" s="2256"/>
      <c r="C3" s="904"/>
      <c r="D3" s="2256"/>
      <c r="E3" s="2256"/>
      <c r="F3" s="2256"/>
      <c r="G3" s="2256"/>
      <c r="H3" s="2256"/>
      <c r="I3" s="2256"/>
      <c r="J3" s="2256"/>
      <c r="K3" s="2256"/>
      <c r="L3" s="2256"/>
      <c r="M3" s="2257"/>
      <c r="N3" s="2257"/>
      <c r="O3" s="2257"/>
      <c r="P3" s="2257"/>
      <c r="Q3" s="2257"/>
      <c r="R3" s="2257"/>
      <c r="S3" s="2257"/>
    </row>
    <row r="4" spans="1:19" ht="13.5" customHeight="1" thickBot="1">
      <c r="A4" s="2259"/>
      <c r="B4" s="2256"/>
      <c r="C4" s="2256"/>
      <c r="D4" s="2256"/>
      <c r="E4" s="2256"/>
      <c r="F4" s="2256"/>
      <c r="G4" s="2256"/>
      <c r="H4" s="2256"/>
      <c r="I4" s="2256"/>
      <c r="J4" s="2256"/>
      <c r="K4" s="2256"/>
      <c r="L4" s="2256"/>
      <c r="M4" s="2257"/>
      <c r="N4" s="2257"/>
      <c r="O4" s="2257"/>
      <c r="P4" s="2257"/>
      <c r="Q4" s="2257"/>
      <c r="R4" s="2257"/>
      <c r="S4" s="2257"/>
    </row>
    <row r="5" spans="1:19" ht="13.5" customHeight="1">
      <c r="A5" s="2311" t="s">
        <v>2153</v>
      </c>
      <c r="B5" s="2312"/>
      <c r="C5" s="2325" t="s">
        <v>1900</v>
      </c>
      <c r="D5" s="2326"/>
      <c r="E5" s="2326"/>
      <c r="F5" s="2326"/>
      <c r="G5" s="2327"/>
      <c r="H5" s="2325" t="s">
        <v>2174</v>
      </c>
      <c r="I5" s="2326"/>
      <c r="J5" s="2328"/>
      <c r="K5" s="2329"/>
      <c r="L5" s="2256"/>
      <c r="M5" s="2260"/>
      <c r="N5" s="2260"/>
      <c r="O5" s="2257"/>
      <c r="P5" s="2257"/>
      <c r="Q5" s="2257"/>
      <c r="R5" s="2257"/>
      <c r="S5" s="2257"/>
    </row>
    <row r="6" spans="1:19" ht="13.5" customHeight="1">
      <c r="A6" s="2313"/>
      <c r="B6" s="2314"/>
      <c r="C6" s="2330"/>
      <c r="D6" s="2314"/>
      <c r="E6" s="2314"/>
      <c r="F6" s="2315" t="s">
        <v>2154</v>
      </c>
      <c r="G6" s="2331"/>
      <c r="H6" s="2314"/>
      <c r="I6" s="2314"/>
      <c r="J6" s="2315" t="s">
        <v>2154</v>
      </c>
      <c r="K6" s="2316"/>
      <c r="L6" s="2256"/>
      <c r="M6" s="2257"/>
      <c r="N6" s="2257"/>
      <c r="O6" s="2257"/>
      <c r="P6" s="2257"/>
      <c r="Q6" s="2257"/>
      <c r="R6" s="2257"/>
      <c r="S6" s="2257"/>
    </row>
    <row r="7" spans="1:19" ht="13.5" customHeight="1" thickBot="1">
      <c r="A7" s="2317"/>
      <c r="B7" s="2318"/>
      <c r="C7" s="2319" t="s">
        <v>2395</v>
      </c>
      <c r="D7" s="2320" t="s">
        <v>1893</v>
      </c>
      <c r="E7" s="2320"/>
      <c r="F7" s="2320" t="s">
        <v>1715</v>
      </c>
      <c r="G7" s="2320" t="s">
        <v>2143</v>
      </c>
      <c r="H7" s="2319" t="s">
        <v>1919</v>
      </c>
      <c r="I7" s="2320"/>
      <c r="J7" s="2320" t="s">
        <v>1715</v>
      </c>
      <c r="K7" s="2321" t="s">
        <v>2143</v>
      </c>
      <c r="L7"/>
      <c r="M7"/>
      <c r="N7" s="2262"/>
      <c r="O7" s="2257"/>
      <c r="P7" s="2261"/>
      <c r="Q7" s="2261"/>
      <c r="R7" s="2257"/>
      <c r="S7" s="2257"/>
    </row>
    <row r="8" spans="1:19" ht="15" customHeight="1">
      <c r="A8" s="2263" t="s">
        <v>698</v>
      </c>
      <c r="B8" s="2257"/>
      <c r="C8" s="2264"/>
      <c r="D8" s="2303"/>
      <c r="E8" s="2340"/>
      <c r="F8" s="2340"/>
      <c r="G8" s="2257"/>
      <c r="H8" s="2352"/>
      <c r="I8" s="2257"/>
      <c r="J8" s="2257"/>
      <c r="K8" s="2265"/>
      <c r="L8" s="2256"/>
      <c r="M8" s="2260"/>
      <c r="N8" s="2260"/>
      <c r="O8" s="2257"/>
      <c r="P8" s="2257"/>
      <c r="Q8" s="2257"/>
      <c r="R8" s="2257"/>
      <c r="S8" s="2257"/>
    </row>
    <row r="9" spans="1:19" ht="15" customHeight="1">
      <c r="A9" s="2266" t="s">
        <v>1245</v>
      </c>
      <c r="B9" s="2257"/>
      <c r="C9" s="2267">
        <f>Hilton!W9</f>
        <v>1135</v>
      </c>
      <c r="D9" s="2322">
        <f>Hilton!R9</f>
        <v>1117</v>
      </c>
      <c r="E9" s="2268"/>
      <c r="F9" s="2268">
        <f>C9-D9</f>
        <v>18</v>
      </c>
      <c r="G9" s="2269">
        <f>IF(D9=0,0,C9/D9-1)</f>
        <v>1.6114592658907689E-2</v>
      </c>
      <c r="H9" s="923">
        <v>1184.0383517443486</v>
      </c>
      <c r="I9" s="2270"/>
      <c r="J9" s="2268">
        <f>C9-H9</f>
        <v>-49.038351744348574</v>
      </c>
      <c r="K9" s="2304">
        <f>IF(H9=0,0,C9/H9-1)</f>
        <v>-4.1416185271451966E-2</v>
      </c>
      <c r="L9" s="2256"/>
      <c r="M9" s="2260"/>
      <c r="N9" s="2260"/>
      <c r="O9" s="2257"/>
      <c r="P9" s="2257"/>
      <c r="Q9" s="2257"/>
      <c r="R9" s="2257"/>
      <c r="S9" s="2257"/>
    </row>
    <row r="10" spans="1:19" ht="15" customHeight="1">
      <c r="A10" s="2266" t="s">
        <v>1244</v>
      </c>
      <c r="B10" s="2257"/>
      <c r="C10" s="2271">
        <f>Hilton!W16</f>
        <v>407</v>
      </c>
      <c r="D10" s="2341">
        <f>Hilton!R16</f>
        <v>354</v>
      </c>
      <c r="E10" s="2270"/>
      <c r="F10" s="2270">
        <f>C10-D10</f>
        <v>53</v>
      </c>
      <c r="G10" s="2269">
        <f>IF(D10=0,0,C10/D10-1)</f>
        <v>0.14971751412429368</v>
      </c>
      <c r="H10" s="639">
        <v>403.40329690095723</v>
      </c>
      <c r="I10" s="2270"/>
      <c r="J10" s="2270">
        <f>C10-H10</f>
        <v>3.5967030990427702</v>
      </c>
      <c r="K10" s="2304">
        <f>IF(H10=0,0,C10/H10-1)</f>
        <v>8.9158991180129377E-3</v>
      </c>
      <c r="L10" s="2256"/>
      <c r="M10" s="2262"/>
      <c r="N10" s="2262"/>
      <c r="O10" s="2257"/>
      <c r="P10" s="2257"/>
      <c r="Q10" s="2257"/>
      <c r="R10" s="2257"/>
      <c r="S10" s="2257"/>
    </row>
    <row r="11" spans="1:19" ht="15" customHeight="1">
      <c r="A11" s="2266" t="s">
        <v>750</v>
      </c>
      <c r="B11" s="2257"/>
      <c r="C11" s="2271">
        <f>Hilton!W18</f>
        <v>319</v>
      </c>
      <c r="D11" s="2341">
        <f>Hilton!R18</f>
        <v>276</v>
      </c>
      <c r="E11" s="2270"/>
      <c r="F11" s="2270">
        <f>C11-D11</f>
        <v>43</v>
      </c>
      <c r="G11" s="2269">
        <f>IF(D11=0,0,C11/D11-1)</f>
        <v>0.15579710144927539</v>
      </c>
      <c r="H11" s="639">
        <v>293.94</v>
      </c>
      <c r="I11" s="2270"/>
      <c r="J11" s="2270">
        <f>C11-H11</f>
        <v>25.060000000000002</v>
      </c>
      <c r="K11" s="2304">
        <f>IF(H11=0,0,C11/H11-1)</f>
        <v>8.5255494318568381E-2</v>
      </c>
      <c r="L11" s="2257"/>
      <c r="M11" s="2257"/>
      <c r="N11" s="2257"/>
      <c r="O11" s="2257"/>
      <c r="P11" s="2257"/>
      <c r="Q11" s="2257"/>
      <c r="R11" s="2257"/>
      <c r="S11" s="2257"/>
    </row>
    <row r="12" spans="1:19" ht="15" customHeight="1">
      <c r="A12" s="2266" t="s">
        <v>1896</v>
      </c>
      <c r="B12" s="2257"/>
      <c r="C12" s="2271">
        <f>Hilton!W23</f>
        <v>1061</v>
      </c>
      <c r="D12" s="2341">
        <f>Hilton!R23</f>
        <v>920</v>
      </c>
      <c r="E12" s="2270"/>
      <c r="F12" s="2270">
        <f>C12-D12</f>
        <v>141</v>
      </c>
      <c r="G12" s="2269">
        <f>IF(D12=0,0,C12/D12-1)</f>
        <v>0.15326086956521734</v>
      </c>
      <c r="H12" s="639">
        <v>1048.3927490081376</v>
      </c>
      <c r="I12" s="2270"/>
      <c r="J12" s="2270">
        <f>C12-H12</f>
        <v>12.607250991862429</v>
      </c>
      <c r="K12" s="2304">
        <f>IF(H12=0,0,C12/H12-1)</f>
        <v>1.2025313036350127E-2</v>
      </c>
      <c r="L12" s="2257"/>
      <c r="M12" s="2257"/>
      <c r="N12" s="2257"/>
      <c r="O12" s="2257"/>
      <c r="P12" s="2257"/>
      <c r="Q12" s="2257"/>
      <c r="R12" s="2257"/>
      <c r="S12" s="2257"/>
    </row>
    <row r="13" spans="1:19" ht="15" customHeight="1">
      <c r="A13" s="2332" t="s">
        <v>1895</v>
      </c>
      <c r="B13" s="2333"/>
      <c r="C13" s="1464">
        <f>SUM(C9:C12)</f>
        <v>2922</v>
      </c>
      <c r="D13" s="2342">
        <f>SUM(D9:D12)</f>
        <v>2667</v>
      </c>
      <c r="E13" s="2334"/>
      <c r="F13" s="1470">
        <f>C13-D13</f>
        <v>255</v>
      </c>
      <c r="G13" s="2335">
        <f>IF(D13=0,0,C13/D13-1)</f>
        <v>9.5613048368953901E-2</v>
      </c>
      <c r="H13" s="1464">
        <f>SUM(H9:H12)</f>
        <v>2929.7743976534434</v>
      </c>
      <c r="I13" s="2334"/>
      <c r="J13" s="1470">
        <f>C13-H13</f>
        <v>-7.7743976534434296</v>
      </c>
      <c r="K13" s="2353">
        <f>IF(H13=0,0,C13/H13-1)</f>
        <v>-2.653582357628026E-3</v>
      </c>
      <c r="L13" s="2257"/>
      <c r="M13" s="2257"/>
      <c r="N13" s="2257"/>
      <c r="O13" s="2257"/>
      <c r="P13" s="2272"/>
      <c r="Q13" s="2272"/>
      <c r="R13" s="2257"/>
      <c r="S13" s="2257"/>
    </row>
    <row r="14" spans="1:19" ht="13.5" customHeight="1">
      <c r="A14" s="2273"/>
      <c r="B14" s="2257"/>
      <c r="C14" s="2271"/>
      <c r="D14" s="2341"/>
      <c r="E14" s="2270"/>
      <c r="F14" s="2270"/>
      <c r="G14" s="2274"/>
      <c r="H14" s="2271"/>
      <c r="I14" s="2270"/>
      <c r="J14" s="2270"/>
      <c r="K14" s="2306"/>
      <c r="L14" s="2257"/>
      <c r="M14" s="2257"/>
      <c r="N14" s="2257"/>
      <c r="O14" s="2257"/>
      <c r="P14" s="2275"/>
      <c r="Q14" s="2275"/>
      <c r="R14" s="2257"/>
      <c r="S14" s="2257"/>
    </row>
    <row r="15" spans="1:19" ht="15" customHeight="1">
      <c r="A15" s="2276" t="s">
        <v>840</v>
      </c>
      <c r="B15" s="2257"/>
      <c r="C15" s="2271"/>
      <c r="D15" s="2341"/>
      <c r="E15" s="2270"/>
      <c r="F15" s="2270"/>
      <c r="G15" s="2274"/>
      <c r="H15" s="2271"/>
      <c r="I15" s="2270"/>
      <c r="J15" s="2270"/>
      <c r="K15" s="2306"/>
      <c r="L15" s="2257"/>
      <c r="M15" s="2257"/>
      <c r="N15" s="2257"/>
      <c r="O15" s="2257"/>
      <c r="P15" s="2257"/>
      <c r="Q15" s="2257"/>
      <c r="R15" s="2257"/>
      <c r="S15" s="2257"/>
    </row>
    <row r="16" spans="1:19" ht="15" customHeight="1">
      <c r="A16" s="2266" t="s">
        <v>1783</v>
      </c>
      <c r="B16" s="2257"/>
      <c r="C16" s="2338">
        <f>Hilton!W31</f>
        <v>817</v>
      </c>
      <c r="D16" s="2323">
        <f>Hilton!R31</f>
        <v>833</v>
      </c>
      <c r="E16" s="2270"/>
      <c r="F16" s="2305">
        <f t="shared" ref="F16:F21" si="0">C16-D16</f>
        <v>-16</v>
      </c>
      <c r="G16" s="2269">
        <f t="shared" ref="G16:G21" si="1">IF(D16=0,0,C16/D16-1)</f>
        <v>-1.9207683073229287E-2</v>
      </c>
      <c r="H16" s="639">
        <v>872.33734060246763</v>
      </c>
      <c r="I16" s="2270"/>
      <c r="J16" s="2270">
        <f t="shared" ref="J16:J21" si="2">C16-H16</f>
        <v>-55.337340602467634</v>
      </c>
      <c r="K16" s="2304">
        <f t="shared" ref="K16:K21" si="3">IF(H16=0,0,C16/H16-1)</f>
        <v>-6.3435712340652151E-2</v>
      </c>
      <c r="L16" s="2257"/>
      <c r="M16" s="2257"/>
      <c r="N16" s="2257"/>
      <c r="O16" s="2257"/>
      <c r="P16" s="2257"/>
      <c r="Q16" s="2257"/>
      <c r="R16" s="2257"/>
      <c r="S16" s="2257"/>
    </row>
    <row r="17" spans="1:19" ht="15" customHeight="1">
      <c r="A17" s="2266" t="s">
        <v>750</v>
      </c>
      <c r="B17" s="2257"/>
      <c r="C17" s="2271">
        <f>Hilton!W32</f>
        <v>220</v>
      </c>
      <c r="D17" s="2341">
        <f>Hilton!R32</f>
        <v>188</v>
      </c>
      <c r="E17" s="2270"/>
      <c r="F17" s="2270">
        <f t="shared" si="0"/>
        <v>32</v>
      </c>
      <c r="G17" s="2269">
        <f t="shared" si="1"/>
        <v>0.17021276595744683</v>
      </c>
      <c r="H17" s="639">
        <v>197.4</v>
      </c>
      <c r="I17" s="2270"/>
      <c r="J17" s="2270">
        <f t="shared" si="2"/>
        <v>22.599999999999994</v>
      </c>
      <c r="K17" s="2304">
        <f t="shared" si="3"/>
        <v>0.11448834853090162</v>
      </c>
      <c r="L17" s="2257"/>
      <c r="M17" s="2257"/>
      <c r="N17" s="2257"/>
      <c r="O17" s="2257"/>
      <c r="P17" s="2257"/>
      <c r="Q17" s="2257"/>
      <c r="R17" s="2257"/>
      <c r="S17" s="2257"/>
    </row>
    <row r="18" spans="1:19" ht="15" customHeight="1">
      <c r="A18" s="2266" t="s">
        <v>2090</v>
      </c>
      <c r="B18" s="2257"/>
      <c r="C18" s="2271">
        <f>Hilton!W33</f>
        <v>221</v>
      </c>
      <c r="D18" s="2341">
        <f>Hilton!R33</f>
        <v>133</v>
      </c>
      <c r="E18" s="2270"/>
      <c r="F18" s="2270">
        <f t="shared" si="0"/>
        <v>88</v>
      </c>
      <c r="G18" s="2269">
        <f t="shared" si="1"/>
        <v>0.66165413533834583</v>
      </c>
      <c r="H18" s="639">
        <v>128.91007349675149</v>
      </c>
      <c r="I18" s="2270"/>
      <c r="J18" s="2270">
        <f t="shared" si="2"/>
        <v>92.089926503248506</v>
      </c>
      <c r="K18" s="2304">
        <f t="shared" si="3"/>
        <v>0.71437339228240493</v>
      </c>
      <c r="L18" s="2257"/>
      <c r="M18" s="2257"/>
      <c r="N18" s="2257"/>
      <c r="O18" s="2257"/>
      <c r="P18" s="2257"/>
      <c r="Q18" s="2257"/>
      <c r="R18" s="2257"/>
      <c r="S18" s="2257"/>
    </row>
    <row r="19" spans="1:19" ht="15" customHeight="1">
      <c r="A19" s="2266" t="s">
        <v>1902</v>
      </c>
      <c r="B19" s="2257"/>
      <c r="C19" s="2271">
        <f>Hilton!W35</f>
        <v>1061</v>
      </c>
      <c r="D19" s="2341">
        <f>Hilton!R35</f>
        <v>920</v>
      </c>
      <c r="E19" s="2270"/>
      <c r="F19" s="2270">
        <f t="shared" si="0"/>
        <v>141</v>
      </c>
      <c r="G19" s="2269">
        <f t="shared" si="1"/>
        <v>0.15326086956521734</v>
      </c>
      <c r="H19" s="639">
        <v>1048.3927490081376</v>
      </c>
      <c r="I19" s="2270"/>
      <c r="J19" s="2270">
        <f t="shared" si="2"/>
        <v>12.607250991862429</v>
      </c>
      <c r="K19" s="2304">
        <f t="shared" si="3"/>
        <v>1.2025313036350127E-2</v>
      </c>
      <c r="L19" s="2257"/>
      <c r="M19" s="2257"/>
      <c r="N19" s="2257"/>
      <c r="O19" s="2257"/>
      <c r="P19" s="2257"/>
      <c r="Q19" s="2257"/>
      <c r="R19" s="2257"/>
      <c r="S19" s="2257"/>
    </row>
    <row r="20" spans="1:19" ht="15" customHeight="1">
      <c r="A20" s="2266" t="s">
        <v>2306</v>
      </c>
      <c r="B20" s="2257"/>
      <c r="C20" s="2271">
        <f>Hilton!W45</f>
        <v>173</v>
      </c>
      <c r="D20" s="2341">
        <f>Hilton!R45</f>
        <v>158</v>
      </c>
      <c r="E20" s="2270"/>
      <c r="F20" s="2270">
        <f t="shared" si="0"/>
        <v>15</v>
      </c>
      <c r="G20" s="2269">
        <f t="shared" si="1"/>
        <v>9.4936708860759556E-2</v>
      </c>
      <c r="H20" s="639">
        <v>173.8</v>
      </c>
      <c r="I20" s="2270"/>
      <c r="J20" s="2270">
        <f t="shared" si="2"/>
        <v>-0.80000000000001137</v>
      </c>
      <c r="K20" s="2304">
        <f t="shared" si="3"/>
        <v>-4.602991944764212E-3</v>
      </c>
      <c r="L20"/>
      <c r="M20"/>
      <c r="N20" s="2257"/>
      <c r="O20" s="2257"/>
      <c r="P20" s="2257"/>
      <c r="Q20" s="2257"/>
      <c r="R20" s="2257"/>
      <c r="S20" s="2257"/>
    </row>
    <row r="21" spans="1:19" ht="15" customHeight="1">
      <c r="A21" s="2332" t="s">
        <v>840</v>
      </c>
      <c r="B21" s="2333"/>
      <c r="C21" s="1464">
        <f>SUM(C16:C20)</f>
        <v>2492</v>
      </c>
      <c r="D21" s="2342">
        <f>SUM(D16:D20)</f>
        <v>2232</v>
      </c>
      <c r="E21" s="2334"/>
      <c r="F21" s="1470">
        <f t="shared" si="0"/>
        <v>260</v>
      </c>
      <c r="G21" s="2335">
        <f t="shared" si="1"/>
        <v>0.11648745519713266</v>
      </c>
      <c r="H21" s="1464">
        <f>SUM(H16:H20)</f>
        <v>2420.8401631073566</v>
      </c>
      <c r="I21" s="2334"/>
      <c r="J21" s="1470">
        <f t="shared" si="2"/>
        <v>71.159836892643398</v>
      </c>
      <c r="K21" s="2353">
        <f t="shared" si="3"/>
        <v>2.9394686182545593E-2</v>
      </c>
      <c r="L21"/>
      <c r="M21"/>
      <c r="N21" s="2257"/>
      <c r="O21" s="2257"/>
      <c r="P21" s="2257"/>
      <c r="Q21" s="2257"/>
      <c r="R21" s="2257"/>
      <c r="S21" s="2257"/>
    </row>
    <row r="22" spans="1:19" ht="13.5" customHeight="1">
      <c r="A22" s="2277"/>
      <c r="B22" s="2257"/>
      <c r="C22" s="2271"/>
      <c r="D22" s="2341"/>
      <c r="E22" s="2270"/>
      <c r="F22" s="2270"/>
      <c r="G22" s="2274"/>
      <c r="H22" s="2271"/>
      <c r="I22" s="2270"/>
      <c r="J22" s="2270"/>
      <c r="K22" s="2306"/>
      <c r="L22"/>
      <c r="M22"/>
      <c r="N22" s="2257"/>
      <c r="O22" s="2257"/>
      <c r="P22" s="2257"/>
      <c r="Q22" s="2257"/>
      <c r="R22" s="2257"/>
      <c r="S22" s="2257"/>
    </row>
    <row r="23" spans="1:19" ht="13.5" customHeight="1">
      <c r="A23" s="2278" t="s">
        <v>199</v>
      </c>
      <c r="B23" s="2262"/>
      <c r="C23" s="2279">
        <f>C13-C21</f>
        <v>430</v>
      </c>
      <c r="D23" s="2343">
        <f>D13-D21</f>
        <v>435</v>
      </c>
      <c r="E23" s="2281"/>
      <c r="F23" s="2280">
        <f>C23-D23</f>
        <v>-5</v>
      </c>
      <c r="G23" s="2282">
        <f>IF(D23=0,0,C23/D23-1)</f>
        <v>-1.1494252873563204E-2</v>
      </c>
      <c r="H23" s="2279">
        <f>H13-H21</f>
        <v>508.93423454608683</v>
      </c>
      <c r="I23" s="2281"/>
      <c r="J23" s="2280">
        <f>C23-H23</f>
        <v>-78.934234546086827</v>
      </c>
      <c r="K23" s="2308">
        <f>IF(H23=0,0,C23/H23-1)</f>
        <v>-0.15509712097966344</v>
      </c>
      <c r="L23"/>
      <c r="M23"/>
      <c r="N23" s="2262"/>
      <c r="O23" s="2262"/>
      <c r="P23" s="2262"/>
      <c r="Q23" s="2262"/>
      <c r="R23" s="2262"/>
      <c r="S23" s="2262"/>
    </row>
    <row r="24" spans="1:19" ht="13.5" customHeight="1">
      <c r="A24" s="2278"/>
      <c r="B24" s="2257"/>
      <c r="C24" s="2283"/>
      <c r="D24" s="2344"/>
      <c r="E24" s="2270"/>
      <c r="F24" s="2281"/>
      <c r="G24" s="2274"/>
      <c r="H24" s="2283"/>
      <c r="I24" s="2270"/>
      <c r="J24" s="2281"/>
      <c r="K24" s="2306"/>
      <c r="L24"/>
      <c r="M24"/>
      <c r="N24" s="2257"/>
      <c r="O24" s="2257"/>
      <c r="P24" s="2257"/>
      <c r="Q24" s="2257"/>
      <c r="R24" s="2257"/>
      <c r="S24" s="2257"/>
    </row>
    <row r="25" spans="1:19" ht="15" customHeight="1">
      <c r="A25" s="384" t="s">
        <v>578</v>
      </c>
      <c r="B25" s="2257"/>
      <c r="C25" s="2339">
        <f>Hilton!W50</f>
        <v>2</v>
      </c>
      <c r="D25" s="2341">
        <f>Hilton!R50</f>
        <v>5</v>
      </c>
      <c r="E25" s="2270"/>
      <c r="F25" s="2270">
        <f>C25-D25</f>
        <v>-3</v>
      </c>
      <c r="G25" s="2269">
        <f>IF(D25=0,0,C25/D25-1)</f>
        <v>-0.6</v>
      </c>
      <c r="H25" s="639">
        <v>1.25</v>
      </c>
      <c r="I25" s="2270"/>
      <c r="J25" s="2270">
        <f t="shared" ref="J25:J33" si="4">C25-H25</f>
        <v>0.75</v>
      </c>
      <c r="K25" s="2355" t="s">
        <v>2296</v>
      </c>
      <c r="L25"/>
      <c r="M25"/>
      <c r="N25" s="2257"/>
      <c r="O25" s="2257"/>
      <c r="P25" s="2257"/>
      <c r="Q25" s="2257"/>
      <c r="R25" s="2257"/>
      <c r="S25" s="2257"/>
    </row>
    <row r="26" spans="1:19" ht="15" customHeight="1">
      <c r="A26" s="384" t="s">
        <v>577</v>
      </c>
      <c r="B26" s="2257"/>
      <c r="C26" s="2271">
        <f>Hilton!W51</f>
        <v>-149</v>
      </c>
      <c r="D26" s="2341">
        <f>Hilton!R51</f>
        <v>-158</v>
      </c>
      <c r="E26" s="2270"/>
      <c r="F26" s="2270">
        <f>C26-D26</f>
        <v>9</v>
      </c>
      <c r="G26" s="2269">
        <f>IF(D26=0,0,C26/D26-1)</f>
        <v>-5.6962025316455667E-2</v>
      </c>
      <c r="H26" s="639">
        <v>-142.04578437499998</v>
      </c>
      <c r="I26" s="2270"/>
      <c r="J26" s="2270">
        <f t="shared" si="4"/>
        <v>-6.9542156250000176</v>
      </c>
      <c r="K26" s="2304">
        <f>IF(H26=0,0,C26/H26-1)</f>
        <v>4.8957564320535774E-2</v>
      </c>
      <c r="L26"/>
      <c r="M26"/>
      <c r="N26" s="2257"/>
      <c r="O26" s="2257"/>
      <c r="P26" s="2257"/>
      <c r="Q26" s="2257"/>
      <c r="R26" s="2257"/>
      <c r="S26" s="2257"/>
    </row>
    <row r="27" spans="1:19" ht="15" customHeight="1">
      <c r="A27" s="384" t="s">
        <v>2148</v>
      </c>
      <c r="B27" s="2257"/>
      <c r="C27" s="2271">
        <f>Hilton!W52</f>
        <v>9</v>
      </c>
      <c r="D27" s="2341">
        <f>Hilton!R52</f>
        <v>8</v>
      </c>
      <c r="E27" s="2270"/>
      <c r="F27" s="2270">
        <f>C27-D27</f>
        <v>1</v>
      </c>
      <c r="G27" s="2269">
        <f>IF(D27=0,0,C27/D27-1)</f>
        <v>0.125</v>
      </c>
      <c r="H27" s="639">
        <v>8</v>
      </c>
      <c r="I27" s="2270"/>
      <c r="J27" s="2270">
        <f t="shared" si="4"/>
        <v>1</v>
      </c>
      <c r="K27" s="2304">
        <f>IF(H27=0,0,C27/H27-1)</f>
        <v>0.125</v>
      </c>
      <c r="L27"/>
      <c r="M27"/>
      <c r="N27" s="2257"/>
      <c r="O27" s="2257"/>
      <c r="P27" s="2257"/>
      <c r="Q27" s="2257"/>
      <c r="R27" s="2257"/>
      <c r="S27" s="2257"/>
    </row>
    <row r="28" spans="1:19" ht="15" customHeight="1">
      <c r="A28" s="2266" t="s">
        <v>395</v>
      </c>
      <c r="B28" s="2257"/>
      <c r="C28" s="2271">
        <f>SUM(Hilton!W53:W54)</f>
        <v>23</v>
      </c>
      <c r="D28" s="2341">
        <f>SUM(Hilton!R53:R54)</f>
        <v>43</v>
      </c>
      <c r="E28" s="2270"/>
      <c r="F28" s="2270">
        <f>C28-D28</f>
        <v>-20</v>
      </c>
      <c r="G28" s="2269">
        <f>IF(D28=0,0,C28/D28-1)</f>
        <v>-0.46511627906976749</v>
      </c>
      <c r="H28" s="639">
        <v>0</v>
      </c>
      <c r="I28" s="2270"/>
      <c r="J28" s="2270">
        <f t="shared" si="4"/>
        <v>23</v>
      </c>
      <c r="K28" s="2355" t="s">
        <v>2296</v>
      </c>
      <c r="L28"/>
      <c r="M28"/>
      <c r="N28" s="2257"/>
      <c r="O28" s="2257"/>
      <c r="P28" s="2257"/>
      <c r="Q28" s="2257"/>
      <c r="R28" s="2257"/>
      <c r="S28" s="2257"/>
    </row>
    <row r="29" spans="1:19" ht="15" customHeight="1">
      <c r="A29" s="2285" t="s">
        <v>22</v>
      </c>
      <c r="B29" s="2286"/>
      <c r="C29" s="2287">
        <f>SUM(C23:C28)</f>
        <v>315</v>
      </c>
      <c r="D29" s="2347">
        <f>SUM(D23:D28)</f>
        <v>333</v>
      </c>
      <c r="E29" s="2289"/>
      <c r="F29" s="2288">
        <f>C29-D29</f>
        <v>-18</v>
      </c>
      <c r="G29" s="2291">
        <f>IF(D29=0,0,C29/D29-1)</f>
        <v>-5.4054054054054057E-2</v>
      </c>
      <c r="H29" s="2287">
        <f>SUM(H23:H28)</f>
        <v>376.13845017108684</v>
      </c>
      <c r="I29" s="2290"/>
      <c r="J29" s="2288">
        <f t="shared" si="4"/>
        <v>-61.138450171086845</v>
      </c>
      <c r="K29" s="2307">
        <f>IF(H29=0,0,C29/H29-1)</f>
        <v>-0.16254240996441061</v>
      </c>
      <c r="L29"/>
      <c r="M29"/>
      <c r="N29" s="2262"/>
      <c r="O29" s="2262"/>
      <c r="P29" s="2284"/>
      <c r="Q29" s="2284"/>
      <c r="R29" s="2262"/>
      <c r="S29" s="2262"/>
    </row>
    <row r="30" spans="1:19" ht="13.5" customHeight="1">
      <c r="A30" s="2276"/>
      <c r="B30" s="2262"/>
      <c r="C30" s="2279"/>
      <c r="D30" s="2343"/>
      <c r="E30" s="2281"/>
      <c r="F30" s="2280"/>
      <c r="G30" s="2269"/>
      <c r="H30" s="2279"/>
      <c r="I30" s="2281"/>
      <c r="J30" s="2280"/>
      <c r="K30" s="2304"/>
      <c r="L30"/>
      <c r="M30"/>
      <c r="N30" s="2262"/>
      <c r="O30" s="2262"/>
      <c r="P30" s="2262"/>
      <c r="Q30" s="2262"/>
      <c r="R30" s="2262"/>
      <c r="S30" s="2262"/>
    </row>
    <row r="31" spans="1:19" ht="15" customHeight="1">
      <c r="A31" s="2266" t="s">
        <v>1903</v>
      </c>
      <c r="B31" s="2262"/>
      <c r="C31" s="2339">
        <f>Hilton!W57</f>
        <v>-145</v>
      </c>
      <c r="D31" s="2345">
        <f>Hilton!R57</f>
        <v>-121</v>
      </c>
      <c r="E31" s="2281"/>
      <c r="F31" s="2346">
        <f>C31-D31</f>
        <v>-24</v>
      </c>
      <c r="G31" s="2269">
        <f>IF(D31=0,0,C31/D31-1)</f>
        <v>0.19834710743801653</v>
      </c>
      <c r="H31" s="639">
        <v>-150.45538006843481</v>
      </c>
      <c r="I31" s="2281"/>
      <c r="J31" s="2270">
        <f t="shared" si="4"/>
        <v>5.4553800684348062</v>
      </c>
      <c r="K31" s="2304">
        <f>IF(H31=0,0,C31/H31-1)</f>
        <v>-3.6259122578092051E-2</v>
      </c>
      <c r="L31"/>
      <c r="M31"/>
      <c r="N31" s="2262"/>
      <c r="O31" s="2262"/>
      <c r="P31" s="2262"/>
      <c r="Q31" s="2262"/>
      <c r="R31" s="2262"/>
      <c r="S31" s="2262"/>
    </row>
    <row r="32" spans="1:19" ht="15" customHeight="1">
      <c r="A32" s="384" t="s">
        <v>226</v>
      </c>
      <c r="B32" s="2262"/>
      <c r="C32" s="2339">
        <f>Hilton!W58</f>
        <v>-6</v>
      </c>
      <c r="D32" s="2345">
        <f>Hilton!R58</f>
        <v>-3</v>
      </c>
      <c r="E32" s="2281"/>
      <c r="F32" s="2346">
        <f>C32-D32</f>
        <v>-3</v>
      </c>
      <c r="G32" s="2269">
        <f>IF(D32=0,0,C32/D32-1)</f>
        <v>1</v>
      </c>
      <c r="H32" s="639">
        <v>-3</v>
      </c>
      <c r="I32" s="2281"/>
      <c r="J32" s="2270">
        <f t="shared" si="4"/>
        <v>-3</v>
      </c>
      <c r="K32" s="2304">
        <f>IF(H32=0,0,C32/H32-1)</f>
        <v>1</v>
      </c>
      <c r="L32"/>
      <c r="M32"/>
      <c r="N32" s="2262"/>
      <c r="O32" s="2262"/>
      <c r="P32" s="2262"/>
      <c r="Q32" s="2262"/>
      <c r="R32" s="2262"/>
      <c r="S32" s="2262"/>
    </row>
    <row r="33" spans="1:19" ht="15" customHeight="1">
      <c r="A33" s="384" t="s">
        <v>227</v>
      </c>
      <c r="B33" s="2257"/>
      <c r="C33" s="2339">
        <f>Hilton!W59</f>
        <v>0</v>
      </c>
      <c r="D33" s="2345">
        <f>Hilton!R59</f>
        <v>0</v>
      </c>
      <c r="E33" s="2270"/>
      <c r="F33" s="2346">
        <f>C33-D33</f>
        <v>0</v>
      </c>
      <c r="G33" s="2269">
        <f>IF(D33=0,0,C33/D33-1)</f>
        <v>0</v>
      </c>
      <c r="H33" s="639">
        <v>0</v>
      </c>
      <c r="I33" s="2270"/>
      <c r="J33" s="2270">
        <f t="shared" si="4"/>
        <v>0</v>
      </c>
      <c r="K33" s="2304">
        <f>IF(H33=0,0,C33/H33-1)</f>
        <v>0</v>
      </c>
      <c r="L33"/>
      <c r="M33"/>
      <c r="N33" s="2257"/>
      <c r="O33" s="2257"/>
      <c r="P33" s="2257"/>
      <c r="Q33" s="2257"/>
      <c r="R33" s="2257"/>
      <c r="S33" s="2257"/>
    </row>
    <row r="34" spans="1:19" ht="15" customHeight="1">
      <c r="A34" s="2332" t="s">
        <v>2290</v>
      </c>
      <c r="B34" s="2333"/>
      <c r="C34" s="1464">
        <f>SUM(C29:C33)</f>
        <v>164</v>
      </c>
      <c r="D34" s="2342">
        <f>SUM(D29:D33)</f>
        <v>209</v>
      </c>
      <c r="E34" s="2334"/>
      <c r="F34" s="1470">
        <f>C34-D34</f>
        <v>-45</v>
      </c>
      <c r="G34" s="2335">
        <f>IF(D34=0,0,C34/D34-1)</f>
        <v>-0.21531100478468901</v>
      </c>
      <c r="H34" s="1464">
        <f>SUM(H29:H33)</f>
        <v>222.68307010265204</v>
      </c>
      <c r="I34" s="2334"/>
      <c r="J34" s="1470">
        <f>C34-H34</f>
        <v>-58.683070102652039</v>
      </c>
      <c r="K34" s="2353">
        <f>IF(H34=0,0,C34/H34-1)</f>
        <v>-0.26352730845501826</v>
      </c>
      <c r="L34"/>
      <c r="M34"/>
      <c r="N34" s="2257"/>
      <c r="O34" s="2257"/>
      <c r="P34" s="2272"/>
      <c r="Q34" s="2272"/>
      <c r="R34" s="2257"/>
      <c r="S34" s="2257"/>
    </row>
    <row r="35" spans="1:19" ht="13.5" customHeight="1">
      <c r="A35" s="2273"/>
      <c r="B35" s="2257"/>
      <c r="C35" s="2271"/>
      <c r="D35" s="2341"/>
      <c r="E35" s="2270"/>
      <c r="F35" s="2270"/>
      <c r="G35" s="2269"/>
      <c r="H35" s="2271"/>
      <c r="I35" s="2270"/>
      <c r="J35" s="2270"/>
      <c r="K35" s="2304"/>
      <c r="L35"/>
      <c r="M35"/>
      <c r="N35" s="2257"/>
      <c r="O35" s="2257"/>
      <c r="P35" s="2272"/>
      <c r="Q35" s="2272"/>
      <c r="R35" s="2257"/>
      <c r="S35" s="2257"/>
    </row>
    <row r="36" spans="1:19" ht="15" customHeight="1">
      <c r="A36" s="494" t="s">
        <v>702</v>
      </c>
      <c r="B36" s="2257"/>
      <c r="C36" s="2339">
        <f>Hilton!W65</f>
        <v>85</v>
      </c>
      <c r="D36" s="2345">
        <f>Hilton!R65</f>
        <v>0</v>
      </c>
      <c r="E36" s="2351"/>
      <c r="F36" s="2351">
        <f>C36-D36</f>
        <v>85</v>
      </c>
      <c r="G36" s="2269">
        <f>IF(D36=0,0,C36/D36-1)</f>
        <v>0</v>
      </c>
      <c r="H36" s="639">
        <v>0</v>
      </c>
      <c r="I36" s="2270"/>
      <c r="J36" s="2351">
        <f>C36-H36</f>
        <v>85</v>
      </c>
      <c r="K36" s="2304">
        <f>IF(H36=0,0,C36/H36-1)</f>
        <v>0</v>
      </c>
      <c r="L36"/>
      <c r="M36"/>
      <c r="N36" s="2257"/>
      <c r="O36" s="2257"/>
      <c r="P36" s="2272"/>
      <c r="Q36" s="2272"/>
      <c r="R36" s="2257"/>
      <c r="S36" s="2257"/>
    </row>
    <row r="37" spans="1:19" ht="15" customHeight="1">
      <c r="A37" s="2332" t="s">
        <v>2155</v>
      </c>
      <c r="B37" s="2333"/>
      <c r="C37" s="1464">
        <f>SUM(C34:C36)</f>
        <v>249</v>
      </c>
      <c r="D37" s="2342">
        <f>SUM(D34:D36)</f>
        <v>209</v>
      </c>
      <c r="E37" s="2334"/>
      <c r="F37" s="1470">
        <f>C37-D37</f>
        <v>40</v>
      </c>
      <c r="G37" s="2335">
        <f>IF(D37=0,0,C37/D37-1)</f>
        <v>0.19138755980861255</v>
      </c>
      <c r="H37" s="1464">
        <f>SUM(H34:H36)</f>
        <v>222.68307010265204</v>
      </c>
      <c r="I37" s="2334"/>
      <c r="J37" s="1470">
        <f>C37-H37</f>
        <v>26.316929897347961</v>
      </c>
      <c r="K37" s="2353">
        <f>IF(H37=0,0,C37/H37-1)</f>
        <v>0.11818109874817351</v>
      </c>
      <c r="L37"/>
      <c r="M37"/>
      <c r="N37" s="2257"/>
      <c r="O37" s="2257"/>
      <c r="P37" s="2272"/>
      <c r="Q37" s="2272"/>
      <c r="R37" s="2257"/>
      <c r="S37" s="2257"/>
    </row>
    <row r="38" spans="1:19" ht="13.5" customHeight="1">
      <c r="A38" s="2273"/>
      <c r="B38" s="2257"/>
      <c r="C38" s="2271"/>
      <c r="D38" s="2341"/>
      <c r="E38" s="2270"/>
      <c r="F38" s="2270"/>
      <c r="G38" s="2269"/>
      <c r="H38" s="639"/>
      <c r="I38" s="2270"/>
      <c r="J38" s="2270"/>
      <c r="K38" s="2304"/>
      <c r="L38"/>
      <c r="M38"/>
      <c r="N38" s="2257"/>
      <c r="O38" s="2257"/>
      <c r="P38" s="2272"/>
      <c r="Q38" s="2272"/>
      <c r="R38" s="2257"/>
      <c r="S38" s="2257"/>
    </row>
    <row r="39" spans="1:19" ht="15" customHeight="1">
      <c r="A39" s="2273" t="s">
        <v>892</v>
      </c>
      <c r="B39" s="2257"/>
      <c r="C39" s="2271">
        <f>Hilton!W70</f>
        <v>989</v>
      </c>
      <c r="D39" s="2341">
        <f>Hilton!R70</f>
        <v>985</v>
      </c>
      <c r="E39" s="2270"/>
      <c r="F39" s="2270">
        <f>C39-D39</f>
        <v>4</v>
      </c>
      <c r="G39" s="2269">
        <f>IF(D39=0,0,C39/D39-1)</f>
        <v>4.0609137055838129E-3</v>
      </c>
      <c r="H39" s="639">
        <v>988</v>
      </c>
      <c r="I39" s="2270"/>
      <c r="J39" s="2270">
        <f>C39-H39</f>
        <v>1</v>
      </c>
      <c r="K39" s="2304">
        <f>IF(H39=0,0,C39/H39-1)</f>
        <v>1.0121457489877805E-3</v>
      </c>
      <c r="L39"/>
      <c r="M39"/>
      <c r="N39" s="2257"/>
      <c r="O39" s="2257"/>
      <c r="P39" s="2272"/>
      <c r="Q39" s="2272"/>
      <c r="R39" s="2257"/>
      <c r="S39" s="2257"/>
    </row>
    <row r="40" spans="1:19" ht="15" customHeight="1">
      <c r="A40" s="2332" t="s">
        <v>1897</v>
      </c>
      <c r="B40" s="2333"/>
      <c r="C40" s="2348">
        <f>C37/C39</f>
        <v>0.25176946410515672</v>
      </c>
      <c r="D40" s="2348">
        <f>D37/D39</f>
        <v>0.21218274111675126</v>
      </c>
      <c r="E40" s="2334"/>
      <c r="F40" s="2337">
        <f>C40-D40</f>
        <v>3.9586722988405459E-2</v>
      </c>
      <c r="G40" s="2335">
        <f>IF(D40=0,0,C40/D40-1)</f>
        <v>0.18656900547167177</v>
      </c>
      <c r="H40" s="2336">
        <f>H37/H39</f>
        <v>0.22538772277596361</v>
      </c>
      <c r="I40" s="2334"/>
      <c r="J40" s="2337">
        <f>C40-H40</f>
        <v>2.6381741329193104E-2</v>
      </c>
      <c r="K40" s="2353">
        <f>IF(H40=0,0,C40/H40-1)</f>
        <v>0.11705048085257364</v>
      </c>
      <c r="L40"/>
      <c r="M40"/>
      <c r="N40" s="2257"/>
      <c r="O40" s="2257"/>
      <c r="P40" s="2272"/>
      <c r="Q40" s="2272"/>
      <c r="R40" s="2257"/>
      <c r="S40" s="2257"/>
    </row>
    <row r="41" spans="1:19" ht="13.5" customHeight="1">
      <c r="A41" s="2292"/>
      <c r="B41" s="2293"/>
      <c r="C41" s="2294"/>
      <c r="D41" s="2349"/>
      <c r="E41" s="2296"/>
      <c r="F41" s="2295"/>
      <c r="G41" s="2297"/>
      <c r="H41" s="2294"/>
      <c r="I41" s="2296"/>
      <c r="J41" s="2295"/>
      <c r="K41" s="2309"/>
      <c r="L41"/>
      <c r="M41"/>
      <c r="N41" s="2257"/>
      <c r="O41" s="2257"/>
      <c r="P41" s="2272"/>
      <c r="Q41" s="2272"/>
      <c r="R41" s="2257"/>
      <c r="S41" s="2257"/>
    </row>
    <row r="42" spans="1:19" ht="15" customHeight="1">
      <c r="A42" s="2278" t="s">
        <v>1418</v>
      </c>
      <c r="B42" s="2293"/>
      <c r="C42" s="2298"/>
      <c r="D42" s="2350"/>
      <c r="E42" s="2296"/>
      <c r="F42" s="2296"/>
      <c r="G42" s="2297"/>
      <c r="H42" s="2298"/>
      <c r="I42" s="2296"/>
      <c r="J42" s="2296"/>
      <c r="K42" s="2309"/>
      <c r="L42"/>
      <c r="M42"/>
      <c r="N42" s="2293"/>
      <c r="O42" s="2293"/>
      <c r="P42" s="2293"/>
      <c r="Q42" s="2293"/>
      <c r="R42" s="2257"/>
      <c r="S42" s="2257"/>
    </row>
    <row r="43" spans="1:19" ht="15" customHeight="1">
      <c r="A43" s="384" t="s">
        <v>396</v>
      </c>
      <c r="B43"/>
      <c r="C43" s="2267">
        <f>Hilton!W105</f>
        <v>161</v>
      </c>
      <c r="D43" s="2322">
        <f>Hilton!R105</f>
        <v>209</v>
      </c>
      <c r="E43" s="2310"/>
      <c r="F43" s="2268">
        <f t="shared" ref="F43:F55" si="5">C43-D43</f>
        <v>-48</v>
      </c>
      <c r="G43" s="2269">
        <f t="shared" ref="G43:G54" si="6">IF(D43=0,0,C43/D43-1)</f>
        <v>-0.22966507177033491</v>
      </c>
      <c r="H43" s="923">
        <v>222.68307010265221</v>
      </c>
      <c r="I43"/>
      <c r="J43" s="2268">
        <f t="shared" ref="J43:J55" si="7">C43-H43</f>
        <v>-61.683070102652209</v>
      </c>
      <c r="K43" s="2304">
        <f t="shared" ref="K43:K55" si="8">IF(H43=0,0,C43/H43-1)</f>
        <v>-0.27699936988571972</v>
      </c>
      <c r="L43"/>
      <c r="M43"/>
      <c r="N43" s="2293"/>
      <c r="O43" s="2293"/>
      <c r="P43" s="2293"/>
      <c r="Q43" s="2293"/>
      <c r="R43" s="2257"/>
      <c r="S43" s="2257"/>
    </row>
    <row r="44" spans="1:19" ht="15" customHeight="1">
      <c r="A44" s="384" t="s">
        <v>21</v>
      </c>
      <c r="B44"/>
      <c r="C44" s="2271">
        <f>Hilton!W106</f>
        <v>149</v>
      </c>
      <c r="D44" s="2341">
        <f>Hilton!R106</f>
        <v>158</v>
      </c>
      <c r="E44" s="2310"/>
      <c r="F44" s="2270">
        <f t="shared" si="5"/>
        <v>-9</v>
      </c>
      <c r="G44" s="2269">
        <f t="shared" si="6"/>
        <v>-5.6962025316455667E-2</v>
      </c>
      <c r="H44" s="639">
        <v>142.04578437499998</v>
      </c>
      <c r="I44"/>
      <c r="J44" s="2270">
        <f t="shared" si="7"/>
        <v>6.9542156250000176</v>
      </c>
      <c r="K44" s="2304">
        <f t="shared" si="8"/>
        <v>4.8957564320535774E-2</v>
      </c>
      <c r="L44"/>
      <c r="M44"/>
      <c r="N44" s="2293"/>
      <c r="O44" s="2293"/>
      <c r="P44" s="2293"/>
      <c r="Q44" s="2293"/>
      <c r="R44" s="2257"/>
      <c r="S44" s="2257"/>
    </row>
    <row r="45" spans="1:19" ht="15" customHeight="1">
      <c r="A45" s="2266" t="s">
        <v>1899</v>
      </c>
      <c r="B45"/>
      <c r="C45" s="2271">
        <f>Hilton!W107</f>
        <v>2</v>
      </c>
      <c r="D45" s="2341">
        <f>Hilton!R107</f>
        <v>3</v>
      </c>
      <c r="E45" s="2310"/>
      <c r="F45" s="2270">
        <f t="shared" si="5"/>
        <v>-1</v>
      </c>
      <c r="G45" s="2269">
        <f t="shared" si="6"/>
        <v>-0.33333333333333337</v>
      </c>
      <c r="H45" s="639">
        <v>2</v>
      </c>
      <c r="I45"/>
      <c r="J45" s="2270">
        <f t="shared" si="7"/>
        <v>0</v>
      </c>
      <c r="K45" s="2304">
        <f t="shared" si="8"/>
        <v>0</v>
      </c>
      <c r="L45"/>
      <c r="M45"/>
      <c r="N45" s="2293"/>
      <c r="O45" s="2293"/>
      <c r="P45" s="2293"/>
      <c r="Q45" s="2293"/>
      <c r="R45" s="2257"/>
      <c r="S45" s="2257"/>
    </row>
    <row r="46" spans="1:19" ht="15" customHeight="1">
      <c r="A46" s="2266" t="s">
        <v>1904</v>
      </c>
      <c r="B46"/>
      <c r="C46" s="2271">
        <f>Hilton!W108</f>
        <v>145</v>
      </c>
      <c r="D46" s="2341">
        <f>Hilton!R108</f>
        <v>121</v>
      </c>
      <c r="E46" s="2310"/>
      <c r="F46" s="2270">
        <f t="shared" si="5"/>
        <v>24</v>
      </c>
      <c r="G46" s="2269">
        <f t="shared" si="6"/>
        <v>0.19834710743801653</v>
      </c>
      <c r="H46" s="639">
        <v>150.45538006843481</v>
      </c>
      <c r="I46"/>
      <c r="J46" s="2270">
        <f t="shared" si="7"/>
        <v>-5.4553800684348062</v>
      </c>
      <c r="K46" s="2304">
        <f t="shared" si="8"/>
        <v>-3.6259122578092051E-2</v>
      </c>
      <c r="L46"/>
      <c r="M46"/>
      <c r="N46" s="2293"/>
      <c r="O46" s="2293"/>
      <c r="P46" s="2293"/>
      <c r="Q46" s="2293"/>
      <c r="R46" s="2257"/>
      <c r="S46" s="2257"/>
    </row>
    <row r="47" spans="1:19" ht="15" customHeight="1">
      <c r="A47" s="384" t="s">
        <v>189</v>
      </c>
      <c r="B47"/>
      <c r="C47" s="2271">
        <f>Hilton!W109</f>
        <v>173</v>
      </c>
      <c r="D47" s="2341">
        <f>Hilton!R109</f>
        <v>158</v>
      </c>
      <c r="E47" s="2310"/>
      <c r="F47" s="2270">
        <f t="shared" si="5"/>
        <v>15</v>
      </c>
      <c r="G47" s="2269">
        <f t="shared" si="6"/>
        <v>9.4936708860759556E-2</v>
      </c>
      <c r="H47" s="639">
        <v>173.8</v>
      </c>
      <c r="I47"/>
      <c r="J47" s="2270">
        <f t="shared" si="7"/>
        <v>-0.80000000000001137</v>
      </c>
      <c r="K47" s="2304">
        <f t="shared" si="8"/>
        <v>-4.602991944764212E-3</v>
      </c>
      <c r="L47"/>
      <c r="M47"/>
      <c r="N47" s="2293"/>
      <c r="O47" s="2293"/>
      <c r="P47" s="2293"/>
      <c r="Q47" s="2293"/>
      <c r="R47" s="2257"/>
      <c r="S47" s="2257"/>
    </row>
    <row r="48" spans="1:19" ht="15" customHeight="1">
      <c r="A48" s="2266" t="s">
        <v>1898</v>
      </c>
      <c r="B48"/>
      <c r="C48" s="2271">
        <f>Hilton!W110</f>
        <v>5</v>
      </c>
      <c r="D48" s="2341">
        <f>Hilton!R110</f>
        <v>7</v>
      </c>
      <c r="E48" s="2310"/>
      <c r="F48" s="2270">
        <f t="shared" si="5"/>
        <v>-2</v>
      </c>
      <c r="G48" s="2269">
        <f t="shared" si="6"/>
        <v>-0.2857142857142857</v>
      </c>
      <c r="H48" s="639">
        <v>7</v>
      </c>
      <c r="I48"/>
      <c r="J48" s="2270">
        <f t="shared" si="7"/>
        <v>-2</v>
      </c>
      <c r="K48" s="2304">
        <f t="shared" si="8"/>
        <v>-0.2857142857142857</v>
      </c>
      <c r="L48"/>
      <c r="M48"/>
      <c r="N48" s="2293"/>
      <c r="O48" s="2293"/>
      <c r="P48" s="2293"/>
      <c r="Q48" s="2293"/>
      <c r="R48" s="2257"/>
      <c r="S48" s="2257"/>
    </row>
    <row r="49" spans="1:19" ht="15" customHeight="1">
      <c r="A49" s="2332" t="s">
        <v>1228</v>
      </c>
      <c r="B49" s="2333"/>
      <c r="C49" s="1464">
        <f>SUM(C43:C48)</f>
        <v>635</v>
      </c>
      <c r="D49" s="2342">
        <f>SUM(D43:D48)</f>
        <v>656</v>
      </c>
      <c r="E49" s="2334"/>
      <c r="F49" s="1470">
        <f t="shared" si="5"/>
        <v>-21</v>
      </c>
      <c r="G49" s="2335">
        <f>IF(D49=0,0,C49/D49-1)</f>
        <v>-3.2012195121951192E-2</v>
      </c>
      <c r="H49" s="1464">
        <f>SUM(H43:H48)</f>
        <v>697.98423454608701</v>
      </c>
      <c r="I49" s="2334"/>
      <c r="J49" s="1470">
        <f t="shared" si="7"/>
        <v>-62.984234546087009</v>
      </c>
      <c r="K49" s="2353">
        <f t="shared" si="8"/>
        <v>-9.0237331201394433E-2</v>
      </c>
      <c r="L49"/>
      <c r="M49"/>
      <c r="N49" s="2293"/>
      <c r="O49" s="2293"/>
      <c r="P49" s="2293"/>
      <c r="Q49" s="2293"/>
      <c r="R49" s="2257"/>
      <c r="S49" s="2257"/>
    </row>
    <row r="50" spans="1:19" ht="15" customHeight="1">
      <c r="A50" s="2354" t="s">
        <v>1905</v>
      </c>
      <c r="B50"/>
      <c r="C50" s="2271">
        <f>Hilton!W112</f>
        <v>6</v>
      </c>
      <c r="D50" s="2341">
        <f>Hilton!R112</f>
        <v>3</v>
      </c>
      <c r="E50" s="2310"/>
      <c r="F50" s="2270">
        <f t="shared" si="5"/>
        <v>3</v>
      </c>
      <c r="G50" s="2269">
        <f t="shared" si="6"/>
        <v>1</v>
      </c>
      <c r="H50" s="639">
        <v>3</v>
      </c>
      <c r="I50"/>
      <c r="J50" s="2270">
        <f t="shared" si="7"/>
        <v>3</v>
      </c>
      <c r="K50" s="2304">
        <f t="shared" si="8"/>
        <v>1</v>
      </c>
      <c r="L50"/>
      <c r="M50"/>
      <c r="N50" s="2293"/>
      <c r="O50" s="2293"/>
      <c r="P50" s="2293"/>
      <c r="Q50" s="2293"/>
      <c r="R50" s="2257"/>
      <c r="S50" s="2257"/>
    </row>
    <row r="51" spans="1:19" ht="15" customHeight="1">
      <c r="A51" s="494" t="s">
        <v>773</v>
      </c>
      <c r="B51"/>
      <c r="C51" s="2271">
        <f>Hilton!W113</f>
        <v>-5</v>
      </c>
      <c r="D51" s="2341">
        <f>Hilton!R113</f>
        <v>-32</v>
      </c>
      <c r="E51" s="2310"/>
      <c r="F51" s="2270">
        <f t="shared" si="5"/>
        <v>27</v>
      </c>
      <c r="G51" s="2356" t="s">
        <v>2296</v>
      </c>
      <c r="H51" s="639">
        <v>0</v>
      </c>
      <c r="I51"/>
      <c r="J51" s="2270">
        <f t="shared" si="7"/>
        <v>-5</v>
      </c>
      <c r="K51" s="2304">
        <f t="shared" si="8"/>
        <v>0</v>
      </c>
      <c r="L51"/>
      <c r="M51"/>
      <c r="N51" s="2293"/>
      <c r="O51" s="2293"/>
      <c r="P51" s="2293"/>
      <c r="Q51" s="2293"/>
      <c r="R51" s="2257"/>
      <c r="S51" s="2257"/>
    </row>
    <row r="52" spans="1:19" ht="15" customHeight="1">
      <c r="A52" s="494" t="s">
        <v>775</v>
      </c>
      <c r="B52"/>
      <c r="C52" s="2271">
        <f>Hilton!W115</f>
        <v>14</v>
      </c>
      <c r="D52" s="2341">
        <f>Hilton!R115</f>
        <v>12</v>
      </c>
      <c r="E52" s="2310"/>
      <c r="F52" s="2270">
        <f t="shared" si="5"/>
        <v>2</v>
      </c>
      <c r="G52" s="2269">
        <f t="shared" si="6"/>
        <v>0.16666666666666674</v>
      </c>
      <c r="H52" s="639">
        <v>12</v>
      </c>
      <c r="I52"/>
      <c r="J52" s="2270">
        <f t="shared" si="7"/>
        <v>2</v>
      </c>
      <c r="K52" s="2304">
        <f t="shared" si="8"/>
        <v>0.16666666666666674</v>
      </c>
      <c r="L52"/>
      <c r="M52"/>
      <c r="N52" s="2293"/>
      <c r="O52" s="2293"/>
      <c r="P52" s="2293"/>
      <c r="Q52" s="2293"/>
      <c r="R52" s="2257"/>
      <c r="S52" s="2257"/>
    </row>
    <row r="53" spans="1:19" ht="15" customHeight="1">
      <c r="A53" s="494" t="s">
        <v>776</v>
      </c>
      <c r="B53"/>
      <c r="C53" s="2271">
        <f>Hilton!W116</f>
        <v>92</v>
      </c>
      <c r="D53" s="2341">
        <f>Hilton!R116</f>
        <v>6</v>
      </c>
      <c r="E53" s="2310"/>
      <c r="F53" s="2270">
        <f t="shared" si="5"/>
        <v>86</v>
      </c>
      <c r="G53" s="2356" t="s">
        <v>2296</v>
      </c>
      <c r="H53" s="639">
        <v>27</v>
      </c>
      <c r="I53"/>
      <c r="J53" s="2270">
        <f t="shared" si="7"/>
        <v>65</v>
      </c>
      <c r="K53" s="2304">
        <f t="shared" si="8"/>
        <v>2.4074074074074074</v>
      </c>
      <c r="L53"/>
      <c r="M53"/>
      <c r="N53" s="2293"/>
      <c r="O53" s="2293"/>
      <c r="P53" s="2293"/>
      <c r="Q53" s="2293"/>
      <c r="R53" s="2257"/>
      <c r="S53" s="2257"/>
    </row>
    <row r="54" spans="1:19" ht="15" customHeight="1">
      <c r="A54" s="494" t="s">
        <v>395</v>
      </c>
      <c r="B54"/>
      <c r="C54" s="2271">
        <f>SUM(Hilton!W117:W120,Hilton!W114)</f>
        <v>35</v>
      </c>
      <c r="D54" s="2341">
        <f>SUM(Hilton!R117:R120,Hilton!R114)</f>
        <v>6</v>
      </c>
      <c r="E54" s="2310"/>
      <c r="F54" s="2270">
        <f t="shared" si="5"/>
        <v>29</v>
      </c>
      <c r="G54" s="2269">
        <f t="shared" si="6"/>
        <v>4.833333333333333</v>
      </c>
      <c r="H54" s="639">
        <v>19</v>
      </c>
      <c r="I54"/>
      <c r="J54" s="2270">
        <f t="shared" si="7"/>
        <v>16</v>
      </c>
      <c r="K54" s="2304">
        <f t="shared" si="8"/>
        <v>0.84210526315789469</v>
      </c>
      <c r="L54"/>
      <c r="M54" s="2293"/>
      <c r="N54" s="2293"/>
      <c r="O54" s="2293"/>
      <c r="P54" s="2293"/>
      <c r="Q54" s="2293"/>
      <c r="R54" s="2257"/>
      <c r="S54" s="2257"/>
    </row>
    <row r="55" spans="1:19" ht="15" customHeight="1">
      <c r="A55" s="2332" t="s">
        <v>2091</v>
      </c>
      <c r="B55" s="2333"/>
      <c r="C55" s="1464">
        <f>SUM(C49:C54)</f>
        <v>777</v>
      </c>
      <c r="D55" s="2342">
        <f>SUM(D49:D54)</f>
        <v>651</v>
      </c>
      <c r="E55" s="2334"/>
      <c r="F55" s="1470">
        <f t="shared" si="5"/>
        <v>126</v>
      </c>
      <c r="G55" s="2335">
        <f>IF(D55=0,0,C55/D55-1)</f>
        <v>0.19354838709677424</v>
      </c>
      <c r="H55" s="1464">
        <f>SUM(H49:H54)</f>
        <v>758.98423454608701</v>
      </c>
      <c r="I55" s="2334"/>
      <c r="J55" s="1470">
        <f t="shared" si="7"/>
        <v>18.015765453912991</v>
      </c>
      <c r="K55" s="2353">
        <f t="shared" si="8"/>
        <v>2.3736679411644701E-2</v>
      </c>
      <c r="L55"/>
      <c r="M55" s="2293"/>
      <c r="N55" s="2293"/>
      <c r="O55" s="2293"/>
      <c r="P55" s="2293"/>
      <c r="Q55" s="2293"/>
      <c r="R55" s="2257"/>
      <c r="S55" s="2257"/>
    </row>
    <row r="56" spans="1:19" ht="13.5" customHeight="1">
      <c r="A56"/>
      <c r="B56"/>
      <c r="C56"/>
      <c r="D56"/>
      <c r="E56"/>
      <c r="F56"/>
      <c r="G56"/>
      <c r="H56"/>
      <c r="I56"/>
      <c r="J56"/>
      <c r="K56"/>
      <c r="L56"/>
      <c r="M56" s="2293"/>
      <c r="N56" s="2293"/>
      <c r="O56" s="2293"/>
      <c r="P56" s="2293"/>
      <c r="Q56" s="2293"/>
      <c r="R56" s="2257"/>
      <c r="S56" s="2257"/>
    </row>
    <row r="57" spans="1:19" ht="13.5" customHeight="1">
      <c r="A57"/>
      <c r="B57"/>
      <c r="C57"/>
      <c r="D57"/>
      <c r="E57"/>
      <c r="F57"/>
      <c r="G57"/>
      <c r="H57"/>
      <c r="I57"/>
      <c r="J57"/>
      <c r="K57"/>
      <c r="L57"/>
      <c r="M57" s="2293"/>
      <c r="N57" s="2293"/>
      <c r="O57" s="2293"/>
      <c r="P57" s="2293"/>
      <c r="Q57" s="2293"/>
      <c r="R57" s="2257"/>
      <c r="S57" s="2257"/>
    </row>
    <row r="58" spans="1:19" ht="4.5" customHeight="1">
      <c r="B58"/>
      <c r="C58"/>
      <c r="D58"/>
      <c r="E58"/>
      <c r="F58"/>
      <c r="G58"/>
      <c r="H58"/>
      <c r="I58"/>
      <c r="J58"/>
      <c r="K58"/>
      <c r="L58"/>
    </row>
    <row r="59" spans="1:19" ht="4.5" customHeight="1">
      <c r="G59" s="2299"/>
      <c r="H59" s="2293"/>
      <c r="I59" s="2293"/>
      <c r="J59" s="2293"/>
      <c r="K59" s="2300"/>
      <c r="L59" s="2256"/>
    </row>
    <row r="60" spans="1:19" ht="4.5" customHeight="1">
      <c r="G60" s="2299"/>
      <c r="H60" s="2293"/>
      <c r="I60" s="2293"/>
      <c r="J60" s="2293"/>
      <c r="K60" s="2300"/>
      <c r="L60" s="2256"/>
    </row>
    <row r="61" spans="1:19" customFormat="1" ht="13.5" customHeight="1"/>
    <row r="62" spans="1:19" customFormat="1" ht="13.5" customHeight="1"/>
    <row r="63" spans="1:19" customFormat="1" ht="13.5" customHeight="1"/>
    <row r="64" spans="1:19" customFormat="1" ht="5.0999999999999996" customHeight="1"/>
    <row r="65" customFormat="1" ht="13.5" customHeight="1"/>
    <row r="66" customFormat="1" ht="13.5" customHeight="1"/>
    <row r="67" customFormat="1" ht="5.0999999999999996" customHeight="1"/>
    <row r="68" customFormat="1" ht="13.5" customHeight="1"/>
    <row r="69" customFormat="1" ht="13.5" customHeight="1"/>
    <row r="70" customFormat="1" ht="4.5" customHeight="1"/>
    <row r="71" customFormat="1" ht="13.5" customHeight="1"/>
    <row r="72" customFormat="1" ht="4.5" customHeight="1"/>
    <row r="73" customFormat="1" ht="13.5" customHeight="1"/>
    <row r="74" customFormat="1" ht="4.5" customHeight="1"/>
    <row r="75" customFormat="1" ht="13.5" customHeight="1"/>
    <row r="76" customFormat="1" ht="4.5" customHeight="1"/>
    <row r="77" customFormat="1" ht="13.5" customHeight="1"/>
    <row r="78" customFormat="1" ht="4.5" customHeight="1"/>
    <row r="79" customFormat="1" ht="13.5" customHeight="1"/>
    <row r="80" customFormat="1" ht="4.5" customHeight="1"/>
    <row r="81" customFormat="1" ht="13.5" customHeight="1"/>
    <row r="82" customFormat="1" ht="4.5" customHeight="1"/>
    <row r="83" customFormat="1" ht="13.5" customHeight="1"/>
    <row r="84" customFormat="1" ht="4.5" customHeight="1"/>
    <row r="85" customFormat="1" ht="13.5" customHeight="1"/>
    <row r="86" customFormat="1" ht="4.5" customHeight="1"/>
    <row r="87" customFormat="1" ht="13.5" customHeight="1"/>
    <row r="88" customFormat="1" ht="4.5" customHeight="1"/>
    <row r="89" customFormat="1" ht="13.5" customHeight="1"/>
    <row r="90" customFormat="1" ht="4.5" customHeight="1"/>
    <row r="91" customFormat="1" ht="5.0999999999999996" customHeight="1"/>
    <row r="92" customFormat="1" ht="4.5" customHeight="1"/>
    <row r="93" customFormat="1" ht="13.5" customHeight="1"/>
    <row r="94" customFormat="1" ht="13.5" customHeight="1"/>
    <row r="95" customFormat="1" ht="13.5" customHeight="1"/>
    <row r="96" customFormat="1" ht="13.5" customHeight="1"/>
    <row r="97" customFormat="1" ht="13.5" customHeight="1"/>
    <row r="98" customFormat="1" ht="13.5" customHeight="1"/>
    <row r="99" customFormat="1" ht="13.5" customHeight="1"/>
    <row r="100" customFormat="1" ht="13.5" customHeight="1"/>
    <row r="101" customFormat="1" ht="13.5" customHeight="1"/>
    <row r="102" customFormat="1" ht="13.5" customHeight="1"/>
    <row r="103" customFormat="1" ht="13.5" customHeight="1"/>
    <row r="104" customFormat="1" ht="13.5" customHeight="1"/>
    <row r="105" customFormat="1" ht="13.5" customHeight="1"/>
    <row r="106" customFormat="1" ht="13.5" customHeight="1"/>
    <row r="107" customFormat="1" ht="13.5" customHeight="1"/>
    <row r="108" customFormat="1" ht="13.5" customHeight="1"/>
    <row r="109" customFormat="1" ht="13.5" customHeight="1"/>
    <row r="110" customFormat="1" ht="13.5" customHeight="1"/>
    <row r="111" customFormat="1" ht="13.5" customHeight="1"/>
    <row r="112" customFormat="1" ht="13.5" customHeight="1"/>
    <row r="113" spans="46:47" customFormat="1" ht="13.5" customHeight="1"/>
    <row r="114" spans="46:47" customFormat="1" ht="13.5" customHeight="1"/>
    <row r="115" spans="46:47" customFormat="1" ht="13.5" customHeight="1"/>
    <row r="116" spans="46:47" customFormat="1" ht="13.5" customHeight="1"/>
    <row r="117" spans="46:47" customFormat="1" ht="13.5" customHeight="1"/>
    <row r="118" spans="46:47" customFormat="1" ht="13.5" customHeight="1"/>
    <row r="119" spans="46:47" customFormat="1" ht="13.5" customHeight="1"/>
    <row r="120" spans="46:47" s="2302" customFormat="1" ht="13.5" customHeight="1"/>
    <row r="121" spans="46:47" s="2302" customFormat="1" ht="13.5" customHeight="1"/>
    <row r="122" spans="46:47" s="2302" customFormat="1" ht="13.5" customHeight="1">
      <c r="AT122"/>
      <c r="AU122"/>
    </row>
    <row r="123" spans="46:47" s="2302" customFormat="1" ht="13.5" customHeight="1">
      <c r="AT123"/>
      <c r="AU123"/>
    </row>
    <row r="124" spans="46:47" s="2302" customFormat="1" ht="13.5" customHeight="1">
      <c r="AT124"/>
      <c r="AU124"/>
    </row>
    <row r="125" spans="46:47" s="2302" customFormat="1" ht="13.5" customHeight="1">
      <c r="AT125"/>
      <c r="AU125"/>
    </row>
    <row r="126" spans="46:47" s="2302" customFormat="1" ht="13.5" customHeight="1">
      <c r="AT126"/>
      <c r="AU126"/>
    </row>
    <row r="127" spans="46:47" s="2302" customFormat="1" ht="13.5" customHeight="1">
      <c r="AT127"/>
      <c r="AU127"/>
    </row>
    <row r="128" spans="46:47" s="2302" customFormat="1" ht="13.5" customHeight="1">
      <c r="AT128"/>
      <c r="AU128"/>
    </row>
    <row r="129" spans="46:47" s="2302" customFormat="1" ht="13.5" customHeight="1">
      <c r="AT129"/>
      <c r="AU129"/>
    </row>
    <row r="130" spans="46:47" s="2302" customFormat="1" ht="13.5" customHeight="1">
      <c r="AT130"/>
      <c r="AU130"/>
    </row>
    <row r="131" spans="46:47" s="2302" customFormat="1" ht="13.5" customHeight="1">
      <c r="AT131"/>
      <c r="AU131"/>
    </row>
    <row r="132" spans="46:47" ht="13.5" customHeight="1">
      <c r="AT132"/>
      <c r="AU132"/>
    </row>
    <row r="133" spans="46:47" ht="13.5" customHeight="1">
      <c r="AT133"/>
      <c r="AU133"/>
    </row>
    <row r="134" spans="46:47" ht="13.5" customHeight="1">
      <c r="AT134"/>
      <c r="AU134"/>
    </row>
    <row r="149" ht="5.25" customHeight="1"/>
    <row r="152" ht="5.25" customHeight="1"/>
    <row r="158" ht="5.25" customHeight="1"/>
    <row r="164" ht="4.5" customHeight="1"/>
  </sheetData>
  <pageMargins left="0" right="0" top="0" bottom="0" header="0" footer="0"/>
  <pageSetup paperSize="5" scale="15" orientation="landscape"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Q620"/>
  <sheetViews>
    <sheetView showGridLines="0" topLeftCell="HN505" zoomScale="75" zoomScaleNormal="75" workbookViewId="0">
      <selection activeCell="HS529" sqref="HS529"/>
    </sheetView>
  </sheetViews>
  <sheetFormatPr defaultRowHeight="12.75" outlineLevelCol="1"/>
  <cols>
    <col min="1" max="1" width="24.375" style="3" customWidth="1"/>
    <col min="2" max="9" width="9" style="3"/>
    <col min="10" max="11" width="0" style="3" hidden="1" customWidth="1"/>
    <col min="12" max="12" width="9" style="3"/>
    <col min="13" max="14" width="0" style="3" hidden="1" customWidth="1"/>
    <col min="15" max="28" width="9" style="3"/>
    <col min="29" max="29" width="15.625" style="3" customWidth="1"/>
    <col min="30" max="43" width="6.625" style="3" customWidth="1"/>
    <col min="44" max="44" width="7.625" style="3" customWidth="1"/>
    <col min="45" max="50" width="9" style="3"/>
    <col min="51" max="51" width="22.75" style="3" customWidth="1"/>
    <col min="52" max="52" width="19.75" style="3" customWidth="1"/>
    <col min="53" max="53" width="19.625" style="3" customWidth="1"/>
    <col min="54" max="54" width="13" style="3" customWidth="1"/>
    <col min="55" max="56" width="38.125" style="3" customWidth="1"/>
    <col min="57" max="57" width="9" style="3"/>
    <col min="58" max="58" width="16.5" style="3" customWidth="1"/>
    <col min="59" max="79" width="9" style="3"/>
    <col min="80" max="80" width="23.875" style="3" customWidth="1"/>
    <col min="81" max="85" width="9" style="3"/>
    <col min="86" max="86" width="12.375" style="3" customWidth="1"/>
    <col min="87" max="87" width="0" style="3" hidden="1" customWidth="1"/>
    <col min="88" max="92" width="9" style="3"/>
    <col min="93" max="94" width="12" style="3" customWidth="1"/>
    <col min="95" max="98" width="11.375" style="3" hidden="1" customWidth="1" outlineLevel="1"/>
    <col min="99" max="99" width="9" style="3" collapsed="1"/>
    <col min="100" max="105" width="9" style="3"/>
    <col min="106" max="106" width="11.625" style="3" customWidth="1" outlineLevel="1"/>
    <col min="107" max="107" width="11.875" style="3" customWidth="1" outlineLevel="1"/>
    <col min="108" max="108" width="11.125" style="123" customWidth="1"/>
    <col min="109" max="112" width="9" style="3"/>
    <col min="113" max="113" width="15.75" style="3" customWidth="1"/>
    <col min="114" max="115" width="9" style="3"/>
    <col min="116" max="116" width="26.625" style="3" customWidth="1"/>
    <col min="117" max="118" width="9" style="3"/>
    <col min="119" max="119" width="33.375" style="3" bestFit="1" customWidth="1"/>
    <col min="120" max="121" width="0" style="3" hidden="1" customWidth="1"/>
    <col min="122" max="122" width="10.625" style="3" customWidth="1"/>
    <col min="123" max="123" width="0" style="3" hidden="1" customWidth="1"/>
    <col min="124" max="125" width="10.625" style="3" customWidth="1"/>
    <col min="126" max="135" width="9" style="3"/>
    <col min="136" max="136" width="1.625" style="3" customWidth="1"/>
    <col min="137" max="138" width="9" style="3"/>
    <col min="139" max="139" width="1.625" style="3" customWidth="1"/>
    <col min="140" max="141" width="9" style="3"/>
    <col min="142" max="142" width="1.625" style="3" customWidth="1"/>
    <col min="143" max="144" width="9" style="3"/>
    <col min="145" max="145" width="1.625" style="3" customWidth="1"/>
    <col min="146" max="147" width="9" style="3"/>
    <col min="148" max="148" width="1.625" style="3" customWidth="1"/>
    <col min="149" max="149" width="11.125" style="3" bestFit="1" customWidth="1"/>
    <col min="150" max="150" width="9" style="3"/>
    <col min="151" max="151" width="7.375" style="3" bestFit="1" customWidth="1"/>
    <col min="152" max="152" width="10.875" style="3" bestFit="1" customWidth="1"/>
    <col min="153" max="153" width="4.875" style="3" bestFit="1" customWidth="1"/>
    <col min="154" max="154" width="13" style="3" bestFit="1" customWidth="1"/>
    <col min="155" max="156" width="9" style="3"/>
    <col min="157" max="157" width="36.75" style="3" bestFit="1" customWidth="1"/>
    <col min="158" max="158" width="9" style="3"/>
    <col min="159" max="159" width="10.5" style="3" customWidth="1"/>
    <col min="160" max="160" width="10.375" style="3" bestFit="1" customWidth="1"/>
    <col min="161" max="161" width="9" style="3"/>
    <col min="162" max="162" width="23.375" style="3" customWidth="1"/>
    <col min="163" max="166" width="7.25" style="3" customWidth="1"/>
    <col min="167" max="167" width="1.625" style="3" customWidth="1"/>
    <col min="168" max="168" width="18" style="3" bestFit="1" customWidth="1"/>
    <col min="169" max="173" width="9" style="3"/>
    <col min="174" max="174" width="17" style="3" customWidth="1"/>
    <col min="175" max="177" width="9" style="3" customWidth="1" outlineLevel="1"/>
    <col min="178" max="178" width="1.625" style="3" customWidth="1" outlineLevel="1"/>
    <col min="179" max="179" width="8.75" style="3" customWidth="1"/>
    <col min="180" max="185" width="8.625" style="3" customWidth="1"/>
    <col min="186" max="186" width="18.75" style="3" customWidth="1"/>
    <col min="187" max="189" width="9" style="3"/>
    <col min="190" max="190" width="14.25" style="3" customWidth="1"/>
    <col min="191" max="191" width="16.875" style="3" customWidth="1"/>
    <col min="192" max="192" width="17.875" style="3" bestFit="1" customWidth="1"/>
    <col min="193" max="193" width="12.5" style="3" customWidth="1"/>
    <col min="194" max="194" width="25.75" style="3" customWidth="1"/>
    <col min="195" max="195" width="26.875" style="3" customWidth="1"/>
    <col min="196" max="196" width="19.75" style="3" customWidth="1"/>
    <col min="197" max="221" width="9" style="3"/>
    <col min="222" max="222" width="12.5" style="3" bestFit="1" customWidth="1"/>
    <col min="223" max="226" width="9.625" style="3" hidden="1" customWidth="1" outlineLevel="1"/>
    <col min="227" max="227" width="9.625" style="3" customWidth="1" collapsed="1"/>
    <col min="228" max="229" width="9.625" style="3" customWidth="1"/>
    <col min="230" max="230" width="26.5" style="3" customWidth="1"/>
    <col min="231" max="231" width="9" style="3"/>
    <col min="232" max="232" width="23.75" style="3" bestFit="1" customWidth="1"/>
    <col min="233" max="16384" width="9" style="3"/>
  </cols>
  <sheetData>
    <row r="1" spans="1:108">
      <c r="A1" s="1568" t="s">
        <v>750</v>
      </c>
      <c r="B1" s="1569">
        <v>2010</v>
      </c>
      <c r="C1" s="1569">
        <v>2011</v>
      </c>
      <c r="D1" s="1569">
        <v>2012</v>
      </c>
      <c r="E1" s="1570" t="s">
        <v>1815</v>
      </c>
      <c r="F1" s="1570" t="s">
        <v>901</v>
      </c>
      <c r="G1" s="1570" t="s">
        <v>902</v>
      </c>
      <c r="H1" s="1571" t="s">
        <v>42</v>
      </c>
    </row>
    <row r="2" spans="1:108">
      <c r="A2" s="1606" t="s">
        <v>589</v>
      </c>
      <c r="B2" s="645">
        <f>Hilton!E421</f>
        <v>4853</v>
      </c>
      <c r="C2" s="645">
        <f>Hilton!F421</f>
        <v>4850</v>
      </c>
      <c r="D2" s="645">
        <f>Hilton!K421</f>
        <v>6281</v>
      </c>
      <c r="E2" s="645">
        <f>Hilton!P421</f>
        <v>6547</v>
      </c>
      <c r="F2" s="645">
        <f>Hilton!U421</f>
        <v>6794</v>
      </c>
      <c r="G2" s="645">
        <f>Hilton!Z421</f>
        <v>7152</v>
      </c>
      <c r="H2" s="1607">
        <f>Hilton!AE421</f>
        <v>7657</v>
      </c>
    </row>
    <row r="3" spans="1:108">
      <c r="A3" s="493"/>
      <c r="B3" s="15"/>
      <c r="C3" s="15"/>
      <c r="D3" s="15"/>
      <c r="E3" s="15"/>
      <c r="F3" s="15"/>
      <c r="G3" s="15"/>
      <c r="H3" s="474"/>
    </row>
    <row r="4" spans="1:108">
      <c r="A4" s="1359" t="s">
        <v>766</v>
      </c>
      <c r="B4" s="514">
        <f>Hilton!E423</f>
        <v>863</v>
      </c>
      <c r="C4" s="514">
        <f>Hilton!F423</f>
        <v>944</v>
      </c>
      <c r="D4" s="514">
        <f>Hilton!K423</f>
        <v>1085</v>
      </c>
      <c r="E4" s="514">
        <f>Hilton!P423</f>
        <v>1109</v>
      </c>
      <c r="F4" s="514">
        <f>Hilton!U423</f>
        <v>1171</v>
      </c>
      <c r="G4" s="514">
        <f>Hilton!Z423</f>
        <v>1308</v>
      </c>
      <c r="H4" s="571">
        <f>Hilton!AE423</f>
        <v>1390</v>
      </c>
    </row>
    <row r="5" spans="1:108">
      <c r="A5" s="1567" t="s">
        <v>1372</v>
      </c>
      <c r="B5" s="15"/>
      <c r="C5" s="128">
        <f t="shared" ref="C5:H5" si="0">C4/B4-1</f>
        <v>9.3858632676709242E-2</v>
      </c>
      <c r="D5" s="128">
        <f t="shared" si="0"/>
        <v>0.14936440677966112</v>
      </c>
      <c r="E5" s="128">
        <f t="shared" si="0"/>
        <v>2.2119815668202758E-2</v>
      </c>
      <c r="F5" s="128">
        <f t="shared" si="0"/>
        <v>5.5906221821460766E-2</v>
      </c>
      <c r="G5" s="128">
        <f t="shared" si="0"/>
        <v>0.11699402220324506</v>
      </c>
      <c r="H5" s="786">
        <f t="shared" si="0"/>
        <v>6.2691131498471053E-2</v>
      </c>
    </row>
    <row r="6" spans="1:108">
      <c r="A6" s="384"/>
      <c r="B6" s="15"/>
      <c r="C6" s="15"/>
      <c r="D6" s="15"/>
      <c r="E6" s="15"/>
      <c r="F6" s="15"/>
      <c r="G6" s="15"/>
      <c r="H6" s="474"/>
    </row>
    <row r="7" spans="1:108">
      <c r="A7" s="914" t="s">
        <v>840</v>
      </c>
      <c r="B7" s="15">
        <f>Hilton!E426</f>
        <v>634</v>
      </c>
      <c r="C7" s="15">
        <f>Hilton!F426</f>
        <v>668</v>
      </c>
      <c r="D7" s="15">
        <f>Hilton!K426</f>
        <v>758</v>
      </c>
      <c r="E7" s="15">
        <f>Hilton!P426</f>
        <v>730</v>
      </c>
      <c r="F7" s="15">
        <f>Hilton!U426</f>
        <v>767</v>
      </c>
      <c r="G7" s="15">
        <f>Hilton!Z426</f>
        <v>897</v>
      </c>
      <c r="H7" s="474">
        <f>Hilton!AE426</f>
        <v>948</v>
      </c>
    </row>
    <row r="8" spans="1:108">
      <c r="A8" s="1567" t="s">
        <v>1372</v>
      </c>
      <c r="B8" s="15"/>
      <c r="C8" s="128">
        <f t="shared" ref="C8:H8" si="1">C7/B7-1</f>
        <v>5.3627760252366041E-2</v>
      </c>
      <c r="D8" s="128">
        <f t="shared" si="1"/>
        <v>0.13473053892215558</v>
      </c>
      <c r="E8" s="128">
        <f t="shared" si="1"/>
        <v>-3.6939313984168831E-2</v>
      </c>
      <c r="F8" s="128">
        <f t="shared" si="1"/>
        <v>5.0684931506849384E-2</v>
      </c>
      <c r="G8" s="128">
        <f t="shared" si="1"/>
        <v>0.16949152542372881</v>
      </c>
      <c r="H8" s="786">
        <f t="shared" si="1"/>
        <v>5.6856187290969862E-2</v>
      </c>
    </row>
    <row r="9" spans="1:108">
      <c r="A9" s="13"/>
      <c r="B9" s="15"/>
      <c r="C9" s="15"/>
      <c r="D9" s="15"/>
      <c r="E9" s="15"/>
      <c r="F9" s="15"/>
      <c r="G9" s="15"/>
      <c r="H9" s="474"/>
    </row>
    <row r="10" spans="1:108" s="11" customFormat="1">
      <c r="A10" s="1650" t="s">
        <v>74</v>
      </c>
      <c r="B10" s="514">
        <f>Hilton!E431</f>
        <v>171</v>
      </c>
      <c r="C10" s="514">
        <f>Hilton!F431</f>
        <v>207</v>
      </c>
      <c r="D10" s="514">
        <f>Hilton!K431</f>
        <v>252</v>
      </c>
      <c r="E10" s="514">
        <f>Hilton!P431</f>
        <v>297</v>
      </c>
      <c r="F10" s="514">
        <f>Hilton!U431</f>
        <v>334</v>
      </c>
      <c r="G10" s="514">
        <f>Hilton!Z431</f>
        <v>352</v>
      </c>
      <c r="H10" s="571">
        <f>Hilton!AE431</f>
        <v>381</v>
      </c>
      <c r="DD10" s="1768"/>
    </row>
    <row r="11" spans="1:108">
      <c r="A11" s="1608" t="s">
        <v>1372</v>
      </c>
      <c r="B11" s="6"/>
      <c r="C11" s="441">
        <f t="shared" ref="C11:H11" si="2">C10/B10-1</f>
        <v>0.21052631578947367</v>
      </c>
      <c r="D11" s="441">
        <f t="shared" si="2"/>
        <v>0.21739130434782616</v>
      </c>
      <c r="E11" s="441">
        <f t="shared" si="2"/>
        <v>0.1785714285714286</v>
      </c>
      <c r="F11" s="441">
        <f t="shared" si="2"/>
        <v>0.12457912457912457</v>
      </c>
      <c r="G11" s="441">
        <f t="shared" si="2"/>
        <v>5.3892215568862367E-2</v>
      </c>
      <c r="H11" s="1609">
        <f t="shared" si="2"/>
        <v>8.2386363636363535E-2</v>
      </c>
    </row>
    <row r="12" spans="1:108">
      <c r="I12" s="3" t="s">
        <v>3</v>
      </c>
    </row>
    <row r="13" spans="1:108">
      <c r="J13" s="1564">
        <v>2010</v>
      </c>
      <c r="K13" s="1564">
        <v>2011</v>
      </c>
      <c r="L13" s="1564">
        <v>2012</v>
      </c>
      <c r="M13" s="1652" t="s">
        <v>1815</v>
      </c>
      <c r="N13" s="1652" t="s">
        <v>901</v>
      </c>
      <c r="O13" s="1652" t="s">
        <v>902</v>
      </c>
    </row>
    <row r="14" spans="1:108" s="256" customFormat="1">
      <c r="I14" s="1862" t="s">
        <v>1622</v>
      </c>
      <c r="L14" s="8">
        <v>0.25187032418952621</v>
      </c>
      <c r="M14" s="8"/>
      <c r="N14" s="8"/>
      <c r="O14" s="8">
        <v>0.30101704849938299</v>
      </c>
      <c r="DD14" s="1769"/>
    </row>
    <row r="15" spans="1:108">
      <c r="I15" s="256" t="s">
        <v>1750</v>
      </c>
      <c r="J15" s="256">
        <f>+Hilton!AT126</f>
        <v>0.28797643159639108</v>
      </c>
      <c r="K15" s="256">
        <f>+Hilton!AU126</f>
        <v>0.29935109289617484</v>
      </c>
      <c r="L15" s="256">
        <f>+Hilton!AV126</f>
        <v>0.31794538361508451</v>
      </c>
      <c r="M15" s="256">
        <f>+Hilton!AW126</f>
        <v>0.34913112164297</v>
      </c>
      <c r="N15" s="256">
        <f>+Hilton!AX126</f>
        <v>0.36822786668624286</v>
      </c>
      <c r="O15" s="256">
        <f>+Hilton!AY126</f>
        <v>0.40310837300476055</v>
      </c>
      <c r="P15" s="7"/>
    </row>
    <row r="16" spans="1:108" s="7" customFormat="1">
      <c r="I16" s="3" t="s">
        <v>1694</v>
      </c>
      <c r="J16" s="7">
        <v>0.2975626269465132</v>
      </c>
      <c r="K16" s="7">
        <v>0.31415525114155252</v>
      </c>
      <c r="L16" s="8">
        <v>0.31487219209914796</v>
      </c>
      <c r="M16" s="8">
        <v>0.35803735504740436</v>
      </c>
      <c r="N16" s="8">
        <v>0.38494946475415304</v>
      </c>
      <c r="O16" s="8">
        <v>0.40506798263436355</v>
      </c>
      <c r="DD16" s="1691"/>
    </row>
    <row r="17" spans="1:108" s="7" customFormat="1">
      <c r="I17" s="7" t="s">
        <v>879</v>
      </c>
      <c r="J17" s="7">
        <v>0.39597315436241609</v>
      </c>
      <c r="K17" s="7">
        <v>0.41506276150627613</v>
      </c>
      <c r="L17" s="8">
        <v>0.47571606475716066</v>
      </c>
      <c r="M17" s="8">
        <v>0.47106778020029116</v>
      </c>
      <c r="N17" s="8">
        <v>0.49171197957984536</v>
      </c>
      <c r="O17" s="8">
        <v>0.50189207006698633</v>
      </c>
      <c r="DD17" s="1691"/>
    </row>
    <row r="18" spans="1:108">
      <c r="A18" s="2470"/>
      <c r="C18" s="2470"/>
      <c r="E18" s="2470"/>
      <c r="M18" s="7">
        <f t="shared" ref="M18:N20" si="3">+$O15-M15</f>
        <v>5.3977251361790546E-2</v>
      </c>
      <c r="N18" s="7">
        <f t="shared" si="3"/>
        <v>3.488050631851769E-2</v>
      </c>
    </row>
    <row r="19" spans="1:108">
      <c r="A19" s="2470"/>
      <c r="C19" s="2470"/>
      <c r="E19" s="2470"/>
      <c r="M19" s="7">
        <f t="shared" si="3"/>
        <v>4.7030627586959195E-2</v>
      </c>
      <c r="N19" s="7">
        <f t="shared" si="3"/>
        <v>2.0118517880210518E-2</v>
      </c>
    </row>
    <row r="20" spans="1:108">
      <c r="A20" s="2470"/>
      <c r="C20" s="2470"/>
      <c r="E20" s="2470"/>
      <c r="M20" s="7">
        <f t="shared" si="3"/>
        <v>3.0824289866695165E-2</v>
      </c>
      <c r="N20" s="7">
        <f t="shared" si="3"/>
        <v>1.0180090487140969E-2</v>
      </c>
    </row>
    <row r="21" spans="1:108">
      <c r="A21" s="2470"/>
      <c r="L21" s="7">
        <f>+$O14-L14</f>
        <v>4.9146724309856782E-2</v>
      </c>
    </row>
    <row r="22" spans="1:108">
      <c r="E22" s="2470"/>
      <c r="I22" s="3" t="s">
        <v>2</v>
      </c>
      <c r="K22" s="7"/>
      <c r="L22" s="7">
        <f>+$O15-L15</f>
        <v>8.5162989389676036E-2</v>
      </c>
    </row>
    <row r="23" spans="1:108">
      <c r="A23" s="2470"/>
      <c r="K23" s="7"/>
      <c r="L23" s="7">
        <f>+$O16-L16</f>
        <v>9.0195790535215592E-2</v>
      </c>
    </row>
    <row r="24" spans="1:108">
      <c r="A24" s="2470"/>
      <c r="E24" s="2470"/>
      <c r="K24" s="7"/>
      <c r="L24" s="7">
        <f>+$O17-L17</f>
        <v>2.6176005309825667E-2</v>
      </c>
    </row>
    <row r="25" spans="1:108">
      <c r="A25" s="2470"/>
    </row>
    <row r="27" spans="1:108">
      <c r="A27" s="2470"/>
      <c r="B27" s="1687"/>
    </row>
    <row r="33" spans="1:43">
      <c r="A33" s="2470"/>
      <c r="C33" s="2470"/>
    </row>
    <row r="34" spans="1:43">
      <c r="A34" s="2470"/>
      <c r="C34" s="2470"/>
    </row>
    <row r="35" spans="1:43">
      <c r="A35" s="2470"/>
      <c r="C35" s="2470"/>
    </row>
    <row r="36" spans="1:43">
      <c r="A36" s="2606"/>
    </row>
    <row r="38" spans="1:43">
      <c r="A38" s="1687"/>
    </row>
    <row r="47" spans="1:43">
      <c r="AC47" s="1688" t="s">
        <v>212</v>
      </c>
      <c r="AD47" s="1461" t="s">
        <v>684</v>
      </c>
      <c r="AE47" s="1684" t="s">
        <v>1754</v>
      </c>
      <c r="AF47" s="1461" t="s">
        <v>19</v>
      </c>
      <c r="AG47" s="1461" t="s">
        <v>1286</v>
      </c>
      <c r="AH47" s="1461" t="s">
        <v>1287</v>
      </c>
      <c r="AI47" s="1461" t="s">
        <v>1288</v>
      </c>
      <c r="AJ47" s="1689">
        <v>2012</v>
      </c>
      <c r="AK47" s="1461" t="s">
        <v>1804</v>
      </c>
      <c r="AL47" s="1461" t="s">
        <v>2214</v>
      </c>
      <c r="AM47" s="1461" t="s">
        <v>229</v>
      </c>
      <c r="AN47" s="1839" t="s">
        <v>1499</v>
      </c>
      <c r="AO47" s="1689">
        <v>2013</v>
      </c>
      <c r="AP47" s="1839" t="s">
        <v>367</v>
      </c>
      <c r="AQ47" s="10"/>
    </row>
    <row r="48" spans="1:43">
      <c r="AC48" s="1690" t="s">
        <v>599</v>
      </c>
      <c r="AD48" s="1691">
        <f>+RevPAR!B10</f>
        <v>5.2999999999999999E-2</v>
      </c>
      <c r="AE48" s="1692">
        <f>+RevPAR!C10</f>
        <v>6.7000000000000004E-2</v>
      </c>
      <c r="AF48" s="1691">
        <f>+RevPAR!D10</f>
        <v>7.0000000000000062E-2</v>
      </c>
      <c r="AG48" s="1691">
        <f>+RevPAR!E10</f>
        <v>6.899999999999995E-2</v>
      </c>
      <c r="AH48" s="1691">
        <f>+RevPAR!F10</f>
        <v>4.8000000000000043E-2</v>
      </c>
      <c r="AI48" s="1691">
        <f>+RevPAR!G10</f>
        <v>5.8999999999999941E-2</v>
      </c>
      <c r="AJ48" s="1692">
        <f>+RevPAR!H10</f>
        <v>6.0999999999999999E-2</v>
      </c>
      <c r="AK48" s="1691">
        <f>+RevPAR!I10</f>
        <v>5.5E-2</v>
      </c>
      <c r="AL48" s="1691">
        <f>+RevPAR!J10</f>
        <v>5.1999999999999998E-2</v>
      </c>
      <c r="AM48" s="1691">
        <f>+RevPAR!K10</f>
        <v>5.1999999999999998E-2</v>
      </c>
      <c r="AN48" s="1691">
        <f>+RevPAR!L10</f>
        <v>4.7E-2</v>
      </c>
      <c r="AO48" s="1692">
        <f>+RevPAR!M10</f>
        <v>5.1999999999999998E-2</v>
      </c>
      <c r="AP48" s="1691">
        <f>+RevPAR!N10</f>
        <v>6.7000000000000004E-2</v>
      </c>
      <c r="AQ48" s="1691"/>
    </row>
    <row r="49" spans="29:108">
      <c r="AC49" s="120" t="s">
        <v>600</v>
      </c>
      <c r="AD49" s="1691">
        <v>5.6065194043865979E-2</v>
      </c>
      <c r="AE49" s="1692">
        <v>8.4988937024141564E-2</v>
      </c>
      <c r="AF49" s="1691">
        <v>7.3340970912010625E-2</v>
      </c>
      <c r="AG49" s="1691">
        <v>7.5120262551002681E-2</v>
      </c>
      <c r="AH49" s="1691">
        <v>5.0455717065940944E-2</v>
      </c>
      <c r="AI49" s="1691">
        <v>6.6897512865128808E-2</v>
      </c>
      <c r="AJ49" s="1692">
        <v>6.6481866877591417E-2</v>
      </c>
      <c r="AK49" s="1691">
        <v>5.6439175076467486E-2</v>
      </c>
      <c r="AL49" s="1691">
        <v>5.2539322774699256E-2</v>
      </c>
      <c r="AM49" s="1691">
        <v>5.4635488448255325E-2</v>
      </c>
      <c r="AN49" s="1691">
        <v>5.4635488448255325E-2</v>
      </c>
      <c r="AO49" s="1692">
        <v>6.6481866877591417E-2</v>
      </c>
      <c r="AP49" s="1691">
        <v>5.4635488448255325E-2</v>
      </c>
      <c r="AQ49" s="1691"/>
    </row>
    <row r="50" spans="29:108">
      <c r="AC50" s="1693" t="s">
        <v>1621</v>
      </c>
      <c r="AD50" s="1694">
        <v>-3.0651940438659805E-3</v>
      </c>
      <c r="AE50" s="1695">
        <v>-1.798893702414156E-2</v>
      </c>
      <c r="AF50" s="1694">
        <v>-3.340970912010563E-3</v>
      </c>
      <c r="AG50" s="1694">
        <v>-6.1202625510027309E-3</v>
      </c>
      <c r="AH50" s="1694">
        <v>-2.4557170659409017E-3</v>
      </c>
      <c r="AI50" s="1694">
        <v>-7.8975128651288667E-3</v>
      </c>
      <c r="AJ50" s="1695">
        <v>-5.4818668775914181E-3</v>
      </c>
      <c r="AK50" s="1694">
        <v>-1.439175076467486E-3</v>
      </c>
      <c r="AL50" s="1694">
        <v>-5.3932277469925793E-4</v>
      </c>
      <c r="AM50" s="1694">
        <v>-2.635488448255327E-3</v>
      </c>
      <c r="AN50" s="1694">
        <v>-2.635488448255327E-3</v>
      </c>
      <c r="AO50" s="1695">
        <v>-5.4818668775914181E-3</v>
      </c>
      <c r="AP50" s="1694">
        <v>-2.635488448255327E-3</v>
      </c>
      <c r="AQ50" s="1796"/>
    </row>
    <row r="51" spans="29:108" ht="13.5" thickBot="1">
      <c r="AC51" s="1696" t="s">
        <v>758</v>
      </c>
      <c r="AD51" s="1697"/>
      <c r="AE51" s="1698"/>
      <c r="AF51" s="1697"/>
      <c r="AG51" s="1697"/>
      <c r="AH51" s="1697"/>
      <c r="AI51" s="1697"/>
      <c r="AJ51" s="1698"/>
      <c r="AK51" s="1697"/>
      <c r="AL51" s="1697"/>
      <c r="AM51" s="1699">
        <f>AVERAGE(AK50:AM50)</f>
        <v>-1.5379954331406903E-3</v>
      </c>
      <c r="AN51" s="1699">
        <f>AVERAGE(AL50:AN50)</f>
        <v>-1.9367665570699706E-3</v>
      </c>
      <c r="AO51" s="1698"/>
      <c r="AP51" s="1699">
        <f>AVERAGE(AM50:AP50)</f>
        <v>-3.3470830555893498E-3</v>
      </c>
      <c r="AQ51" s="471"/>
      <c r="AR51" s="682"/>
    </row>
    <row r="52" spans="29:108" ht="4.5" customHeight="1">
      <c r="AC52" s="1700"/>
      <c r="AD52" s="15"/>
      <c r="AE52" s="208"/>
      <c r="AF52" s="15"/>
      <c r="AG52" s="15"/>
      <c r="AH52" s="15"/>
      <c r="AI52" s="15"/>
      <c r="AJ52" s="208"/>
      <c r="AK52" s="15"/>
      <c r="AL52" s="15"/>
      <c r="AM52" s="471"/>
      <c r="AN52" s="471"/>
      <c r="AO52" s="208"/>
      <c r="AP52" s="471"/>
      <c r="AQ52" s="471"/>
      <c r="AR52" s="682"/>
    </row>
    <row r="53" spans="29:108">
      <c r="AC53" s="2" t="s">
        <v>752</v>
      </c>
      <c r="AD53" s="7"/>
      <c r="AE53" s="226"/>
      <c r="AF53" s="7"/>
      <c r="AG53" s="7"/>
      <c r="AH53" s="7"/>
      <c r="AI53" s="7"/>
      <c r="AJ53" s="226"/>
      <c r="AK53" s="7"/>
      <c r="AL53" s="7"/>
      <c r="AM53" s="7"/>
      <c r="AN53" s="7"/>
      <c r="AO53" s="226"/>
      <c r="AP53" s="2229"/>
      <c r="AQ53" s="7"/>
      <c r="AR53" s="1687"/>
    </row>
    <row r="54" spans="29:108">
      <c r="AC54" s="120" t="s">
        <v>600</v>
      </c>
      <c r="AD54" s="7"/>
      <c r="AE54" s="226"/>
      <c r="AF54" s="7"/>
      <c r="AG54" s="7"/>
      <c r="AH54" s="7"/>
      <c r="AI54" s="7"/>
      <c r="AJ54" s="226"/>
      <c r="AK54" s="7"/>
      <c r="AL54" s="7"/>
      <c r="AM54" s="7"/>
      <c r="AN54" s="7"/>
      <c r="AO54" s="226"/>
      <c r="AP54" s="7"/>
      <c r="AQ54" s="7"/>
      <c r="AR54" s="1687"/>
    </row>
    <row r="55" spans="29:108">
      <c r="AC55" s="1693" t="s">
        <v>1621</v>
      </c>
      <c r="AD55" s="437"/>
      <c r="AE55" s="445"/>
      <c r="AF55" s="437"/>
      <c r="AG55" s="437"/>
      <c r="AH55" s="437"/>
      <c r="AI55" s="437"/>
      <c r="AJ55" s="445"/>
      <c r="AK55" s="437"/>
      <c r="AL55" s="437"/>
      <c r="AM55" s="437"/>
      <c r="AN55" s="437"/>
      <c r="AO55" s="445"/>
      <c r="AP55" s="437"/>
      <c r="AQ55" s="471"/>
      <c r="AR55" s="1687"/>
    </row>
    <row r="56" spans="29:108" ht="13.5" thickBot="1">
      <c r="AC56" s="1696" t="s">
        <v>759</v>
      </c>
      <c r="AD56" s="1697"/>
      <c r="AE56" s="1698"/>
      <c r="AF56" s="1697"/>
      <c r="AG56" s="1697"/>
      <c r="AH56" s="1697"/>
      <c r="AI56" s="1697"/>
      <c r="AJ56" s="1698"/>
      <c r="AK56" s="1697"/>
      <c r="AL56" s="1697"/>
      <c r="AM56" s="1699"/>
      <c r="AN56" s="1699"/>
      <c r="AO56" s="1698"/>
      <c r="AP56" s="1699"/>
      <c r="AQ56" s="471"/>
      <c r="AR56" s="682"/>
    </row>
    <row r="57" spans="29:108" ht="4.5" customHeight="1">
      <c r="AC57" s="1700"/>
      <c r="AD57" s="15"/>
      <c r="AE57" s="208"/>
      <c r="AF57" s="15"/>
      <c r="AG57" s="15"/>
      <c r="AH57" s="15"/>
      <c r="AI57" s="15"/>
      <c r="AJ57" s="208"/>
      <c r="AK57" s="15"/>
      <c r="AL57" s="15"/>
      <c r="AM57" s="471"/>
      <c r="AN57" s="471"/>
      <c r="AO57" s="208"/>
      <c r="AP57" s="471"/>
      <c r="AQ57" s="471"/>
      <c r="AR57" s="682"/>
    </row>
    <row r="58" spans="29:108">
      <c r="AC58" s="2" t="s">
        <v>755</v>
      </c>
      <c r="AD58" s="7"/>
      <c r="AE58" s="226"/>
      <c r="AF58" s="7"/>
      <c r="AG58" s="7"/>
      <c r="AH58" s="7"/>
      <c r="AI58" s="7"/>
      <c r="AJ58" s="226"/>
      <c r="AK58" s="7"/>
      <c r="AL58" s="7"/>
      <c r="AM58" s="7"/>
      <c r="AN58" s="7"/>
      <c r="AO58" s="226"/>
      <c r="AP58" s="7"/>
      <c r="AQ58" s="7"/>
      <c r="AR58" s="1687"/>
    </row>
    <row r="59" spans="29:108">
      <c r="AC59" s="120" t="s">
        <v>600</v>
      </c>
      <c r="AD59" s="7"/>
      <c r="AE59" s="226"/>
      <c r="AF59" s="7"/>
      <c r="AG59" s="7"/>
      <c r="AH59" s="7"/>
      <c r="AI59" s="7"/>
      <c r="AJ59" s="226"/>
      <c r="AK59" s="7"/>
      <c r="AL59" s="7"/>
      <c r="AM59" s="7"/>
      <c r="AN59" s="7"/>
      <c r="AO59" s="226"/>
      <c r="AP59" s="7"/>
      <c r="AQ59" s="7"/>
      <c r="AR59" s="1687"/>
    </row>
    <row r="60" spans="29:108">
      <c r="AC60" s="1693" t="s">
        <v>1621</v>
      </c>
      <c r="AD60" s="437"/>
      <c r="AE60" s="445"/>
      <c r="AF60" s="437"/>
      <c r="AG60" s="437"/>
      <c r="AH60" s="437"/>
      <c r="AI60" s="437"/>
      <c r="AJ60" s="445"/>
      <c r="AK60" s="437"/>
      <c r="AL60" s="437"/>
      <c r="AM60" s="437"/>
      <c r="AN60" s="437"/>
      <c r="AO60" s="445"/>
      <c r="AP60" s="437"/>
      <c r="AQ60" s="471"/>
      <c r="AR60" s="1687"/>
    </row>
    <row r="61" spans="29:108" s="2236" customFormat="1" ht="13.5" thickBot="1">
      <c r="AC61" s="2230" t="s">
        <v>760</v>
      </c>
      <c r="AD61" s="2233"/>
      <c r="AE61" s="2234"/>
      <c r="AF61" s="2233"/>
      <c r="AG61" s="2233"/>
      <c r="AH61" s="2233"/>
      <c r="AI61" s="2233"/>
      <c r="AJ61" s="2234"/>
      <c r="AK61" s="2233"/>
      <c r="AL61" s="2233"/>
      <c r="AM61" s="2231"/>
      <c r="AN61" s="2231"/>
      <c r="AO61" s="2234"/>
      <c r="AP61" s="2231"/>
      <c r="AQ61" s="2232"/>
      <c r="AR61" s="2235"/>
      <c r="DD61" s="2237"/>
    </row>
    <row r="65" spans="29:43">
      <c r="AC65" s="1685" t="s">
        <v>603</v>
      </c>
      <c r="AD65" s="1701" t="str">
        <f t="shared" ref="AD65:AM65" si="4">AD47</f>
        <v>2010</v>
      </c>
      <c r="AE65" s="1701" t="str">
        <f t="shared" si="4"/>
        <v>2011</v>
      </c>
      <c r="AF65" s="1686" t="str">
        <f t="shared" si="4"/>
        <v>1Q12</v>
      </c>
      <c r="AG65" s="1686" t="str">
        <f t="shared" si="4"/>
        <v>2Q12</v>
      </c>
      <c r="AH65" s="1686" t="str">
        <f t="shared" si="4"/>
        <v>3Q12</v>
      </c>
      <c r="AI65" s="1686" t="str">
        <f t="shared" si="4"/>
        <v>4Q12</v>
      </c>
      <c r="AJ65" s="1701">
        <f t="shared" si="4"/>
        <v>2012</v>
      </c>
      <c r="AK65" s="1686" t="str">
        <f t="shared" si="4"/>
        <v>1Q13</v>
      </c>
      <c r="AL65" s="1686" t="str">
        <f t="shared" si="4"/>
        <v>2Q13</v>
      </c>
      <c r="AM65" s="1686" t="str">
        <f t="shared" si="4"/>
        <v>3Q13</v>
      </c>
      <c r="AN65" s="1686" t="str">
        <f>AN47</f>
        <v>4Q13</v>
      </c>
      <c r="AO65" s="1701">
        <f>AO47</f>
        <v>2013</v>
      </c>
      <c r="AP65" s="1686" t="str">
        <f>AP47</f>
        <v>1Q14</v>
      </c>
      <c r="AQ65" s="1686"/>
    </row>
    <row r="66" spans="29:43">
      <c r="AC66" s="7" t="s">
        <v>1270</v>
      </c>
      <c r="AD66" s="226">
        <v>0.10861879661277724</v>
      </c>
      <c r="AE66" s="226">
        <v>9.0957726040426734E-2</v>
      </c>
      <c r="AF66" s="7">
        <v>0.10669272740718871</v>
      </c>
      <c r="AG66" s="7">
        <v>0.1129978458178873</v>
      </c>
      <c r="AH66" s="7">
        <v>6.4291985176015087E-2</v>
      </c>
      <c r="AI66" s="7">
        <v>9.7651789162014113E-2</v>
      </c>
      <c r="AJ66" s="226">
        <v>9.5408586890776304E-2</v>
      </c>
      <c r="AK66" s="7">
        <v>0.10421706600251279</v>
      </c>
      <c r="AL66" s="7">
        <v>6.7905936005567158E-2</v>
      </c>
      <c r="AM66" s="7">
        <v>8.5382837407368406E-2</v>
      </c>
      <c r="AN66" s="7">
        <v>7.0422633158144815E-2</v>
      </c>
      <c r="AO66" s="226">
        <v>7.4999999999999997E-2</v>
      </c>
      <c r="AP66" s="7">
        <v>5.3999999999999999E-2</v>
      </c>
      <c r="AQ66" s="7"/>
    </row>
    <row r="67" spans="29:43">
      <c r="AC67" s="7" t="s">
        <v>1693</v>
      </c>
      <c r="AD67" s="226">
        <v>6.0621778571577439E-2</v>
      </c>
      <c r="AE67" s="226">
        <v>7.3429310528391689E-2</v>
      </c>
      <c r="AF67" s="7">
        <v>7.1669908548946504E-2</v>
      </c>
      <c r="AG67" s="7">
        <v>7.6350217940226006E-2</v>
      </c>
      <c r="AH67" s="7">
        <v>5.3486162599690523E-2</v>
      </c>
      <c r="AI67" s="7">
        <v>7.0866313652733881E-2</v>
      </c>
      <c r="AJ67" s="226">
        <v>6.8093150685399229E-2</v>
      </c>
      <c r="AK67" s="7">
        <v>5.8244611176307082E-2</v>
      </c>
      <c r="AL67" s="7">
        <v>5.7968349995310975E-2</v>
      </c>
      <c r="AM67" s="7">
        <v>6.4050567835784333E-2</v>
      </c>
      <c r="AN67" s="7">
        <v>5.8437484599812323E-2</v>
      </c>
      <c r="AO67" s="226">
        <v>5.8999999999999997E-2</v>
      </c>
      <c r="AP67" s="7">
        <v>7.0999999999999994E-2</v>
      </c>
      <c r="AQ67" s="7"/>
    </row>
    <row r="68" spans="29:43">
      <c r="AC68" s="7" t="s">
        <v>1271</v>
      </c>
      <c r="AD68" s="226">
        <v>5.9289176266149157E-2</v>
      </c>
      <c r="AE68" s="226">
        <v>9.7322036081081587E-2</v>
      </c>
      <c r="AF68" s="7">
        <v>7.0953136593095323E-2</v>
      </c>
      <c r="AG68" s="7">
        <v>7.330945112117182E-2</v>
      </c>
      <c r="AH68" s="7">
        <v>6.1346702004404507E-2</v>
      </c>
      <c r="AI68" s="7">
        <v>6.7766927410167321E-2</v>
      </c>
      <c r="AJ68" s="226">
        <v>6.8344054282209743E-2</v>
      </c>
      <c r="AK68" s="7">
        <v>6.080237971376623E-2</v>
      </c>
      <c r="AL68" s="7">
        <v>5.4316669352258318E-2</v>
      </c>
      <c r="AM68" s="7">
        <v>5.2526442025496722E-2</v>
      </c>
      <c r="AN68" s="7">
        <v>4.639199746761688E-2</v>
      </c>
      <c r="AO68" s="226">
        <v>5.2999999999999999E-2</v>
      </c>
      <c r="AP68" s="7">
        <v>6.4000000000000001E-2</v>
      </c>
      <c r="AQ68" s="7"/>
    </row>
    <row r="69" spans="29:43">
      <c r="AC69" s="7" t="s">
        <v>1871</v>
      </c>
      <c r="AD69" s="226">
        <v>4.246736253119307E-2</v>
      </c>
      <c r="AE69" s="226">
        <v>8.7975968330525234E-2</v>
      </c>
      <c r="AF69" s="7">
        <v>7.5030759602598973E-2</v>
      </c>
      <c r="AG69" s="7">
        <v>7.1971008889325283E-2</v>
      </c>
      <c r="AH69" s="7">
        <v>3.4474623076688138E-2</v>
      </c>
      <c r="AI69" s="7">
        <v>5.8142060083102631E-2</v>
      </c>
      <c r="AJ69" s="226">
        <v>5.9904612912928756E-2</v>
      </c>
      <c r="AK69" s="7">
        <v>4.5117867773464493E-2</v>
      </c>
      <c r="AL69" s="7">
        <v>4.2303239016897365E-2</v>
      </c>
      <c r="AM69" s="7">
        <v>4.1983146399943827E-2</v>
      </c>
      <c r="AN69" s="7">
        <v>4.0052272478322368E-2</v>
      </c>
      <c r="AO69" s="226">
        <v>4.2000000000000003E-2</v>
      </c>
      <c r="AP69" s="7">
        <v>6.3E-2</v>
      </c>
      <c r="AQ69" s="7"/>
    </row>
    <row r="70" spans="29:43">
      <c r="AC70" s="7"/>
      <c r="AD70" s="226"/>
      <c r="AE70" s="226"/>
      <c r="AF70" s="7"/>
      <c r="AG70" s="7"/>
      <c r="AH70" s="7"/>
      <c r="AI70" s="7"/>
      <c r="AJ70" s="226"/>
      <c r="AK70" s="7"/>
      <c r="AL70" s="7"/>
      <c r="AM70" s="7"/>
      <c r="AN70" s="7"/>
      <c r="AO70" s="226"/>
      <c r="AP70" s="7"/>
      <c r="AQ70" s="7"/>
    </row>
    <row r="71" spans="29:43">
      <c r="AC71" s="122" t="s">
        <v>756</v>
      </c>
      <c r="AD71" s="208"/>
      <c r="AE71" s="208"/>
      <c r="AJ71" s="208"/>
      <c r="AO71" s="208"/>
    </row>
    <row r="72" spans="29:43">
      <c r="AC72" s="3" t="s">
        <v>1270</v>
      </c>
      <c r="AD72" s="245">
        <v>0.10126070472200864</v>
      </c>
      <c r="AE72" s="245">
        <v>0.10290601434614677</v>
      </c>
      <c r="AF72" s="121">
        <v>0.10317612364049786</v>
      </c>
      <c r="AG72" s="121">
        <v>0.10460192290289058</v>
      </c>
      <c r="AH72" s="121">
        <v>0.1057577880500124</v>
      </c>
      <c r="AI72" s="121">
        <v>0.10714057094084833</v>
      </c>
      <c r="AJ72" s="245">
        <v>0.10714057094084833</v>
      </c>
      <c r="AK72" s="121">
        <v>0.10651112984165359</v>
      </c>
      <c r="AL72" s="121">
        <v>0.10657931518500235</v>
      </c>
      <c r="AM72" s="121">
        <v>0.10726149663080742</v>
      </c>
      <c r="AN72" s="121">
        <v>0.10726149663080742</v>
      </c>
      <c r="AO72" s="245">
        <v>0.10714057094084833</v>
      </c>
      <c r="AP72" s="121">
        <v>0.10726149663080742</v>
      </c>
      <c r="AQ72" s="121"/>
    </row>
    <row r="73" spans="29:43">
      <c r="AC73" s="3" t="s">
        <v>753</v>
      </c>
      <c r="AD73" s="245">
        <v>0.78060291115412139</v>
      </c>
      <c r="AE73" s="245">
        <v>0.77661045327988942</v>
      </c>
      <c r="AF73" s="121">
        <v>0.77556712006959638</v>
      </c>
      <c r="AG73" s="121">
        <v>0.76955434962381375</v>
      </c>
      <c r="AH73" s="121">
        <v>0.76595926933207692</v>
      </c>
      <c r="AI73" s="121">
        <v>0.76353965036350613</v>
      </c>
      <c r="AJ73" s="245">
        <v>0.76353965036350613</v>
      </c>
      <c r="AK73" s="121">
        <v>0.76029071668321413</v>
      </c>
      <c r="AL73" s="121">
        <v>0.75506295611212559</v>
      </c>
      <c r="AM73" s="121">
        <v>0.7537356661543918</v>
      </c>
      <c r="AN73" s="121">
        <v>0.7537356661543918</v>
      </c>
      <c r="AO73" s="245">
        <v>0.76353965036350613</v>
      </c>
      <c r="AP73" s="121">
        <v>0.7537356661543918</v>
      </c>
      <c r="AQ73" s="121"/>
    </row>
    <row r="74" spans="29:43">
      <c r="AC74" s="3" t="s">
        <v>1271</v>
      </c>
      <c r="AD74" s="245">
        <v>0.11813638412386988</v>
      </c>
      <c r="AE74" s="245">
        <v>0.12048353237396384</v>
      </c>
      <c r="AF74" s="121">
        <v>0.12125675628990569</v>
      </c>
      <c r="AG74" s="121">
        <v>0.12584372747329561</v>
      </c>
      <c r="AH74" s="121">
        <v>0.12828294261791059</v>
      </c>
      <c r="AI74" s="121">
        <v>0.12931977869564554</v>
      </c>
      <c r="AJ74" s="245">
        <v>0.12931977869564554</v>
      </c>
      <c r="AK74" s="121">
        <v>0.1331981534751322</v>
      </c>
      <c r="AL74" s="121">
        <v>0.13835772870287216</v>
      </c>
      <c r="AM74" s="121">
        <v>0.13900283721480081</v>
      </c>
      <c r="AN74" s="121">
        <v>0.13900283721480081</v>
      </c>
      <c r="AO74" s="245">
        <v>0.12931977869564554</v>
      </c>
      <c r="AP74" s="121">
        <v>0.13900283721480081</v>
      </c>
      <c r="AQ74" s="121"/>
    </row>
    <row r="75" spans="29:43">
      <c r="AD75" s="208"/>
      <c r="AE75" s="208"/>
      <c r="AJ75" s="208"/>
      <c r="AO75" s="208"/>
    </row>
    <row r="76" spans="29:43">
      <c r="AC76" s="122" t="s">
        <v>757</v>
      </c>
      <c r="AD76" s="208"/>
      <c r="AE76" s="208"/>
      <c r="AJ76" s="208"/>
      <c r="AO76" s="208"/>
    </row>
    <row r="77" spans="29:43">
      <c r="AC77" s="3" t="s">
        <v>1270</v>
      </c>
      <c r="AD77" s="245">
        <v>3.8155919050719536E-2</v>
      </c>
      <c r="AE77" s="245">
        <v>3.9423019340052476E-2</v>
      </c>
      <c r="AF77" s="121">
        <v>3.9358678316288191E-2</v>
      </c>
      <c r="AG77" s="121">
        <v>3.9568374324980206E-2</v>
      </c>
      <c r="AH77" s="121">
        <v>3.9780364665401809E-2</v>
      </c>
      <c r="AI77" s="121">
        <v>3.8820595440400785E-2</v>
      </c>
      <c r="AJ77" s="245">
        <v>3.8820595440400785E-2</v>
      </c>
      <c r="AK77" s="121">
        <v>3.9778498948859133E-2</v>
      </c>
      <c r="AL77" s="121">
        <v>3.8836922404235051E-2</v>
      </c>
      <c r="AM77" s="121">
        <v>3.8368455334336617E-2</v>
      </c>
      <c r="AN77" s="121">
        <v>3.8368455334336617E-2</v>
      </c>
      <c r="AO77" s="245">
        <v>3.8820595440400785E-2</v>
      </c>
      <c r="AP77" s="121">
        <v>3.8368455334336617E-2</v>
      </c>
      <c r="AQ77" s="121"/>
    </row>
    <row r="78" spans="29:43">
      <c r="AC78" s="3" t="s">
        <v>1693</v>
      </c>
      <c r="AD78" s="245">
        <v>0.43622187969225457</v>
      </c>
      <c r="AE78" s="245">
        <v>0.43379726367957894</v>
      </c>
      <c r="AF78" s="121">
        <v>0.43176100069968831</v>
      </c>
      <c r="AG78" s="121">
        <v>0.43221745110591181</v>
      </c>
      <c r="AH78" s="121">
        <v>0.4298228124899508</v>
      </c>
      <c r="AI78" s="121">
        <v>0.4382962825173326</v>
      </c>
      <c r="AJ78" s="245">
        <v>0.4382962825173326</v>
      </c>
      <c r="AK78" s="121">
        <v>0.43647231158358807</v>
      </c>
      <c r="AL78" s="121">
        <v>0.43484391835969832</v>
      </c>
      <c r="AM78" s="121">
        <v>0.43349146294247576</v>
      </c>
      <c r="AN78" s="121">
        <v>0.43349146294247576</v>
      </c>
      <c r="AO78" s="245">
        <v>0.4382962825173326</v>
      </c>
      <c r="AP78" s="121">
        <v>0.43349146294247576</v>
      </c>
      <c r="AQ78" s="121"/>
    </row>
    <row r="79" spans="29:43">
      <c r="AC79" s="3" t="s">
        <v>1271</v>
      </c>
      <c r="AD79" s="245">
        <v>0.39412280585194731</v>
      </c>
      <c r="AE79" s="245">
        <v>0.39387573097758793</v>
      </c>
      <c r="AF79" s="121">
        <v>0.39540467999360102</v>
      </c>
      <c r="AG79" s="121">
        <v>0.39456952724024336</v>
      </c>
      <c r="AH79" s="121">
        <v>0.39586455285075733</v>
      </c>
      <c r="AI79" s="121">
        <v>0.39026631817565588</v>
      </c>
      <c r="AJ79" s="245">
        <v>0.39026631817565588</v>
      </c>
      <c r="AK79" s="121">
        <v>0.39087681947852737</v>
      </c>
      <c r="AL79" s="121">
        <v>0.39127379483735963</v>
      </c>
      <c r="AM79" s="121">
        <v>0.39307660530394589</v>
      </c>
      <c r="AN79" s="121">
        <v>0.39307660530394589</v>
      </c>
      <c r="AO79" s="245">
        <v>0.39026631817565588</v>
      </c>
      <c r="AP79" s="121">
        <v>0.39307660530394589</v>
      </c>
      <c r="AQ79" s="121"/>
    </row>
    <row r="80" spans="29:43">
      <c r="AC80" s="15" t="s">
        <v>1871</v>
      </c>
      <c r="AD80" s="245">
        <v>0.1314993954050786</v>
      </c>
      <c r="AE80" s="245">
        <v>0.13290398600278067</v>
      </c>
      <c r="AF80" s="121">
        <v>0.1334756409904225</v>
      </c>
      <c r="AG80" s="121">
        <v>0.13364464732886464</v>
      </c>
      <c r="AH80" s="121">
        <v>0.13453226999389009</v>
      </c>
      <c r="AI80" s="121">
        <v>0.13261680386661076</v>
      </c>
      <c r="AJ80" s="245">
        <v>0.13261680386661076</v>
      </c>
      <c r="AK80" s="121">
        <v>0.13287236998902544</v>
      </c>
      <c r="AL80" s="121">
        <v>0.13504536439870699</v>
      </c>
      <c r="AM80" s="121">
        <v>0.13506347641924177</v>
      </c>
      <c r="AN80" s="121">
        <v>0.13506347641924177</v>
      </c>
      <c r="AO80" s="245">
        <v>0.13261680386661076</v>
      </c>
      <c r="AP80" s="121">
        <v>0.13506347641924177</v>
      </c>
      <c r="AQ80" s="121"/>
    </row>
    <row r="81" spans="29:108">
      <c r="AD81" s="208"/>
      <c r="AE81" s="208"/>
      <c r="AJ81" s="208"/>
      <c r="AO81" s="208"/>
    </row>
    <row r="82" spans="29:108" s="2" customFormat="1">
      <c r="AC82" s="2239" t="s">
        <v>212</v>
      </c>
      <c r="AD82" s="2240" t="s">
        <v>684</v>
      </c>
      <c r="AE82" s="2240" t="s">
        <v>1754</v>
      </c>
      <c r="AF82" s="1519" t="s">
        <v>19</v>
      </c>
      <c r="AG82" s="1519" t="s">
        <v>1286</v>
      </c>
      <c r="AH82" s="1519" t="s">
        <v>1287</v>
      </c>
      <c r="AI82" s="1519" t="s">
        <v>1288</v>
      </c>
      <c r="AJ82" s="2241">
        <v>2012</v>
      </c>
      <c r="AK82" s="1519" t="s">
        <v>1804</v>
      </c>
      <c r="AL82" s="1519" t="s">
        <v>2214</v>
      </c>
      <c r="AM82" s="1519" t="s">
        <v>229</v>
      </c>
      <c r="AN82" s="1519" t="s">
        <v>1499</v>
      </c>
      <c r="AO82" s="2241">
        <v>2013</v>
      </c>
      <c r="AP82" s="1520" t="s">
        <v>367</v>
      </c>
      <c r="DD82" s="209"/>
    </row>
    <row r="83" spans="29:108" s="7" customFormat="1">
      <c r="AC83" s="646" t="s">
        <v>1750</v>
      </c>
      <c r="AD83" s="226">
        <f t="shared" ref="AD83:AM83" si="5">+AD48</f>
        <v>5.2999999999999999E-2</v>
      </c>
      <c r="AE83" s="226">
        <f t="shared" si="5"/>
        <v>6.7000000000000004E-2</v>
      </c>
      <c r="AF83" s="128">
        <f t="shared" si="5"/>
        <v>7.0000000000000062E-2</v>
      </c>
      <c r="AG83" s="128">
        <f t="shared" si="5"/>
        <v>6.899999999999995E-2</v>
      </c>
      <c r="AH83" s="128">
        <f t="shared" si="5"/>
        <v>4.8000000000000043E-2</v>
      </c>
      <c r="AI83" s="128">
        <f t="shared" si="5"/>
        <v>5.8999999999999941E-2</v>
      </c>
      <c r="AJ83" s="226">
        <f t="shared" si="5"/>
        <v>6.0999999999999999E-2</v>
      </c>
      <c r="AK83" s="128">
        <f t="shared" si="5"/>
        <v>5.5E-2</v>
      </c>
      <c r="AL83" s="128">
        <f t="shared" si="5"/>
        <v>5.1999999999999998E-2</v>
      </c>
      <c r="AM83" s="128">
        <f t="shared" si="5"/>
        <v>5.1999999999999998E-2</v>
      </c>
      <c r="AN83" s="128">
        <f>+AN48</f>
        <v>4.7E-2</v>
      </c>
      <c r="AO83" s="226">
        <f>+AO48</f>
        <v>5.1999999999999998E-2</v>
      </c>
      <c r="AP83" s="786">
        <f>+AP48</f>
        <v>6.7000000000000004E-2</v>
      </c>
      <c r="DD83" s="1691"/>
    </row>
    <row r="84" spans="29:108" s="7" customFormat="1">
      <c r="AC84" s="646" t="s">
        <v>1694</v>
      </c>
      <c r="AD84" s="226">
        <f t="shared" ref="AD84:AM84" si="6">+AD53</f>
        <v>0</v>
      </c>
      <c r="AE84" s="226">
        <f t="shared" si="6"/>
        <v>0</v>
      </c>
      <c r="AF84" s="128">
        <f t="shared" si="6"/>
        <v>0</v>
      </c>
      <c r="AG84" s="128">
        <f t="shared" si="6"/>
        <v>0</v>
      </c>
      <c r="AH84" s="128">
        <f t="shared" si="6"/>
        <v>0</v>
      </c>
      <c r="AI84" s="128">
        <f t="shared" si="6"/>
        <v>0</v>
      </c>
      <c r="AJ84" s="226">
        <f t="shared" si="6"/>
        <v>0</v>
      </c>
      <c r="AK84" s="128">
        <f t="shared" si="6"/>
        <v>0</v>
      </c>
      <c r="AL84" s="128">
        <f t="shared" si="6"/>
        <v>0</v>
      </c>
      <c r="AM84" s="128">
        <f t="shared" si="6"/>
        <v>0</v>
      </c>
      <c r="AN84" s="128">
        <f>+AN53</f>
        <v>0</v>
      </c>
      <c r="AO84" s="226">
        <f>+AO53</f>
        <v>0</v>
      </c>
      <c r="AP84" s="786">
        <f>+AP53</f>
        <v>0</v>
      </c>
      <c r="DD84" s="1691"/>
    </row>
    <row r="85" spans="29:108" s="7" customFormat="1">
      <c r="AC85" s="646" t="s">
        <v>879</v>
      </c>
      <c r="AD85" s="226">
        <f t="shared" ref="AD85:AM85" si="7">+AD58</f>
        <v>0</v>
      </c>
      <c r="AE85" s="226">
        <f t="shared" si="7"/>
        <v>0</v>
      </c>
      <c r="AF85" s="128">
        <f t="shared" si="7"/>
        <v>0</v>
      </c>
      <c r="AG85" s="128">
        <f t="shared" si="7"/>
        <v>0</v>
      </c>
      <c r="AH85" s="128">
        <f t="shared" si="7"/>
        <v>0</v>
      </c>
      <c r="AI85" s="128">
        <f t="shared" si="7"/>
        <v>0</v>
      </c>
      <c r="AJ85" s="226">
        <f t="shared" si="7"/>
        <v>0</v>
      </c>
      <c r="AK85" s="128">
        <f t="shared" si="7"/>
        <v>0</v>
      </c>
      <c r="AL85" s="128">
        <f t="shared" si="7"/>
        <v>0</v>
      </c>
      <c r="AM85" s="128">
        <f t="shared" si="7"/>
        <v>0</v>
      </c>
      <c r="AN85" s="128">
        <f>+AN58</f>
        <v>0</v>
      </c>
      <c r="AO85" s="226">
        <f>+AO58</f>
        <v>0</v>
      </c>
      <c r="AP85" s="786">
        <f>+AP58</f>
        <v>0</v>
      </c>
      <c r="DD85" s="1691"/>
    </row>
    <row r="86" spans="29:108">
      <c r="AC86" s="13"/>
      <c r="AD86" s="208"/>
      <c r="AE86" s="208"/>
      <c r="AF86" s="15"/>
      <c r="AG86" s="15"/>
      <c r="AH86" s="15"/>
      <c r="AI86" s="15"/>
      <c r="AJ86" s="208"/>
      <c r="AK86" s="15"/>
      <c r="AL86" s="15"/>
      <c r="AM86" s="15"/>
      <c r="AN86" s="15"/>
      <c r="AO86" s="208"/>
      <c r="AP86" s="474"/>
    </row>
    <row r="87" spans="29:108" s="7" customFormat="1">
      <c r="AC87" s="646" t="s">
        <v>1676</v>
      </c>
      <c r="AD87" s="226">
        <f t="shared" ref="AD87:AM87" si="8">+AD83-AD84</f>
        <v>5.2999999999999999E-2</v>
      </c>
      <c r="AE87" s="226">
        <f t="shared" si="8"/>
        <v>6.7000000000000004E-2</v>
      </c>
      <c r="AF87" s="128">
        <f t="shared" si="8"/>
        <v>7.0000000000000062E-2</v>
      </c>
      <c r="AG87" s="128">
        <f t="shared" si="8"/>
        <v>6.899999999999995E-2</v>
      </c>
      <c r="AH87" s="128">
        <f t="shared" si="8"/>
        <v>4.8000000000000043E-2</v>
      </c>
      <c r="AI87" s="128">
        <f t="shared" si="8"/>
        <v>5.8999999999999941E-2</v>
      </c>
      <c r="AJ87" s="226">
        <f t="shared" si="8"/>
        <v>6.0999999999999999E-2</v>
      </c>
      <c r="AK87" s="128">
        <f t="shared" si="8"/>
        <v>5.5E-2</v>
      </c>
      <c r="AL87" s="128">
        <f t="shared" si="8"/>
        <v>5.1999999999999998E-2</v>
      </c>
      <c r="AM87" s="128">
        <f t="shared" si="8"/>
        <v>5.1999999999999998E-2</v>
      </c>
      <c r="AN87" s="128">
        <f>+AN83-AN84</f>
        <v>4.7E-2</v>
      </c>
      <c r="AO87" s="226">
        <f>+AO83-AO84</f>
        <v>5.1999999999999998E-2</v>
      </c>
      <c r="AP87" s="786">
        <f>+AP83-AP84</f>
        <v>6.7000000000000004E-2</v>
      </c>
      <c r="DD87" s="1691"/>
    </row>
    <row r="88" spans="29:108" s="7" customFormat="1">
      <c r="AC88" s="646" t="s">
        <v>1677</v>
      </c>
      <c r="AD88" s="226">
        <f t="shared" ref="AD88:AM88" si="9">+AD83-AD85</f>
        <v>5.2999999999999999E-2</v>
      </c>
      <c r="AE88" s="226">
        <f t="shared" si="9"/>
        <v>6.7000000000000004E-2</v>
      </c>
      <c r="AF88" s="128">
        <f t="shared" si="9"/>
        <v>7.0000000000000062E-2</v>
      </c>
      <c r="AG88" s="128">
        <f t="shared" si="9"/>
        <v>6.899999999999995E-2</v>
      </c>
      <c r="AH88" s="128">
        <f t="shared" si="9"/>
        <v>4.8000000000000043E-2</v>
      </c>
      <c r="AI88" s="128">
        <f t="shared" si="9"/>
        <v>5.8999999999999941E-2</v>
      </c>
      <c r="AJ88" s="226">
        <f t="shared" si="9"/>
        <v>6.0999999999999999E-2</v>
      </c>
      <c r="AK88" s="128">
        <f t="shared" si="9"/>
        <v>5.5E-2</v>
      </c>
      <c r="AL88" s="128">
        <f t="shared" si="9"/>
        <v>5.1999999999999998E-2</v>
      </c>
      <c r="AM88" s="128">
        <f t="shared" si="9"/>
        <v>5.1999999999999998E-2</v>
      </c>
      <c r="AN88" s="128">
        <f>+AN83-AN85</f>
        <v>4.7E-2</v>
      </c>
      <c r="AO88" s="226">
        <f>+AO83-AO85</f>
        <v>5.1999999999999998E-2</v>
      </c>
      <c r="AP88" s="786">
        <f>+AP83-AP85</f>
        <v>6.7000000000000004E-2</v>
      </c>
      <c r="DD88" s="1691"/>
    </row>
    <row r="89" spans="29:108">
      <c r="AC89" s="13"/>
      <c r="AD89" s="208"/>
      <c r="AE89" s="208"/>
      <c r="AF89" s="15"/>
      <c r="AG89" s="15"/>
      <c r="AH89" s="15"/>
      <c r="AI89" s="15"/>
      <c r="AJ89" s="208"/>
      <c r="AK89" s="15"/>
      <c r="AL89" s="15"/>
      <c r="AM89" s="15"/>
      <c r="AN89" s="15"/>
      <c r="AO89" s="208"/>
      <c r="AP89" s="474"/>
    </row>
    <row r="90" spans="29:108">
      <c r="AC90" s="505" t="s">
        <v>2241</v>
      </c>
      <c r="AD90" s="208"/>
      <c r="AE90" s="208"/>
      <c r="AF90" s="15"/>
      <c r="AG90" s="15"/>
      <c r="AH90" s="15"/>
      <c r="AI90" s="15"/>
      <c r="AJ90" s="208"/>
      <c r="AK90" s="15"/>
      <c r="AL90" s="15"/>
      <c r="AM90" s="15"/>
      <c r="AN90" s="15"/>
      <c r="AO90" s="208"/>
      <c r="AP90" s="474"/>
    </row>
    <row r="91" spans="29:108" s="7" customFormat="1">
      <c r="AC91" s="646" t="s">
        <v>1750</v>
      </c>
      <c r="AD91" s="226">
        <f>+Hilton!E322</f>
        <v>5.8000000000000003E-2</v>
      </c>
      <c r="AE91" s="226">
        <f>+Hilton!F322</f>
        <v>5.8999999999999997E-2</v>
      </c>
      <c r="AF91" s="128">
        <f>+Hilton!G322</f>
        <v>6.4000000000000001E-2</v>
      </c>
      <c r="AG91" s="128">
        <f>+Hilton!H322</f>
        <v>6.7000000000000004E-2</v>
      </c>
      <c r="AH91" s="128">
        <f>+Hilton!I322</f>
        <v>4.8000000000000001E-2</v>
      </c>
      <c r="AI91" s="128">
        <f>+Hilton!J322</f>
        <v>5.5E-2</v>
      </c>
      <c r="AJ91" s="226">
        <f>+Hilton!K322</f>
        <v>5.7000000000000002E-2</v>
      </c>
      <c r="AK91" s="128">
        <f>+Hilton!L322</f>
        <v>5.3999999999999999E-2</v>
      </c>
      <c r="AL91" s="128">
        <f>+Hilton!M322</f>
        <v>5.3999999999999999E-2</v>
      </c>
      <c r="AM91" s="128">
        <f>+Hilton!N322</f>
        <v>5.0999999999999997E-2</v>
      </c>
      <c r="AN91" s="128">
        <f>+Hilton!O322</f>
        <v>4.7E-2</v>
      </c>
      <c r="AO91" s="226">
        <f>+Hilton!P322</f>
        <v>5.1999999999999998E-2</v>
      </c>
      <c r="AP91" s="786">
        <f>+Hilton!Q322</f>
        <v>6.6000000000000003E-2</v>
      </c>
      <c r="DD91" s="1691"/>
    </row>
    <row r="92" spans="29:108" s="7" customFormat="1">
      <c r="AC92" s="646" t="s">
        <v>1694</v>
      </c>
      <c r="AD92" s="2238"/>
      <c r="AE92" s="2238"/>
      <c r="AF92" s="128"/>
      <c r="AG92" s="128"/>
      <c r="AH92" s="128"/>
      <c r="AI92" s="128"/>
      <c r="AJ92" s="226"/>
      <c r="AK92" s="128"/>
      <c r="AL92" s="128"/>
      <c r="AM92" s="128"/>
      <c r="AN92" s="128"/>
      <c r="AO92" s="226"/>
      <c r="AP92" s="2242"/>
      <c r="DD92" s="1691"/>
    </row>
    <row r="93" spans="29:108" s="7" customFormat="1">
      <c r="AC93" s="646" t="s">
        <v>879</v>
      </c>
      <c r="AD93" s="226"/>
      <c r="AE93" s="226"/>
      <c r="AF93" s="128"/>
      <c r="AG93" s="128"/>
      <c r="AH93" s="128"/>
      <c r="AI93" s="128"/>
      <c r="AJ93" s="226"/>
      <c r="AK93" s="128"/>
      <c r="AL93" s="128"/>
      <c r="AM93" s="128"/>
      <c r="AN93" s="128"/>
      <c r="AO93" s="226"/>
      <c r="AP93" s="786"/>
      <c r="DD93" s="1691"/>
    </row>
    <row r="94" spans="29:108">
      <c r="AC94" s="13"/>
      <c r="AD94" s="208"/>
      <c r="AE94" s="208"/>
      <c r="AF94" s="15"/>
      <c r="AG94" s="15"/>
      <c r="AH94" s="15"/>
      <c r="AI94" s="15"/>
      <c r="AJ94" s="208"/>
      <c r="AK94" s="15"/>
      <c r="AL94" s="15"/>
      <c r="AM94" s="15"/>
      <c r="AN94" s="15"/>
      <c r="AO94" s="208"/>
      <c r="AP94" s="474"/>
    </row>
    <row r="95" spans="29:108">
      <c r="AC95" s="646" t="s">
        <v>1676</v>
      </c>
      <c r="AD95" s="2238"/>
      <c r="AE95" s="2238"/>
      <c r="AF95" s="128"/>
      <c r="AG95" s="128"/>
      <c r="AH95" s="128"/>
      <c r="AI95" s="128"/>
      <c r="AJ95" s="226"/>
      <c r="AK95" s="128"/>
      <c r="AL95" s="128"/>
      <c r="AM95" s="128"/>
      <c r="AN95" s="128"/>
      <c r="AO95" s="226"/>
      <c r="AP95" s="786"/>
      <c r="AQ95" s="7"/>
    </row>
    <row r="96" spans="29:108">
      <c r="AC96" s="646" t="s">
        <v>1677</v>
      </c>
      <c r="AD96" s="226"/>
      <c r="AE96" s="226"/>
      <c r="AF96" s="128"/>
      <c r="AG96" s="128"/>
      <c r="AH96" s="128"/>
      <c r="AI96" s="128"/>
      <c r="AJ96" s="226"/>
      <c r="AK96" s="128"/>
      <c r="AL96" s="128"/>
      <c r="AM96" s="128"/>
      <c r="AN96" s="128"/>
      <c r="AO96" s="226"/>
      <c r="AP96" s="786"/>
      <c r="AQ96" s="7"/>
    </row>
    <row r="97" spans="29:108">
      <c r="AC97" s="1516"/>
      <c r="AD97" s="216"/>
      <c r="AE97" s="216"/>
      <c r="AF97" s="6"/>
      <c r="AG97" s="6"/>
      <c r="AH97" s="6"/>
      <c r="AI97" s="6"/>
      <c r="AJ97" s="216"/>
      <c r="AK97" s="6"/>
      <c r="AL97" s="6"/>
      <c r="AM97" s="6"/>
      <c r="AN97" s="6"/>
      <c r="AO97" s="216"/>
      <c r="AP97" s="1560"/>
    </row>
    <row r="98" spans="29:108">
      <c r="AR98" s="3" t="s">
        <v>852</v>
      </c>
    </row>
    <row r="99" spans="29:108" s="12" customFormat="1">
      <c r="AS99" s="12">
        <v>2012</v>
      </c>
      <c r="AT99" s="12">
        <v>2013</v>
      </c>
      <c r="AU99" s="12">
        <v>2014</v>
      </c>
      <c r="AV99" s="12">
        <v>2015</v>
      </c>
      <c r="DD99" s="1770"/>
    </row>
    <row r="100" spans="29:108">
      <c r="AR100" s="3" t="s">
        <v>851</v>
      </c>
    </row>
    <row r="101" spans="29:108">
      <c r="AR101" s="3" t="s">
        <v>1750</v>
      </c>
      <c r="AS101" s="3">
        <f>+Hilton!AV20</f>
        <v>6152</v>
      </c>
      <c r="AT101" s="3">
        <f>+Hilton!AW20</f>
        <v>6330</v>
      </c>
      <c r="AU101" s="3">
        <f>+Hilton!AX20</f>
        <v>6811</v>
      </c>
      <c r="AV101" s="3">
        <f>+Hilton!AY20</f>
        <v>7142</v>
      </c>
    </row>
    <row r="102" spans="29:108">
      <c r="AR102" s="3" t="s">
        <v>1694</v>
      </c>
    </row>
    <row r="103" spans="29:108">
      <c r="AR103" s="3" t="s">
        <v>879</v>
      </c>
    </row>
    <row r="105" spans="29:108">
      <c r="AR105" s="3" t="s">
        <v>853</v>
      </c>
    </row>
    <row r="106" spans="29:108">
      <c r="AR106" s="3" t="s">
        <v>1750</v>
      </c>
      <c r="AS106" s="3">
        <f>+Hilton!AV468</f>
        <v>433</v>
      </c>
      <c r="AT106" s="3">
        <f>+Hilton!AW468</f>
        <v>254</v>
      </c>
      <c r="AU106" s="3">
        <f>+Hilton!AX468</f>
        <v>268</v>
      </c>
      <c r="AV106" s="3">
        <f>+Hilton!AY468</f>
        <v>310</v>
      </c>
    </row>
    <row r="107" spans="29:108">
      <c r="AR107" s="3" t="s">
        <v>1694</v>
      </c>
    </row>
    <row r="108" spans="29:108">
      <c r="AR108" s="3" t="s">
        <v>879</v>
      </c>
    </row>
    <row r="110" spans="29:108">
      <c r="AR110" s="3" t="s">
        <v>854</v>
      </c>
    </row>
    <row r="111" spans="29:108">
      <c r="AR111" s="3" t="s">
        <v>1750</v>
      </c>
      <c r="AS111" s="3">
        <f>+Hilton!AV468+Hilton!AV469+Hilton!AV470</f>
        <v>567</v>
      </c>
      <c r="AT111" s="3">
        <f>+Hilton!AW468+Hilton!AW469+Hilton!AW470</f>
        <v>376</v>
      </c>
      <c r="AU111" s="3">
        <f>+Hilton!AX468+Hilton!AX469+Hilton!AX470</f>
        <v>402</v>
      </c>
      <c r="AV111" s="3">
        <f>+Hilton!AY468+Hilton!AY469+Hilton!AY470</f>
        <v>409</v>
      </c>
    </row>
    <row r="112" spans="29:108">
      <c r="AR112" s="3" t="s">
        <v>1694</v>
      </c>
    </row>
    <row r="113" spans="44:52">
      <c r="AR113" s="3" t="s">
        <v>879</v>
      </c>
    </row>
    <row r="114" spans="44:52">
      <c r="AR114" s="3" t="s">
        <v>2143</v>
      </c>
    </row>
    <row r="115" spans="44:52">
      <c r="AR115" s="3" t="s">
        <v>1750</v>
      </c>
      <c r="AS115" s="7">
        <f>+AS111/AS$101</f>
        <v>9.2165149544863462E-2</v>
      </c>
      <c r="AT115" s="7">
        <f>+AT111/AT$101</f>
        <v>5.9399684044233805E-2</v>
      </c>
      <c r="AU115" s="7">
        <f>+AU111/AU$101</f>
        <v>5.9022170019086773E-2</v>
      </c>
      <c r="AV115" s="7">
        <f>+AV111/AV$101</f>
        <v>5.7266872024642958E-2</v>
      </c>
    </row>
    <row r="116" spans="44:52">
      <c r="AR116" s="3" t="s">
        <v>1694</v>
      </c>
      <c r="AS116" s="7"/>
      <c r="AT116" s="7"/>
      <c r="AU116" s="7"/>
      <c r="AV116" s="7"/>
    </row>
    <row r="117" spans="44:52">
      <c r="AR117" s="3" t="s">
        <v>879</v>
      </c>
      <c r="AS117" s="7"/>
      <c r="AT117" s="7"/>
      <c r="AU117" s="7"/>
      <c r="AV117" s="7"/>
    </row>
    <row r="119" spans="44:52">
      <c r="AR119" s="3" t="s">
        <v>855</v>
      </c>
    </row>
    <row r="120" spans="44:52">
      <c r="AR120" s="3" t="s">
        <v>1750</v>
      </c>
      <c r="AS120" s="3">
        <f>+Hilton!AV465</f>
        <v>396</v>
      </c>
      <c r="AT120" s="3">
        <f>+Hilton!AW465</f>
        <v>242</v>
      </c>
      <c r="AU120" s="3">
        <f>+Hilton!AX465</f>
        <v>243</v>
      </c>
      <c r="AV120" s="3">
        <f>+Hilton!AY465</f>
        <v>275</v>
      </c>
    </row>
    <row r="121" spans="44:52">
      <c r="AR121" s="3" t="s">
        <v>1694</v>
      </c>
    </row>
    <row r="122" spans="44:52">
      <c r="AR122" s="3" t="s">
        <v>879</v>
      </c>
    </row>
    <row r="123" spans="44:52">
      <c r="AR123" s="3" t="s">
        <v>2143</v>
      </c>
    </row>
    <row r="124" spans="44:52">
      <c r="AR124" s="3" t="s">
        <v>1750</v>
      </c>
      <c r="AS124" s="7">
        <f>+AS120/AS$101</f>
        <v>6.4369310793237974E-2</v>
      </c>
      <c r="AT124" s="7">
        <f>+AT120/AT$101</f>
        <v>3.8230647709320692E-2</v>
      </c>
      <c r="AU124" s="7">
        <f>+AU120/AU$101</f>
        <v>3.5677580384671857E-2</v>
      </c>
      <c r="AV124" s="7">
        <f>+AV120/AV$101</f>
        <v>3.8504620554466538E-2</v>
      </c>
    </row>
    <row r="125" spans="44:52">
      <c r="AR125" s="3" t="s">
        <v>1694</v>
      </c>
      <c r="AS125" s="7"/>
      <c r="AT125" s="7"/>
      <c r="AU125" s="7"/>
      <c r="AV125" s="7"/>
      <c r="AY125" s="7"/>
      <c r="AZ125" s="127"/>
    </row>
    <row r="126" spans="44:52">
      <c r="AR126" s="3" t="s">
        <v>879</v>
      </c>
      <c r="AS126" s="7"/>
      <c r="AT126" s="7"/>
      <c r="AU126" s="7"/>
      <c r="AV126" s="7"/>
    </row>
    <row r="130" spans="51:70">
      <c r="AY130" s="2" t="s">
        <v>58</v>
      </c>
    </row>
    <row r="132" spans="51:70">
      <c r="AY132" s="1731" t="s">
        <v>1750</v>
      </c>
      <c r="AZ132" s="1722" t="s">
        <v>59</v>
      </c>
      <c r="BA132" s="1724"/>
      <c r="BB132" s="1723" t="s">
        <v>2226</v>
      </c>
      <c r="BC132" s="1723" t="s">
        <v>60</v>
      </c>
      <c r="BD132" s="230" t="s">
        <v>61</v>
      </c>
    </row>
    <row r="133" spans="51:70" ht="305.25" customHeight="1">
      <c r="AY133" s="1729" t="s">
        <v>549</v>
      </c>
      <c r="AZ133" s="1725" t="s">
        <v>62</v>
      </c>
      <c r="BA133" s="1726" t="s">
        <v>550</v>
      </c>
      <c r="BB133" s="1730" t="s">
        <v>63</v>
      </c>
      <c r="BC133" s="1730" t="s">
        <v>1508</v>
      </c>
      <c r="BD133" s="1727" t="s">
        <v>1509</v>
      </c>
    </row>
    <row r="136" spans="51:70">
      <c r="AZ136" s="1728"/>
    </row>
    <row r="138" spans="51:70">
      <c r="BA138" s="127">
        <f>20*135.3</f>
        <v>2706</v>
      </c>
      <c r="BB138" s="3">
        <f>64.102564+71.184153</f>
        <v>135.28671700000001</v>
      </c>
    </row>
    <row r="139" spans="51:70">
      <c r="BA139" s="1732">
        <f>19.275*135.3</f>
        <v>2607.9074999999998</v>
      </c>
      <c r="BB139" s="7">
        <f>71.184153/BB138</f>
        <v>0.5261725214309102</v>
      </c>
    </row>
    <row r="140" spans="51:70">
      <c r="BA140" s="1728">
        <f>BA139/BA138</f>
        <v>0.96374999999999988</v>
      </c>
      <c r="BB140" s="7">
        <f>64.102564/BB138</f>
        <v>0.47382747856908963</v>
      </c>
    </row>
    <row r="141" spans="51:70">
      <c r="BA141" s="1733">
        <f>1-BA140</f>
        <v>3.6250000000000115E-2</v>
      </c>
      <c r="BB141" s="1732"/>
      <c r="BF141" s="1734" t="s">
        <v>1512</v>
      </c>
    </row>
    <row r="143" spans="51:70">
      <c r="BF143" s="1735" t="s">
        <v>1692</v>
      </c>
      <c r="BG143" s="1736">
        <v>2004</v>
      </c>
      <c r="BH143" s="1736">
        <v>2005</v>
      </c>
      <c r="BI143" s="1736">
        <v>2006</v>
      </c>
      <c r="BJ143" s="1736">
        <v>2007</v>
      </c>
      <c r="BK143" s="1736">
        <v>2008</v>
      </c>
      <c r="BL143" s="1736">
        <v>2009</v>
      </c>
      <c r="BM143" s="1736">
        <v>2010</v>
      </c>
      <c r="BN143" s="1736">
        <v>2011</v>
      </c>
      <c r="BO143" s="1736">
        <v>2012</v>
      </c>
      <c r="BP143" s="1737" t="s">
        <v>1815</v>
      </c>
      <c r="BQ143" s="1737" t="s">
        <v>901</v>
      </c>
      <c r="BR143" s="1737" t="s">
        <v>902</v>
      </c>
    </row>
    <row r="144" spans="51:70">
      <c r="BF144" s="1734" t="s">
        <v>1510</v>
      </c>
      <c r="BG144" s="11">
        <v>65000</v>
      </c>
      <c r="BH144" s="11">
        <v>82000</v>
      </c>
      <c r="BI144" s="11">
        <v>99000</v>
      </c>
      <c r="BJ144" s="11">
        <v>95000</v>
      </c>
      <c r="BK144" s="11">
        <v>81000</v>
      </c>
      <c r="BL144" s="11">
        <v>56000</v>
      </c>
      <c r="BM144" s="11">
        <v>65000</v>
      </c>
      <c r="BN144" s="11">
        <v>78000</v>
      </c>
      <c r="BO144" s="11">
        <v>94000</v>
      </c>
      <c r="BP144" s="11">
        <v>106000</v>
      </c>
      <c r="BQ144" s="11">
        <v>122000</v>
      </c>
      <c r="BR144" s="11">
        <v>133000</v>
      </c>
    </row>
    <row r="145" spans="58:70">
      <c r="BF145" s="1735" t="s">
        <v>1511</v>
      </c>
      <c r="BG145" s="1739">
        <v>0.28000000000000003</v>
      </c>
      <c r="BH145" s="1739">
        <v>0.26</v>
      </c>
      <c r="BI145" s="1739">
        <v>0.21</v>
      </c>
      <c r="BJ145" s="1739">
        <v>-0.04</v>
      </c>
      <c r="BK145" s="1739">
        <v>-0.15</v>
      </c>
      <c r="BL145" s="1739">
        <v>-0.31</v>
      </c>
      <c r="BM145" s="1739">
        <v>0.17</v>
      </c>
      <c r="BN145" s="1739">
        <v>0.2</v>
      </c>
      <c r="BO145" s="1739">
        <v>0.2</v>
      </c>
      <c r="BP145" s="1739">
        <v>0.12</v>
      </c>
      <c r="BQ145" s="1739">
        <v>0.15</v>
      </c>
      <c r="BR145" s="1739">
        <v>0.09</v>
      </c>
    </row>
    <row r="147" spans="58:70">
      <c r="BF147" s="1734" t="s">
        <v>1513</v>
      </c>
    </row>
    <row r="148" spans="58:70">
      <c r="BR148" s="7"/>
    </row>
    <row r="149" spans="58:70">
      <c r="BR149" s="7"/>
    </row>
    <row r="169" spans="80:82">
      <c r="CB169" s="1734" t="s">
        <v>1515</v>
      </c>
    </row>
    <row r="170" spans="80:82">
      <c r="CB170" s="214">
        <v>2015</v>
      </c>
      <c r="CC170" s="3">
        <v>415</v>
      </c>
      <c r="CD170" s="7"/>
    </row>
    <row r="171" spans="80:82">
      <c r="CB171" s="214">
        <v>2012</v>
      </c>
      <c r="CC171" s="3">
        <v>325</v>
      </c>
    </row>
    <row r="172" spans="80:82">
      <c r="CB172" s="1734" t="s">
        <v>1516</v>
      </c>
      <c r="CC172" s="7">
        <f>(CC170/CC171)^(1/(CB170-CB171))-1</f>
        <v>8.4896342939231761E-2</v>
      </c>
    </row>
    <row r="173" spans="80:82">
      <c r="CB173" s="214">
        <v>2007</v>
      </c>
      <c r="CC173" s="3">
        <v>325</v>
      </c>
    </row>
    <row r="174" spans="80:82">
      <c r="CB174" s="214">
        <v>2013</v>
      </c>
      <c r="CC174" s="3">
        <v>350</v>
      </c>
    </row>
    <row r="175" spans="80:82">
      <c r="CB175" s="1734" t="s">
        <v>1517</v>
      </c>
      <c r="CC175" s="7">
        <f>(CC170/CC174)^(1/(CB170-CB174))-1</f>
        <v>8.890508572340039E-2</v>
      </c>
    </row>
    <row r="177" spans="80:98">
      <c r="CB177" s="1740" t="s">
        <v>1518</v>
      </c>
      <c r="CC177" s="7">
        <f>CC170/CC173-1</f>
        <v>0.27692307692307683</v>
      </c>
    </row>
    <row r="179" spans="80:98">
      <c r="CB179" s="1734" t="s">
        <v>1519</v>
      </c>
      <c r="CC179" s="3">
        <f>SUM('Price per key'!D6:D49)+SUM('Price per key'!D64:D132)</f>
        <v>45812</v>
      </c>
    </row>
    <row r="180" spans="80:98">
      <c r="CC180" s="121">
        <f>CC179/'Price per key'!D140</f>
        <v>2.01115062118618</v>
      </c>
    </row>
    <row r="181" spans="80:98">
      <c r="CE181" s="1741" t="s">
        <v>1524</v>
      </c>
      <c r="CF181" s="1740" t="str">
        <f>CB172</f>
        <v>CAGR '12-'15</v>
      </c>
    </row>
    <row r="182" spans="80:98">
      <c r="CD182" s="1735" t="s">
        <v>2171</v>
      </c>
      <c r="CE182" s="1498">
        <f>BR144/BP144-1</f>
        <v>0.25471698113207553</v>
      </c>
      <c r="CF182" s="1498">
        <f>(BR144/BO144)^(1/(2015-2012))-1</f>
        <v>0.12264193938829049</v>
      </c>
    </row>
    <row r="183" spans="80:98">
      <c r="CD183" s="1734" t="s">
        <v>1520</v>
      </c>
      <c r="CE183" s="121">
        <f>690/500-1</f>
        <v>0.37999999999999989</v>
      </c>
    </row>
    <row r="184" spans="80:98">
      <c r="CD184" s="1734" t="s">
        <v>1521</v>
      </c>
      <c r="CE184" s="121">
        <f>415/350-1</f>
        <v>0.18571428571428572</v>
      </c>
    </row>
    <row r="185" spans="80:98">
      <c r="CD185" s="1734" t="s">
        <v>1522</v>
      </c>
      <c r="CE185" s="121">
        <f>210/165-1</f>
        <v>0.27272727272727271</v>
      </c>
    </row>
    <row r="186" spans="80:98">
      <c r="CD186" s="1734" t="s">
        <v>1523</v>
      </c>
      <c r="CE186" s="121">
        <f>62/50-1</f>
        <v>0.24</v>
      </c>
    </row>
    <row r="188" spans="80:98" ht="25.5">
      <c r="CH188" s="230"/>
      <c r="CI188" s="1742">
        <v>2011</v>
      </c>
      <c r="CJ188" s="1742">
        <v>2012</v>
      </c>
      <c r="CK188" s="1755" t="s">
        <v>1815</v>
      </c>
      <c r="CL188" s="1755" t="s">
        <v>901</v>
      </c>
      <c r="CM188" s="1755" t="s">
        <v>902</v>
      </c>
      <c r="CN188" s="1755" t="s">
        <v>42</v>
      </c>
      <c r="CO188" s="1762" t="s">
        <v>1531</v>
      </c>
      <c r="CP188" s="1762" t="s">
        <v>1532</v>
      </c>
      <c r="CQ188" s="805" t="s">
        <v>1516</v>
      </c>
      <c r="CR188" s="805" t="s">
        <v>1529</v>
      </c>
      <c r="CS188" s="805" t="s">
        <v>1517</v>
      </c>
      <c r="CT188" s="805" t="s">
        <v>1530</v>
      </c>
    </row>
    <row r="189" spans="80:98">
      <c r="CH189" s="1743" t="s">
        <v>1528</v>
      </c>
      <c r="CI189" s="816">
        <v>78231</v>
      </c>
      <c r="CJ189" s="816">
        <v>93919</v>
      </c>
      <c r="CK189" s="816">
        <v>105645</v>
      </c>
      <c r="CL189" s="816">
        <v>121920</v>
      </c>
      <c r="CM189" s="816">
        <v>132861</v>
      </c>
      <c r="CN189" s="816">
        <v>131882</v>
      </c>
      <c r="CO189" s="514">
        <f>CN189-CJ189</f>
        <v>37963</v>
      </c>
      <c r="CP189" s="514">
        <f>CN189-CK189</f>
        <v>26237</v>
      </c>
      <c r="CQ189" s="514">
        <f>CO189-CK189</f>
        <v>-67682</v>
      </c>
      <c r="CR189" s="514">
        <f>CQ189-CL189</f>
        <v>-189602</v>
      </c>
      <c r="CS189" s="514">
        <f>CR189-CM189</f>
        <v>-322463</v>
      </c>
      <c r="CT189" s="514">
        <f>CS189-CN189</f>
        <v>-454345</v>
      </c>
    </row>
    <row r="190" spans="80:98">
      <c r="CH190" s="1744" t="s">
        <v>1525</v>
      </c>
      <c r="CI190" s="1744"/>
      <c r="CJ190" s="1744">
        <f>CJ189/CI189-1</f>
        <v>0.20053431504135188</v>
      </c>
      <c r="CK190" s="1744">
        <f>CK189/CJ189-1</f>
        <v>0.12485226631459012</v>
      </c>
      <c r="CL190" s="1744">
        <f>CL189/CK189-1</f>
        <v>0.15405367031094697</v>
      </c>
      <c r="CM190" s="1744">
        <f>CM189/CL189-1</f>
        <v>8.9739173228346347E-2</v>
      </c>
      <c r="CN190" s="1744">
        <f>CN189/CM189-1</f>
        <v>-7.368603277109198E-3</v>
      </c>
      <c r="CO190" s="1744"/>
      <c r="CP190" s="6"/>
      <c r="CQ190" s="1498">
        <f>(CM189/CJ189)^(1/(2015-2012))-1</f>
        <v>0.12257324115983304</v>
      </c>
      <c r="CR190" s="1498">
        <f>(CN189/CJ189)^(1/(2016-2012))-1</f>
        <v>8.8574147868085706E-2</v>
      </c>
      <c r="CS190" s="1498">
        <f>(CM189/CK189)^(1/(2015-2013))-1</f>
        <v>0.12143546071354017</v>
      </c>
      <c r="CT190" s="1498">
        <f>(CN189/CK189)^(1/(2016-2013))-1</f>
        <v>7.6743335537011514E-2</v>
      </c>
    </row>
    <row r="191" spans="80:98">
      <c r="CH191" s="1749" t="s">
        <v>1527</v>
      </c>
      <c r="CI191" s="1750">
        <v>337611</v>
      </c>
      <c r="CJ191" s="1750">
        <v>474224</v>
      </c>
      <c r="CK191" s="1750">
        <v>575678</v>
      </c>
      <c r="CL191" s="1750">
        <v>612889</v>
      </c>
      <c r="CM191" s="1750">
        <v>654679</v>
      </c>
      <c r="CN191" s="1750">
        <v>684946</v>
      </c>
      <c r="CO191" s="1750">
        <f>CN191-CJ191</f>
        <v>210722</v>
      </c>
      <c r="CP191" s="1750">
        <f>CN191-CK191</f>
        <v>109268</v>
      </c>
      <c r="CQ191" s="1751"/>
      <c r="CR191" s="1751"/>
      <c r="CS191" s="1751"/>
      <c r="CT191" s="1751"/>
    </row>
    <row r="192" spans="80:98">
      <c r="CH192" s="1747" t="s">
        <v>1525</v>
      </c>
      <c r="CI192" s="1747"/>
      <c r="CJ192" s="1747">
        <f>CJ191/CI191-1</f>
        <v>0.40464617562816385</v>
      </c>
      <c r="CK192" s="1747">
        <f>CK191/CJ191-1</f>
        <v>0.21393687371368797</v>
      </c>
      <c r="CL192" s="1747">
        <f>CL191/CK191-1</f>
        <v>6.4638565309079077E-2</v>
      </c>
      <c r="CM192" s="1747">
        <f>CM191/CL191-1</f>
        <v>6.8185266826456425E-2</v>
      </c>
      <c r="CN192" s="1747">
        <f>CN191/CM191-1</f>
        <v>4.6231817425028243E-2</v>
      </c>
      <c r="CO192" s="1747"/>
      <c r="CP192" s="1747"/>
      <c r="CQ192" s="1754">
        <f>(CM203/CJ203)^(1/(2015-2012))-1</f>
        <v>0.12252622543545155</v>
      </c>
      <c r="CR192" s="1754">
        <f>(CN203/CJ203)^(1/(2016-2012))-1</f>
        <v>9.8466514076577472E-2</v>
      </c>
      <c r="CS192" s="1754">
        <f>(CM203/CK203)^(1/(2015-2013))-1</f>
        <v>0.1062628732559876</v>
      </c>
      <c r="CT192" s="1754">
        <f>(CN203/CK203)^(1/(2016-2013))-1</f>
        <v>8.0002660305841911E-2</v>
      </c>
    </row>
    <row r="193" spans="86:98">
      <c r="CH193" s="1752" t="s">
        <v>1936</v>
      </c>
      <c r="CI193" s="135">
        <v>383159</v>
      </c>
      <c r="CJ193" s="135">
        <v>457395</v>
      </c>
      <c r="CK193" s="135">
        <v>485228</v>
      </c>
      <c r="CL193" s="135">
        <v>515929</v>
      </c>
      <c r="CM193" s="135">
        <v>565237</v>
      </c>
      <c r="CN193" s="135">
        <v>602552</v>
      </c>
      <c r="CO193" s="135">
        <f>CN193-CJ193</f>
        <v>145157</v>
      </c>
      <c r="CP193" s="506">
        <f>CN193-CK193</f>
        <v>117324</v>
      </c>
    </row>
    <row r="194" spans="86:98">
      <c r="CH194" s="1753" t="s">
        <v>1525</v>
      </c>
      <c r="CI194" s="1753"/>
      <c r="CJ194" s="1753">
        <f>CJ193/CI193-1</f>
        <v>0.19374724331152349</v>
      </c>
      <c r="CK194" s="1753">
        <f>CK193/CJ193-1</f>
        <v>6.0851124301752213E-2</v>
      </c>
      <c r="CL194" s="1753">
        <f>CL193/CK193-1</f>
        <v>6.3271286900178803E-2</v>
      </c>
      <c r="CM194" s="1753">
        <f>CM193/CL193-1</f>
        <v>9.5571289848021657E-2</v>
      </c>
      <c r="CN194" s="1753">
        <f>CN193/CM193-1</f>
        <v>6.6016555887176587E-2</v>
      </c>
      <c r="CO194" s="1753"/>
      <c r="CP194" s="1763"/>
      <c r="CQ194" s="1498">
        <f>(CM197/CJ197)^(1/(2015-2012))-1</f>
        <v>0.11989219849665189</v>
      </c>
      <c r="CR194" s="1498">
        <f>(CN197/CJ197)^(1/(2016-2012))-1</f>
        <v>8.4653095022694913E-2</v>
      </c>
      <c r="CS194" s="1498">
        <f>(CM197/CK197)^(1/(2015-2013))-1</f>
        <v>5.190603740871369E-2</v>
      </c>
      <c r="CT194" s="1498">
        <f>(CN197/CK197)^(1/(2016-2013))-1</f>
        <v>2.9270579257548501E-2</v>
      </c>
    </row>
    <row r="195" spans="86:98">
      <c r="CH195" s="1756" t="s">
        <v>1939</v>
      </c>
      <c r="CI195" s="1757">
        <v>386955</v>
      </c>
      <c r="CJ195" s="1758">
        <v>484034</v>
      </c>
      <c r="CK195" s="1758">
        <v>567292</v>
      </c>
      <c r="CL195" s="1758">
        <v>589109</v>
      </c>
      <c r="CM195" s="1758">
        <v>606280</v>
      </c>
      <c r="CN195" s="1758">
        <v>623413</v>
      </c>
      <c r="CO195" s="1750">
        <f>CN195-CJ195</f>
        <v>139379</v>
      </c>
      <c r="CP195" s="1764">
        <f>CN195-CK195</f>
        <v>56121</v>
      </c>
      <c r="CQ195" s="1751"/>
      <c r="CR195" s="1751"/>
      <c r="CS195" s="1751"/>
      <c r="CT195" s="1751"/>
    </row>
    <row r="196" spans="86:98">
      <c r="CH196" s="1747" t="s">
        <v>1525</v>
      </c>
      <c r="CI196" s="1747"/>
      <c r="CJ196" s="1747">
        <f>CJ195/CI195-1</f>
        <v>0.2508793012107351</v>
      </c>
      <c r="CK196" s="1747">
        <f>CK195/CJ195-1</f>
        <v>0.17200857790981616</v>
      </c>
      <c r="CL196" s="1747">
        <f>CL195/CK195-1</f>
        <v>3.8458148537261261E-2</v>
      </c>
      <c r="CM196" s="1747">
        <f>CM195/CL195-1</f>
        <v>2.9147407355854416E-2</v>
      </c>
      <c r="CN196" s="1747">
        <f>CN195/CM195-1</f>
        <v>2.8259220162301313E-2</v>
      </c>
      <c r="CO196" s="1747"/>
      <c r="CP196" s="1765"/>
      <c r="CQ196" s="1754">
        <f>(CM191/CJ191)^(1/(2015-2012))-1</f>
        <v>0.11347796483989403</v>
      </c>
      <c r="CR196" s="1754">
        <f>(CN191/CJ191)^(1/(2016-2012))-1</f>
        <v>9.6271695088258946E-2</v>
      </c>
      <c r="CS196" s="1754">
        <f>(CM191/CK191)^(1/(2015-2013))-1</f>
        <v>6.6410441602300807E-2</v>
      </c>
      <c r="CT196" s="1754">
        <f>(CN191/CK191)^(1/(2016-2013))-1</f>
        <v>5.9641357414292884E-2</v>
      </c>
    </row>
    <row r="197" spans="86:98">
      <c r="CH197" s="1759" t="s">
        <v>1526</v>
      </c>
      <c r="CI197" s="1760">
        <v>118452</v>
      </c>
      <c r="CJ197" s="1761">
        <v>169071</v>
      </c>
      <c r="CK197" s="1761">
        <v>214607</v>
      </c>
      <c r="CL197" s="1761">
        <v>225573</v>
      </c>
      <c r="CM197" s="1761">
        <v>237464</v>
      </c>
      <c r="CN197" s="1761">
        <v>234009</v>
      </c>
      <c r="CO197" s="135">
        <f>CN197-CJ197</f>
        <v>64938</v>
      </c>
      <c r="CP197" s="506">
        <f>CN197-CK197</f>
        <v>19402</v>
      </c>
    </row>
    <row r="198" spans="86:98">
      <c r="CH198" s="1753" t="s">
        <v>1525</v>
      </c>
      <c r="CI198" s="1753"/>
      <c r="CJ198" s="1753">
        <f>CJ197/CI197-1</f>
        <v>0.42733765575929494</v>
      </c>
      <c r="CK198" s="1753">
        <f>CK197/CJ197-1</f>
        <v>0.26933063624157905</v>
      </c>
      <c r="CL198" s="1753">
        <f>CL197/CK197-1</f>
        <v>5.1098053651558395E-2</v>
      </c>
      <c r="CM198" s="1753">
        <f>CM197/CL197-1</f>
        <v>5.27146422665834E-2</v>
      </c>
      <c r="CN198" s="1753">
        <f>CN197/CM197-1</f>
        <v>-1.454957383013844E-2</v>
      </c>
      <c r="CO198" s="1753"/>
      <c r="CP198" s="1763"/>
      <c r="CQ198" s="1498">
        <f>(CM195/CJ195)^(1/(2015-2012))-1</f>
        <v>7.7951259662410788E-2</v>
      </c>
      <c r="CR198" s="1498">
        <f>(CN195/CJ195)^(1/(2016-2012))-1</f>
        <v>6.5307528975009577E-2</v>
      </c>
      <c r="CS198" s="1498">
        <f>(CM195/CK195)^(1/(2015-2013))-1</f>
        <v>3.3792295973752662E-2</v>
      </c>
      <c r="CT198" s="1498">
        <f>(CN195/CK195)^(1/(2016-2013))-1</f>
        <v>3.1944637084595939E-2</v>
      </c>
    </row>
    <row r="199" spans="86:98">
      <c r="CH199" s="1756" t="s">
        <v>1944</v>
      </c>
      <c r="CI199" s="1757">
        <v>151546</v>
      </c>
      <c r="CJ199" s="1758">
        <v>203573</v>
      </c>
      <c r="CK199" s="1758">
        <v>218534</v>
      </c>
      <c r="CL199" s="1758">
        <v>230074</v>
      </c>
      <c r="CM199" s="1758">
        <v>246409</v>
      </c>
      <c r="CN199" s="1758">
        <v>258630</v>
      </c>
      <c r="CO199" s="1750">
        <f>CN199-CJ199</f>
        <v>55057</v>
      </c>
      <c r="CP199" s="1764">
        <f>CN199-CK199</f>
        <v>40096</v>
      </c>
      <c r="CQ199" s="1751"/>
      <c r="CR199" s="1751"/>
      <c r="CS199" s="1751"/>
      <c r="CT199" s="1751"/>
    </row>
    <row r="200" spans="86:98">
      <c r="CH200" s="1747" t="s">
        <v>1525</v>
      </c>
      <c r="CI200" s="1747"/>
      <c r="CJ200" s="1747">
        <f>CJ199/CI199-1</f>
        <v>0.34330830242962529</v>
      </c>
      <c r="CK200" s="1747">
        <f>CK199/CJ199-1</f>
        <v>7.3492064271784674E-2</v>
      </c>
      <c r="CL200" s="1747">
        <f>CL199/CK199-1</f>
        <v>5.2806428290334662E-2</v>
      </c>
      <c r="CM200" s="1747">
        <f>CM199/CL199-1</f>
        <v>7.0998896007371526E-2</v>
      </c>
      <c r="CN200" s="1747">
        <f>CN199/CM199-1</f>
        <v>4.9596402728796507E-2</v>
      </c>
      <c r="CO200" s="1747"/>
      <c r="CP200" s="1765"/>
      <c r="CQ200" s="1754">
        <f>(CM193/CJ193)^(1/(2015-2012))-1</f>
        <v>7.3115307590870593E-2</v>
      </c>
      <c r="CR200" s="1754">
        <f>(CN193/CJ193)^(1/(2016-2012))-1</f>
        <v>7.1336200205844857E-2</v>
      </c>
      <c r="CS200" s="1754">
        <f>(CM193/CK193)^(1/(2015-2013))-1</f>
        <v>7.9300465694143396E-2</v>
      </c>
      <c r="CT200" s="1754">
        <f>(CN193/CK193)^(1/(2016-2013))-1</f>
        <v>7.4854204193732565E-2</v>
      </c>
    </row>
    <row r="201" spans="86:98">
      <c r="CH201" s="1752" t="s">
        <v>1951</v>
      </c>
      <c r="CI201" s="135">
        <v>296273</v>
      </c>
      <c r="CJ201" s="135">
        <v>353487</v>
      </c>
      <c r="CK201" s="135">
        <v>392571</v>
      </c>
      <c r="CL201" s="135">
        <v>398888</v>
      </c>
      <c r="CM201" s="135">
        <v>419330</v>
      </c>
      <c r="CN201" s="135">
        <v>402055</v>
      </c>
      <c r="CO201" s="135">
        <f>CN201-CJ201</f>
        <v>48568</v>
      </c>
      <c r="CP201" s="506">
        <f>CN201-CK201</f>
        <v>9484</v>
      </c>
    </row>
    <row r="202" spans="86:98">
      <c r="CH202" s="1753" t="s">
        <v>1525</v>
      </c>
      <c r="CI202" s="1753"/>
      <c r="CJ202" s="1753">
        <f>CJ201/CI201-1</f>
        <v>0.19311243346508111</v>
      </c>
      <c r="CK202" s="1753">
        <f>CK201/CJ201-1</f>
        <v>0.11056700812193943</v>
      </c>
      <c r="CL202" s="1753">
        <f>CL201/CK201-1</f>
        <v>1.6091356722732986E-2</v>
      </c>
      <c r="CM202" s="1753">
        <f>CM201/CL201-1</f>
        <v>5.1247467960931381E-2</v>
      </c>
      <c r="CN202" s="1753">
        <f>CN201/CM201-1</f>
        <v>-4.1196670879736774E-2</v>
      </c>
      <c r="CO202" s="1753"/>
      <c r="CP202" s="1763"/>
      <c r="CQ202" s="1498">
        <f>(CM199/CJ199)^(1/(2015-2012))-1</f>
        <v>6.5725759458313826E-2</v>
      </c>
      <c r="CR202" s="1498">
        <f>(CN199/CJ199)^(1/(2016-2012))-1</f>
        <v>6.1670330630631209E-2</v>
      </c>
      <c r="CS202" s="1498">
        <f>(CM199/CK199)^(1/(2015-2013))-1</f>
        <v>6.186370236881733E-2</v>
      </c>
      <c r="CT202" s="1498">
        <f>(CN199/CK199)^(1/(2016-2013))-1</f>
        <v>5.7758754045133864E-2</v>
      </c>
    </row>
    <row r="203" spans="86:98">
      <c r="CH203" s="1749" t="s">
        <v>1949</v>
      </c>
      <c r="CI203" s="1750">
        <v>83170</v>
      </c>
      <c r="CJ203" s="1750">
        <v>96056</v>
      </c>
      <c r="CK203" s="1750">
        <v>111019</v>
      </c>
      <c r="CL203" s="1750">
        <v>124606</v>
      </c>
      <c r="CM203" s="1750">
        <v>135867</v>
      </c>
      <c r="CN203" s="1750">
        <v>139853</v>
      </c>
      <c r="CO203" s="1750">
        <f>CN203-CJ203</f>
        <v>43797</v>
      </c>
      <c r="CP203" s="1764">
        <f>CN203-CK203</f>
        <v>28834</v>
      </c>
      <c r="CQ203" s="1751"/>
      <c r="CR203" s="1751"/>
      <c r="CS203" s="1751"/>
      <c r="CT203" s="1751"/>
    </row>
    <row r="204" spans="86:98">
      <c r="CH204" s="1747" t="s">
        <v>1525</v>
      </c>
      <c r="CI204" s="1747"/>
      <c r="CJ204" s="1747">
        <f>CJ203/CI203-1</f>
        <v>0.15493567392088492</v>
      </c>
      <c r="CK204" s="1747">
        <f>CK203/CJ203-1</f>
        <v>0.15577371533272255</v>
      </c>
      <c r="CL204" s="1747">
        <f>CL203/CK203-1</f>
        <v>0.1223844567146164</v>
      </c>
      <c r="CM204" s="1747">
        <f>CM203/CL203-1</f>
        <v>9.037285523971561E-2</v>
      </c>
      <c r="CN204" s="1747">
        <f>CN203/CM203-1</f>
        <v>2.9337513892262246E-2</v>
      </c>
      <c r="CO204" s="1747"/>
      <c r="CP204" s="1765"/>
      <c r="CQ204" s="1754">
        <f>(CM201/CJ201)^(1/(2015-2012))-1</f>
        <v>5.8589290041131559E-2</v>
      </c>
      <c r="CR204" s="1754">
        <f>(CN201/CJ201)^(1/(2016-2012))-1</f>
        <v>3.2709102992625416E-2</v>
      </c>
      <c r="CS204" s="1754">
        <f>(CM201/CK201)^(1/(2015-2013))-1</f>
        <v>3.3519939803659859E-2</v>
      </c>
      <c r="CT204" s="1754">
        <f>(CN201/CK201)^(1/(2016-2013))-1</f>
        <v>7.9889032075384225E-3</v>
      </c>
    </row>
    <row r="205" spans="86:98">
      <c r="CQ205" s="1738"/>
    </row>
    <row r="210" spans="100:111" ht="25.5">
      <c r="CV210" s="6"/>
      <c r="CW210" s="1742">
        <v>2012</v>
      </c>
      <c r="CX210" s="1755" t="s">
        <v>1815</v>
      </c>
      <c r="CY210" s="1755" t="s">
        <v>901</v>
      </c>
      <c r="CZ210" s="1755" t="s">
        <v>902</v>
      </c>
      <c r="DA210" s="1755" t="s">
        <v>42</v>
      </c>
      <c r="DB210" s="1762" t="s">
        <v>1531</v>
      </c>
      <c r="DC210" s="1762" t="s">
        <v>1532</v>
      </c>
      <c r="DD210" s="1771" t="s">
        <v>1533</v>
      </c>
      <c r="DF210" s="1772">
        <v>2006</v>
      </c>
      <c r="DG210" s="1772">
        <v>2007</v>
      </c>
    </row>
    <row r="211" spans="100:111">
      <c r="CV211" s="1734" t="s">
        <v>802</v>
      </c>
      <c r="CW211" s="1767">
        <v>281512</v>
      </c>
      <c r="CX211" s="1767">
        <v>290000</v>
      </c>
      <c r="CY211" s="1767">
        <v>296000</v>
      </c>
      <c r="CZ211" s="1767">
        <v>302000</v>
      </c>
      <c r="DA211" s="1767">
        <v>308000</v>
      </c>
      <c r="DB211" s="1767">
        <f>DA211-CW211</f>
        <v>26488</v>
      </c>
      <c r="DC211" s="1767">
        <f>DA211-CX211</f>
        <v>18000</v>
      </c>
      <c r="DD211" s="1767">
        <f>CX211-DF211</f>
        <v>-57480</v>
      </c>
      <c r="DF211" s="3">
        <v>347480</v>
      </c>
      <c r="DG211" s="3">
        <v>344731</v>
      </c>
    </row>
    <row r="212" spans="100:111">
      <c r="CV212" s="1744" t="s">
        <v>1525</v>
      </c>
      <c r="CW212" s="6"/>
      <c r="CX212" s="1744">
        <f>CX211/CW211-1</f>
        <v>3.0151467788229303E-2</v>
      </c>
      <c r="CY212" s="1744">
        <f>CY211/CX211-1</f>
        <v>2.0689655172413834E-2</v>
      </c>
      <c r="CZ212" s="1744">
        <f>CZ211/CY211-1</f>
        <v>2.0270270270270174E-2</v>
      </c>
      <c r="DA212" s="1744">
        <f>DA211/CZ211-1</f>
        <v>1.9867549668874274E-2</v>
      </c>
      <c r="DB212" s="437">
        <f>(DA211/CW211)^(1/(2016-2012))-1</f>
        <v>2.2735782906934343E-2</v>
      </c>
      <c r="DC212" s="437">
        <f>(DA211/CX211)^(1/(2016-2013))-1</f>
        <v>2.0275769827738044E-2</v>
      </c>
      <c r="DD212" s="1601">
        <f>CX211/DF211-1</f>
        <v>-0.16541959249453209</v>
      </c>
    </row>
    <row r="213" spans="100:111">
      <c r="CV213" s="1745" t="s">
        <v>2027</v>
      </c>
      <c r="CW213" s="1746">
        <v>202377</v>
      </c>
      <c r="CX213" s="1746">
        <v>208000</v>
      </c>
      <c r="CY213" s="1746">
        <v>215000</v>
      </c>
      <c r="CZ213" s="1746">
        <v>221000</v>
      </c>
      <c r="DA213" s="1746">
        <v>228000</v>
      </c>
      <c r="DB213" s="1746">
        <f>DA213-CW213</f>
        <v>25623</v>
      </c>
      <c r="DC213" s="1746">
        <f>DA213-CX213</f>
        <v>20000</v>
      </c>
      <c r="DD213" s="1746">
        <f>CX213-DF213</f>
        <v>28128</v>
      </c>
      <c r="DF213" s="3">
        <v>179872</v>
      </c>
      <c r="DG213" s="3">
        <v>168302</v>
      </c>
    </row>
    <row r="214" spans="100:111">
      <c r="CV214" s="1747" t="s">
        <v>1525</v>
      </c>
      <c r="CW214" s="1748"/>
      <c r="CX214" s="1747">
        <f>CX213/CW213-1</f>
        <v>2.7784777914486414E-2</v>
      </c>
      <c r="CY214" s="1747">
        <f>CY213/CX213-1</f>
        <v>3.3653846153846256E-2</v>
      </c>
      <c r="CZ214" s="1747">
        <f>CZ213/CY213-1</f>
        <v>2.7906976744185963E-2</v>
      </c>
      <c r="DA214" s="1747">
        <f>DA213/CZ213-1</f>
        <v>3.167420814479649E-2</v>
      </c>
      <c r="DB214" s="1766">
        <f>(DA213/CW213)^(1/(2016-2012))-1</f>
        <v>3.0251898086624429E-2</v>
      </c>
      <c r="DC214" s="1766">
        <f>(DA213/CX213)^(1/(2016-2013))-1</f>
        <v>3.1075586806406985E-2</v>
      </c>
      <c r="DD214" s="1766">
        <f>CX213/DF213-1</f>
        <v>0.15637786870663573</v>
      </c>
    </row>
    <row r="215" spans="100:111">
      <c r="CV215" s="1734" t="s">
        <v>2013</v>
      </c>
      <c r="CW215" s="3">
        <v>343071</v>
      </c>
      <c r="CX215" s="3">
        <v>357000</v>
      </c>
      <c r="CY215" s="3">
        <v>371000</v>
      </c>
      <c r="CZ215" s="3">
        <v>382000</v>
      </c>
      <c r="DA215" s="3">
        <v>394000</v>
      </c>
      <c r="DB215" s="3">
        <f>DA215-CW215</f>
        <v>50929</v>
      </c>
      <c r="DC215" s="3">
        <f>DA215-CX215</f>
        <v>37000</v>
      </c>
      <c r="DD215" s="3">
        <f>CX215-DG215</f>
        <v>45126</v>
      </c>
      <c r="DF215" s="3">
        <v>288298</v>
      </c>
      <c r="DG215" s="3">
        <v>311874</v>
      </c>
    </row>
    <row r="216" spans="100:111">
      <c r="CV216" s="1744" t="s">
        <v>1525</v>
      </c>
      <c r="CW216" s="6"/>
      <c r="CX216" s="1744">
        <f>CX215/CW215-1</f>
        <v>4.0600925172923352E-2</v>
      </c>
      <c r="CY216" s="1744">
        <f>CY215/CX215-1</f>
        <v>3.9215686274509887E-2</v>
      </c>
      <c r="CZ216" s="1744">
        <f>CZ215/CY215-1</f>
        <v>2.9649595687331498E-2</v>
      </c>
      <c r="DA216" s="1744">
        <f>DA215/CZ215-1</f>
        <v>3.1413612565444948E-2</v>
      </c>
      <c r="DB216" s="437">
        <f>(DA215/CW215)^(1/(2016-2012))-1</f>
        <v>3.5209034077228418E-2</v>
      </c>
      <c r="DC216" s="437">
        <f>(DA215/CX215)^(1/(2016-2013))-1</f>
        <v>3.3417952692637698E-2</v>
      </c>
      <c r="DD216" s="437">
        <f>CX215/DG215-1</f>
        <v>0.14469304911598924</v>
      </c>
    </row>
    <row r="217" spans="100:111">
      <c r="CV217" s="1745" t="s">
        <v>1980</v>
      </c>
      <c r="CW217" s="1746">
        <v>625325</v>
      </c>
      <c r="CX217" s="1746">
        <v>635000</v>
      </c>
      <c r="CY217" s="1746">
        <v>654000</v>
      </c>
      <c r="CZ217" s="1746">
        <v>673000</v>
      </c>
      <c r="DA217" s="1746">
        <v>694000</v>
      </c>
      <c r="DB217" s="1746">
        <f>DA217-CW217</f>
        <v>68675</v>
      </c>
      <c r="DC217" s="1746">
        <f>DA217-CX217</f>
        <v>59000</v>
      </c>
      <c r="DD217" s="1746">
        <f>CX217-DG217</f>
        <v>11611</v>
      </c>
      <c r="DF217" s="3">
        <v>590700</v>
      </c>
      <c r="DG217" s="3">
        <v>623389</v>
      </c>
    </row>
    <row r="218" spans="100:111">
      <c r="CV218" s="1747" t="s">
        <v>1525</v>
      </c>
      <c r="CW218" s="1748"/>
      <c r="CX218" s="1747">
        <f>CX217/CW217-1</f>
        <v>1.5471954583616609E-2</v>
      </c>
      <c r="CY218" s="1747">
        <f>CY217/CX217-1</f>
        <v>2.9921259842519587E-2</v>
      </c>
      <c r="CZ218" s="1747">
        <f>CZ217/CY217-1</f>
        <v>2.9051987767584109E-2</v>
      </c>
      <c r="DA218" s="1747">
        <f>DA217/CZ217-1</f>
        <v>3.1203566121842385E-2</v>
      </c>
      <c r="DB218" s="1766">
        <f>(DA217/CW217)^(1/(2016-2012))-1</f>
        <v>2.6392381226941097E-2</v>
      </c>
      <c r="DC218" s="1766">
        <f>(DA217/CX217)^(1/(2016-2013))-1</f>
        <v>3.0058558843288452E-2</v>
      </c>
      <c r="DD218" s="1766">
        <f>CX217/DG217-1</f>
        <v>1.8625609370714002E-2</v>
      </c>
    </row>
    <row r="219" spans="100:111">
      <c r="CV219" s="1734" t="s">
        <v>792</v>
      </c>
      <c r="CW219" s="3">
        <v>274263</v>
      </c>
      <c r="CX219" s="3">
        <v>274000</v>
      </c>
      <c r="CY219" s="3">
        <v>277000</v>
      </c>
      <c r="CZ219" s="3">
        <v>291000</v>
      </c>
      <c r="DA219" s="3">
        <v>300000</v>
      </c>
      <c r="DB219" s="3">
        <f>DA219-CW219</f>
        <v>25737</v>
      </c>
      <c r="DC219" s="3">
        <f>DA219-CX219</f>
        <v>26000</v>
      </c>
      <c r="DD219" s="3">
        <f>CX219-DF219</f>
        <v>-151408</v>
      </c>
      <c r="DF219" s="3">
        <v>425408</v>
      </c>
      <c r="DG219" s="3">
        <v>418292</v>
      </c>
    </row>
    <row r="220" spans="100:111">
      <c r="CV220" s="1744" t="s">
        <v>1525</v>
      </c>
      <c r="CW220" s="6"/>
      <c r="CX220" s="1744">
        <f>CX219/CW219-1</f>
        <v>-9.5893357835363791E-4</v>
      </c>
      <c r="CY220" s="1744">
        <f>CY219/CX219-1</f>
        <v>1.0948905109489093E-2</v>
      </c>
      <c r="CZ220" s="1744">
        <f>CZ219/CY219-1</f>
        <v>5.0541516245487417E-2</v>
      </c>
      <c r="DA220" s="1744">
        <f>DA219/CZ219-1</f>
        <v>3.0927835051546282E-2</v>
      </c>
      <c r="DB220" s="437">
        <f>(DA219/CW219)^(1/(2016-2012))-1</f>
        <v>2.2677045577011556E-2</v>
      </c>
      <c r="DC220" s="437">
        <f>(DA219/CX219)^(1/(2016-2013))-1</f>
        <v>3.0679324051467116E-2</v>
      </c>
      <c r="DD220" s="437">
        <f>CX219/DF219-1</f>
        <v>-0.35591244170302394</v>
      </c>
    </row>
    <row r="221" spans="100:111">
      <c r="CV221" s="1745" t="s">
        <v>2017</v>
      </c>
      <c r="CW221" s="1746">
        <v>252104</v>
      </c>
      <c r="CX221" s="1746">
        <v>262000</v>
      </c>
      <c r="CY221" s="1746">
        <v>273000</v>
      </c>
      <c r="CZ221" s="1746">
        <v>284000</v>
      </c>
      <c r="DA221" s="1746">
        <v>292000</v>
      </c>
      <c r="DB221" s="1746">
        <f>DA221-CW221</f>
        <v>39896</v>
      </c>
      <c r="DC221" s="1746">
        <f>DA221-CX221</f>
        <v>30000</v>
      </c>
      <c r="DD221" s="1746">
        <f>CX221-DG221</f>
        <v>29618</v>
      </c>
      <c r="DF221" s="3">
        <v>224723</v>
      </c>
      <c r="DG221" s="3">
        <v>232382</v>
      </c>
    </row>
    <row r="222" spans="100:111">
      <c r="CV222" s="1747" t="s">
        <v>1525</v>
      </c>
      <c r="CW222" s="1748"/>
      <c r="CX222" s="1747">
        <f>CX221/CW221-1</f>
        <v>3.9253641354361601E-2</v>
      </c>
      <c r="CY222" s="1747">
        <f>CY221/CX221-1</f>
        <v>4.1984732824427384E-2</v>
      </c>
      <c r="CZ222" s="1747">
        <f>CZ221/CY221-1</f>
        <v>4.0293040293040372E-2</v>
      </c>
      <c r="DA222" s="1747">
        <f>DA221/CZ221-1</f>
        <v>2.8169014084507005E-2</v>
      </c>
      <c r="DB222" s="1766">
        <f>(DA221/CW221)^(1/(2016-2012))-1</f>
        <v>3.7410833038650226E-2</v>
      </c>
      <c r="DC222" s="1766">
        <f>(DA221/CX221)^(1/(2016-2013))-1</f>
        <v>3.67972900362874E-2</v>
      </c>
      <c r="DD222" s="1766">
        <f>CX221/DG221-1</f>
        <v>0.12745393360931567</v>
      </c>
    </row>
    <row r="223" spans="100:111">
      <c r="CV223" s="1734" t="s">
        <v>1966</v>
      </c>
      <c r="CW223" s="3">
        <v>659819</v>
      </c>
      <c r="CX223" s="3">
        <v>680000</v>
      </c>
      <c r="CY223" s="3">
        <v>700000</v>
      </c>
      <c r="CZ223" s="3">
        <v>721000</v>
      </c>
      <c r="DA223" s="3">
        <v>743000</v>
      </c>
      <c r="DB223" s="3">
        <f>DA223-CW223</f>
        <v>83181</v>
      </c>
      <c r="DC223" s="3">
        <f>DA223-CX223</f>
        <v>63000</v>
      </c>
      <c r="DD223" s="3">
        <f>CX223-DG223</f>
        <v>78264</v>
      </c>
      <c r="DF223" s="3">
        <v>567582</v>
      </c>
      <c r="DG223" s="3">
        <v>601736</v>
      </c>
    </row>
    <row r="224" spans="100:111">
      <c r="CV224" s="1744" t="s">
        <v>1525</v>
      </c>
      <c r="CW224" s="6"/>
      <c r="CX224" s="1744">
        <f>CX223/CW223-1</f>
        <v>3.0585660612986398E-2</v>
      </c>
      <c r="CY224" s="1744">
        <f>CY223/CX223-1</f>
        <v>2.9411764705882248E-2</v>
      </c>
      <c r="CZ224" s="1744">
        <f>CZ223/CY223-1</f>
        <v>3.0000000000000027E-2</v>
      </c>
      <c r="DA224" s="1744">
        <f>DA223/CZ223-1</f>
        <v>3.0513176144244092E-2</v>
      </c>
      <c r="DB224" s="437">
        <f>(DA223/CW223)^(1/(2016-2012))-1</f>
        <v>3.0127542693438203E-2</v>
      </c>
      <c r="DC224" s="437">
        <f>(DA223/CX223)^(1/(2016-2013))-1</f>
        <v>2.9974881978828583E-2</v>
      </c>
      <c r="DD224" s="437">
        <f>CX223/DG223-1</f>
        <v>0.13006368241222055</v>
      </c>
    </row>
    <row r="225" spans="100:114">
      <c r="CV225" s="1745" t="s">
        <v>662</v>
      </c>
      <c r="CW225" s="1746">
        <v>353389</v>
      </c>
      <c r="CX225" s="1746">
        <v>357000</v>
      </c>
      <c r="CY225" s="1746">
        <v>364000</v>
      </c>
      <c r="CZ225" s="1746">
        <v>375000</v>
      </c>
      <c r="DA225" s="1746">
        <v>386000</v>
      </c>
      <c r="DB225" s="1746">
        <f>DA225-CW225</f>
        <v>32611</v>
      </c>
      <c r="DC225" s="1746">
        <f>DA225-CX225</f>
        <v>29000</v>
      </c>
      <c r="DD225" s="1746">
        <f>CX225-DF225</f>
        <v>-117115</v>
      </c>
      <c r="DF225" s="3">
        <v>474115</v>
      </c>
      <c r="DG225" s="3">
        <v>453513</v>
      </c>
    </row>
    <row r="226" spans="100:114">
      <c r="CV226" s="1747" t="s">
        <v>1525</v>
      </c>
      <c r="CW226" s="1748"/>
      <c r="CX226" s="1747">
        <f>CX225/CW225-1</f>
        <v>1.0218201472032229E-2</v>
      </c>
      <c r="CY226" s="1747">
        <f>CY225/CX225-1</f>
        <v>1.9607843137254832E-2</v>
      </c>
      <c r="CZ226" s="1747">
        <f>CZ225/CY225-1</f>
        <v>3.0219780219780112E-2</v>
      </c>
      <c r="DA226" s="1747">
        <f>DA225/CZ225-1</f>
        <v>2.9333333333333433E-2</v>
      </c>
      <c r="DB226" s="1766">
        <f>(DA225/CW225)^(1/(2016-2012))-1</f>
        <v>2.2312260809531193E-2</v>
      </c>
      <c r="DC226" s="1766">
        <f>(DA225/CX225)^(1/(2016-2013))-1</f>
        <v>2.637570359561181E-2</v>
      </c>
      <c r="DD226" s="1766">
        <f>CX225/DF225-1</f>
        <v>-0.24701812851312444</v>
      </c>
    </row>
    <row r="227" spans="100:114">
      <c r="CV227" s="1734" t="s">
        <v>2007</v>
      </c>
      <c r="CW227" s="3">
        <v>189400</v>
      </c>
      <c r="CX227" s="3">
        <v>193000</v>
      </c>
      <c r="CY227" s="3">
        <v>199000</v>
      </c>
      <c r="CZ227" s="3">
        <v>205000</v>
      </c>
      <c r="DA227" s="3">
        <v>211000</v>
      </c>
      <c r="DB227" s="3">
        <f>DA227-CW227</f>
        <v>21600</v>
      </c>
      <c r="DC227" s="3">
        <f>DA227-CX227</f>
        <v>18000</v>
      </c>
      <c r="DD227" s="3">
        <f>CX227-DG227</f>
        <v>-42469</v>
      </c>
      <c r="DF227" s="3">
        <v>221081</v>
      </c>
      <c r="DG227" s="3">
        <v>235469</v>
      </c>
    </row>
    <row r="228" spans="100:114">
      <c r="CV228" s="1744" t="s">
        <v>1525</v>
      </c>
      <c r="CW228" s="6"/>
      <c r="CX228" s="1744">
        <f>CX227/CW227-1</f>
        <v>1.9007391763463666E-2</v>
      </c>
      <c r="CY228" s="1744">
        <f>CY227/CX227-1</f>
        <v>3.1088082901554515E-2</v>
      </c>
      <c r="CZ228" s="1744">
        <f>CZ227/CY227-1</f>
        <v>3.015075376884413E-2</v>
      </c>
      <c r="DA228" s="1744">
        <f>DA227/CZ227-1</f>
        <v>2.9268292682926855E-2</v>
      </c>
      <c r="DB228" s="437">
        <f>(DA227/CW227)^(1/(2016-2012))-1</f>
        <v>2.7367020095498074E-2</v>
      </c>
      <c r="DC228" s="437">
        <f>(DA227/CX227)^(1/(2016-2013))-1</f>
        <v>3.0168775153499805E-2</v>
      </c>
      <c r="DD228" s="437">
        <f>CX227/DG227-1</f>
        <v>-0.18035919802606715</v>
      </c>
    </row>
    <row r="232" spans="100:114">
      <c r="DI232" s="1734" t="s">
        <v>1534</v>
      </c>
    </row>
    <row r="233" spans="100:114">
      <c r="DI233" s="1734"/>
      <c r="DJ233" s="1773" t="s">
        <v>1371</v>
      </c>
    </row>
    <row r="234" spans="100:114">
      <c r="DI234" s="1734" t="s">
        <v>1535</v>
      </c>
      <c r="DJ234" s="811">
        <v>8000</v>
      </c>
    </row>
    <row r="235" spans="100:114">
      <c r="DI235" s="1734" t="s">
        <v>1536</v>
      </c>
      <c r="DJ235" s="8">
        <v>0.06</v>
      </c>
    </row>
    <row r="236" spans="100:114">
      <c r="DI236" s="1734" t="s">
        <v>1537</v>
      </c>
      <c r="DJ236" s="1734">
        <f>+DJ234*DJ235</f>
        <v>480</v>
      </c>
    </row>
    <row r="237" spans="100:114">
      <c r="DI237" s="1734" t="s">
        <v>1538</v>
      </c>
      <c r="DJ237" s="1775">
        <f>Hilton!U266</f>
        <v>0.23390306719737766</v>
      </c>
    </row>
    <row r="238" spans="100:114">
      <c r="DI238" s="1774" t="s">
        <v>1539</v>
      </c>
      <c r="DJ238" s="1734">
        <f>+DJ236/DJ237</f>
        <v>2052.132132132132</v>
      </c>
    </row>
    <row r="239" spans="100:114">
      <c r="DI239" s="1734" t="s">
        <v>1540</v>
      </c>
      <c r="DJ239" s="1776">
        <f>+DJ238*DJ240+DJ236*DJ241</f>
        <v>99.963963963963948</v>
      </c>
    </row>
    <row r="240" spans="100:114">
      <c r="DI240" s="1774" t="s">
        <v>2067</v>
      </c>
      <c r="DJ240" s="8">
        <v>0.03</v>
      </c>
    </row>
    <row r="241" spans="113:118">
      <c r="DI241" s="1774" t="s">
        <v>1541</v>
      </c>
      <c r="DJ241" s="8">
        <v>0.08</v>
      </c>
    </row>
    <row r="242" spans="113:118">
      <c r="DI242" s="1734" t="s">
        <v>1542</v>
      </c>
      <c r="DJ242" s="1734">
        <f>+DJ236-DJ239</f>
        <v>380.03603603603608</v>
      </c>
    </row>
    <row r="243" spans="113:118">
      <c r="DI243" s="1774" t="s">
        <v>1172</v>
      </c>
      <c r="DJ243" s="1775">
        <f>+DJ242/Hilton!U43</f>
        <v>0.16516124990701264</v>
      </c>
    </row>
    <row r="244" spans="113:118">
      <c r="DI244" s="1774"/>
      <c r="DJ244" s="1775"/>
    </row>
    <row r="245" spans="113:118">
      <c r="DL245" s="1734" t="s">
        <v>471</v>
      </c>
      <c r="DM245" s="1783">
        <v>22.03</v>
      </c>
    </row>
    <row r="247" spans="113:118">
      <c r="DL247" s="230"/>
      <c r="DM247" s="805" t="s">
        <v>901</v>
      </c>
      <c r="DN247" s="805" t="s">
        <v>902</v>
      </c>
    </row>
    <row r="248" spans="113:118">
      <c r="DL248" s="1734" t="s">
        <v>1543</v>
      </c>
      <c r="DM248" s="1776">
        <f>Hilton!U121</f>
        <v>2508</v>
      </c>
      <c r="DN248" s="1776">
        <f>Hilton!Z121</f>
        <v>2879</v>
      </c>
    </row>
    <row r="249" spans="113:118">
      <c r="DL249" s="1734" t="s">
        <v>1556</v>
      </c>
      <c r="DM249" s="1734">
        <f>Hilton!P616</f>
        <v>11496</v>
      </c>
      <c r="DN249" s="3">
        <f>DM249</f>
        <v>11496</v>
      </c>
    </row>
    <row r="250" spans="113:118">
      <c r="DL250" s="1734" t="s">
        <v>1544</v>
      </c>
      <c r="DM250" s="1782">
        <f>DM249/DM248</f>
        <v>4.5837320574162677</v>
      </c>
      <c r="DN250" s="1782">
        <f>DN249/DN248</f>
        <v>3.9930531434525878</v>
      </c>
    </row>
    <row r="251" spans="113:118">
      <c r="DL251" s="1734"/>
      <c r="DM251" s="1734"/>
    </row>
    <row r="252" spans="113:118">
      <c r="DL252" s="1734" t="s">
        <v>1557</v>
      </c>
      <c r="DM252" s="1782">
        <v>4</v>
      </c>
      <c r="DN252" s="1782">
        <v>4</v>
      </c>
    </row>
    <row r="253" spans="113:118">
      <c r="DL253" s="1734" t="s">
        <v>1559</v>
      </c>
      <c r="DM253" s="1734">
        <f>Hilton!U121-(Hilton!U135/2)+(Hilton!U138*-0.36/2)</f>
        <v>2061.2399999999998</v>
      </c>
      <c r="DN253" s="1734">
        <f>Hilton!Z121-(Hilton!Z135/2)+(Hilton!Z138*-0.36/2)</f>
        <v>2388.04</v>
      </c>
    </row>
    <row r="254" spans="113:118">
      <c r="DL254" s="1734" t="s">
        <v>1545</v>
      </c>
      <c r="DM254" s="1734">
        <f>DM253*DM252</f>
        <v>8244.9599999999991</v>
      </c>
      <c r="DN254" s="1734">
        <f>DN253*DN252</f>
        <v>9552.16</v>
      </c>
    </row>
    <row r="255" spans="113:118">
      <c r="DL255" s="1734"/>
      <c r="DM255" s="1734"/>
    </row>
    <row r="256" spans="113:118">
      <c r="DL256" s="1777" t="s">
        <v>1558</v>
      </c>
      <c r="DM256" s="1777">
        <f>DM254-DM249</f>
        <v>-3251.0400000000009</v>
      </c>
      <c r="DN256" s="1777">
        <f>DN254-DN249</f>
        <v>-1943.8400000000001</v>
      </c>
    </row>
    <row r="257" spans="116:119">
      <c r="DL257" s="1735" t="s">
        <v>1546</v>
      </c>
      <c r="DM257" s="1735"/>
      <c r="DN257" s="6"/>
    </row>
    <row r="258" spans="116:119">
      <c r="DL258" s="1743" t="s">
        <v>1547</v>
      </c>
      <c r="DM258" s="1777"/>
      <c r="DN258" s="1777"/>
    </row>
    <row r="259" spans="116:119">
      <c r="DL259" s="1777"/>
      <c r="DM259" s="1777"/>
      <c r="DN259" s="1777"/>
    </row>
    <row r="260" spans="116:119">
      <c r="DL260" s="1777" t="s">
        <v>1560</v>
      </c>
      <c r="DM260" s="1785"/>
      <c r="DN260" s="1785"/>
    </row>
    <row r="261" spans="116:119">
      <c r="DL261" s="1777"/>
      <c r="DM261" s="1777"/>
    </row>
    <row r="262" spans="116:119">
      <c r="DL262" s="1777" t="s">
        <v>1561</v>
      </c>
      <c r="DM262" s="1785"/>
      <c r="DN262" s="1785"/>
    </row>
    <row r="263" spans="116:119">
      <c r="DL263" s="499" t="s">
        <v>1562</v>
      </c>
      <c r="DM263" s="471"/>
      <c r="DN263" s="471"/>
      <c r="DO263" s="1728"/>
    </row>
    <row r="264" spans="116:119">
      <c r="DL264" s="1777" t="s">
        <v>1563</v>
      </c>
      <c r="DM264" s="1785"/>
      <c r="DN264" s="1785"/>
      <c r="DO264" s="1728"/>
    </row>
    <row r="265" spans="116:119">
      <c r="DL265" s="499" t="s">
        <v>1564</v>
      </c>
      <c r="DM265" s="471"/>
      <c r="DN265" s="471"/>
    </row>
    <row r="266" spans="116:119">
      <c r="DL266" s="1777"/>
      <c r="DM266" s="1777"/>
    </row>
    <row r="267" spans="116:119">
      <c r="DL267" s="1734" t="s">
        <v>1548</v>
      </c>
      <c r="DM267" s="1735"/>
      <c r="DN267" s="6"/>
    </row>
    <row r="268" spans="116:119">
      <c r="DL268" s="1743" t="s">
        <v>1549</v>
      </c>
      <c r="DM268" s="1784"/>
      <c r="DN268" s="1784"/>
    </row>
    <row r="269" spans="116:119">
      <c r="DL269" s="1777"/>
      <c r="DM269" s="1777"/>
    </row>
    <row r="270" spans="116:119">
      <c r="DL270" s="2" t="s">
        <v>1550</v>
      </c>
      <c r="DM270" s="230"/>
      <c r="DN270" s="6"/>
    </row>
    <row r="271" spans="116:119">
      <c r="DL271" s="1743" t="s">
        <v>1551</v>
      </c>
      <c r="DM271" s="1785"/>
      <c r="DN271" s="1785"/>
    </row>
    <row r="272" spans="116:119">
      <c r="DL272" s="1777" t="s">
        <v>1489</v>
      </c>
      <c r="DM272" s="1777"/>
    </row>
    <row r="273" spans="118:127">
      <c r="DO273" s="15"/>
      <c r="DP273" s="15"/>
      <c r="DQ273" s="15"/>
      <c r="DR273" s="15"/>
      <c r="DS273" s="15"/>
      <c r="DT273" s="15"/>
      <c r="DU273" s="15"/>
    </row>
    <row r="274" spans="118:127">
      <c r="DN274" s="15"/>
      <c r="DO274" s="230" t="str">
        <f>Exhibits!HL599</f>
        <v>The Big 8</v>
      </c>
      <c r="DP274" s="230" t="str">
        <f>Exhibits!HM599</f>
        <v>City</v>
      </c>
      <c r="DQ274" s="230" t="str">
        <f>Exhibits!HN599</f>
        <v>State / Country</v>
      </c>
      <c r="DR274" s="805" t="str">
        <f>Exhibits!HO599</f>
        <v>Rooms</v>
      </c>
      <c r="DS274" s="805" t="str">
        <f>Exhibits!HP599</f>
        <v>Ownership</v>
      </c>
      <c r="DT274" s="805" t="str">
        <f>Exhibits!HQ599</f>
        <v>Price/Key</v>
      </c>
      <c r="DU274" s="805" t="str">
        <f>Exhibits!HR599</f>
        <v>Value (mm)</v>
      </c>
      <c r="DV274" s="15"/>
    </row>
    <row r="275" spans="118:127">
      <c r="DN275" s="15"/>
      <c r="DO275" s="645"/>
      <c r="DP275" s="645">
        <f>Exhibits!HM600</f>
        <v>0</v>
      </c>
      <c r="DQ275" s="645">
        <f>Exhibits!HN600</f>
        <v>0</v>
      </c>
      <c r="DR275" s="645"/>
      <c r="DS275" s="645"/>
      <c r="DT275" s="816"/>
      <c r="DU275" s="816"/>
      <c r="DV275" s="15"/>
    </row>
    <row r="276" spans="118:127">
      <c r="DN276" s="15"/>
      <c r="DO276" s="15" t="str">
        <f>Exhibits!HL601</f>
        <v>Hilton Hawaiian Village Beach Resort &amp; Spa</v>
      </c>
      <c r="DP276" s="15" t="str">
        <f>Exhibits!HM601</f>
        <v>Honolulu</v>
      </c>
      <c r="DQ276" s="15" t="str">
        <f>Exhibits!HN601</f>
        <v>HI</v>
      </c>
      <c r="DR276" s="15">
        <f>Exhibits!HO601</f>
        <v>2860</v>
      </c>
      <c r="DS276" s="15">
        <f>Exhibits!HP601</f>
        <v>1</v>
      </c>
      <c r="DT276" s="15">
        <f>Exhibits!HQ601</f>
        <v>550000</v>
      </c>
      <c r="DU276" s="15">
        <f>Exhibits!HR601</f>
        <v>1573</v>
      </c>
      <c r="DV276" s="15"/>
    </row>
    <row r="277" spans="118:127">
      <c r="DN277" s="15"/>
      <c r="DO277" s="15" t="str">
        <f>Exhibits!HL602</f>
        <v>Hilton New York</v>
      </c>
      <c r="DP277" s="15" t="str">
        <f>Exhibits!HM602</f>
        <v>New York</v>
      </c>
      <c r="DQ277" s="15" t="str">
        <f>Exhibits!HN602</f>
        <v>NY</v>
      </c>
      <c r="DR277" s="15">
        <f>Exhibits!HO602</f>
        <v>1981</v>
      </c>
      <c r="DS277" s="15">
        <f>Exhibits!HP602</f>
        <v>1</v>
      </c>
      <c r="DT277" s="15">
        <f>Exhibits!HQ602</f>
        <v>1000000</v>
      </c>
      <c r="DU277" s="15">
        <f>Exhibits!HR602</f>
        <v>1981</v>
      </c>
      <c r="DV277" s="15"/>
    </row>
    <row r="278" spans="118:127">
      <c r="DN278" s="15"/>
      <c r="DO278" s="15" t="str">
        <f>Exhibits!HL603</f>
        <v>Hilton San Francisco Union Square</v>
      </c>
      <c r="DP278" s="15" t="str">
        <f>Exhibits!HM603</f>
        <v>San Francisco</v>
      </c>
      <c r="DQ278" s="15" t="str">
        <f>Exhibits!HN603</f>
        <v>CA</v>
      </c>
      <c r="DR278" s="15">
        <f>Exhibits!HO603</f>
        <v>1908</v>
      </c>
      <c r="DS278" s="15">
        <f>Exhibits!HP603</f>
        <v>1</v>
      </c>
      <c r="DT278" s="15">
        <f>Exhibits!HQ603</f>
        <v>500000</v>
      </c>
      <c r="DU278" s="15">
        <f>Exhibits!HR603</f>
        <v>954</v>
      </c>
      <c r="DV278" s="15"/>
    </row>
    <row r="279" spans="118:127">
      <c r="DN279" s="15"/>
      <c r="DO279" s="15" t="str">
        <f>Exhibits!HL604</f>
        <v>Hilton New Orleans Riverside</v>
      </c>
      <c r="DP279" s="15" t="str">
        <f>Exhibits!HM604</f>
        <v xml:space="preserve">New Orleans </v>
      </c>
      <c r="DQ279" s="15" t="str">
        <f>Exhibits!HN604</f>
        <v>LA</v>
      </c>
      <c r="DR279" s="15">
        <f>Exhibits!HO604</f>
        <v>1622</v>
      </c>
      <c r="DS279" s="15">
        <f>Exhibits!HP604</f>
        <v>1</v>
      </c>
      <c r="DT279" s="15">
        <f>Exhibits!HQ604</f>
        <v>300000</v>
      </c>
      <c r="DU279" s="15">
        <f>Exhibits!HR604</f>
        <v>486.6</v>
      </c>
      <c r="DV279" s="15"/>
    </row>
    <row r="280" spans="118:127">
      <c r="DN280" s="15"/>
      <c r="DO280" s="15" t="str">
        <f>Exhibits!HL605</f>
        <v>Hilton Chicago</v>
      </c>
      <c r="DP280" s="15" t="str">
        <f>Exhibits!HM605</f>
        <v>Chicago</v>
      </c>
      <c r="DQ280" s="15" t="str">
        <f>Exhibits!HN605</f>
        <v>IL</v>
      </c>
      <c r="DR280" s="15">
        <f>Exhibits!HO605</f>
        <v>1544</v>
      </c>
      <c r="DS280" s="15">
        <f>Exhibits!HP605</f>
        <v>1</v>
      </c>
      <c r="DT280" s="15">
        <f>Exhibits!HQ605</f>
        <v>350000</v>
      </c>
      <c r="DU280" s="15">
        <f>Exhibits!HR605</f>
        <v>540.4</v>
      </c>
      <c r="DV280" s="15"/>
    </row>
    <row r="281" spans="118:127">
      <c r="DN281" s="15"/>
      <c r="DO281" s="15" t="str">
        <f>Exhibits!HL606</f>
        <v>Hilton Waikoloa Village</v>
      </c>
      <c r="DP281" s="15" t="str">
        <f>Exhibits!HM606</f>
        <v>Waikoloa</v>
      </c>
      <c r="DQ281" s="15" t="str">
        <f>Exhibits!HN606</f>
        <v>HI</v>
      </c>
      <c r="DR281" s="15">
        <f>Exhibits!HO606</f>
        <v>1241</v>
      </c>
      <c r="DS281" s="15">
        <f>Exhibits!HP606</f>
        <v>1</v>
      </c>
      <c r="DT281" s="15">
        <f>Exhibits!HQ606</f>
        <v>550000</v>
      </c>
      <c r="DU281" s="15">
        <f>Exhibits!HR606</f>
        <v>682.55</v>
      </c>
      <c r="DV281" s="15"/>
    </row>
    <row r="282" spans="118:127">
      <c r="DN282" s="15"/>
      <c r="DO282" s="15" t="str">
        <f>Exhibits!HL607</f>
        <v>Hilton Chicago O’Hare Airport</v>
      </c>
      <c r="DP282" s="15" t="str">
        <f>Exhibits!HM607</f>
        <v>Chicago</v>
      </c>
      <c r="DQ282" s="15" t="str">
        <f>Exhibits!HN607</f>
        <v>IL</v>
      </c>
      <c r="DR282" s="15">
        <f>Exhibits!HO607</f>
        <v>860</v>
      </c>
      <c r="DS282" s="15">
        <f>Exhibits!HP607</f>
        <v>1</v>
      </c>
      <c r="DT282" s="15">
        <f>Exhibits!HQ607</f>
        <v>250000</v>
      </c>
      <c r="DU282" s="15">
        <f>Exhibits!HR607</f>
        <v>215</v>
      </c>
      <c r="DV282" s="15"/>
    </row>
    <row r="283" spans="118:127" ht="4.5" customHeight="1">
      <c r="DN283" s="15"/>
      <c r="DO283" s="1777" t="s">
        <v>1555</v>
      </c>
      <c r="DP283" s="15"/>
      <c r="DQ283" s="15"/>
      <c r="DR283" s="15"/>
      <c r="DS283" s="15"/>
      <c r="DT283" s="15"/>
      <c r="DU283" s="1778" t="s">
        <v>1872</v>
      </c>
      <c r="DV283" s="15"/>
    </row>
    <row r="284" spans="118:127">
      <c r="DN284" s="15"/>
      <c r="DO284" s="1777" t="s">
        <v>1552</v>
      </c>
      <c r="DP284" s="15">
        <f>Exhibits!HM609</f>
        <v>0</v>
      </c>
      <c r="DQ284" s="15">
        <f>Exhibits!HN609</f>
        <v>0</v>
      </c>
      <c r="DR284" s="15"/>
      <c r="DS284" s="15">
        <f>Exhibits!HP609</f>
        <v>0</v>
      </c>
      <c r="DT284" s="15"/>
      <c r="DU284" s="514"/>
      <c r="DV284" s="15"/>
      <c r="DW284" s="14"/>
    </row>
    <row r="285" spans="118:127" ht="4.5" customHeight="1">
      <c r="DO285" s="15"/>
      <c r="DP285" s="15"/>
      <c r="DQ285" s="15"/>
      <c r="DR285" s="15"/>
      <c r="DS285" s="15"/>
      <c r="DT285" s="15"/>
      <c r="DU285" s="514"/>
      <c r="DV285" s="15"/>
    </row>
    <row r="286" spans="118:127" ht="13.5" thickBot="1">
      <c r="DO286" s="1777" t="s">
        <v>1554</v>
      </c>
      <c r="DP286" s="15"/>
      <c r="DQ286" s="15"/>
      <c r="DR286" s="15"/>
      <c r="DS286" s="15"/>
      <c r="DT286" s="15"/>
      <c r="DU286" s="15"/>
      <c r="DV286" s="1808"/>
    </row>
    <row r="287" spans="118:127" ht="4.5" customHeight="1" thickTop="1">
      <c r="DO287" s="1777" t="s">
        <v>1555</v>
      </c>
      <c r="DP287" s="15"/>
      <c r="DQ287" s="15"/>
      <c r="DR287" s="15"/>
      <c r="DS287" s="15"/>
      <c r="DT287" s="15"/>
      <c r="DU287" s="1778"/>
      <c r="DV287" s="514"/>
    </row>
    <row r="288" spans="118:127" ht="12" customHeight="1" thickBot="1">
      <c r="DO288" s="1777" t="s">
        <v>1553</v>
      </c>
      <c r="DP288" s="15"/>
      <c r="DQ288" s="15"/>
      <c r="DR288" s="15"/>
      <c r="DS288" s="15"/>
      <c r="DT288" s="15"/>
      <c r="DU288" s="1779"/>
      <c r="DV288" s="1808"/>
      <c r="DW288" s="1732"/>
    </row>
    <row r="289" spans="119:132" ht="13.5" thickTop="1">
      <c r="DO289" s="1777"/>
      <c r="DP289" s="15"/>
      <c r="DQ289" s="15"/>
      <c r="DR289" s="15"/>
      <c r="DS289" s="15"/>
      <c r="DT289" s="15"/>
      <c r="DU289" s="514"/>
      <c r="DV289" s="15"/>
    </row>
    <row r="290" spans="119:132">
      <c r="DO290" s="1734" t="s">
        <v>1489</v>
      </c>
    </row>
    <row r="291" spans="119:132">
      <c r="DO291" s="1780" t="s">
        <v>54</v>
      </c>
      <c r="DP291" s="223"/>
      <c r="DQ291" s="223"/>
      <c r="DR291" s="223"/>
      <c r="DS291" s="223"/>
      <c r="DT291" s="223"/>
      <c r="DU291" s="1781"/>
    </row>
    <row r="293" spans="119:132">
      <c r="DO293" s="1734" t="s">
        <v>472</v>
      </c>
    </row>
    <row r="294" spans="119:132">
      <c r="DO294" s="1734" t="s">
        <v>1578</v>
      </c>
      <c r="DU294" s="1559"/>
    </row>
    <row r="295" spans="119:132">
      <c r="DO295" s="1780" t="s">
        <v>473</v>
      </c>
      <c r="DP295" s="223"/>
      <c r="DQ295" s="223"/>
      <c r="DR295" s="223"/>
      <c r="DS295" s="223"/>
      <c r="DT295" s="223"/>
      <c r="DU295" s="1818"/>
    </row>
    <row r="296" spans="119:132">
      <c r="DO296" s="1734"/>
      <c r="DU296" s="1559"/>
    </row>
    <row r="298" spans="119:132">
      <c r="DO298" s="1734" t="s">
        <v>1579</v>
      </c>
      <c r="DU298" s="1807"/>
    </row>
    <row r="299" spans="119:132">
      <c r="DW299" s="2" t="s">
        <v>750</v>
      </c>
    </row>
    <row r="300" spans="119:132">
      <c r="DX300" s="1788">
        <v>2007</v>
      </c>
      <c r="DY300" s="1788">
        <v>2012</v>
      </c>
      <c r="DZ300" s="1773" t="s">
        <v>1815</v>
      </c>
      <c r="EA300" s="1773" t="s">
        <v>901</v>
      </c>
      <c r="EB300" s="1773" t="s">
        <v>902</v>
      </c>
    </row>
    <row r="301" spans="119:132">
      <c r="DW301" s="1734" t="s">
        <v>1565</v>
      </c>
      <c r="DY301" s="3">
        <f>Hilton!K431</f>
        <v>252</v>
      </c>
      <c r="DZ301" s="3">
        <f>Hilton!P431</f>
        <v>297</v>
      </c>
      <c r="EA301" s="3">
        <f>Hilton!U431</f>
        <v>334</v>
      </c>
      <c r="EB301" s="3">
        <f>Hilton!Z431</f>
        <v>352</v>
      </c>
    </row>
    <row r="302" spans="119:132">
      <c r="DW302" s="122" t="s">
        <v>1566</v>
      </c>
      <c r="DX302" s="122"/>
      <c r="DY302" s="1789">
        <f>DY301/Hilton!F431-1</f>
        <v>0.21739130434782616</v>
      </c>
      <c r="DZ302" s="1789">
        <f>DZ301/DY301-1</f>
        <v>0.1785714285714286</v>
      </c>
      <c r="EA302" s="1789">
        <f>EA301/DZ301-1</f>
        <v>0.12457912457912457</v>
      </c>
      <c r="EB302" s="1789">
        <f>EB301/EA301-1</f>
        <v>5.3892215568862367E-2</v>
      </c>
    </row>
    <row r="303" spans="119:132" ht="4.5" customHeight="1">
      <c r="DW303" s="1734"/>
    </row>
    <row r="304" spans="119:132">
      <c r="DW304" s="1734" t="s">
        <v>1567</v>
      </c>
    </row>
    <row r="305" spans="127:155" ht="4.5" customHeight="1"/>
    <row r="306" spans="127:155">
      <c r="DW306" s="1734" t="s">
        <v>1568</v>
      </c>
    </row>
    <row r="307" spans="127:155">
      <c r="EC307" s="1734" t="s">
        <v>1577</v>
      </c>
    </row>
    <row r="308" spans="127:155">
      <c r="EM308" s="124"/>
    </row>
    <row r="309" spans="127:155">
      <c r="EC309" s="230"/>
      <c r="ED309" s="805" t="s">
        <v>1569</v>
      </c>
      <c r="EE309" s="1794" t="s">
        <v>1570</v>
      </c>
      <c r="EF309" s="1819"/>
      <c r="EG309" s="805" t="s">
        <v>1622</v>
      </c>
      <c r="EH309" s="1794" t="s">
        <v>1570</v>
      </c>
      <c r="EI309" s="1795"/>
      <c r="EJ309" s="805" t="s">
        <v>1750</v>
      </c>
      <c r="EK309" s="1794" t="s">
        <v>1570</v>
      </c>
      <c r="EL309" s="1795"/>
      <c r="EM309" s="805" t="s">
        <v>1694</v>
      </c>
      <c r="EN309" s="1794" t="s">
        <v>1570</v>
      </c>
      <c r="EO309" s="1795"/>
      <c r="EP309" s="805" t="s">
        <v>879</v>
      </c>
      <c r="EQ309" s="1794" t="s">
        <v>1570</v>
      </c>
      <c r="ER309" s="1795"/>
      <c r="ES309" s="1797" t="s">
        <v>1571</v>
      </c>
    </row>
    <row r="310" spans="127:155">
      <c r="EC310" s="1790">
        <v>2009</v>
      </c>
      <c r="ED310" s="7"/>
      <c r="EE310" s="1793"/>
      <c r="EF310" s="1792"/>
      <c r="EG310" s="128"/>
      <c r="EH310" s="1793"/>
      <c r="EI310" s="1792"/>
      <c r="EJ310" s="1791"/>
      <c r="EK310" s="1793"/>
      <c r="EL310" s="1792"/>
      <c r="EM310" s="128"/>
      <c r="EN310" s="1793"/>
      <c r="EO310" s="1792"/>
      <c r="EP310" s="128"/>
      <c r="EQ310" s="1793"/>
      <c r="ER310" s="1792"/>
      <c r="ES310" s="1750"/>
    </row>
    <row r="311" spans="127:155">
      <c r="EC311" s="1790">
        <v>2010</v>
      </c>
      <c r="ED311" s="7"/>
      <c r="EE311" s="471"/>
      <c r="EF311" s="579"/>
      <c r="EG311" s="128"/>
      <c r="EH311" s="471"/>
      <c r="EI311" s="579"/>
      <c r="EJ311" s="128"/>
      <c r="EK311" s="1796"/>
      <c r="EL311" s="579"/>
      <c r="EM311" s="128"/>
      <c r="EN311" s="471"/>
      <c r="EO311" s="579"/>
      <c r="EP311" s="128"/>
      <c r="EQ311" s="471"/>
      <c r="ER311" s="579"/>
      <c r="ES311" s="1798"/>
    </row>
    <row r="312" spans="127:155">
      <c r="EC312" s="1790">
        <v>2011</v>
      </c>
      <c r="ED312" s="7"/>
      <c r="EE312" s="471"/>
      <c r="EF312" s="579"/>
      <c r="EG312" s="128"/>
      <c r="EH312" s="471"/>
      <c r="EI312" s="579"/>
      <c r="EJ312" s="128"/>
      <c r="EK312" s="471"/>
      <c r="EL312" s="579"/>
      <c r="EM312" s="128"/>
      <c r="EN312" s="471"/>
      <c r="EO312" s="579"/>
      <c r="EP312" s="128"/>
      <c r="EQ312" s="471"/>
      <c r="ER312" s="579"/>
      <c r="ES312" s="1798"/>
    </row>
    <row r="313" spans="127:155">
      <c r="EC313" s="1790">
        <v>2012</v>
      </c>
      <c r="ED313" s="7"/>
      <c r="EE313" s="471"/>
      <c r="EF313" s="579"/>
      <c r="EG313" s="128"/>
      <c r="EH313" s="471"/>
      <c r="EI313" s="579"/>
      <c r="EJ313" s="128"/>
      <c r="EK313" s="471"/>
      <c r="EL313" s="579"/>
      <c r="EM313" s="128"/>
      <c r="EN313" s="471"/>
      <c r="EO313" s="579"/>
      <c r="EP313" s="128"/>
      <c r="EQ313" s="471"/>
      <c r="ER313" s="579"/>
      <c r="ES313" s="1798"/>
    </row>
    <row r="314" spans="127:155">
      <c r="EC314" s="1734" t="s">
        <v>1815</v>
      </c>
      <c r="ED314" s="7"/>
      <c r="EE314" s="471"/>
      <c r="EF314" s="579"/>
      <c r="EG314" s="128"/>
      <c r="EH314" s="471"/>
      <c r="EI314" s="579"/>
      <c r="EJ314" s="128"/>
      <c r="EK314" s="471"/>
      <c r="EL314" s="579"/>
      <c r="EM314" s="128"/>
      <c r="EN314" s="471"/>
      <c r="EO314" s="579"/>
      <c r="EP314" s="128"/>
      <c r="EQ314" s="471"/>
      <c r="ER314" s="579"/>
      <c r="ES314" s="1798"/>
    </row>
    <row r="315" spans="127:155">
      <c r="EC315" s="1734" t="s">
        <v>901</v>
      </c>
      <c r="ED315" s="7"/>
      <c r="EE315" s="471"/>
      <c r="EF315" s="579"/>
      <c r="EG315" s="128"/>
      <c r="EH315" s="471"/>
      <c r="EI315" s="579"/>
      <c r="EJ315" s="128"/>
      <c r="EK315" s="471"/>
      <c r="EL315" s="579"/>
      <c r="EM315" s="128"/>
      <c r="EN315" s="471"/>
      <c r="EO315" s="579"/>
      <c r="EP315" s="128"/>
      <c r="EQ315" s="471"/>
      <c r="ER315" s="579"/>
      <c r="ES315" s="1798"/>
    </row>
    <row r="316" spans="127:155">
      <c r="EC316" s="1734" t="s">
        <v>902</v>
      </c>
      <c r="ED316" s="7"/>
      <c r="EE316" s="471"/>
      <c r="EF316" s="579"/>
      <c r="EG316" s="128"/>
      <c r="EH316" s="471"/>
      <c r="EI316" s="579"/>
      <c r="EJ316" s="128"/>
      <c r="EK316" s="471"/>
      <c r="EL316" s="579"/>
      <c r="EM316" s="128"/>
      <c r="EN316" s="471"/>
      <c r="EO316" s="579"/>
      <c r="EP316" s="128"/>
      <c r="EQ316" s="471"/>
      <c r="ER316" s="579"/>
      <c r="ES316" s="1798"/>
    </row>
    <row r="319" spans="127:155">
      <c r="ET319" s="1802" t="s">
        <v>1750</v>
      </c>
      <c r="EU319" s="1803"/>
      <c r="EV319" s="1803"/>
      <c r="EW319" s="1803"/>
      <c r="EX319" s="1803"/>
      <c r="EY319" s="1803"/>
    </row>
    <row r="320" spans="127:155">
      <c r="EU320" s="1801" t="s">
        <v>1572</v>
      </c>
      <c r="EV320" s="1801" t="s">
        <v>1573</v>
      </c>
      <c r="EW320" s="1801" t="s">
        <v>1574</v>
      </c>
      <c r="EX320" s="1801" t="s">
        <v>1575</v>
      </c>
      <c r="EY320" s="1773" t="s">
        <v>1576</v>
      </c>
    </row>
    <row r="321" spans="150:155">
      <c r="ET321" s="1790">
        <v>2009</v>
      </c>
    </row>
    <row r="322" spans="150:155">
      <c r="ET322" s="1790">
        <v>2010</v>
      </c>
      <c r="EU322" s="3">
        <f>Hilton!E$24-Hilton!E$18</f>
        <v>7205</v>
      </c>
      <c r="EV322" s="3">
        <f>Hilton!$E$135+Hilton!$E$136</f>
        <v>1656</v>
      </c>
      <c r="EW322" s="3">
        <f>(Hilton!E$135+Hilton!E$136)/SUM(Hilton!E$135:E$137)*Hilton!E$138</f>
        <v>-238.38423645320196</v>
      </c>
      <c r="EX322" s="3">
        <f t="shared" ref="EX322:EX327" si="10">EV322+EW322</f>
        <v>1417.615763546798</v>
      </c>
      <c r="EY322" s="7">
        <f t="shared" ref="EY322:EY327" si="11">EX322/EU322</f>
        <v>0.19675444324036059</v>
      </c>
    </row>
    <row r="323" spans="150:155">
      <c r="ET323" s="1790">
        <v>2011</v>
      </c>
      <c r="EU323" s="3">
        <f>Hilton!F$24-Hilton!F$18</f>
        <v>7839</v>
      </c>
      <c r="EV323" s="3">
        <f>Hilton!$F$135+Hilton!$F$136</f>
        <v>1820</v>
      </c>
      <c r="EW323" s="3">
        <f>(Hilton!F$135+Hilton!F$136)/SUM(Hilton!F$135:F$137)*Hilton!F$138</f>
        <v>-246.01874691662556</v>
      </c>
      <c r="EX323" s="3">
        <f t="shared" si="10"/>
        <v>1573.9812530833744</v>
      </c>
      <c r="EY323" s="7">
        <f t="shared" si="11"/>
        <v>0.20078852571544514</v>
      </c>
    </row>
    <row r="324" spans="150:155">
      <c r="ET324" s="1790">
        <v>2012</v>
      </c>
      <c r="EU324" s="3">
        <f>Hilton!K$24-Hilton!K$18</f>
        <v>8191</v>
      </c>
      <c r="EV324" s="3">
        <f>Hilton!$K$135+Hilton!$K$136</f>
        <v>1973</v>
      </c>
      <c r="EW324" s="3">
        <f>(Hilton!K$135+Hilton!K$136)/SUM(Hilton!K$135:K$137)*Hilton!K$138</f>
        <v>-238.5334831460674</v>
      </c>
      <c r="EX324" s="3">
        <f t="shared" si="10"/>
        <v>1734.4665168539327</v>
      </c>
      <c r="EY324" s="7">
        <f t="shared" si="11"/>
        <v>0.21175271845366045</v>
      </c>
    </row>
    <row r="325" spans="150:155">
      <c r="ET325" s="1734" t="s">
        <v>1815</v>
      </c>
      <c r="EU325" s="3">
        <f>Hilton!P$24-Hilton!P$18</f>
        <v>8626</v>
      </c>
      <c r="EV325" s="3">
        <f>Hilton!$P$135+Hilton!$P$136</f>
        <v>2200</v>
      </c>
      <c r="EW325" s="3">
        <f>(Hilton!P$135+Hilton!P$136)/SUM(Hilton!P$135:P$137)*Hilton!P$138</f>
        <v>-252.86343612334801</v>
      </c>
      <c r="EX325" s="3">
        <f t="shared" si="10"/>
        <v>1947.136563876652</v>
      </c>
      <c r="EY325" s="7">
        <f t="shared" si="11"/>
        <v>0.22572879247352792</v>
      </c>
    </row>
    <row r="326" spans="150:155">
      <c r="ET326" s="1734" t="s">
        <v>901</v>
      </c>
      <c r="EU326" s="3">
        <f>Hilton!U$24-Hilton!U$18</f>
        <v>9331</v>
      </c>
      <c r="EV326" s="3">
        <f>Hilton!$U$135+Hilton!$U$136</f>
        <v>2467</v>
      </c>
      <c r="EW326" s="3">
        <f>(Hilton!U$135+Hilton!U$136)/SUM(Hilton!U$135:U$137)*Hilton!U$138</f>
        <v>-258.06176365583718</v>
      </c>
      <c r="EX326" s="3">
        <f t="shared" si="10"/>
        <v>2208.9382363441628</v>
      </c>
      <c r="EY326" s="7">
        <f t="shared" si="11"/>
        <v>0.23673113667818699</v>
      </c>
    </row>
    <row r="327" spans="150:155">
      <c r="ET327" s="1734" t="s">
        <v>902</v>
      </c>
      <c r="EU327" s="3">
        <f>Hilton!Z$24-Hilton!Z$18</f>
        <v>9964</v>
      </c>
      <c r="EV327" s="3">
        <f>Hilton!$Z$135+Hilton!$Z$136</f>
        <v>2755</v>
      </c>
      <c r="EW327" s="3">
        <f>(Hilton!Z$135+Hilton!Z$136)/SUM(Hilton!Z$135:Z$137)*Hilton!Z$138</f>
        <v>-202.16929514000645</v>
      </c>
      <c r="EX327" s="3">
        <f t="shared" si="10"/>
        <v>2552.8307048599936</v>
      </c>
      <c r="EY327" s="7">
        <f t="shared" si="11"/>
        <v>0.25620540996186209</v>
      </c>
    </row>
    <row r="329" spans="150:155">
      <c r="ET329" s="1802" t="s">
        <v>1694</v>
      </c>
      <c r="EU329" s="1803"/>
      <c r="EV329" s="1803"/>
      <c r="EW329" s="1803"/>
      <c r="EX329" s="1803"/>
      <c r="EY329" s="1803"/>
    </row>
    <row r="330" spans="150:155">
      <c r="EU330" s="1801" t="s">
        <v>1572</v>
      </c>
      <c r="EV330" s="1801" t="s">
        <v>1573</v>
      </c>
      <c r="EW330" s="1801" t="s">
        <v>1574</v>
      </c>
      <c r="EX330" s="1801" t="s">
        <v>1575</v>
      </c>
      <c r="EY330" s="1773" t="s">
        <v>1576</v>
      </c>
    </row>
    <row r="331" spans="150:155">
      <c r="ET331" s="1790">
        <v>2009</v>
      </c>
      <c r="EY331" s="7"/>
    </row>
    <row r="332" spans="150:155">
      <c r="ET332" s="1790">
        <v>2010</v>
      </c>
      <c r="EY332" s="7"/>
    </row>
    <row r="333" spans="150:155">
      <c r="ET333" s="1790">
        <v>2011</v>
      </c>
      <c r="EY333" s="7"/>
    </row>
    <row r="334" spans="150:155">
      <c r="ET334" s="1790">
        <v>2012</v>
      </c>
      <c r="EY334" s="7"/>
    </row>
    <row r="335" spans="150:155">
      <c r="ET335" s="1734" t="s">
        <v>1815</v>
      </c>
      <c r="EY335" s="7"/>
    </row>
    <row r="336" spans="150:155">
      <c r="ET336" s="1734" t="s">
        <v>901</v>
      </c>
      <c r="EY336" s="7"/>
    </row>
    <row r="337" spans="150:193">
      <c r="ET337" s="1734" t="s">
        <v>902</v>
      </c>
      <c r="EY337" s="7"/>
    </row>
    <row r="339" spans="150:193">
      <c r="FB339" s="9"/>
      <c r="FC339" s="9"/>
    </row>
    <row r="344" spans="150:193">
      <c r="FE344" s="15"/>
      <c r="FF344" s="15"/>
      <c r="FG344" s="15"/>
    </row>
    <row r="345" spans="150:193">
      <c r="FE345" s="15"/>
      <c r="FF345" s="15"/>
      <c r="FG345" s="598"/>
    </row>
    <row r="346" spans="150:193">
      <c r="FE346" s="15"/>
      <c r="FF346" s="15"/>
      <c r="FG346" s="598"/>
    </row>
    <row r="347" spans="150:193">
      <c r="FE347" s="15"/>
      <c r="FF347" s="15"/>
      <c r="FG347" s="1820"/>
    </row>
    <row r="348" spans="150:193">
      <c r="FA348" s="1734"/>
      <c r="FE348" s="15"/>
      <c r="FF348" s="15"/>
      <c r="FG348" s="598"/>
    </row>
    <row r="349" spans="150:193">
      <c r="FE349" s="15"/>
      <c r="FF349" s="15"/>
      <c r="FG349" s="15"/>
    </row>
    <row r="350" spans="150:193">
      <c r="FE350" s="15"/>
      <c r="FF350" s="228" t="s">
        <v>477</v>
      </c>
      <c r="FG350" s="15"/>
    </row>
    <row r="351" spans="150:193">
      <c r="FF351" s="1735" t="s">
        <v>750</v>
      </c>
      <c r="FG351" s="1736">
        <v>2004</v>
      </c>
      <c r="FH351" s="1736">
        <v>2005</v>
      </c>
      <c r="FI351" s="1736">
        <v>2006</v>
      </c>
      <c r="FJ351" s="1736">
        <v>2007</v>
      </c>
      <c r="FK351" s="1824"/>
      <c r="FL351" s="1825"/>
      <c r="FM351" s="1825"/>
      <c r="FN351" s="1825"/>
      <c r="FO351" s="1825"/>
      <c r="FP351" s="1825"/>
      <c r="FQ351" s="1826"/>
      <c r="FR351" s="1826"/>
      <c r="FS351" s="1826"/>
      <c r="FT351" s="1826"/>
      <c r="FU351" s="1826"/>
      <c r="FV351" s="1826"/>
      <c r="FW351" s="1826"/>
      <c r="FX351" s="1826"/>
      <c r="FY351" s="1826"/>
      <c r="FZ351" s="1826"/>
      <c r="GA351" s="1826"/>
      <c r="GB351" s="1826"/>
      <c r="GC351" s="1826"/>
      <c r="GD351" s="1826"/>
      <c r="GE351" s="1826"/>
      <c r="GF351" s="1826"/>
      <c r="GG351" s="1826"/>
      <c r="GH351" s="1826"/>
      <c r="GI351" s="1826"/>
      <c r="GJ351" s="1826"/>
      <c r="GK351" s="1826"/>
    </row>
    <row r="352" spans="150:193">
      <c r="FF352" s="1734" t="s">
        <v>174</v>
      </c>
      <c r="FG352" s="11">
        <v>421</v>
      </c>
      <c r="FH352" s="11">
        <v>554</v>
      </c>
      <c r="FI352" s="11">
        <v>650</v>
      </c>
      <c r="FJ352" s="11"/>
      <c r="FL352" s="15"/>
      <c r="FM352" s="15"/>
      <c r="FN352" s="15"/>
      <c r="FO352" s="15"/>
      <c r="FP352" s="15"/>
      <c r="FQ352" s="15"/>
      <c r="FR352" s="15"/>
      <c r="FS352" s="15"/>
      <c r="FT352" s="15"/>
      <c r="FU352" s="15"/>
      <c r="FV352" s="15"/>
      <c r="FW352" s="15"/>
      <c r="FX352" s="15"/>
      <c r="FY352" s="15"/>
      <c r="FZ352" s="15"/>
      <c r="GA352" s="15"/>
      <c r="GB352" s="15"/>
      <c r="GC352" s="15"/>
      <c r="GD352" s="15"/>
      <c r="GE352" s="15"/>
      <c r="GF352" s="15"/>
      <c r="GG352" s="15"/>
      <c r="GH352" s="15"/>
      <c r="GI352" s="15"/>
      <c r="GJ352" s="15"/>
      <c r="GK352" s="15"/>
    </row>
    <row r="353" spans="162:193">
      <c r="FF353" s="1734" t="s">
        <v>840</v>
      </c>
      <c r="FG353" s="3">
        <v>-316</v>
      </c>
      <c r="FH353" s="3">
        <v>-420</v>
      </c>
      <c r="FI353" s="3">
        <v>-491</v>
      </c>
      <c r="FL353" s="15"/>
      <c r="FM353" s="15"/>
      <c r="FN353" s="15"/>
      <c r="FO353" s="15"/>
      <c r="FP353" s="15"/>
      <c r="FQ353" s="15"/>
      <c r="FR353" s="15"/>
      <c r="FS353" s="15"/>
      <c r="FT353" s="15"/>
      <c r="FU353" s="15"/>
      <c r="FV353" s="15"/>
      <c r="FW353" s="15"/>
      <c r="FX353" s="15"/>
      <c r="FY353" s="15"/>
      <c r="FZ353" s="15"/>
      <c r="GA353" s="15"/>
      <c r="GB353" s="15"/>
      <c r="GC353" s="15"/>
      <c r="GD353" s="15"/>
      <c r="GE353" s="15"/>
      <c r="GF353" s="15"/>
      <c r="GG353" s="15"/>
      <c r="GH353" s="15"/>
      <c r="GI353" s="15"/>
      <c r="GJ353" s="15"/>
      <c r="GK353" s="15"/>
    </row>
    <row r="354" spans="162:193" ht="4.5" customHeight="1">
      <c r="FF354" s="1735"/>
      <c r="FG354" s="6"/>
      <c r="FH354" s="6"/>
      <c r="FI354" s="6"/>
      <c r="FJ354" s="6"/>
      <c r="FK354" s="15"/>
      <c r="FL354" s="15"/>
      <c r="FM354" s="15"/>
      <c r="FN354" s="15"/>
      <c r="FO354" s="15"/>
      <c r="FP354" s="15"/>
      <c r="FQ354" s="15"/>
      <c r="FR354" s="15"/>
      <c r="FS354" s="15"/>
      <c r="FT354" s="15"/>
      <c r="FU354" s="15"/>
      <c r="FV354" s="15"/>
      <c r="FW354" s="15"/>
      <c r="FX354" s="15"/>
      <c r="FY354" s="15"/>
      <c r="FZ354" s="15"/>
      <c r="GA354" s="15"/>
      <c r="GB354" s="15"/>
      <c r="GC354" s="15"/>
      <c r="GD354" s="15"/>
      <c r="GE354" s="15"/>
      <c r="GF354" s="15"/>
      <c r="GG354" s="15"/>
      <c r="GH354" s="15"/>
      <c r="GI354" s="15"/>
      <c r="GJ354" s="15"/>
      <c r="GK354" s="15"/>
    </row>
    <row r="355" spans="162:193">
      <c r="FF355" s="1734" t="s">
        <v>199</v>
      </c>
      <c r="FG355" s="3">
        <f>SUM(FG352:FG354)</f>
        <v>105</v>
      </c>
      <c r="FH355" s="3">
        <f>SUM(FH352:FH354)</f>
        <v>134</v>
      </c>
      <c r="FI355" s="3">
        <f>SUM(FI352:FI354)</f>
        <v>159</v>
      </c>
      <c r="FL355" s="15"/>
      <c r="FM355" s="15"/>
      <c r="FN355" s="15"/>
      <c r="FO355" s="15"/>
      <c r="FP355" s="15"/>
      <c r="FQ355" s="15"/>
      <c r="FR355" s="15"/>
      <c r="FS355" s="15"/>
      <c r="FT355" s="15"/>
      <c r="FU355" s="15"/>
      <c r="FV355" s="15"/>
      <c r="FW355" s="15"/>
      <c r="FX355" s="15"/>
      <c r="FY355" s="15"/>
      <c r="FZ355" s="15"/>
      <c r="GA355" s="15"/>
      <c r="GB355" s="15"/>
      <c r="GC355" s="15"/>
      <c r="GD355" s="15"/>
      <c r="GE355" s="15"/>
      <c r="GF355" s="15"/>
      <c r="GG355" s="15"/>
      <c r="GH355" s="15"/>
      <c r="GI355" s="15"/>
      <c r="GJ355" s="15"/>
      <c r="GK355" s="15"/>
    </row>
    <row r="356" spans="162:193">
      <c r="FL356" s="15"/>
      <c r="FM356" s="15"/>
      <c r="FN356" s="15"/>
      <c r="FO356" s="15"/>
      <c r="FP356" s="15"/>
      <c r="FQ356" s="15"/>
      <c r="FR356" s="15"/>
      <c r="FS356" s="15"/>
      <c r="FT356" s="15"/>
      <c r="FU356" s="15"/>
      <c r="FV356" s="15"/>
      <c r="FW356" s="15"/>
      <c r="FX356" s="15"/>
      <c r="FY356" s="15"/>
      <c r="FZ356" s="15"/>
      <c r="GA356" s="15"/>
      <c r="GB356" s="15"/>
      <c r="GC356" s="15"/>
      <c r="GD356" s="15"/>
      <c r="GE356" s="15"/>
      <c r="GF356" s="15"/>
      <c r="GG356" s="15"/>
      <c r="GH356" s="15"/>
      <c r="GI356" s="15"/>
      <c r="GJ356" s="15"/>
      <c r="GK356" s="15"/>
    </row>
    <row r="357" spans="162:193">
      <c r="FF357" s="1734" t="s">
        <v>479</v>
      </c>
      <c r="FG357" s="3">
        <v>99</v>
      </c>
      <c r="FH357" s="3">
        <v>129</v>
      </c>
      <c r="FI357" s="3">
        <v>152</v>
      </c>
      <c r="FJ357" s="1827">
        <v>100</v>
      </c>
    </row>
    <row r="358" spans="162:193" ht="12" customHeight="1">
      <c r="FF358" s="1734" t="s">
        <v>484</v>
      </c>
      <c r="FG358" s="3">
        <f>-FG357*FG368</f>
        <v>-33.707774798927616</v>
      </c>
      <c r="FH358" s="3">
        <f>-FH357*FH368</f>
        <v>-45.287234042553195</v>
      </c>
      <c r="FI358" s="3">
        <f>-FI357*FI368</f>
        <v>-54.479591836734691</v>
      </c>
    </row>
    <row r="359" spans="162:193" ht="4.5" customHeight="1">
      <c r="FF359" s="1735"/>
      <c r="FG359" s="6"/>
      <c r="FH359" s="6"/>
      <c r="FI359" s="6"/>
      <c r="FJ359" s="6"/>
    </row>
    <row r="360" spans="162:193" ht="12" customHeight="1">
      <c r="FF360" s="1828" t="s">
        <v>2121</v>
      </c>
      <c r="FG360" s="130">
        <f>FG357+FG358</f>
        <v>65.292225201072384</v>
      </c>
      <c r="FH360" s="130">
        <f>FH357+FH358</f>
        <v>83.712765957446805</v>
      </c>
      <c r="FI360" s="130">
        <f>FI357+FI358</f>
        <v>97.520408163265301</v>
      </c>
      <c r="FJ360" s="130"/>
    </row>
    <row r="361" spans="162:193" ht="4.5" customHeight="1">
      <c r="FF361" s="1828"/>
      <c r="FG361" s="130"/>
      <c r="FH361" s="130"/>
      <c r="FI361" s="130"/>
      <c r="FJ361" s="130"/>
    </row>
    <row r="362" spans="162:193">
      <c r="FF362" s="1828" t="s">
        <v>552</v>
      </c>
      <c r="FG362" s="1827">
        <v>-500</v>
      </c>
      <c r="FH362" s="1827">
        <v>-500</v>
      </c>
      <c r="FI362" s="1827">
        <v>-500</v>
      </c>
      <c r="FJ362" s="1827">
        <v>-500</v>
      </c>
    </row>
    <row r="363" spans="162:193" ht="4.5" customHeight="1">
      <c r="FF363" s="1828"/>
      <c r="FG363" s="1828"/>
      <c r="FH363" s="1828"/>
      <c r="FI363" s="1828"/>
      <c r="FJ363" s="1828"/>
    </row>
    <row r="364" spans="162:193">
      <c r="FF364" s="1828" t="s">
        <v>480</v>
      </c>
      <c r="FG364" s="1828">
        <f>FG360+FG362</f>
        <v>-434.70777479892763</v>
      </c>
      <c r="FH364" s="1828">
        <f>FH360+FH362</f>
        <v>-416.28723404255322</v>
      </c>
      <c r="FI364" s="1828">
        <f>FI360+FI362</f>
        <v>-402.4795918367347</v>
      </c>
      <c r="FJ364" s="1828">
        <f>FJ360+FJ362</f>
        <v>-500</v>
      </c>
    </row>
    <row r="365" spans="162:193" ht="4.5" customHeight="1">
      <c r="FF365" s="1828"/>
      <c r="FG365" s="1828"/>
      <c r="FH365" s="1828"/>
      <c r="FI365" s="1828"/>
      <c r="FJ365" s="1828"/>
    </row>
    <row r="366" spans="162:193">
      <c r="FF366" s="1828" t="s">
        <v>499</v>
      </c>
      <c r="FG366" s="1844">
        <f>FG360/-FG362</f>
        <v>0.13058445040214478</v>
      </c>
      <c r="FH366" s="1844">
        <f>FH360/-FH362</f>
        <v>0.16742553191489362</v>
      </c>
      <c r="FI366" s="1844">
        <f>FI360/-FI362</f>
        <v>0.19504081632653061</v>
      </c>
      <c r="FJ366" s="1844">
        <f>FJ360/-FJ362</f>
        <v>0</v>
      </c>
    </row>
    <row r="367" spans="162:193">
      <c r="FF367" s="1734"/>
      <c r="FG367" s="1828"/>
      <c r="FH367" s="1828"/>
      <c r="FI367" s="1828"/>
      <c r="FJ367" s="1828"/>
    </row>
    <row r="368" spans="162:193">
      <c r="FF368" s="122" t="s">
        <v>2122</v>
      </c>
      <c r="FG368" s="1829">
        <f>127/373</f>
        <v>0.34048257372654156</v>
      </c>
      <c r="FH368" s="1829">
        <f>198/(198+366)</f>
        <v>0.35106382978723405</v>
      </c>
      <c r="FI368" s="1829">
        <f>281/(281+503)</f>
        <v>0.35841836734693877</v>
      </c>
      <c r="FJ368" s="1830"/>
    </row>
    <row r="369" spans="162:172">
      <c r="FF369" s="1734"/>
      <c r="FG369" s="1828"/>
      <c r="FH369" s="1828"/>
      <c r="FI369" s="1828"/>
      <c r="FJ369" s="1828"/>
    </row>
    <row r="370" spans="162:172">
      <c r="FF370" s="1734"/>
      <c r="FL370" s="1735" t="s">
        <v>750</v>
      </c>
      <c r="FM370" s="1501">
        <v>2012</v>
      </c>
      <c r="FN370" s="1737" t="s">
        <v>1815</v>
      </c>
      <c r="FO370" s="1737" t="s">
        <v>901</v>
      </c>
      <c r="FP370" s="1737" t="s">
        <v>902</v>
      </c>
    </row>
    <row r="371" spans="162:172">
      <c r="FF371" s="1734"/>
      <c r="FG371" s="1831"/>
      <c r="FH371" s="1831"/>
      <c r="FI371" s="121"/>
      <c r="FJ371" s="121"/>
      <c r="FL371" s="1734" t="s">
        <v>174</v>
      </c>
      <c r="FM371" s="11">
        <f>Hilton!K423</f>
        <v>1085</v>
      </c>
      <c r="FN371" s="11">
        <f>Hilton!P423</f>
        <v>1109</v>
      </c>
      <c r="FO371" s="11">
        <f>Hilton!U423</f>
        <v>1171</v>
      </c>
      <c r="FP371" s="11">
        <f>Hilton!Z423</f>
        <v>1308</v>
      </c>
    </row>
    <row r="372" spans="162:172">
      <c r="FG372" s="127"/>
      <c r="FH372" s="121"/>
      <c r="FL372" s="1734" t="s">
        <v>840</v>
      </c>
      <c r="FM372" s="3">
        <f>-Hilton!K426</f>
        <v>-758</v>
      </c>
      <c r="FN372" s="3">
        <f>-Hilton!P426</f>
        <v>-730</v>
      </c>
      <c r="FO372" s="3">
        <f>-Hilton!U426</f>
        <v>-767</v>
      </c>
      <c r="FP372" s="3">
        <f>-Hilton!Z426</f>
        <v>-897</v>
      </c>
    </row>
    <row r="373" spans="162:172" ht="4.5" customHeight="1">
      <c r="FL373" s="1735"/>
      <c r="FM373" s="6"/>
      <c r="FN373" s="6"/>
      <c r="FO373" s="6"/>
      <c r="FP373" s="6"/>
    </row>
    <row r="374" spans="162:172">
      <c r="FL374" s="1734" t="s">
        <v>199</v>
      </c>
      <c r="FM374" s="3">
        <f>SUM(FM371:FM373)</f>
        <v>327</v>
      </c>
      <c r="FN374" s="3">
        <f>SUM(FN371:FN373)</f>
        <v>379</v>
      </c>
      <c r="FO374" s="3">
        <f>SUM(FO371:FO373)</f>
        <v>404</v>
      </c>
      <c r="FP374" s="3">
        <f>SUM(FP371:FP373)</f>
        <v>411</v>
      </c>
    </row>
    <row r="376" spans="162:172">
      <c r="FL376" s="1734" t="s">
        <v>1794</v>
      </c>
      <c r="FM376" s="3">
        <f>Hilton!K431</f>
        <v>252</v>
      </c>
      <c r="FN376" s="3">
        <f>Hilton!P431</f>
        <v>297</v>
      </c>
      <c r="FO376" s="3">
        <f>Hilton!U431</f>
        <v>334</v>
      </c>
      <c r="FP376" s="3">
        <f>Hilton!Z431</f>
        <v>352</v>
      </c>
    </row>
    <row r="377" spans="162:172" ht="12" customHeight="1">
      <c r="FL377" s="1734" t="s">
        <v>484</v>
      </c>
      <c r="FM377" s="3">
        <f>-FM376*(-Hilton!K57/Hilton!K56)</f>
        <v>-94.1151832460733</v>
      </c>
      <c r="FN377" s="3">
        <f>-FN376*(-Hilton!P57/Hilton!P56)</f>
        <v>-101.26934097421203</v>
      </c>
      <c r="FO377" s="3">
        <f>-FO376*(-Hilton!U57/Hilton!U56)</f>
        <v>-135.40540540540542</v>
      </c>
      <c r="FP377" s="3">
        <f>-FP376*(-Hilton!Z57/Hilton!Z56)</f>
        <v>-18.823529411764707</v>
      </c>
    </row>
    <row r="378" spans="162:172" ht="4.5" customHeight="1">
      <c r="FL378" s="1735"/>
      <c r="FM378" s="6"/>
      <c r="FN378" s="6"/>
      <c r="FO378" s="6"/>
      <c r="FP378" s="6"/>
    </row>
    <row r="379" spans="162:172" ht="12" customHeight="1">
      <c r="FL379" s="1828" t="s">
        <v>396</v>
      </c>
      <c r="FM379" s="130">
        <f>FM376+FM377</f>
        <v>157.88481675392671</v>
      </c>
      <c r="FN379" s="130">
        <f>FN376+FN377</f>
        <v>195.73065902578799</v>
      </c>
      <c r="FO379" s="130">
        <f>FO376+FO377</f>
        <v>198.59459459459458</v>
      </c>
      <c r="FP379" s="130">
        <f>FP376+FP377</f>
        <v>333.1764705882353</v>
      </c>
    </row>
    <row r="380" spans="162:172" ht="4.5" customHeight="1">
      <c r="FL380" s="130"/>
      <c r="FM380" s="130"/>
      <c r="FN380" s="130"/>
      <c r="FO380" s="130"/>
      <c r="FP380" s="130"/>
    </row>
    <row r="381" spans="162:172">
      <c r="FL381" s="1828" t="s">
        <v>478</v>
      </c>
      <c r="FM381" s="1828">
        <v>-56</v>
      </c>
      <c r="FN381" s="130">
        <v>-102</v>
      </c>
      <c r="FO381" s="130">
        <v>-75</v>
      </c>
      <c r="FP381" s="130">
        <v>-75</v>
      </c>
    </row>
    <row r="382" spans="162:172" ht="4.5" customHeight="1">
      <c r="FL382" s="1828"/>
      <c r="FM382" s="1827"/>
      <c r="FN382" s="130"/>
      <c r="FO382" s="130"/>
      <c r="FP382" s="130"/>
    </row>
    <row r="383" spans="162:172">
      <c r="FL383" s="1828" t="s">
        <v>480</v>
      </c>
      <c r="FM383" s="130">
        <f>FM379+FM381</f>
        <v>101.88481675392671</v>
      </c>
      <c r="FN383" s="130">
        <f>FN379+FN381</f>
        <v>93.730659025787986</v>
      </c>
      <c r="FO383" s="130">
        <f>FO379+FO381</f>
        <v>123.59459459459458</v>
      </c>
      <c r="FP383" s="130">
        <f>FP379+FP381</f>
        <v>258.1764705882353</v>
      </c>
    </row>
    <row r="384" spans="162:172" ht="4.5" customHeight="1">
      <c r="FL384" s="1828"/>
      <c r="FM384" s="130"/>
      <c r="FN384" s="130"/>
      <c r="FO384" s="130"/>
      <c r="FP384" s="130"/>
    </row>
    <row r="385" spans="108:193">
      <c r="FL385" s="1828" t="s">
        <v>499</v>
      </c>
      <c r="FM385" s="1844">
        <f>FM379/-FM381</f>
        <v>2.8193717277486914</v>
      </c>
      <c r="FN385" s="1844">
        <f>FN379/-FN381</f>
        <v>1.9189280296645881</v>
      </c>
      <c r="FO385" s="1844">
        <f>FO379/-FO381</f>
        <v>2.647927927927928</v>
      </c>
      <c r="FP385" s="1844">
        <f>FP379/-FP381</f>
        <v>4.4423529411764706</v>
      </c>
    </row>
    <row r="387" spans="108:193">
      <c r="FL387" s="122" t="s">
        <v>2122</v>
      </c>
      <c r="FM387" s="1789">
        <f>-FM377/FM376</f>
        <v>0.37347294938917974</v>
      </c>
      <c r="FN387" s="1789">
        <f>-FN377/FN376</f>
        <v>0.34097421203438394</v>
      </c>
      <c r="FO387" s="1789">
        <f>-FO377/FO376</f>
        <v>0.40540540540540543</v>
      </c>
      <c r="FP387" s="1789">
        <f>-FP377/FP376</f>
        <v>5.3475935828877004E-2</v>
      </c>
    </row>
    <row r="388" spans="108:193">
      <c r="FM388" s="7"/>
    </row>
    <row r="389" spans="108:193">
      <c r="FM389" s="7"/>
      <c r="FR389" s="369"/>
      <c r="FS389" s="370" t="s">
        <v>44</v>
      </c>
      <c r="FT389" s="370" t="s">
        <v>1162</v>
      </c>
      <c r="FU389" s="370" t="s">
        <v>165</v>
      </c>
      <c r="FV389" s="370"/>
      <c r="FW389" s="370"/>
      <c r="FX389" s="370"/>
      <c r="FY389" s="370"/>
    </row>
    <row r="390" spans="108:193" s="2" customFormat="1">
      <c r="DD390" s="209"/>
      <c r="FM390" s="1685"/>
      <c r="FR390" s="371" t="s">
        <v>538</v>
      </c>
      <c r="FS390" s="372" t="s">
        <v>1228</v>
      </c>
      <c r="FT390" s="372" t="s">
        <v>1163</v>
      </c>
      <c r="FU390" s="372" t="s">
        <v>1825</v>
      </c>
      <c r="FV390" s="378"/>
      <c r="FW390" s="1926">
        <v>7</v>
      </c>
      <c r="FX390" s="1926">
        <f t="shared" ref="FX390:GC390" si="12">+FW390+1</f>
        <v>8</v>
      </c>
      <c r="FY390" s="1926">
        <f t="shared" si="12"/>
        <v>9</v>
      </c>
      <c r="FZ390" s="1942">
        <f t="shared" si="12"/>
        <v>10</v>
      </c>
      <c r="GA390" s="1926">
        <f t="shared" si="12"/>
        <v>11</v>
      </c>
      <c r="GB390" s="1926">
        <f t="shared" si="12"/>
        <v>12</v>
      </c>
      <c r="GC390" s="1926">
        <f t="shared" si="12"/>
        <v>13</v>
      </c>
      <c r="GD390" s="1927"/>
      <c r="GE390" s="1927"/>
      <c r="GF390" s="1927"/>
      <c r="GG390" s="1927"/>
      <c r="GH390" s="1927"/>
      <c r="GI390" s="1927"/>
      <c r="GJ390" s="1927"/>
      <c r="GK390" s="1927"/>
    </row>
    <row r="391" spans="108:193">
      <c r="FM391" s="7"/>
      <c r="FR391" s="1833" t="s">
        <v>482</v>
      </c>
      <c r="FS391" s="1454">
        <f>'EBITDA Val'!C7</f>
        <v>2044.1155262882855</v>
      </c>
      <c r="FT391" s="466">
        <f>'EBITDA Val'!F7</f>
        <v>15.75</v>
      </c>
      <c r="FU391" s="696">
        <f>FS391*FT391</f>
        <v>32194.819539040498</v>
      </c>
      <c r="FV391" s="696"/>
      <c r="FW391" s="696">
        <f t="shared" ref="FW391:GC391" si="13">$FU391</f>
        <v>32194.819539040498</v>
      </c>
      <c r="FX391" s="696">
        <f t="shared" si="13"/>
        <v>32194.819539040498</v>
      </c>
      <c r="FY391" s="696">
        <f t="shared" si="13"/>
        <v>32194.819539040498</v>
      </c>
      <c r="FZ391" s="1943">
        <f t="shared" si="13"/>
        <v>32194.819539040498</v>
      </c>
      <c r="GA391" s="696">
        <f t="shared" si="13"/>
        <v>32194.819539040498</v>
      </c>
      <c r="GB391" s="696">
        <f t="shared" si="13"/>
        <v>32194.819539040498</v>
      </c>
      <c r="GC391" s="696">
        <f t="shared" si="13"/>
        <v>32194.819539040498</v>
      </c>
      <c r="GD391" s="696"/>
      <c r="GE391" s="696"/>
      <c r="GF391" s="696"/>
      <c r="GG391" s="696"/>
      <c r="GH391" s="696"/>
      <c r="GI391" s="696"/>
      <c r="GJ391" s="696"/>
      <c r="GK391" s="696"/>
    </row>
    <row r="392" spans="108:193" s="19" customFormat="1">
      <c r="DD392" s="1903"/>
      <c r="FM392" s="1842"/>
      <c r="FR392" s="1904" t="s">
        <v>167</v>
      </c>
      <c r="FS392" s="1905"/>
      <c r="FT392" s="1906"/>
      <c r="FU392" s="1907"/>
      <c r="FV392" s="1907"/>
      <c r="FW392" s="1907"/>
      <c r="FX392" s="1907"/>
      <c r="FY392" s="1907"/>
      <c r="FZ392" s="1944"/>
      <c r="GA392" s="1907"/>
      <c r="GB392" s="1907"/>
      <c r="GC392" s="1907"/>
      <c r="GD392" s="1907"/>
      <c r="GE392" s="1907"/>
      <c r="GF392" s="1907"/>
      <c r="GG392" s="1907"/>
      <c r="GH392" s="1907"/>
      <c r="GI392" s="1907"/>
      <c r="GJ392" s="1907"/>
      <c r="GK392" s="1907"/>
    </row>
    <row r="393" spans="108:193" s="19" customFormat="1">
      <c r="DD393" s="1903"/>
      <c r="FM393" s="1842"/>
      <c r="FR393" s="1908" t="s">
        <v>750</v>
      </c>
      <c r="FS393" s="1909">
        <f ca="1">'EBITDA Val'!C8</f>
        <v>-253.92686552760262</v>
      </c>
      <c r="FT393" s="1910">
        <f>'EBITDA Val'!F8</f>
        <v>15.722965816384368</v>
      </c>
      <c r="FU393" s="1911">
        <f ca="1">FS393*FT393</f>
        <v>-3992.4834265521263</v>
      </c>
      <c r="FV393" s="1912"/>
      <c r="FW393" s="1911">
        <f t="shared" ref="FW393:GB393" ca="1" si="14">$FS393*FW390</f>
        <v>-1777.4880586932184</v>
      </c>
      <c r="FX393" s="1911">
        <f t="shared" ca="1" si="14"/>
        <v>-2031.4149242208209</v>
      </c>
      <c r="FY393" s="1911">
        <f t="shared" ca="1" si="14"/>
        <v>-2285.3417897484237</v>
      </c>
      <c r="FZ393" s="1945">
        <f t="shared" ca="1" si="14"/>
        <v>-2539.268655276026</v>
      </c>
      <c r="GA393" s="1911">
        <f t="shared" ca="1" si="14"/>
        <v>-2793.1955208036288</v>
      </c>
      <c r="GB393" s="1911">
        <f t="shared" ca="1" si="14"/>
        <v>-3047.1223863312316</v>
      </c>
      <c r="GC393" s="1911">
        <f ca="1">$FS393*GC390</f>
        <v>-3301.0492518588339</v>
      </c>
      <c r="GD393" s="1904"/>
      <c r="GE393" s="1904"/>
      <c r="GF393" s="1904"/>
      <c r="GG393" s="1904"/>
      <c r="GH393" s="1904"/>
      <c r="GI393" s="1904"/>
      <c r="GJ393" s="1904"/>
      <c r="GK393" s="1904"/>
    </row>
    <row r="394" spans="108:193" s="11" customFormat="1">
      <c r="DD394" s="1768"/>
      <c r="FM394" s="1913"/>
      <c r="FR394" s="1456" t="s">
        <v>168</v>
      </c>
      <c r="FS394" s="1455">
        <f ca="1">SUM(FS391:FS393)</f>
        <v>1790.188660760683</v>
      </c>
      <c r="FT394" s="1914">
        <f ca="1">FU394/FS394</f>
        <v>15.753834626851393</v>
      </c>
      <c r="FU394" s="1456">
        <f ca="1">SUM(FU391:FU393)</f>
        <v>28202.33611248837</v>
      </c>
      <c r="FV394" s="1456"/>
      <c r="FW394" s="1456">
        <f t="shared" ref="FW394:GB394" ca="1" si="15">SUM(FW391:FW393)</f>
        <v>30417.331480347279</v>
      </c>
      <c r="FX394" s="1456">
        <f t="shared" ca="1" si="15"/>
        <v>30163.404614819676</v>
      </c>
      <c r="FY394" s="1456">
        <f t="shared" ca="1" si="15"/>
        <v>29909.477749292073</v>
      </c>
      <c r="FZ394" s="1946">
        <f t="shared" ca="1" si="15"/>
        <v>29655.550883764474</v>
      </c>
      <c r="GA394" s="1456">
        <f t="shared" ca="1" si="15"/>
        <v>29401.624018236871</v>
      </c>
      <c r="GB394" s="1456">
        <f t="shared" ca="1" si="15"/>
        <v>29147.697152709268</v>
      </c>
      <c r="GC394" s="1456">
        <f ca="1">SUM(GC391:GC393)</f>
        <v>28893.770287181665</v>
      </c>
      <c r="GD394" s="1456"/>
      <c r="GE394" s="1456"/>
      <c r="GF394" s="1456"/>
      <c r="GG394" s="1456"/>
      <c r="GH394" s="1456"/>
      <c r="GI394" s="1456"/>
      <c r="GJ394" s="1456"/>
      <c r="GK394" s="1456"/>
    </row>
    <row r="395" spans="108:193" hidden="1">
      <c r="FM395" s="7"/>
      <c r="FR395" s="377"/>
      <c r="FS395" s="378"/>
      <c r="FT395" s="467"/>
      <c r="FU395" s="377"/>
      <c r="FV395" s="377"/>
      <c r="FW395" s="1835">
        <f t="shared" ref="FW395:GB395" ca="1" si="16">FW394/$FS394</f>
        <v>16.991131799160438</v>
      </c>
      <c r="FX395" s="1835">
        <f t="shared" ca="1" si="16"/>
        <v>16.849288164970673</v>
      </c>
      <c r="FY395" s="1835">
        <f t="shared" ca="1" si="16"/>
        <v>16.707444530780908</v>
      </c>
      <c r="FZ395" s="1947">
        <f t="shared" ca="1" si="16"/>
        <v>16.565600896591146</v>
      </c>
      <c r="GA395" s="1835">
        <f t="shared" ca="1" si="16"/>
        <v>16.423757262401381</v>
      </c>
      <c r="GB395" s="1835">
        <f t="shared" ca="1" si="16"/>
        <v>16.281913628211619</v>
      </c>
      <c r="GC395" s="1835">
        <f ca="1">GC394/$FS394</f>
        <v>16.140069994021854</v>
      </c>
      <c r="GD395" s="1835"/>
      <c r="GE395" s="1835"/>
      <c r="GF395" s="1835"/>
      <c r="GG395" s="1835"/>
      <c r="GH395" s="1835"/>
      <c r="GI395" s="1835"/>
      <c r="GJ395" s="1835"/>
      <c r="GK395" s="1835"/>
    </row>
    <row r="396" spans="108:193">
      <c r="FM396" s="7"/>
      <c r="FR396" s="375"/>
      <c r="FS396" s="376"/>
      <c r="FT396" s="466"/>
      <c r="FU396" s="375"/>
      <c r="FV396" s="375"/>
      <c r="FW396" s="375"/>
      <c r="FX396" s="375"/>
      <c r="FY396" s="375"/>
      <c r="FZ396" s="208"/>
    </row>
    <row r="397" spans="108:193">
      <c r="FM397" s="7"/>
      <c r="FR397" s="379" t="s">
        <v>1762</v>
      </c>
      <c r="FS397" s="794"/>
      <c r="FT397" s="468"/>
      <c r="FU397" s="379"/>
      <c r="FV397" s="795"/>
      <c r="FW397" s="379"/>
      <c r="FX397" s="379"/>
      <c r="FY397" s="379"/>
      <c r="FZ397" s="1948"/>
      <c r="GA397" s="379"/>
      <c r="GB397" s="379"/>
      <c r="GC397" s="379"/>
      <c r="GD397" s="795"/>
      <c r="GE397" s="795"/>
      <c r="GF397" s="795"/>
      <c r="GG397" s="795"/>
      <c r="GH397" s="795"/>
      <c r="GI397" s="795"/>
      <c r="GJ397" s="795"/>
      <c r="GK397" s="795"/>
    </row>
    <row r="398" spans="108:193" s="11" customFormat="1">
      <c r="DD398" s="1768"/>
      <c r="FM398" s="1913"/>
      <c r="FR398" s="1456" t="s">
        <v>525</v>
      </c>
      <c r="FS398" s="1455">
        <f ca="1">FS394+FS397</f>
        <v>1790.188660760683</v>
      </c>
      <c r="FT398" s="1914">
        <f ca="1">FU398/FS398</f>
        <v>17.114797524501324</v>
      </c>
      <c r="FU398" s="1456">
        <f ca="1">'EBITDA Val'!H9</f>
        <v>30638.716459577277</v>
      </c>
      <c r="FV398" s="1456"/>
      <c r="FW398" s="1456">
        <f t="shared" ref="FW398:GB398" ca="1" si="17">SUM(FW394:FW397)</f>
        <v>30434.322612146439</v>
      </c>
      <c r="FX398" s="1456">
        <f t="shared" ca="1" si="17"/>
        <v>30180.253902984645</v>
      </c>
      <c r="FY398" s="1456">
        <f t="shared" ca="1" si="17"/>
        <v>29926.185193822854</v>
      </c>
      <c r="FZ398" s="1946">
        <f t="shared" ca="1" si="17"/>
        <v>29672.116484661066</v>
      </c>
      <c r="GA398" s="1456">
        <f t="shared" ca="1" si="17"/>
        <v>29418.047775499272</v>
      </c>
      <c r="GB398" s="1456">
        <f t="shared" ca="1" si="17"/>
        <v>29163.979066337481</v>
      </c>
      <c r="GC398" s="1456">
        <f ca="1">SUM(GC394:GC397)</f>
        <v>28909.910357175686</v>
      </c>
      <c r="GD398" s="1456"/>
      <c r="GE398" s="1456"/>
      <c r="GF398" s="1456"/>
      <c r="GG398" s="1456"/>
      <c r="GH398" s="1456"/>
      <c r="GI398" s="1456"/>
      <c r="GJ398" s="1456"/>
      <c r="GK398" s="1456"/>
    </row>
    <row r="399" spans="108:193">
      <c r="FM399" s="7"/>
      <c r="FR399" s="369"/>
      <c r="FS399" s="368"/>
      <c r="FT399" s="369"/>
      <c r="FU399" s="369"/>
      <c r="FV399" s="369"/>
      <c r="FW399" s="369"/>
      <c r="FX399" s="369"/>
      <c r="FY399" s="369"/>
      <c r="FZ399" s="208"/>
    </row>
    <row r="400" spans="108:193">
      <c r="FM400" s="7"/>
      <c r="FR400" s="1832" t="s">
        <v>624</v>
      </c>
      <c r="FS400" s="374"/>
      <c r="FT400" s="373"/>
      <c r="FU400" s="379">
        <f ca="1">'EBITDA Val'!H11</f>
        <v>-6114</v>
      </c>
      <c r="FV400" s="795"/>
      <c r="FW400" s="379">
        <f t="shared" ref="FW400:GC400" ca="1" si="18">$FU400</f>
        <v>-6114</v>
      </c>
      <c r="FX400" s="379">
        <f t="shared" ca="1" si="18"/>
        <v>-6114</v>
      </c>
      <c r="FY400" s="379">
        <f t="shared" ca="1" si="18"/>
        <v>-6114</v>
      </c>
      <c r="FZ400" s="1948">
        <f t="shared" ca="1" si="18"/>
        <v>-6114</v>
      </c>
      <c r="GA400" s="379">
        <f t="shared" ca="1" si="18"/>
        <v>-6114</v>
      </c>
      <c r="GB400" s="379">
        <f t="shared" ca="1" si="18"/>
        <v>-6114</v>
      </c>
      <c r="GC400" s="379">
        <f t="shared" ca="1" si="18"/>
        <v>-6114</v>
      </c>
      <c r="GD400" s="795"/>
      <c r="GE400" s="795"/>
      <c r="GF400" s="795"/>
      <c r="GG400" s="795"/>
      <c r="GH400" s="795"/>
      <c r="GI400" s="795"/>
      <c r="GJ400" s="795"/>
      <c r="GK400" s="795"/>
    </row>
    <row r="401" spans="108:193" s="11" customFormat="1">
      <c r="DD401" s="1768"/>
      <c r="FM401" s="1913"/>
      <c r="FR401" s="1915" t="s">
        <v>721</v>
      </c>
      <c r="FS401" s="1454"/>
      <c r="FT401" s="696"/>
      <c r="FU401" s="1457">
        <f ca="1">'EBITDA Val'!H12</f>
        <v>24524.716459577277</v>
      </c>
      <c r="FV401" s="1457"/>
      <c r="FW401" s="1457">
        <f t="shared" ref="FW401:GB401" ca="1" si="19">SUM(FW398:FW400)</f>
        <v>24320.322612146439</v>
      </c>
      <c r="FX401" s="1457">
        <f t="shared" ca="1" si="19"/>
        <v>24066.253902984645</v>
      </c>
      <c r="FY401" s="1457">
        <f t="shared" ca="1" si="19"/>
        <v>23812.185193822854</v>
      </c>
      <c r="FZ401" s="1949">
        <f t="shared" ca="1" si="19"/>
        <v>23558.116484661066</v>
      </c>
      <c r="GA401" s="1457">
        <f t="shared" ca="1" si="19"/>
        <v>23304.047775499272</v>
      </c>
      <c r="GB401" s="1457">
        <f t="shared" ca="1" si="19"/>
        <v>23049.979066337481</v>
      </c>
      <c r="GC401" s="1457">
        <f ca="1">SUM(GC398:GC400)</f>
        <v>22795.910357175686</v>
      </c>
      <c r="GD401" s="1457"/>
      <c r="GE401" s="1457"/>
      <c r="GF401" s="1457"/>
      <c r="GG401" s="1457"/>
      <c r="GH401" s="1457"/>
      <c r="GI401" s="1457"/>
      <c r="GJ401" s="1457"/>
      <c r="GK401" s="1457"/>
    </row>
    <row r="402" spans="108:193" ht="4.5" customHeight="1">
      <c r="FM402" s="7"/>
      <c r="FR402" s="369"/>
      <c r="FS402" s="368"/>
      <c r="FT402" s="369"/>
      <c r="FU402" s="380"/>
      <c r="FV402" s="380"/>
      <c r="FW402" s="380"/>
      <c r="FX402" s="380"/>
      <c r="FY402" s="380"/>
      <c r="FZ402" s="208"/>
    </row>
    <row r="403" spans="108:193">
      <c r="FM403" s="7"/>
      <c r="FR403" s="1833" t="s">
        <v>481</v>
      </c>
      <c r="FS403" s="368"/>
      <c r="FT403" s="369"/>
      <c r="FU403" s="380">
        <f>'EBITDA Val'!H14</f>
        <v>322</v>
      </c>
      <c r="FV403" s="380"/>
      <c r="FW403" s="380">
        <f t="shared" ref="FW403:GC403" si="20">$FU403</f>
        <v>322</v>
      </c>
      <c r="FX403" s="380">
        <f t="shared" si="20"/>
        <v>322</v>
      </c>
      <c r="FY403" s="380">
        <f t="shared" si="20"/>
        <v>322</v>
      </c>
      <c r="FZ403" s="1950">
        <f t="shared" si="20"/>
        <v>322</v>
      </c>
      <c r="GA403" s="380">
        <f t="shared" si="20"/>
        <v>322</v>
      </c>
      <c r="GB403" s="380">
        <f t="shared" si="20"/>
        <v>322</v>
      </c>
      <c r="GC403" s="380">
        <f t="shared" si="20"/>
        <v>322</v>
      </c>
      <c r="GD403" s="380"/>
      <c r="GE403" s="380"/>
      <c r="GF403" s="380"/>
      <c r="GG403" s="380"/>
      <c r="GH403" s="380"/>
      <c r="GI403" s="380"/>
      <c r="GJ403" s="380"/>
      <c r="GK403" s="380"/>
    </row>
    <row r="404" spans="108:193">
      <c r="FM404" s="7"/>
      <c r="FR404" s="1918" t="s">
        <v>214</v>
      </c>
      <c r="FS404" s="1919"/>
      <c r="FT404" s="1920"/>
      <c r="FU404" s="1921">
        <f ca="1">ROUND(FU401/FU403,0)</f>
        <v>76</v>
      </c>
      <c r="FV404" s="1834"/>
      <c r="FW404" s="1921">
        <f t="shared" ref="FW404:GB404" ca="1" si="21">FW401/FW403</f>
        <v>75.528952211634902</v>
      </c>
      <c r="FX404" s="1921">
        <f t="shared" ca="1" si="21"/>
        <v>74.739918953368459</v>
      </c>
      <c r="FY404" s="1921">
        <f t="shared" ca="1" si="21"/>
        <v>73.950885695102031</v>
      </c>
      <c r="FZ404" s="1951">
        <f t="shared" ca="1" si="21"/>
        <v>73.161852436835616</v>
      </c>
      <c r="GA404" s="1921">
        <f t="shared" ca="1" si="21"/>
        <v>72.372819178569173</v>
      </c>
      <c r="GB404" s="1921">
        <f t="shared" ca="1" si="21"/>
        <v>71.583785920302731</v>
      </c>
      <c r="GC404" s="1921">
        <f ca="1">GC401/GC403</f>
        <v>70.794752662036288</v>
      </c>
      <c r="GD404" s="674"/>
      <c r="GE404" s="674"/>
      <c r="GF404" s="674"/>
      <c r="GG404" s="674"/>
      <c r="GH404" s="674"/>
      <c r="GI404" s="674"/>
      <c r="GJ404" s="674"/>
      <c r="GK404" s="674"/>
    </row>
    <row r="405" spans="108:193" s="726" customFormat="1">
      <c r="DD405" s="1916"/>
      <c r="FM405" s="1917"/>
      <c r="FR405" s="1922" t="s">
        <v>524</v>
      </c>
      <c r="FS405" s="1923"/>
      <c r="FT405" s="1924"/>
      <c r="FU405" s="1925"/>
      <c r="FV405" s="1925"/>
      <c r="FW405" s="1925">
        <f ca="1">+FW404-$FZ$404</f>
        <v>2.3670997747992857</v>
      </c>
      <c r="FX405" s="1925">
        <f ca="1">+FX404-$FZ$404</f>
        <v>1.5780665165328429</v>
      </c>
      <c r="FY405" s="1925">
        <f ca="1">+FY404-$FZ$404</f>
        <v>0.78903325826641435</v>
      </c>
      <c r="FZ405" s="1952" t="s">
        <v>872</v>
      </c>
      <c r="GA405" s="1925">
        <f ca="1">+GA404-$FZ$404</f>
        <v>-0.78903325826644277</v>
      </c>
      <c r="GB405" s="1925">
        <f ca="1">+GB404-$FZ$404</f>
        <v>-1.5780665165328855</v>
      </c>
      <c r="GC405" s="1925">
        <f ca="1">+GC404-$FZ$404</f>
        <v>-2.3670997747993283</v>
      </c>
      <c r="GD405" s="674"/>
      <c r="GE405" s="674"/>
      <c r="GF405" s="674"/>
      <c r="GG405" s="674"/>
      <c r="GH405" s="674"/>
      <c r="GI405" s="674"/>
      <c r="GJ405" s="674"/>
      <c r="GK405" s="674"/>
    </row>
    <row r="406" spans="108:193">
      <c r="FM406" s="7"/>
      <c r="GD406" s="2" t="s">
        <v>485</v>
      </c>
    </row>
    <row r="407" spans="108:193">
      <c r="FM407" s="7"/>
      <c r="GA407" s="14"/>
      <c r="GB407" s="14"/>
      <c r="GD407" s="1735" t="s">
        <v>750</v>
      </c>
      <c r="GE407" s="1501">
        <v>2012</v>
      </c>
      <c r="GF407" s="1839" t="s">
        <v>1815</v>
      </c>
      <c r="GG407" s="1791"/>
      <c r="GH407" s="1791"/>
      <c r="GI407" s="1791"/>
    </row>
    <row r="408" spans="108:193">
      <c r="FM408" s="7"/>
      <c r="FZ408" s="127"/>
      <c r="GD408" s="1734" t="s">
        <v>174</v>
      </c>
      <c r="GE408" s="1840"/>
      <c r="GF408" s="1840"/>
      <c r="GG408" s="1840"/>
      <c r="GH408" s="1840"/>
      <c r="GI408" s="1840"/>
      <c r="GJ408" s="1840"/>
      <c r="GK408" s="1840"/>
    </row>
    <row r="409" spans="108:193">
      <c r="FM409" s="7"/>
      <c r="GD409" s="1734" t="s">
        <v>840</v>
      </c>
      <c r="GE409" s="135"/>
      <c r="GF409" s="135"/>
      <c r="GG409" s="135"/>
      <c r="GH409" s="135"/>
      <c r="GI409" s="135"/>
      <c r="GJ409" s="135"/>
      <c r="GK409" s="135"/>
    </row>
    <row r="410" spans="108:193">
      <c r="FM410" s="7"/>
      <c r="GD410" s="1735"/>
      <c r="GE410" s="135"/>
      <c r="GF410" s="135"/>
      <c r="GG410" s="135"/>
      <c r="GH410" s="135"/>
      <c r="GI410" s="135"/>
      <c r="GJ410" s="135"/>
      <c r="GK410" s="135"/>
    </row>
    <row r="411" spans="108:193">
      <c r="FM411" s="7"/>
      <c r="GD411" s="1734" t="s">
        <v>199</v>
      </c>
      <c r="GE411" s="1841"/>
      <c r="GF411" s="1841"/>
      <c r="GG411" s="1841"/>
      <c r="GH411" s="1841"/>
      <c r="GI411" s="1841"/>
      <c r="GJ411" s="1841"/>
      <c r="GK411" s="1841"/>
    </row>
    <row r="412" spans="108:193">
      <c r="FM412" s="7"/>
      <c r="GE412" s="135"/>
      <c r="GF412" s="135"/>
      <c r="GG412" s="135"/>
      <c r="GH412" s="135"/>
      <c r="GI412" s="135"/>
      <c r="GJ412" s="1841"/>
      <c r="GK412" s="1841"/>
    </row>
    <row r="413" spans="108:193">
      <c r="FM413" s="7"/>
      <c r="GD413" s="1734" t="s">
        <v>1794</v>
      </c>
      <c r="GE413" s="135"/>
      <c r="GF413" s="135"/>
      <c r="GG413" s="135"/>
      <c r="GH413" s="135"/>
      <c r="GI413" s="135"/>
      <c r="GJ413" s="135"/>
      <c r="GK413" s="135"/>
    </row>
    <row r="414" spans="108:193">
      <c r="FM414" s="7"/>
      <c r="GD414" s="1734" t="s">
        <v>484</v>
      </c>
      <c r="GE414" s="135"/>
      <c r="GF414" s="135"/>
      <c r="GG414" s="135"/>
      <c r="GH414" s="135"/>
      <c r="GI414" s="135"/>
      <c r="GJ414" s="135"/>
      <c r="GK414" s="135"/>
    </row>
    <row r="415" spans="108:193">
      <c r="FM415" s="7"/>
      <c r="GD415" s="1735"/>
      <c r="GE415" s="135"/>
      <c r="GF415" s="135"/>
      <c r="GG415" s="135"/>
      <c r="GH415" s="135"/>
      <c r="GI415" s="135"/>
      <c r="GJ415" s="135"/>
      <c r="GK415" s="135"/>
    </row>
    <row r="416" spans="108:193">
      <c r="FM416" s="7"/>
      <c r="GD416" s="1838" t="s">
        <v>396</v>
      </c>
      <c r="GE416" s="1841"/>
      <c r="GF416" s="1841"/>
      <c r="GG416" s="1841"/>
      <c r="GH416" s="1841"/>
      <c r="GI416" s="1841"/>
      <c r="GJ416" s="1841"/>
      <c r="GK416" s="1841"/>
    </row>
    <row r="417" spans="108:196">
      <c r="FM417" s="7"/>
      <c r="GE417" s="135"/>
      <c r="GF417" s="135"/>
      <c r="GG417" s="135"/>
      <c r="GH417" s="135"/>
      <c r="GI417" s="135"/>
      <c r="GJ417" s="1841"/>
      <c r="GK417" s="1841"/>
    </row>
    <row r="418" spans="108:196">
      <c r="FM418" s="7"/>
      <c r="FX418" s="7"/>
      <c r="FY418" s="900"/>
      <c r="FZ418" s="7"/>
      <c r="GA418" s="7"/>
      <c r="GB418" s="7"/>
      <c r="GC418" s="7"/>
      <c r="GD418" s="1734" t="s">
        <v>478</v>
      </c>
      <c r="GE418" s="7"/>
      <c r="GF418" s="7"/>
      <c r="GG418" s="7"/>
      <c r="GH418" s="7"/>
      <c r="GI418" s="7"/>
      <c r="GJ418" s="7"/>
      <c r="GK418" s="7"/>
    </row>
    <row r="419" spans="108:196">
      <c r="FM419" s="7"/>
      <c r="FX419" s="7"/>
      <c r="FY419" s="900"/>
      <c r="FZ419" s="7"/>
      <c r="GA419" s="7"/>
      <c r="GB419" s="7"/>
      <c r="GC419" s="7"/>
      <c r="GD419" s="1838"/>
      <c r="GE419" s="7"/>
      <c r="GF419" s="7"/>
      <c r="GG419" s="7"/>
      <c r="GH419" s="7"/>
      <c r="GI419" s="7"/>
      <c r="GJ419" s="7"/>
      <c r="GK419" s="7"/>
    </row>
    <row r="420" spans="108:196">
      <c r="FM420" s="7"/>
      <c r="FX420" s="7"/>
      <c r="FY420" s="900"/>
      <c r="FZ420" s="7"/>
      <c r="GA420" s="7"/>
      <c r="GB420" s="7"/>
      <c r="GC420" s="7"/>
      <c r="GD420" s="1838" t="s">
        <v>480</v>
      </c>
      <c r="GE420" s="7"/>
      <c r="GF420" s="7"/>
      <c r="GG420" s="7"/>
      <c r="GH420" s="7"/>
      <c r="GI420" s="7"/>
      <c r="GJ420" s="7"/>
      <c r="GK420" s="7"/>
    </row>
    <row r="421" spans="108:196">
      <c r="FM421" s="7"/>
      <c r="FX421" s="7"/>
      <c r="FY421" s="900"/>
      <c r="FZ421" s="7"/>
      <c r="GA421" s="7"/>
      <c r="GB421" s="7"/>
      <c r="GC421" s="7"/>
      <c r="GE421" s="7"/>
      <c r="GF421" s="7"/>
      <c r="GG421" s="7"/>
      <c r="GH421" s="7"/>
      <c r="GI421" s="7"/>
      <c r="GJ421" s="7"/>
      <c r="GK421" s="7"/>
    </row>
    <row r="422" spans="108:196">
      <c r="FM422" s="7"/>
      <c r="FX422" s="7"/>
      <c r="FY422" s="900"/>
      <c r="FZ422" s="7"/>
      <c r="GA422" s="7"/>
      <c r="GB422" s="7"/>
      <c r="GC422" s="7"/>
      <c r="GD422" s="122" t="s">
        <v>2122</v>
      </c>
      <c r="GE422" s="7"/>
      <c r="GF422" s="7"/>
      <c r="GG422" s="7"/>
      <c r="GH422" s="7"/>
      <c r="GI422" s="7"/>
      <c r="GJ422" s="7"/>
      <c r="GK422" s="7"/>
    </row>
    <row r="423" spans="108:196">
      <c r="FM423" s="7"/>
      <c r="FX423" s="7"/>
      <c r="FY423" s="900"/>
      <c r="FZ423" s="7"/>
      <c r="GA423" s="7"/>
      <c r="GB423" s="7"/>
      <c r="GC423" s="7"/>
      <c r="GD423" s="1734"/>
      <c r="GE423" s="7"/>
      <c r="GF423" s="7"/>
      <c r="GG423" s="7"/>
      <c r="GH423" s="1856" t="s">
        <v>750</v>
      </c>
      <c r="GI423" s="1857" t="s">
        <v>1622</v>
      </c>
      <c r="GJ423" s="1857" t="s">
        <v>1750</v>
      </c>
      <c r="GK423" s="1857" t="s">
        <v>1694</v>
      </c>
      <c r="GL423" s="1858" t="s">
        <v>485</v>
      </c>
      <c r="GM423" s="1858" t="s">
        <v>486</v>
      </c>
      <c r="GN423" s="1734"/>
    </row>
    <row r="424" spans="108:196">
      <c r="FM424" s="7"/>
      <c r="FX424" s="7"/>
      <c r="FY424" s="900"/>
      <c r="FZ424" s="7"/>
      <c r="GA424" s="7"/>
      <c r="GB424" s="7"/>
      <c r="GC424" s="7"/>
      <c r="GD424" s="1734"/>
      <c r="GE424" s="7"/>
      <c r="GF424" s="7"/>
      <c r="GG424" s="7"/>
      <c r="GH424" s="1845" t="s">
        <v>488</v>
      </c>
      <c r="GI424" s="1846">
        <v>16</v>
      </c>
      <c r="GJ424" s="1849">
        <v>41</v>
      </c>
      <c r="GK424" s="1846">
        <v>14</v>
      </c>
      <c r="GL424" s="1846">
        <v>64</v>
      </c>
      <c r="GM424" s="1846">
        <v>190</v>
      </c>
    </row>
    <row r="425" spans="108:196">
      <c r="FM425" s="7"/>
      <c r="FX425" s="7"/>
      <c r="FY425" s="900"/>
      <c r="FZ425" s="7"/>
      <c r="GA425" s="7"/>
      <c r="GB425" s="7"/>
      <c r="GC425" s="7"/>
      <c r="GD425" s="1734"/>
      <c r="GE425" s="7"/>
      <c r="GF425" s="7"/>
      <c r="GG425" s="7"/>
      <c r="GH425" s="1845" t="s">
        <v>487</v>
      </c>
      <c r="GI425" s="1846">
        <v>963</v>
      </c>
      <c r="GJ425" s="1849">
        <f>'QTR Rooms'!K891</f>
        <v>6404</v>
      </c>
      <c r="GK425" s="1846"/>
      <c r="GL425" s="1851">
        <v>13000</v>
      </c>
      <c r="GM425" s="1846">
        <v>23400</v>
      </c>
    </row>
    <row r="426" spans="108:196" ht="51">
      <c r="FM426" s="7"/>
      <c r="FX426" s="7"/>
      <c r="FY426" s="900"/>
      <c r="FZ426" s="7"/>
      <c r="GA426" s="7"/>
      <c r="GB426" s="7"/>
      <c r="GC426" s="7"/>
      <c r="GD426" s="1734"/>
      <c r="GE426" s="7"/>
      <c r="GF426" s="7"/>
      <c r="GG426" s="7"/>
      <c r="GH426" s="1852" t="s">
        <v>497</v>
      </c>
      <c r="GI426" s="1853" t="s">
        <v>493</v>
      </c>
      <c r="GJ426" s="1853" t="s">
        <v>1394</v>
      </c>
      <c r="GK426" s="1854" t="s">
        <v>496</v>
      </c>
      <c r="GL426" s="1855" t="s">
        <v>500</v>
      </c>
      <c r="GM426" s="1855" t="s">
        <v>502</v>
      </c>
    </row>
    <row r="427" spans="108:196" ht="68.25" customHeight="1">
      <c r="FM427" s="7"/>
      <c r="FX427" s="7"/>
      <c r="FY427" s="900"/>
      <c r="FZ427" s="7"/>
      <c r="GA427" s="7"/>
      <c r="GB427" s="7"/>
      <c r="GC427" s="7"/>
      <c r="GD427" s="1734"/>
      <c r="GE427" s="7"/>
      <c r="GF427" s="7"/>
      <c r="GG427" s="7"/>
      <c r="GH427" s="1852" t="s">
        <v>495</v>
      </c>
      <c r="GI427" s="1854" t="s">
        <v>494</v>
      </c>
      <c r="GJ427" s="1854" t="s">
        <v>492</v>
      </c>
      <c r="GK427" s="1854" t="s">
        <v>498</v>
      </c>
      <c r="GL427" s="1855" t="s">
        <v>504</v>
      </c>
      <c r="GM427" s="1855" t="s">
        <v>503</v>
      </c>
    </row>
    <row r="428" spans="108:196" s="11" customFormat="1">
      <c r="DD428" s="1768"/>
      <c r="FM428" s="1913"/>
      <c r="FX428" s="1913"/>
      <c r="FY428" s="908"/>
      <c r="FZ428" s="1913"/>
      <c r="GA428" s="1913"/>
      <c r="GB428" s="1913"/>
      <c r="GC428" s="1913"/>
      <c r="GD428" s="1776"/>
      <c r="GE428" s="1913"/>
      <c r="GF428" s="1913"/>
      <c r="GG428" s="1913"/>
      <c r="GH428" s="1953" t="s">
        <v>490</v>
      </c>
      <c r="GI428" s="1954" t="s">
        <v>2173</v>
      </c>
      <c r="GJ428" s="1955">
        <f>Hilton!K423</f>
        <v>1085</v>
      </c>
      <c r="GK428" s="1956"/>
      <c r="GL428" s="1957">
        <v>1648</v>
      </c>
      <c r="GM428" s="1957">
        <v>2269</v>
      </c>
    </row>
    <row r="429" spans="108:196" s="11" customFormat="1">
      <c r="DD429" s="1768"/>
      <c r="FM429" s="1913"/>
      <c r="FX429" s="1913"/>
      <c r="FY429" s="908"/>
      <c r="FZ429" s="1913"/>
      <c r="GA429" s="1913"/>
      <c r="GB429" s="1913"/>
      <c r="GC429" s="1913"/>
      <c r="GD429" s="1776"/>
      <c r="GE429" s="1913"/>
      <c r="GF429" s="1913"/>
      <c r="GG429" s="1913"/>
      <c r="GH429" s="1958" t="s">
        <v>489</v>
      </c>
      <c r="GI429" s="1959" t="s">
        <v>2173</v>
      </c>
      <c r="GJ429" s="1960">
        <f>Hilton!K431</f>
        <v>252</v>
      </c>
      <c r="GK429" s="1961"/>
      <c r="GL429" s="1962">
        <f>138+86</f>
        <v>224</v>
      </c>
      <c r="GM429" s="1962">
        <v>552</v>
      </c>
    </row>
    <row r="430" spans="108:196">
      <c r="FM430" s="7"/>
      <c r="FX430" s="7"/>
      <c r="FY430" s="900"/>
      <c r="FZ430" s="7"/>
      <c r="GA430" s="7"/>
      <c r="GB430" s="7"/>
      <c r="GC430" s="7"/>
      <c r="GD430" s="1734"/>
      <c r="GE430" s="7"/>
      <c r="GF430" s="7"/>
      <c r="GG430" s="7"/>
      <c r="GH430" s="1845" t="s">
        <v>491</v>
      </c>
      <c r="GI430" s="1848" t="s">
        <v>2173</v>
      </c>
      <c r="GJ430" s="1850">
        <f>GJ429/GJ428</f>
        <v>0.23225806451612904</v>
      </c>
      <c r="GK430" s="1850"/>
      <c r="GL430" s="1850">
        <f>GL429/GL428</f>
        <v>0.13592233009708737</v>
      </c>
      <c r="GM430" s="1847">
        <f>GM429/GM428</f>
        <v>0.24327897752313796</v>
      </c>
    </row>
    <row r="431" spans="108:196">
      <c r="FM431" s="7"/>
      <c r="FX431" s="7"/>
      <c r="FY431" s="900"/>
      <c r="FZ431" s="7"/>
      <c r="GA431" s="7"/>
      <c r="GB431" s="7"/>
      <c r="GC431" s="7"/>
      <c r="GD431" s="1734"/>
      <c r="GE431" s="7"/>
      <c r="GF431" s="7"/>
      <c r="GG431" s="7"/>
      <c r="GH431" s="7"/>
      <c r="GI431" s="1842"/>
      <c r="GJ431" s="1842"/>
      <c r="GK431" s="1842"/>
      <c r="GL431" s="19"/>
      <c r="GM431" s="19"/>
    </row>
    <row r="432" spans="108:196">
      <c r="FM432" s="7"/>
      <c r="FX432" s="7"/>
      <c r="FY432" s="900"/>
      <c r="FZ432" s="7"/>
      <c r="GA432" s="7"/>
      <c r="GB432" s="7"/>
      <c r="GC432" s="7"/>
      <c r="GD432" s="1734"/>
      <c r="GE432" s="7"/>
      <c r="GF432" s="7"/>
      <c r="GG432" s="7"/>
      <c r="GH432" s="434" t="s">
        <v>501</v>
      </c>
      <c r="GI432" s="1842"/>
      <c r="GJ432" s="1842"/>
      <c r="GK432" s="1842"/>
      <c r="GL432" s="19"/>
      <c r="GM432" s="19"/>
    </row>
    <row r="433" spans="169:199">
      <c r="FM433" s="7"/>
      <c r="FX433" s="7"/>
      <c r="FY433" s="900"/>
      <c r="FZ433" s="7"/>
      <c r="GA433" s="7"/>
      <c r="GB433" s="7"/>
      <c r="GC433" s="7"/>
      <c r="GD433" s="1734"/>
      <c r="GE433" s="7"/>
      <c r="GF433" s="7"/>
      <c r="GG433" s="7"/>
      <c r="GH433" s="7"/>
      <c r="GI433" s="1843"/>
      <c r="GJ433" s="1842"/>
      <c r="GK433" s="1843"/>
      <c r="GL433" s="19"/>
      <c r="GM433" s="19"/>
    </row>
    <row r="434" spans="169:199">
      <c r="FM434" s="7"/>
      <c r="FX434" s="7"/>
      <c r="FY434" s="900"/>
      <c r="FZ434" s="7"/>
      <c r="GA434" s="7"/>
      <c r="GB434" s="7"/>
      <c r="GC434" s="7"/>
      <c r="GD434" s="1734"/>
      <c r="GE434" s="7"/>
      <c r="GF434" s="7"/>
      <c r="GG434" s="7"/>
      <c r="GH434" s="7"/>
      <c r="GI434" s="1843"/>
      <c r="GJ434" s="1842"/>
      <c r="GK434" s="1843"/>
      <c r="GL434" s="1732"/>
      <c r="GM434" s="19"/>
    </row>
    <row r="435" spans="169:199">
      <c r="FM435" s="7"/>
      <c r="FX435" s="7"/>
      <c r="FY435" s="900"/>
      <c r="FZ435" s="7"/>
      <c r="GA435" s="7"/>
      <c r="GB435" s="7"/>
      <c r="GC435" s="7"/>
      <c r="GD435" s="1734"/>
      <c r="GE435" s="7"/>
      <c r="GF435" s="7"/>
      <c r="GG435" s="7"/>
      <c r="GH435" s="7"/>
      <c r="GI435" s="1775"/>
      <c r="GL435" s="3">
        <f>138+96</f>
        <v>234</v>
      </c>
    </row>
    <row r="436" spans="169:199">
      <c r="FM436" s="7"/>
      <c r="FX436" s="7"/>
      <c r="FY436" s="900"/>
      <c r="FZ436" s="7"/>
      <c r="GA436" s="7"/>
      <c r="GB436" s="7"/>
      <c r="GC436" s="7"/>
      <c r="GD436" s="1734"/>
      <c r="GE436" s="7"/>
      <c r="GF436" s="7"/>
      <c r="GG436" s="7"/>
      <c r="GH436" s="7"/>
      <c r="GI436" s="1775"/>
      <c r="GK436" s="1734" t="s">
        <v>1565</v>
      </c>
      <c r="GL436" s="1773" t="s">
        <v>1574</v>
      </c>
      <c r="GM436" s="1773" t="s">
        <v>537</v>
      </c>
      <c r="GQ436" s="14"/>
    </row>
    <row r="437" spans="169:199">
      <c r="FM437" s="7"/>
      <c r="FX437" s="7"/>
      <c r="FY437" s="900"/>
      <c r="FZ437" s="7"/>
      <c r="GA437" s="7"/>
      <c r="GB437" s="7"/>
      <c r="GC437" s="7"/>
      <c r="GD437" s="1734"/>
      <c r="GE437" s="7"/>
      <c r="GF437" s="7"/>
      <c r="GG437" s="7"/>
      <c r="GH437" s="7"/>
      <c r="GI437" s="1775"/>
      <c r="GJ437" s="1734" t="s">
        <v>1288</v>
      </c>
      <c r="GK437" s="1930">
        <v>48</v>
      </c>
      <c r="GL437" s="123">
        <v>27</v>
      </c>
      <c r="GM437" s="123">
        <v>27</v>
      </c>
    </row>
    <row r="438" spans="169:199">
      <c r="FM438" s="7"/>
      <c r="FX438" s="7"/>
      <c r="FY438" s="900"/>
      <c r="FZ438" s="7"/>
      <c r="GA438" s="7"/>
      <c r="GB438" s="7"/>
      <c r="GC438" s="7"/>
      <c r="GD438" s="1734"/>
      <c r="GE438" s="7"/>
      <c r="GF438" s="7"/>
      <c r="GG438" s="7"/>
      <c r="GH438" s="7"/>
      <c r="GI438" s="1775"/>
      <c r="GJ438" s="1734" t="s">
        <v>1287</v>
      </c>
      <c r="GK438" s="3">
        <v>33</v>
      </c>
      <c r="GL438" s="123">
        <v>22</v>
      </c>
      <c r="GM438" s="123">
        <v>20</v>
      </c>
    </row>
    <row r="439" spans="169:199">
      <c r="FM439" s="7"/>
      <c r="FX439" s="7"/>
      <c r="FY439" s="900"/>
      <c r="FZ439" s="7"/>
      <c r="GA439" s="7"/>
      <c r="GB439" s="7"/>
      <c r="GC439" s="7"/>
      <c r="GD439" s="1734"/>
      <c r="GE439" s="7"/>
      <c r="GF439" s="7"/>
      <c r="GG439" s="7"/>
      <c r="GH439" s="7"/>
      <c r="GI439" s="1775"/>
      <c r="GJ439" s="1734" t="s">
        <v>1286</v>
      </c>
      <c r="GK439" s="3">
        <v>28</v>
      </c>
      <c r="GL439" s="123">
        <v>26</v>
      </c>
      <c r="GM439" s="123">
        <v>20</v>
      </c>
    </row>
    <row r="440" spans="169:199">
      <c r="FM440" s="7"/>
      <c r="FX440" s="7"/>
      <c r="FY440" s="900"/>
      <c r="FZ440" s="7"/>
      <c r="GA440" s="7"/>
      <c r="GB440" s="7"/>
      <c r="GC440" s="7"/>
      <c r="GD440" s="1734"/>
      <c r="GE440" s="7"/>
      <c r="GF440" s="7"/>
      <c r="GG440" s="7"/>
      <c r="GH440" s="7"/>
      <c r="GI440" s="1775"/>
      <c r="GJ440" s="1734" t="s">
        <v>19</v>
      </c>
      <c r="GK440" s="3">
        <v>29</v>
      </c>
      <c r="GL440" s="123">
        <v>22</v>
      </c>
      <c r="GM440" s="123">
        <v>20</v>
      </c>
    </row>
    <row r="441" spans="169:199">
      <c r="FM441" s="7"/>
      <c r="FX441" s="7"/>
      <c r="FY441" s="900"/>
      <c r="FZ441" s="7"/>
      <c r="GA441" s="7"/>
      <c r="GB441" s="7"/>
      <c r="GC441" s="7"/>
      <c r="GD441" s="1734"/>
      <c r="GE441" s="7"/>
      <c r="GF441" s="7"/>
      <c r="GG441" s="7"/>
      <c r="GH441" s="7"/>
      <c r="GI441" s="7"/>
      <c r="GK441" s="3">
        <f>SUM(GK437:GK440)</f>
        <v>138</v>
      </c>
      <c r="GL441" s="3">
        <f>SUM(GL437:GL440)</f>
        <v>97</v>
      </c>
      <c r="GM441" s="3">
        <f>SUM(GM437:GM440)</f>
        <v>87</v>
      </c>
    </row>
    <row r="442" spans="169:199">
      <c r="FM442" s="7"/>
      <c r="FX442" s="7"/>
      <c r="FY442" s="900"/>
      <c r="FZ442" s="7"/>
      <c r="GA442" s="7"/>
      <c r="GB442" s="7"/>
      <c r="GC442" s="7"/>
      <c r="GD442" s="1734"/>
      <c r="GE442" s="7"/>
      <c r="GF442" s="7"/>
      <c r="GG442" s="7"/>
      <c r="GH442" s="7"/>
      <c r="GI442" s="7"/>
    </row>
    <row r="443" spans="169:199">
      <c r="FM443" s="7"/>
      <c r="FX443" s="7"/>
      <c r="FY443" s="900"/>
      <c r="FZ443" s="7"/>
      <c r="GA443" s="7"/>
      <c r="GB443" s="7"/>
      <c r="GC443" s="7"/>
      <c r="GD443" s="1734"/>
      <c r="GE443" s="7"/>
      <c r="GF443" s="7"/>
      <c r="GG443" s="7"/>
      <c r="GH443" s="7"/>
      <c r="GI443" s="7"/>
      <c r="GK443" s="127"/>
    </row>
    <row r="444" spans="169:199">
      <c r="FM444" s="7"/>
      <c r="FN444" s="7"/>
      <c r="FO444" s="7"/>
      <c r="FP444" s="7"/>
      <c r="FY444" s="14"/>
      <c r="GK444" s="1773"/>
    </row>
    <row r="452" spans="193:194">
      <c r="GK452" s="1773"/>
      <c r="GL452" s="1773"/>
    </row>
    <row r="503" spans="108:229">
      <c r="HN503" s="1734" t="s">
        <v>1750</v>
      </c>
      <c r="HO503" s="1963">
        <f ca="1">TODAY()</f>
        <v>43145</v>
      </c>
      <c r="HP503" s="1734"/>
      <c r="HQ503" s="1734"/>
      <c r="HR503" s="1734"/>
      <c r="HS503" s="1734"/>
      <c r="HT503" s="1734"/>
      <c r="HU503" s="1734"/>
    </row>
    <row r="504" spans="108:229">
      <c r="HN504" s="1734" t="s">
        <v>553</v>
      </c>
      <c r="HO504" s="1734"/>
      <c r="HP504" s="1734"/>
      <c r="HQ504" s="1734"/>
      <c r="HR504" s="1734"/>
      <c r="HS504" s="1734"/>
      <c r="HT504" s="1734"/>
      <c r="HU504" s="1734"/>
    </row>
    <row r="505" spans="108:229" s="2" customFormat="1">
      <c r="DD505" s="209"/>
      <c r="HN505" s="1518" t="s">
        <v>1750</v>
      </c>
      <c r="HO505" s="2681">
        <v>2013</v>
      </c>
      <c r="HP505" s="2681">
        <v>2014</v>
      </c>
      <c r="HQ505" s="1570">
        <v>2015</v>
      </c>
      <c r="HR505" s="1570">
        <v>2016</v>
      </c>
      <c r="HS505" s="1519" t="s">
        <v>43</v>
      </c>
      <c r="HT505" s="1519" t="s">
        <v>44</v>
      </c>
      <c r="HU505" s="1520" t="s">
        <v>1343</v>
      </c>
    </row>
    <row r="506" spans="108:229">
      <c r="HN506" s="505" t="s">
        <v>2427</v>
      </c>
      <c r="HO506" s="1826"/>
      <c r="HP506" s="1826"/>
      <c r="HQ506" s="1791"/>
      <c r="HR506" s="1791"/>
      <c r="HS506" s="1791"/>
      <c r="HT506" s="1791"/>
      <c r="HU506" s="2672"/>
    </row>
    <row r="507" spans="108:229">
      <c r="HN507" s="1967" t="s">
        <v>554</v>
      </c>
      <c r="HO507" s="1968">
        <f>+Hilton!AW121</f>
        <v>2210</v>
      </c>
      <c r="HP507" s="1968">
        <f>+Hilton!AX121</f>
        <v>2508</v>
      </c>
      <c r="HQ507" s="1968">
        <f ca="1">+Hilton!BD121</f>
        <v>2265.167276048126</v>
      </c>
      <c r="HR507" s="1968">
        <f>+Hilton!AE121</f>
        <v>2975</v>
      </c>
      <c r="HS507" s="1968">
        <f ca="1">+Hilton!AJ121</f>
        <v>1965</v>
      </c>
      <c r="HT507" s="1968">
        <f ca="1">+Hilton!AO121</f>
        <v>2068.6601203221921</v>
      </c>
      <c r="HU507" s="1969">
        <f ca="1">+Hilton!AP121</f>
        <v>2225.2912648602464</v>
      </c>
    </row>
    <row r="508" spans="108:229">
      <c r="HN508" s="1898" t="s">
        <v>555</v>
      </c>
      <c r="HO508" s="2365">
        <f>HO507</f>
        <v>2210</v>
      </c>
      <c r="HP508" s="1970" t="str">
        <f ca="1">_xll.ThomsonONEAddinShim.SpreadsheetFormulas.TF($HN503,"TF.ES.EBITDA.ACTVALUE(period=#1,SDATE=#2,SCALE=6)@TF.ES.EBITDA.Mean(period=#1,SDATE=#2,SCALE=6)",,LEFT(HP$505,4),TEXT($HO$503,"YYYYMMDD"))</f>
        <v>Manual Calculation</v>
      </c>
      <c r="HQ508" s="1970" t="str">
        <f ca="1">_xll.ThomsonONEAddinShim.SpreadsheetFormulas.TF($HN503,"TF.ES.EBITDA.ACTVALUE(period=#1,SDATE=#2,SCALE=6)@TF.ES.EBITDA.Mean(period=#1,SDATE=#2,SCALE=6)",,LEFT(HQ$505,4),TEXT($HO$503,"YYYYMMDD"))</f>
        <v>Manual Calculation</v>
      </c>
      <c r="HR508" s="1970" t="str">
        <f ca="1">_xll.ThomsonONEAddinShim.SpreadsheetFormulas.TF($HN503,"TF.ES.EBITDA.ACTVALUE(period=#1,SDATE=#2,SCALE=6)@TF.ES.EBITDA.Mean(period=#1,SDATE=#2,SCALE=6)",,LEFT(HR$505,4),TEXT($HO$503,"YYYYMMDD"))</f>
        <v>Manual Calculation</v>
      </c>
      <c r="HS508" s="1970">
        <f ca="1">_xll.ThomsonONEAddinShim.SpreadsheetFormulas.TF($HN503,"TF.ES.EBITDA.ACTVALUE(period=#1,SDATE=#2,SCALE=6)@TF.ES.EBITDA.Mean(period=#1,SDATE=#2,SCALE=6)",,LEFT(HS$505,4),TEXT($HO$503,"YYYYMMDD"))</f>
        <v>1936</v>
      </c>
      <c r="HT508" s="1970">
        <f ca="1">_xll.ThomsonONEAddinShim.SpreadsheetFormulas.TF($HN503,"TF.ES.EBITDA.ACTVALUE(period=#1,SDATE=#2,SCALE=6)@TF.ES.EBITDA.Mean(period=#1,SDATE=#2,SCALE=6)",,LEFT(HT$505,4),TEXT($HO$503,"YYYYMMDD"))</f>
        <v>2100</v>
      </c>
      <c r="HU508" s="2677">
        <f ca="1">_xll.ThomsonONEAddinShim.SpreadsheetFormulas.TF($HN503,"TF.ES.EBITDA.ACTVALUE(period=#1,SDATE=#2,SCALE=6)@TF.ES.EBITDA.Mean(period=#1,SDATE=#2,SCALE=6)",,LEFT(HU$505,4),TEXT($HO$503,"YYYYMMDD"))</f>
        <v>2261</v>
      </c>
    </row>
    <row r="509" spans="108:229">
      <c r="HN509" s="2683" t="s">
        <v>553</v>
      </c>
      <c r="HO509" s="2684">
        <f t="shared" ref="HO509" si="22">+HO507/HO508-1</f>
        <v>0</v>
      </c>
      <c r="HP509" s="2684" t="e">
        <f t="shared" ref="HP509:HU509" ca="1" si="23">+HP507/HP508-1</f>
        <v>#VALUE!</v>
      </c>
      <c r="HQ509" s="2684" t="e">
        <f t="shared" ca="1" si="23"/>
        <v>#VALUE!</v>
      </c>
      <c r="HR509" s="2684" t="e">
        <f t="shared" ca="1" si="23"/>
        <v>#VALUE!</v>
      </c>
      <c r="HS509" s="2684">
        <f t="shared" ca="1" si="23"/>
        <v>1.4979338842975309E-2</v>
      </c>
      <c r="HT509" s="2684">
        <f t="shared" ca="1" si="23"/>
        <v>-1.4923752227527509E-2</v>
      </c>
      <c r="HU509" s="2685">
        <f t="shared" ca="1" si="23"/>
        <v>-1.579333708082864E-2</v>
      </c>
    </row>
    <row r="510" spans="108:229">
      <c r="HN510" s="2364"/>
      <c r="HO510" s="1971"/>
      <c r="HP510" s="1971"/>
      <c r="HQ510" s="1971"/>
      <c r="HR510" s="1971"/>
      <c r="HS510" s="1971"/>
      <c r="HT510" s="1971"/>
      <c r="HU510" s="2678"/>
    </row>
    <row r="511" spans="108:229">
      <c r="HN511" s="505" t="s">
        <v>2086</v>
      </c>
      <c r="HO511" s="1826"/>
      <c r="HP511" s="1826"/>
      <c r="HQ511" s="1791"/>
      <c r="HR511" s="1791"/>
      <c r="HS511" s="1791"/>
      <c r="HT511" s="1791"/>
      <c r="HU511" s="2672"/>
    </row>
    <row r="512" spans="108:229" s="256" customFormat="1">
      <c r="DD512" s="1769"/>
      <c r="HN512" s="2166" t="s">
        <v>554</v>
      </c>
      <c r="HO512" s="2673"/>
      <c r="HP512" s="2673"/>
      <c r="HQ512" s="2673">
        <f>+Hilton!Z322</f>
        <v>5.3999999999999999E-2</v>
      </c>
      <c r="HR512" s="2673">
        <f>+Hilton!AE322</f>
        <v>1.7999999999999999E-2</v>
      </c>
      <c r="HS512" s="2673">
        <f>+Hilton!AI322</f>
        <v>3.7999999999999999E-2</v>
      </c>
      <c r="HT512" s="2673">
        <f>+Hilton!AJ322</f>
        <v>2.5000000000000001E-2</v>
      </c>
      <c r="HU512" s="2679">
        <f>+Hilton!AO322</f>
        <v>2.3457210246139646E-2</v>
      </c>
    </row>
    <row r="513" spans="108:232" s="256" customFormat="1">
      <c r="DD513" s="1769"/>
      <c r="HN513" s="2166" t="s">
        <v>555</v>
      </c>
      <c r="HO513" s="2674"/>
      <c r="HP513" s="2675"/>
      <c r="HQ513" s="2676"/>
      <c r="HR513" s="2676"/>
      <c r="HS513" s="2676"/>
      <c r="HT513" s="2676"/>
      <c r="HU513" s="2680"/>
    </row>
    <row r="514" spans="108:232">
      <c r="HN514" s="2364" t="s">
        <v>553</v>
      </c>
      <c r="HO514" s="1971"/>
      <c r="HP514" s="1971"/>
      <c r="HQ514" s="2673">
        <f>+HQ512-HQ513</f>
        <v>5.3999999999999999E-2</v>
      </c>
      <c r="HR514" s="2673">
        <f>+HR512-HR513</f>
        <v>1.7999999999999999E-2</v>
      </c>
      <c r="HS514" s="2673">
        <f>+HS512-HS513</f>
        <v>3.7999999999999999E-2</v>
      </c>
      <c r="HT514" s="2673">
        <f>+HT512-HT513</f>
        <v>2.5000000000000001E-2</v>
      </c>
      <c r="HU514" s="2679">
        <f>+HU512-HU513</f>
        <v>2.3457210246139646E-2</v>
      </c>
    </row>
    <row r="515" spans="108:232" ht="3.95" customHeight="1">
      <c r="HN515" s="1972"/>
      <c r="HO515" s="1735"/>
      <c r="HP515" s="1735"/>
      <c r="HQ515" s="1735"/>
      <c r="HR515" s="1735"/>
      <c r="HS515" s="1735"/>
      <c r="HT515" s="1735"/>
      <c r="HU515" s="1973"/>
    </row>
    <row r="516" spans="108:232" ht="3.95" customHeight="1">
      <c r="HN516" s="1777"/>
      <c r="HO516" s="1777"/>
      <c r="HP516" s="1777"/>
      <c r="HQ516" s="1777"/>
      <c r="HR516" s="1777"/>
      <c r="HS516" s="1777"/>
      <c r="HT516" s="1777"/>
      <c r="HU516" s="1777"/>
    </row>
    <row r="518" spans="108:232">
      <c r="HV518" s="1964" t="s">
        <v>380</v>
      </c>
      <c r="HW518" s="1966" t="s">
        <v>1371</v>
      </c>
    </row>
    <row r="519" spans="108:232">
      <c r="HV519" s="1898" t="s">
        <v>379</v>
      </c>
      <c r="HW519" s="571">
        <f>+'Price per key'!G142</f>
        <v>16944.373249999993</v>
      </c>
    </row>
    <row r="520" spans="108:232">
      <c r="HV520" s="1898" t="s">
        <v>559</v>
      </c>
      <c r="HW520" s="474">
        <f>+Hilton!U135</f>
        <v>999</v>
      </c>
    </row>
    <row r="521" spans="108:232">
      <c r="HV521" s="1898" t="s">
        <v>1163</v>
      </c>
      <c r="HW521" s="1975">
        <f>+HW519/HW520</f>
        <v>16.961334584584577</v>
      </c>
    </row>
    <row r="522" spans="108:232">
      <c r="HV522" s="13"/>
      <c r="HW522" s="474"/>
    </row>
    <row r="523" spans="108:232">
      <c r="HV523" s="1898" t="s">
        <v>557</v>
      </c>
      <c r="HW523" s="571">
        <f>+Hilton!U616</f>
        <v>10430</v>
      </c>
    </row>
    <row r="524" spans="108:232">
      <c r="HV524" s="1898" t="s">
        <v>560</v>
      </c>
      <c r="HW524" s="1976">
        <f>Hilton!U121</f>
        <v>2508</v>
      </c>
    </row>
    <row r="525" spans="108:232">
      <c r="HV525" s="1898" t="s">
        <v>558</v>
      </c>
      <c r="HW525" s="1975">
        <f>+HW523/Hilton!U121</f>
        <v>4.1586921850079746</v>
      </c>
    </row>
    <row r="526" spans="108:232">
      <c r="HV526" s="13"/>
      <c r="HW526" s="474"/>
    </row>
    <row r="527" spans="108:232">
      <c r="HV527" s="1898" t="s">
        <v>382</v>
      </c>
      <c r="HW527" s="1977">
        <v>100</v>
      </c>
      <c r="HX527" s="7"/>
    </row>
    <row r="528" spans="108:232">
      <c r="HV528" s="1898" t="s">
        <v>556</v>
      </c>
      <c r="HW528" s="571">
        <f>+HW527*HW521</f>
        <v>1696.1334584584577</v>
      </c>
    </row>
    <row r="529" spans="230:237">
      <c r="HV529" s="13"/>
      <c r="HW529" s="474"/>
    </row>
    <row r="530" spans="230:237">
      <c r="HV530" s="1898" t="s">
        <v>563</v>
      </c>
      <c r="HW530" s="571">
        <f>+HW523-HW528</f>
        <v>8733.8665415415417</v>
      </c>
    </row>
    <row r="531" spans="230:237">
      <c r="HV531" s="1898" t="s">
        <v>562</v>
      </c>
      <c r="HW531" s="474">
        <f>+HW524-HW527</f>
        <v>2408</v>
      </c>
    </row>
    <row r="532" spans="230:237">
      <c r="HV532" s="1898" t="s">
        <v>561</v>
      </c>
      <c r="HW532" s="1975">
        <f>+HW530/HW531</f>
        <v>3.627020989012268</v>
      </c>
    </row>
    <row r="533" spans="230:237">
      <c r="HV533" s="13"/>
      <c r="HW533" s="474"/>
    </row>
    <row r="534" spans="230:237">
      <c r="HV534" s="1898" t="s">
        <v>565</v>
      </c>
      <c r="HW534" s="571">
        <f>+Hilton!Z161</f>
        <v>3685</v>
      </c>
    </row>
    <row r="535" spans="230:237">
      <c r="HV535" s="1978" t="s">
        <v>383</v>
      </c>
      <c r="HW535" s="474">
        <f>-HW527*(Hilton!Z135/Hilton!U135)*(1-Hilton!U98)</f>
        <v>-63.328193057922775</v>
      </c>
    </row>
    <row r="536" spans="230:237">
      <c r="HV536" s="1978" t="s">
        <v>381</v>
      </c>
      <c r="HW536" s="474">
        <f>HW527/Hilton!Z266*0.06</f>
        <v>24.033834586466163</v>
      </c>
    </row>
    <row r="537" spans="230:237">
      <c r="HV537" s="1978" t="s">
        <v>566</v>
      </c>
      <c r="HW537" s="474">
        <f>+HW528*Hilton!U692*(1-Hilton!U98)</f>
        <v>55.658178586912697</v>
      </c>
    </row>
    <row r="538" spans="230:237" ht="3.95" customHeight="1">
      <c r="HV538" s="1978"/>
      <c r="HW538" s="474"/>
    </row>
    <row r="539" spans="230:237">
      <c r="HV539" s="1898" t="s">
        <v>567</v>
      </c>
      <c r="HW539" s="571">
        <f>SUM(HW534:HW537)</f>
        <v>3701.3638201154558</v>
      </c>
    </row>
    <row r="540" spans="230:237">
      <c r="HV540" s="1979" t="s">
        <v>378</v>
      </c>
      <c r="HW540" s="786"/>
    </row>
    <row r="541" spans="230:237" ht="3.95" customHeight="1">
      <c r="HV541" s="1516"/>
      <c r="HW541" s="1560"/>
    </row>
    <row r="543" spans="230:237">
      <c r="HX543" s="367" t="s">
        <v>2358</v>
      </c>
      <c r="HY543" s="1899"/>
      <c r="HZ543" s="2424"/>
      <c r="IA543" s="2424"/>
      <c r="IB543" s="2424"/>
      <c r="IC543" s="2424"/>
    </row>
    <row r="544" spans="230:237" ht="12.75" customHeight="1">
      <c r="HX544" s="382" t="s">
        <v>2359</v>
      </c>
      <c r="HY544" s="1899"/>
      <c r="HZ544"/>
      <c r="IA544"/>
      <c r="IB544" s="2424"/>
      <c r="IC544" s="2424"/>
    </row>
    <row r="545" spans="232:237" ht="12.75" customHeight="1">
      <c r="HX545" s="1734"/>
      <c r="HY545" s="1734"/>
      <c r="HZ545" s="1734"/>
      <c r="IA545" s="1734"/>
      <c r="IB545" s="1734"/>
      <c r="IC545" s="2425"/>
    </row>
    <row r="546" spans="232:237">
      <c r="HX546" s="2091" t="s">
        <v>2360</v>
      </c>
      <c r="HY546" s="1743"/>
      <c r="HZ546" s="1743"/>
      <c r="IA546" s="1743"/>
      <c r="IB546" s="1743"/>
      <c r="IC546" s="2426" t="str">
        <f ca="1">'EBITDA Val'!H16</f>
        <v xml:space="preserve">$83.40 </v>
      </c>
    </row>
    <row r="547" spans="232:237">
      <c r="HX547" s="2427" t="s">
        <v>2361</v>
      </c>
      <c r="HY547" s="1777"/>
      <c r="HZ547" s="1777"/>
      <c r="IA547" s="1777"/>
      <c r="IB547" s="1777"/>
      <c r="IC547" s="2204">
        <f>Hilton!T70</f>
        <v>987</v>
      </c>
    </row>
    <row r="548" spans="232:237">
      <c r="HX548" s="2428" t="s">
        <v>721</v>
      </c>
      <c r="HY548" s="1743"/>
      <c r="HZ548" s="1743"/>
      <c r="IA548" s="1743"/>
      <c r="IB548" s="1743"/>
      <c r="IC548" s="2429">
        <f ca="1">IC546*IC547</f>
        <v>82315.8</v>
      </c>
    </row>
    <row r="549" spans="232:237">
      <c r="HX549" s="1898"/>
      <c r="HY549" s="1777"/>
      <c r="HZ549" s="1777"/>
      <c r="IA549" s="1777"/>
      <c r="IB549" s="1777"/>
      <c r="IC549" s="2430"/>
    </row>
    <row r="550" spans="232:237">
      <c r="HX550" s="2427" t="s">
        <v>2364</v>
      </c>
      <c r="HY550" s="1777"/>
      <c r="HZ550" s="1777"/>
      <c r="IA550" s="1777"/>
      <c r="IB550" s="1777"/>
      <c r="IC550" s="2431">
        <f>Hilton!U616</f>
        <v>10430</v>
      </c>
    </row>
    <row r="551" spans="232:237" ht="15.75">
      <c r="HX551" s="2428" t="s">
        <v>1587</v>
      </c>
      <c r="HY551" s="2432"/>
      <c r="HZ551" s="2432"/>
      <c r="IA551" s="2432"/>
      <c r="IB551" s="2432"/>
      <c r="IC551" s="2429">
        <f ca="1">IC548+IC550</f>
        <v>92745.8</v>
      </c>
    </row>
    <row r="552" spans="232:237" ht="15.75">
      <c r="HX552" s="2060"/>
      <c r="HY552" s="2310"/>
      <c r="HZ552" s="2310"/>
      <c r="IA552" s="2310"/>
      <c r="IB552" s="2310"/>
      <c r="IC552" s="2061"/>
    </row>
    <row r="553" spans="232:237" ht="15.75">
      <c r="HX553" s="2433"/>
      <c r="HY553" s="378" t="s">
        <v>902</v>
      </c>
      <c r="HZ553" s="2424"/>
      <c r="IA553" s="378" t="s">
        <v>1162</v>
      </c>
      <c r="IB553" s="2310"/>
      <c r="IC553" s="2434" t="s">
        <v>165</v>
      </c>
    </row>
    <row r="554" spans="232:237" ht="15.75">
      <c r="HX554" s="2435"/>
      <c r="HY554" s="372" t="s">
        <v>1228</v>
      </c>
      <c r="HZ554" s="1832"/>
      <c r="IA554" s="372" t="s">
        <v>1163</v>
      </c>
      <c r="IB554" s="2310"/>
      <c r="IC554" s="2436" t="s">
        <v>1825</v>
      </c>
    </row>
    <row r="555" spans="232:237" ht="15.75">
      <c r="HX555" s="2427" t="s">
        <v>167</v>
      </c>
      <c r="HY555" s="2437">
        <f>Hilton!Z136</f>
        <v>1691</v>
      </c>
      <c r="HZ555" s="2438" t="s">
        <v>166</v>
      </c>
      <c r="IA555" s="2439">
        <v>16.600000000000001</v>
      </c>
      <c r="IB555" s="2310"/>
      <c r="IC555" s="2440">
        <f>IA555*HY555</f>
        <v>28070.600000000002</v>
      </c>
    </row>
    <row r="556" spans="232:237" ht="15.75">
      <c r="HX556" s="2427" t="s">
        <v>2363</v>
      </c>
      <c r="HY556" s="2441">
        <f>Hilton!Z135+Hilton!Z137</f>
        <v>1416</v>
      </c>
      <c r="HZ556" s="2438" t="s">
        <v>166</v>
      </c>
      <c r="IA556" s="2442">
        <f ca="1">IC556/HY556</f>
        <v>49.365254237288134</v>
      </c>
      <c r="IB556" s="2310"/>
      <c r="IC556" s="2440">
        <f ca="1">IC560-IC555-IC559</f>
        <v>69901.2</v>
      </c>
    </row>
    <row r="557" spans="232:237">
      <c r="HX557" s="2428" t="s">
        <v>168</v>
      </c>
      <c r="HY557" s="2443">
        <f>SUM(HY555:HY556)</f>
        <v>3107</v>
      </c>
      <c r="HZ557" s="2444"/>
      <c r="IA557" s="2445">
        <f ca="1">IC557/HY557</f>
        <v>31.532603797875765</v>
      </c>
      <c r="IB557" s="1743"/>
      <c r="IC557" s="2446">
        <f ca="1">SUM(IC555:IC556)</f>
        <v>97971.8</v>
      </c>
    </row>
    <row r="558" spans="232:237">
      <c r="HX558" s="2060"/>
      <c r="HY558" s="1455"/>
      <c r="HZ558" s="377"/>
      <c r="IA558" s="2447"/>
      <c r="IB558" s="1777"/>
      <c r="IC558" s="2448"/>
    </row>
    <row r="559" spans="232:237">
      <c r="HX559" s="2449" t="s">
        <v>1762</v>
      </c>
      <c r="HY559" s="2450">
        <f>HY560-HY557</f>
        <v>-390</v>
      </c>
      <c r="HZ559" s="2451" t="s">
        <v>166</v>
      </c>
      <c r="IA559" s="2439">
        <v>13.4</v>
      </c>
      <c r="IB559" s="2452" t="s">
        <v>2144</v>
      </c>
      <c r="IC559" s="2453">
        <f>IA559*HY559</f>
        <v>-5226</v>
      </c>
    </row>
    <row r="560" spans="232:237">
      <c r="HX560" s="2454" t="s">
        <v>2362</v>
      </c>
      <c r="HY560" s="2455">
        <f>Hilton!Z121-Hilton!Z116</f>
        <v>2717</v>
      </c>
      <c r="HZ560" s="2456"/>
      <c r="IA560" s="2457">
        <f ca="1">IC560/HY560</f>
        <v>34.135369893264631</v>
      </c>
      <c r="IB560" s="2456"/>
      <c r="IC560" s="2458">
        <f ca="1">IC551</f>
        <v>92745.8</v>
      </c>
    </row>
    <row r="562" spans="238:244">
      <c r="ID562" s="2" t="s">
        <v>2377</v>
      </c>
    </row>
    <row r="563" spans="238:244">
      <c r="ID563" s="2471" t="s">
        <v>1377</v>
      </c>
      <c r="IE563" s="645"/>
      <c r="IF563" s="645"/>
      <c r="IG563" s="645"/>
      <c r="IH563" s="645"/>
      <c r="II563" s="645"/>
      <c r="IJ563" s="1607"/>
    </row>
    <row r="564" spans="238:244">
      <c r="ID564" s="13"/>
      <c r="IE564" s="15"/>
      <c r="IF564" s="227" t="s">
        <v>2365</v>
      </c>
      <c r="IG564" s="227" t="s">
        <v>2380</v>
      </c>
      <c r="IH564" s="227" t="s">
        <v>2381</v>
      </c>
      <c r="II564" s="227" t="s">
        <v>2382</v>
      </c>
      <c r="IJ564" s="2474" t="s">
        <v>2386</v>
      </c>
    </row>
    <row r="565" spans="238:244">
      <c r="ID565" s="505" t="s">
        <v>2391</v>
      </c>
      <c r="IE565" s="15"/>
      <c r="IF565" s="15"/>
      <c r="IG565" s="15"/>
      <c r="IH565" s="15"/>
      <c r="II565" s="15"/>
      <c r="IJ565" s="474"/>
    </row>
    <row r="566" spans="238:244">
      <c r="ID566" s="1898" t="s">
        <v>2378</v>
      </c>
      <c r="IE566" s="15"/>
      <c r="IF566" s="15">
        <f>Hilton!V249</f>
        <v>957</v>
      </c>
      <c r="IG566" s="15">
        <f>Hilton!W249</f>
        <v>1135</v>
      </c>
      <c r="IH566" s="15">
        <f>Hilton!X249</f>
        <v>1082</v>
      </c>
      <c r="II566" s="15">
        <f>Hilton!Y249</f>
        <v>1059</v>
      </c>
      <c r="IJ566" s="588">
        <f>SUM(IH566:II566)</f>
        <v>2141</v>
      </c>
    </row>
    <row r="567" spans="238:244">
      <c r="ID567" s="1898" t="s">
        <v>2379</v>
      </c>
      <c r="IE567" s="15"/>
      <c r="IF567" s="15">
        <f>Hilton!V256</f>
        <v>768</v>
      </c>
      <c r="IG567" s="15">
        <f>Hilton!W256</f>
        <v>817</v>
      </c>
      <c r="IH567" s="15">
        <f>Hilton!X256</f>
        <v>798</v>
      </c>
      <c r="II567" s="15">
        <f>Hilton!Y256</f>
        <v>785</v>
      </c>
      <c r="IJ567" s="588">
        <f>SUM(IH567:II567)</f>
        <v>1583</v>
      </c>
    </row>
    <row r="568" spans="238:244">
      <c r="ID568" s="1898" t="s">
        <v>199</v>
      </c>
      <c r="IE568" s="15"/>
      <c r="IF568" s="15">
        <f>IF566-IF567</f>
        <v>189</v>
      </c>
      <c r="IG568" s="15">
        <f>IG566-IG567</f>
        <v>318</v>
      </c>
      <c r="IH568" s="15">
        <f>IH566-IH567</f>
        <v>284</v>
      </c>
      <c r="II568" s="15">
        <f>II566-II567</f>
        <v>274</v>
      </c>
      <c r="IJ568" s="588">
        <f>SUM(IH568:II568)</f>
        <v>558</v>
      </c>
    </row>
    <row r="569" spans="238:244">
      <c r="ID569" s="1898" t="s">
        <v>1228</v>
      </c>
      <c r="IE569" s="15"/>
      <c r="IF569" s="15">
        <f>Hilton!V264</f>
        <v>190</v>
      </c>
      <c r="IG569" s="15">
        <f>Hilton!W264</f>
        <v>318</v>
      </c>
      <c r="IH569" s="15">
        <f>Hilton!X264</f>
        <v>281</v>
      </c>
      <c r="II569" s="15">
        <f>Hilton!Y264</f>
        <v>275</v>
      </c>
      <c r="IJ569" s="588">
        <f>SUM(IH569:II569)</f>
        <v>556</v>
      </c>
    </row>
    <row r="570" spans="238:244">
      <c r="ID570" s="13"/>
      <c r="IE570" s="15"/>
      <c r="IF570" s="15"/>
      <c r="IG570" s="15"/>
      <c r="IH570" s="15"/>
      <c r="II570" s="15"/>
      <c r="IJ570" s="588"/>
    </row>
    <row r="571" spans="238:244">
      <c r="ID571" s="505" t="s">
        <v>2385</v>
      </c>
      <c r="IE571" s="15"/>
      <c r="IF571" s="15"/>
      <c r="IG571" s="15"/>
      <c r="IH571" s="15"/>
      <c r="II571" s="15"/>
      <c r="IJ571" s="588"/>
    </row>
    <row r="572" spans="238:244">
      <c r="ID572" s="1898" t="s">
        <v>2378</v>
      </c>
      <c r="IE572" s="15"/>
      <c r="IF572" s="15"/>
      <c r="IG572" s="15"/>
      <c r="IH572" s="15"/>
      <c r="II572" s="15"/>
      <c r="IJ572" s="588"/>
    </row>
    <row r="573" spans="238:244">
      <c r="ID573" s="1898" t="s">
        <v>2379</v>
      </c>
      <c r="IE573" s="15"/>
      <c r="IF573" s="15"/>
      <c r="IG573" s="15"/>
      <c r="IH573" s="15"/>
      <c r="II573" s="15"/>
      <c r="IJ573" s="588"/>
    </row>
    <row r="574" spans="238:244">
      <c r="ID574" s="1898" t="s">
        <v>199</v>
      </c>
      <c r="IE574" s="15"/>
      <c r="IF574" s="15"/>
      <c r="IG574" s="15"/>
      <c r="IH574" s="15"/>
      <c r="II574" s="15"/>
      <c r="IJ574" s="588"/>
    </row>
    <row r="575" spans="238:244">
      <c r="ID575" s="1898" t="s">
        <v>1228</v>
      </c>
      <c r="IE575" s="15"/>
      <c r="IF575" s="15"/>
      <c r="IG575" s="15"/>
      <c r="IH575" s="15"/>
      <c r="II575" s="15"/>
      <c r="IJ575" s="588"/>
    </row>
    <row r="576" spans="238:244">
      <c r="ID576" s="13"/>
      <c r="IE576" s="15"/>
      <c r="IF576" s="15"/>
      <c r="IG576" s="15"/>
      <c r="IH576" s="15"/>
      <c r="II576" s="15"/>
      <c r="IJ576" s="474"/>
    </row>
    <row r="577" spans="108:251">
      <c r="ID577" s="505" t="s">
        <v>2387</v>
      </c>
      <c r="IE577" s="15"/>
      <c r="IF577" s="15"/>
      <c r="IG577" s="15"/>
      <c r="IH577" s="15"/>
      <c r="II577" s="15"/>
      <c r="IJ577" s="474"/>
    </row>
    <row r="578" spans="108:251">
      <c r="ID578" s="1898" t="s">
        <v>2378</v>
      </c>
      <c r="IE578" s="15"/>
      <c r="IF578" s="15"/>
      <c r="IG578" s="2472"/>
      <c r="IH578" s="2472"/>
      <c r="II578" s="2472"/>
      <c r="IJ578" s="588"/>
    </row>
    <row r="579" spans="108:251">
      <c r="ID579" s="1898" t="s">
        <v>2379</v>
      </c>
      <c r="IE579" s="15"/>
      <c r="IF579" s="15"/>
      <c r="IG579" s="2472"/>
      <c r="IH579" s="2472"/>
      <c r="II579" s="2472"/>
      <c r="IJ579" s="588"/>
    </row>
    <row r="580" spans="108:251">
      <c r="ID580" s="1898" t="s">
        <v>199</v>
      </c>
      <c r="IE580" s="15"/>
      <c r="IF580" s="15"/>
      <c r="IG580" s="2472"/>
      <c r="IH580" s="2472"/>
      <c r="II580" s="2472"/>
      <c r="IJ580" s="588"/>
    </row>
    <row r="581" spans="108:251">
      <c r="ID581" s="1972" t="s">
        <v>1228</v>
      </c>
      <c r="IE581" s="6"/>
      <c r="IF581" s="6"/>
      <c r="IG581" s="2473"/>
      <c r="IH581" s="2473"/>
      <c r="II581" s="2473"/>
      <c r="IJ581" s="2161"/>
      <c r="IK581" s="2" t="s">
        <v>2388</v>
      </c>
    </row>
    <row r="582" spans="108:251">
      <c r="ID582" s="1734"/>
    </row>
    <row r="583" spans="108:251">
      <c r="ID583" s="2471" t="s">
        <v>2394</v>
      </c>
      <c r="IE583" s="645"/>
      <c r="IF583" s="645"/>
      <c r="IG583" s="645"/>
      <c r="IH583" s="645"/>
      <c r="II583" s="1607"/>
    </row>
    <row r="584" spans="108:251">
      <c r="ID584" s="1898" t="s">
        <v>2390</v>
      </c>
      <c r="IE584" s="15"/>
      <c r="IF584" s="15"/>
      <c r="IG584" s="2476">
        <v>0.15</v>
      </c>
      <c r="IH584" s="2476">
        <v>0.12</v>
      </c>
      <c r="II584" s="2477">
        <v>0.08</v>
      </c>
      <c r="IJ584" s="2"/>
    </row>
    <row r="585" spans="108:251">
      <c r="ID585" s="1898"/>
      <c r="IE585" s="15"/>
      <c r="IF585" s="15"/>
      <c r="IG585" s="2472">
        <f>((IG584*3.5)*100)/4/2</f>
        <v>6.5625</v>
      </c>
      <c r="IH585" s="2472">
        <f>((IH584*3.5)*100)/4/2</f>
        <v>5.25</v>
      </c>
      <c r="II585" s="2478">
        <f>((II584*3.5)*100)/4/2</f>
        <v>3.5000000000000004</v>
      </c>
    </row>
    <row r="586" spans="108:251">
      <c r="ID586" s="1898"/>
      <c r="IE586" s="15"/>
      <c r="IF586" s="15"/>
      <c r="IG586" s="2472"/>
      <c r="IH586" s="2472"/>
      <c r="II586" s="2478"/>
    </row>
    <row r="587" spans="108:251">
      <c r="ID587" s="1898" t="s">
        <v>2392</v>
      </c>
      <c r="IE587" s="15"/>
      <c r="IF587" s="15"/>
      <c r="IG587" s="2476">
        <v>0.19</v>
      </c>
      <c r="IH587" s="2476">
        <v>0.13</v>
      </c>
      <c r="II587" s="2477">
        <v>0.1</v>
      </c>
    </row>
    <row r="588" spans="108:251">
      <c r="ID588" s="13"/>
      <c r="IE588" s="15"/>
      <c r="IF588" s="15"/>
      <c r="IG588" s="2472">
        <f>((IG587*3.5)*100)/4/2</f>
        <v>8.3125</v>
      </c>
      <c r="IH588" s="2472">
        <f>((IH587*3.5)*100)/4/2</f>
        <v>5.6875</v>
      </c>
      <c r="II588" s="2478">
        <f>((II587*3.5)*100)/4/2</f>
        <v>4.375</v>
      </c>
      <c r="IP588" s="1773"/>
    </row>
    <row r="589" spans="108:251">
      <c r="ID589" s="1972" t="s">
        <v>2389</v>
      </c>
      <c r="IE589" s="6"/>
      <c r="IF589" s="6"/>
      <c r="IG589" s="2473">
        <f>IG585-IG588</f>
        <v>-1.75</v>
      </c>
      <c r="IH589" s="2473">
        <f>IH585-IH588</f>
        <v>-0.4375</v>
      </c>
      <c r="II589" s="2479">
        <f>II585-II588</f>
        <v>-0.87499999999999956</v>
      </c>
    </row>
    <row r="590" spans="108:251">
      <c r="IJ590" s="2470"/>
      <c r="IK590" s="1561"/>
      <c r="IL590" s="645"/>
      <c r="IM590" s="645"/>
      <c r="IN590" s="645"/>
      <c r="IO590" s="645"/>
      <c r="IP590" s="2488" t="s">
        <v>2393</v>
      </c>
      <c r="IQ590" s="2489"/>
    </row>
    <row r="591" spans="108:251" s="2" customFormat="1">
      <c r="DD591" s="209"/>
      <c r="IK591" s="2160" t="s">
        <v>2383</v>
      </c>
      <c r="IL591" s="805" t="s">
        <v>1035</v>
      </c>
      <c r="IM591" s="805" t="s">
        <v>2384</v>
      </c>
      <c r="IN591" s="805" t="s">
        <v>1228</v>
      </c>
      <c r="IO591" s="805" t="s">
        <v>698</v>
      </c>
      <c r="IP591" s="2490" t="s">
        <v>1228</v>
      </c>
      <c r="IQ591" s="2491" t="s">
        <v>698</v>
      </c>
    </row>
    <row r="592" spans="108:251">
      <c r="IK592" s="1898" t="s">
        <v>2375</v>
      </c>
      <c r="IL592" s="2480">
        <f>442*0.8</f>
        <v>353.6</v>
      </c>
      <c r="IM592" s="2481">
        <v>15</v>
      </c>
      <c r="IN592" s="2482">
        <f>IL592/IM592</f>
        <v>23.573333333333334</v>
      </c>
      <c r="IO592" s="2482">
        <f>IN592/0.3</f>
        <v>78.577777777777783</v>
      </c>
      <c r="IP592" s="2487">
        <f>(IN593-IN592)/2</f>
        <v>-7.4789743589743596</v>
      </c>
      <c r="IQ592" s="2483">
        <f>(IO593-IO592)/2</f>
        <v>-24.929914529914534</v>
      </c>
    </row>
    <row r="593" spans="238:251">
      <c r="IK593" s="1972" t="s">
        <v>2376</v>
      </c>
      <c r="IL593" s="2484">
        <v>112</v>
      </c>
      <c r="IM593" s="2485">
        <v>13</v>
      </c>
      <c r="IN593" s="2486">
        <f>IL593/IM593</f>
        <v>8.615384615384615</v>
      </c>
      <c r="IO593" s="2486">
        <f>IN593/0.3</f>
        <v>28.717948717948719</v>
      </c>
      <c r="IP593" s="2492"/>
      <c r="IQ593" s="2493"/>
    </row>
    <row r="598" spans="238:251">
      <c r="ID598" s="2475" t="s">
        <v>592</v>
      </c>
      <c r="IE598" s="645"/>
      <c r="IF598" s="645">
        <f>Hilton!V275</f>
        <v>81</v>
      </c>
      <c r="IG598" s="645">
        <f>Hilton!W275</f>
        <v>89</v>
      </c>
      <c r="IH598" s="645">
        <f>Hilton!X275</f>
        <v>87</v>
      </c>
      <c r="II598" s="645">
        <f>Hilton!Y275</f>
        <v>90</v>
      </c>
      <c r="IJ598" s="1607">
        <f>Hilton!Z275</f>
        <v>347</v>
      </c>
    </row>
    <row r="599" spans="238:251">
      <c r="ID599" s="879" t="s">
        <v>17</v>
      </c>
      <c r="IE599" s="15"/>
      <c r="IF599" s="15">
        <f>Hilton!V276</f>
        <v>37</v>
      </c>
      <c r="IG599" s="15">
        <f>Hilton!W276</f>
        <v>36</v>
      </c>
      <c r="IH599" s="15">
        <f>Hilton!X276</f>
        <v>34</v>
      </c>
      <c r="II599" s="15">
        <f>Hilton!Y276</f>
        <v>41</v>
      </c>
      <c r="IJ599" s="474">
        <f>Hilton!Z276</f>
        <v>148</v>
      </c>
    </row>
    <row r="600" spans="238:251">
      <c r="ID600" s="764" t="s">
        <v>2156</v>
      </c>
      <c r="IE600" s="15"/>
      <c r="IF600" s="15">
        <f>Hilton!V277</f>
        <v>118</v>
      </c>
      <c r="IG600" s="15">
        <f>Hilton!W277</f>
        <v>125</v>
      </c>
      <c r="IH600" s="15">
        <f>Hilton!X277</f>
        <v>121</v>
      </c>
      <c r="II600" s="15">
        <f>Hilton!Y277</f>
        <v>131</v>
      </c>
      <c r="IJ600" s="474">
        <f>Hilton!Z277</f>
        <v>495</v>
      </c>
    </row>
    <row r="601" spans="238:251">
      <c r="ID601" s="879" t="s">
        <v>1719</v>
      </c>
      <c r="IE601" s="15"/>
      <c r="IF601" s="15">
        <f>Hilton!V278</f>
        <v>265</v>
      </c>
      <c r="IG601" s="15">
        <f>Hilton!W278</f>
        <v>300</v>
      </c>
      <c r="IH601" s="15">
        <f>Hilton!X278</f>
        <v>310</v>
      </c>
      <c r="II601" s="15">
        <f>Hilton!Y278</f>
        <v>290</v>
      </c>
      <c r="IJ601" s="474">
        <f>Hilton!Z278</f>
        <v>1165</v>
      </c>
    </row>
    <row r="602" spans="238:251">
      <c r="ID602" s="764" t="s">
        <v>1382</v>
      </c>
      <c r="IE602" s="15"/>
      <c r="IF602" s="15">
        <f>Hilton!V279</f>
        <v>383</v>
      </c>
      <c r="IG602" s="15">
        <f>Hilton!W279</f>
        <v>425</v>
      </c>
      <c r="IH602" s="15">
        <f>Hilton!X279</f>
        <v>431</v>
      </c>
      <c r="II602" s="15">
        <f>Hilton!Y279</f>
        <v>421</v>
      </c>
      <c r="IJ602" s="474">
        <f>Hilton!Z279</f>
        <v>1660</v>
      </c>
    </row>
    <row r="603" spans="238:251">
      <c r="ID603" s="880" t="s">
        <v>614</v>
      </c>
      <c r="IE603" s="15"/>
      <c r="IF603" s="15">
        <f>Hilton!V280</f>
        <v>8</v>
      </c>
      <c r="IG603" s="15">
        <f>Hilton!W280</f>
        <v>9</v>
      </c>
      <c r="IH603" s="15">
        <f>Hilton!X280</f>
        <v>7</v>
      </c>
      <c r="II603" s="15">
        <f>Hilton!Y280</f>
        <v>7</v>
      </c>
      <c r="IJ603" s="474">
        <f>Hilton!Z280</f>
        <v>31</v>
      </c>
    </row>
    <row r="604" spans="238:251">
      <c r="ID604" s="497" t="s">
        <v>767</v>
      </c>
      <c r="IE604" s="15"/>
      <c r="IF604" s="228">
        <f>Hilton!V281</f>
        <v>391</v>
      </c>
      <c r="IG604" s="228">
        <f>Hilton!W281</f>
        <v>434</v>
      </c>
      <c r="IH604" s="228">
        <f>Hilton!X281</f>
        <v>438</v>
      </c>
      <c r="II604" s="228">
        <f>Hilton!Y281</f>
        <v>428</v>
      </c>
      <c r="IJ604" s="588">
        <f>Hilton!Z281</f>
        <v>1691</v>
      </c>
    </row>
    <row r="605" spans="238:251">
      <c r="ID605" s="13"/>
      <c r="IE605" s="15"/>
      <c r="IF605" s="15"/>
      <c r="IG605" s="15"/>
      <c r="IH605" s="15"/>
      <c r="II605" s="15"/>
      <c r="IJ605" s="474"/>
    </row>
    <row r="606" spans="238:251">
      <c r="ID606" s="878" t="s">
        <v>592</v>
      </c>
      <c r="IE606" s="15"/>
      <c r="IF606" s="15"/>
      <c r="IG606" s="15"/>
      <c r="IH606" s="15"/>
      <c r="II606" s="15"/>
      <c r="IJ606" s="474"/>
    </row>
    <row r="607" spans="238:251">
      <c r="ID607" s="879" t="s">
        <v>17</v>
      </c>
      <c r="IE607" s="15"/>
      <c r="IF607" s="15"/>
      <c r="IG607" s="15"/>
      <c r="IH607" s="15"/>
      <c r="II607" s="15"/>
      <c r="IJ607" s="474"/>
    </row>
    <row r="608" spans="238:251">
      <c r="ID608" s="764" t="s">
        <v>2156</v>
      </c>
      <c r="IE608" s="15"/>
      <c r="IF608" s="15"/>
      <c r="IG608" s="15"/>
      <c r="IH608" s="15"/>
      <c r="II608" s="15"/>
      <c r="IJ608" s="474"/>
    </row>
    <row r="609" spans="238:244">
      <c r="ID609" s="879" t="s">
        <v>1719</v>
      </c>
      <c r="IE609" s="15"/>
      <c r="IF609" s="15"/>
      <c r="IG609" s="15"/>
      <c r="IH609" s="15"/>
      <c r="II609" s="15"/>
      <c r="IJ609" s="474"/>
    </row>
    <row r="610" spans="238:244">
      <c r="ID610" s="764" t="s">
        <v>1382</v>
      </c>
      <c r="IE610" s="15"/>
      <c r="IF610" s="15"/>
      <c r="IG610" s="15"/>
      <c r="IH610" s="15"/>
      <c r="II610" s="15"/>
      <c r="IJ610" s="474"/>
    </row>
    <row r="611" spans="238:244">
      <c r="ID611" s="880" t="s">
        <v>614</v>
      </c>
      <c r="IE611" s="15"/>
      <c r="IF611" s="15"/>
      <c r="IG611" s="15"/>
      <c r="IH611" s="15"/>
      <c r="II611" s="15"/>
      <c r="IJ611" s="474"/>
    </row>
    <row r="612" spans="238:244">
      <c r="ID612" s="497" t="s">
        <v>767</v>
      </c>
      <c r="IE612" s="15"/>
      <c r="IF612" s="228"/>
      <c r="IG612" s="228"/>
      <c r="IH612" s="228"/>
      <c r="II612" s="228"/>
      <c r="IJ612" s="588"/>
    </row>
    <row r="613" spans="238:244">
      <c r="ID613" s="13"/>
      <c r="IE613" s="15"/>
      <c r="IF613" s="15"/>
      <c r="IG613" s="15"/>
      <c r="IH613" s="15"/>
      <c r="II613" s="15"/>
      <c r="IJ613" s="474"/>
    </row>
    <row r="614" spans="238:244">
      <c r="ID614" s="878" t="s">
        <v>592</v>
      </c>
      <c r="IE614" s="15"/>
      <c r="IF614" s="15"/>
      <c r="IG614" s="15"/>
      <c r="IH614" s="15"/>
      <c r="II614" s="15"/>
      <c r="IJ614" s="474"/>
    </row>
    <row r="615" spans="238:244">
      <c r="ID615" s="879" t="s">
        <v>17</v>
      </c>
      <c r="IE615" s="15"/>
      <c r="IF615" s="15"/>
      <c r="IG615" s="15"/>
      <c r="IH615" s="15"/>
      <c r="II615" s="15"/>
      <c r="IJ615" s="474"/>
    </row>
    <row r="616" spans="238:244">
      <c r="ID616" s="764" t="s">
        <v>2156</v>
      </c>
      <c r="IE616" s="15"/>
      <c r="IF616" s="15"/>
      <c r="IG616" s="15"/>
      <c r="IH616" s="15"/>
      <c r="II616" s="15"/>
      <c r="IJ616" s="474"/>
    </row>
    <row r="617" spans="238:244">
      <c r="ID617" s="879" t="s">
        <v>1719</v>
      </c>
      <c r="IE617" s="15"/>
      <c r="IF617" s="15"/>
      <c r="IG617" s="15"/>
      <c r="IH617" s="15"/>
      <c r="II617" s="15"/>
      <c r="IJ617" s="474"/>
    </row>
    <row r="618" spans="238:244">
      <c r="ID618" s="764" t="s">
        <v>1382</v>
      </c>
      <c r="IE618" s="15"/>
      <c r="IF618" s="15"/>
      <c r="IG618" s="15"/>
      <c r="IH618" s="15"/>
      <c r="II618" s="15"/>
      <c r="IJ618" s="474"/>
    </row>
    <row r="619" spans="238:244">
      <c r="ID619" s="880" t="s">
        <v>614</v>
      </c>
      <c r="IE619" s="15"/>
      <c r="IF619" s="15"/>
      <c r="IG619" s="15"/>
      <c r="IH619" s="15"/>
      <c r="II619" s="15"/>
      <c r="IJ619" s="474"/>
    </row>
    <row r="620" spans="238:244">
      <c r="ID620" s="1000" t="s">
        <v>767</v>
      </c>
      <c r="IE620" s="6"/>
      <c r="IF620" s="6"/>
      <c r="IG620" s="6"/>
      <c r="IH620" s="6"/>
      <c r="II620" s="6"/>
      <c r="IJ620" s="1560"/>
    </row>
  </sheetData>
  <phoneticPr fontId="12" type="noConversion"/>
  <pageMargins left="0" right="0" top="0" bottom="0" header="0" footer="0"/>
  <pageSetup paperSize="5" scale="10" orientation="landscape" r:id="rId1"/>
  <headerFooter alignWithMargins="0"/>
  <ignoredErrors>
    <ignoredError sqref="AD47:AE47" numberStoredAsText="1"/>
    <ignoredError sqref="CC179 FG355:FI355" formulaRange="1"/>
    <ignoredError sqref="DB212:DC228 DD212:DD223" formula="1"/>
  </ignoredError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Q175"/>
  <sheetViews>
    <sheetView zoomScale="85" workbookViewId="0">
      <pane ySplit="4" topLeftCell="A114" activePane="bottomLeft" state="frozen"/>
      <selection pane="bottomLeft" activeCell="F154" sqref="F154"/>
    </sheetView>
  </sheetViews>
  <sheetFormatPr defaultRowHeight="12.75" outlineLevelCol="1"/>
  <cols>
    <col min="1" max="1" width="47.25" style="3" customWidth="1"/>
    <col min="2" max="2" width="14.875" style="3" customWidth="1" outlineLevel="1"/>
    <col min="3" max="3" width="19.25" style="3" customWidth="1" outlineLevel="1"/>
    <col min="4" max="4" width="7.875" style="3" customWidth="1"/>
    <col min="5" max="5" width="11.25" style="3" hidden="1" customWidth="1" outlineLevel="1"/>
    <col min="6" max="6" width="9.625" style="3" customWidth="1" collapsed="1"/>
    <col min="7" max="7" width="10.375" style="3" customWidth="1"/>
    <col min="8" max="8" width="9" style="3" outlineLevel="1"/>
    <col min="9" max="9" width="11.75" style="3" bestFit="1" customWidth="1" outlineLevel="1"/>
    <col min="10" max="10" width="2.125" style="3" customWidth="1" outlineLevel="1"/>
    <col min="11" max="11" width="9.625" style="3" customWidth="1" outlineLevel="1"/>
    <col min="12" max="12" width="12.125" style="3" customWidth="1" outlineLevel="1"/>
    <col min="13" max="13" width="4.625" style="3" customWidth="1"/>
    <col min="14" max="15" width="11.25" style="3" customWidth="1"/>
    <col min="16" max="16" width="41.375" style="3" customWidth="1"/>
    <col min="17" max="16384" width="9" style="3"/>
  </cols>
  <sheetData>
    <row r="1" spans="1:14">
      <c r="A1" s="2" t="s">
        <v>1875</v>
      </c>
      <c r="B1" s="127"/>
      <c r="C1" s="1773" t="s">
        <v>1253</v>
      </c>
      <c r="D1" s="3">
        <f>D25+D29+D30+D33+D34+D35+SUM(D37:D46)+SUM(D63:D132)+D137+D138-D71+D52</f>
        <v>24763</v>
      </c>
      <c r="E1" s="121">
        <f>D1/D140</f>
        <v>1.0870977654857543</v>
      </c>
      <c r="F1" s="7">
        <f>D2/D1</f>
        <v>0.30040786657513224</v>
      </c>
    </row>
    <row r="2" spans="1:14">
      <c r="D2" s="3">
        <f>D29+D38+D66+D72+D73+D74+D83+D80+D91+D97+D101+D119+D121+D126+D138+D67+D98+D78+D104+D63+D88+D70+D130</f>
        <v>7439</v>
      </c>
      <c r="E2" s="121">
        <f>D2/D1</f>
        <v>0.30040786657513224</v>
      </c>
      <c r="F2" s="121">
        <f>D2/(D140+D59)</f>
        <v>0.14574557708508845</v>
      </c>
    </row>
    <row r="3" spans="1:14">
      <c r="F3" s="17" t="s">
        <v>872</v>
      </c>
      <c r="G3" s="18"/>
      <c r="K3" s="17"/>
      <c r="L3" s="17"/>
    </row>
    <row r="4" spans="1:14">
      <c r="A4" s="230" t="s">
        <v>1471</v>
      </c>
      <c r="B4" s="810" t="s">
        <v>1158</v>
      </c>
      <c r="C4" s="810" t="s">
        <v>1159</v>
      </c>
      <c r="D4" s="805" t="s">
        <v>2076</v>
      </c>
      <c r="E4" s="805" t="s">
        <v>1233</v>
      </c>
      <c r="F4" s="805" t="s">
        <v>2293</v>
      </c>
      <c r="G4" s="805" t="s">
        <v>56</v>
      </c>
      <c r="I4" s="3" t="s">
        <v>1469</v>
      </c>
      <c r="K4" s="805"/>
      <c r="L4" s="805"/>
    </row>
    <row r="5" spans="1:14">
      <c r="A5" s="15" t="s">
        <v>656</v>
      </c>
      <c r="B5" s="225"/>
      <c r="C5" s="225"/>
      <c r="D5" s="227"/>
      <c r="E5" s="227"/>
      <c r="F5" s="227"/>
      <c r="G5" s="227"/>
      <c r="K5" s="227"/>
      <c r="L5" s="227"/>
      <c r="N5" s="3" t="s">
        <v>1935</v>
      </c>
    </row>
    <row r="6" spans="1:14">
      <c r="A6" s="3" t="s">
        <v>191</v>
      </c>
      <c r="B6" s="3" t="s">
        <v>1938</v>
      </c>
      <c r="C6" s="3" t="s">
        <v>371</v>
      </c>
      <c r="D6" s="9">
        <v>2860</v>
      </c>
      <c r="E6" s="16">
        <v>1</v>
      </c>
      <c r="F6" s="9">
        <v>550000</v>
      </c>
      <c r="G6" s="3">
        <f t="shared" ref="G6:G51" si="0">D6*F6/1000000</f>
        <v>1573</v>
      </c>
      <c r="I6" s="1734" t="s">
        <v>530</v>
      </c>
      <c r="K6" s="9"/>
      <c r="L6" s="11"/>
      <c r="N6" s="1531">
        <f t="shared" ref="N6:N13" si="1">G6</f>
        <v>1573</v>
      </c>
    </row>
    <row r="7" spans="1:14">
      <c r="A7" s="3" t="s">
        <v>711</v>
      </c>
      <c r="B7" s="3" t="s">
        <v>1936</v>
      </c>
      <c r="C7" s="3" t="s">
        <v>1937</v>
      </c>
      <c r="D7" s="9">
        <v>1981</v>
      </c>
      <c r="E7" s="16">
        <v>1</v>
      </c>
      <c r="F7" s="9">
        <v>1000000</v>
      </c>
      <c r="G7" s="3">
        <f t="shared" si="0"/>
        <v>1981</v>
      </c>
      <c r="I7" s="1734" t="s">
        <v>526</v>
      </c>
      <c r="K7" s="9"/>
      <c r="L7" s="11"/>
      <c r="N7" s="1531">
        <f t="shared" si="1"/>
        <v>1981</v>
      </c>
    </row>
    <row r="8" spans="1:14">
      <c r="A8" s="3" t="s">
        <v>192</v>
      </c>
      <c r="B8" s="3" t="s">
        <v>1939</v>
      </c>
      <c r="C8" s="3" t="s">
        <v>1940</v>
      </c>
      <c r="D8" s="9">
        <v>1908</v>
      </c>
      <c r="E8" s="16">
        <v>1</v>
      </c>
      <c r="F8" s="9">
        <v>500000</v>
      </c>
      <c r="G8" s="3">
        <f t="shared" si="0"/>
        <v>954</v>
      </c>
      <c r="I8" s="1734" t="s">
        <v>527</v>
      </c>
      <c r="K8" s="9"/>
      <c r="L8" s="11"/>
      <c r="N8" s="1531">
        <f t="shared" si="1"/>
        <v>954</v>
      </c>
    </row>
    <row r="9" spans="1:14">
      <c r="A9" s="3" t="s">
        <v>716</v>
      </c>
      <c r="B9" s="3" t="s">
        <v>1941</v>
      </c>
      <c r="C9" s="3" t="s">
        <v>1942</v>
      </c>
      <c r="D9" s="9">
        <v>1622</v>
      </c>
      <c r="E9" s="16">
        <v>1</v>
      </c>
      <c r="F9" s="9">
        <v>300000</v>
      </c>
      <c r="G9" s="3">
        <f t="shared" si="0"/>
        <v>486.6</v>
      </c>
      <c r="I9" s="1734" t="s">
        <v>528</v>
      </c>
      <c r="K9" s="9"/>
      <c r="L9" s="11"/>
      <c r="N9" s="1531">
        <f t="shared" si="1"/>
        <v>486.6</v>
      </c>
    </row>
    <row r="10" spans="1:14">
      <c r="A10" s="3" t="s">
        <v>714</v>
      </c>
      <c r="B10" s="3" t="s">
        <v>1944</v>
      </c>
      <c r="C10" s="3" t="s">
        <v>1945</v>
      </c>
      <c r="D10" s="9">
        <v>1544</v>
      </c>
      <c r="E10" s="16">
        <v>1</v>
      </c>
      <c r="F10" s="9">
        <v>350000</v>
      </c>
      <c r="G10" s="3">
        <f t="shared" si="0"/>
        <v>540.4</v>
      </c>
      <c r="I10" s="1734" t="s">
        <v>529</v>
      </c>
      <c r="K10" s="9"/>
      <c r="L10" s="11"/>
      <c r="N10" s="1531">
        <f t="shared" si="1"/>
        <v>540.4</v>
      </c>
    </row>
    <row r="11" spans="1:14">
      <c r="A11" s="3" t="s">
        <v>713</v>
      </c>
      <c r="B11" s="3" t="s">
        <v>1946</v>
      </c>
      <c r="C11" s="3" t="s">
        <v>371</v>
      </c>
      <c r="D11" s="9">
        <v>1241</v>
      </c>
      <c r="E11" s="16">
        <v>1</v>
      </c>
      <c r="F11" s="9">
        <v>550000</v>
      </c>
      <c r="G11" s="3">
        <f t="shared" si="0"/>
        <v>682.55</v>
      </c>
      <c r="I11" s="3" t="str">
        <f>I6</f>
        <v>CY Waikiki Beach 6/13 $318k/key; Hyatt Place Waikiki 6/13 $325k/key; Hyatt Regency 8/13 $366k/key; per HVS '14 outlook remains +</v>
      </c>
      <c r="K11" s="9"/>
      <c r="L11" s="11"/>
      <c r="N11" s="1531">
        <f t="shared" si="1"/>
        <v>682.55</v>
      </c>
    </row>
    <row r="12" spans="1:14">
      <c r="A12" s="3" t="s">
        <v>193</v>
      </c>
      <c r="B12" s="3" t="s">
        <v>1947</v>
      </c>
      <c r="C12" s="3" t="s">
        <v>1948</v>
      </c>
      <c r="D12" s="9">
        <v>915</v>
      </c>
      <c r="E12" s="16">
        <v>1</v>
      </c>
      <c r="F12" s="9">
        <v>325000</v>
      </c>
      <c r="G12" s="3">
        <f t="shared" si="0"/>
        <v>297.375</v>
      </c>
      <c r="I12" s="1734" t="s">
        <v>1948</v>
      </c>
      <c r="K12" s="9"/>
      <c r="L12" s="11"/>
      <c r="N12" s="130"/>
    </row>
    <row r="13" spans="1:14">
      <c r="A13" s="3" t="s">
        <v>194</v>
      </c>
      <c r="B13" s="3" t="s">
        <v>1944</v>
      </c>
      <c r="C13" s="3" t="s">
        <v>1945</v>
      </c>
      <c r="D13" s="9">
        <v>860</v>
      </c>
      <c r="E13" s="16">
        <v>1</v>
      </c>
      <c r="F13" s="9">
        <v>250000</v>
      </c>
      <c r="G13" s="3">
        <f t="shared" si="0"/>
        <v>215</v>
      </c>
      <c r="K13" s="9"/>
      <c r="L13" s="11"/>
      <c r="N13" s="1531">
        <f t="shared" si="1"/>
        <v>215</v>
      </c>
    </row>
    <row r="14" spans="1:14">
      <c r="A14" s="3" t="s">
        <v>195</v>
      </c>
      <c r="B14" s="3" t="s">
        <v>1949</v>
      </c>
      <c r="C14" s="3" t="s">
        <v>1950</v>
      </c>
      <c r="D14" s="9">
        <v>814</v>
      </c>
      <c r="E14" s="16">
        <v>1</v>
      </c>
      <c r="F14" s="9">
        <v>300000</v>
      </c>
      <c r="G14" s="3">
        <f t="shared" si="0"/>
        <v>244.2</v>
      </c>
      <c r="K14" s="9"/>
      <c r="L14" s="11"/>
      <c r="N14" s="3">
        <f>SUM(N6:N13)</f>
        <v>6432.55</v>
      </c>
    </row>
    <row r="15" spans="1:14">
      <c r="A15" s="3" t="s">
        <v>2348</v>
      </c>
      <c r="B15" s="3" t="s">
        <v>1949</v>
      </c>
      <c r="C15" s="3" t="s">
        <v>1950</v>
      </c>
      <c r="D15" s="9">
        <v>1001</v>
      </c>
      <c r="E15" s="2421"/>
      <c r="F15" s="9">
        <v>610000</v>
      </c>
      <c r="G15" s="3">
        <f t="shared" si="0"/>
        <v>610.61</v>
      </c>
      <c r="I15" s="1734" t="s">
        <v>2355</v>
      </c>
      <c r="K15" s="9"/>
      <c r="L15" s="11"/>
    </row>
    <row r="16" spans="1:14">
      <c r="A16" s="3" t="s">
        <v>2349</v>
      </c>
      <c r="B16" s="3" t="s">
        <v>1949</v>
      </c>
      <c r="C16" s="3" t="s">
        <v>1950</v>
      </c>
      <c r="D16" s="9">
        <v>498</v>
      </c>
      <c r="E16" s="2421"/>
      <c r="F16" s="9">
        <v>610000</v>
      </c>
      <c r="G16" s="3">
        <f t="shared" si="0"/>
        <v>303.77999999999997</v>
      </c>
      <c r="I16" s="1734" t="s">
        <v>2355</v>
      </c>
      <c r="K16" s="9"/>
      <c r="L16" s="11"/>
    </row>
    <row r="17" spans="1:16">
      <c r="A17" s="3" t="s">
        <v>2350</v>
      </c>
      <c r="B17" s="1734" t="s">
        <v>2434</v>
      </c>
      <c r="C17" s="3" t="s">
        <v>1950</v>
      </c>
      <c r="D17" s="9">
        <v>150</v>
      </c>
      <c r="E17" s="2421"/>
      <c r="F17" s="9">
        <v>610000</v>
      </c>
      <c r="G17" s="3">
        <f t="shared" si="0"/>
        <v>91.5</v>
      </c>
      <c r="I17" s="1734" t="s">
        <v>2355</v>
      </c>
      <c r="K17" s="9"/>
      <c r="L17" s="11"/>
    </row>
    <row r="18" spans="1:16">
      <c r="A18" s="3" t="s">
        <v>2351</v>
      </c>
      <c r="B18" s="1734" t="s">
        <v>2434</v>
      </c>
      <c r="C18" s="3" t="s">
        <v>1950</v>
      </c>
      <c r="D18" s="9">
        <v>311</v>
      </c>
      <c r="E18" s="2421"/>
      <c r="F18" s="9">
        <v>610000</v>
      </c>
      <c r="G18" s="3">
        <f t="shared" si="0"/>
        <v>189.71</v>
      </c>
      <c r="I18" s="1734" t="s">
        <v>2355</v>
      </c>
      <c r="K18" s="9"/>
      <c r="L18" s="11"/>
    </row>
    <row r="19" spans="1:16">
      <c r="A19" s="3" t="s">
        <v>2352</v>
      </c>
      <c r="B19" s="1734" t="s">
        <v>1939</v>
      </c>
      <c r="C19" s="1734" t="s">
        <v>1940</v>
      </c>
      <c r="D19" s="9">
        <v>1024</v>
      </c>
      <c r="E19" s="2421"/>
      <c r="F19" s="9">
        <v>610000</v>
      </c>
      <c r="G19" s="3">
        <f t="shared" si="0"/>
        <v>624.64</v>
      </c>
      <c r="I19" s="1734" t="s">
        <v>2355</v>
      </c>
      <c r="K19" s="9"/>
      <c r="L19" s="11"/>
    </row>
    <row r="20" spans="1:16">
      <c r="A20" s="1734" t="s">
        <v>2435</v>
      </c>
      <c r="B20" s="1734" t="s">
        <v>2436</v>
      </c>
      <c r="C20" s="1734" t="s">
        <v>1940</v>
      </c>
      <c r="D20" s="9">
        <v>224</v>
      </c>
      <c r="E20" s="16"/>
      <c r="F20" s="9">
        <v>500000</v>
      </c>
      <c r="G20" s="3">
        <f>D20*F20/1000000</f>
        <v>112</v>
      </c>
      <c r="I20" s="1734" t="s">
        <v>2374</v>
      </c>
      <c r="K20" s="9"/>
      <c r="L20" s="11"/>
    </row>
    <row r="21" spans="1:16">
      <c r="A21" s="3" t="s">
        <v>196</v>
      </c>
      <c r="B21" s="3" t="s">
        <v>1951</v>
      </c>
      <c r="C21" s="3" t="s">
        <v>1952</v>
      </c>
      <c r="D21" s="9">
        <v>599</v>
      </c>
      <c r="E21" s="16">
        <v>1</v>
      </c>
      <c r="F21" s="9">
        <v>250000</v>
      </c>
      <c r="G21" s="3">
        <f t="shared" si="0"/>
        <v>149.75</v>
      </c>
      <c r="K21" s="9"/>
      <c r="L21" s="11"/>
    </row>
    <row r="22" spans="1:16">
      <c r="A22" s="3" t="s">
        <v>634</v>
      </c>
      <c r="B22" s="3" t="s">
        <v>1954</v>
      </c>
      <c r="C22" s="3" t="s">
        <v>1955</v>
      </c>
      <c r="D22" s="9">
        <v>563</v>
      </c>
      <c r="E22" s="16">
        <v>1</v>
      </c>
      <c r="F22" s="9">
        <v>300000</v>
      </c>
      <c r="G22" s="3">
        <f t="shared" si="0"/>
        <v>168.9</v>
      </c>
      <c r="K22" s="9"/>
      <c r="L22" s="11"/>
    </row>
    <row r="23" spans="1:16">
      <c r="A23" s="3" t="s">
        <v>635</v>
      </c>
      <c r="B23" s="3" t="s">
        <v>1956</v>
      </c>
      <c r="C23" s="3" t="s">
        <v>1950</v>
      </c>
      <c r="D23" s="9">
        <v>508</v>
      </c>
      <c r="E23" s="16">
        <v>1</v>
      </c>
      <c r="F23" s="9">
        <v>250000</v>
      </c>
      <c r="G23" s="3">
        <f t="shared" si="0"/>
        <v>127</v>
      </c>
      <c r="K23" s="9"/>
      <c r="L23" s="11"/>
    </row>
    <row r="24" spans="1:16">
      <c r="A24" s="3" t="s">
        <v>636</v>
      </c>
      <c r="B24" s="3" t="s">
        <v>1957</v>
      </c>
      <c r="C24" s="3" t="s">
        <v>1958</v>
      </c>
      <c r="D24" s="9">
        <v>507</v>
      </c>
      <c r="E24" s="16">
        <v>1</v>
      </c>
      <c r="F24" s="9">
        <v>225000</v>
      </c>
      <c r="G24" s="3">
        <f t="shared" si="0"/>
        <v>114.075</v>
      </c>
      <c r="K24" s="9"/>
      <c r="L24" s="11"/>
    </row>
    <row r="25" spans="1:16">
      <c r="A25" s="3" t="s">
        <v>637</v>
      </c>
      <c r="B25" s="3" t="s">
        <v>1959</v>
      </c>
      <c r="C25" s="3" t="s">
        <v>1960</v>
      </c>
      <c r="D25" s="9">
        <v>503</v>
      </c>
      <c r="E25" s="16">
        <v>1</v>
      </c>
      <c r="F25" s="9">
        <v>350000</v>
      </c>
      <c r="G25" s="3">
        <f t="shared" si="0"/>
        <v>176.05</v>
      </c>
      <c r="K25" s="9"/>
      <c r="L25" s="11"/>
    </row>
    <row r="26" spans="1:16">
      <c r="A26" s="3" t="s">
        <v>638</v>
      </c>
      <c r="B26" s="3" t="s">
        <v>1961</v>
      </c>
      <c r="C26" s="3" t="s">
        <v>1962</v>
      </c>
      <c r="D26" s="9">
        <v>458</v>
      </c>
      <c r="E26" s="16">
        <v>1</v>
      </c>
      <c r="F26" s="9">
        <v>200000</v>
      </c>
      <c r="G26" s="3">
        <f t="shared" si="0"/>
        <v>91.6</v>
      </c>
      <c r="K26" s="9"/>
      <c r="L26" s="11"/>
    </row>
    <row r="27" spans="1:16">
      <c r="A27" s="3" t="s">
        <v>33</v>
      </c>
      <c r="B27" s="3" t="s">
        <v>1963</v>
      </c>
      <c r="C27" s="3" t="s">
        <v>1964</v>
      </c>
      <c r="D27" s="9">
        <v>396</v>
      </c>
      <c r="E27" s="16">
        <v>1</v>
      </c>
      <c r="F27" s="9">
        <v>275000</v>
      </c>
      <c r="G27" s="3">
        <f t="shared" si="0"/>
        <v>108.9</v>
      </c>
      <c r="K27" s="9"/>
      <c r="L27" s="11"/>
    </row>
    <row r="28" spans="1:16">
      <c r="A28" s="3" t="s">
        <v>34</v>
      </c>
      <c r="B28" s="3" t="s">
        <v>1965</v>
      </c>
      <c r="C28" s="3" t="s">
        <v>1940</v>
      </c>
      <c r="D28" s="9">
        <v>359</v>
      </c>
      <c r="E28" s="16">
        <v>1</v>
      </c>
      <c r="F28" s="9">
        <v>250000</v>
      </c>
      <c r="G28" s="3">
        <f t="shared" si="0"/>
        <v>89.75</v>
      </c>
      <c r="K28" s="9"/>
      <c r="L28" s="11"/>
    </row>
    <row r="29" spans="1:16">
      <c r="A29" s="3" t="s">
        <v>35</v>
      </c>
      <c r="B29" s="3" t="s">
        <v>1966</v>
      </c>
      <c r="C29" s="3" t="s">
        <v>1967</v>
      </c>
      <c r="D29" s="9">
        <v>340</v>
      </c>
      <c r="E29" s="16">
        <v>1</v>
      </c>
      <c r="F29" s="9">
        <v>250000</v>
      </c>
      <c r="G29" s="3">
        <f t="shared" si="0"/>
        <v>85</v>
      </c>
      <c r="K29" s="9"/>
      <c r="L29" s="11"/>
    </row>
    <row r="30" spans="1:16">
      <c r="A30" s="3" t="s">
        <v>36</v>
      </c>
      <c r="B30" s="3" t="s">
        <v>1968</v>
      </c>
      <c r="C30" s="3" t="s">
        <v>1969</v>
      </c>
      <c r="D30" s="9">
        <v>327</v>
      </c>
      <c r="E30" s="16">
        <v>1</v>
      </c>
      <c r="F30" s="9">
        <v>325000</v>
      </c>
      <c r="G30" s="3">
        <f t="shared" si="0"/>
        <v>106.27500000000001</v>
      </c>
      <c r="K30" s="9"/>
      <c r="L30" s="11"/>
    </row>
    <row r="31" spans="1:16">
      <c r="A31" s="3" t="s">
        <v>37</v>
      </c>
      <c r="B31" s="3" t="s">
        <v>1970</v>
      </c>
      <c r="C31" s="3" t="s">
        <v>1942</v>
      </c>
      <c r="D31" s="9">
        <v>317</v>
      </c>
      <c r="E31" s="16">
        <v>1</v>
      </c>
      <c r="F31" s="9">
        <v>200000</v>
      </c>
      <c r="G31" s="3">
        <f t="shared" si="0"/>
        <v>63.4</v>
      </c>
      <c r="K31" s="9"/>
      <c r="L31" s="11"/>
      <c r="O31" s="15"/>
      <c r="P31" s="15"/>
    </row>
    <row r="32" spans="1:16">
      <c r="A32" s="3" t="s">
        <v>38</v>
      </c>
      <c r="B32" s="3" t="s">
        <v>1971</v>
      </c>
      <c r="C32" s="3" t="s">
        <v>1972</v>
      </c>
      <c r="D32" s="9">
        <v>304</v>
      </c>
      <c r="E32" s="16">
        <v>1</v>
      </c>
      <c r="F32" s="9">
        <v>225000</v>
      </c>
      <c r="G32" s="3">
        <f t="shared" si="0"/>
        <v>68.400000000000006</v>
      </c>
      <c r="K32" s="9"/>
      <c r="L32" s="11"/>
      <c r="O32" s="15"/>
      <c r="P32" s="15"/>
    </row>
    <row r="33" spans="1:16">
      <c r="A33" s="3" t="s">
        <v>39</v>
      </c>
      <c r="B33" s="3" t="s">
        <v>1973</v>
      </c>
      <c r="C33" s="3" t="s">
        <v>1974</v>
      </c>
      <c r="D33" s="9">
        <v>277</v>
      </c>
      <c r="E33" s="16">
        <v>1</v>
      </c>
      <c r="F33" s="9">
        <v>250000</v>
      </c>
      <c r="G33" s="3">
        <f t="shared" si="0"/>
        <v>69.25</v>
      </c>
      <c r="K33" s="9"/>
      <c r="L33" s="11"/>
      <c r="N33" s="7"/>
      <c r="O33" s="10"/>
      <c r="P33" s="10"/>
    </row>
    <row r="34" spans="1:16">
      <c r="A34" s="3" t="s">
        <v>40</v>
      </c>
      <c r="B34" s="3" t="s">
        <v>1975</v>
      </c>
      <c r="C34" s="3" t="s">
        <v>1976</v>
      </c>
      <c r="D34" s="9">
        <v>274</v>
      </c>
      <c r="E34" s="16">
        <v>1</v>
      </c>
      <c r="F34" s="9">
        <v>225000</v>
      </c>
      <c r="G34" s="3">
        <f t="shared" si="0"/>
        <v>61.65</v>
      </c>
      <c r="K34" s="9"/>
      <c r="L34" s="11"/>
      <c r="O34" s="10"/>
      <c r="P34" s="10"/>
    </row>
    <row r="35" spans="1:16">
      <c r="A35" s="3" t="s">
        <v>1848</v>
      </c>
      <c r="B35" s="3" t="s">
        <v>1977</v>
      </c>
      <c r="C35" s="3" t="s">
        <v>1974</v>
      </c>
      <c r="D35" s="9">
        <v>254</v>
      </c>
      <c r="E35" s="16">
        <v>1</v>
      </c>
      <c r="F35" s="9">
        <v>250000</v>
      </c>
      <c r="G35" s="3">
        <f t="shared" si="0"/>
        <v>63.5</v>
      </c>
      <c r="K35" s="9"/>
      <c r="L35" s="11"/>
      <c r="N35" s="15"/>
      <c r="O35" s="10"/>
      <c r="P35" s="10"/>
    </row>
    <row r="36" spans="1:16">
      <c r="A36" s="3" t="s">
        <v>1849</v>
      </c>
      <c r="B36" s="3" t="s">
        <v>1978</v>
      </c>
      <c r="C36" s="3" t="s">
        <v>1945</v>
      </c>
      <c r="D36" s="9">
        <v>211</v>
      </c>
      <c r="E36" s="16">
        <v>1</v>
      </c>
      <c r="F36" s="9">
        <v>250000</v>
      </c>
      <c r="G36" s="3">
        <f t="shared" si="0"/>
        <v>52.75</v>
      </c>
      <c r="I36" s="1734" t="s">
        <v>531</v>
      </c>
      <c r="K36" s="9"/>
      <c r="L36" s="11"/>
      <c r="N36" s="15"/>
      <c r="O36" s="15"/>
      <c r="P36" s="15"/>
    </row>
    <row r="37" spans="1:16">
      <c r="A37" s="3" t="s">
        <v>1850</v>
      </c>
      <c r="B37" s="3" t="s">
        <v>1979</v>
      </c>
      <c r="C37" s="3" t="s">
        <v>1976</v>
      </c>
      <c r="D37" s="9">
        <v>198</v>
      </c>
      <c r="E37" s="16">
        <v>1</v>
      </c>
      <c r="F37" s="9">
        <v>225000</v>
      </c>
      <c r="G37" s="3">
        <f t="shared" si="0"/>
        <v>44.55</v>
      </c>
      <c r="K37" s="9"/>
      <c r="L37" s="11"/>
      <c r="N37" s="15"/>
      <c r="O37" s="15"/>
      <c r="P37" s="15"/>
    </row>
    <row r="38" spans="1:16">
      <c r="A38" s="3" t="s">
        <v>1851</v>
      </c>
      <c r="B38" s="3" t="s">
        <v>1980</v>
      </c>
      <c r="C38" s="3" t="s">
        <v>1976</v>
      </c>
      <c r="D38" s="9">
        <v>184</v>
      </c>
      <c r="E38" s="16">
        <v>1</v>
      </c>
      <c r="F38" s="9">
        <v>550000</v>
      </c>
      <c r="G38" s="3">
        <f t="shared" si="0"/>
        <v>101.2</v>
      </c>
      <c r="I38" s="1734" t="s">
        <v>532</v>
      </c>
      <c r="K38" s="9"/>
      <c r="L38" s="11"/>
      <c r="N38" s="15"/>
      <c r="O38" s="15"/>
      <c r="P38" s="15"/>
    </row>
    <row r="39" spans="1:16">
      <c r="A39" s="3" t="s">
        <v>1852</v>
      </c>
      <c r="B39" s="3" t="s">
        <v>1981</v>
      </c>
      <c r="C39" s="3" t="s">
        <v>1976</v>
      </c>
      <c r="D39" s="9">
        <v>184</v>
      </c>
      <c r="E39" s="16">
        <v>1</v>
      </c>
      <c r="F39" s="9">
        <v>250000</v>
      </c>
      <c r="G39" s="3">
        <f t="shared" si="0"/>
        <v>46</v>
      </c>
      <c r="K39" s="9"/>
      <c r="L39" s="11"/>
      <c r="N39" s="15"/>
      <c r="O39" s="10"/>
      <c r="P39" s="10"/>
    </row>
    <row r="40" spans="1:16">
      <c r="A40" s="3" t="s">
        <v>1853</v>
      </c>
      <c r="B40" s="3" t="s">
        <v>1982</v>
      </c>
      <c r="C40" s="3" t="s">
        <v>1976</v>
      </c>
      <c r="D40" s="9">
        <v>175</v>
      </c>
      <c r="E40" s="16">
        <v>1</v>
      </c>
      <c r="F40" s="9">
        <v>225000</v>
      </c>
      <c r="G40" s="3">
        <f t="shared" si="0"/>
        <v>39.375</v>
      </c>
      <c r="K40" s="9"/>
      <c r="L40" s="11"/>
      <c r="N40" s="15"/>
      <c r="O40" s="10"/>
      <c r="P40" s="10"/>
    </row>
    <row r="41" spans="1:16">
      <c r="A41" s="3" t="s">
        <v>1854</v>
      </c>
      <c r="B41" s="3" t="s">
        <v>1983</v>
      </c>
      <c r="C41" s="3" t="s">
        <v>1976</v>
      </c>
      <c r="D41" s="9">
        <v>173</v>
      </c>
      <c r="E41" s="16">
        <v>1</v>
      </c>
      <c r="F41" s="9">
        <v>225000</v>
      </c>
      <c r="G41" s="3">
        <f t="shared" si="0"/>
        <v>38.924999999999997</v>
      </c>
      <c r="K41" s="9"/>
      <c r="L41" s="11"/>
      <c r="N41" s="15"/>
      <c r="O41" s="15"/>
      <c r="P41" s="15"/>
    </row>
    <row r="42" spans="1:16">
      <c r="A42" s="3" t="s">
        <v>1855</v>
      </c>
      <c r="B42" s="3" t="s">
        <v>1984</v>
      </c>
      <c r="C42" s="3" t="s">
        <v>1985</v>
      </c>
      <c r="D42" s="9">
        <v>152</v>
      </c>
      <c r="E42" s="16">
        <v>1</v>
      </c>
      <c r="F42" s="9">
        <v>325000</v>
      </c>
      <c r="G42" s="3">
        <f t="shared" si="0"/>
        <v>49.4</v>
      </c>
      <c r="K42" s="9"/>
      <c r="L42" s="11"/>
      <c r="N42" s="15"/>
      <c r="O42" s="15"/>
      <c r="P42" s="15"/>
    </row>
    <row r="43" spans="1:16">
      <c r="A43" s="3" t="s">
        <v>641</v>
      </c>
      <c r="B43" s="3" t="s">
        <v>1986</v>
      </c>
      <c r="C43" s="3" t="s">
        <v>1976</v>
      </c>
      <c r="D43" s="9">
        <v>138</v>
      </c>
      <c r="E43" s="16">
        <v>1</v>
      </c>
      <c r="F43" s="9">
        <v>225000</v>
      </c>
      <c r="G43" s="3">
        <f t="shared" si="0"/>
        <v>31.05</v>
      </c>
      <c r="K43" s="9"/>
      <c r="L43" s="11"/>
      <c r="N43" s="15"/>
      <c r="O43" s="15"/>
      <c r="P43" s="15"/>
    </row>
    <row r="44" spans="1:16">
      <c r="A44" s="3" t="s">
        <v>642</v>
      </c>
      <c r="B44" s="3" t="s">
        <v>1987</v>
      </c>
      <c r="C44" s="3" t="s">
        <v>1976</v>
      </c>
      <c r="D44" s="9">
        <v>129</v>
      </c>
      <c r="E44" s="16">
        <v>1</v>
      </c>
      <c r="F44" s="9">
        <v>275000</v>
      </c>
      <c r="G44" s="3">
        <f t="shared" si="0"/>
        <v>35.475000000000001</v>
      </c>
      <c r="K44" s="9"/>
      <c r="L44" s="11"/>
      <c r="N44" s="15"/>
    </row>
    <row r="45" spans="1:16">
      <c r="A45" s="3" t="s">
        <v>643</v>
      </c>
      <c r="B45" s="3" t="s">
        <v>1988</v>
      </c>
      <c r="C45" s="3" t="s">
        <v>1976</v>
      </c>
      <c r="D45" s="9">
        <v>128</v>
      </c>
      <c r="E45" s="16">
        <v>1</v>
      </c>
      <c r="F45" s="9">
        <v>225000</v>
      </c>
      <c r="G45" s="3">
        <f t="shared" si="0"/>
        <v>28.8</v>
      </c>
      <c r="K45" s="9"/>
      <c r="L45" s="11"/>
      <c r="N45" s="15"/>
    </row>
    <row r="46" spans="1:16">
      <c r="A46" s="3" t="s">
        <v>644</v>
      </c>
      <c r="B46" s="3" t="s">
        <v>1989</v>
      </c>
      <c r="C46" s="3" t="s">
        <v>1976</v>
      </c>
      <c r="D46" s="9">
        <v>119</v>
      </c>
      <c r="E46" s="16">
        <v>1</v>
      </c>
      <c r="F46" s="9">
        <v>225000</v>
      </c>
      <c r="G46" s="3">
        <f t="shared" si="0"/>
        <v>26.774999999999999</v>
      </c>
      <c r="K46" s="9"/>
      <c r="L46" s="11"/>
      <c r="N46" s="15"/>
    </row>
    <row r="47" spans="1:16">
      <c r="A47" s="3" t="s">
        <v>645</v>
      </c>
      <c r="B47" s="3" t="s">
        <v>1990</v>
      </c>
      <c r="C47" s="3" t="s">
        <v>1991</v>
      </c>
      <c r="D47" s="9">
        <v>318</v>
      </c>
      <c r="E47" s="16">
        <v>1</v>
      </c>
      <c r="F47" s="9">
        <v>225000</v>
      </c>
      <c r="G47" s="3">
        <f t="shared" si="0"/>
        <v>71.55</v>
      </c>
      <c r="I47" s="3" t="s">
        <v>1943</v>
      </c>
      <c r="K47" s="9"/>
      <c r="L47" s="11"/>
      <c r="N47" s="15"/>
    </row>
    <row r="48" spans="1:16">
      <c r="A48" s="3" t="s">
        <v>646</v>
      </c>
      <c r="B48" s="3" t="s">
        <v>1992</v>
      </c>
      <c r="C48" s="3" t="s">
        <v>1993</v>
      </c>
      <c r="D48" s="9">
        <v>259</v>
      </c>
      <c r="E48" s="16">
        <v>1</v>
      </c>
      <c r="F48" s="9">
        <v>275000</v>
      </c>
      <c r="G48" s="3">
        <f t="shared" si="0"/>
        <v>71.224999999999994</v>
      </c>
      <c r="K48" s="9"/>
      <c r="L48" s="11"/>
    </row>
    <row r="49" spans="1:16">
      <c r="A49" s="3" t="s">
        <v>647</v>
      </c>
      <c r="B49" s="3" t="s">
        <v>1954</v>
      </c>
      <c r="C49" s="3" t="s">
        <v>1955</v>
      </c>
      <c r="D49" s="9">
        <v>182</v>
      </c>
      <c r="E49" s="16">
        <v>1</v>
      </c>
      <c r="F49" s="9">
        <v>275000</v>
      </c>
      <c r="G49" s="3">
        <f t="shared" si="0"/>
        <v>50.05</v>
      </c>
      <c r="K49" s="9"/>
      <c r="L49" s="11"/>
    </row>
    <row r="50" spans="1:16">
      <c r="A50" s="3" t="s">
        <v>648</v>
      </c>
      <c r="B50" s="3" t="s">
        <v>1994</v>
      </c>
      <c r="C50" s="3" t="s">
        <v>1962</v>
      </c>
      <c r="D50" s="9">
        <v>631</v>
      </c>
      <c r="E50" s="16">
        <v>1</v>
      </c>
      <c r="F50" s="9">
        <v>125000</v>
      </c>
      <c r="G50" s="3">
        <f t="shared" si="0"/>
        <v>78.875</v>
      </c>
      <c r="K50" s="9"/>
      <c r="L50" s="11"/>
    </row>
    <row r="51" spans="1:16">
      <c r="A51" s="3" t="s">
        <v>649</v>
      </c>
      <c r="B51" s="3" t="s">
        <v>1995</v>
      </c>
      <c r="C51" s="3" t="s">
        <v>1940</v>
      </c>
      <c r="D51" s="9">
        <v>505</v>
      </c>
      <c r="E51" s="16">
        <v>1</v>
      </c>
      <c r="F51" s="9">
        <v>175000</v>
      </c>
      <c r="G51" s="3">
        <f t="shared" si="0"/>
        <v>88.375</v>
      </c>
      <c r="K51" s="9"/>
      <c r="L51" s="11"/>
    </row>
    <row r="52" spans="1:16">
      <c r="A52" s="3" t="s">
        <v>650</v>
      </c>
      <c r="B52" s="3" t="s">
        <v>1996</v>
      </c>
      <c r="C52" s="1734" t="s">
        <v>474</v>
      </c>
      <c r="D52" s="9">
        <v>482</v>
      </c>
      <c r="E52" s="16">
        <v>0.67</v>
      </c>
      <c r="F52" s="9">
        <v>175000</v>
      </c>
      <c r="G52" s="3">
        <f>D52*F52*E52/1000000</f>
        <v>56.514499999999998</v>
      </c>
      <c r="K52" s="9"/>
      <c r="O52" s="15"/>
      <c r="P52" s="15"/>
    </row>
    <row r="53" spans="1:16">
      <c r="A53" s="3" t="s">
        <v>651</v>
      </c>
      <c r="B53" s="3" t="s">
        <v>1997</v>
      </c>
      <c r="C53" s="3" t="s">
        <v>1964</v>
      </c>
      <c r="D53" s="9">
        <v>375</v>
      </c>
      <c r="E53" s="16">
        <v>0.1</v>
      </c>
      <c r="F53" s="9">
        <v>150000</v>
      </c>
      <c r="G53" s="3">
        <f>D53*F53*E53/1000000</f>
        <v>5.625</v>
      </c>
      <c r="K53" s="9"/>
      <c r="O53" s="15"/>
      <c r="P53" s="15"/>
    </row>
    <row r="54" spans="1:16">
      <c r="A54" s="3" t="s">
        <v>652</v>
      </c>
      <c r="B54" s="3" t="s">
        <v>1998</v>
      </c>
      <c r="C54" s="3" t="s">
        <v>1940</v>
      </c>
      <c r="D54" s="9">
        <v>360</v>
      </c>
      <c r="E54" s="16">
        <v>0.5</v>
      </c>
      <c r="F54" s="9">
        <v>175000</v>
      </c>
      <c r="G54" s="3">
        <f>D54*F54*E54/1000000</f>
        <v>31.5</v>
      </c>
      <c r="K54" s="9"/>
      <c r="O54" s="15"/>
      <c r="P54" s="15"/>
    </row>
    <row r="55" spans="1:16">
      <c r="A55" s="3" t="s">
        <v>653</v>
      </c>
      <c r="B55" s="3" t="s">
        <v>1999</v>
      </c>
      <c r="C55" s="3" t="s">
        <v>1940</v>
      </c>
      <c r="D55" s="9">
        <v>162</v>
      </c>
      <c r="E55" s="16">
        <v>1</v>
      </c>
      <c r="F55" s="9">
        <v>125000</v>
      </c>
      <c r="G55" s="3">
        <f>D55*F55/1000000</f>
        <v>20.25</v>
      </c>
      <c r="K55" s="9"/>
      <c r="L55" s="11"/>
      <c r="O55" s="15"/>
      <c r="P55" s="15"/>
    </row>
    <row r="56" spans="1:16">
      <c r="A56" s="3" t="s">
        <v>654</v>
      </c>
      <c r="B56" s="3" t="s">
        <v>1978</v>
      </c>
      <c r="C56" s="3" t="s">
        <v>1945</v>
      </c>
      <c r="D56" s="9">
        <v>128</v>
      </c>
      <c r="E56" s="16">
        <v>1</v>
      </c>
      <c r="F56" s="9">
        <v>125000</v>
      </c>
      <c r="G56" s="3">
        <f>D56*F56/1000000</f>
        <v>16</v>
      </c>
      <c r="K56" s="9"/>
      <c r="L56" s="11"/>
      <c r="N56" s="15"/>
      <c r="O56" s="15"/>
      <c r="P56" s="15"/>
    </row>
    <row r="57" spans="1:16">
      <c r="A57" s="3" t="s">
        <v>655</v>
      </c>
      <c r="B57" s="3" t="s">
        <v>2000</v>
      </c>
      <c r="C57" s="3" t="s">
        <v>2001</v>
      </c>
      <c r="D57" s="9">
        <v>130</v>
      </c>
      <c r="E57" s="16">
        <v>1</v>
      </c>
      <c r="F57" s="9">
        <v>125000</v>
      </c>
      <c r="G57" s="3">
        <f>D57*F57/1000000</f>
        <v>16.25</v>
      </c>
      <c r="K57" s="9"/>
      <c r="L57" s="11"/>
      <c r="N57" s="15"/>
      <c r="O57" s="15"/>
      <c r="P57" s="15"/>
    </row>
    <row r="58" spans="1:16" ht="3.95" customHeight="1">
      <c r="D58" s="9"/>
      <c r="E58" s="16"/>
      <c r="F58" s="9"/>
      <c r="K58" s="9"/>
      <c r="L58" s="11"/>
      <c r="N58" s="15"/>
      <c r="O58" s="15"/>
      <c r="P58" s="15"/>
    </row>
    <row r="59" spans="1:16">
      <c r="A59" s="645" t="s">
        <v>838</v>
      </c>
      <c r="B59" s="645" t="s">
        <v>659</v>
      </c>
      <c r="C59" s="645"/>
      <c r="D59" s="645">
        <f>SUM(D6:D58)</f>
        <v>28262</v>
      </c>
      <c r="E59" s="645"/>
      <c r="F59" s="816">
        <f>G59*1000000/D59</f>
        <v>405151.06857264152</v>
      </c>
      <c r="G59" s="816">
        <f>SUM(G6:G58)</f>
        <v>11450.379499999994</v>
      </c>
      <c r="N59" s="15"/>
      <c r="O59" s="15"/>
      <c r="P59" s="15"/>
    </row>
    <row r="60" spans="1:16" ht="4.5" customHeight="1">
      <c r="D60" s="9"/>
      <c r="E60" s="16"/>
      <c r="F60" s="9"/>
      <c r="K60" s="9"/>
      <c r="N60" s="15"/>
      <c r="O60" s="15"/>
      <c r="P60" s="15"/>
    </row>
    <row r="61" spans="1:16" ht="12.75" customHeight="1">
      <c r="A61" s="230" t="s">
        <v>1471</v>
      </c>
      <c r="B61" s="810" t="s">
        <v>1158</v>
      </c>
      <c r="C61" s="810" t="s">
        <v>1159</v>
      </c>
      <c r="D61" s="805" t="s">
        <v>2076</v>
      </c>
      <c r="E61" s="805" t="s">
        <v>1233</v>
      </c>
      <c r="F61" s="805" t="s">
        <v>2293</v>
      </c>
      <c r="G61" s="805" t="s">
        <v>56</v>
      </c>
      <c r="K61" s="9"/>
      <c r="N61" s="15"/>
      <c r="O61" s="15"/>
      <c r="P61" s="15"/>
    </row>
    <row r="62" spans="1:16" ht="12.75" customHeight="1">
      <c r="A62" s="3" t="s">
        <v>657</v>
      </c>
      <c r="D62" s="9"/>
      <c r="E62" s="16"/>
      <c r="F62" s="9"/>
      <c r="K62" s="9"/>
      <c r="N62" s="15"/>
      <c r="O62" s="1777" t="s">
        <v>1376</v>
      </c>
      <c r="P62" s="15"/>
    </row>
    <row r="63" spans="1:16">
      <c r="A63" s="3" t="s">
        <v>658</v>
      </c>
      <c r="B63" s="3" t="s">
        <v>662</v>
      </c>
      <c r="C63" s="3" t="s">
        <v>663</v>
      </c>
      <c r="D63" s="9">
        <v>370</v>
      </c>
      <c r="E63" s="16"/>
      <c r="F63" s="9">
        <f>+O63*0.75</f>
        <v>412500</v>
      </c>
      <c r="G63" s="3">
        <f t="shared" ref="G63:G94" si="2">D63*F63/1000000</f>
        <v>152.625</v>
      </c>
      <c r="K63" s="244"/>
      <c r="L63" s="15"/>
      <c r="N63" s="15"/>
      <c r="O63" s="244">
        <v>550000</v>
      </c>
      <c r="P63" s="15"/>
    </row>
    <row r="64" spans="1:16">
      <c r="A64" s="1734" t="s">
        <v>519</v>
      </c>
      <c r="B64" s="3" t="s">
        <v>2002</v>
      </c>
      <c r="C64" s="3" t="s">
        <v>2003</v>
      </c>
      <c r="D64" s="9">
        <v>812</v>
      </c>
      <c r="E64" s="16"/>
      <c r="F64" s="9">
        <f t="shared" ref="F64:F127" si="3">+O64*0.75</f>
        <v>262500</v>
      </c>
      <c r="G64" s="3">
        <f t="shared" si="2"/>
        <v>213.15</v>
      </c>
      <c r="K64" s="244"/>
      <c r="L64" s="15"/>
      <c r="N64" s="15"/>
      <c r="O64" s="244">
        <v>350000</v>
      </c>
      <c r="P64" s="15"/>
    </row>
    <row r="65" spans="1:16">
      <c r="A65" s="3" t="s">
        <v>660</v>
      </c>
      <c r="B65" s="3" t="s">
        <v>2004</v>
      </c>
      <c r="C65" s="3" t="s">
        <v>2005</v>
      </c>
      <c r="D65" s="9">
        <v>771</v>
      </c>
      <c r="E65" s="16"/>
      <c r="F65" s="9">
        <f t="shared" si="3"/>
        <v>168750</v>
      </c>
      <c r="G65" s="3">
        <f t="shared" si="2"/>
        <v>130.10624999999999</v>
      </c>
      <c r="K65" s="244"/>
      <c r="L65" s="15"/>
      <c r="N65" s="15"/>
      <c r="O65" s="244">
        <v>225000</v>
      </c>
      <c r="P65" s="15"/>
    </row>
    <row r="66" spans="1:16">
      <c r="A66" s="3" t="s">
        <v>661</v>
      </c>
      <c r="B66" s="3" t="s">
        <v>1980</v>
      </c>
      <c r="C66" s="3" t="s">
        <v>2006</v>
      </c>
      <c r="D66" s="9">
        <v>601</v>
      </c>
      <c r="E66" s="16"/>
      <c r="F66" s="9">
        <f t="shared" si="3"/>
        <v>450000</v>
      </c>
      <c r="G66" s="3">
        <f t="shared" si="2"/>
        <v>270.45</v>
      </c>
      <c r="I66" s="3" t="s">
        <v>533</v>
      </c>
      <c r="K66" s="244"/>
      <c r="L66" s="15"/>
      <c r="N66" s="15"/>
      <c r="O66" s="244">
        <v>600000</v>
      </c>
      <c r="P66" s="15"/>
    </row>
    <row r="67" spans="1:16">
      <c r="A67" s="3" t="s">
        <v>664</v>
      </c>
      <c r="B67" s="3" t="s">
        <v>2007</v>
      </c>
      <c r="C67" s="3" t="s">
        <v>2008</v>
      </c>
      <c r="D67" s="9">
        <v>579</v>
      </c>
      <c r="E67" s="16"/>
      <c r="F67" s="9">
        <f t="shared" si="3"/>
        <v>225000</v>
      </c>
      <c r="G67" s="3">
        <f t="shared" si="2"/>
        <v>130.27500000000001</v>
      </c>
      <c r="K67" s="244"/>
      <c r="L67" s="15"/>
      <c r="N67" s="15"/>
      <c r="O67" s="244">
        <v>300000</v>
      </c>
      <c r="P67" s="15"/>
    </row>
    <row r="68" spans="1:16">
      <c r="A68" s="3" t="s">
        <v>665</v>
      </c>
      <c r="B68" s="3" t="s">
        <v>2009</v>
      </c>
      <c r="C68" s="3" t="s">
        <v>2010</v>
      </c>
      <c r="D68" s="9">
        <v>560</v>
      </c>
      <c r="E68" s="16"/>
      <c r="F68" s="9">
        <f t="shared" si="3"/>
        <v>168750</v>
      </c>
      <c r="G68" s="3">
        <f t="shared" si="2"/>
        <v>94.5</v>
      </c>
      <c r="K68" s="244"/>
      <c r="L68" s="15"/>
      <c r="N68" s="15"/>
      <c r="O68" s="244">
        <v>225000</v>
      </c>
      <c r="P68" s="15"/>
    </row>
    <row r="69" spans="1:16">
      <c r="A69" s="3" t="s">
        <v>2011</v>
      </c>
      <c r="B69" s="3" t="s">
        <v>2012</v>
      </c>
      <c r="C69" s="3" t="s">
        <v>2003</v>
      </c>
      <c r="D69" s="9">
        <v>525</v>
      </c>
      <c r="E69" s="16"/>
      <c r="F69" s="9">
        <f t="shared" si="3"/>
        <v>262500</v>
      </c>
      <c r="G69" s="3">
        <f t="shared" si="2"/>
        <v>137.8125</v>
      </c>
      <c r="K69" s="244"/>
      <c r="L69" s="15"/>
      <c r="N69" s="15"/>
      <c r="O69" s="244">
        <v>350000</v>
      </c>
      <c r="P69" s="15"/>
    </row>
    <row r="70" spans="1:16">
      <c r="A70" s="3" t="s">
        <v>666</v>
      </c>
      <c r="B70" s="3" t="s">
        <v>2013</v>
      </c>
      <c r="C70" s="3" t="s">
        <v>2014</v>
      </c>
      <c r="D70" s="9">
        <v>499</v>
      </c>
      <c r="E70" s="16"/>
      <c r="F70" s="9">
        <f t="shared" si="3"/>
        <v>187500</v>
      </c>
      <c r="G70" s="3">
        <f t="shared" si="2"/>
        <v>93.5625</v>
      </c>
      <c r="K70" s="244"/>
      <c r="L70" s="15"/>
      <c r="N70" s="15"/>
      <c r="O70" s="244">
        <v>250000</v>
      </c>
      <c r="P70" s="15"/>
    </row>
    <row r="71" spans="1:16">
      <c r="A71" s="3" t="s">
        <v>667</v>
      </c>
      <c r="B71" s="3" t="s">
        <v>2015</v>
      </c>
      <c r="C71" s="3" t="s">
        <v>2016</v>
      </c>
      <c r="D71" s="9">
        <v>499</v>
      </c>
      <c r="E71" s="16"/>
      <c r="F71" s="9">
        <f t="shared" si="3"/>
        <v>243750</v>
      </c>
      <c r="G71" s="3">
        <f t="shared" si="2"/>
        <v>121.63124999999999</v>
      </c>
      <c r="K71" s="244"/>
      <c r="L71" s="15"/>
      <c r="N71" s="15"/>
      <c r="O71" s="244">
        <v>325000</v>
      </c>
      <c r="P71" s="15"/>
    </row>
    <row r="72" spans="1:16">
      <c r="A72" s="3" t="s">
        <v>668</v>
      </c>
      <c r="B72" s="3" t="s">
        <v>2017</v>
      </c>
      <c r="C72" s="3" t="s">
        <v>2018</v>
      </c>
      <c r="D72" s="9">
        <v>484</v>
      </c>
      <c r="E72" s="16"/>
      <c r="F72" s="9">
        <f t="shared" si="3"/>
        <v>262500</v>
      </c>
      <c r="G72" s="3">
        <f t="shared" si="2"/>
        <v>127.05</v>
      </c>
      <c r="K72" s="244"/>
      <c r="L72" s="15"/>
      <c r="N72" s="15"/>
      <c r="O72" s="244">
        <v>350000</v>
      </c>
      <c r="P72" s="15"/>
    </row>
    <row r="73" spans="1:16">
      <c r="A73" s="3" t="s">
        <v>669</v>
      </c>
      <c r="B73" s="3" t="s">
        <v>2017</v>
      </c>
      <c r="C73" s="3" t="s">
        <v>2018</v>
      </c>
      <c r="D73" s="9">
        <v>480</v>
      </c>
      <c r="E73" s="16"/>
      <c r="F73" s="9">
        <f t="shared" si="3"/>
        <v>262500</v>
      </c>
      <c r="G73" s="3">
        <f t="shared" si="2"/>
        <v>126</v>
      </c>
      <c r="K73" s="244"/>
      <c r="L73" s="15"/>
      <c r="N73" s="15"/>
      <c r="O73" s="244">
        <v>350000</v>
      </c>
      <c r="P73" s="15"/>
    </row>
    <row r="74" spans="1:16">
      <c r="A74" s="3" t="s">
        <v>670</v>
      </c>
      <c r="B74" s="3" t="s">
        <v>1980</v>
      </c>
      <c r="C74" s="3" t="s">
        <v>1976</v>
      </c>
      <c r="D74" s="9">
        <v>453</v>
      </c>
      <c r="E74" s="16"/>
      <c r="F74" s="9">
        <f t="shared" si="3"/>
        <v>450000</v>
      </c>
      <c r="G74" s="3">
        <f t="shared" si="2"/>
        <v>203.85</v>
      </c>
      <c r="I74" s="3" t="s">
        <v>533</v>
      </c>
      <c r="K74" s="244"/>
      <c r="L74" s="15"/>
      <c r="N74" s="15"/>
      <c r="O74" s="244">
        <v>600000</v>
      </c>
      <c r="P74" s="15"/>
    </row>
    <row r="75" spans="1:16">
      <c r="A75" s="3" t="s">
        <v>671</v>
      </c>
      <c r="B75" s="3" t="s">
        <v>2019</v>
      </c>
      <c r="C75" s="3" t="s">
        <v>2020</v>
      </c>
      <c r="D75" s="9">
        <v>433</v>
      </c>
      <c r="E75" s="16"/>
      <c r="F75" s="9">
        <f t="shared" si="3"/>
        <v>262500</v>
      </c>
      <c r="G75" s="3">
        <f t="shared" si="2"/>
        <v>113.66249999999999</v>
      </c>
      <c r="K75" s="244"/>
      <c r="L75" s="15"/>
      <c r="N75" s="15"/>
      <c r="O75" s="244">
        <v>350000</v>
      </c>
      <c r="P75" s="15"/>
    </row>
    <row r="76" spans="1:16">
      <c r="A76" s="3" t="s">
        <v>672</v>
      </c>
      <c r="B76" s="3" t="s">
        <v>2021</v>
      </c>
      <c r="C76" s="3" t="s">
        <v>2018</v>
      </c>
      <c r="D76" s="9">
        <v>431</v>
      </c>
      <c r="E76" s="16"/>
      <c r="F76" s="9">
        <f t="shared" si="3"/>
        <v>243750</v>
      </c>
      <c r="G76" s="3">
        <f t="shared" si="2"/>
        <v>105.05625000000001</v>
      </c>
      <c r="K76" s="244"/>
      <c r="L76" s="15"/>
      <c r="N76" s="15"/>
      <c r="O76" s="244">
        <v>325000</v>
      </c>
      <c r="P76" s="15"/>
    </row>
    <row r="77" spans="1:16">
      <c r="A77" s="3" t="s">
        <v>673</v>
      </c>
      <c r="B77" s="3" t="s">
        <v>2022</v>
      </c>
      <c r="C77" s="3" t="s">
        <v>2023</v>
      </c>
      <c r="D77" s="9">
        <v>418</v>
      </c>
      <c r="E77" s="16"/>
      <c r="F77" s="9">
        <f t="shared" si="3"/>
        <v>225000</v>
      </c>
      <c r="G77" s="3">
        <f t="shared" si="2"/>
        <v>94.05</v>
      </c>
      <c r="K77" s="244"/>
      <c r="L77" s="15"/>
      <c r="N77" s="15"/>
      <c r="O77" s="244">
        <v>300000</v>
      </c>
      <c r="P77" s="15"/>
    </row>
    <row r="78" spans="1:16">
      <c r="A78" s="3" t="s">
        <v>674</v>
      </c>
      <c r="B78" s="3" t="s">
        <v>1980</v>
      </c>
      <c r="C78" s="3" t="s">
        <v>1976</v>
      </c>
      <c r="D78" s="9">
        <v>398</v>
      </c>
      <c r="E78" s="16"/>
      <c r="F78" s="9">
        <f t="shared" si="3"/>
        <v>225000</v>
      </c>
      <c r="G78" s="3">
        <f t="shared" si="2"/>
        <v>89.55</v>
      </c>
      <c r="K78" s="244"/>
      <c r="L78" s="15"/>
      <c r="N78" s="15"/>
      <c r="O78" s="244">
        <v>300000</v>
      </c>
      <c r="P78" s="15"/>
    </row>
    <row r="79" spans="1:16">
      <c r="A79" s="3" t="s">
        <v>675</v>
      </c>
      <c r="B79" s="3" t="s">
        <v>2024</v>
      </c>
      <c r="C79" s="3" t="s">
        <v>2014</v>
      </c>
      <c r="D79" s="9">
        <v>380</v>
      </c>
      <c r="E79" s="16"/>
      <c r="F79" s="9">
        <f t="shared" si="3"/>
        <v>168750</v>
      </c>
      <c r="G79" s="3">
        <f t="shared" si="2"/>
        <v>64.125</v>
      </c>
      <c r="K79" s="244"/>
      <c r="L79" s="15"/>
      <c r="N79" s="15"/>
      <c r="O79" s="244">
        <v>225000</v>
      </c>
      <c r="P79" s="15"/>
    </row>
    <row r="80" spans="1:16">
      <c r="A80" s="3" t="s">
        <v>676</v>
      </c>
      <c r="B80" s="3" t="s">
        <v>1980</v>
      </c>
      <c r="C80" s="3" t="s">
        <v>1976</v>
      </c>
      <c r="D80" s="9">
        <v>378</v>
      </c>
      <c r="E80" s="16"/>
      <c r="F80" s="9">
        <f t="shared" si="3"/>
        <v>412500</v>
      </c>
      <c r="G80" s="3">
        <f t="shared" si="2"/>
        <v>155.92500000000001</v>
      </c>
      <c r="K80" s="244"/>
      <c r="L80" s="15"/>
      <c r="N80" s="15"/>
      <c r="O80" s="244">
        <v>550000</v>
      </c>
      <c r="P80" s="15"/>
    </row>
    <row r="81" spans="1:16">
      <c r="A81" s="3" t="s">
        <v>677</v>
      </c>
      <c r="B81" s="3" t="s">
        <v>2025</v>
      </c>
      <c r="C81" s="3" t="s">
        <v>2026</v>
      </c>
      <c r="D81" s="9">
        <v>372</v>
      </c>
      <c r="E81" s="16"/>
      <c r="F81" s="9">
        <f t="shared" si="3"/>
        <v>168750</v>
      </c>
      <c r="G81" s="3">
        <f t="shared" si="2"/>
        <v>62.774999999999999</v>
      </c>
      <c r="K81" s="244"/>
      <c r="L81" s="15"/>
      <c r="N81" s="15"/>
      <c r="O81" s="244">
        <v>225000</v>
      </c>
      <c r="P81" s="15"/>
    </row>
    <row r="82" spans="1:16">
      <c r="A82" s="3" t="s">
        <v>678</v>
      </c>
      <c r="B82" s="3" t="s">
        <v>2007</v>
      </c>
      <c r="C82" s="3" t="s">
        <v>2008</v>
      </c>
      <c r="D82" s="9">
        <v>367</v>
      </c>
      <c r="E82" s="16"/>
      <c r="F82" s="9">
        <f t="shared" si="3"/>
        <v>225000</v>
      </c>
      <c r="G82" s="3">
        <f t="shared" si="2"/>
        <v>82.575000000000003</v>
      </c>
      <c r="K82" s="244"/>
      <c r="L82" s="15"/>
      <c r="N82" s="15"/>
      <c r="O82" s="244">
        <v>300000</v>
      </c>
      <c r="P82" s="15"/>
    </row>
    <row r="83" spans="1:16">
      <c r="A83" s="3" t="s">
        <v>679</v>
      </c>
      <c r="B83" s="3" t="s">
        <v>2027</v>
      </c>
      <c r="C83" s="3" t="s">
        <v>2018</v>
      </c>
      <c r="D83" s="9">
        <v>342</v>
      </c>
      <c r="E83" s="16"/>
      <c r="F83" s="9">
        <f t="shared" si="3"/>
        <v>262500</v>
      </c>
      <c r="G83" s="3">
        <f t="shared" si="2"/>
        <v>89.775000000000006</v>
      </c>
      <c r="K83" s="244"/>
      <c r="L83" s="15"/>
      <c r="N83" s="15"/>
      <c r="O83" s="244">
        <v>350000</v>
      </c>
      <c r="P83" s="15"/>
    </row>
    <row r="84" spans="1:16">
      <c r="A84" s="3" t="s">
        <v>680</v>
      </c>
      <c r="B84" s="3" t="s">
        <v>2028</v>
      </c>
      <c r="C84" s="3" t="s">
        <v>1976</v>
      </c>
      <c r="D84" s="9">
        <v>340</v>
      </c>
      <c r="E84" s="16"/>
      <c r="F84" s="9">
        <f t="shared" si="3"/>
        <v>206250</v>
      </c>
      <c r="G84" s="3">
        <f t="shared" si="2"/>
        <v>70.125</v>
      </c>
      <c r="K84" s="244"/>
      <c r="L84" s="15"/>
      <c r="N84" s="15"/>
      <c r="O84" s="244">
        <v>275000</v>
      </c>
      <c r="P84" s="15"/>
    </row>
    <row r="85" spans="1:16">
      <c r="A85" s="3" t="s">
        <v>681</v>
      </c>
      <c r="B85" s="3" t="s">
        <v>789</v>
      </c>
      <c r="C85" s="3" t="s">
        <v>1969</v>
      </c>
      <c r="D85" s="9">
        <v>329</v>
      </c>
      <c r="E85" s="16"/>
      <c r="F85" s="9">
        <f t="shared" si="3"/>
        <v>206250</v>
      </c>
      <c r="G85" s="3">
        <f t="shared" si="2"/>
        <v>67.856250000000003</v>
      </c>
      <c r="K85" s="244"/>
      <c r="L85" s="15"/>
      <c r="N85" s="15"/>
      <c r="O85" s="244">
        <v>275000</v>
      </c>
      <c r="P85" s="15"/>
    </row>
    <row r="86" spans="1:16">
      <c r="A86" s="3" t="s">
        <v>682</v>
      </c>
      <c r="B86" s="3" t="s">
        <v>790</v>
      </c>
      <c r="C86" s="3" t="s">
        <v>1953</v>
      </c>
      <c r="D86" s="9">
        <v>319</v>
      </c>
      <c r="E86" s="16"/>
      <c r="F86" s="9">
        <f t="shared" si="3"/>
        <v>243750</v>
      </c>
      <c r="G86" s="3">
        <f t="shared" si="2"/>
        <v>77.756249999999994</v>
      </c>
      <c r="K86" s="244"/>
      <c r="L86" s="15"/>
      <c r="N86" s="15"/>
      <c r="O86" s="244">
        <v>325000</v>
      </c>
      <c r="P86" s="15"/>
    </row>
    <row r="87" spans="1:16">
      <c r="A87" s="3" t="s">
        <v>107</v>
      </c>
      <c r="B87" s="3" t="s">
        <v>791</v>
      </c>
      <c r="C87" s="3" t="s">
        <v>1976</v>
      </c>
      <c r="D87" s="9">
        <v>319</v>
      </c>
      <c r="E87" s="16"/>
      <c r="F87" s="9">
        <f t="shared" si="3"/>
        <v>206250</v>
      </c>
      <c r="G87" s="3">
        <f t="shared" si="2"/>
        <v>65.793750000000003</v>
      </c>
      <c r="K87" s="244"/>
      <c r="L87" s="15"/>
      <c r="N87" s="15"/>
      <c r="O87" s="244">
        <v>275000</v>
      </c>
      <c r="P87" s="15"/>
    </row>
    <row r="88" spans="1:16">
      <c r="A88" s="3" t="s">
        <v>108</v>
      </c>
      <c r="B88" s="3" t="s">
        <v>792</v>
      </c>
      <c r="C88" s="3" t="s">
        <v>663</v>
      </c>
      <c r="D88" s="9">
        <v>319</v>
      </c>
      <c r="E88" s="16"/>
      <c r="F88" s="9">
        <f t="shared" si="3"/>
        <v>300000</v>
      </c>
      <c r="G88" s="3">
        <f t="shared" si="2"/>
        <v>95.7</v>
      </c>
      <c r="K88" s="244"/>
      <c r="L88" s="15"/>
      <c r="N88" s="15"/>
      <c r="O88" s="244">
        <v>400000</v>
      </c>
      <c r="P88" s="15"/>
    </row>
    <row r="89" spans="1:16">
      <c r="A89" s="3" t="s">
        <v>109</v>
      </c>
      <c r="B89" s="3" t="s">
        <v>793</v>
      </c>
      <c r="C89" s="3" t="s">
        <v>2014</v>
      </c>
      <c r="D89" s="9">
        <v>315</v>
      </c>
      <c r="E89" s="16"/>
      <c r="F89" s="9">
        <f t="shared" si="3"/>
        <v>168750</v>
      </c>
      <c r="G89" s="3">
        <f t="shared" si="2"/>
        <v>53.15625</v>
      </c>
      <c r="K89" s="244"/>
      <c r="L89" s="15"/>
      <c r="N89" s="15"/>
      <c r="O89" s="244">
        <v>225000</v>
      </c>
      <c r="P89" s="15"/>
    </row>
    <row r="90" spans="1:16">
      <c r="A90" s="3" t="s">
        <v>110</v>
      </c>
      <c r="B90" s="3" t="s">
        <v>794</v>
      </c>
      <c r="C90" s="3" t="s">
        <v>2014</v>
      </c>
      <c r="D90" s="9">
        <v>308</v>
      </c>
      <c r="E90" s="16"/>
      <c r="F90" s="9">
        <f t="shared" si="3"/>
        <v>168750</v>
      </c>
      <c r="G90" s="3">
        <f t="shared" si="2"/>
        <v>51.975000000000001</v>
      </c>
      <c r="K90" s="244"/>
      <c r="L90" s="15"/>
      <c r="N90" s="15"/>
      <c r="O90" s="244">
        <v>225000</v>
      </c>
      <c r="P90" s="15"/>
    </row>
    <row r="91" spans="1:16">
      <c r="A91" s="3" t="s">
        <v>111</v>
      </c>
      <c r="B91" s="3" t="s">
        <v>1980</v>
      </c>
      <c r="C91" s="3" t="s">
        <v>1976</v>
      </c>
      <c r="D91" s="9">
        <v>298</v>
      </c>
      <c r="E91" s="16"/>
      <c r="F91" s="9">
        <f t="shared" si="3"/>
        <v>412500</v>
      </c>
      <c r="G91" s="3">
        <f t="shared" si="2"/>
        <v>122.925</v>
      </c>
      <c r="K91" s="244"/>
      <c r="L91" s="15"/>
      <c r="N91" s="15"/>
      <c r="O91" s="244">
        <v>550000</v>
      </c>
      <c r="P91" s="15"/>
    </row>
    <row r="92" spans="1:16">
      <c r="A92" s="3" t="s">
        <v>112</v>
      </c>
      <c r="B92" s="3" t="s">
        <v>795</v>
      </c>
      <c r="C92" s="3" t="s">
        <v>2018</v>
      </c>
      <c r="D92" s="9">
        <v>296</v>
      </c>
      <c r="E92" s="16"/>
      <c r="F92" s="9">
        <f t="shared" si="3"/>
        <v>262500</v>
      </c>
      <c r="G92" s="3">
        <f t="shared" si="2"/>
        <v>77.7</v>
      </c>
      <c r="K92" s="244"/>
      <c r="L92" s="15"/>
      <c r="N92" s="15"/>
      <c r="O92" s="244">
        <v>350000</v>
      </c>
      <c r="P92" s="15"/>
    </row>
    <row r="93" spans="1:16">
      <c r="A93" s="3" t="s">
        <v>113</v>
      </c>
      <c r="B93" s="3" t="s">
        <v>796</v>
      </c>
      <c r="C93" s="3" t="s">
        <v>797</v>
      </c>
      <c r="D93" s="9">
        <v>289</v>
      </c>
      <c r="E93" s="16"/>
      <c r="F93" s="9">
        <f t="shared" si="3"/>
        <v>225000</v>
      </c>
      <c r="G93" s="3">
        <f t="shared" si="2"/>
        <v>65.025000000000006</v>
      </c>
      <c r="K93" s="244"/>
      <c r="L93" s="15"/>
      <c r="N93" s="15"/>
      <c r="O93" s="244">
        <v>300000</v>
      </c>
      <c r="P93" s="15"/>
    </row>
    <row r="94" spans="1:16">
      <c r="A94" s="3" t="s">
        <v>114</v>
      </c>
      <c r="B94" s="3" t="s">
        <v>798</v>
      </c>
      <c r="C94" s="3" t="s">
        <v>799</v>
      </c>
      <c r="D94" s="9">
        <v>287</v>
      </c>
      <c r="E94" s="16"/>
      <c r="F94" s="9">
        <f t="shared" si="3"/>
        <v>168750</v>
      </c>
      <c r="G94" s="3">
        <f t="shared" si="2"/>
        <v>48.431249999999999</v>
      </c>
      <c r="K94" s="244"/>
      <c r="L94" s="15"/>
      <c r="N94" s="15"/>
      <c r="O94" s="244">
        <v>225000</v>
      </c>
      <c r="P94" s="15"/>
    </row>
    <row r="95" spans="1:16">
      <c r="A95" s="3" t="s">
        <v>115</v>
      </c>
      <c r="B95" s="3" t="s">
        <v>800</v>
      </c>
      <c r="C95" s="3" t="s">
        <v>2020</v>
      </c>
      <c r="D95" s="9">
        <v>284</v>
      </c>
      <c r="E95" s="16"/>
      <c r="F95" s="9">
        <f t="shared" si="3"/>
        <v>262500</v>
      </c>
      <c r="G95" s="3">
        <f t="shared" ref="G95:G126" si="4">D95*F95/1000000</f>
        <v>74.55</v>
      </c>
      <c r="K95" s="244"/>
      <c r="L95" s="15"/>
      <c r="N95" s="15"/>
      <c r="O95" s="244">
        <v>350000</v>
      </c>
      <c r="P95" s="15"/>
    </row>
    <row r="96" spans="1:16">
      <c r="A96" s="3" t="s">
        <v>116</v>
      </c>
      <c r="B96" s="3" t="s">
        <v>801</v>
      </c>
      <c r="C96" s="3" t="s">
        <v>1953</v>
      </c>
      <c r="D96" s="9">
        <v>284</v>
      </c>
      <c r="E96" s="16"/>
      <c r="F96" s="9">
        <f t="shared" si="3"/>
        <v>225000</v>
      </c>
      <c r="G96" s="3">
        <f t="shared" si="4"/>
        <v>63.9</v>
      </c>
      <c r="K96" s="244"/>
      <c r="L96" s="15"/>
      <c r="N96" s="15"/>
      <c r="O96" s="244">
        <v>300000</v>
      </c>
      <c r="P96" s="15"/>
    </row>
    <row r="97" spans="1:16">
      <c r="A97" s="3" t="s">
        <v>117</v>
      </c>
      <c r="B97" s="3" t="s">
        <v>1980</v>
      </c>
      <c r="C97" s="3" t="s">
        <v>1976</v>
      </c>
      <c r="D97" s="9">
        <v>282</v>
      </c>
      <c r="E97" s="16"/>
      <c r="F97" s="9">
        <f t="shared" si="3"/>
        <v>431250</v>
      </c>
      <c r="G97" s="3">
        <f t="shared" si="4"/>
        <v>121.6125</v>
      </c>
      <c r="I97" s="1734" t="s">
        <v>534</v>
      </c>
      <c r="K97" s="244"/>
      <c r="L97" s="15"/>
      <c r="N97" s="15"/>
      <c r="O97" s="244">
        <v>575000</v>
      </c>
      <c r="P97" s="15"/>
    </row>
    <row r="98" spans="1:16">
      <c r="A98" s="3" t="s">
        <v>118</v>
      </c>
      <c r="B98" s="3" t="s">
        <v>802</v>
      </c>
      <c r="C98" s="3" t="s">
        <v>1974</v>
      </c>
      <c r="D98" s="9">
        <v>271</v>
      </c>
      <c r="E98" s="16"/>
      <c r="F98" s="9">
        <f t="shared" si="3"/>
        <v>262500</v>
      </c>
      <c r="G98" s="3">
        <f t="shared" si="4"/>
        <v>71.137500000000003</v>
      </c>
      <c r="K98" s="244"/>
      <c r="L98" s="15"/>
      <c r="N98" s="15"/>
      <c r="O98" s="244">
        <v>350000</v>
      </c>
      <c r="P98" s="15"/>
    </row>
    <row r="99" spans="1:16">
      <c r="A99" s="3" t="s">
        <v>119</v>
      </c>
      <c r="B99" s="3" t="s">
        <v>803</v>
      </c>
      <c r="C99" s="3" t="s">
        <v>1976</v>
      </c>
      <c r="D99" s="9">
        <v>254</v>
      </c>
      <c r="E99" s="16"/>
      <c r="F99" s="9">
        <f t="shared" si="3"/>
        <v>206250</v>
      </c>
      <c r="G99" s="3">
        <f t="shared" si="4"/>
        <v>52.387500000000003</v>
      </c>
      <c r="K99" s="244"/>
      <c r="L99" s="15"/>
      <c r="N99" s="15"/>
      <c r="O99" s="244">
        <v>275000</v>
      </c>
      <c r="P99" s="15"/>
    </row>
    <row r="100" spans="1:16">
      <c r="A100" s="3" t="s">
        <v>120</v>
      </c>
      <c r="B100" s="3" t="s">
        <v>804</v>
      </c>
      <c r="C100" s="3" t="s">
        <v>2018</v>
      </c>
      <c r="D100" s="9">
        <v>252</v>
      </c>
      <c r="E100" s="16"/>
      <c r="F100" s="9">
        <f t="shared" si="3"/>
        <v>262500</v>
      </c>
      <c r="G100" s="3">
        <f t="shared" si="4"/>
        <v>66.150000000000006</v>
      </c>
      <c r="K100" s="244"/>
      <c r="L100" s="15"/>
      <c r="N100" s="15"/>
      <c r="O100" s="244">
        <v>350000</v>
      </c>
      <c r="P100" s="15"/>
    </row>
    <row r="101" spans="1:16">
      <c r="A101" s="3" t="s">
        <v>121</v>
      </c>
      <c r="B101" s="3" t="s">
        <v>1980</v>
      </c>
      <c r="C101" s="3" t="s">
        <v>1976</v>
      </c>
      <c r="D101" s="9">
        <v>245</v>
      </c>
      <c r="E101" s="16"/>
      <c r="F101" s="9">
        <f t="shared" si="3"/>
        <v>450000</v>
      </c>
      <c r="G101" s="3">
        <f t="shared" si="4"/>
        <v>110.25</v>
      </c>
      <c r="K101" s="244"/>
      <c r="L101" s="15"/>
      <c r="N101" s="15"/>
      <c r="O101" s="244">
        <v>600000</v>
      </c>
      <c r="P101" s="15"/>
    </row>
    <row r="102" spans="1:16">
      <c r="A102" s="3" t="s">
        <v>122</v>
      </c>
      <c r="B102" s="3" t="s">
        <v>805</v>
      </c>
      <c r="C102" s="3" t="s">
        <v>1976</v>
      </c>
      <c r="D102" s="9">
        <v>239</v>
      </c>
      <c r="E102" s="16"/>
      <c r="F102" s="9">
        <f t="shared" si="3"/>
        <v>168750</v>
      </c>
      <c r="G102" s="3">
        <f t="shared" si="4"/>
        <v>40.331249999999997</v>
      </c>
      <c r="K102" s="244"/>
      <c r="L102" s="15"/>
      <c r="N102" s="15"/>
      <c r="O102" s="244">
        <v>225000</v>
      </c>
      <c r="P102" s="15"/>
    </row>
    <row r="103" spans="1:16">
      <c r="A103" s="3" t="s">
        <v>123</v>
      </c>
      <c r="B103" s="3" t="s">
        <v>806</v>
      </c>
      <c r="C103" s="3" t="s">
        <v>1976</v>
      </c>
      <c r="D103" s="9">
        <v>230</v>
      </c>
      <c r="E103" s="16"/>
      <c r="F103" s="9">
        <f t="shared" si="3"/>
        <v>150000</v>
      </c>
      <c r="G103" s="3">
        <f t="shared" si="4"/>
        <v>34.5</v>
      </c>
      <c r="K103" s="244"/>
      <c r="L103" s="15"/>
      <c r="N103" s="15"/>
      <c r="O103" s="244">
        <v>200000</v>
      </c>
      <c r="P103" s="15"/>
    </row>
    <row r="104" spans="1:16">
      <c r="A104" s="3" t="s">
        <v>124</v>
      </c>
      <c r="B104" s="3" t="s">
        <v>2007</v>
      </c>
      <c r="C104" s="3" t="s">
        <v>2008</v>
      </c>
      <c r="D104" s="9">
        <v>222</v>
      </c>
      <c r="E104" s="16"/>
      <c r="F104" s="9">
        <f t="shared" si="3"/>
        <v>243750</v>
      </c>
      <c r="G104" s="3">
        <f t="shared" si="4"/>
        <v>54.112499999999997</v>
      </c>
      <c r="K104" s="244"/>
      <c r="L104" s="15"/>
      <c r="N104" s="15"/>
      <c r="O104" s="244">
        <v>325000</v>
      </c>
      <c r="P104" s="15"/>
    </row>
    <row r="105" spans="1:16">
      <c r="A105" s="3" t="s">
        <v>125</v>
      </c>
      <c r="B105" s="3" t="s">
        <v>807</v>
      </c>
      <c r="C105" s="3" t="s">
        <v>808</v>
      </c>
      <c r="D105" s="9">
        <v>220</v>
      </c>
      <c r="E105" s="16"/>
      <c r="F105" s="9">
        <f t="shared" si="3"/>
        <v>243750</v>
      </c>
      <c r="G105" s="3">
        <f t="shared" si="4"/>
        <v>53.625</v>
      </c>
      <c r="K105" s="244"/>
      <c r="L105" s="15"/>
      <c r="N105" s="15"/>
      <c r="O105" s="244">
        <v>325000</v>
      </c>
      <c r="P105" s="15"/>
    </row>
    <row r="106" spans="1:16">
      <c r="A106" s="3" t="s">
        <v>126</v>
      </c>
      <c r="B106" s="3" t="s">
        <v>809</v>
      </c>
      <c r="C106" s="3" t="s">
        <v>1976</v>
      </c>
      <c r="D106" s="9">
        <v>215</v>
      </c>
      <c r="E106" s="16"/>
      <c r="F106" s="9">
        <f t="shared" si="3"/>
        <v>187500</v>
      </c>
      <c r="G106" s="3">
        <f t="shared" si="4"/>
        <v>40.3125</v>
      </c>
      <c r="K106" s="244"/>
      <c r="L106" s="15"/>
      <c r="N106" s="15"/>
      <c r="O106" s="244">
        <v>250000</v>
      </c>
      <c r="P106" s="15"/>
    </row>
    <row r="107" spans="1:16">
      <c r="A107" s="3" t="s">
        <v>127</v>
      </c>
      <c r="B107" s="3" t="s">
        <v>810</v>
      </c>
      <c r="C107" s="3" t="s">
        <v>811</v>
      </c>
      <c r="D107" s="9">
        <v>210</v>
      </c>
      <c r="E107" s="16"/>
      <c r="F107" s="9">
        <f t="shared" si="3"/>
        <v>187500</v>
      </c>
      <c r="G107" s="3">
        <f t="shared" si="4"/>
        <v>39.375</v>
      </c>
      <c r="K107" s="244"/>
      <c r="L107" s="15"/>
      <c r="N107" s="15"/>
      <c r="O107" s="244">
        <v>250000</v>
      </c>
      <c r="P107" s="15"/>
    </row>
    <row r="108" spans="1:16">
      <c r="A108" s="3" t="s">
        <v>128</v>
      </c>
      <c r="B108" s="3" t="s">
        <v>812</v>
      </c>
      <c r="C108" s="3" t="s">
        <v>1976</v>
      </c>
      <c r="D108" s="9">
        <v>210</v>
      </c>
      <c r="E108" s="16" t="s">
        <v>1236</v>
      </c>
      <c r="F108" s="9">
        <f t="shared" si="3"/>
        <v>187500</v>
      </c>
      <c r="G108" s="3">
        <f t="shared" si="4"/>
        <v>39.375</v>
      </c>
      <c r="K108" s="244"/>
      <c r="L108" s="15"/>
      <c r="N108" s="15"/>
      <c r="O108" s="244">
        <v>250000</v>
      </c>
      <c r="P108" s="15"/>
    </row>
    <row r="109" spans="1:16">
      <c r="A109" s="3" t="s">
        <v>129</v>
      </c>
      <c r="B109" s="3" t="s">
        <v>813</v>
      </c>
      <c r="C109" s="3" t="s">
        <v>1976</v>
      </c>
      <c r="D109" s="9">
        <v>208</v>
      </c>
      <c r="E109" s="16" t="s">
        <v>1236</v>
      </c>
      <c r="F109" s="9">
        <f t="shared" si="3"/>
        <v>187500</v>
      </c>
      <c r="G109" s="3">
        <f t="shared" si="4"/>
        <v>39</v>
      </c>
      <c r="K109" s="244"/>
      <c r="L109" s="15"/>
      <c r="N109" s="15"/>
      <c r="O109" s="244">
        <v>250000</v>
      </c>
      <c r="P109" s="15"/>
    </row>
    <row r="110" spans="1:16">
      <c r="A110" s="3" t="s">
        <v>130</v>
      </c>
      <c r="B110" s="3" t="s">
        <v>814</v>
      </c>
      <c r="C110" s="3" t="s">
        <v>1976</v>
      </c>
      <c r="D110" s="9">
        <v>200</v>
      </c>
      <c r="E110" s="16" t="s">
        <v>1236</v>
      </c>
      <c r="F110" s="9">
        <f t="shared" si="3"/>
        <v>187500</v>
      </c>
      <c r="G110" s="3">
        <f t="shared" si="4"/>
        <v>37.5</v>
      </c>
      <c r="K110" s="244"/>
      <c r="L110" s="15"/>
      <c r="N110" s="15"/>
      <c r="O110" s="244">
        <v>250000</v>
      </c>
      <c r="P110" s="15"/>
    </row>
    <row r="111" spans="1:16">
      <c r="A111" s="3" t="s">
        <v>131</v>
      </c>
      <c r="B111" s="3" t="s">
        <v>815</v>
      </c>
      <c r="C111" s="3" t="s">
        <v>2014</v>
      </c>
      <c r="D111" s="9">
        <v>186</v>
      </c>
      <c r="E111" s="16" t="s">
        <v>1236</v>
      </c>
      <c r="F111" s="9">
        <f t="shared" si="3"/>
        <v>168750</v>
      </c>
      <c r="G111" s="3">
        <f t="shared" si="4"/>
        <v>31.387499999999999</v>
      </c>
      <c r="K111" s="244"/>
      <c r="L111" s="15"/>
      <c r="N111" s="15"/>
      <c r="O111" s="244">
        <v>225000</v>
      </c>
      <c r="P111" s="15"/>
    </row>
    <row r="112" spans="1:16">
      <c r="A112" s="3" t="s">
        <v>132</v>
      </c>
      <c r="B112" s="3" t="s">
        <v>816</v>
      </c>
      <c r="C112" s="3" t="s">
        <v>1976</v>
      </c>
      <c r="D112" s="9">
        <v>181</v>
      </c>
      <c r="E112" s="16" t="s">
        <v>1236</v>
      </c>
      <c r="F112" s="9">
        <f t="shared" si="3"/>
        <v>168750</v>
      </c>
      <c r="G112" s="3">
        <f t="shared" si="4"/>
        <v>30.543749999999999</v>
      </c>
      <c r="K112" s="244"/>
      <c r="L112" s="15"/>
      <c r="N112" s="15"/>
      <c r="O112" s="244">
        <v>225000</v>
      </c>
      <c r="P112" s="15"/>
    </row>
    <row r="113" spans="1:16">
      <c r="A113" s="3" t="s">
        <v>133</v>
      </c>
      <c r="B113" s="3" t="s">
        <v>817</v>
      </c>
      <c r="C113" s="3" t="s">
        <v>1976</v>
      </c>
      <c r="D113" s="9">
        <v>179</v>
      </c>
      <c r="E113" s="16" t="s">
        <v>1236</v>
      </c>
      <c r="F113" s="9">
        <f t="shared" si="3"/>
        <v>168750</v>
      </c>
      <c r="G113" s="3">
        <f t="shared" si="4"/>
        <v>30.206250000000001</v>
      </c>
      <c r="K113" s="244"/>
      <c r="L113" s="15"/>
      <c r="N113" s="15"/>
      <c r="O113" s="244">
        <v>225000</v>
      </c>
      <c r="P113" s="15"/>
    </row>
    <row r="114" spans="1:16">
      <c r="A114" s="3" t="s">
        <v>134</v>
      </c>
      <c r="B114" s="3" t="s">
        <v>818</v>
      </c>
      <c r="C114" s="3" t="s">
        <v>2008</v>
      </c>
      <c r="D114" s="9">
        <v>176</v>
      </c>
      <c r="E114" s="16" t="s">
        <v>1236</v>
      </c>
      <c r="F114" s="9">
        <f t="shared" si="3"/>
        <v>225000</v>
      </c>
      <c r="G114" s="3">
        <f t="shared" si="4"/>
        <v>39.6</v>
      </c>
      <c r="K114" s="244"/>
      <c r="L114" s="15"/>
      <c r="N114" s="15"/>
      <c r="O114" s="244">
        <v>300000</v>
      </c>
      <c r="P114" s="15"/>
    </row>
    <row r="115" spans="1:16">
      <c r="A115" s="3" t="s">
        <v>135</v>
      </c>
      <c r="B115" s="3" t="s">
        <v>819</v>
      </c>
      <c r="C115" s="3" t="s">
        <v>1976</v>
      </c>
      <c r="D115" s="9">
        <v>176</v>
      </c>
      <c r="E115" s="16" t="s">
        <v>1236</v>
      </c>
      <c r="F115" s="9">
        <f t="shared" si="3"/>
        <v>168750</v>
      </c>
      <c r="G115" s="3">
        <f t="shared" si="4"/>
        <v>29.7</v>
      </c>
      <c r="K115" s="244"/>
      <c r="L115" s="15"/>
      <c r="N115" s="15"/>
      <c r="O115" s="244">
        <v>225000</v>
      </c>
      <c r="P115" s="15"/>
    </row>
    <row r="116" spans="1:16">
      <c r="A116" s="3" t="s">
        <v>136</v>
      </c>
      <c r="B116" s="3" t="s">
        <v>820</v>
      </c>
      <c r="C116" s="3" t="s">
        <v>2003</v>
      </c>
      <c r="D116" s="9">
        <v>172</v>
      </c>
      <c r="E116" s="16" t="s">
        <v>1236</v>
      </c>
      <c r="F116" s="9">
        <f t="shared" si="3"/>
        <v>262500</v>
      </c>
      <c r="G116" s="3">
        <f t="shared" si="4"/>
        <v>45.15</v>
      </c>
      <c r="K116" s="244"/>
      <c r="L116" s="15"/>
      <c r="N116" s="15"/>
      <c r="O116" s="244">
        <v>350000</v>
      </c>
      <c r="P116" s="15"/>
    </row>
    <row r="117" spans="1:16">
      <c r="A117" s="3" t="s">
        <v>137</v>
      </c>
      <c r="B117" s="3" t="s">
        <v>821</v>
      </c>
      <c r="C117" s="3" t="s">
        <v>1976</v>
      </c>
      <c r="D117" s="9">
        <v>170</v>
      </c>
      <c r="E117" s="16" t="s">
        <v>1236</v>
      </c>
      <c r="F117" s="9">
        <f t="shared" si="3"/>
        <v>168750</v>
      </c>
      <c r="G117" s="3">
        <f t="shared" si="4"/>
        <v>28.6875</v>
      </c>
      <c r="K117" s="244"/>
      <c r="L117" s="15"/>
      <c r="N117" s="15"/>
      <c r="O117" s="244">
        <v>225000</v>
      </c>
      <c r="P117" s="15"/>
    </row>
    <row r="118" spans="1:16">
      <c r="A118" s="3" t="s">
        <v>138</v>
      </c>
      <c r="B118" s="3" t="s">
        <v>822</v>
      </c>
      <c r="C118" s="3" t="s">
        <v>1976</v>
      </c>
      <c r="D118" s="9">
        <v>168</v>
      </c>
      <c r="E118" s="16" t="s">
        <v>1236</v>
      </c>
      <c r="F118" s="9">
        <f t="shared" si="3"/>
        <v>168750</v>
      </c>
      <c r="G118" s="3">
        <f t="shared" si="4"/>
        <v>28.35</v>
      </c>
      <c r="K118" s="244"/>
      <c r="L118" s="15"/>
      <c r="N118" s="15"/>
      <c r="O118" s="244">
        <v>225000</v>
      </c>
      <c r="P118" s="15"/>
    </row>
    <row r="119" spans="1:16">
      <c r="A119" s="3" t="s">
        <v>139</v>
      </c>
      <c r="B119" s="3" t="s">
        <v>1980</v>
      </c>
      <c r="C119" s="3" t="s">
        <v>1976</v>
      </c>
      <c r="D119" s="9">
        <v>163</v>
      </c>
      <c r="E119" s="16" t="s">
        <v>1236</v>
      </c>
      <c r="F119" s="9">
        <f t="shared" si="3"/>
        <v>450000</v>
      </c>
      <c r="G119" s="3">
        <f t="shared" si="4"/>
        <v>73.349999999999994</v>
      </c>
      <c r="K119" s="244"/>
      <c r="L119" s="15"/>
      <c r="N119" s="15"/>
      <c r="O119" s="244">
        <v>600000</v>
      </c>
      <c r="P119" s="15"/>
    </row>
    <row r="120" spans="1:16">
      <c r="A120" s="3" t="s">
        <v>140</v>
      </c>
      <c r="B120" s="3" t="s">
        <v>823</v>
      </c>
      <c r="C120" s="3" t="s">
        <v>1976</v>
      </c>
      <c r="D120" s="9">
        <v>158</v>
      </c>
      <c r="E120" s="16" t="s">
        <v>1236</v>
      </c>
      <c r="F120" s="9">
        <f t="shared" si="3"/>
        <v>168750</v>
      </c>
      <c r="G120" s="3">
        <f t="shared" si="4"/>
        <v>26.662500000000001</v>
      </c>
      <c r="K120" s="244"/>
      <c r="L120" s="15"/>
      <c r="N120" s="15"/>
      <c r="O120" s="244">
        <v>225000</v>
      </c>
      <c r="P120" s="15"/>
    </row>
    <row r="121" spans="1:16">
      <c r="A121" s="3" t="s">
        <v>141</v>
      </c>
      <c r="B121" s="3" t="s">
        <v>1966</v>
      </c>
      <c r="C121" s="3" t="s">
        <v>824</v>
      </c>
      <c r="D121" s="9">
        <v>153</v>
      </c>
      <c r="E121" s="16" t="s">
        <v>1236</v>
      </c>
      <c r="F121" s="9">
        <f t="shared" si="3"/>
        <v>412500</v>
      </c>
      <c r="G121" s="3">
        <f t="shared" si="4"/>
        <v>63.112499999999997</v>
      </c>
      <c r="K121" s="244"/>
      <c r="L121" s="15"/>
      <c r="N121" s="15"/>
      <c r="O121" s="244">
        <v>550000</v>
      </c>
      <c r="P121" s="15"/>
    </row>
    <row r="122" spans="1:16">
      <c r="A122" s="3" t="s">
        <v>142</v>
      </c>
      <c r="B122" s="3" t="s">
        <v>825</v>
      </c>
      <c r="C122" s="3" t="s">
        <v>1976</v>
      </c>
      <c r="D122" s="9">
        <v>152</v>
      </c>
      <c r="E122" s="16" t="s">
        <v>1236</v>
      </c>
      <c r="F122" s="9">
        <f t="shared" si="3"/>
        <v>168750</v>
      </c>
      <c r="G122" s="3">
        <f t="shared" si="4"/>
        <v>25.65</v>
      </c>
      <c r="K122" s="244"/>
      <c r="L122" s="15"/>
      <c r="N122" s="15"/>
      <c r="O122" s="244">
        <v>225000</v>
      </c>
      <c r="P122" s="15"/>
    </row>
    <row r="123" spans="1:16">
      <c r="A123" s="3" t="s">
        <v>143</v>
      </c>
      <c r="B123" s="3" t="s">
        <v>826</v>
      </c>
      <c r="C123" s="3" t="s">
        <v>1976</v>
      </c>
      <c r="D123" s="9">
        <v>146</v>
      </c>
      <c r="E123" s="16" t="s">
        <v>1236</v>
      </c>
      <c r="F123" s="9">
        <f t="shared" si="3"/>
        <v>168750</v>
      </c>
      <c r="G123" s="3">
        <f t="shared" si="4"/>
        <v>24.637499999999999</v>
      </c>
      <c r="K123" s="244"/>
      <c r="L123" s="15"/>
      <c r="N123" s="15"/>
      <c r="O123" s="244">
        <v>225000</v>
      </c>
      <c r="P123" s="15"/>
    </row>
    <row r="124" spans="1:16">
      <c r="A124" s="3" t="s">
        <v>144</v>
      </c>
      <c r="B124" s="3" t="s">
        <v>827</v>
      </c>
      <c r="C124" s="3" t="s">
        <v>1976</v>
      </c>
      <c r="D124" s="9">
        <v>140</v>
      </c>
      <c r="E124" s="16" t="s">
        <v>1236</v>
      </c>
      <c r="F124" s="9">
        <f t="shared" si="3"/>
        <v>168750</v>
      </c>
      <c r="G124" s="3">
        <f t="shared" si="4"/>
        <v>23.625</v>
      </c>
      <c r="K124" s="244"/>
      <c r="L124" s="15"/>
      <c r="N124" s="15"/>
      <c r="O124" s="244">
        <v>225000</v>
      </c>
      <c r="P124" s="15"/>
    </row>
    <row r="125" spans="1:16">
      <c r="A125" s="3" t="s">
        <v>145</v>
      </c>
      <c r="B125" s="3" t="s">
        <v>828</v>
      </c>
      <c r="C125" s="3" t="s">
        <v>1976</v>
      </c>
      <c r="D125" s="9">
        <v>139</v>
      </c>
      <c r="E125" s="16" t="s">
        <v>1236</v>
      </c>
      <c r="F125" s="9">
        <f t="shared" si="3"/>
        <v>168750</v>
      </c>
      <c r="G125" s="3">
        <f t="shared" si="4"/>
        <v>23.456250000000001</v>
      </c>
      <c r="K125" s="244"/>
      <c r="L125" s="15"/>
      <c r="N125" s="15"/>
      <c r="O125" s="244">
        <v>225000</v>
      </c>
      <c r="P125" s="15"/>
    </row>
    <row r="126" spans="1:16">
      <c r="A126" s="3" t="s">
        <v>1311</v>
      </c>
      <c r="B126" s="3" t="s">
        <v>1980</v>
      </c>
      <c r="C126" s="3" t="s">
        <v>1976</v>
      </c>
      <c r="D126" s="9">
        <v>132</v>
      </c>
      <c r="E126" s="16" t="s">
        <v>1236</v>
      </c>
      <c r="F126" s="9">
        <f t="shared" si="3"/>
        <v>450000</v>
      </c>
      <c r="G126" s="3">
        <f t="shared" si="4"/>
        <v>59.4</v>
      </c>
      <c r="I126" s="3" t="s">
        <v>533</v>
      </c>
      <c r="K126" s="244"/>
      <c r="L126" s="15"/>
      <c r="N126" s="15"/>
      <c r="O126" s="244">
        <v>600000</v>
      </c>
      <c r="P126" s="15"/>
    </row>
    <row r="127" spans="1:16">
      <c r="A127" s="3" t="s">
        <v>1312</v>
      </c>
      <c r="B127" s="3" t="s">
        <v>829</v>
      </c>
      <c r="C127" s="3" t="s">
        <v>1976</v>
      </c>
      <c r="D127" s="9">
        <v>131</v>
      </c>
      <c r="E127" s="16" t="s">
        <v>1236</v>
      </c>
      <c r="F127" s="9">
        <f t="shared" si="3"/>
        <v>168750</v>
      </c>
      <c r="G127" s="3">
        <f t="shared" ref="G127:G138" si="5">D127*F127/1000000</f>
        <v>22.106249999999999</v>
      </c>
      <c r="K127" s="244"/>
      <c r="L127" s="15"/>
      <c r="N127" s="15"/>
      <c r="O127" s="244">
        <v>225000</v>
      </c>
      <c r="P127" s="15"/>
    </row>
    <row r="128" spans="1:16">
      <c r="A128" s="3" t="s">
        <v>1313</v>
      </c>
      <c r="B128" s="3" t="s">
        <v>2021</v>
      </c>
      <c r="C128" s="3" t="s">
        <v>2018</v>
      </c>
      <c r="D128" s="9">
        <v>127</v>
      </c>
      <c r="E128" s="16" t="s">
        <v>1236</v>
      </c>
      <c r="F128" s="9">
        <f t="shared" ref="F128:F138" si="6">+O128*0.75</f>
        <v>225000</v>
      </c>
      <c r="G128" s="3">
        <f t="shared" si="5"/>
        <v>28.574999999999999</v>
      </c>
      <c r="K128" s="244"/>
      <c r="L128" s="15"/>
      <c r="N128" s="15"/>
      <c r="O128" s="244">
        <v>300000</v>
      </c>
      <c r="P128" s="15"/>
    </row>
    <row r="129" spans="1:16">
      <c r="A129" s="3" t="s">
        <v>1314</v>
      </c>
      <c r="B129" s="3" t="s">
        <v>830</v>
      </c>
      <c r="C129" s="3" t="s">
        <v>1976</v>
      </c>
      <c r="D129" s="9">
        <v>121</v>
      </c>
      <c r="E129" s="16" t="s">
        <v>1236</v>
      </c>
      <c r="F129" s="9">
        <f t="shared" si="6"/>
        <v>168750</v>
      </c>
      <c r="G129" s="3">
        <f t="shared" si="5"/>
        <v>20.418749999999999</v>
      </c>
      <c r="K129" s="244"/>
      <c r="L129" s="15"/>
      <c r="N129" s="15"/>
      <c r="O129" s="244">
        <v>225000</v>
      </c>
      <c r="P129" s="15"/>
    </row>
    <row r="130" spans="1:16">
      <c r="A130" s="3" t="s">
        <v>1315</v>
      </c>
      <c r="B130" s="3" t="s">
        <v>2013</v>
      </c>
      <c r="C130" s="3" t="s">
        <v>2014</v>
      </c>
      <c r="D130" s="9">
        <v>117</v>
      </c>
      <c r="E130" s="16" t="s">
        <v>1236</v>
      </c>
      <c r="F130" s="9">
        <f t="shared" si="6"/>
        <v>206250</v>
      </c>
      <c r="G130" s="3">
        <f t="shared" si="5"/>
        <v>24.131250000000001</v>
      </c>
      <c r="K130" s="244"/>
      <c r="L130" s="15"/>
      <c r="N130" s="15"/>
      <c r="O130" s="244">
        <v>275000</v>
      </c>
      <c r="P130" s="15"/>
    </row>
    <row r="131" spans="1:16">
      <c r="A131" s="3" t="s">
        <v>1316</v>
      </c>
      <c r="B131" s="3" t="s">
        <v>831</v>
      </c>
      <c r="C131" s="3" t="s">
        <v>1976</v>
      </c>
      <c r="D131" s="9">
        <v>112</v>
      </c>
      <c r="E131" s="16" t="s">
        <v>1236</v>
      </c>
      <c r="F131" s="9">
        <f t="shared" si="6"/>
        <v>168750</v>
      </c>
      <c r="G131" s="3">
        <f t="shared" si="5"/>
        <v>18.899999999999999</v>
      </c>
      <c r="K131" s="244"/>
      <c r="L131" s="15"/>
      <c r="N131" s="15"/>
      <c r="O131" s="244">
        <v>225000</v>
      </c>
      <c r="P131" s="15"/>
    </row>
    <row r="132" spans="1:16">
      <c r="A132" s="3" t="s">
        <v>1317</v>
      </c>
      <c r="B132" s="3" t="s">
        <v>791</v>
      </c>
      <c r="C132" s="3" t="s">
        <v>1976</v>
      </c>
      <c r="D132" s="9">
        <v>97</v>
      </c>
      <c r="E132" s="16" t="s">
        <v>1236</v>
      </c>
      <c r="F132" s="9">
        <f t="shared" si="6"/>
        <v>168750</v>
      </c>
      <c r="G132" s="3">
        <f t="shared" si="5"/>
        <v>16.368749999999999</v>
      </c>
      <c r="K132" s="244"/>
      <c r="L132" s="15"/>
      <c r="N132" s="15"/>
      <c r="O132" s="244">
        <v>225000</v>
      </c>
      <c r="P132" s="15"/>
    </row>
    <row r="133" spans="1:16">
      <c r="A133" s="3" t="s">
        <v>1318</v>
      </c>
      <c r="B133" s="3" t="s">
        <v>1963</v>
      </c>
      <c r="C133" s="3" t="s">
        <v>1964</v>
      </c>
      <c r="D133" s="9">
        <v>850</v>
      </c>
      <c r="E133" s="16" t="s">
        <v>1236</v>
      </c>
      <c r="F133" s="9">
        <f t="shared" si="6"/>
        <v>168750</v>
      </c>
      <c r="G133" s="3">
        <f t="shared" si="5"/>
        <v>143.4375</v>
      </c>
      <c r="K133" s="244"/>
      <c r="L133" s="15"/>
      <c r="N133" s="15"/>
      <c r="O133" s="244">
        <v>225000</v>
      </c>
      <c r="P133" s="15"/>
    </row>
    <row r="134" spans="1:16">
      <c r="A134" s="3" t="s">
        <v>1658</v>
      </c>
      <c r="B134" s="3" t="s">
        <v>832</v>
      </c>
      <c r="C134" s="3" t="s">
        <v>1940</v>
      </c>
      <c r="D134" s="9">
        <v>300</v>
      </c>
      <c r="E134" s="16" t="s">
        <v>1236</v>
      </c>
      <c r="F134" s="9">
        <f t="shared" si="6"/>
        <v>168750</v>
      </c>
      <c r="G134" s="3">
        <f t="shared" si="5"/>
        <v>50.625</v>
      </c>
      <c r="K134" s="244"/>
      <c r="L134" s="15"/>
      <c r="N134" s="15"/>
      <c r="O134" s="244">
        <v>225000</v>
      </c>
      <c r="P134" s="15"/>
    </row>
    <row r="135" spans="1:16">
      <c r="A135" s="3" t="s">
        <v>604</v>
      </c>
      <c r="B135" s="3" t="s">
        <v>833</v>
      </c>
      <c r="C135" s="3" t="s">
        <v>1940</v>
      </c>
      <c r="D135" s="9">
        <v>245</v>
      </c>
      <c r="E135" s="16" t="s">
        <v>1236</v>
      </c>
      <c r="F135" s="9">
        <f t="shared" si="6"/>
        <v>168750</v>
      </c>
      <c r="G135" s="3">
        <f t="shared" si="5"/>
        <v>41.34375</v>
      </c>
      <c r="K135" s="244"/>
      <c r="L135" s="15"/>
      <c r="N135" s="15"/>
      <c r="O135" s="244">
        <v>225000</v>
      </c>
      <c r="P135" s="15"/>
    </row>
    <row r="136" spans="1:16">
      <c r="A136" s="3" t="s">
        <v>605</v>
      </c>
      <c r="B136" s="3" t="s">
        <v>834</v>
      </c>
      <c r="C136" s="3" t="s">
        <v>835</v>
      </c>
      <c r="D136" s="9">
        <v>159</v>
      </c>
      <c r="E136" s="16" t="s">
        <v>1236</v>
      </c>
      <c r="F136" s="9">
        <f t="shared" si="6"/>
        <v>112500</v>
      </c>
      <c r="G136" s="3">
        <f t="shared" si="5"/>
        <v>17.887499999999999</v>
      </c>
      <c r="K136" s="244"/>
      <c r="L136" s="15"/>
      <c r="N136" s="15"/>
      <c r="O136" s="244">
        <v>150000</v>
      </c>
      <c r="P136" s="15"/>
    </row>
    <row r="137" spans="1:16">
      <c r="A137" s="3" t="s">
        <v>606</v>
      </c>
      <c r="B137" s="3" t="s">
        <v>796</v>
      </c>
      <c r="C137" s="3" t="s">
        <v>836</v>
      </c>
      <c r="D137" s="9">
        <v>403</v>
      </c>
      <c r="E137" s="16" t="s">
        <v>1236</v>
      </c>
      <c r="F137" s="9">
        <f t="shared" si="6"/>
        <v>187500</v>
      </c>
      <c r="G137" s="3">
        <f t="shared" si="5"/>
        <v>75.5625</v>
      </c>
      <c r="I137" s="3" t="s">
        <v>837</v>
      </c>
      <c r="K137" s="244"/>
      <c r="L137" s="15"/>
      <c r="N137" s="15"/>
      <c r="O137" s="244">
        <v>250000</v>
      </c>
      <c r="P137" s="15"/>
    </row>
    <row r="138" spans="1:16">
      <c r="A138" s="15" t="s">
        <v>607</v>
      </c>
      <c r="B138" s="15" t="s">
        <v>1980</v>
      </c>
      <c r="C138" s="3" t="s">
        <v>1976</v>
      </c>
      <c r="D138" s="244">
        <v>129</v>
      </c>
      <c r="E138" s="562" t="s">
        <v>1236</v>
      </c>
      <c r="F138" s="9">
        <f t="shared" si="6"/>
        <v>450000</v>
      </c>
      <c r="G138" s="15">
        <f t="shared" si="5"/>
        <v>58.05</v>
      </c>
      <c r="I138" s="3" t="s">
        <v>533</v>
      </c>
      <c r="K138" s="244"/>
      <c r="L138" s="15"/>
      <c r="N138" s="15"/>
      <c r="O138" s="244">
        <v>600000</v>
      </c>
      <c r="P138" s="15"/>
    </row>
    <row r="139" spans="1:16" ht="4.5" customHeight="1">
      <c r="A139" s="6"/>
      <c r="B139" s="6"/>
      <c r="C139" s="6"/>
      <c r="D139" s="807"/>
      <c r="E139" s="436"/>
      <c r="F139" s="807"/>
      <c r="G139" s="6"/>
      <c r="K139" s="244"/>
      <c r="L139" s="15"/>
      <c r="N139" s="15"/>
      <c r="O139" s="15"/>
      <c r="P139" s="15"/>
    </row>
    <row r="140" spans="1:16">
      <c r="A140" s="3" t="s">
        <v>838</v>
      </c>
      <c r="B140" s="3" t="s">
        <v>659</v>
      </c>
      <c r="D140" s="3">
        <f>SUM(D63:D139)</f>
        <v>22779</v>
      </c>
      <c r="F140" s="11">
        <f>G140*1000000/D140</f>
        <v>241186.78387988932</v>
      </c>
      <c r="G140" s="11">
        <f>SUM(G63:G139)</f>
        <v>5493.9937499999987</v>
      </c>
      <c r="K140" s="15"/>
      <c r="L140" s="15"/>
      <c r="N140" s="15"/>
      <c r="O140" s="15"/>
      <c r="P140" s="15"/>
    </row>
    <row r="141" spans="1:16">
      <c r="D141" s="9"/>
      <c r="E141" s="16"/>
      <c r="F141" s="9"/>
      <c r="K141" s="244"/>
      <c r="L141" s="15"/>
      <c r="N141" s="15"/>
      <c r="O141" s="15"/>
      <c r="P141" s="15"/>
    </row>
    <row r="142" spans="1:16">
      <c r="A142" s="1734" t="s">
        <v>520</v>
      </c>
      <c r="F142" s="11"/>
      <c r="G142" s="11">
        <f>+G140+G59</f>
        <v>16944.373249999993</v>
      </c>
      <c r="K142" s="514"/>
      <c r="L142" s="514"/>
      <c r="N142" s="15"/>
      <c r="O142" s="15"/>
      <c r="P142" s="15"/>
    </row>
    <row r="143" spans="1:16">
      <c r="H143" s="1929"/>
      <c r="I143" s="15"/>
      <c r="J143" s="15"/>
      <c r="K143" s="15"/>
      <c r="L143" s="15"/>
      <c r="N143" s="15"/>
      <c r="O143" s="15"/>
      <c r="P143" s="15"/>
    </row>
    <row r="144" spans="1:16">
      <c r="A144" s="645" t="s">
        <v>54</v>
      </c>
      <c r="B144" s="645"/>
      <c r="C144" s="645"/>
      <c r="D144" s="645"/>
      <c r="E144" s="645"/>
      <c r="F144" s="645"/>
      <c r="G144" s="816">
        <f>+G142/G145</f>
        <v>52.62227717391302</v>
      </c>
      <c r="H144" s="514"/>
      <c r="I144" s="514"/>
      <c r="J144" s="514"/>
      <c r="K144" s="514"/>
      <c r="L144" s="514"/>
      <c r="N144" s="15"/>
      <c r="O144" s="15"/>
      <c r="P144" s="15"/>
    </row>
    <row r="145" spans="1:16">
      <c r="A145" s="6" t="s">
        <v>55</v>
      </c>
      <c r="B145" s="6"/>
      <c r="C145" s="6"/>
      <c r="D145" s="6"/>
      <c r="E145" s="6"/>
      <c r="F145" s="6"/>
      <c r="G145" s="6">
        <f>'EBITDA Val'!H14</f>
        <v>322</v>
      </c>
      <c r="H145" s="15"/>
      <c r="I145" s="15"/>
      <c r="J145" s="15"/>
      <c r="K145" s="15"/>
      <c r="L145" s="15"/>
      <c r="N145" s="15"/>
      <c r="O145" s="15"/>
      <c r="P145" s="15"/>
    </row>
    <row r="146" spans="1:16">
      <c r="A146" s="15"/>
      <c r="B146" s="15"/>
      <c r="C146" s="15"/>
      <c r="D146" s="15"/>
      <c r="E146" s="15"/>
      <c r="F146" s="15"/>
      <c r="G146" s="15"/>
      <c r="H146" s="15"/>
      <c r="I146" s="15"/>
      <c r="J146" s="15"/>
      <c r="K146" s="15"/>
      <c r="L146" s="15"/>
      <c r="N146" s="15"/>
      <c r="O146" s="15"/>
      <c r="P146" s="15"/>
    </row>
    <row r="147" spans="1:16">
      <c r="A147" s="1777" t="s">
        <v>2353</v>
      </c>
      <c r="B147" s="15"/>
      <c r="C147" s="15"/>
      <c r="D147" s="15"/>
      <c r="E147" s="15"/>
      <c r="F147" s="15"/>
      <c r="G147" s="1657">
        <f>+'EBITDA Val'!H7/'EBITDA Val'!H14</f>
        <v>102.03825943801398</v>
      </c>
      <c r="H147" s="15"/>
      <c r="I147" s="15"/>
      <c r="J147" s="15"/>
      <c r="K147" s="15"/>
      <c r="L147" s="15"/>
      <c r="N147" s="15"/>
      <c r="O147" s="15"/>
      <c r="P147" s="15"/>
    </row>
    <row r="148" spans="1:16">
      <c r="A148" s="2169" t="s">
        <v>299</v>
      </c>
      <c r="B148" s="15"/>
      <c r="C148" s="15"/>
      <c r="D148" s="15"/>
      <c r="E148" s="15"/>
      <c r="F148" s="15"/>
      <c r="G148" s="514">
        <f>+G144-G147</f>
        <v>-49.415982264100961</v>
      </c>
      <c r="H148" s="15"/>
      <c r="I148" s="15"/>
      <c r="J148" s="15"/>
      <c r="K148" s="15"/>
      <c r="L148" s="15"/>
      <c r="N148" s="15"/>
      <c r="O148" s="15"/>
      <c r="P148" s="15"/>
    </row>
    <row r="149" spans="1:16">
      <c r="A149" s="15"/>
      <c r="B149" s="15"/>
      <c r="C149" s="15"/>
      <c r="D149" s="15"/>
      <c r="E149" s="15"/>
      <c r="F149" s="15"/>
      <c r="G149" s="15"/>
      <c r="H149" s="15"/>
      <c r="I149" s="15"/>
      <c r="J149" s="15"/>
      <c r="K149" s="15"/>
      <c r="L149" s="15"/>
      <c r="N149" s="15"/>
      <c r="O149" s="15"/>
      <c r="P149" s="15"/>
    </row>
    <row r="150" spans="1:16">
      <c r="D150" s="209" t="s">
        <v>2354</v>
      </c>
      <c r="E150" s="209"/>
      <c r="F150" s="209" t="s">
        <v>1163</v>
      </c>
      <c r="H150" s="15"/>
      <c r="I150" s="15"/>
      <c r="J150" s="15"/>
      <c r="K150" s="15"/>
      <c r="L150" s="15"/>
      <c r="N150" s="15"/>
      <c r="O150" s="15"/>
      <c r="P150" s="15"/>
    </row>
    <row r="151" spans="1:16">
      <c r="A151" s="3" t="s">
        <v>1449</v>
      </c>
      <c r="F151" s="1782"/>
      <c r="K151" s="15"/>
      <c r="L151" s="15"/>
      <c r="N151" s="15"/>
    </row>
    <row r="152" spans="1:16">
      <c r="A152" s="3" t="s">
        <v>1450</v>
      </c>
      <c r="D152" s="3">
        <f ca="1">'EBITDA Val'!C8</f>
        <v>-253.92686552760262</v>
      </c>
      <c r="F152" s="1782">
        <f>'EBITDA Val'!F8</f>
        <v>15.722965816384368</v>
      </c>
      <c r="G152" s="3">
        <f ca="1">D152*F152</f>
        <v>-3992.4834265521263</v>
      </c>
      <c r="K152" s="15"/>
      <c r="L152" s="15"/>
      <c r="N152" s="15"/>
    </row>
    <row r="153" spans="1:16">
      <c r="A153" s="3" t="s">
        <v>2032</v>
      </c>
      <c r="D153" s="3">
        <f>Hilton!AE112+Hilton!AE110+Hilton!AE107</f>
        <v>46</v>
      </c>
      <c r="F153" s="1782">
        <f>'EBITDA Val'!F7</f>
        <v>15.75</v>
      </c>
      <c r="G153" s="3">
        <f>D153*F153</f>
        <v>724.5</v>
      </c>
      <c r="K153" s="15"/>
      <c r="L153" s="15"/>
      <c r="N153" s="15"/>
    </row>
    <row r="154" spans="1:16">
      <c r="A154" s="6" t="s">
        <v>389</v>
      </c>
      <c r="B154" s="6"/>
      <c r="C154" s="6"/>
      <c r="D154" s="6"/>
      <c r="E154" s="6"/>
      <c r="F154" s="2420"/>
      <c r="G154" s="6"/>
      <c r="K154" s="15"/>
      <c r="L154" s="15"/>
      <c r="N154" s="15"/>
    </row>
    <row r="155" spans="1:16">
      <c r="A155" s="3" t="s">
        <v>1587</v>
      </c>
      <c r="F155" s="211"/>
      <c r="G155" s="3">
        <f ca="1">G142+SUM(G151:G154)</f>
        <v>13676.389823447867</v>
      </c>
      <c r="K155" s="15"/>
      <c r="L155" s="15"/>
    </row>
    <row r="156" spans="1:16">
      <c r="K156" s="15"/>
      <c r="L156" s="15"/>
    </row>
    <row r="157" spans="1:16">
      <c r="A157" s="3" t="s">
        <v>2031</v>
      </c>
      <c r="G157" s="3">
        <f ca="1">'EBITDA Val'!H11</f>
        <v>-6114</v>
      </c>
      <c r="K157" s="15"/>
      <c r="L157" s="15"/>
    </row>
    <row r="158" spans="1:16">
      <c r="K158" s="15"/>
      <c r="L158" s="15"/>
    </row>
    <row r="159" spans="1:16">
      <c r="A159" s="3" t="s">
        <v>721</v>
      </c>
      <c r="G159" s="3">
        <f ca="1">G155+G157</f>
        <v>7562.3898234478675</v>
      </c>
      <c r="K159" s="15"/>
      <c r="L159" s="15"/>
    </row>
    <row r="160" spans="1:16">
      <c r="A160" s="3" t="s">
        <v>1331</v>
      </c>
      <c r="G160" s="3">
        <f>G145</f>
        <v>322</v>
      </c>
      <c r="K160" s="15"/>
      <c r="L160" s="15"/>
    </row>
    <row r="161" spans="1:17">
      <c r="K161" s="15"/>
      <c r="L161" s="15"/>
    </row>
    <row r="162" spans="1:17">
      <c r="A162" s="223" t="s">
        <v>1451</v>
      </c>
      <c r="B162" s="223"/>
      <c r="C162" s="223"/>
      <c r="D162" s="223"/>
      <c r="E162" s="223"/>
      <c r="F162" s="223"/>
      <c r="G162" s="806">
        <f ca="1">G159/G160</f>
        <v>23.485682681515115</v>
      </c>
      <c r="K162" s="15"/>
      <c r="L162" s="1657"/>
      <c r="N162" s="14"/>
    </row>
    <row r="163" spans="1:17">
      <c r="A163" s="3" t="s">
        <v>1876</v>
      </c>
      <c r="G163" s="119"/>
      <c r="K163" s="15"/>
      <c r="L163" s="1928"/>
    </row>
    <row r="164" spans="1:17">
      <c r="A164" s="438" t="s">
        <v>1702</v>
      </c>
      <c r="B164" s="438"/>
      <c r="C164" s="438"/>
      <c r="D164" s="438"/>
      <c r="E164" s="438"/>
      <c r="F164" s="438"/>
      <c r="G164" s="437"/>
      <c r="K164" s="15"/>
      <c r="L164" s="471"/>
    </row>
    <row r="165" spans="1:17">
      <c r="K165" s="15"/>
      <c r="L165" s="15"/>
    </row>
    <row r="166" spans="1:17">
      <c r="P166" s="1734" t="s">
        <v>475</v>
      </c>
      <c r="Q166" s="11">
        <f>+G142</f>
        <v>16944.373249999993</v>
      </c>
    </row>
    <row r="167" spans="1:17">
      <c r="A167" s="122"/>
      <c r="P167" s="1735" t="s">
        <v>521</v>
      </c>
      <c r="Q167" s="6">
        <f>+'EBITDA Val'!H14</f>
        <v>322</v>
      </c>
    </row>
    <row r="168" spans="1:17">
      <c r="P168" s="223" t="s">
        <v>54</v>
      </c>
      <c r="Q168" s="1781">
        <f>Q166/Q167</f>
        <v>52.62227717391302</v>
      </c>
    </row>
    <row r="170" spans="1:17">
      <c r="G170" s="127"/>
      <c r="P170" s="1734" t="s">
        <v>522</v>
      </c>
      <c r="Q170" s="11">
        <f>+'EBITDA Val'!H7</f>
        <v>32856.319539040502</v>
      </c>
    </row>
    <row r="171" spans="1:17">
      <c r="G171" s="127"/>
      <c r="P171" s="1902" t="s">
        <v>523</v>
      </c>
      <c r="Q171" s="1781">
        <f>+Q170/Q167</f>
        <v>102.03825943801398</v>
      </c>
    </row>
    <row r="172" spans="1:17">
      <c r="G172" s="127"/>
      <c r="P172" s="1734"/>
      <c r="Q172" s="955"/>
    </row>
    <row r="173" spans="1:17">
      <c r="P173" s="1821" t="s">
        <v>476</v>
      </c>
      <c r="Q173" s="1822">
        <f>Q168-Q171</f>
        <v>-49.415982264100961</v>
      </c>
    </row>
    <row r="174" spans="1:17">
      <c r="G174" s="7"/>
    </row>
    <row r="175" spans="1:17">
      <c r="G175" s="7"/>
    </row>
  </sheetData>
  <phoneticPr fontId="12"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Q89"/>
  <sheetViews>
    <sheetView zoomScale="85" zoomScaleNormal="85" workbookViewId="0">
      <pane ySplit="2" topLeftCell="A32" activePane="bottomLeft" state="frozen"/>
      <selection pane="bottomLeft" activeCell="G83" sqref="G83"/>
    </sheetView>
  </sheetViews>
  <sheetFormatPr defaultRowHeight="12.75" outlineLevelCol="1"/>
  <cols>
    <col min="1" max="1" width="47.25" style="1734" customWidth="1"/>
    <col min="2" max="2" width="14.875" style="1734" customWidth="1" outlineLevel="1"/>
    <col min="3" max="3" width="19.25" style="1734" customWidth="1" outlineLevel="1"/>
    <col min="4" max="4" width="7.875" style="1734" customWidth="1"/>
    <col min="5" max="5" width="11.25" style="1734" customWidth="1" outlineLevel="1"/>
    <col min="6" max="6" width="9.625" style="1734" customWidth="1"/>
    <col min="7" max="8" width="10.375" style="1734" customWidth="1"/>
    <col min="9" max="9" width="9" style="2721" outlineLevel="1"/>
    <col min="10" max="10" width="11.75" style="1734" bestFit="1" customWidth="1" outlineLevel="1"/>
    <col min="11" max="11" width="2.125" style="1734" customWidth="1" outlineLevel="1"/>
    <col min="12" max="12" width="9.625" style="1734" customWidth="1" outlineLevel="1"/>
    <col min="13" max="13" width="12.125" style="1734" customWidth="1" outlineLevel="1"/>
    <col min="14" max="14" width="4.625" style="1734" customWidth="1"/>
    <col min="15" max="16" width="11.25" style="1734" customWidth="1"/>
    <col min="17" max="17" width="41.375" style="1734" customWidth="1"/>
    <col min="18" max="16384" width="9" style="1734"/>
  </cols>
  <sheetData>
    <row r="1" spans="1:15">
      <c r="F1" s="17" t="s">
        <v>872</v>
      </c>
      <c r="G1" s="2853"/>
      <c r="H1" s="1801"/>
      <c r="I1" s="2848" t="s">
        <v>1750</v>
      </c>
      <c r="L1" s="17"/>
      <c r="M1" s="17"/>
      <c r="O1" s="1828"/>
    </row>
    <row r="2" spans="1:15">
      <c r="A2" s="230" t="s">
        <v>1471</v>
      </c>
      <c r="B2" s="810" t="s">
        <v>1158</v>
      </c>
      <c r="C2" s="810" t="s">
        <v>1159</v>
      </c>
      <c r="D2" s="805" t="s">
        <v>2076</v>
      </c>
      <c r="E2" s="805" t="s">
        <v>1233</v>
      </c>
      <c r="F2" s="805" t="s">
        <v>2293</v>
      </c>
      <c r="G2" s="805" t="s">
        <v>56</v>
      </c>
      <c r="H2" s="2641"/>
      <c r="I2" s="206" t="s">
        <v>2614</v>
      </c>
      <c r="J2" s="1734" t="s">
        <v>1469</v>
      </c>
      <c r="L2" s="805"/>
      <c r="M2" s="805"/>
      <c r="O2" s="1828"/>
    </row>
    <row r="3" spans="1:15">
      <c r="A3" s="1777" t="s">
        <v>656</v>
      </c>
      <c r="B3" s="225"/>
      <c r="C3" s="225"/>
      <c r="D3" s="227"/>
      <c r="E3" s="227"/>
      <c r="F3" s="227"/>
      <c r="G3" s="227"/>
      <c r="H3" s="227"/>
      <c r="L3" s="227"/>
      <c r="M3" s="227"/>
      <c r="O3" s="1828"/>
    </row>
    <row r="4" spans="1:15">
      <c r="A4" s="1734" t="s">
        <v>634</v>
      </c>
      <c r="B4" s="1734" t="s">
        <v>1954</v>
      </c>
      <c r="C4" s="1734" t="s">
        <v>1955</v>
      </c>
      <c r="D4" s="9">
        <v>563</v>
      </c>
      <c r="E4" s="16">
        <v>1</v>
      </c>
      <c r="F4" s="9">
        <v>100000</v>
      </c>
      <c r="G4" s="1734">
        <f>D4*F4/1000000</f>
        <v>56.3</v>
      </c>
      <c r="J4" s="1734" t="s">
        <v>2568</v>
      </c>
      <c r="L4" s="9"/>
      <c r="M4" s="1776"/>
      <c r="O4" s="1828"/>
    </row>
    <row r="5" spans="1:15">
      <c r="A5" s="1734" t="s">
        <v>637</v>
      </c>
      <c r="B5" s="1734" t="s">
        <v>1959</v>
      </c>
      <c r="C5" s="1734" t="s">
        <v>1960</v>
      </c>
      <c r="D5" s="9">
        <v>503</v>
      </c>
      <c r="E5" s="16">
        <v>1</v>
      </c>
      <c r="F5" s="9">
        <v>300000</v>
      </c>
      <c r="G5" s="1734">
        <f>D5*F5/1000000</f>
        <v>150.9</v>
      </c>
      <c r="L5" s="9"/>
      <c r="M5" s="1776"/>
      <c r="O5" s="1828"/>
    </row>
    <row r="6" spans="1:15">
      <c r="A6" s="1734" t="s">
        <v>192</v>
      </c>
      <c r="B6" s="1734" t="s">
        <v>1939</v>
      </c>
      <c r="C6" s="1734" t="s">
        <v>1940</v>
      </c>
      <c r="D6" s="9">
        <v>1908</v>
      </c>
      <c r="E6" s="16">
        <v>1</v>
      </c>
      <c r="F6" s="9">
        <v>325000</v>
      </c>
      <c r="G6" s="1734">
        <f>D6*F6/1000000</f>
        <v>620.1</v>
      </c>
      <c r="J6" s="1734" t="s">
        <v>2558</v>
      </c>
      <c r="L6" s="9"/>
      <c r="M6" s="1776"/>
      <c r="O6" s="1828"/>
    </row>
    <row r="7" spans="1:15">
      <c r="A7" s="1734" t="s">
        <v>2352</v>
      </c>
      <c r="B7" s="1734" t="s">
        <v>1939</v>
      </c>
      <c r="C7" s="1734" t="s">
        <v>1940</v>
      </c>
      <c r="D7" s="9">
        <v>1024</v>
      </c>
      <c r="E7" s="2421"/>
      <c r="F7" s="9">
        <v>590000</v>
      </c>
      <c r="G7" s="1734">
        <f>D7*F7/1000000</f>
        <v>604.16</v>
      </c>
      <c r="J7" s="1734" t="s">
        <v>2355</v>
      </c>
      <c r="L7" s="9"/>
      <c r="M7" s="1776"/>
      <c r="O7" s="1828"/>
    </row>
    <row r="8" spans="1:15">
      <c r="A8" s="1734" t="s">
        <v>649</v>
      </c>
      <c r="B8" s="1734" t="s">
        <v>1995</v>
      </c>
      <c r="C8" s="1734" t="s">
        <v>1940</v>
      </c>
      <c r="D8" s="9">
        <v>505</v>
      </c>
      <c r="E8" s="16">
        <v>1</v>
      </c>
      <c r="F8" s="9">
        <v>200000</v>
      </c>
      <c r="G8" s="1734">
        <f>D8*F8/1000000</f>
        <v>101</v>
      </c>
      <c r="J8" s="1734" t="s">
        <v>2565</v>
      </c>
      <c r="L8" s="9"/>
      <c r="M8" s="1776"/>
      <c r="O8" s="1828"/>
    </row>
    <row r="9" spans="1:15">
      <c r="A9" s="1734" t="s">
        <v>652</v>
      </c>
      <c r="B9" s="1734" t="s">
        <v>1998</v>
      </c>
      <c r="C9" s="1734" t="s">
        <v>1940</v>
      </c>
      <c r="D9" s="9">
        <v>360</v>
      </c>
      <c r="E9" s="16">
        <v>0.5</v>
      </c>
      <c r="F9" s="9">
        <v>175000</v>
      </c>
      <c r="G9" s="1734">
        <f>D9*F9*E9/1000000</f>
        <v>31.5</v>
      </c>
      <c r="L9" s="9"/>
      <c r="M9" s="1776"/>
      <c r="O9" s="1828"/>
    </row>
    <row r="10" spans="1:15">
      <c r="A10" s="1734" t="s">
        <v>2621</v>
      </c>
      <c r="B10" s="1734" t="s">
        <v>2436</v>
      </c>
      <c r="C10" s="1734" t="s">
        <v>1940</v>
      </c>
      <c r="D10" s="9">
        <v>224</v>
      </c>
      <c r="E10" s="16"/>
      <c r="F10" s="9">
        <v>500000</v>
      </c>
      <c r="G10" s="1734">
        <f>D10*F10/1000000</f>
        <v>112</v>
      </c>
      <c r="J10" s="1734" t="s">
        <v>2374</v>
      </c>
      <c r="L10" s="9"/>
      <c r="M10" s="1776"/>
    </row>
    <row r="11" spans="1:15">
      <c r="A11" s="1734" t="s">
        <v>653</v>
      </c>
      <c r="B11" s="1734" t="s">
        <v>1999</v>
      </c>
      <c r="C11" s="1734" t="s">
        <v>1940</v>
      </c>
      <c r="D11" s="9">
        <v>162</v>
      </c>
      <c r="E11" s="16">
        <v>1</v>
      </c>
      <c r="F11" s="9">
        <v>150000</v>
      </c>
      <c r="G11" s="1734">
        <f>D11*F11/1000000</f>
        <v>24.3</v>
      </c>
      <c r="J11" s="1734" t="s">
        <v>2567</v>
      </c>
      <c r="L11" s="9"/>
      <c r="M11" s="1776"/>
    </row>
    <row r="12" spans="1:15" s="1828" customFormat="1">
      <c r="A12" s="1828" t="s">
        <v>2577</v>
      </c>
      <c r="B12" s="1828" t="s">
        <v>2578</v>
      </c>
      <c r="C12" s="1828" t="s">
        <v>1940</v>
      </c>
      <c r="D12" s="2846">
        <v>235</v>
      </c>
      <c r="E12" s="2847"/>
      <c r="F12" s="2846">
        <v>130000</v>
      </c>
      <c r="G12" s="1828">
        <f>D12*F12/1000000</f>
        <v>30.55</v>
      </c>
      <c r="I12" s="1829"/>
      <c r="J12" s="1828" t="s">
        <v>2579</v>
      </c>
      <c r="L12" s="2846"/>
      <c r="M12" s="2854"/>
    </row>
    <row r="13" spans="1:15" s="1828" customFormat="1">
      <c r="A13" s="1828" t="s">
        <v>650</v>
      </c>
      <c r="B13" s="1828" t="s">
        <v>1996</v>
      </c>
      <c r="C13" s="1828" t="s">
        <v>1940</v>
      </c>
      <c r="D13" s="2846">
        <v>482</v>
      </c>
      <c r="E13" s="2847">
        <v>0.67</v>
      </c>
      <c r="F13" s="2846">
        <v>175000</v>
      </c>
      <c r="G13" s="1828">
        <f>D13*F13*E13/1000000</f>
        <v>56.514499999999998</v>
      </c>
      <c r="I13" s="1829"/>
      <c r="L13" s="2846"/>
      <c r="M13" s="2854"/>
    </row>
    <row r="14" spans="1:15" s="1828" customFormat="1">
      <c r="A14" s="1828" t="s">
        <v>2611</v>
      </c>
      <c r="B14" s="1828" t="s">
        <v>2610</v>
      </c>
      <c r="C14" s="1828" t="s">
        <v>2612</v>
      </c>
      <c r="D14" s="2846">
        <v>191</v>
      </c>
      <c r="E14" s="2847"/>
      <c r="F14" s="2846">
        <v>400000</v>
      </c>
      <c r="G14" s="2849">
        <f>D14*F14/1000000*I14</f>
        <v>36.672000000000004</v>
      </c>
      <c r="I14" s="2850">
        <v>0.48</v>
      </c>
      <c r="J14" s="1828" t="s">
        <v>2613</v>
      </c>
      <c r="L14" s="2846"/>
      <c r="M14" s="2854"/>
    </row>
    <row r="15" spans="1:15" s="1828" customFormat="1">
      <c r="A15" s="1828" t="s">
        <v>645</v>
      </c>
      <c r="B15" s="1828" t="s">
        <v>1990</v>
      </c>
      <c r="C15" s="1828" t="s">
        <v>1991</v>
      </c>
      <c r="D15" s="2846">
        <v>318</v>
      </c>
      <c r="E15" s="2847">
        <v>1</v>
      </c>
      <c r="F15" s="2846">
        <v>450000</v>
      </c>
      <c r="G15" s="1828">
        <f t="shared" ref="G15:G50" si="0">D15*F15/1000000</f>
        <v>143.1</v>
      </c>
      <c r="I15" s="1829"/>
      <c r="J15" s="1828" t="s">
        <v>2563</v>
      </c>
      <c r="L15" s="2846"/>
      <c r="M15" s="2854"/>
    </row>
    <row r="16" spans="1:15" s="1828" customFormat="1">
      <c r="A16" s="1828" t="s">
        <v>2581</v>
      </c>
      <c r="B16" s="1828" t="s">
        <v>1990</v>
      </c>
      <c r="C16" s="1828" t="s">
        <v>1991</v>
      </c>
      <c r="D16" s="2846">
        <f>550-120</f>
        <v>430</v>
      </c>
      <c r="E16" s="2847"/>
      <c r="F16" s="2846">
        <v>450000</v>
      </c>
      <c r="G16" s="2849">
        <f>D16*F16/1000000*I16</f>
        <v>48.375</v>
      </c>
      <c r="I16" s="2850">
        <v>0.25</v>
      </c>
      <c r="J16" s="1828" t="s">
        <v>2582</v>
      </c>
      <c r="L16" s="2846"/>
      <c r="M16" s="2854"/>
    </row>
    <row r="17" spans="1:17" s="1828" customFormat="1">
      <c r="A17" s="1828" t="s">
        <v>2580</v>
      </c>
      <c r="B17" s="1828" t="s">
        <v>1949</v>
      </c>
      <c r="C17" s="1828" t="s">
        <v>1950</v>
      </c>
      <c r="D17" s="2846">
        <v>1417</v>
      </c>
      <c r="E17" s="2847"/>
      <c r="F17" s="2846">
        <v>250000</v>
      </c>
      <c r="G17" s="2849">
        <f>D17*F17/1000000*I17</f>
        <v>70.850000000000009</v>
      </c>
      <c r="I17" s="2850">
        <v>0.2</v>
      </c>
      <c r="J17" s="1828" t="s">
        <v>2615</v>
      </c>
      <c r="L17" s="2846"/>
      <c r="M17" s="2854"/>
    </row>
    <row r="18" spans="1:17" s="1828" customFormat="1">
      <c r="A18" s="1828" t="s">
        <v>2348</v>
      </c>
      <c r="B18" s="1828" t="s">
        <v>1949</v>
      </c>
      <c r="C18" s="1828" t="s">
        <v>1950</v>
      </c>
      <c r="D18" s="2846">
        <v>1001</v>
      </c>
      <c r="E18" s="2847"/>
      <c r="F18" s="2846">
        <v>590000</v>
      </c>
      <c r="G18" s="1828">
        <f t="shared" si="0"/>
        <v>590.59</v>
      </c>
      <c r="I18" s="1829"/>
      <c r="J18" s="1828" t="s">
        <v>2355</v>
      </c>
      <c r="L18" s="2846"/>
      <c r="M18" s="2854"/>
    </row>
    <row r="19" spans="1:17" s="1828" customFormat="1">
      <c r="A19" s="1828" t="s">
        <v>635</v>
      </c>
      <c r="B19" s="1828" t="s">
        <v>1956</v>
      </c>
      <c r="C19" s="1828" t="s">
        <v>1950</v>
      </c>
      <c r="D19" s="2846">
        <v>508</v>
      </c>
      <c r="E19" s="2847">
        <v>1</v>
      </c>
      <c r="F19" s="2846">
        <v>300000</v>
      </c>
      <c r="G19" s="1828">
        <f t="shared" si="0"/>
        <v>152.4</v>
      </c>
      <c r="I19" s="1829"/>
      <c r="J19" s="1828" t="s">
        <v>2562</v>
      </c>
      <c r="L19" s="2846"/>
      <c r="M19" s="2854"/>
    </row>
    <row r="20" spans="1:17" s="1828" customFormat="1">
      <c r="A20" s="1828" t="s">
        <v>2349</v>
      </c>
      <c r="B20" s="1828" t="s">
        <v>1949</v>
      </c>
      <c r="C20" s="1828" t="s">
        <v>1950</v>
      </c>
      <c r="D20" s="2846">
        <v>498</v>
      </c>
      <c r="E20" s="2847"/>
      <c r="F20" s="2846">
        <v>590000</v>
      </c>
      <c r="G20" s="1828">
        <f t="shared" si="0"/>
        <v>293.82</v>
      </c>
      <c r="I20" s="1829"/>
      <c r="J20" s="1828" t="s">
        <v>2355</v>
      </c>
      <c r="L20" s="2846"/>
      <c r="M20" s="2854"/>
    </row>
    <row r="21" spans="1:17" s="1828" customFormat="1">
      <c r="A21" s="1828" t="s">
        <v>2351</v>
      </c>
      <c r="B21" s="1828" t="s">
        <v>2434</v>
      </c>
      <c r="C21" s="1828" t="s">
        <v>1950</v>
      </c>
      <c r="D21" s="2846">
        <v>311</v>
      </c>
      <c r="E21" s="2847"/>
      <c r="F21" s="2846">
        <v>590000</v>
      </c>
      <c r="G21" s="1828">
        <f t="shared" si="0"/>
        <v>183.49</v>
      </c>
      <c r="I21" s="1829"/>
      <c r="J21" s="1828" t="s">
        <v>2355</v>
      </c>
      <c r="L21" s="2846"/>
      <c r="M21" s="2854"/>
    </row>
    <row r="22" spans="1:17" s="1828" customFormat="1">
      <c r="A22" s="1828" t="s">
        <v>2350</v>
      </c>
      <c r="B22" s="1828" t="s">
        <v>2434</v>
      </c>
      <c r="C22" s="1828" t="s">
        <v>1950</v>
      </c>
      <c r="D22" s="2846">
        <v>150</v>
      </c>
      <c r="E22" s="2847"/>
      <c r="F22" s="2846">
        <v>590000</v>
      </c>
      <c r="G22" s="1828">
        <f t="shared" si="0"/>
        <v>88.5</v>
      </c>
      <c r="I22" s="1829"/>
      <c r="J22" s="1828" t="s">
        <v>2355</v>
      </c>
      <c r="L22" s="2846"/>
      <c r="M22" s="2854"/>
    </row>
    <row r="23" spans="1:17" s="1828" customFormat="1">
      <c r="A23" s="1828" t="s">
        <v>2583</v>
      </c>
      <c r="B23" s="1828" t="s">
        <v>1957</v>
      </c>
      <c r="C23" s="1828" t="s">
        <v>1958</v>
      </c>
      <c r="D23" s="2846">
        <v>241</v>
      </c>
      <c r="E23" s="2847"/>
      <c r="F23" s="2846">
        <v>90000</v>
      </c>
      <c r="G23" s="1828">
        <f>D23*F23/1000000</f>
        <v>21.69</v>
      </c>
      <c r="I23" s="1829"/>
      <c r="J23" s="1828" t="s">
        <v>2598</v>
      </c>
      <c r="L23" s="2846"/>
      <c r="M23" s="2854"/>
    </row>
    <row r="24" spans="1:17" s="1828" customFormat="1">
      <c r="A24" s="1828" t="s">
        <v>636</v>
      </c>
      <c r="B24" s="1828" t="s">
        <v>1957</v>
      </c>
      <c r="C24" s="1828" t="s">
        <v>1958</v>
      </c>
      <c r="D24" s="2846">
        <v>507</v>
      </c>
      <c r="E24" s="2847">
        <v>1</v>
      </c>
      <c r="F24" s="2846">
        <v>150000</v>
      </c>
      <c r="G24" s="1828">
        <f t="shared" si="0"/>
        <v>76.05</v>
      </c>
      <c r="I24" s="1829"/>
      <c r="J24" s="1828" t="s">
        <v>2564</v>
      </c>
      <c r="L24" s="2846"/>
      <c r="M24" s="2854"/>
    </row>
    <row r="25" spans="1:17" s="1828" customFormat="1">
      <c r="A25" s="1828" t="s">
        <v>2607</v>
      </c>
      <c r="B25" s="1828" t="s">
        <v>2608</v>
      </c>
      <c r="C25" s="1828" t="s">
        <v>1985</v>
      </c>
      <c r="D25" s="2846">
        <v>601</v>
      </c>
      <c r="E25" s="2847"/>
      <c r="F25" s="2846">
        <v>300000</v>
      </c>
      <c r="G25" s="2849">
        <f>D25*F25/1000000*I25</f>
        <v>72.12</v>
      </c>
      <c r="I25" s="2850">
        <v>0.4</v>
      </c>
      <c r="J25" s="1828" t="s">
        <v>2609</v>
      </c>
      <c r="L25" s="2846"/>
      <c r="M25" s="2854"/>
    </row>
    <row r="26" spans="1:17" s="1828" customFormat="1">
      <c r="A26" s="1828" t="s">
        <v>191</v>
      </c>
      <c r="B26" s="1828" t="s">
        <v>1938</v>
      </c>
      <c r="C26" s="1828" t="s">
        <v>371</v>
      </c>
      <c r="D26" s="2846">
        <v>2860</v>
      </c>
      <c r="E26" s="2847">
        <v>1</v>
      </c>
      <c r="F26" s="2846">
        <v>550000</v>
      </c>
      <c r="G26" s="1828">
        <f t="shared" si="0"/>
        <v>1573</v>
      </c>
      <c r="I26" s="1829"/>
      <c r="J26" s="1828" t="s">
        <v>2556</v>
      </c>
      <c r="L26" s="2846"/>
      <c r="M26" s="2854"/>
    </row>
    <row r="27" spans="1:17" s="1828" customFormat="1">
      <c r="A27" s="1828" t="s">
        <v>713</v>
      </c>
      <c r="B27" s="1828" t="s">
        <v>1946</v>
      </c>
      <c r="C27" s="1828" t="s">
        <v>371</v>
      </c>
      <c r="D27" s="2846">
        <f>1241-600</f>
        <v>641</v>
      </c>
      <c r="E27" s="2847">
        <v>1</v>
      </c>
      <c r="F27" s="2846">
        <v>350000</v>
      </c>
      <c r="G27" s="1828">
        <f t="shared" si="0"/>
        <v>224.35</v>
      </c>
      <c r="I27" s="1829"/>
      <c r="J27" s="1828" t="s">
        <v>2616</v>
      </c>
      <c r="L27" s="2846"/>
      <c r="M27" s="2854"/>
    </row>
    <row r="28" spans="1:17" s="1828" customFormat="1">
      <c r="A28" s="1828" t="s">
        <v>714</v>
      </c>
      <c r="B28" s="1828" t="s">
        <v>1944</v>
      </c>
      <c r="C28" s="1828" t="s">
        <v>1945</v>
      </c>
      <c r="D28" s="2846">
        <v>1544</v>
      </c>
      <c r="E28" s="2847">
        <v>1</v>
      </c>
      <c r="F28" s="2846">
        <v>250000</v>
      </c>
      <c r="G28" s="1828">
        <f t="shared" si="0"/>
        <v>386</v>
      </c>
      <c r="I28" s="1829"/>
      <c r="J28" s="1828" t="s">
        <v>2559</v>
      </c>
      <c r="L28" s="2846"/>
      <c r="M28" s="2854"/>
    </row>
    <row r="29" spans="1:17" s="1828" customFormat="1">
      <c r="A29" s="1828" t="s">
        <v>1849</v>
      </c>
      <c r="B29" s="1828" t="s">
        <v>1978</v>
      </c>
      <c r="C29" s="1828" t="s">
        <v>1945</v>
      </c>
      <c r="D29" s="2846">
        <v>211</v>
      </c>
      <c r="E29" s="2847">
        <v>1</v>
      </c>
      <c r="F29" s="2846">
        <v>125000</v>
      </c>
      <c r="G29" s="1828">
        <f t="shared" si="0"/>
        <v>26.375</v>
      </c>
      <c r="I29" s="1829"/>
      <c r="J29" s="1828" t="s">
        <v>2569</v>
      </c>
      <c r="L29" s="2846"/>
      <c r="M29" s="2854"/>
      <c r="P29" s="1752"/>
      <c r="Q29" s="1752"/>
    </row>
    <row r="30" spans="1:17" s="1828" customFormat="1">
      <c r="A30" s="1828" t="s">
        <v>654</v>
      </c>
      <c r="B30" s="1828" t="s">
        <v>1978</v>
      </c>
      <c r="C30" s="1828" t="s">
        <v>1945</v>
      </c>
      <c r="D30" s="2846">
        <v>128</v>
      </c>
      <c r="E30" s="2847">
        <v>1</v>
      </c>
      <c r="F30" s="2846">
        <v>125000</v>
      </c>
      <c r="G30" s="1828">
        <f t="shared" si="0"/>
        <v>16</v>
      </c>
      <c r="I30" s="1829"/>
      <c r="J30" s="1828" t="s">
        <v>2570</v>
      </c>
      <c r="L30" s="2846"/>
      <c r="M30" s="2854"/>
      <c r="P30" s="1752"/>
      <c r="Q30" s="1752"/>
    </row>
    <row r="31" spans="1:17" s="1828" customFormat="1">
      <c r="A31" s="1828" t="s">
        <v>716</v>
      </c>
      <c r="B31" s="1828" t="s">
        <v>1941</v>
      </c>
      <c r="C31" s="1828" t="s">
        <v>1942</v>
      </c>
      <c r="D31" s="2846">
        <v>1622</v>
      </c>
      <c r="E31" s="2847">
        <v>1</v>
      </c>
      <c r="F31" s="2846">
        <v>400000</v>
      </c>
      <c r="G31" s="1828">
        <f t="shared" si="0"/>
        <v>648.79999999999995</v>
      </c>
      <c r="I31" s="1829"/>
      <c r="J31" s="1828" t="s">
        <v>2557</v>
      </c>
      <c r="L31" s="2846"/>
      <c r="M31" s="2854"/>
      <c r="O31" s="1830"/>
      <c r="P31" s="1840"/>
      <c r="Q31" s="1840"/>
    </row>
    <row r="32" spans="1:17" s="1828" customFormat="1">
      <c r="A32" s="1828" t="s">
        <v>37</v>
      </c>
      <c r="B32" s="1828" t="s">
        <v>1970</v>
      </c>
      <c r="C32" s="1828" t="s">
        <v>1942</v>
      </c>
      <c r="D32" s="2846">
        <v>317</v>
      </c>
      <c r="E32" s="2847">
        <v>1</v>
      </c>
      <c r="F32" s="2846">
        <v>250000</v>
      </c>
      <c r="G32" s="1828">
        <f t="shared" si="0"/>
        <v>79.25</v>
      </c>
      <c r="I32" s="1829"/>
      <c r="J32" s="1828" t="s">
        <v>2564</v>
      </c>
      <c r="L32" s="2846"/>
      <c r="M32" s="2854"/>
      <c r="P32" s="1840"/>
      <c r="Q32" s="1840"/>
    </row>
    <row r="33" spans="1:17" s="1828" customFormat="1">
      <c r="A33" s="1828" t="s">
        <v>2585</v>
      </c>
      <c r="B33" s="1828" t="s">
        <v>2584</v>
      </c>
      <c r="C33" s="1828" t="s">
        <v>2622</v>
      </c>
      <c r="D33" s="2846">
        <v>266</v>
      </c>
      <c r="E33" s="2847"/>
      <c r="F33" s="2846">
        <v>100000</v>
      </c>
      <c r="G33" s="1828">
        <f t="shared" si="0"/>
        <v>26.6</v>
      </c>
      <c r="I33" s="1829"/>
      <c r="J33" s="1828" t="s">
        <v>2597</v>
      </c>
      <c r="L33" s="2846"/>
      <c r="M33" s="2854"/>
      <c r="O33" s="1752"/>
      <c r="P33" s="1840"/>
      <c r="Q33" s="1840"/>
    </row>
    <row r="34" spans="1:17" s="1828" customFormat="1">
      <c r="A34" s="1828" t="s">
        <v>2588</v>
      </c>
      <c r="B34" s="1828" t="s">
        <v>2589</v>
      </c>
      <c r="C34" s="1828" t="s">
        <v>2587</v>
      </c>
      <c r="D34" s="2846">
        <v>190</v>
      </c>
      <c r="E34" s="2847"/>
      <c r="F34" s="2846">
        <v>75000</v>
      </c>
      <c r="G34" s="1828">
        <f t="shared" si="0"/>
        <v>14.25</v>
      </c>
      <c r="I34" s="1829"/>
      <c r="J34" s="1828" t="s">
        <v>2590</v>
      </c>
      <c r="L34" s="2846"/>
      <c r="M34" s="2854"/>
      <c r="O34" s="1752"/>
      <c r="P34" s="1840"/>
      <c r="Q34" s="1840"/>
    </row>
    <row r="35" spans="1:17" s="1828" customFormat="1">
      <c r="A35" s="1828" t="s">
        <v>1848</v>
      </c>
      <c r="B35" s="1828" t="s">
        <v>1977</v>
      </c>
      <c r="C35" s="1828" t="s">
        <v>1974</v>
      </c>
      <c r="D35" s="2846">
        <v>254</v>
      </c>
      <c r="E35" s="2847">
        <v>1</v>
      </c>
      <c r="F35" s="2846">
        <v>200000</v>
      </c>
      <c r="G35" s="1828">
        <f t="shared" si="0"/>
        <v>50.8</v>
      </c>
      <c r="I35" s="1829"/>
      <c r="L35" s="2846"/>
      <c r="M35" s="2854"/>
      <c r="O35" s="1752"/>
      <c r="P35" s="1752"/>
      <c r="Q35" s="1752"/>
    </row>
    <row r="36" spans="1:17" s="1828" customFormat="1">
      <c r="A36" s="1828" t="s">
        <v>2591</v>
      </c>
      <c r="B36" s="1828" t="s">
        <v>2593</v>
      </c>
      <c r="C36" s="1828" t="s">
        <v>2592</v>
      </c>
      <c r="D36" s="2846">
        <v>190</v>
      </c>
      <c r="E36" s="2847"/>
      <c r="F36" s="2846">
        <v>228102.18978102191</v>
      </c>
      <c r="G36" s="2849">
        <f>D36*F36/1000000*I36</f>
        <v>21.669708029197082</v>
      </c>
      <c r="I36" s="2850">
        <v>0.5</v>
      </c>
      <c r="J36" s="1828" t="s">
        <v>2594</v>
      </c>
      <c r="L36" s="2846"/>
      <c r="M36" s="2854"/>
      <c r="O36" s="1752"/>
      <c r="P36" s="1752"/>
      <c r="Q36" s="1752"/>
    </row>
    <row r="37" spans="1:17" s="1828" customFormat="1">
      <c r="A37" s="1828" t="s">
        <v>38</v>
      </c>
      <c r="B37" s="1828" t="s">
        <v>1971</v>
      </c>
      <c r="C37" s="1828" t="s">
        <v>1972</v>
      </c>
      <c r="D37" s="2846">
        <v>304</v>
      </c>
      <c r="E37" s="2847">
        <v>1</v>
      </c>
      <c r="F37" s="2846">
        <v>250000</v>
      </c>
      <c r="G37" s="1828">
        <f t="shared" si="0"/>
        <v>76</v>
      </c>
      <c r="I37" s="1829"/>
      <c r="J37" s="1828" t="s">
        <v>2564</v>
      </c>
      <c r="L37" s="2846"/>
      <c r="M37" s="2854"/>
      <c r="O37" s="1752"/>
      <c r="P37" s="1752"/>
      <c r="Q37" s="1752"/>
    </row>
    <row r="38" spans="1:17" s="1828" customFormat="1">
      <c r="A38" s="1828" t="s">
        <v>2595</v>
      </c>
      <c r="B38" s="1828" t="s">
        <v>2596</v>
      </c>
      <c r="C38" s="1828" t="s">
        <v>1972</v>
      </c>
      <c r="D38" s="2846">
        <v>274</v>
      </c>
      <c r="E38" s="2847"/>
      <c r="F38" s="2846">
        <v>250000</v>
      </c>
      <c r="G38" s="1828">
        <f t="shared" si="0"/>
        <v>68.5</v>
      </c>
      <c r="I38" s="1829"/>
      <c r="J38" s="1828" t="s">
        <v>2600</v>
      </c>
      <c r="L38" s="2846"/>
      <c r="M38" s="2854"/>
      <c r="O38" s="1752"/>
      <c r="P38" s="1752"/>
      <c r="Q38" s="1752"/>
    </row>
    <row r="39" spans="1:17" s="1828" customFormat="1">
      <c r="A39" s="1828" t="s">
        <v>711</v>
      </c>
      <c r="B39" s="1828" t="s">
        <v>1936</v>
      </c>
      <c r="C39" s="1828" t="s">
        <v>1937</v>
      </c>
      <c r="D39" s="2846">
        <f>1932-25</f>
        <v>1907</v>
      </c>
      <c r="E39" s="2847">
        <v>1</v>
      </c>
      <c r="F39" s="2846">
        <v>550000</v>
      </c>
      <c r="G39" s="1828">
        <f t="shared" si="0"/>
        <v>1048.8499999999999</v>
      </c>
      <c r="I39" s="1829"/>
      <c r="J39" s="1828" t="s">
        <v>2618</v>
      </c>
      <c r="L39" s="2846"/>
      <c r="M39" s="2854"/>
      <c r="O39" s="1752"/>
      <c r="P39" s="1840"/>
      <c r="Q39" s="1840"/>
    </row>
    <row r="40" spans="1:17" s="1828" customFormat="1">
      <c r="A40" s="1828" t="s">
        <v>193</v>
      </c>
      <c r="B40" s="1828" t="s">
        <v>1947</v>
      </c>
      <c r="C40" s="1828" t="s">
        <v>1948</v>
      </c>
      <c r="D40" s="2846">
        <v>915</v>
      </c>
      <c r="E40" s="2847">
        <v>1</v>
      </c>
      <c r="F40" s="2846">
        <v>250000</v>
      </c>
      <c r="G40" s="1828">
        <f t="shared" si="0"/>
        <v>228.75</v>
      </c>
      <c r="I40" s="1829"/>
      <c r="J40" s="1828" t="s">
        <v>2561</v>
      </c>
      <c r="L40" s="2846"/>
      <c r="M40" s="2854"/>
      <c r="O40" s="1752"/>
      <c r="P40" s="1840"/>
      <c r="Q40" s="1840"/>
    </row>
    <row r="41" spans="1:17" s="1828" customFormat="1">
      <c r="A41" s="1828" t="s">
        <v>36</v>
      </c>
      <c r="B41" s="1828" t="s">
        <v>1968</v>
      </c>
      <c r="C41" s="1828" t="s">
        <v>1969</v>
      </c>
      <c r="D41" s="2846">
        <v>327</v>
      </c>
      <c r="E41" s="2847">
        <v>1</v>
      </c>
      <c r="F41" s="2846">
        <v>325000</v>
      </c>
      <c r="G41" s="1828">
        <f t="shared" si="0"/>
        <v>106.27500000000001</v>
      </c>
      <c r="I41" s="1829"/>
      <c r="L41" s="2846"/>
      <c r="M41" s="2854"/>
      <c r="O41" s="1752"/>
      <c r="P41" s="1752"/>
      <c r="Q41" s="1752"/>
    </row>
    <row r="42" spans="1:17" s="1828" customFormat="1">
      <c r="A42" s="1828" t="s">
        <v>655</v>
      </c>
      <c r="B42" s="1828" t="s">
        <v>2000</v>
      </c>
      <c r="C42" s="1828" t="s">
        <v>2001</v>
      </c>
      <c r="D42" s="2846">
        <v>130</v>
      </c>
      <c r="E42" s="2847">
        <v>1</v>
      </c>
      <c r="F42" s="2846">
        <v>100000</v>
      </c>
      <c r="G42" s="1828">
        <f t="shared" si="0"/>
        <v>13</v>
      </c>
      <c r="I42" s="1829"/>
      <c r="J42" s="1828" t="s">
        <v>2571</v>
      </c>
      <c r="L42" s="2846"/>
      <c r="M42" s="2854"/>
      <c r="O42" s="1752"/>
      <c r="P42" s="1752"/>
      <c r="Q42" s="1752"/>
    </row>
    <row r="43" spans="1:17" s="1828" customFormat="1">
      <c r="A43" s="1828" t="s">
        <v>40</v>
      </c>
      <c r="B43" s="1828" t="s">
        <v>1975</v>
      </c>
      <c r="C43" s="1828" t="s">
        <v>1976</v>
      </c>
      <c r="D43" s="2846">
        <v>274</v>
      </c>
      <c r="E43" s="2847">
        <v>1</v>
      </c>
      <c r="F43" s="2846">
        <v>225000</v>
      </c>
      <c r="G43" s="1828">
        <f t="shared" si="0"/>
        <v>61.65</v>
      </c>
      <c r="I43" s="1829"/>
      <c r="L43" s="2846"/>
      <c r="M43" s="2854"/>
      <c r="O43" s="1752"/>
    </row>
    <row r="44" spans="1:17" s="1828" customFormat="1">
      <c r="A44" s="1828" t="s">
        <v>1850</v>
      </c>
      <c r="B44" s="1828" t="s">
        <v>1979</v>
      </c>
      <c r="C44" s="1828" t="s">
        <v>1976</v>
      </c>
      <c r="D44" s="2846">
        <v>198</v>
      </c>
      <c r="E44" s="2847">
        <v>1</v>
      </c>
      <c r="F44" s="2846">
        <v>225000</v>
      </c>
      <c r="G44" s="1828">
        <f t="shared" si="0"/>
        <v>44.55</v>
      </c>
      <c r="I44" s="1829"/>
      <c r="L44" s="2846"/>
      <c r="M44" s="2854"/>
      <c r="O44" s="1752"/>
    </row>
    <row r="45" spans="1:17" s="1828" customFormat="1">
      <c r="A45" s="1828" t="s">
        <v>1852</v>
      </c>
      <c r="B45" s="1828" t="s">
        <v>1981</v>
      </c>
      <c r="C45" s="1828" t="s">
        <v>1976</v>
      </c>
      <c r="D45" s="2846">
        <v>184</v>
      </c>
      <c r="E45" s="2847">
        <v>1</v>
      </c>
      <c r="F45" s="2846">
        <v>250000</v>
      </c>
      <c r="G45" s="1828">
        <f t="shared" si="0"/>
        <v>46</v>
      </c>
      <c r="I45" s="1829"/>
      <c r="L45" s="2846"/>
      <c r="M45" s="2854"/>
      <c r="O45" s="1752"/>
    </row>
    <row r="46" spans="1:17" s="1828" customFormat="1">
      <c r="A46" s="1828" t="s">
        <v>1853</v>
      </c>
      <c r="B46" s="1828" t="s">
        <v>1982</v>
      </c>
      <c r="C46" s="1828" t="s">
        <v>1976</v>
      </c>
      <c r="D46" s="2846">
        <v>175</v>
      </c>
      <c r="E46" s="2847">
        <v>1</v>
      </c>
      <c r="F46" s="2846">
        <v>225000</v>
      </c>
      <c r="G46" s="1828">
        <f t="shared" si="0"/>
        <v>39.375</v>
      </c>
      <c r="I46" s="1829"/>
      <c r="L46" s="2846"/>
      <c r="M46" s="2854"/>
    </row>
    <row r="47" spans="1:17" s="1828" customFormat="1">
      <c r="A47" s="1828" t="s">
        <v>641</v>
      </c>
      <c r="B47" s="1828" t="s">
        <v>1986</v>
      </c>
      <c r="C47" s="1828" t="s">
        <v>1976</v>
      </c>
      <c r="D47" s="2846">
        <v>138</v>
      </c>
      <c r="E47" s="2847">
        <v>1</v>
      </c>
      <c r="F47" s="2846">
        <v>225000</v>
      </c>
      <c r="G47" s="1828">
        <f t="shared" si="0"/>
        <v>31.05</v>
      </c>
      <c r="I47" s="1829"/>
      <c r="L47" s="2846"/>
      <c r="M47" s="2854"/>
    </row>
    <row r="48" spans="1:17" s="1828" customFormat="1">
      <c r="A48" s="1828" t="s">
        <v>642</v>
      </c>
      <c r="B48" s="1828" t="s">
        <v>1987</v>
      </c>
      <c r="C48" s="1828" t="s">
        <v>1976</v>
      </c>
      <c r="D48" s="2846">
        <v>129</v>
      </c>
      <c r="E48" s="2847">
        <v>1</v>
      </c>
      <c r="F48" s="2846">
        <v>275000</v>
      </c>
      <c r="G48" s="1828">
        <f t="shared" si="0"/>
        <v>35.475000000000001</v>
      </c>
      <c r="I48" s="1829"/>
      <c r="L48" s="2846"/>
      <c r="M48" s="2854"/>
    </row>
    <row r="49" spans="1:17" s="1828" customFormat="1">
      <c r="A49" s="1828" t="s">
        <v>648</v>
      </c>
      <c r="B49" s="1828" t="s">
        <v>1994</v>
      </c>
      <c r="C49" s="1828" t="s">
        <v>1962</v>
      </c>
      <c r="D49" s="2846">
        <v>631</v>
      </c>
      <c r="E49" s="2847">
        <v>1</v>
      </c>
      <c r="F49" s="2846">
        <v>150000</v>
      </c>
      <c r="G49" s="1828">
        <f t="shared" si="0"/>
        <v>94.65</v>
      </c>
      <c r="I49" s="1829"/>
      <c r="J49" s="1828" t="s">
        <v>2565</v>
      </c>
      <c r="L49" s="2846"/>
      <c r="P49" s="1752"/>
      <c r="Q49" s="1752"/>
    </row>
    <row r="50" spans="1:17" s="1828" customFormat="1">
      <c r="A50" s="1828" t="s">
        <v>638</v>
      </c>
      <c r="B50" s="1828" t="s">
        <v>1961</v>
      </c>
      <c r="C50" s="1828" t="s">
        <v>1962</v>
      </c>
      <c r="D50" s="2846">
        <v>458</v>
      </c>
      <c r="E50" s="2847">
        <v>1</v>
      </c>
      <c r="F50" s="2846">
        <v>150000</v>
      </c>
      <c r="G50" s="1828">
        <f t="shared" si="0"/>
        <v>68.7</v>
      </c>
      <c r="I50" s="1829"/>
      <c r="J50" s="1828" t="s">
        <v>2566</v>
      </c>
      <c r="L50" s="2846"/>
      <c r="M50" s="2854"/>
      <c r="P50" s="1752"/>
      <c r="Q50" s="1752"/>
    </row>
    <row r="51" spans="1:17" s="1828" customFormat="1">
      <c r="A51" s="1828" t="s">
        <v>2604</v>
      </c>
      <c r="B51" s="1828" t="s">
        <v>2605</v>
      </c>
      <c r="C51" s="1828" t="s">
        <v>1962</v>
      </c>
      <c r="D51" s="2846">
        <v>288</v>
      </c>
      <c r="E51" s="2847"/>
      <c r="F51" s="2846">
        <v>378048.78048780491</v>
      </c>
      <c r="G51" s="2849">
        <f>D51*F51/1000000*I51</f>
        <v>54.439024390243901</v>
      </c>
      <c r="I51" s="2850">
        <v>0.5</v>
      </c>
      <c r="J51" s="1828" t="s">
        <v>2606</v>
      </c>
      <c r="L51" s="2846"/>
      <c r="M51" s="2854"/>
      <c r="P51" s="1752"/>
      <c r="Q51" s="1752"/>
    </row>
    <row r="52" spans="1:17" s="1828" customFormat="1">
      <c r="A52" s="1828" t="s">
        <v>651</v>
      </c>
      <c r="B52" s="1828" t="s">
        <v>1997</v>
      </c>
      <c r="C52" s="1828" t="s">
        <v>1964</v>
      </c>
      <c r="D52" s="2846">
        <v>375</v>
      </c>
      <c r="E52" s="2847">
        <v>0.1</v>
      </c>
      <c r="F52" s="2846">
        <v>150000</v>
      </c>
      <c r="G52" s="1828">
        <f>D52*F52*E52/1000000</f>
        <v>5.625</v>
      </c>
      <c r="I52" s="1829"/>
      <c r="L52" s="2846"/>
      <c r="M52" s="2854"/>
      <c r="O52" s="1752"/>
      <c r="P52" s="1752"/>
      <c r="Q52" s="1752"/>
    </row>
    <row r="53" spans="1:17" ht="3.95" customHeight="1">
      <c r="D53" s="9"/>
      <c r="E53" s="16"/>
      <c r="F53" s="9"/>
      <c r="L53" s="9"/>
      <c r="M53" s="1776"/>
      <c r="O53" s="1777"/>
      <c r="P53" s="1777"/>
      <c r="Q53" s="1777"/>
    </row>
    <row r="54" spans="1:17">
      <c r="A54" s="1743" t="s">
        <v>838</v>
      </c>
      <c r="B54" s="1743" t="s">
        <v>659</v>
      </c>
      <c r="C54" s="1743"/>
      <c r="D54" s="1743">
        <f>SUM(D4:D53)</f>
        <v>27069</v>
      </c>
      <c r="E54" s="1743"/>
      <c r="F54" s="2855">
        <f>G54*1000000/D54</f>
        <v>319737.16178726364</v>
      </c>
      <c r="G54" s="2855">
        <f>SUM(G4:G53)</f>
        <v>8654.9652324194394</v>
      </c>
      <c r="H54" s="1968"/>
      <c r="O54" s="1777"/>
      <c r="P54" s="1777"/>
      <c r="Q54" s="1777"/>
    </row>
    <row r="55" spans="1:17" ht="4.5" customHeight="1">
      <c r="D55" s="9"/>
      <c r="E55" s="16"/>
      <c r="F55" s="9"/>
      <c r="L55" s="9"/>
      <c r="O55" s="1777"/>
      <c r="P55" s="1777"/>
      <c r="Q55" s="1777"/>
    </row>
    <row r="56" spans="1:17" ht="12.75" customHeight="1">
      <c r="A56" s="230" t="s">
        <v>1471</v>
      </c>
      <c r="B56" s="810" t="s">
        <v>1158</v>
      </c>
      <c r="C56" s="810" t="s">
        <v>1159</v>
      </c>
      <c r="D56" s="805" t="s">
        <v>2076</v>
      </c>
      <c r="E56" s="805" t="s">
        <v>1233</v>
      </c>
      <c r="F56" s="805" t="s">
        <v>2293</v>
      </c>
      <c r="G56" s="805" t="s">
        <v>56</v>
      </c>
      <c r="H56" s="227"/>
      <c r="L56" s="9"/>
      <c r="O56" s="1777"/>
      <c r="P56" s="1777"/>
      <c r="Q56" s="1777"/>
    </row>
    <row r="57" spans="1:17" ht="12.75" customHeight="1">
      <c r="A57" s="1734" t="s">
        <v>657</v>
      </c>
      <c r="D57" s="9"/>
      <c r="E57" s="16"/>
      <c r="F57" s="9"/>
      <c r="J57" s="1734">
        <f>COUNTA(A4:A52)</f>
        <v>49</v>
      </c>
      <c r="L57" s="9"/>
      <c r="O57" s="1777"/>
      <c r="P57" s="1777" t="s">
        <v>1376</v>
      </c>
      <c r="Q57" s="1777"/>
    </row>
    <row r="58" spans="1:17">
      <c r="A58" s="1734" t="s">
        <v>647</v>
      </c>
      <c r="B58" s="1734" t="s">
        <v>1954</v>
      </c>
      <c r="C58" s="1734" t="s">
        <v>1955</v>
      </c>
      <c r="D58" s="9">
        <v>182</v>
      </c>
      <c r="E58" s="16">
        <v>1</v>
      </c>
      <c r="F58" s="9">
        <v>275000</v>
      </c>
      <c r="G58" s="1734">
        <f>D58*F58/1000000</f>
        <v>50.05</v>
      </c>
      <c r="L58" s="9"/>
      <c r="M58" s="1776"/>
      <c r="O58" s="1828"/>
    </row>
    <row r="59" spans="1:17" s="1828" customFormat="1">
      <c r="A59" s="1828" t="s">
        <v>2553</v>
      </c>
      <c r="B59" s="1828" t="s">
        <v>2572</v>
      </c>
      <c r="C59" s="1828" t="s">
        <v>1940</v>
      </c>
      <c r="D59" s="2846">
        <v>1190</v>
      </c>
      <c r="E59" s="2847"/>
      <c r="F59" s="2846">
        <v>425000</v>
      </c>
      <c r="G59" s="2849">
        <f>D59*F59/1000000*I59</f>
        <v>126.4375</v>
      </c>
      <c r="I59" s="2850">
        <v>0.25</v>
      </c>
      <c r="J59" s="1828" t="s">
        <v>2573</v>
      </c>
      <c r="L59" s="2846"/>
      <c r="M59" s="2854"/>
    </row>
    <row r="60" spans="1:17" s="1828" customFormat="1">
      <c r="A60" s="1828" t="s">
        <v>2574</v>
      </c>
      <c r="B60" s="1828" t="s">
        <v>2575</v>
      </c>
      <c r="C60" s="1828" t="s">
        <v>1940</v>
      </c>
      <c r="D60" s="2846">
        <v>394</v>
      </c>
      <c r="E60" s="2847"/>
      <c r="F60" s="2846">
        <v>1000000</v>
      </c>
      <c r="G60" s="2849">
        <f>D60*F60/1000000*I60</f>
        <v>98.5</v>
      </c>
      <c r="I60" s="2850">
        <v>0.25</v>
      </c>
      <c r="J60" s="1828" t="s">
        <v>2576</v>
      </c>
      <c r="L60" s="2846"/>
      <c r="M60" s="2854"/>
    </row>
    <row r="61" spans="1:17">
      <c r="A61" s="1734" t="s">
        <v>34</v>
      </c>
      <c r="B61" s="1734" t="s">
        <v>1965</v>
      </c>
      <c r="C61" s="1734" t="s">
        <v>1940</v>
      </c>
      <c r="D61" s="9">
        <v>359</v>
      </c>
      <c r="E61" s="16">
        <v>1</v>
      </c>
      <c r="F61" s="9">
        <v>250000</v>
      </c>
      <c r="G61" s="1734">
        <f t="shared" ref="G61:G68" si="1">D61*F61/1000000</f>
        <v>89.75</v>
      </c>
      <c r="L61" s="9"/>
      <c r="M61" s="1776"/>
      <c r="O61" s="1828"/>
    </row>
    <row r="62" spans="1:17">
      <c r="A62" s="1734" t="s">
        <v>1658</v>
      </c>
      <c r="B62" s="1734" t="s">
        <v>832</v>
      </c>
      <c r="C62" s="1734" t="s">
        <v>1940</v>
      </c>
      <c r="D62" s="9">
        <v>300</v>
      </c>
      <c r="E62" s="16" t="s">
        <v>1236</v>
      </c>
      <c r="F62" s="9">
        <f>+P62*0.75</f>
        <v>168750</v>
      </c>
      <c r="G62" s="1734">
        <f t="shared" si="1"/>
        <v>50.625</v>
      </c>
      <c r="L62" s="244"/>
      <c r="M62" s="1777"/>
      <c r="O62" s="1777"/>
      <c r="P62" s="244">
        <v>225000</v>
      </c>
      <c r="Q62" s="1777"/>
    </row>
    <row r="63" spans="1:17">
      <c r="A63" s="1734" t="s">
        <v>604</v>
      </c>
      <c r="B63" s="1734" t="s">
        <v>833</v>
      </c>
      <c r="C63" s="1734" t="s">
        <v>1940</v>
      </c>
      <c r="D63" s="9">
        <v>245</v>
      </c>
      <c r="E63" s="16" t="s">
        <v>1236</v>
      </c>
      <c r="F63" s="9">
        <f>+P63*0.75</f>
        <v>168750</v>
      </c>
      <c r="G63" s="1734">
        <f t="shared" si="1"/>
        <v>41.34375</v>
      </c>
      <c r="L63" s="244"/>
      <c r="M63" s="1777"/>
      <c r="O63" s="1777"/>
      <c r="P63" s="244">
        <v>225000</v>
      </c>
      <c r="Q63" s="1777"/>
    </row>
    <row r="64" spans="1:17">
      <c r="A64" s="1734" t="s">
        <v>605</v>
      </c>
      <c r="B64" s="1734" t="s">
        <v>834</v>
      </c>
      <c r="C64" s="1734" t="s">
        <v>835</v>
      </c>
      <c r="D64" s="9">
        <v>159</v>
      </c>
      <c r="E64" s="16" t="s">
        <v>1236</v>
      </c>
      <c r="F64" s="9">
        <f>+P64*0.75</f>
        <v>112500</v>
      </c>
      <c r="G64" s="1734">
        <f t="shared" si="1"/>
        <v>17.887499999999999</v>
      </c>
      <c r="J64" s="1734">
        <f>COUNTA(A70:A72)</f>
        <v>3</v>
      </c>
      <c r="L64" s="244"/>
      <c r="M64" s="1777"/>
      <c r="O64" s="1777"/>
      <c r="P64" s="244">
        <v>150000</v>
      </c>
      <c r="Q64" s="1777"/>
    </row>
    <row r="65" spans="1:17" s="1828" customFormat="1">
      <c r="A65" s="1828" t="s">
        <v>195</v>
      </c>
      <c r="B65" s="1828" t="s">
        <v>1949</v>
      </c>
      <c r="C65" s="1828" t="s">
        <v>1950</v>
      </c>
      <c r="D65" s="2846">
        <v>814</v>
      </c>
      <c r="E65" s="2847">
        <v>1</v>
      </c>
      <c r="F65" s="2846">
        <v>325000</v>
      </c>
      <c r="G65" s="1828">
        <f t="shared" si="1"/>
        <v>264.55</v>
      </c>
      <c r="I65" s="1829"/>
      <c r="J65" s="1828" t="s">
        <v>2560</v>
      </c>
      <c r="L65" s="2846"/>
      <c r="M65" s="2854"/>
    </row>
    <row r="66" spans="1:17" s="1828" customFormat="1">
      <c r="A66" s="1828" t="s">
        <v>194</v>
      </c>
      <c r="B66" s="1828" t="s">
        <v>1944</v>
      </c>
      <c r="C66" s="1828" t="s">
        <v>1945</v>
      </c>
      <c r="D66" s="2846">
        <v>860</v>
      </c>
      <c r="E66" s="2847">
        <v>1</v>
      </c>
      <c r="F66" s="2846">
        <v>200000</v>
      </c>
      <c r="G66" s="1828">
        <f t="shared" si="1"/>
        <v>172</v>
      </c>
      <c r="I66" s="1829"/>
      <c r="L66" s="2846"/>
      <c r="M66" s="2854"/>
    </row>
    <row r="67" spans="1:17" s="1828" customFormat="1">
      <c r="A67" s="1828" t="s">
        <v>196</v>
      </c>
      <c r="B67" s="1828" t="s">
        <v>1951</v>
      </c>
      <c r="C67" s="1828" t="s">
        <v>1952</v>
      </c>
      <c r="D67" s="2846">
        <v>599</v>
      </c>
      <c r="E67" s="2847">
        <v>1</v>
      </c>
      <c r="F67" s="2846">
        <v>350000</v>
      </c>
      <c r="G67" s="1828">
        <f t="shared" si="1"/>
        <v>209.65</v>
      </c>
      <c r="I67" s="1829"/>
      <c r="J67" s="1828" t="s">
        <v>2561</v>
      </c>
      <c r="L67" s="2846"/>
      <c r="M67" s="2854"/>
      <c r="O67" s="1752"/>
      <c r="P67" s="1840"/>
      <c r="Q67" s="1840"/>
    </row>
    <row r="68" spans="1:17" s="1828" customFormat="1">
      <c r="A68" s="1828" t="s">
        <v>2586</v>
      </c>
      <c r="B68" s="1828" t="s">
        <v>2584</v>
      </c>
      <c r="C68" s="1828" t="s">
        <v>2623</v>
      </c>
      <c r="D68" s="2846">
        <v>199</v>
      </c>
      <c r="E68" s="2847"/>
      <c r="F68" s="2846">
        <v>125000</v>
      </c>
      <c r="G68" s="1828">
        <f t="shared" si="1"/>
        <v>24.875</v>
      </c>
      <c r="I68" s="1829"/>
      <c r="J68" s="1828" t="s">
        <v>2599</v>
      </c>
      <c r="L68" s="2846"/>
      <c r="M68" s="2854"/>
      <c r="O68" s="1752"/>
      <c r="P68" s="1840"/>
      <c r="Q68" s="1840"/>
    </row>
    <row r="69" spans="1:17" s="1828" customFormat="1">
      <c r="A69" s="1828" t="s">
        <v>2601</v>
      </c>
      <c r="B69" s="1828" t="s">
        <v>2602</v>
      </c>
      <c r="C69" s="1828" t="s">
        <v>1972</v>
      </c>
      <c r="D69" s="2846">
        <v>261</v>
      </c>
      <c r="E69" s="2847"/>
      <c r="F69" s="2846">
        <v>150000</v>
      </c>
      <c r="G69" s="2849">
        <f>D69*F69/1000000*I69</f>
        <v>19.574999999999999</v>
      </c>
      <c r="I69" s="2850">
        <v>0.5</v>
      </c>
      <c r="J69" s="1828" t="s">
        <v>2603</v>
      </c>
      <c r="L69" s="2846"/>
      <c r="M69" s="2854"/>
      <c r="O69" s="1752"/>
      <c r="P69" s="1752"/>
      <c r="Q69" s="1752"/>
    </row>
    <row r="70" spans="1:17" s="1828" customFormat="1">
      <c r="A70" s="1828" t="s">
        <v>646</v>
      </c>
      <c r="B70" s="1828" t="s">
        <v>1992</v>
      </c>
      <c r="C70" s="1828" t="s">
        <v>1993</v>
      </c>
      <c r="D70" s="2846">
        <v>259</v>
      </c>
      <c r="E70" s="2847">
        <v>1</v>
      </c>
      <c r="F70" s="2846">
        <v>275000</v>
      </c>
      <c r="G70" s="1828">
        <f t="shared" ref="G70:G77" si="2">D70*F70/1000000</f>
        <v>71.224999999999994</v>
      </c>
      <c r="I70" s="1829"/>
      <c r="L70" s="2846"/>
      <c r="M70" s="2854"/>
      <c r="O70" s="1752"/>
      <c r="P70" s="1752"/>
      <c r="Q70" s="1752"/>
    </row>
    <row r="71" spans="1:17">
      <c r="A71" s="1734" t="s">
        <v>667</v>
      </c>
      <c r="B71" s="1734" t="s">
        <v>2015</v>
      </c>
      <c r="C71" s="1734" t="s">
        <v>2016</v>
      </c>
      <c r="D71" s="9">
        <v>499</v>
      </c>
      <c r="E71" s="16"/>
      <c r="F71" s="9">
        <f>+P71*0.75</f>
        <v>243750</v>
      </c>
      <c r="G71" s="1734">
        <f t="shared" si="2"/>
        <v>121.63124999999999</v>
      </c>
      <c r="L71" s="244"/>
      <c r="M71" s="1777"/>
      <c r="O71" s="1777"/>
      <c r="P71" s="244">
        <v>325000</v>
      </c>
      <c r="Q71" s="1777"/>
    </row>
    <row r="72" spans="1:17">
      <c r="A72" s="1734" t="s">
        <v>1318</v>
      </c>
      <c r="B72" s="1734" t="s">
        <v>1963</v>
      </c>
      <c r="C72" s="1734" t="s">
        <v>1964</v>
      </c>
      <c r="D72" s="9">
        <v>850</v>
      </c>
      <c r="E72" s="16" t="s">
        <v>1236</v>
      </c>
      <c r="F72" s="9">
        <f>+P72*0.75</f>
        <v>168750</v>
      </c>
      <c r="G72" s="1734">
        <f t="shared" si="2"/>
        <v>143.4375</v>
      </c>
      <c r="L72" s="244"/>
      <c r="M72" s="1777"/>
      <c r="O72" s="1777"/>
      <c r="P72" s="244">
        <v>225000</v>
      </c>
      <c r="Q72" s="1777"/>
    </row>
    <row r="73" spans="1:17" s="1828" customFormat="1">
      <c r="A73" s="1828" t="s">
        <v>33</v>
      </c>
      <c r="B73" s="1828" t="s">
        <v>1963</v>
      </c>
      <c r="C73" s="1828" t="s">
        <v>1964</v>
      </c>
      <c r="D73" s="2846">
        <v>396</v>
      </c>
      <c r="E73" s="2847">
        <v>1</v>
      </c>
      <c r="F73" s="2846">
        <v>200000</v>
      </c>
      <c r="G73" s="1828">
        <f t="shared" si="2"/>
        <v>79.2</v>
      </c>
      <c r="I73" s="1829"/>
      <c r="J73" s="1828" t="s">
        <v>2564</v>
      </c>
      <c r="L73" s="2846"/>
      <c r="M73" s="2854"/>
      <c r="O73" s="1752"/>
      <c r="P73" s="1752"/>
      <c r="Q73" s="1752"/>
    </row>
    <row r="74" spans="1:17" s="1828" customFormat="1">
      <c r="A74" s="1828" t="s">
        <v>1855</v>
      </c>
      <c r="B74" s="1828" t="s">
        <v>1984</v>
      </c>
      <c r="C74" s="1828" t="s">
        <v>1985</v>
      </c>
      <c r="D74" s="2846">
        <v>152</v>
      </c>
      <c r="E74" s="2847">
        <v>1</v>
      </c>
      <c r="F74" s="2846">
        <v>275000</v>
      </c>
      <c r="G74" s="1828">
        <f t="shared" si="2"/>
        <v>41.8</v>
      </c>
      <c r="I74" s="1829"/>
      <c r="L74" s="2846"/>
      <c r="M74" s="2854"/>
    </row>
    <row r="75" spans="1:17" s="1828" customFormat="1">
      <c r="A75" s="1828" t="s">
        <v>1851</v>
      </c>
      <c r="B75" s="1828" t="s">
        <v>1980</v>
      </c>
      <c r="C75" s="1828" t="s">
        <v>1976</v>
      </c>
      <c r="D75" s="2846">
        <v>184</v>
      </c>
      <c r="E75" s="2847">
        <v>1</v>
      </c>
      <c r="F75" s="2846">
        <v>350000</v>
      </c>
      <c r="G75" s="1828">
        <f t="shared" si="2"/>
        <v>64.400000000000006</v>
      </c>
      <c r="I75" s="1829"/>
      <c r="J75" s="1828" t="s">
        <v>2555</v>
      </c>
      <c r="L75" s="2846"/>
      <c r="M75" s="2854"/>
      <c r="O75" s="1752"/>
    </row>
    <row r="76" spans="1:17" s="1828" customFormat="1">
      <c r="A76" s="1828" t="s">
        <v>1854</v>
      </c>
      <c r="B76" s="1828" t="s">
        <v>1983</v>
      </c>
      <c r="C76" s="1828" t="s">
        <v>1976</v>
      </c>
      <c r="D76" s="2846">
        <v>173</v>
      </c>
      <c r="E76" s="2847">
        <v>1</v>
      </c>
      <c r="F76" s="2846">
        <v>225000</v>
      </c>
      <c r="G76" s="1828">
        <f t="shared" si="2"/>
        <v>38.924999999999997</v>
      </c>
      <c r="I76" s="1829"/>
      <c r="L76" s="2846"/>
      <c r="M76" s="2854"/>
    </row>
    <row r="77" spans="1:17" s="1828" customFormat="1">
      <c r="A77" s="1828" t="s">
        <v>643</v>
      </c>
      <c r="B77" s="1828" t="s">
        <v>1988</v>
      </c>
      <c r="C77" s="1828" t="s">
        <v>1976</v>
      </c>
      <c r="D77" s="2846">
        <v>128</v>
      </c>
      <c r="E77" s="2847">
        <v>1</v>
      </c>
      <c r="F77" s="2846">
        <v>225000</v>
      </c>
      <c r="G77" s="1828">
        <f t="shared" si="2"/>
        <v>28.8</v>
      </c>
      <c r="I77" s="1829"/>
      <c r="L77" s="2846"/>
      <c r="P77" s="1752"/>
      <c r="Q77" s="1752"/>
    </row>
    <row r="78" spans="1:17" ht="4.5" customHeight="1">
      <c r="A78" s="1735"/>
      <c r="B78" s="1735"/>
      <c r="C78" s="1735"/>
      <c r="D78" s="807"/>
      <c r="E78" s="436"/>
      <c r="F78" s="807"/>
      <c r="G78" s="1735"/>
      <c r="H78" s="1777"/>
      <c r="L78" s="244"/>
      <c r="M78" s="1777"/>
      <c r="O78" s="1777"/>
      <c r="P78" s="1777"/>
      <c r="Q78" s="1777"/>
    </row>
    <row r="79" spans="1:17">
      <c r="A79" s="1734" t="s">
        <v>838</v>
      </c>
      <c r="B79" s="1734" t="s">
        <v>659</v>
      </c>
      <c r="D79" s="1734">
        <f>SUM(D58:D78)</f>
        <v>8203</v>
      </c>
      <c r="F79" s="1776">
        <f>G79*1000000/D79</f>
        <v>213904.97379007679</v>
      </c>
      <c r="G79" s="1776">
        <f>SUM(G58:G78)</f>
        <v>1754.6624999999999</v>
      </c>
      <c r="H79" s="1776"/>
      <c r="L79" s="1777"/>
      <c r="M79" s="1777"/>
      <c r="O79" s="1777"/>
      <c r="P79" s="1777"/>
      <c r="Q79" s="1777"/>
    </row>
    <row r="80" spans="1:17">
      <c r="D80" s="9"/>
      <c r="E80" s="16"/>
      <c r="F80" s="9"/>
      <c r="L80" s="244"/>
      <c r="M80" s="1777"/>
      <c r="O80" s="1777"/>
      <c r="P80" s="1777"/>
      <c r="Q80" s="1777"/>
    </row>
    <row r="81" spans="1:17">
      <c r="A81" s="1734" t="s">
        <v>520</v>
      </c>
      <c r="F81" s="1776"/>
      <c r="G81" s="1776">
        <f>+G79+G54</f>
        <v>10409.62773241944</v>
      </c>
      <c r="H81" s="1776"/>
      <c r="L81" s="1968"/>
      <c r="M81" s="1968"/>
      <c r="O81" s="1777"/>
      <c r="P81" s="1777"/>
      <c r="Q81" s="1777"/>
    </row>
    <row r="82" spans="1:17">
      <c r="A82" s="1740" t="s">
        <v>2617</v>
      </c>
      <c r="F82" s="1776"/>
      <c r="G82" s="3855">
        <v>-3193.96875</v>
      </c>
      <c r="H82" s="1776"/>
      <c r="L82" s="1968"/>
      <c r="M82" s="1968"/>
      <c r="O82" s="1777"/>
      <c r="P82" s="1777"/>
      <c r="Q82" s="1777"/>
    </row>
    <row r="83" spans="1:17">
      <c r="I83" s="2856"/>
      <c r="J83" s="1777"/>
      <c r="K83" s="1777"/>
      <c r="L83" s="1777"/>
      <c r="M83" s="1777"/>
      <c r="O83" s="1777"/>
      <c r="P83" s="1777"/>
      <c r="Q83" s="1777"/>
    </row>
    <row r="84" spans="1:17">
      <c r="A84" s="1743" t="s">
        <v>54</v>
      </c>
      <c r="B84" s="1743"/>
      <c r="C84" s="1743"/>
      <c r="D84" s="1743"/>
      <c r="E84" s="1743"/>
      <c r="F84" s="1743"/>
      <c r="G84" s="2855">
        <f>+(G81+G82)/G85</f>
        <v>7.2811896896260748</v>
      </c>
      <c r="H84" s="1968"/>
      <c r="I84" s="2856"/>
      <c r="J84" s="1968"/>
      <c r="K84" s="1968"/>
      <c r="L84" s="1968"/>
      <c r="M84" s="1968"/>
      <c r="O84" s="1777"/>
      <c r="P84" s="1777"/>
      <c r="Q84" s="1777"/>
    </row>
    <row r="85" spans="1:17">
      <c r="A85" s="1735" t="s">
        <v>55</v>
      </c>
      <c r="B85" s="1735"/>
      <c r="C85" s="1735"/>
      <c r="D85" s="1735"/>
      <c r="E85" s="1735"/>
      <c r="F85" s="1735"/>
      <c r="G85" s="1735">
        <v>991</v>
      </c>
      <c r="H85" s="1777"/>
      <c r="I85" s="2856"/>
      <c r="J85" s="1777"/>
      <c r="K85" s="1777"/>
      <c r="L85" s="1777"/>
      <c r="M85" s="1777"/>
      <c r="O85" s="1777"/>
      <c r="P85" s="1777"/>
      <c r="Q85" s="1777"/>
    </row>
    <row r="86" spans="1:17">
      <c r="A86" s="1777"/>
      <c r="B86" s="1777"/>
      <c r="C86" s="1777"/>
      <c r="D86" s="1777"/>
      <c r="E86" s="1777"/>
      <c r="F86" s="1777"/>
      <c r="G86" s="1777"/>
      <c r="H86" s="1777"/>
      <c r="I86" s="2856"/>
      <c r="J86" s="1777"/>
      <c r="K86" s="1777"/>
      <c r="L86" s="1777"/>
      <c r="M86" s="1777"/>
      <c r="O86" s="1777"/>
      <c r="P86" s="1777"/>
      <c r="Q86" s="1777"/>
    </row>
    <row r="87" spans="1:17">
      <c r="A87" s="1777" t="s">
        <v>2554</v>
      </c>
      <c r="B87" s="1777"/>
      <c r="C87" s="1777"/>
      <c r="D87" s="1777"/>
      <c r="E87" s="1777"/>
      <c r="F87" s="1777"/>
      <c r="G87" s="1968">
        <v>5.815117305751766</v>
      </c>
      <c r="H87" s="1968"/>
      <c r="I87" s="2856"/>
      <c r="J87" s="1777"/>
      <c r="K87" s="1777"/>
      <c r="L87" s="1777"/>
      <c r="M87" s="1777"/>
      <c r="O87" s="1777"/>
      <c r="P87" s="1777"/>
      <c r="Q87" s="1777"/>
    </row>
    <row r="88" spans="1:17">
      <c r="A88" s="2169" t="s">
        <v>299</v>
      </c>
      <c r="B88" s="1777"/>
      <c r="C88" s="1777"/>
      <c r="D88" s="1777"/>
      <c r="E88" s="1777"/>
      <c r="F88" s="1777"/>
      <c r="G88" s="1968">
        <f>+G84-G87</f>
        <v>1.4660723838743088</v>
      </c>
      <c r="H88" s="1968"/>
      <c r="I88" s="2856"/>
      <c r="J88" s="1777"/>
      <c r="K88" s="1777"/>
      <c r="L88" s="1777"/>
      <c r="M88" s="1777"/>
      <c r="O88" s="1777"/>
      <c r="P88" s="1777"/>
      <c r="Q88" s="1777"/>
    </row>
    <row r="89" spans="1:17">
      <c r="A89" s="1777"/>
      <c r="B89" s="1777"/>
      <c r="C89" s="1777"/>
      <c r="D89" s="1777"/>
      <c r="E89" s="1777"/>
      <c r="F89" s="1777"/>
      <c r="G89" s="1777"/>
      <c r="H89" s="1777"/>
      <c r="I89" s="2856"/>
      <c r="J89" s="1777"/>
      <c r="K89" s="1777"/>
      <c r="L89" s="1777"/>
      <c r="M89" s="1777"/>
      <c r="O89" s="1777"/>
      <c r="P89" s="1777"/>
      <c r="Q89" s="1777"/>
    </row>
  </sheetData>
  <pageMargins left="0.75" right="0.75" top="1" bottom="1" header="0.5" footer="0.5"/>
  <pageSetup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H417"/>
  <sheetViews>
    <sheetView showGridLines="0" workbookViewId="0"/>
  </sheetViews>
  <sheetFormatPr defaultRowHeight="12.75"/>
  <cols>
    <col min="1" max="5" width="9" style="1734"/>
    <col min="6" max="6" width="10.25" style="1734" bestFit="1" customWidth="1"/>
    <col min="7" max="7" width="10.25" style="1734" customWidth="1"/>
    <col min="8" max="8" width="9.75" style="1734" bestFit="1" customWidth="1"/>
    <col min="9" max="9" width="9" style="1734"/>
    <col min="10" max="10" width="23.125" style="1734" customWidth="1"/>
    <col min="11" max="11" width="9.75" style="1734" customWidth="1"/>
    <col min="12" max="12" width="16.625" style="1734" customWidth="1"/>
    <col min="13" max="13" width="18" style="1734" customWidth="1"/>
    <col min="14" max="14" width="15.125" style="1734" customWidth="1"/>
    <col min="15" max="15" width="10.375" style="1734" bestFit="1" customWidth="1"/>
    <col min="16" max="16" width="10.125" style="1734" customWidth="1"/>
    <col min="17" max="18" width="9" style="1734"/>
    <col min="19" max="19" width="26.25" style="1734" customWidth="1"/>
    <col min="20" max="20" width="9" style="1734"/>
    <col min="21" max="21" width="34.625" style="1734" customWidth="1"/>
    <col min="22" max="23" width="9" style="1734"/>
    <col min="24" max="24" width="15.375" style="1734" customWidth="1"/>
    <col min="25" max="29" width="7.625" style="1734" customWidth="1"/>
    <col min="30" max="30" width="8.125" style="1734" bestFit="1" customWidth="1"/>
    <col min="31" max="36" width="7.625" style="1734" customWidth="1"/>
    <col min="37" max="37" width="25.625" style="1734" customWidth="1"/>
    <col min="38" max="40" width="9" style="1734"/>
    <col min="41" max="41" width="28" style="1734" bestFit="1" customWidth="1"/>
    <col min="42" max="42" width="9" style="1734"/>
    <col min="43" max="43" width="13.625" style="1734" bestFit="1" customWidth="1"/>
    <col min="44" max="44" width="7.5" style="1734" customWidth="1"/>
    <col min="45" max="46" width="12.625" style="1734" customWidth="1"/>
    <col min="47" max="47" width="23.75" style="1734" bestFit="1" customWidth="1"/>
    <col min="48" max="48" width="19.5" style="1734" bestFit="1" customWidth="1"/>
    <col min="49" max="49" width="30.625" style="1734" customWidth="1"/>
    <col min="50" max="50" width="9" style="1734"/>
    <col min="51" max="51" width="33.625" style="1734" customWidth="1"/>
    <col min="52" max="52" width="8.5" style="1734" customWidth="1"/>
    <col min="53" max="53" width="27.875" style="1734" bestFit="1" customWidth="1"/>
    <col min="54" max="54" width="9.375" style="1734" bestFit="1" customWidth="1"/>
    <col min="55" max="55" width="9" style="1734"/>
    <col min="56" max="56" width="32.125" style="1734" bestFit="1" customWidth="1"/>
    <col min="57" max="16384" width="9" style="1734"/>
  </cols>
  <sheetData>
    <row r="1" spans="1:18">
      <c r="A1" s="2062" t="s">
        <v>919</v>
      </c>
      <c r="B1" s="2062"/>
      <c r="C1" s="2062"/>
      <c r="D1" s="2062"/>
      <c r="E1" s="2062"/>
      <c r="F1" s="2062"/>
      <c r="H1" s="2062"/>
    </row>
    <row r="2" spans="1:18" s="2063" customFormat="1" ht="25.5">
      <c r="A2" s="2064" t="s">
        <v>920</v>
      </c>
      <c r="B2" s="2065" t="s">
        <v>1800</v>
      </c>
      <c r="C2" s="2066" t="s">
        <v>921</v>
      </c>
      <c r="D2" s="2065" t="s">
        <v>922</v>
      </c>
      <c r="E2" s="2065" t="s">
        <v>923</v>
      </c>
      <c r="F2" s="2066" t="s">
        <v>924</v>
      </c>
      <c r="G2" s="2067" t="s">
        <v>981</v>
      </c>
      <c r="H2" s="2066" t="s">
        <v>980</v>
      </c>
      <c r="I2" s="2068" t="s">
        <v>982</v>
      </c>
      <c r="J2" s="2107"/>
      <c r="K2" s="2107"/>
      <c r="L2" s="2107"/>
      <c r="M2" s="2107"/>
      <c r="N2" s="2107"/>
      <c r="O2" s="2107"/>
      <c r="P2" s="2107"/>
      <c r="Q2" s="2107"/>
      <c r="R2" s="2107"/>
    </row>
    <row r="3" spans="1:18">
      <c r="A3" s="2069">
        <v>41428</v>
      </c>
      <c r="B3" s="2070" t="s">
        <v>925</v>
      </c>
      <c r="C3" s="2071">
        <v>2800</v>
      </c>
      <c r="D3" s="2072" t="s">
        <v>926</v>
      </c>
      <c r="E3" s="2072" t="s">
        <v>927</v>
      </c>
      <c r="F3" s="2073">
        <v>125000</v>
      </c>
      <c r="G3" s="2074">
        <f>F3*12</f>
        <v>1500000</v>
      </c>
      <c r="H3" s="2075">
        <f>IF(ISERROR(F3/$C3),"NA",F3/$C3)</f>
        <v>44.642857142857146</v>
      </c>
      <c r="I3" s="2076">
        <f>IF(ISERROR(G3/$C3),"NA",G3/$C3)</f>
        <v>535.71428571428567</v>
      </c>
      <c r="J3" s="2075"/>
      <c r="K3" s="2075"/>
      <c r="L3" s="2075"/>
      <c r="M3" s="2075"/>
      <c r="N3" s="2075"/>
      <c r="O3" s="2075"/>
      <c r="P3" s="2075"/>
      <c r="Q3" s="2075"/>
      <c r="R3" s="2075"/>
    </row>
    <row r="4" spans="1:18">
      <c r="A4" s="2069">
        <v>41428</v>
      </c>
      <c r="B4" s="2070" t="s">
        <v>928</v>
      </c>
      <c r="C4" s="2071">
        <v>2500</v>
      </c>
      <c r="D4" s="2072" t="s">
        <v>926</v>
      </c>
      <c r="E4" s="2072" t="s">
        <v>929</v>
      </c>
      <c r="F4" s="2073">
        <v>65000</v>
      </c>
      <c r="G4" s="2074">
        <f t="shared" ref="G4:G67" si="0">F4*12</f>
        <v>780000</v>
      </c>
      <c r="H4" s="2075">
        <f t="shared" ref="H4:I67" si="1">IF(ISERROR(F4/$C4),"NA",F4/$C4)</f>
        <v>26</v>
      </c>
      <c r="I4" s="2076">
        <f t="shared" si="1"/>
        <v>312</v>
      </c>
      <c r="J4" s="2075"/>
      <c r="K4" s="2075"/>
      <c r="L4" s="2075"/>
      <c r="M4" s="2075"/>
      <c r="N4" s="2075"/>
      <c r="O4" s="2075"/>
      <c r="P4" s="2075"/>
      <c r="Q4" s="2075"/>
      <c r="R4" s="2075"/>
    </row>
    <row r="5" spans="1:18">
      <c r="A5" s="2069">
        <v>41428</v>
      </c>
      <c r="B5" s="2070" t="s">
        <v>930</v>
      </c>
      <c r="C5" s="2077">
        <v>550</v>
      </c>
      <c r="D5" s="2072" t="s">
        <v>931</v>
      </c>
      <c r="E5" s="2072" t="s">
        <v>932</v>
      </c>
      <c r="F5" s="2073">
        <v>15000</v>
      </c>
      <c r="G5" s="2074">
        <f t="shared" si="0"/>
        <v>180000</v>
      </c>
      <c r="H5" s="2075">
        <f t="shared" si="1"/>
        <v>27.272727272727273</v>
      </c>
      <c r="I5" s="2076">
        <f t="shared" si="1"/>
        <v>327.27272727272725</v>
      </c>
      <c r="J5" s="2075"/>
      <c r="K5" s="2075"/>
      <c r="L5" s="2075"/>
      <c r="M5" s="2075"/>
      <c r="N5" s="2075"/>
      <c r="O5" s="2075"/>
      <c r="P5" s="2075"/>
      <c r="Q5" s="2075"/>
      <c r="R5" s="2075"/>
    </row>
    <row r="6" spans="1:18">
      <c r="A6" s="2069">
        <v>41428</v>
      </c>
      <c r="B6" s="2070" t="s">
        <v>933</v>
      </c>
      <c r="C6" s="2077"/>
      <c r="D6" s="2072" t="s">
        <v>931</v>
      </c>
      <c r="E6" s="2072" t="s">
        <v>932</v>
      </c>
      <c r="F6" s="2073">
        <v>21000</v>
      </c>
      <c r="G6" s="2074">
        <f t="shared" si="0"/>
        <v>252000</v>
      </c>
      <c r="H6" s="2075" t="str">
        <f t="shared" si="1"/>
        <v>NA</v>
      </c>
      <c r="I6" s="2076" t="str">
        <f t="shared" si="1"/>
        <v>NA</v>
      </c>
      <c r="J6" s="2075"/>
      <c r="K6" s="2075"/>
      <c r="L6" s="2075"/>
      <c r="M6" s="2075"/>
      <c r="N6" s="2075"/>
      <c r="O6" s="2075"/>
      <c r="P6" s="2075"/>
      <c r="Q6" s="2075"/>
      <c r="R6" s="2075"/>
    </row>
    <row r="7" spans="1:18">
      <c r="A7" s="2069">
        <v>41428</v>
      </c>
      <c r="B7" s="2070" t="s">
        <v>934</v>
      </c>
      <c r="C7" s="2071">
        <v>1650</v>
      </c>
      <c r="D7" s="2072" t="s">
        <v>926</v>
      </c>
      <c r="E7" s="2072" t="s">
        <v>929</v>
      </c>
      <c r="F7" s="2073">
        <v>30000</v>
      </c>
      <c r="G7" s="2074">
        <f t="shared" si="0"/>
        <v>360000</v>
      </c>
      <c r="H7" s="2075">
        <f t="shared" si="1"/>
        <v>18.181818181818183</v>
      </c>
      <c r="I7" s="2076">
        <f t="shared" si="1"/>
        <v>218.18181818181819</v>
      </c>
      <c r="J7" s="2075"/>
      <c r="K7" s="2075"/>
      <c r="L7" s="2075"/>
      <c r="M7" s="2075"/>
      <c r="N7" s="2075"/>
      <c r="O7" s="2075"/>
      <c r="P7" s="2075"/>
      <c r="Q7" s="2075"/>
      <c r="R7" s="2075"/>
    </row>
    <row r="8" spans="1:18">
      <c r="A8" s="2069">
        <v>41428</v>
      </c>
      <c r="B8" s="2070" t="s">
        <v>935</v>
      </c>
      <c r="C8" s="2071">
        <v>1600</v>
      </c>
      <c r="D8" s="2072" t="s">
        <v>926</v>
      </c>
      <c r="E8" s="2072" t="s">
        <v>929</v>
      </c>
      <c r="F8" s="2073">
        <v>36000</v>
      </c>
      <c r="G8" s="2074">
        <f t="shared" si="0"/>
        <v>432000</v>
      </c>
      <c r="H8" s="2075">
        <f t="shared" si="1"/>
        <v>22.5</v>
      </c>
      <c r="I8" s="2076">
        <f t="shared" si="1"/>
        <v>270</v>
      </c>
      <c r="J8" s="2075"/>
      <c r="K8" s="2075"/>
      <c r="L8" s="2075"/>
      <c r="M8" s="2075"/>
      <c r="N8" s="2075"/>
      <c r="O8" s="2075"/>
      <c r="P8" s="2075"/>
      <c r="Q8" s="2075"/>
      <c r="R8" s="2075"/>
    </row>
    <row r="9" spans="1:18">
      <c r="A9" s="2069">
        <v>41428</v>
      </c>
      <c r="B9" s="2070" t="s">
        <v>936</v>
      </c>
      <c r="C9" s="2077">
        <v>900</v>
      </c>
      <c r="D9" s="2072" t="s">
        <v>931</v>
      </c>
      <c r="E9" s="2072" t="s">
        <v>932</v>
      </c>
      <c r="F9" s="2073">
        <v>20000</v>
      </c>
      <c r="G9" s="2074">
        <f t="shared" si="0"/>
        <v>240000</v>
      </c>
      <c r="H9" s="2075">
        <f t="shared" si="1"/>
        <v>22.222222222222221</v>
      </c>
      <c r="I9" s="2076">
        <f t="shared" si="1"/>
        <v>266.66666666666669</v>
      </c>
      <c r="J9" s="2075"/>
      <c r="K9" s="2075"/>
      <c r="L9" s="2075"/>
      <c r="M9" s="2075"/>
      <c r="N9" s="2075"/>
      <c r="O9" s="2075"/>
      <c r="P9" s="2075"/>
      <c r="Q9" s="2075"/>
      <c r="R9" s="2075"/>
    </row>
    <row r="10" spans="1:18">
      <c r="A10" s="2069">
        <v>41428</v>
      </c>
      <c r="B10" s="2070" t="s">
        <v>937</v>
      </c>
      <c r="C10" s="2071">
        <v>1500</v>
      </c>
      <c r="D10" s="2072" t="s">
        <v>931</v>
      </c>
      <c r="E10" s="2072" t="s">
        <v>938</v>
      </c>
      <c r="F10" s="2073">
        <v>35000</v>
      </c>
      <c r="G10" s="2074">
        <f t="shared" si="0"/>
        <v>420000</v>
      </c>
      <c r="H10" s="2075">
        <f t="shared" si="1"/>
        <v>23.333333333333332</v>
      </c>
      <c r="I10" s="2076">
        <f t="shared" si="1"/>
        <v>280</v>
      </c>
      <c r="J10" s="2075"/>
      <c r="K10" s="2075"/>
      <c r="L10" s="2075"/>
      <c r="M10" s="2075"/>
      <c r="N10" s="2075"/>
      <c r="O10" s="2075"/>
      <c r="P10" s="2075"/>
      <c r="Q10" s="2075"/>
      <c r="R10" s="2075"/>
    </row>
    <row r="11" spans="1:18">
      <c r="A11" s="2069">
        <v>41428</v>
      </c>
      <c r="B11" s="2070" t="s">
        <v>939</v>
      </c>
      <c r="C11" s="2071">
        <v>1500</v>
      </c>
      <c r="D11" s="2072" t="s">
        <v>926</v>
      </c>
      <c r="E11" s="2072" t="s">
        <v>929</v>
      </c>
      <c r="F11" s="2073">
        <v>26500</v>
      </c>
      <c r="G11" s="2074">
        <f t="shared" si="0"/>
        <v>318000</v>
      </c>
      <c r="H11" s="2075">
        <f t="shared" si="1"/>
        <v>17.666666666666668</v>
      </c>
      <c r="I11" s="2076">
        <f t="shared" si="1"/>
        <v>212</v>
      </c>
      <c r="J11" s="2075"/>
      <c r="K11" s="2075"/>
      <c r="L11" s="2075"/>
      <c r="M11" s="2075"/>
      <c r="N11" s="2075"/>
      <c r="O11" s="2075"/>
      <c r="P11" s="2075"/>
      <c r="Q11" s="2075"/>
      <c r="R11" s="2075"/>
    </row>
    <row r="12" spans="1:18">
      <c r="A12" s="2069">
        <v>41428</v>
      </c>
      <c r="B12" s="2070" t="s">
        <v>940</v>
      </c>
      <c r="C12" s="2077"/>
      <c r="D12" s="2072" t="s">
        <v>926</v>
      </c>
      <c r="E12" s="2072" t="s">
        <v>927</v>
      </c>
      <c r="F12" s="2073">
        <v>50000</v>
      </c>
      <c r="G12" s="2074">
        <f t="shared" si="0"/>
        <v>600000</v>
      </c>
      <c r="H12" s="2075" t="str">
        <f t="shared" si="1"/>
        <v>NA</v>
      </c>
      <c r="I12" s="2076" t="str">
        <f t="shared" si="1"/>
        <v>NA</v>
      </c>
      <c r="J12" s="2075"/>
      <c r="K12" s="2075"/>
      <c r="L12" s="2075"/>
      <c r="M12" s="2075"/>
      <c r="N12" s="2075"/>
      <c r="O12" s="2075"/>
      <c r="P12" s="2075"/>
      <c r="Q12" s="2075"/>
      <c r="R12" s="2075"/>
    </row>
    <row r="13" spans="1:18">
      <c r="A13" s="2069">
        <v>41428</v>
      </c>
      <c r="B13" s="2070" t="s">
        <v>941</v>
      </c>
      <c r="C13" s="2077"/>
      <c r="D13" s="2072" t="s">
        <v>926</v>
      </c>
      <c r="E13" s="2072" t="s">
        <v>929</v>
      </c>
      <c r="F13" s="2073">
        <v>26500</v>
      </c>
      <c r="G13" s="2074">
        <f t="shared" si="0"/>
        <v>318000</v>
      </c>
      <c r="H13" s="2075" t="str">
        <f t="shared" si="1"/>
        <v>NA</v>
      </c>
      <c r="I13" s="2076" t="str">
        <f t="shared" si="1"/>
        <v>NA</v>
      </c>
      <c r="J13" s="2075"/>
      <c r="K13" s="2075"/>
      <c r="L13" s="2075"/>
      <c r="M13" s="2075"/>
      <c r="N13" s="2075"/>
      <c r="O13" s="2075"/>
      <c r="P13" s="2075"/>
      <c r="Q13" s="2075"/>
      <c r="R13" s="2075"/>
    </row>
    <row r="14" spans="1:18">
      <c r="A14" s="2069">
        <v>41428</v>
      </c>
      <c r="B14" s="2070" t="s">
        <v>942</v>
      </c>
      <c r="C14" s="2071">
        <v>6000</v>
      </c>
      <c r="D14" s="2072" t="s">
        <v>943</v>
      </c>
      <c r="E14" s="2072" t="s">
        <v>944</v>
      </c>
      <c r="F14" s="2073">
        <v>150000</v>
      </c>
      <c r="G14" s="2074">
        <f t="shared" si="0"/>
        <v>1800000</v>
      </c>
      <c r="H14" s="2075">
        <f t="shared" si="1"/>
        <v>25</v>
      </c>
      <c r="I14" s="2076">
        <f t="shared" si="1"/>
        <v>300</v>
      </c>
      <c r="J14" s="2075"/>
      <c r="K14" s="2075"/>
      <c r="L14" s="2075"/>
      <c r="M14" s="2075"/>
      <c r="N14" s="2075"/>
      <c r="O14" s="2075"/>
      <c r="P14" s="2075"/>
      <c r="Q14" s="2075"/>
      <c r="R14" s="2075"/>
    </row>
    <row r="15" spans="1:18">
      <c r="A15" s="2069">
        <v>41428</v>
      </c>
      <c r="B15" s="2070" t="s">
        <v>945</v>
      </c>
      <c r="C15" s="2071">
        <v>1500</v>
      </c>
      <c r="D15" s="2072" t="s">
        <v>926</v>
      </c>
      <c r="E15" s="2072" t="s">
        <v>929</v>
      </c>
      <c r="F15" s="2073">
        <v>35000</v>
      </c>
      <c r="G15" s="2074">
        <f t="shared" si="0"/>
        <v>420000</v>
      </c>
      <c r="H15" s="2075">
        <f t="shared" si="1"/>
        <v>23.333333333333332</v>
      </c>
      <c r="I15" s="2076">
        <f t="shared" si="1"/>
        <v>280</v>
      </c>
      <c r="J15" s="2075"/>
      <c r="K15" s="2075"/>
      <c r="L15" s="2075"/>
      <c r="M15" s="2075"/>
      <c r="N15" s="2075"/>
      <c r="O15" s="2075"/>
      <c r="P15" s="2075"/>
      <c r="Q15" s="2075"/>
      <c r="R15" s="2075"/>
    </row>
    <row r="16" spans="1:18">
      <c r="A16" s="2069">
        <v>41428</v>
      </c>
      <c r="B16" s="2070" t="s">
        <v>946</v>
      </c>
      <c r="C16" s="2071">
        <v>2500</v>
      </c>
      <c r="D16" s="2072" t="s">
        <v>926</v>
      </c>
      <c r="E16" s="2072" t="s">
        <v>947</v>
      </c>
      <c r="F16" s="2073">
        <v>65000</v>
      </c>
      <c r="G16" s="2074">
        <f t="shared" si="0"/>
        <v>780000</v>
      </c>
      <c r="H16" s="2075">
        <f t="shared" si="1"/>
        <v>26</v>
      </c>
      <c r="I16" s="2076">
        <f t="shared" si="1"/>
        <v>312</v>
      </c>
      <c r="J16" s="2075"/>
      <c r="K16" s="2075"/>
      <c r="L16" s="2075"/>
      <c r="M16" s="2075"/>
      <c r="N16" s="2075"/>
      <c r="O16" s="2075"/>
      <c r="P16" s="2075"/>
      <c r="Q16" s="2075"/>
      <c r="R16" s="2075"/>
    </row>
    <row r="17" spans="1:18">
      <c r="A17" s="2069">
        <v>41428</v>
      </c>
      <c r="B17" s="2070" t="s">
        <v>948</v>
      </c>
      <c r="C17" s="2071">
        <v>3500</v>
      </c>
      <c r="D17" s="2072" t="s">
        <v>949</v>
      </c>
      <c r="E17" s="2072" t="s">
        <v>950</v>
      </c>
      <c r="F17" s="2073">
        <v>75000</v>
      </c>
      <c r="G17" s="2074">
        <f t="shared" si="0"/>
        <v>900000</v>
      </c>
      <c r="H17" s="2075">
        <f t="shared" si="1"/>
        <v>21.428571428571427</v>
      </c>
      <c r="I17" s="2076">
        <f t="shared" si="1"/>
        <v>257.14285714285717</v>
      </c>
      <c r="J17" s="2075"/>
      <c r="K17" s="2075"/>
      <c r="L17" s="2075"/>
      <c r="M17" s="2075"/>
      <c r="N17" s="2075"/>
      <c r="O17" s="2075"/>
      <c r="P17" s="2075"/>
      <c r="Q17" s="2075"/>
      <c r="R17" s="2075"/>
    </row>
    <row r="18" spans="1:18">
      <c r="A18" s="2069">
        <v>41417</v>
      </c>
      <c r="B18" s="2070" t="s">
        <v>951</v>
      </c>
      <c r="C18" s="2071">
        <v>3500</v>
      </c>
      <c r="D18" s="2072" t="s">
        <v>949</v>
      </c>
      <c r="E18" s="2072" t="s">
        <v>947</v>
      </c>
      <c r="F18" s="2073">
        <v>95000</v>
      </c>
      <c r="G18" s="2074">
        <f t="shared" si="0"/>
        <v>1140000</v>
      </c>
      <c r="H18" s="2075">
        <f t="shared" si="1"/>
        <v>27.142857142857142</v>
      </c>
      <c r="I18" s="2076">
        <f t="shared" si="1"/>
        <v>325.71428571428572</v>
      </c>
      <c r="J18" s="2075"/>
      <c r="K18" s="2075"/>
      <c r="L18" s="2075"/>
      <c r="M18" s="2075"/>
      <c r="N18" s="2075"/>
      <c r="O18" s="2075"/>
      <c r="P18" s="2075"/>
      <c r="Q18" s="2075"/>
      <c r="R18" s="2075"/>
    </row>
    <row r="19" spans="1:18">
      <c r="A19" s="2069">
        <v>41401</v>
      </c>
      <c r="B19" s="2070" t="s">
        <v>952</v>
      </c>
      <c r="C19" s="2071">
        <v>3500</v>
      </c>
      <c r="D19" s="2072" t="s">
        <v>949</v>
      </c>
      <c r="E19" s="2072" t="s">
        <v>950</v>
      </c>
      <c r="F19" s="2073">
        <v>75000</v>
      </c>
      <c r="G19" s="2074">
        <f t="shared" si="0"/>
        <v>900000</v>
      </c>
      <c r="H19" s="2075">
        <f t="shared" si="1"/>
        <v>21.428571428571427</v>
      </c>
      <c r="I19" s="2076">
        <f t="shared" si="1"/>
        <v>257.14285714285717</v>
      </c>
      <c r="J19" s="2075"/>
      <c r="K19" s="2075"/>
      <c r="L19" s="2075"/>
      <c r="M19" s="2075"/>
      <c r="N19" s="2075"/>
      <c r="O19" s="2075"/>
      <c r="P19" s="2075"/>
      <c r="Q19" s="2075"/>
      <c r="R19" s="2075"/>
    </row>
    <row r="20" spans="1:18">
      <c r="A20" s="2069">
        <v>41310</v>
      </c>
      <c r="B20" s="2070" t="s">
        <v>953</v>
      </c>
      <c r="C20" s="2077">
        <v>500</v>
      </c>
      <c r="D20" s="2072" t="s">
        <v>931</v>
      </c>
      <c r="E20" s="2072" t="s">
        <v>932</v>
      </c>
      <c r="F20" s="2073">
        <v>12000</v>
      </c>
      <c r="G20" s="2074">
        <f t="shared" si="0"/>
        <v>144000</v>
      </c>
      <c r="H20" s="2075">
        <f t="shared" si="1"/>
        <v>24</v>
      </c>
      <c r="I20" s="2076">
        <f t="shared" si="1"/>
        <v>288</v>
      </c>
      <c r="J20" s="2075"/>
      <c r="K20" s="2075"/>
      <c r="L20" s="2075"/>
      <c r="M20" s="2075"/>
      <c r="N20" s="2075"/>
      <c r="O20" s="2075"/>
      <c r="P20" s="2075"/>
      <c r="Q20" s="2075"/>
      <c r="R20" s="2075"/>
    </row>
    <row r="21" spans="1:18">
      <c r="A21" s="2069">
        <v>41310</v>
      </c>
      <c r="B21" s="2070" t="s">
        <v>954</v>
      </c>
      <c r="C21" s="2071">
        <v>2000</v>
      </c>
      <c r="D21" s="2072" t="s">
        <v>926</v>
      </c>
      <c r="E21" s="2072" t="s">
        <v>927</v>
      </c>
      <c r="F21" s="2073">
        <v>50000</v>
      </c>
      <c r="G21" s="2074">
        <f t="shared" si="0"/>
        <v>600000</v>
      </c>
      <c r="H21" s="2075">
        <f t="shared" si="1"/>
        <v>25</v>
      </c>
      <c r="I21" s="2076">
        <f t="shared" si="1"/>
        <v>300</v>
      </c>
      <c r="J21" s="2075"/>
      <c r="K21" s="2075"/>
      <c r="L21" s="2075"/>
      <c r="M21" s="2075"/>
      <c r="N21" s="2075"/>
      <c r="O21" s="2075"/>
      <c r="P21" s="2075"/>
      <c r="Q21" s="2075"/>
      <c r="R21" s="2075"/>
    </row>
    <row r="22" spans="1:18">
      <c r="A22" s="2069">
        <v>41308</v>
      </c>
      <c r="B22" s="2070" t="s">
        <v>933</v>
      </c>
      <c r="C22" s="2077"/>
      <c r="D22" s="2072" t="s">
        <v>931</v>
      </c>
      <c r="E22" s="2072" t="s">
        <v>932</v>
      </c>
      <c r="F22" s="2073">
        <v>21000</v>
      </c>
      <c r="G22" s="2074">
        <f t="shared" si="0"/>
        <v>252000</v>
      </c>
      <c r="H22" s="2075" t="str">
        <f t="shared" si="1"/>
        <v>NA</v>
      </c>
      <c r="I22" s="2076" t="str">
        <f t="shared" si="1"/>
        <v>NA</v>
      </c>
      <c r="J22" s="2075"/>
      <c r="K22" s="2075"/>
      <c r="L22" s="2075"/>
      <c r="M22" s="2075"/>
      <c r="N22" s="2075"/>
      <c r="O22" s="2075"/>
      <c r="P22" s="2075"/>
      <c r="Q22" s="2075"/>
      <c r="R22" s="2075"/>
    </row>
    <row r="23" spans="1:18">
      <c r="A23" s="2069">
        <v>41283</v>
      </c>
      <c r="B23" s="2070" t="s">
        <v>934</v>
      </c>
      <c r="C23" s="2071">
        <v>1650</v>
      </c>
      <c r="D23" s="2072" t="s">
        <v>926</v>
      </c>
      <c r="E23" s="2072" t="s">
        <v>929</v>
      </c>
      <c r="F23" s="2073">
        <v>30000</v>
      </c>
      <c r="G23" s="2074">
        <f t="shared" si="0"/>
        <v>360000</v>
      </c>
      <c r="H23" s="2075">
        <f t="shared" si="1"/>
        <v>18.181818181818183</v>
      </c>
      <c r="I23" s="2076">
        <f t="shared" si="1"/>
        <v>218.18181818181819</v>
      </c>
      <c r="J23" s="2075"/>
      <c r="K23" s="2075"/>
      <c r="L23" s="2075"/>
      <c r="M23" s="2075"/>
      <c r="N23" s="2075"/>
      <c r="O23" s="2075"/>
      <c r="P23" s="2075"/>
      <c r="Q23" s="2075"/>
      <c r="R23" s="2075"/>
    </row>
    <row r="24" spans="1:18">
      <c r="A24" s="2069">
        <v>41242</v>
      </c>
      <c r="B24" s="2070" t="s">
        <v>951</v>
      </c>
      <c r="C24" s="2071">
        <v>3500</v>
      </c>
      <c r="D24" s="2072" t="s">
        <v>949</v>
      </c>
      <c r="E24" s="2072" t="s">
        <v>947</v>
      </c>
      <c r="F24" s="2073">
        <v>95000</v>
      </c>
      <c r="G24" s="2074">
        <f t="shared" si="0"/>
        <v>1140000</v>
      </c>
      <c r="H24" s="2075">
        <f t="shared" si="1"/>
        <v>27.142857142857142</v>
      </c>
      <c r="I24" s="2076">
        <f t="shared" si="1"/>
        <v>325.71428571428572</v>
      </c>
      <c r="J24" s="2075"/>
      <c r="K24" s="2075"/>
      <c r="L24" s="2075"/>
      <c r="M24" s="2075"/>
      <c r="N24" s="2075"/>
      <c r="O24" s="2075"/>
      <c r="P24" s="2075"/>
      <c r="Q24" s="2075"/>
      <c r="R24" s="2075"/>
    </row>
    <row r="25" spans="1:18">
      <c r="A25" s="2069">
        <v>41242</v>
      </c>
      <c r="B25" s="2070" t="s">
        <v>939</v>
      </c>
      <c r="C25" s="2071">
        <v>1500</v>
      </c>
      <c r="D25" s="2072" t="s">
        <v>926</v>
      </c>
      <c r="E25" s="2072" t="s">
        <v>929</v>
      </c>
      <c r="F25" s="2073">
        <v>26500</v>
      </c>
      <c r="G25" s="2074">
        <f t="shared" si="0"/>
        <v>318000</v>
      </c>
      <c r="H25" s="2075">
        <f t="shared" si="1"/>
        <v>17.666666666666668</v>
      </c>
      <c r="I25" s="2076">
        <f t="shared" si="1"/>
        <v>212</v>
      </c>
      <c r="J25" s="2075"/>
      <c r="K25" s="2075"/>
      <c r="L25" s="2075"/>
      <c r="M25" s="2075"/>
      <c r="N25" s="2075"/>
      <c r="O25" s="2075"/>
      <c r="P25" s="2075"/>
      <c r="Q25" s="2075"/>
      <c r="R25" s="2075"/>
    </row>
    <row r="26" spans="1:18">
      <c r="A26" s="2069">
        <v>41225</v>
      </c>
      <c r="B26" s="2070" t="s">
        <v>937</v>
      </c>
      <c r="C26" s="2071">
        <v>1500</v>
      </c>
      <c r="D26" s="2072" t="s">
        <v>931</v>
      </c>
      <c r="E26" s="2072" t="s">
        <v>938</v>
      </c>
      <c r="F26" s="2073">
        <v>35000</v>
      </c>
      <c r="G26" s="2074">
        <f t="shared" si="0"/>
        <v>420000</v>
      </c>
      <c r="H26" s="2075">
        <f t="shared" si="1"/>
        <v>23.333333333333332</v>
      </c>
      <c r="I26" s="2076">
        <f t="shared" si="1"/>
        <v>280</v>
      </c>
      <c r="J26" s="2075"/>
      <c r="K26" s="2075"/>
      <c r="L26" s="2075"/>
      <c r="M26" s="2075"/>
      <c r="N26" s="2075"/>
      <c r="O26" s="2075"/>
      <c r="P26" s="2075"/>
      <c r="Q26" s="2075"/>
      <c r="R26" s="2075"/>
    </row>
    <row r="27" spans="1:18">
      <c r="A27" s="2069">
        <v>41199</v>
      </c>
      <c r="B27" s="2070" t="s">
        <v>953</v>
      </c>
      <c r="C27" s="2077">
        <v>500</v>
      </c>
      <c r="D27" s="2072" t="s">
        <v>931</v>
      </c>
      <c r="E27" s="2072" t="s">
        <v>932</v>
      </c>
      <c r="F27" s="2073">
        <v>12000</v>
      </c>
      <c r="G27" s="2074">
        <f t="shared" si="0"/>
        <v>144000</v>
      </c>
      <c r="H27" s="2075">
        <f t="shared" si="1"/>
        <v>24</v>
      </c>
      <c r="I27" s="2076">
        <f t="shared" si="1"/>
        <v>288</v>
      </c>
      <c r="J27" s="2075"/>
      <c r="K27" s="2075"/>
      <c r="L27" s="2075"/>
      <c r="M27" s="2075"/>
      <c r="N27" s="2075"/>
      <c r="O27" s="2075"/>
      <c r="P27" s="2075"/>
      <c r="Q27" s="2075"/>
      <c r="R27" s="2075"/>
    </row>
    <row r="28" spans="1:18">
      <c r="A28" s="2069">
        <v>41186</v>
      </c>
      <c r="B28" s="2070" t="s">
        <v>955</v>
      </c>
      <c r="C28" s="2071">
        <v>1800</v>
      </c>
      <c r="D28" s="2072" t="s">
        <v>926</v>
      </c>
      <c r="E28" s="2072" t="s">
        <v>927</v>
      </c>
      <c r="F28" s="2073">
        <v>37500</v>
      </c>
      <c r="G28" s="2074">
        <f t="shared" si="0"/>
        <v>450000</v>
      </c>
      <c r="H28" s="2075">
        <f t="shared" si="1"/>
        <v>20.833333333333332</v>
      </c>
      <c r="I28" s="2076">
        <f t="shared" si="1"/>
        <v>250</v>
      </c>
      <c r="J28" s="2075"/>
      <c r="K28" s="2075"/>
      <c r="L28" s="2075"/>
      <c r="M28" s="2075"/>
      <c r="N28" s="2075"/>
      <c r="O28" s="2075"/>
      <c r="P28" s="2075"/>
      <c r="Q28" s="2075"/>
      <c r="R28" s="2075"/>
    </row>
    <row r="29" spans="1:18">
      <c r="A29" s="2069">
        <v>41169</v>
      </c>
      <c r="B29" s="2070" t="s">
        <v>934</v>
      </c>
      <c r="C29" s="2071">
        <v>1650</v>
      </c>
      <c r="D29" s="2072" t="s">
        <v>926</v>
      </c>
      <c r="E29" s="2072" t="s">
        <v>929</v>
      </c>
      <c r="F29" s="2073">
        <v>30000</v>
      </c>
      <c r="G29" s="2074">
        <f t="shared" si="0"/>
        <v>360000</v>
      </c>
      <c r="H29" s="2075">
        <f t="shared" si="1"/>
        <v>18.181818181818183</v>
      </c>
      <c r="I29" s="2076">
        <f t="shared" si="1"/>
        <v>218.18181818181819</v>
      </c>
      <c r="J29" s="2075"/>
      <c r="K29" s="2075"/>
      <c r="L29" s="2075"/>
      <c r="M29" s="2075"/>
      <c r="N29" s="2075"/>
      <c r="O29" s="2075"/>
      <c r="P29" s="2075"/>
      <c r="Q29" s="2075"/>
      <c r="R29" s="2075"/>
    </row>
    <row r="30" spans="1:18">
      <c r="A30" s="2069">
        <v>41142</v>
      </c>
      <c r="B30" s="2070" t="s">
        <v>936</v>
      </c>
      <c r="C30" s="2077">
        <v>900</v>
      </c>
      <c r="D30" s="2072" t="s">
        <v>931</v>
      </c>
      <c r="E30" s="2072" t="s">
        <v>932</v>
      </c>
      <c r="F30" s="2073">
        <v>20000</v>
      </c>
      <c r="G30" s="2074">
        <f t="shared" si="0"/>
        <v>240000</v>
      </c>
      <c r="H30" s="2075">
        <f t="shared" si="1"/>
        <v>22.222222222222221</v>
      </c>
      <c r="I30" s="2076">
        <f t="shared" si="1"/>
        <v>266.66666666666669</v>
      </c>
      <c r="J30" s="2075"/>
      <c r="K30" s="2075"/>
      <c r="L30" s="2075"/>
      <c r="M30" s="2075"/>
      <c r="N30" s="2075"/>
      <c r="O30" s="2075"/>
      <c r="P30" s="2075"/>
      <c r="Q30" s="2075"/>
      <c r="R30" s="2075"/>
    </row>
    <row r="31" spans="1:18">
      <c r="A31" s="2069">
        <v>41142</v>
      </c>
      <c r="B31" s="2070" t="s">
        <v>956</v>
      </c>
      <c r="C31" s="2077">
        <v>550</v>
      </c>
      <c r="D31" s="2072" t="s">
        <v>931</v>
      </c>
      <c r="E31" s="2072" t="s">
        <v>932</v>
      </c>
      <c r="F31" s="2073">
        <v>15000</v>
      </c>
      <c r="G31" s="2074">
        <f t="shared" si="0"/>
        <v>180000</v>
      </c>
      <c r="H31" s="2075">
        <f t="shared" si="1"/>
        <v>27.272727272727273</v>
      </c>
      <c r="I31" s="2076">
        <f t="shared" si="1"/>
        <v>327.27272727272725</v>
      </c>
      <c r="J31" s="2075"/>
      <c r="K31" s="2075"/>
      <c r="L31" s="2075"/>
      <c r="M31" s="2075"/>
      <c r="N31" s="2075"/>
      <c r="O31" s="2075"/>
      <c r="P31" s="2075"/>
      <c r="Q31" s="2075"/>
      <c r="R31" s="2075"/>
    </row>
    <row r="32" spans="1:18">
      <c r="A32" s="2069">
        <v>41142</v>
      </c>
      <c r="B32" s="2070" t="s">
        <v>957</v>
      </c>
      <c r="C32" s="2071">
        <v>1600</v>
      </c>
      <c r="D32" s="2072" t="s">
        <v>926</v>
      </c>
      <c r="E32" s="2072" t="s">
        <v>929</v>
      </c>
      <c r="F32" s="2073">
        <v>36000</v>
      </c>
      <c r="G32" s="2074">
        <f t="shared" si="0"/>
        <v>432000</v>
      </c>
      <c r="H32" s="2075">
        <f t="shared" si="1"/>
        <v>22.5</v>
      </c>
      <c r="I32" s="2076">
        <f t="shared" si="1"/>
        <v>270</v>
      </c>
      <c r="J32" s="2075"/>
      <c r="K32" s="2075"/>
      <c r="L32" s="2075"/>
      <c r="M32" s="2075"/>
      <c r="N32" s="2075"/>
      <c r="O32" s="2075"/>
      <c r="P32" s="2075"/>
      <c r="Q32" s="2075"/>
      <c r="R32" s="2075"/>
    </row>
    <row r="33" spans="1:18">
      <c r="A33" s="2069">
        <v>41110</v>
      </c>
      <c r="B33" s="2070" t="s">
        <v>937</v>
      </c>
      <c r="C33" s="2071">
        <v>1500</v>
      </c>
      <c r="D33" s="2072" t="s">
        <v>931</v>
      </c>
      <c r="E33" s="2072" t="s">
        <v>938</v>
      </c>
      <c r="F33" s="2073">
        <v>35000</v>
      </c>
      <c r="G33" s="2074">
        <f t="shared" si="0"/>
        <v>420000</v>
      </c>
      <c r="H33" s="2075">
        <f t="shared" si="1"/>
        <v>23.333333333333332</v>
      </c>
      <c r="I33" s="2076">
        <f t="shared" si="1"/>
        <v>280</v>
      </c>
      <c r="J33" s="2075"/>
      <c r="K33" s="2075"/>
      <c r="L33" s="2075"/>
      <c r="M33" s="2075"/>
      <c r="N33" s="2075"/>
      <c r="O33" s="2075"/>
      <c r="P33" s="2075"/>
      <c r="Q33" s="2075"/>
      <c r="R33" s="2075"/>
    </row>
    <row r="34" spans="1:18">
      <c r="A34" s="2069">
        <v>41108</v>
      </c>
      <c r="B34" s="2070" t="s">
        <v>937</v>
      </c>
      <c r="C34" s="2077"/>
      <c r="D34" s="2072" t="s">
        <v>931</v>
      </c>
      <c r="E34" s="2072" t="s">
        <v>938</v>
      </c>
      <c r="F34" s="2073">
        <v>35000</v>
      </c>
      <c r="G34" s="2074">
        <f t="shared" si="0"/>
        <v>420000</v>
      </c>
      <c r="H34" s="2075" t="str">
        <f t="shared" si="1"/>
        <v>NA</v>
      </c>
      <c r="I34" s="2076" t="str">
        <f t="shared" si="1"/>
        <v>NA</v>
      </c>
      <c r="J34" s="2075"/>
      <c r="K34" s="2075"/>
      <c r="L34" s="2075"/>
      <c r="M34" s="2075"/>
      <c r="N34" s="2075"/>
      <c r="O34" s="2075"/>
      <c r="P34" s="2075"/>
      <c r="Q34" s="2075"/>
      <c r="R34" s="2075"/>
    </row>
    <row r="35" spans="1:18">
      <c r="A35" s="2069">
        <v>41108</v>
      </c>
      <c r="B35" s="2070" t="s">
        <v>952</v>
      </c>
      <c r="C35" s="2077"/>
      <c r="D35" s="2072" t="s">
        <v>949</v>
      </c>
      <c r="E35" s="2072" t="s">
        <v>950</v>
      </c>
      <c r="F35" s="2073">
        <v>75000</v>
      </c>
      <c r="G35" s="2074">
        <f t="shared" si="0"/>
        <v>900000</v>
      </c>
      <c r="H35" s="2075" t="str">
        <f t="shared" si="1"/>
        <v>NA</v>
      </c>
      <c r="I35" s="2076" t="str">
        <f t="shared" si="1"/>
        <v>NA</v>
      </c>
      <c r="J35" s="2075"/>
      <c r="K35" s="2075"/>
      <c r="L35" s="2075"/>
      <c r="M35" s="2075"/>
      <c r="N35" s="2075"/>
      <c r="O35" s="2075"/>
      <c r="P35" s="2075"/>
      <c r="Q35" s="2075"/>
      <c r="R35" s="2075"/>
    </row>
    <row r="36" spans="1:18">
      <c r="A36" s="2069">
        <v>41108</v>
      </c>
      <c r="B36" s="2070" t="s">
        <v>958</v>
      </c>
      <c r="C36" s="2071">
        <v>3200</v>
      </c>
      <c r="D36" s="2072" t="s">
        <v>949</v>
      </c>
      <c r="E36" s="2072" t="s">
        <v>947</v>
      </c>
      <c r="F36" s="2073">
        <v>135000</v>
      </c>
      <c r="G36" s="2074">
        <f t="shared" si="0"/>
        <v>1620000</v>
      </c>
      <c r="H36" s="2075">
        <f t="shared" si="1"/>
        <v>42.1875</v>
      </c>
      <c r="I36" s="2076">
        <f t="shared" si="1"/>
        <v>506.25</v>
      </c>
      <c r="J36" s="2075"/>
      <c r="K36" s="2075"/>
      <c r="L36" s="2075"/>
      <c r="M36" s="2075"/>
      <c r="N36" s="2075"/>
      <c r="O36" s="2075"/>
      <c r="P36" s="2075"/>
      <c r="Q36" s="2075"/>
      <c r="R36" s="2075"/>
    </row>
    <row r="37" spans="1:18">
      <c r="A37" s="2069">
        <v>41080</v>
      </c>
      <c r="B37" s="2070" t="s">
        <v>941</v>
      </c>
      <c r="C37" s="2071">
        <v>1350</v>
      </c>
      <c r="D37" s="2072" t="s">
        <v>926</v>
      </c>
      <c r="E37" s="2072" t="s">
        <v>929</v>
      </c>
      <c r="F37" s="2073">
        <v>26500</v>
      </c>
      <c r="G37" s="2074">
        <f t="shared" si="0"/>
        <v>318000</v>
      </c>
      <c r="H37" s="2075">
        <f t="shared" si="1"/>
        <v>19.62962962962963</v>
      </c>
      <c r="I37" s="2076">
        <f t="shared" si="1"/>
        <v>235.55555555555554</v>
      </c>
      <c r="J37" s="2075"/>
      <c r="K37" s="2075"/>
      <c r="L37" s="2075"/>
      <c r="M37" s="2075"/>
      <c r="N37" s="2075"/>
      <c r="O37" s="2075"/>
      <c r="P37" s="2075"/>
      <c r="Q37" s="2075"/>
      <c r="R37" s="2075"/>
    </row>
    <row r="38" spans="1:18">
      <c r="A38" s="2069">
        <v>41079</v>
      </c>
      <c r="B38" s="2070" t="s">
        <v>959</v>
      </c>
      <c r="C38" s="2071">
        <v>1350</v>
      </c>
      <c r="D38" s="2072" t="s">
        <v>926</v>
      </c>
      <c r="E38" s="2072" t="s">
        <v>929</v>
      </c>
      <c r="F38" s="2073">
        <v>26500</v>
      </c>
      <c r="G38" s="2074">
        <f t="shared" si="0"/>
        <v>318000</v>
      </c>
      <c r="H38" s="2075">
        <f t="shared" si="1"/>
        <v>19.62962962962963</v>
      </c>
      <c r="I38" s="2076">
        <f t="shared" si="1"/>
        <v>235.55555555555554</v>
      </c>
      <c r="J38" s="2075"/>
      <c r="K38" s="2075"/>
      <c r="L38" s="2075"/>
      <c r="M38" s="2075"/>
      <c r="N38" s="2075"/>
      <c r="O38" s="2075"/>
      <c r="P38" s="2075"/>
      <c r="Q38" s="2075"/>
      <c r="R38" s="2075"/>
    </row>
    <row r="39" spans="1:18">
      <c r="A39" s="2069">
        <v>41067</v>
      </c>
      <c r="B39" s="2070" t="s">
        <v>960</v>
      </c>
      <c r="C39" s="2077">
        <v>900</v>
      </c>
      <c r="D39" s="2072" t="s">
        <v>931</v>
      </c>
      <c r="E39" s="2072" t="s">
        <v>932</v>
      </c>
      <c r="F39" s="2073">
        <v>18500</v>
      </c>
      <c r="G39" s="2074">
        <f t="shared" si="0"/>
        <v>222000</v>
      </c>
      <c r="H39" s="2075">
        <f t="shared" si="1"/>
        <v>20.555555555555557</v>
      </c>
      <c r="I39" s="2076">
        <f t="shared" si="1"/>
        <v>246.66666666666666</v>
      </c>
      <c r="J39" s="2075"/>
      <c r="K39" s="2075"/>
      <c r="L39" s="2075"/>
      <c r="M39" s="2075"/>
      <c r="N39" s="2075"/>
      <c r="O39" s="2075"/>
      <c r="P39" s="2075"/>
      <c r="Q39" s="2075"/>
      <c r="R39" s="2075"/>
    </row>
    <row r="40" spans="1:18">
      <c r="A40" s="2069">
        <v>41060</v>
      </c>
      <c r="B40" s="2070" t="s">
        <v>951</v>
      </c>
      <c r="C40" s="2071">
        <v>3800</v>
      </c>
      <c r="D40" s="2072" t="s">
        <v>949</v>
      </c>
      <c r="E40" s="2072" t="s">
        <v>947</v>
      </c>
      <c r="F40" s="2073">
        <v>95000</v>
      </c>
      <c r="G40" s="2074">
        <f t="shared" si="0"/>
        <v>1140000</v>
      </c>
      <c r="H40" s="2075">
        <f t="shared" si="1"/>
        <v>25</v>
      </c>
      <c r="I40" s="2076">
        <f t="shared" si="1"/>
        <v>300</v>
      </c>
      <c r="J40" s="2075"/>
      <c r="K40" s="2075"/>
      <c r="L40" s="2075"/>
      <c r="M40" s="2075"/>
      <c r="N40" s="2075"/>
      <c r="O40" s="2075"/>
      <c r="P40" s="2075"/>
      <c r="Q40" s="2075"/>
      <c r="R40" s="2075"/>
    </row>
    <row r="41" spans="1:18">
      <c r="A41" s="2069">
        <v>40983</v>
      </c>
      <c r="B41" s="2070" t="s">
        <v>952</v>
      </c>
      <c r="C41" s="2071">
        <v>3500</v>
      </c>
      <c r="D41" s="2072" t="s">
        <v>949</v>
      </c>
      <c r="E41" s="2072" t="s">
        <v>950</v>
      </c>
      <c r="F41" s="2073">
        <v>75000</v>
      </c>
      <c r="G41" s="2074">
        <f t="shared" si="0"/>
        <v>900000</v>
      </c>
      <c r="H41" s="2075">
        <f t="shared" si="1"/>
        <v>21.428571428571427</v>
      </c>
      <c r="I41" s="2076">
        <f t="shared" si="1"/>
        <v>257.14285714285717</v>
      </c>
      <c r="J41" s="2075"/>
      <c r="K41" s="2075"/>
      <c r="L41" s="2075"/>
      <c r="M41" s="2075"/>
      <c r="N41" s="2075"/>
      <c r="O41" s="2075"/>
      <c r="P41" s="2075"/>
      <c r="Q41" s="2075"/>
      <c r="R41" s="2075"/>
    </row>
    <row r="42" spans="1:18">
      <c r="A42" s="2069">
        <v>40939</v>
      </c>
      <c r="B42" s="2070" t="s">
        <v>934</v>
      </c>
      <c r="C42" s="2077"/>
      <c r="D42" s="2072" t="s">
        <v>926</v>
      </c>
      <c r="E42" s="2072" t="s">
        <v>929</v>
      </c>
      <c r="F42" s="2073">
        <v>30000</v>
      </c>
      <c r="G42" s="2074">
        <f t="shared" si="0"/>
        <v>360000</v>
      </c>
      <c r="H42" s="2075" t="str">
        <f t="shared" si="1"/>
        <v>NA</v>
      </c>
      <c r="I42" s="2076" t="str">
        <f t="shared" si="1"/>
        <v>NA</v>
      </c>
      <c r="J42" s="2075"/>
      <c r="K42" s="2075"/>
      <c r="L42" s="2075"/>
      <c r="M42" s="2075"/>
      <c r="N42" s="2075"/>
      <c r="O42" s="2075"/>
      <c r="P42" s="2075"/>
      <c r="Q42" s="2075"/>
      <c r="R42" s="2075"/>
    </row>
    <row r="43" spans="1:18">
      <c r="A43" s="2069">
        <v>40938</v>
      </c>
      <c r="B43" s="2070" t="s">
        <v>961</v>
      </c>
      <c r="C43" s="2077"/>
      <c r="D43" s="2072" t="s">
        <v>931</v>
      </c>
      <c r="E43" s="2072" t="s">
        <v>932</v>
      </c>
      <c r="F43" s="2073">
        <v>21000</v>
      </c>
      <c r="G43" s="2074">
        <f t="shared" si="0"/>
        <v>252000</v>
      </c>
      <c r="H43" s="2075" t="str">
        <f t="shared" si="1"/>
        <v>NA</v>
      </c>
      <c r="I43" s="2076" t="str">
        <f t="shared" si="1"/>
        <v>NA</v>
      </c>
      <c r="J43" s="2075"/>
      <c r="K43" s="2075"/>
      <c r="L43" s="2075"/>
      <c r="M43" s="2075"/>
      <c r="N43" s="2075"/>
      <c r="O43" s="2075"/>
      <c r="P43" s="2075"/>
      <c r="Q43" s="2075"/>
      <c r="R43" s="2075"/>
    </row>
    <row r="44" spans="1:18">
      <c r="A44" s="2069">
        <v>40876</v>
      </c>
      <c r="B44" s="2070" t="s">
        <v>962</v>
      </c>
      <c r="C44" s="2077"/>
      <c r="D44" s="2072" t="s">
        <v>931</v>
      </c>
      <c r="E44" s="2072" t="s">
        <v>938</v>
      </c>
      <c r="F44" s="2073">
        <v>30000</v>
      </c>
      <c r="G44" s="2074">
        <f t="shared" si="0"/>
        <v>360000</v>
      </c>
      <c r="H44" s="2075" t="str">
        <f t="shared" si="1"/>
        <v>NA</v>
      </c>
      <c r="I44" s="2076" t="str">
        <f t="shared" si="1"/>
        <v>NA</v>
      </c>
      <c r="J44" s="2075"/>
      <c r="K44" s="2075"/>
      <c r="L44" s="2075"/>
      <c r="M44" s="2075"/>
      <c r="N44" s="2075"/>
      <c r="O44" s="2075"/>
      <c r="P44" s="2075"/>
      <c r="Q44" s="2075"/>
      <c r="R44" s="2075"/>
    </row>
    <row r="45" spans="1:18">
      <c r="A45" s="2069">
        <v>40827</v>
      </c>
      <c r="B45" s="2070" t="s">
        <v>963</v>
      </c>
      <c r="C45" s="2077"/>
      <c r="D45" s="2072" t="s">
        <v>931</v>
      </c>
      <c r="E45" s="2072" t="s">
        <v>932</v>
      </c>
      <c r="F45" s="2073">
        <v>12000</v>
      </c>
      <c r="G45" s="2074">
        <f t="shared" si="0"/>
        <v>144000</v>
      </c>
      <c r="H45" s="2075" t="str">
        <f t="shared" si="1"/>
        <v>NA</v>
      </c>
      <c r="I45" s="2076" t="str">
        <f t="shared" si="1"/>
        <v>NA</v>
      </c>
      <c r="J45" s="2075"/>
      <c r="K45" s="2075"/>
      <c r="L45" s="2075"/>
      <c r="M45" s="2075"/>
      <c r="N45" s="2075"/>
      <c r="O45" s="2075"/>
      <c r="P45" s="2075"/>
      <c r="Q45" s="2075"/>
      <c r="R45" s="2075"/>
    </row>
    <row r="46" spans="1:18">
      <c r="A46" s="2069">
        <v>40712</v>
      </c>
      <c r="B46" s="2070" t="s">
        <v>958</v>
      </c>
      <c r="C46" s="2077"/>
      <c r="D46" s="2072" t="s">
        <v>949</v>
      </c>
      <c r="E46" s="2072" t="s">
        <v>947</v>
      </c>
      <c r="F46" s="2073">
        <v>135000</v>
      </c>
      <c r="G46" s="2074">
        <f t="shared" si="0"/>
        <v>1620000</v>
      </c>
      <c r="H46" s="2075" t="str">
        <f t="shared" si="1"/>
        <v>NA</v>
      </c>
      <c r="I46" s="2076" t="str">
        <f t="shared" si="1"/>
        <v>NA</v>
      </c>
      <c r="J46" s="2075"/>
      <c r="K46" s="2075"/>
      <c r="L46" s="2075"/>
      <c r="M46" s="2075"/>
      <c r="N46" s="2075"/>
      <c r="O46" s="2075"/>
      <c r="P46" s="2075"/>
      <c r="Q46" s="2075"/>
      <c r="R46" s="2075"/>
    </row>
    <row r="47" spans="1:18">
      <c r="A47" s="2069">
        <v>40696</v>
      </c>
      <c r="B47" s="2070" t="s">
        <v>964</v>
      </c>
      <c r="C47" s="2077"/>
      <c r="D47" s="2072" t="s">
        <v>931</v>
      </c>
      <c r="E47" s="2072" t="s">
        <v>932</v>
      </c>
      <c r="F47" s="2073">
        <v>9000</v>
      </c>
      <c r="G47" s="2074">
        <f t="shared" si="0"/>
        <v>108000</v>
      </c>
      <c r="H47" s="2075" t="str">
        <f t="shared" si="1"/>
        <v>NA</v>
      </c>
      <c r="I47" s="2076" t="str">
        <f t="shared" si="1"/>
        <v>NA</v>
      </c>
      <c r="J47" s="2075"/>
      <c r="K47" s="2075"/>
      <c r="L47" s="2075"/>
      <c r="M47" s="2075"/>
      <c r="N47" s="2075"/>
      <c r="O47" s="2075"/>
      <c r="P47" s="2075"/>
      <c r="Q47" s="2075"/>
      <c r="R47" s="2075"/>
    </row>
    <row r="48" spans="1:18">
      <c r="A48" s="2069">
        <v>40667</v>
      </c>
      <c r="B48" s="2070" t="s">
        <v>965</v>
      </c>
      <c r="C48" s="2077"/>
      <c r="D48" s="2072" t="s">
        <v>926</v>
      </c>
      <c r="E48" s="2072" t="s">
        <v>927</v>
      </c>
      <c r="F48" s="2073">
        <v>37500</v>
      </c>
      <c r="G48" s="2074">
        <f t="shared" si="0"/>
        <v>450000</v>
      </c>
      <c r="H48" s="2075" t="str">
        <f t="shared" si="1"/>
        <v>NA</v>
      </c>
      <c r="I48" s="2076" t="str">
        <f t="shared" si="1"/>
        <v>NA</v>
      </c>
      <c r="J48" s="2075"/>
      <c r="K48" s="2075"/>
      <c r="L48" s="2075"/>
      <c r="M48" s="2075"/>
      <c r="N48" s="2075"/>
      <c r="O48" s="2075"/>
      <c r="P48" s="2075"/>
      <c r="Q48" s="2075"/>
      <c r="R48" s="2075"/>
    </row>
    <row r="49" spans="1:18">
      <c r="A49" s="2069">
        <v>40666</v>
      </c>
      <c r="B49" s="2070" t="s">
        <v>953</v>
      </c>
      <c r="C49" s="2077"/>
      <c r="D49" s="2072" t="s">
        <v>931</v>
      </c>
      <c r="E49" s="2072" t="s">
        <v>932</v>
      </c>
      <c r="F49" s="2073">
        <v>9000</v>
      </c>
      <c r="G49" s="2074">
        <f t="shared" si="0"/>
        <v>108000</v>
      </c>
      <c r="H49" s="2075" t="str">
        <f t="shared" si="1"/>
        <v>NA</v>
      </c>
      <c r="I49" s="2076" t="str">
        <f t="shared" si="1"/>
        <v>NA</v>
      </c>
      <c r="J49" s="2075"/>
      <c r="K49" s="2075"/>
      <c r="L49" s="2075"/>
      <c r="M49" s="2075"/>
      <c r="N49" s="2075"/>
      <c r="O49" s="2075"/>
      <c r="P49" s="2075"/>
      <c r="Q49" s="2075"/>
      <c r="R49" s="2075"/>
    </row>
    <row r="50" spans="1:18">
      <c r="A50" s="2069">
        <v>40664</v>
      </c>
      <c r="B50" s="2070" t="s">
        <v>952</v>
      </c>
      <c r="C50" s="2077"/>
      <c r="D50" s="2072" t="s">
        <v>966</v>
      </c>
      <c r="E50" s="2072" t="s">
        <v>967</v>
      </c>
      <c r="F50" s="2073">
        <v>65000</v>
      </c>
      <c r="G50" s="2074">
        <f t="shared" si="0"/>
        <v>780000</v>
      </c>
      <c r="H50" s="2075" t="str">
        <f t="shared" si="1"/>
        <v>NA</v>
      </c>
      <c r="I50" s="2076" t="str">
        <f t="shared" si="1"/>
        <v>NA</v>
      </c>
      <c r="J50" s="2075"/>
      <c r="K50" s="2075"/>
      <c r="L50" s="2075"/>
      <c r="M50" s="2075"/>
      <c r="N50" s="2075"/>
      <c r="O50" s="2075"/>
      <c r="P50" s="2075"/>
      <c r="Q50" s="2075"/>
      <c r="R50" s="2075"/>
    </row>
    <row r="51" spans="1:18">
      <c r="A51" s="2069">
        <v>40595</v>
      </c>
      <c r="B51" s="2070" t="s">
        <v>968</v>
      </c>
      <c r="C51" s="2077"/>
      <c r="D51" s="2072" t="s">
        <v>931</v>
      </c>
      <c r="E51" s="2072" t="s">
        <v>938</v>
      </c>
      <c r="F51" s="2073">
        <v>45000</v>
      </c>
      <c r="G51" s="2074">
        <f t="shared" si="0"/>
        <v>540000</v>
      </c>
      <c r="H51" s="2075" t="str">
        <f t="shared" si="1"/>
        <v>NA</v>
      </c>
      <c r="I51" s="2076" t="str">
        <f t="shared" si="1"/>
        <v>NA</v>
      </c>
      <c r="J51" s="2075"/>
      <c r="K51" s="2075"/>
      <c r="L51" s="2075"/>
      <c r="M51" s="2075"/>
      <c r="N51" s="2075"/>
      <c r="O51" s="2075"/>
      <c r="P51" s="2075"/>
      <c r="Q51" s="2075"/>
      <c r="R51" s="2075"/>
    </row>
    <row r="52" spans="1:18">
      <c r="A52" s="2069">
        <v>40585</v>
      </c>
      <c r="B52" s="2070" t="s">
        <v>969</v>
      </c>
      <c r="C52" s="2077"/>
      <c r="D52" s="2072" t="s">
        <v>931</v>
      </c>
      <c r="E52" s="2072" t="s">
        <v>932</v>
      </c>
      <c r="F52" s="2073">
        <v>18000</v>
      </c>
      <c r="G52" s="2074">
        <f t="shared" si="0"/>
        <v>216000</v>
      </c>
      <c r="H52" s="2075" t="str">
        <f t="shared" si="1"/>
        <v>NA</v>
      </c>
      <c r="I52" s="2076" t="str">
        <f t="shared" si="1"/>
        <v>NA</v>
      </c>
      <c r="J52" s="2075"/>
      <c r="K52" s="2075"/>
      <c r="L52" s="2075"/>
      <c r="M52" s="2075"/>
      <c r="N52" s="2075"/>
      <c r="O52" s="2075"/>
      <c r="P52" s="2075"/>
      <c r="Q52" s="2075"/>
      <c r="R52" s="2075"/>
    </row>
    <row r="53" spans="1:18">
      <c r="A53" s="2069">
        <v>40457</v>
      </c>
      <c r="B53" s="2070" t="s">
        <v>965</v>
      </c>
      <c r="C53" s="2077"/>
      <c r="D53" s="2072" t="s">
        <v>926</v>
      </c>
      <c r="E53" s="2072" t="s">
        <v>927</v>
      </c>
      <c r="F53" s="2073">
        <v>37500</v>
      </c>
      <c r="G53" s="2074">
        <f t="shared" si="0"/>
        <v>450000</v>
      </c>
      <c r="H53" s="2075" t="str">
        <f t="shared" si="1"/>
        <v>NA</v>
      </c>
      <c r="I53" s="2076" t="str">
        <f t="shared" si="1"/>
        <v>NA</v>
      </c>
      <c r="J53" s="2075"/>
      <c r="K53" s="2075"/>
      <c r="L53" s="2075"/>
      <c r="M53" s="2075"/>
      <c r="N53" s="2075"/>
      <c r="O53" s="2075"/>
      <c r="P53" s="2075"/>
      <c r="Q53" s="2075"/>
      <c r="R53" s="2075"/>
    </row>
    <row r="54" spans="1:18">
      <c r="A54" s="2069">
        <v>40457</v>
      </c>
      <c r="B54" s="2070" t="s">
        <v>970</v>
      </c>
      <c r="C54" s="2077">
        <v>400</v>
      </c>
      <c r="D54" s="2072" t="s">
        <v>931</v>
      </c>
      <c r="E54" s="2072" t="s">
        <v>932</v>
      </c>
      <c r="F54" s="2073">
        <v>9000</v>
      </c>
      <c r="G54" s="2074">
        <f t="shared" si="0"/>
        <v>108000</v>
      </c>
      <c r="H54" s="2075">
        <f t="shared" si="1"/>
        <v>22.5</v>
      </c>
      <c r="I54" s="2076">
        <f t="shared" si="1"/>
        <v>270</v>
      </c>
      <c r="J54" s="2075"/>
      <c r="K54" s="2075"/>
      <c r="L54" s="2075"/>
      <c r="M54" s="2075"/>
      <c r="N54" s="2075"/>
      <c r="O54" s="2075"/>
      <c r="P54" s="2075"/>
      <c r="Q54" s="2075"/>
      <c r="R54" s="2075"/>
    </row>
    <row r="55" spans="1:18">
      <c r="A55" s="2069">
        <v>40456</v>
      </c>
      <c r="B55" s="2070" t="s">
        <v>945</v>
      </c>
      <c r="C55" s="2077"/>
      <c r="D55" s="2072" t="s">
        <v>931</v>
      </c>
      <c r="E55" s="2072" t="s">
        <v>929</v>
      </c>
      <c r="F55" s="2073">
        <v>30000</v>
      </c>
      <c r="G55" s="2074">
        <f t="shared" si="0"/>
        <v>360000</v>
      </c>
      <c r="H55" s="2075" t="str">
        <f t="shared" si="1"/>
        <v>NA</v>
      </c>
      <c r="I55" s="2076" t="str">
        <f t="shared" si="1"/>
        <v>NA</v>
      </c>
      <c r="J55" s="2075"/>
      <c r="K55" s="2075"/>
      <c r="L55" s="2075"/>
      <c r="M55" s="2075"/>
      <c r="N55" s="2075"/>
      <c r="O55" s="2075"/>
      <c r="P55" s="2075"/>
      <c r="Q55" s="2075"/>
      <c r="R55" s="2075"/>
    </row>
    <row r="56" spans="1:18">
      <c r="A56" s="2069">
        <v>40456</v>
      </c>
      <c r="B56" s="2070" t="s">
        <v>958</v>
      </c>
      <c r="C56" s="2071">
        <v>3200</v>
      </c>
      <c r="D56" s="2072" t="s">
        <v>949</v>
      </c>
      <c r="E56" s="2072" t="s">
        <v>947</v>
      </c>
      <c r="F56" s="2073">
        <v>140000</v>
      </c>
      <c r="G56" s="2074">
        <f t="shared" si="0"/>
        <v>1680000</v>
      </c>
      <c r="H56" s="2075">
        <f t="shared" si="1"/>
        <v>43.75</v>
      </c>
      <c r="I56" s="2076">
        <f t="shared" si="1"/>
        <v>525</v>
      </c>
      <c r="J56" s="2075"/>
      <c r="K56" s="2075"/>
      <c r="L56" s="2075"/>
      <c r="M56" s="2075"/>
      <c r="N56" s="2075"/>
      <c r="O56" s="2075"/>
      <c r="P56" s="2075"/>
      <c r="Q56" s="2075"/>
      <c r="R56" s="2075"/>
    </row>
    <row r="57" spans="1:18">
      <c r="A57" s="2069">
        <v>40443</v>
      </c>
      <c r="B57" s="2070" t="s">
        <v>963</v>
      </c>
      <c r="C57" s="2077"/>
      <c r="D57" s="2072" t="s">
        <v>931</v>
      </c>
      <c r="E57" s="2072" t="s">
        <v>932</v>
      </c>
      <c r="F57" s="2073">
        <v>9000</v>
      </c>
      <c r="G57" s="2074">
        <f t="shared" si="0"/>
        <v>108000</v>
      </c>
      <c r="H57" s="2075" t="str">
        <f t="shared" si="1"/>
        <v>NA</v>
      </c>
      <c r="I57" s="2076" t="str">
        <f t="shared" si="1"/>
        <v>NA</v>
      </c>
      <c r="J57" s="2075"/>
      <c r="K57" s="2075"/>
      <c r="L57" s="2075"/>
      <c r="M57" s="2075"/>
      <c r="N57" s="2075"/>
      <c r="O57" s="2075"/>
      <c r="P57" s="2075"/>
      <c r="Q57" s="2075"/>
      <c r="R57" s="2075"/>
    </row>
    <row r="58" spans="1:18">
      <c r="A58" s="2069">
        <v>40443</v>
      </c>
      <c r="B58" s="2070" t="s">
        <v>956</v>
      </c>
      <c r="C58" s="2077"/>
      <c r="D58" s="2072" t="s">
        <v>931</v>
      </c>
      <c r="E58" s="2072" t="s">
        <v>932</v>
      </c>
      <c r="F58" s="2073">
        <v>12000</v>
      </c>
      <c r="G58" s="2074">
        <f t="shared" si="0"/>
        <v>144000</v>
      </c>
      <c r="H58" s="2075" t="str">
        <f t="shared" si="1"/>
        <v>NA</v>
      </c>
      <c r="I58" s="2076" t="str">
        <f t="shared" si="1"/>
        <v>NA</v>
      </c>
      <c r="J58" s="2075"/>
      <c r="K58" s="2075"/>
      <c r="L58" s="2075"/>
      <c r="M58" s="2075"/>
      <c r="N58" s="2075"/>
      <c r="O58" s="2075"/>
      <c r="P58" s="2075"/>
      <c r="Q58" s="2075"/>
      <c r="R58" s="2075"/>
    </row>
    <row r="59" spans="1:18">
      <c r="A59" s="2069">
        <v>40443</v>
      </c>
      <c r="B59" s="2070" t="s">
        <v>971</v>
      </c>
      <c r="C59" s="2071">
        <v>1350</v>
      </c>
      <c r="D59" s="2072" t="s">
        <v>926</v>
      </c>
      <c r="E59" s="2072" t="s">
        <v>929</v>
      </c>
      <c r="F59" s="2073">
        <v>24000</v>
      </c>
      <c r="G59" s="2074">
        <f t="shared" si="0"/>
        <v>288000</v>
      </c>
      <c r="H59" s="2075">
        <f t="shared" si="1"/>
        <v>17.777777777777779</v>
      </c>
      <c r="I59" s="2076">
        <f t="shared" si="1"/>
        <v>213.33333333333334</v>
      </c>
      <c r="J59" s="2075"/>
      <c r="K59" s="2075"/>
      <c r="L59" s="2075"/>
      <c r="M59" s="2075"/>
      <c r="N59" s="2075"/>
      <c r="O59" s="2075"/>
      <c r="P59" s="2075"/>
      <c r="Q59" s="2075"/>
      <c r="R59" s="2075"/>
    </row>
    <row r="60" spans="1:18">
      <c r="A60" s="2069">
        <v>40406</v>
      </c>
      <c r="B60" s="2070" t="s">
        <v>972</v>
      </c>
      <c r="C60" s="2077"/>
      <c r="D60" s="2072" t="s">
        <v>931</v>
      </c>
      <c r="E60" s="2072" t="s">
        <v>932</v>
      </c>
      <c r="F60" s="2073">
        <v>18000</v>
      </c>
      <c r="G60" s="2074">
        <f t="shared" si="0"/>
        <v>216000</v>
      </c>
      <c r="H60" s="2075" t="str">
        <f t="shared" si="1"/>
        <v>NA</v>
      </c>
      <c r="I60" s="2076" t="str">
        <f t="shared" si="1"/>
        <v>NA</v>
      </c>
      <c r="J60" s="2075"/>
      <c r="K60" s="2075"/>
      <c r="L60" s="2075"/>
      <c r="M60" s="2075"/>
      <c r="N60" s="2075"/>
      <c r="O60" s="2075"/>
      <c r="P60" s="2075"/>
      <c r="Q60" s="2075"/>
      <c r="R60" s="2075"/>
    </row>
    <row r="61" spans="1:18">
      <c r="A61" s="2069">
        <v>40403</v>
      </c>
      <c r="B61" s="2070" t="s">
        <v>973</v>
      </c>
      <c r="C61" s="2077"/>
      <c r="D61" s="2072" t="s">
        <v>949</v>
      </c>
      <c r="E61" s="2072" t="s">
        <v>950</v>
      </c>
      <c r="F61" s="2073">
        <v>40000</v>
      </c>
      <c r="G61" s="2074">
        <f t="shared" si="0"/>
        <v>480000</v>
      </c>
      <c r="H61" s="2075" t="str">
        <f t="shared" si="1"/>
        <v>NA</v>
      </c>
      <c r="I61" s="2076" t="str">
        <f t="shared" si="1"/>
        <v>NA</v>
      </c>
      <c r="J61" s="2075"/>
      <c r="K61" s="2075"/>
      <c r="L61" s="2075"/>
      <c r="M61" s="2075"/>
      <c r="N61" s="2075"/>
      <c r="O61" s="2075"/>
      <c r="P61" s="2075"/>
      <c r="Q61" s="2075"/>
      <c r="R61" s="2075"/>
    </row>
    <row r="62" spans="1:18">
      <c r="A62" s="2069">
        <v>40329</v>
      </c>
      <c r="B62" s="2070" t="s">
        <v>934</v>
      </c>
      <c r="C62" s="2077"/>
      <c r="D62" s="2072" t="s">
        <v>926</v>
      </c>
      <c r="E62" s="2072" t="s">
        <v>929</v>
      </c>
      <c r="F62" s="2073">
        <v>27000</v>
      </c>
      <c r="G62" s="2074">
        <f t="shared" si="0"/>
        <v>324000</v>
      </c>
      <c r="H62" s="2075" t="str">
        <f t="shared" si="1"/>
        <v>NA</v>
      </c>
      <c r="I62" s="2076" t="str">
        <f t="shared" si="1"/>
        <v>NA</v>
      </c>
      <c r="J62" s="2075"/>
      <c r="K62" s="2075"/>
      <c r="L62" s="2075"/>
      <c r="M62" s="2075"/>
      <c r="N62" s="2075"/>
      <c r="O62" s="2075"/>
      <c r="P62" s="2075"/>
      <c r="Q62" s="2075"/>
      <c r="R62" s="2075"/>
    </row>
    <row r="63" spans="1:18">
      <c r="A63" s="2069">
        <v>40241</v>
      </c>
      <c r="B63" s="2070" t="s">
        <v>946</v>
      </c>
      <c r="C63" s="2071">
        <v>2500</v>
      </c>
      <c r="D63" s="2072" t="s">
        <v>926</v>
      </c>
      <c r="E63" s="2072" t="s">
        <v>947</v>
      </c>
      <c r="F63" s="2073">
        <v>65000</v>
      </c>
      <c r="G63" s="2074">
        <f t="shared" si="0"/>
        <v>780000</v>
      </c>
      <c r="H63" s="2075">
        <f t="shared" si="1"/>
        <v>26</v>
      </c>
      <c r="I63" s="2076">
        <f t="shared" si="1"/>
        <v>312</v>
      </c>
      <c r="J63" s="2075"/>
      <c r="K63" s="2075"/>
      <c r="L63" s="2075"/>
      <c r="M63" s="2075"/>
      <c r="N63" s="2075"/>
      <c r="O63" s="2075"/>
      <c r="P63" s="2075"/>
      <c r="Q63" s="2075"/>
      <c r="R63" s="2075"/>
    </row>
    <row r="64" spans="1:18">
      <c r="A64" s="2069">
        <v>40231</v>
      </c>
      <c r="B64" s="2070" t="s">
        <v>940</v>
      </c>
      <c r="C64" s="2071">
        <v>2000</v>
      </c>
      <c r="D64" s="2072" t="s">
        <v>926</v>
      </c>
      <c r="E64" s="2072" t="s">
        <v>927</v>
      </c>
      <c r="F64" s="2073">
        <v>37500</v>
      </c>
      <c r="G64" s="2074">
        <f t="shared" si="0"/>
        <v>450000</v>
      </c>
      <c r="H64" s="2075">
        <f t="shared" si="1"/>
        <v>18.75</v>
      </c>
      <c r="I64" s="2076">
        <f t="shared" si="1"/>
        <v>225</v>
      </c>
      <c r="J64" s="2075"/>
      <c r="K64" s="2075"/>
      <c r="L64" s="2075"/>
      <c r="M64" s="2075"/>
      <c r="N64" s="2075"/>
      <c r="O64" s="2075"/>
      <c r="P64" s="2075"/>
      <c r="Q64" s="2075"/>
      <c r="R64" s="2075"/>
    </row>
    <row r="65" spans="1:18">
      <c r="A65" s="2069">
        <v>40223</v>
      </c>
      <c r="B65" s="2070" t="s">
        <v>974</v>
      </c>
      <c r="C65" s="2077"/>
      <c r="D65" s="2072" t="s">
        <v>931</v>
      </c>
      <c r="E65" s="2072" t="s">
        <v>932</v>
      </c>
      <c r="F65" s="2073">
        <v>18000</v>
      </c>
      <c r="G65" s="2074">
        <f t="shared" si="0"/>
        <v>216000</v>
      </c>
      <c r="H65" s="2075" t="str">
        <f t="shared" si="1"/>
        <v>NA</v>
      </c>
      <c r="I65" s="2076" t="str">
        <f t="shared" si="1"/>
        <v>NA</v>
      </c>
      <c r="J65" s="2075"/>
      <c r="K65" s="2075"/>
      <c r="L65" s="2075"/>
      <c r="M65" s="2075"/>
      <c r="N65" s="2075"/>
      <c r="O65" s="2075"/>
      <c r="P65" s="2075"/>
      <c r="Q65" s="2075"/>
      <c r="R65" s="2075"/>
    </row>
    <row r="66" spans="1:18">
      <c r="A66" s="2069">
        <v>40223</v>
      </c>
      <c r="B66" s="2070" t="s">
        <v>969</v>
      </c>
      <c r="C66" s="2077"/>
      <c r="D66" s="2072" t="s">
        <v>931</v>
      </c>
      <c r="E66" s="2072" t="s">
        <v>932</v>
      </c>
      <c r="F66" s="2073">
        <v>18000</v>
      </c>
      <c r="G66" s="2074">
        <f t="shared" si="0"/>
        <v>216000</v>
      </c>
      <c r="H66" s="2075" t="str">
        <f t="shared" si="1"/>
        <v>NA</v>
      </c>
      <c r="I66" s="2076" t="str">
        <f t="shared" si="1"/>
        <v>NA</v>
      </c>
      <c r="J66" s="2075"/>
      <c r="K66" s="2075"/>
      <c r="L66" s="2075"/>
      <c r="M66" s="2075"/>
      <c r="N66" s="2075"/>
      <c r="O66" s="2075"/>
      <c r="P66" s="2075"/>
      <c r="Q66" s="2075"/>
      <c r="R66" s="2075"/>
    </row>
    <row r="67" spans="1:18">
      <c r="A67" s="2069">
        <v>40213</v>
      </c>
      <c r="B67" s="2070" t="s">
        <v>965</v>
      </c>
      <c r="C67" s="2071">
        <v>1500</v>
      </c>
      <c r="D67" s="2072" t="s">
        <v>926</v>
      </c>
      <c r="E67" s="2072" t="s">
        <v>927</v>
      </c>
      <c r="F67" s="2073">
        <v>37500</v>
      </c>
      <c r="G67" s="2074">
        <f t="shared" si="0"/>
        <v>450000</v>
      </c>
      <c r="H67" s="2075">
        <f t="shared" si="1"/>
        <v>25</v>
      </c>
      <c r="I67" s="2076">
        <f t="shared" si="1"/>
        <v>300</v>
      </c>
      <c r="J67" s="2075"/>
      <c r="K67" s="2075"/>
      <c r="L67" s="2075"/>
      <c r="M67" s="2075"/>
      <c r="N67" s="2075"/>
      <c r="O67" s="2075"/>
      <c r="P67" s="2075"/>
      <c r="Q67" s="2075"/>
      <c r="R67" s="2075"/>
    </row>
    <row r="68" spans="1:18">
      <c r="A68" s="2069">
        <v>40210</v>
      </c>
      <c r="B68" s="2070" t="s">
        <v>940</v>
      </c>
      <c r="C68" s="2071">
        <v>2000</v>
      </c>
      <c r="D68" s="2072" t="s">
        <v>926</v>
      </c>
      <c r="E68" s="2072" t="s">
        <v>927</v>
      </c>
      <c r="F68" s="2073">
        <v>55000</v>
      </c>
      <c r="G68" s="2074">
        <f t="shared" ref="G68:G84" si="2">F68*12</f>
        <v>660000</v>
      </c>
      <c r="H68" s="2075">
        <f t="shared" ref="H68:I84" si="3">IF(ISERROR(F68/$C68),"NA",F68/$C68)</f>
        <v>27.5</v>
      </c>
      <c r="I68" s="2076">
        <f t="shared" si="3"/>
        <v>330</v>
      </c>
      <c r="J68" s="2075"/>
      <c r="K68" s="2075"/>
      <c r="L68" s="2075"/>
      <c r="M68" s="2075"/>
      <c r="N68" s="2075"/>
      <c r="O68" s="2075"/>
      <c r="P68" s="2075"/>
      <c r="Q68" s="2075"/>
      <c r="R68" s="2075"/>
    </row>
    <row r="69" spans="1:18">
      <c r="A69" s="2069">
        <v>40210</v>
      </c>
      <c r="B69" s="2070" t="s">
        <v>971</v>
      </c>
      <c r="C69" s="2071">
        <v>1350</v>
      </c>
      <c r="D69" s="2072" t="s">
        <v>926</v>
      </c>
      <c r="E69" s="2072" t="s">
        <v>929</v>
      </c>
      <c r="F69" s="2073">
        <v>35000</v>
      </c>
      <c r="G69" s="2074">
        <f t="shared" si="2"/>
        <v>420000</v>
      </c>
      <c r="H69" s="2075">
        <f t="shared" si="3"/>
        <v>25.925925925925927</v>
      </c>
      <c r="I69" s="2076">
        <f t="shared" si="3"/>
        <v>311.11111111111109</v>
      </c>
      <c r="J69" s="2075"/>
      <c r="K69" s="2075"/>
      <c r="L69" s="2075"/>
      <c r="M69" s="2075"/>
      <c r="N69" s="2075"/>
      <c r="O69" s="2075"/>
      <c r="P69" s="2075"/>
      <c r="Q69" s="2075"/>
      <c r="R69" s="2075"/>
    </row>
    <row r="70" spans="1:18">
      <c r="A70" s="2069">
        <v>40210</v>
      </c>
      <c r="B70" s="2070" t="s">
        <v>952</v>
      </c>
      <c r="C70" s="2071">
        <v>4000</v>
      </c>
      <c r="D70" s="2072" t="s">
        <v>966</v>
      </c>
      <c r="E70" s="2072" t="s">
        <v>967</v>
      </c>
      <c r="F70" s="2073">
        <v>75000</v>
      </c>
      <c r="G70" s="2074">
        <f t="shared" si="2"/>
        <v>900000</v>
      </c>
      <c r="H70" s="2075">
        <f t="shared" si="3"/>
        <v>18.75</v>
      </c>
      <c r="I70" s="2076">
        <f t="shared" si="3"/>
        <v>225</v>
      </c>
      <c r="J70" s="2075"/>
      <c r="K70" s="2075"/>
      <c r="L70" s="2075"/>
      <c r="M70" s="2075"/>
      <c r="N70" s="2075"/>
      <c r="O70" s="2075"/>
      <c r="P70" s="2075"/>
      <c r="Q70" s="2075"/>
      <c r="R70" s="2075"/>
    </row>
    <row r="71" spans="1:18">
      <c r="A71" s="2069">
        <v>40210</v>
      </c>
      <c r="B71" s="2070" t="s">
        <v>956</v>
      </c>
      <c r="C71" s="2077">
        <v>550</v>
      </c>
      <c r="D71" s="2072" t="s">
        <v>931</v>
      </c>
      <c r="E71" s="2072" t="s">
        <v>932</v>
      </c>
      <c r="F71" s="2073">
        <v>17500</v>
      </c>
      <c r="G71" s="2074">
        <f t="shared" si="2"/>
        <v>210000</v>
      </c>
      <c r="H71" s="2075">
        <f t="shared" si="3"/>
        <v>31.818181818181817</v>
      </c>
      <c r="I71" s="2076">
        <f t="shared" si="3"/>
        <v>381.81818181818181</v>
      </c>
      <c r="J71" s="2075"/>
      <c r="K71" s="2075"/>
      <c r="L71" s="2075"/>
      <c r="M71" s="2075"/>
      <c r="N71" s="2075"/>
      <c r="O71" s="2075"/>
      <c r="P71" s="2075"/>
      <c r="Q71" s="2075"/>
      <c r="R71" s="2075"/>
    </row>
    <row r="72" spans="1:18">
      <c r="A72" s="2069">
        <v>40210</v>
      </c>
      <c r="B72" s="2070" t="s">
        <v>934</v>
      </c>
      <c r="C72" s="2071">
        <v>1650</v>
      </c>
      <c r="D72" s="2072" t="s">
        <v>926</v>
      </c>
      <c r="E72" s="2072" t="s">
        <v>929</v>
      </c>
      <c r="F72" s="2073">
        <v>40000</v>
      </c>
      <c r="G72" s="2074">
        <f t="shared" si="2"/>
        <v>480000</v>
      </c>
      <c r="H72" s="2075">
        <f t="shared" si="3"/>
        <v>24.242424242424242</v>
      </c>
      <c r="I72" s="2076">
        <f t="shared" si="3"/>
        <v>290.90909090909093</v>
      </c>
      <c r="J72" s="2075"/>
      <c r="K72" s="2075"/>
      <c r="L72" s="2075"/>
      <c r="M72" s="2075"/>
      <c r="N72" s="2075"/>
      <c r="O72" s="2075"/>
      <c r="P72" s="2075"/>
      <c r="Q72" s="2075"/>
      <c r="R72" s="2075"/>
    </row>
    <row r="73" spans="1:18">
      <c r="A73" s="2069">
        <v>40210</v>
      </c>
      <c r="B73" s="2070" t="s">
        <v>968</v>
      </c>
      <c r="C73" s="2071">
        <v>1500</v>
      </c>
      <c r="D73" s="2072" t="s">
        <v>931</v>
      </c>
      <c r="E73" s="2072" t="s">
        <v>938</v>
      </c>
      <c r="F73" s="2073">
        <v>45000</v>
      </c>
      <c r="G73" s="2074">
        <f t="shared" si="2"/>
        <v>540000</v>
      </c>
      <c r="H73" s="2075">
        <f t="shared" si="3"/>
        <v>30</v>
      </c>
      <c r="I73" s="2076">
        <f t="shared" si="3"/>
        <v>360</v>
      </c>
      <c r="J73" s="2075"/>
      <c r="K73" s="2075"/>
      <c r="L73" s="2075"/>
      <c r="M73" s="2075"/>
      <c r="N73" s="2075"/>
      <c r="O73" s="2075"/>
      <c r="P73" s="2075"/>
      <c r="Q73" s="2075"/>
      <c r="R73" s="2075"/>
    </row>
    <row r="74" spans="1:18">
      <c r="A74" s="2069">
        <v>40210</v>
      </c>
      <c r="B74" s="2070" t="s">
        <v>963</v>
      </c>
      <c r="C74" s="2077">
        <v>300</v>
      </c>
      <c r="D74" s="2072" t="s">
        <v>931</v>
      </c>
      <c r="E74" s="2072" t="s">
        <v>932</v>
      </c>
      <c r="F74" s="2073">
        <v>15000</v>
      </c>
      <c r="G74" s="2074">
        <f t="shared" si="2"/>
        <v>180000</v>
      </c>
      <c r="H74" s="2075">
        <f t="shared" si="3"/>
        <v>50</v>
      </c>
      <c r="I74" s="2076">
        <f t="shared" si="3"/>
        <v>600</v>
      </c>
      <c r="J74" s="2075"/>
      <c r="K74" s="2075"/>
      <c r="L74" s="2075"/>
      <c r="M74" s="2075"/>
      <c r="N74" s="2075"/>
      <c r="O74" s="2075"/>
      <c r="P74" s="2075"/>
      <c r="Q74" s="2075"/>
      <c r="R74" s="2075"/>
    </row>
    <row r="75" spans="1:18">
      <c r="A75" s="2069">
        <v>40197</v>
      </c>
      <c r="B75" s="2070" t="s">
        <v>975</v>
      </c>
      <c r="C75" s="2071">
        <v>3500</v>
      </c>
      <c r="D75" s="2072" t="s">
        <v>949</v>
      </c>
      <c r="E75" s="2072" t="s">
        <v>947</v>
      </c>
      <c r="F75" s="2073">
        <v>48000</v>
      </c>
      <c r="G75" s="2074">
        <f t="shared" si="2"/>
        <v>576000</v>
      </c>
      <c r="H75" s="2075">
        <f t="shared" si="3"/>
        <v>13.714285714285714</v>
      </c>
      <c r="I75" s="2076">
        <f t="shared" si="3"/>
        <v>164.57142857142858</v>
      </c>
      <c r="J75" s="2075"/>
      <c r="K75" s="2075"/>
      <c r="L75" s="2075"/>
      <c r="M75" s="2075"/>
      <c r="N75" s="2075"/>
      <c r="O75" s="2075"/>
      <c r="P75" s="2075"/>
      <c r="Q75" s="2075"/>
      <c r="R75" s="2075"/>
    </row>
    <row r="76" spans="1:18">
      <c r="A76" s="2069">
        <v>40183</v>
      </c>
      <c r="B76" s="2070" t="s">
        <v>952</v>
      </c>
      <c r="C76" s="2077"/>
      <c r="D76" s="2072" t="s">
        <v>966</v>
      </c>
      <c r="E76" s="2072" t="s">
        <v>967</v>
      </c>
      <c r="F76" s="2073">
        <v>50000</v>
      </c>
      <c r="G76" s="2074">
        <f t="shared" si="2"/>
        <v>600000</v>
      </c>
      <c r="H76" s="2075" t="str">
        <f t="shared" si="3"/>
        <v>NA</v>
      </c>
      <c r="I76" s="2076" t="str">
        <f t="shared" si="3"/>
        <v>NA</v>
      </c>
      <c r="J76" s="2075"/>
      <c r="K76" s="2075"/>
      <c r="L76" s="2075"/>
      <c r="M76" s="2075"/>
      <c r="N76" s="2075"/>
      <c r="O76" s="2075"/>
      <c r="P76" s="2075"/>
      <c r="Q76" s="2075"/>
      <c r="R76" s="2075"/>
    </row>
    <row r="77" spans="1:18">
      <c r="A77" s="2069">
        <v>40181</v>
      </c>
      <c r="B77" s="2070" t="s">
        <v>942</v>
      </c>
      <c r="C77" s="2077"/>
      <c r="D77" s="2072" t="s">
        <v>976</v>
      </c>
      <c r="E77" s="2072" t="s">
        <v>977</v>
      </c>
      <c r="F77" s="2073">
        <v>140000</v>
      </c>
      <c r="G77" s="2074">
        <f t="shared" si="2"/>
        <v>1680000</v>
      </c>
      <c r="H77" s="2075" t="str">
        <f t="shared" si="3"/>
        <v>NA</v>
      </c>
      <c r="I77" s="2076" t="str">
        <f t="shared" si="3"/>
        <v>NA</v>
      </c>
      <c r="J77" s="2075"/>
      <c r="K77" s="2075"/>
      <c r="L77" s="2075"/>
      <c r="M77" s="2075"/>
      <c r="N77" s="2075"/>
      <c r="O77" s="2075"/>
      <c r="P77" s="2075"/>
      <c r="Q77" s="2075"/>
      <c r="R77" s="2075"/>
    </row>
    <row r="78" spans="1:18">
      <c r="A78" s="2069">
        <v>40099</v>
      </c>
      <c r="B78" s="2070" t="s">
        <v>952</v>
      </c>
      <c r="C78" s="2071">
        <v>4000</v>
      </c>
      <c r="D78" s="2072" t="s">
        <v>966</v>
      </c>
      <c r="E78" s="2072" t="s">
        <v>967</v>
      </c>
      <c r="F78" s="2073">
        <v>50000</v>
      </c>
      <c r="G78" s="2074">
        <f t="shared" si="2"/>
        <v>600000</v>
      </c>
      <c r="H78" s="2075">
        <f t="shared" si="3"/>
        <v>12.5</v>
      </c>
      <c r="I78" s="2076">
        <f t="shared" si="3"/>
        <v>150</v>
      </c>
      <c r="J78" s="2075"/>
      <c r="K78" s="2075"/>
      <c r="L78" s="2075"/>
      <c r="M78" s="2075"/>
      <c r="N78" s="2075"/>
      <c r="O78" s="2075"/>
      <c r="P78" s="2075"/>
      <c r="Q78" s="2075"/>
      <c r="R78" s="2075"/>
    </row>
    <row r="79" spans="1:18">
      <c r="A79" s="2069">
        <v>40089</v>
      </c>
      <c r="B79" s="2070" t="s">
        <v>942</v>
      </c>
      <c r="C79" s="2071">
        <v>6000</v>
      </c>
      <c r="D79" s="2072" t="s">
        <v>976</v>
      </c>
      <c r="E79" s="2072" t="s">
        <v>977</v>
      </c>
      <c r="F79" s="2073">
        <v>140000</v>
      </c>
      <c r="G79" s="2074">
        <f t="shared" si="2"/>
        <v>1680000</v>
      </c>
      <c r="H79" s="2075">
        <f t="shared" si="3"/>
        <v>23.333333333333332</v>
      </c>
      <c r="I79" s="2076">
        <f t="shared" si="3"/>
        <v>280</v>
      </c>
      <c r="J79" s="2075"/>
      <c r="K79" s="2075"/>
      <c r="L79" s="2075"/>
      <c r="M79" s="2075"/>
      <c r="N79" s="2075"/>
      <c r="O79" s="2075"/>
      <c r="P79" s="2075"/>
      <c r="Q79" s="2075"/>
      <c r="R79" s="2075"/>
    </row>
    <row r="80" spans="1:18">
      <c r="A80" s="2069">
        <v>40089</v>
      </c>
      <c r="B80" s="2070" t="s">
        <v>937</v>
      </c>
      <c r="C80" s="2077"/>
      <c r="D80" s="2072" t="s">
        <v>931</v>
      </c>
      <c r="E80" s="2072" t="s">
        <v>938</v>
      </c>
      <c r="F80" s="2073">
        <v>30000</v>
      </c>
      <c r="G80" s="2074">
        <f t="shared" si="2"/>
        <v>360000</v>
      </c>
      <c r="H80" s="2075" t="str">
        <f t="shared" si="3"/>
        <v>NA</v>
      </c>
      <c r="I80" s="2076" t="str">
        <f t="shared" si="3"/>
        <v>NA</v>
      </c>
      <c r="J80" s="2075"/>
      <c r="K80" s="2075"/>
      <c r="L80" s="2075"/>
      <c r="M80" s="2075"/>
      <c r="N80" s="2075"/>
      <c r="O80" s="2075"/>
      <c r="P80" s="2075"/>
      <c r="Q80" s="2075"/>
      <c r="R80" s="2075"/>
    </row>
    <row r="81" spans="1:18">
      <c r="A81" s="2069">
        <v>39935</v>
      </c>
      <c r="B81" s="2070" t="s">
        <v>948</v>
      </c>
      <c r="C81" s="2071">
        <v>3500</v>
      </c>
      <c r="D81" s="2072" t="s">
        <v>949</v>
      </c>
      <c r="E81" s="2072" t="s">
        <v>950</v>
      </c>
      <c r="F81" s="2073">
        <v>55000</v>
      </c>
      <c r="G81" s="2074">
        <f t="shared" si="2"/>
        <v>660000</v>
      </c>
      <c r="H81" s="2075">
        <f t="shared" si="3"/>
        <v>15.714285714285714</v>
      </c>
      <c r="I81" s="2076">
        <f t="shared" si="3"/>
        <v>188.57142857142858</v>
      </c>
      <c r="J81" s="2075"/>
      <c r="K81" s="2075"/>
      <c r="L81" s="2075"/>
      <c r="M81" s="2075"/>
      <c r="N81" s="2075"/>
      <c r="O81" s="2075"/>
      <c r="P81" s="2075"/>
      <c r="Q81" s="2075"/>
      <c r="R81" s="2075"/>
    </row>
    <row r="82" spans="1:18">
      <c r="A82" s="2069">
        <v>39736</v>
      </c>
      <c r="B82" s="2070" t="s">
        <v>978</v>
      </c>
      <c r="C82" s="2077">
        <v>700</v>
      </c>
      <c r="D82" s="2072" t="s">
        <v>931</v>
      </c>
      <c r="E82" s="2072" t="s">
        <v>932</v>
      </c>
      <c r="F82" s="2073">
        <v>30000</v>
      </c>
      <c r="G82" s="2074">
        <f t="shared" si="2"/>
        <v>360000</v>
      </c>
      <c r="H82" s="2075">
        <f t="shared" si="3"/>
        <v>42.857142857142854</v>
      </c>
      <c r="I82" s="2076">
        <f t="shared" si="3"/>
        <v>514.28571428571433</v>
      </c>
      <c r="J82" s="2075"/>
      <c r="K82" s="2075"/>
      <c r="L82" s="2075"/>
      <c r="M82" s="2075"/>
      <c r="N82" s="2075"/>
      <c r="O82" s="2075"/>
      <c r="P82" s="2075"/>
      <c r="Q82" s="2075"/>
      <c r="R82" s="2075"/>
    </row>
    <row r="83" spans="1:18">
      <c r="A83" s="2069">
        <v>39727</v>
      </c>
      <c r="B83" s="2070" t="s">
        <v>945</v>
      </c>
      <c r="C83" s="2071">
        <v>1500</v>
      </c>
      <c r="D83" s="2072" t="s">
        <v>931</v>
      </c>
      <c r="E83" s="2072" t="s">
        <v>929</v>
      </c>
      <c r="F83" s="2073">
        <v>30000</v>
      </c>
      <c r="G83" s="2074">
        <f t="shared" si="2"/>
        <v>360000</v>
      </c>
      <c r="H83" s="2075">
        <f t="shared" si="3"/>
        <v>20</v>
      </c>
      <c r="I83" s="2076">
        <f t="shared" si="3"/>
        <v>240</v>
      </c>
      <c r="J83" s="2075"/>
      <c r="K83" s="2075"/>
      <c r="L83" s="2075"/>
      <c r="M83" s="2075"/>
      <c r="N83" s="2075"/>
      <c r="O83" s="2075"/>
      <c r="P83" s="2075"/>
      <c r="Q83" s="2075"/>
      <c r="R83" s="2075"/>
    </row>
    <row r="84" spans="1:18">
      <c r="A84" s="2069">
        <v>39612</v>
      </c>
      <c r="B84" s="2070" t="s">
        <v>973</v>
      </c>
      <c r="C84" s="2071">
        <v>2500</v>
      </c>
      <c r="D84" s="2072" t="s">
        <v>949</v>
      </c>
      <c r="E84" s="2072" t="s">
        <v>950</v>
      </c>
      <c r="F84" s="2073">
        <v>45000</v>
      </c>
      <c r="G84" s="2074">
        <f t="shared" si="2"/>
        <v>540000</v>
      </c>
      <c r="H84" s="2075">
        <f t="shared" si="3"/>
        <v>18</v>
      </c>
      <c r="I84" s="2076">
        <f t="shared" si="3"/>
        <v>216</v>
      </c>
      <c r="J84" s="2075"/>
      <c r="K84" s="2075"/>
      <c r="L84" s="2075"/>
      <c r="M84" s="2075"/>
      <c r="N84" s="2075"/>
      <c r="O84" s="2075"/>
      <c r="P84" s="2075"/>
      <c r="Q84" s="2075"/>
      <c r="R84" s="2075"/>
    </row>
    <row r="85" spans="1:18">
      <c r="A85" s="2087" t="s">
        <v>979</v>
      </c>
      <c r="B85" s="2088"/>
      <c r="C85" s="2088"/>
      <c r="D85" s="2088"/>
      <c r="E85" s="2088"/>
      <c r="F85" s="2088"/>
      <c r="G85" s="1743"/>
      <c r="H85" s="2089">
        <f>AVERAGE(H2:H84)</f>
        <v>24.460100215996448</v>
      </c>
      <c r="I85" s="2090">
        <f>AVERAGE(I2:I84)</f>
        <v>293.52120259195732</v>
      </c>
      <c r="J85" s="2075"/>
      <c r="K85" s="2075"/>
      <c r="L85" s="2075"/>
      <c r="M85" s="2075"/>
      <c r="N85" s="2075"/>
      <c r="O85" s="2075"/>
      <c r="P85" s="2075"/>
      <c r="Q85" s="2075"/>
      <c r="R85" s="2075"/>
    </row>
    <row r="86" spans="1:18">
      <c r="A86" s="1972" t="s">
        <v>996</v>
      </c>
      <c r="B86" s="1735"/>
      <c r="C86" s="1735"/>
      <c r="D86" s="1735"/>
      <c r="E86" s="1735"/>
      <c r="F86" s="1735"/>
      <c r="G86" s="1735"/>
      <c r="H86" s="2085">
        <f>MEDIAN(H3:H84)</f>
        <v>23.333333333333332</v>
      </c>
      <c r="I86" s="2086">
        <f>MEDIAN(I3:I84)</f>
        <v>280</v>
      </c>
      <c r="J86" s="1785"/>
      <c r="K86" s="1785"/>
      <c r="L86" s="1785"/>
      <c r="M86" s="1785"/>
      <c r="N86" s="1785"/>
      <c r="O86" s="1785"/>
      <c r="P86" s="1785"/>
      <c r="Q86" s="1785"/>
      <c r="R86" s="1785"/>
    </row>
    <row r="87" spans="1:18">
      <c r="A87" s="1777" t="s">
        <v>1000</v>
      </c>
      <c r="B87" s="1777"/>
      <c r="C87" s="1777"/>
      <c r="D87" s="1777"/>
      <c r="E87" s="1777"/>
      <c r="F87" s="1777"/>
      <c r="G87" s="1777"/>
      <c r="H87" s="1785"/>
      <c r="I87" s="1785"/>
      <c r="J87" s="1785"/>
      <c r="K87" s="1785"/>
      <c r="L87" s="1785"/>
      <c r="M87" s="1785"/>
      <c r="N87" s="1785"/>
      <c r="O87" s="1785"/>
      <c r="P87" s="1785"/>
      <c r="Q87" s="1785"/>
      <c r="R87" s="1785"/>
    </row>
    <row r="88" spans="1:18">
      <c r="A88" s="1777"/>
      <c r="B88" s="1777"/>
      <c r="C88" s="1777"/>
      <c r="D88" s="1777"/>
      <c r="E88" s="1777"/>
      <c r="F88" s="1777"/>
      <c r="G88" s="1777"/>
      <c r="H88" s="1785"/>
      <c r="I88" s="1785"/>
      <c r="J88" s="2124" t="s">
        <v>1034</v>
      </c>
      <c r="K88" s="2126" t="s">
        <v>921</v>
      </c>
      <c r="L88" s="2126" t="s">
        <v>922</v>
      </c>
      <c r="M88" s="2126" t="s">
        <v>923</v>
      </c>
      <c r="N88" s="2126" t="s">
        <v>1683</v>
      </c>
      <c r="O88" s="2125" t="s">
        <v>1035</v>
      </c>
      <c r="P88" s="2120" t="s">
        <v>1036</v>
      </c>
      <c r="Q88" s="1785"/>
      <c r="R88" s="1785"/>
    </row>
    <row r="89" spans="1:18" ht="12.75" customHeight="1">
      <c r="A89" s="1777"/>
      <c r="B89" s="1777"/>
      <c r="C89" s="1777"/>
      <c r="D89" s="1777"/>
      <c r="E89" s="1777"/>
      <c r="F89" s="1777"/>
      <c r="G89" s="1777"/>
      <c r="H89" s="1785"/>
      <c r="I89" s="1785"/>
      <c r="J89" s="2113" t="s">
        <v>1001</v>
      </c>
      <c r="K89" s="2139">
        <v>4336</v>
      </c>
      <c r="L89" s="2072" t="s">
        <v>1002</v>
      </c>
      <c r="M89" s="2072" t="s">
        <v>1003</v>
      </c>
      <c r="N89" s="2072"/>
      <c r="O89" s="2077">
        <v>19695000</v>
      </c>
      <c r="P89" s="2114">
        <f>O89/K89</f>
        <v>4542.2047970479707</v>
      </c>
      <c r="Q89" s="1785"/>
      <c r="R89" s="1785"/>
    </row>
    <row r="90" spans="1:18" ht="12.75" customHeight="1">
      <c r="A90" s="1777"/>
      <c r="B90" s="1777"/>
      <c r="C90" s="1777"/>
      <c r="D90" s="1777"/>
      <c r="E90" s="1777"/>
      <c r="F90" s="1777"/>
      <c r="G90" s="1777"/>
      <c r="H90" s="1785"/>
      <c r="I90" s="1785"/>
      <c r="J90" s="2113" t="s">
        <v>1004</v>
      </c>
      <c r="K90" s="2139">
        <v>4675</v>
      </c>
      <c r="L90" s="2072" t="s">
        <v>1005</v>
      </c>
      <c r="M90" s="2072" t="s">
        <v>1006</v>
      </c>
      <c r="N90" s="2072" t="s">
        <v>1007</v>
      </c>
      <c r="O90" s="2077">
        <v>17500000</v>
      </c>
      <c r="P90" s="2114">
        <f t="shared" ref="P90:P104" si="4">O90/K90</f>
        <v>3743.3155080213905</v>
      </c>
      <c r="Q90" s="1785"/>
      <c r="R90" s="1785"/>
    </row>
    <row r="91" spans="1:18" ht="12.75" customHeight="1">
      <c r="A91" s="1777"/>
      <c r="B91" s="1777"/>
      <c r="C91" s="1777"/>
      <c r="D91" s="1777"/>
      <c r="E91" s="1777"/>
      <c r="F91" s="1777"/>
      <c r="G91" s="1777"/>
      <c r="H91" s="1785"/>
      <c r="I91" s="1785"/>
      <c r="J91" s="2113" t="s">
        <v>1008</v>
      </c>
      <c r="K91" s="2139">
        <v>4459</v>
      </c>
      <c r="L91" s="2072" t="s">
        <v>1009</v>
      </c>
      <c r="M91" s="2072" t="s">
        <v>1006</v>
      </c>
      <c r="N91" s="2072"/>
      <c r="O91" s="2077">
        <v>14995000</v>
      </c>
      <c r="P91" s="2114">
        <f t="shared" si="4"/>
        <v>3362.8616281677505</v>
      </c>
      <c r="Q91" s="1785"/>
      <c r="R91" s="1785"/>
    </row>
    <row r="92" spans="1:18" ht="12.75" customHeight="1">
      <c r="A92" s="1777"/>
      <c r="B92" s="1777"/>
      <c r="C92" s="1777"/>
      <c r="D92" s="1777"/>
      <c r="E92" s="1777"/>
      <c r="F92" s="1777"/>
      <c r="G92" s="1777"/>
      <c r="H92" s="1785"/>
      <c r="I92" s="1785"/>
      <c r="J92" s="2113" t="s">
        <v>1010</v>
      </c>
      <c r="K92" s="2139">
        <v>4382</v>
      </c>
      <c r="L92" s="2072" t="s">
        <v>1011</v>
      </c>
      <c r="M92" s="2072" t="s">
        <v>1012</v>
      </c>
      <c r="N92" s="2072"/>
      <c r="O92" s="2077">
        <v>14000000</v>
      </c>
      <c r="P92" s="2114">
        <f t="shared" si="4"/>
        <v>3194.8881789137381</v>
      </c>
      <c r="Q92" s="1785"/>
      <c r="R92" s="1785"/>
    </row>
    <row r="93" spans="1:18" ht="12.75" customHeight="1">
      <c r="A93" s="1777"/>
      <c r="B93" s="1777"/>
      <c r="C93" s="1777"/>
      <c r="D93" s="1777"/>
      <c r="E93" s="1777"/>
      <c r="F93" s="1777"/>
      <c r="G93" s="1777"/>
      <c r="H93" s="1785"/>
      <c r="I93" s="1785"/>
      <c r="J93" s="2113" t="s">
        <v>1013</v>
      </c>
      <c r="K93" s="2139">
        <v>3845</v>
      </c>
      <c r="L93" s="2072" t="s">
        <v>1014</v>
      </c>
      <c r="M93" s="2072" t="s">
        <v>1015</v>
      </c>
      <c r="N93" s="2072"/>
      <c r="O93" s="2077">
        <v>13590000</v>
      </c>
      <c r="P93" s="2114">
        <f t="shared" si="4"/>
        <v>3534.4603381014304</v>
      </c>
      <c r="Q93" s="1785"/>
      <c r="R93" s="1785"/>
    </row>
    <row r="94" spans="1:18" ht="12.75" customHeight="1">
      <c r="A94" s="1777"/>
      <c r="B94" s="1777"/>
      <c r="C94" s="1777"/>
      <c r="D94" s="1777"/>
      <c r="E94" s="1777"/>
      <c r="F94" s="1777"/>
      <c r="G94" s="1777"/>
      <c r="H94" s="1785"/>
      <c r="I94" s="1785"/>
      <c r="J94" s="2113" t="s">
        <v>1016</v>
      </c>
      <c r="K94" s="2139">
        <v>3164</v>
      </c>
      <c r="L94" s="2072" t="s">
        <v>1017</v>
      </c>
      <c r="M94" s="2072" t="s">
        <v>967</v>
      </c>
      <c r="N94" s="2072"/>
      <c r="O94" s="2077">
        <v>10000000</v>
      </c>
      <c r="P94" s="2114">
        <f t="shared" si="4"/>
        <v>3160.5562579013908</v>
      </c>
      <c r="Q94" s="1785"/>
      <c r="R94" s="1785"/>
    </row>
    <row r="95" spans="1:18" ht="12.75" customHeight="1">
      <c r="A95" s="1777"/>
      <c r="B95" s="1777"/>
      <c r="C95" s="1777"/>
      <c r="D95" s="1777"/>
      <c r="E95" s="1777"/>
      <c r="F95" s="1777"/>
      <c r="G95" s="1777"/>
      <c r="H95" s="1785"/>
      <c r="I95" s="1785"/>
      <c r="J95" s="2113" t="s">
        <v>1018</v>
      </c>
      <c r="K95" s="2139">
        <v>2384</v>
      </c>
      <c r="L95" s="2072" t="s">
        <v>1019</v>
      </c>
      <c r="M95" s="2072" t="s">
        <v>929</v>
      </c>
      <c r="N95" s="2072"/>
      <c r="O95" s="2077">
        <v>9950000</v>
      </c>
      <c r="P95" s="2114">
        <f t="shared" si="4"/>
        <v>4173.6577181208049</v>
      </c>
      <c r="Q95" s="1785"/>
      <c r="R95" s="1785"/>
    </row>
    <row r="96" spans="1:18" ht="12.75" customHeight="1">
      <c r="A96" s="1777"/>
      <c r="B96" s="1777"/>
      <c r="C96" s="1777"/>
      <c r="D96" s="1777"/>
      <c r="E96" s="1777"/>
      <c r="F96" s="1777"/>
      <c r="G96" s="1777"/>
      <c r="H96" s="1785"/>
      <c r="I96" s="1785"/>
      <c r="J96" s="2113" t="s">
        <v>1020</v>
      </c>
      <c r="K96" s="2139">
        <v>3164</v>
      </c>
      <c r="L96" s="2072" t="s">
        <v>1017</v>
      </c>
      <c r="M96" s="2072" t="s">
        <v>950</v>
      </c>
      <c r="N96" s="2072" t="s">
        <v>1007</v>
      </c>
      <c r="O96" s="2077">
        <v>9750000</v>
      </c>
      <c r="P96" s="2114">
        <f t="shared" si="4"/>
        <v>3081.5423514538561</v>
      </c>
      <c r="Q96" s="1785"/>
      <c r="R96" s="1785"/>
    </row>
    <row r="97" spans="1:18" ht="12.75" customHeight="1">
      <c r="A97" s="1777"/>
      <c r="B97" s="1777"/>
      <c r="C97" s="1777"/>
      <c r="D97" s="1777"/>
      <c r="E97" s="1777"/>
      <c r="F97" s="1777"/>
      <c r="G97" s="1777"/>
      <c r="H97" s="1785"/>
      <c r="I97" s="1785"/>
      <c r="J97" s="2113" t="s">
        <v>1021</v>
      </c>
      <c r="K97" s="2139">
        <v>3164</v>
      </c>
      <c r="L97" s="2072" t="s">
        <v>1017</v>
      </c>
      <c r="M97" s="2072" t="s">
        <v>967</v>
      </c>
      <c r="N97" s="2072"/>
      <c r="O97" s="2077">
        <v>9500000</v>
      </c>
      <c r="P97" s="2114">
        <f t="shared" si="4"/>
        <v>3002.5284450063209</v>
      </c>
      <c r="Q97" s="1785"/>
      <c r="R97" s="1785"/>
    </row>
    <row r="98" spans="1:18" ht="12.75" customHeight="1">
      <c r="A98" s="1777"/>
      <c r="B98" s="1777"/>
      <c r="C98" s="1777"/>
      <c r="D98" s="1777"/>
      <c r="E98" s="1777"/>
      <c r="F98" s="1777"/>
      <c r="G98" s="1777"/>
      <c r="H98" s="1785"/>
      <c r="I98" s="1785"/>
      <c r="J98" s="2113" t="s">
        <v>1022</v>
      </c>
      <c r="K98" s="2139">
        <v>2915</v>
      </c>
      <c r="L98" s="2072" t="s">
        <v>949</v>
      </c>
      <c r="M98" s="2072" t="s">
        <v>1023</v>
      </c>
      <c r="N98" s="2072" t="s">
        <v>1007</v>
      </c>
      <c r="O98" s="2077">
        <v>9050000</v>
      </c>
      <c r="P98" s="2114">
        <f t="shared" si="4"/>
        <v>3104.6312178387652</v>
      </c>
      <c r="Q98" s="1785"/>
      <c r="R98" s="1785"/>
    </row>
    <row r="99" spans="1:18" ht="12.75" customHeight="1">
      <c r="A99" s="1777"/>
      <c r="B99" s="1777"/>
      <c r="C99" s="1777"/>
      <c r="D99" s="1777"/>
      <c r="E99" s="1777"/>
      <c r="F99" s="1777"/>
      <c r="G99" s="1777"/>
      <c r="H99" s="1785"/>
      <c r="I99" s="1785"/>
      <c r="J99" s="2113" t="s">
        <v>1024</v>
      </c>
      <c r="K99" s="2139">
        <v>2915</v>
      </c>
      <c r="L99" s="2072" t="s">
        <v>1017</v>
      </c>
      <c r="M99" s="2072" t="s">
        <v>1023</v>
      </c>
      <c r="N99" s="2072" t="s">
        <v>1007</v>
      </c>
      <c r="O99" s="2077">
        <v>9000000</v>
      </c>
      <c r="P99" s="2114">
        <f t="shared" si="4"/>
        <v>3087.4785591766722</v>
      </c>
      <c r="Q99" s="1785"/>
      <c r="R99" s="1785"/>
    </row>
    <row r="100" spans="1:18">
      <c r="A100" s="1777"/>
      <c r="B100" s="1777"/>
      <c r="C100" s="1777"/>
      <c r="D100" s="1777"/>
      <c r="E100" s="1777"/>
      <c r="F100" s="1777"/>
      <c r="G100" s="1777"/>
      <c r="H100" s="1785"/>
      <c r="I100" s="1785"/>
      <c r="J100" s="2113" t="s">
        <v>1025</v>
      </c>
      <c r="K100" s="2139">
        <v>3183</v>
      </c>
      <c r="L100" s="2072" t="s">
        <v>1002</v>
      </c>
      <c r="M100" s="2072" t="s">
        <v>1015</v>
      </c>
      <c r="N100" s="2072" t="s">
        <v>1007</v>
      </c>
      <c r="O100" s="2077">
        <v>8995000</v>
      </c>
      <c r="P100" s="2114">
        <f t="shared" si="4"/>
        <v>2825.9503612943763</v>
      </c>
      <c r="Q100" s="1785"/>
      <c r="R100" s="1785"/>
    </row>
    <row r="101" spans="1:18">
      <c r="A101" s="1777"/>
      <c r="B101" s="1777"/>
      <c r="C101" s="1777"/>
      <c r="D101" s="1777"/>
      <c r="E101" s="1777"/>
      <c r="F101" s="1777"/>
      <c r="G101" s="1777"/>
      <c r="H101" s="1785"/>
      <c r="I101" s="1785"/>
      <c r="J101" s="2113" t="s">
        <v>1026</v>
      </c>
      <c r="K101" s="2139">
        <v>3123</v>
      </c>
      <c r="L101" s="2072" t="s">
        <v>1002</v>
      </c>
      <c r="M101" s="2072" t="s">
        <v>1015</v>
      </c>
      <c r="N101" s="2072"/>
      <c r="O101" s="2077">
        <v>8500000</v>
      </c>
      <c r="P101" s="2114">
        <f t="shared" si="4"/>
        <v>2721.7419148254885</v>
      </c>
      <c r="Q101" s="1785"/>
      <c r="R101" s="1785"/>
    </row>
    <row r="102" spans="1:18">
      <c r="A102" s="1777"/>
      <c r="B102" s="1777"/>
      <c r="C102" s="1777"/>
      <c r="D102" s="1777"/>
      <c r="E102" s="1777"/>
      <c r="F102" s="1777"/>
      <c r="G102" s="1777"/>
      <c r="H102" s="1785"/>
      <c r="I102" s="1785"/>
      <c r="J102" s="2113" t="s">
        <v>1028</v>
      </c>
      <c r="K102" s="2139">
        <v>2562</v>
      </c>
      <c r="L102" s="2072" t="s">
        <v>1017</v>
      </c>
      <c r="M102" s="2072" t="s">
        <v>1023</v>
      </c>
      <c r="N102" s="2072" t="s">
        <v>1007</v>
      </c>
      <c r="O102" s="2077">
        <v>7560000</v>
      </c>
      <c r="P102" s="2114">
        <f t="shared" si="4"/>
        <v>2950.8196721311474</v>
      </c>
      <c r="Q102" s="1785"/>
      <c r="R102" s="1785"/>
    </row>
    <row r="103" spans="1:18" ht="12.75" customHeight="1">
      <c r="A103" s="1777"/>
      <c r="B103" s="1777"/>
      <c r="C103" s="1777"/>
      <c r="D103" s="1777"/>
      <c r="E103" s="1777"/>
      <c r="F103" s="1777"/>
      <c r="G103" s="1777"/>
      <c r="H103" s="1785"/>
      <c r="I103" s="1785"/>
      <c r="J103" s="2113" t="s">
        <v>1029</v>
      </c>
      <c r="K103" s="2139">
        <v>1614</v>
      </c>
      <c r="L103" s="2072" t="s">
        <v>1030</v>
      </c>
      <c r="M103" s="2072" t="s">
        <v>1031</v>
      </c>
      <c r="N103" s="2072"/>
      <c r="O103" s="2077">
        <v>4750000</v>
      </c>
      <c r="P103" s="2114">
        <f t="shared" si="4"/>
        <v>2942.9987608426272</v>
      </c>
      <c r="Q103" s="1785"/>
      <c r="R103" s="1785"/>
    </row>
    <row r="104" spans="1:18">
      <c r="A104" s="1777"/>
      <c r="B104" s="1777"/>
      <c r="C104" s="1777"/>
      <c r="D104" s="1777"/>
      <c r="E104" s="1777"/>
      <c r="F104" s="1777"/>
      <c r="G104" s="1777"/>
      <c r="H104" s="1785"/>
      <c r="I104" s="1785"/>
      <c r="J104" s="2113" t="s">
        <v>1032</v>
      </c>
      <c r="K104" s="2139">
        <v>1330</v>
      </c>
      <c r="L104" s="2072" t="s">
        <v>1033</v>
      </c>
      <c r="M104" s="2072" t="s">
        <v>929</v>
      </c>
      <c r="N104" s="2072"/>
      <c r="O104" s="2077">
        <v>3500000</v>
      </c>
      <c r="P104" s="2114">
        <f t="shared" si="4"/>
        <v>2631.5789473684213</v>
      </c>
      <c r="Q104" s="1785"/>
      <c r="R104" s="1785"/>
    </row>
    <row r="105" spans="1:18">
      <c r="A105" s="1777"/>
      <c r="B105" s="1777"/>
      <c r="C105" s="1777"/>
      <c r="D105" s="1777"/>
      <c r="E105" s="1777"/>
      <c r="F105" s="1777"/>
      <c r="G105" s="1777"/>
      <c r="H105" s="1785"/>
      <c r="I105" s="1785"/>
      <c r="J105" s="2113"/>
      <c r="K105" s="2139"/>
      <c r="L105" s="2072"/>
      <c r="M105" s="2072"/>
      <c r="N105" s="2072"/>
      <c r="O105" s="2077"/>
      <c r="P105" s="2114"/>
      <c r="Q105" s="1785"/>
      <c r="R105" s="1785"/>
    </row>
    <row r="106" spans="1:18">
      <c r="A106" s="1777"/>
      <c r="B106" s="1777"/>
      <c r="C106" s="1777"/>
      <c r="D106" s="1777"/>
      <c r="E106" s="1777"/>
      <c r="F106" s="1777"/>
      <c r="G106" s="1777"/>
      <c r="H106" s="1785"/>
      <c r="I106" s="1785"/>
      <c r="J106" s="2116" t="s">
        <v>1114</v>
      </c>
      <c r="K106" s="2112"/>
      <c r="L106" s="2117"/>
      <c r="M106" s="2117"/>
      <c r="N106" s="2117"/>
      <c r="O106" s="2117"/>
      <c r="P106" s="2118">
        <f>SUM(O89:O105)/SUM(K89:K105)</f>
        <v>3325.8810895245533</v>
      </c>
      <c r="Q106" s="1785"/>
      <c r="R106" s="1785"/>
    </row>
    <row r="107" spans="1:18">
      <c r="A107" s="1777"/>
      <c r="B107" s="1777"/>
      <c r="C107" s="1777"/>
      <c r="D107" s="1777"/>
      <c r="E107" s="1777"/>
      <c r="F107" s="1777"/>
      <c r="G107" s="1777"/>
      <c r="H107" s="1785"/>
      <c r="I107" s="1785"/>
      <c r="J107" s="2115" t="s">
        <v>996</v>
      </c>
      <c r="K107" s="2140"/>
      <c r="L107" s="2085"/>
      <c r="M107" s="2085"/>
      <c r="N107" s="2085"/>
      <c r="O107" s="2085"/>
      <c r="P107" s="2086">
        <f>MEDIAN(P89:P104)</f>
        <v>3096.0548885077187</v>
      </c>
      <c r="Q107" s="1785"/>
      <c r="R107" s="1785"/>
    </row>
    <row r="108" spans="1:18">
      <c r="A108" s="1777"/>
      <c r="B108" s="1777"/>
      <c r="C108" s="1777"/>
      <c r="D108" s="1777"/>
      <c r="E108" s="1777"/>
      <c r="F108" s="1777"/>
      <c r="G108" s="1777"/>
      <c r="H108" s="1785"/>
      <c r="I108" s="1785"/>
      <c r="J108" s="1785"/>
      <c r="K108" s="2111"/>
      <c r="L108" s="1785"/>
      <c r="M108" s="1785"/>
      <c r="N108" s="1785"/>
      <c r="O108" s="1785"/>
      <c r="P108" s="1785"/>
      <c r="Q108" s="1785"/>
      <c r="R108" s="1785"/>
    </row>
    <row r="109" spans="1:18">
      <c r="A109" s="1777"/>
      <c r="B109" s="1777"/>
      <c r="C109" s="1777"/>
      <c r="D109" s="1777"/>
      <c r="E109" s="1777"/>
      <c r="F109" s="1777"/>
      <c r="G109" s="1777"/>
      <c r="H109" s="1785"/>
      <c r="I109" s="1785"/>
      <c r="J109" s="2119" t="s">
        <v>1037</v>
      </c>
      <c r="K109" s="2126" t="s">
        <v>921</v>
      </c>
      <c r="L109" s="2126" t="s">
        <v>922</v>
      </c>
      <c r="M109" s="2126" t="s">
        <v>923</v>
      </c>
      <c r="N109" s="2126" t="s">
        <v>1683</v>
      </c>
      <c r="O109" s="2125" t="s">
        <v>1105</v>
      </c>
      <c r="P109" s="2120" t="s">
        <v>1036</v>
      </c>
      <c r="Q109" s="1785"/>
      <c r="R109" s="1785"/>
    </row>
    <row r="110" spans="1:18">
      <c r="A110" s="1777"/>
      <c r="B110" s="1777"/>
      <c r="C110" s="1777"/>
      <c r="D110" s="1777"/>
      <c r="E110" s="1777"/>
      <c r="F110" s="1777"/>
      <c r="G110" s="1777"/>
      <c r="H110" s="1785"/>
      <c r="I110" s="1785"/>
      <c r="J110" s="2113" t="s">
        <v>1038</v>
      </c>
      <c r="K110" s="2139">
        <v>1552</v>
      </c>
      <c r="L110" s="2072" t="s">
        <v>1019</v>
      </c>
      <c r="M110" s="2072" t="s">
        <v>1031</v>
      </c>
      <c r="N110" s="1777"/>
      <c r="O110" s="2077">
        <v>14500</v>
      </c>
      <c r="P110" s="2114">
        <f>+O110/K110</f>
        <v>9.3427835051546388</v>
      </c>
      <c r="Q110" s="1785"/>
      <c r="R110" s="1785"/>
    </row>
    <row r="111" spans="1:18">
      <c r="A111" s="1777"/>
      <c r="B111" s="1777"/>
      <c r="C111" s="1777"/>
      <c r="D111" s="1777"/>
      <c r="E111" s="1777"/>
      <c r="F111" s="1777"/>
      <c r="G111" s="1777"/>
      <c r="H111" s="1785"/>
      <c r="I111" s="1785"/>
      <c r="J111" s="2121" t="s">
        <v>1038</v>
      </c>
      <c r="K111" s="2141">
        <v>1828</v>
      </c>
      <c r="L111" s="2122" t="s">
        <v>1027</v>
      </c>
      <c r="M111" s="2122" t="s">
        <v>1031</v>
      </c>
      <c r="N111" s="1735"/>
      <c r="O111" s="2123">
        <v>13500</v>
      </c>
      <c r="P111" s="2086">
        <f>+O111/K111</f>
        <v>7.3851203501094096</v>
      </c>
      <c r="Q111" s="1785"/>
      <c r="R111" s="1785"/>
    </row>
    <row r="112" spans="1:18">
      <c r="A112" s="1777"/>
      <c r="B112" s="1777"/>
      <c r="C112" s="1777"/>
      <c r="D112" s="1777"/>
      <c r="E112" s="1777"/>
      <c r="F112" s="1777"/>
      <c r="G112" s="1777"/>
      <c r="H112" s="1785"/>
      <c r="I112" s="1785"/>
      <c r="J112" s="1785"/>
      <c r="K112" s="1785"/>
      <c r="L112" s="1785"/>
      <c r="M112" s="1785"/>
      <c r="N112" s="1785"/>
      <c r="O112" s="1785"/>
      <c r="P112" s="1785"/>
      <c r="Q112" s="1785"/>
      <c r="R112" s="1785"/>
    </row>
    <row r="113" spans="1:18">
      <c r="A113" s="1777"/>
      <c r="B113" s="1777"/>
      <c r="C113" s="1777"/>
      <c r="D113" s="1777"/>
      <c r="E113" s="1777"/>
      <c r="F113" s="1777"/>
      <c r="G113" s="1777"/>
      <c r="H113" s="1785"/>
      <c r="I113" s="1785"/>
      <c r="J113" s="2124" t="s">
        <v>1034</v>
      </c>
      <c r="K113" s="2126" t="s">
        <v>921</v>
      </c>
      <c r="L113" s="2126" t="s">
        <v>922</v>
      </c>
      <c r="M113" s="2126" t="s">
        <v>923</v>
      </c>
      <c r="N113" s="2126" t="s">
        <v>1683</v>
      </c>
      <c r="O113" s="2125" t="s">
        <v>1035</v>
      </c>
      <c r="P113" s="2120" t="s">
        <v>1036</v>
      </c>
      <c r="Q113" s="1785"/>
      <c r="R113" s="1785"/>
    </row>
    <row r="114" spans="1:18">
      <c r="A114" s="1777"/>
      <c r="B114" s="1777"/>
      <c r="C114" s="1777"/>
      <c r="D114" s="1777"/>
      <c r="E114" s="1777"/>
      <c r="F114" s="1777"/>
      <c r="G114" s="1777"/>
      <c r="H114" s="1785"/>
      <c r="I114" s="1785"/>
      <c r="J114" s="2113" t="s">
        <v>1039</v>
      </c>
      <c r="K114" s="2139">
        <v>8988</v>
      </c>
      <c r="L114" s="2072" t="s">
        <v>1040</v>
      </c>
      <c r="M114" s="2072" t="s">
        <v>1041</v>
      </c>
      <c r="N114" s="2072"/>
      <c r="O114" s="2077">
        <v>65000000</v>
      </c>
      <c r="P114" s="2137">
        <f>+O114/K114</f>
        <v>7231.8647085002222</v>
      </c>
      <c r="Q114" s="1785"/>
      <c r="R114" s="1785"/>
    </row>
    <row r="115" spans="1:18">
      <c r="A115" s="1777"/>
      <c r="B115" s="1777"/>
      <c r="C115" s="1777"/>
      <c r="D115" s="1777"/>
      <c r="E115" s="1777"/>
      <c r="F115" s="1777"/>
      <c r="G115" s="1777"/>
      <c r="H115" s="1785"/>
      <c r="I115" s="1785"/>
      <c r="J115" s="2113" t="s">
        <v>1042</v>
      </c>
      <c r="K115" s="2139">
        <v>9742</v>
      </c>
      <c r="L115" s="2072" t="s">
        <v>1043</v>
      </c>
      <c r="M115" s="2072" t="s">
        <v>1044</v>
      </c>
      <c r="N115" s="2072"/>
      <c r="O115" s="2077">
        <v>65000000</v>
      </c>
      <c r="P115" s="2138">
        <f t="shared" ref="P115:P163" si="5">+O115/K115</f>
        <v>6672.141244097721</v>
      </c>
      <c r="Q115" s="1785"/>
      <c r="R115" s="1785"/>
    </row>
    <row r="116" spans="1:18">
      <c r="A116" s="1777"/>
      <c r="B116" s="1777"/>
      <c r="C116" s="1777"/>
      <c r="D116" s="1777"/>
      <c r="E116" s="1777"/>
      <c r="F116" s="1777"/>
      <c r="G116" s="1777"/>
      <c r="H116" s="1785"/>
      <c r="I116" s="1785"/>
      <c r="J116" s="2113" t="s">
        <v>1045</v>
      </c>
      <c r="K116" s="2139">
        <v>4762</v>
      </c>
      <c r="L116" s="2072" t="s">
        <v>1046</v>
      </c>
      <c r="M116" s="2072" t="s">
        <v>1047</v>
      </c>
      <c r="N116" s="2072" t="s">
        <v>1007</v>
      </c>
      <c r="O116" s="2077">
        <v>27500000</v>
      </c>
      <c r="P116" s="2138">
        <f t="shared" si="5"/>
        <v>5774.8845023099539</v>
      </c>
      <c r="Q116" s="1785"/>
      <c r="R116" s="1785"/>
    </row>
    <row r="117" spans="1:18">
      <c r="A117" s="1777"/>
      <c r="B117" s="1777"/>
      <c r="C117" s="1777"/>
      <c r="D117" s="1777"/>
      <c r="E117" s="1777"/>
      <c r="F117" s="1777"/>
      <c r="G117" s="1777"/>
      <c r="H117" s="1785"/>
      <c r="I117" s="1785"/>
      <c r="J117" s="2113" t="s">
        <v>1048</v>
      </c>
      <c r="K117" s="2139">
        <v>3582</v>
      </c>
      <c r="L117" s="2072" t="s">
        <v>1049</v>
      </c>
      <c r="M117" s="2072" t="s">
        <v>1003</v>
      </c>
      <c r="N117" s="2072" t="s">
        <v>1007</v>
      </c>
      <c r="O117" s="2077">
        <v>25000000</v>
      </c>
      <c r="P117" s="2138">
        <f t="shared" si="5"/>
        <v>6979.3411501954215</v>
      </c>
      <c r="Q117" s="1785"/>
      <c r="R117" s="1785"/>
    </row>
    <row r="118" spans="1:18">
      <c r="A118" s="1777"/>
      <c r="B118" s="1777"/>
      <c r="C118" s="1777"/>
      <c r="D118" s="1777"/>
      <c r="E118" s="1777"/>
      <c r="F118" s="1777"/>
      <c r="G118" s="1777"/>
      <c r="H118" s="1785"/>
      <c r="I118" s="1785"/>
      <c r="J118" s="2113" t="s">
        <v>1050</v>
      </c>
      <c r="K118" s="2139">
        <v>4699</v>
      </c>
      <c r="L118" s="2072" t="s">
        <v>1046</v>
      </c>
      <c r="M118" s="2072" t="s">
        <v>1047</v>
      </c>
      <c r="N118" s="2072" t="s">
        <v>1007</v>
      </c>
      <c r="O118" s="2077">
        <v>24500000</v>
      </c>
      <c r="P118" s="2138">
        <f t="shared" si="5"/>
        <v>5213.8752926154502</v>
      </c>
      <c r="Q118" s="1785"/>
      <c r="R118" s="1785"/>
    </row>
    <row r="119" spans="1:18">
      <c r="A119" s="1777"/>
      <c r="B119" s="1777"/>
      <c r="C119" s="1777"/>
      <c r="D119" s="1777"/>
      <c r="E119" s="1777"/>
      <c r="F119" s="1777"/>
      <c r="G119" s="1777"/>
      <c r="H119" s="1785"/>
      <c r="I119" s="1785"/>
      <c r="J119" s="2113" t="s">
        <v>1051</v>
      </c>
      <c r="K119" s="2139">
        <v>4649</v>
      </c>
      <c r="L119" s="2072" t="s">
        <v>1052</v>
      </c>
      <c r="M119" s="2072" t="s">
        <v>1047</v>
      </c>
      <c r="N119" s="2072"/>
      <c r="O119" s="2077">
        <v>21000000</v>
      </c>
      <c r="P119" s="2138">
        <f t="shared" si="5"/>
        <v>4517.1004517100455</v>
      </c>
      <c r="Q119" s="1785"/>
      <c r="R119" s="1785"/>
    </row>
    <row r="120" spans="1:18">
      <c r="A120" s="1777"/>
      <c r="B120" s="1777"/>
      <c r="C120" s="1777"/>
      <c r="D120" s="1777"/>
      <c r="E120" s="1777"/>
      <c r="F120" s="1777"/>
      <c r="G120" s="1777"/>
      <c r="H120" s="1785"/>
      <c r="I120" s="1785"/>
      <c r="J120" s="2113" t="s">
        <v>1053</v>
      </c>
      <c r="K120" s="2139">
        <v>4060</v>
      </c>
      <c r="L120" s="2072" t="s">
        <v>1054</v>
      </c>
      <c r="M120" s="2072" t="s">
        <v>1047</v>
      </c>
      <c r="N120" s="2072"/>
      <c r="O120" s="2077">
        <v>15500000</v>
      </c>
      <c r="P120" s="2138">
        <f t="shared" si="5"/>
        <v>3817.7339901477831</v>
      </c>
      <c r="Q120" s="1785"/>
      <c r="R120" s="1785"/>
    </row>
    <row r="121" spans="1:18">
      <c r="A121" s="1777"/>
      <c r="B121" s="1777"/>
      <c r="C121" s="1777"/>
      <c r="D121" s="1777"/>
      <c r="E121" s="1777"/>
      <c r="F121" s="1777"/>
      <c r="G121" s="1777"/>
      <c r="H121" s="1785"/>
      <c r="I121" s="1785"/>
      <c r="J121" s="2113" t="s">
        <v>1055</v>
      </c>
      <c r="K121" s="2139">
        <v>3751</v>
      </c>
      <c r="L121" s="2072" t="s">
        <v>1056</v>
      </c>
      <c r="M121" s="2072" t="s">
        <v>1003</v>
      </c>
      <c r="N121" s="2072" t="s">
        <v>1007</v>
      </c>
      <c r="O121" s="2077">
        <v>13500000</v>
      </c>
      <c r="P121" s="2138">
        <f t="shared" si="5"/>
        <v>3599.0402559317517</v>
      </c>
      <c r="Q121" s="1785"/>
      <c r="R121" s="1785"/>
    </row>
    <row r="122" spans="1:18">
      <c r="A122" s="1777"/>
      <c r="B122" s="1777"/>
      <c r="C122" s="1777"/>
      <c r="D122" s="1777"/>
      <c r="E122" s="1777"/>
      <c r="F122" s="1777"/>
      <c r="G122" s="1777"/>
      <c r="H122" s="1785"/>
      <c r="I122" s="1785"/>
      <c r="J122" s="2113" t="s">
        <v>1057</v>
      </c>
      <c r="K122" s="2139">
        <v>2284</v>
      </c>
      <c r="L122" s="2072" t="s">
        <v>1058</v>
      </c>
      <c r="M122" s="2072" t="s">
        <v>1023</v>
      </c>
      <c r="N122" s="2072" t="s">
        <v>1007</v>
      </c>
      <c r="O122" s="2077">
        <v>9900000</v>
      </c>
      <c r="P122" s="2138">
        <f t="shared" si="5"/>
        <v>4334.5008756567422</v>
      </c>
      <c r="Q122" s="1785"/>
      <c r="R122" s="1785"/>
    </row>
    <row r="123" spans="1:18">
      <c r="A123" s="1777"/>
      <c r="B123" s="1777"/>
      <c r="C123" s="1777"/>
      <c r="D123" s="1777"/>
      <c r="E123" s="1777"/>
      <c r="F123" s="1777"/>
      <c r="G123" s="1777"/>
      <c r="H123" s="1785"/>
      <c r="I123" s="1785"/>
      <c r="J123" s="2113" t="s">
        <v>1059</v>
      </c>
      <c r="K123" s="2139">
        <v>2821</v>
      </c>
      <c r="L123" s="2072" t="s">
        <v>1060</v>
      </c>
      <c r="M123" s="2072" t="s">
        <v>1003</v>
      </c>
      <c r="N123" s="2072"/>
      <c r="O123" s="2077">
        <v>9850000</v>
      </c>
      <c r="P123" s="2138">
        <f t="shared" si="5"/>
        <v>3491.6696207018786</v>
      </c>
      <c r="Q123" s="1785"/>
      <c r="R123" s="1785"/>
    </row>
    <row r="124" spans="1:18">
      <c r="A124" s="1777"/>
      <c r="B124" s="1777"/>
      <c r="C124" s="1777"/>
      <c r="D124" s="1777"/>
      <c r="E124" s="1777"/>
      <c r="F124" s="1777"/>
      <c r="G124" s="1777"/>
      <c r="H124" s="1785"/>
      <c r="I124" s="1785"/>
      <c r="J124" s="2113" t="s">
        <v>1061</v>
      </c>
      <c r="K124" s="2139">
        <v>2385</v>
      </c>
      <c r="L124" s="2072" t="s">
        <v>1002</v>
      </c>
      <c r="M124" s="2072" t="s">
        <v>1023</v>
      </c>
      <c r="N124" s="2072" t="s">
        <v>1007</v>
      </c>
      <c r="O124" s="2077">
        <v>9600000</v>
      </c>
      <c r="P124" s="2138">
        <f t="shared" si="5"/>
        <v>4025.1572327044023</v>
      </c>
      <c r="Q124" s="1785"/>
      <c r="R124" s="1785"/>
    </row>
    <row r="125" spans="1:18">
      <c r="A125" s="1777"/>
      <c r="B125" s="1777"/>
      <c r="C125" s="1777"/>
      <c r="D125" s="1777"/>
      <c r="E125" s="1777"/>
      <c r="F125" s="1777"/>
      <c r="G125" s="1777"/>
      <c r="H125" s="1785"/>
      <c r="I125" s="1785"/>
      <c r="J125" s="2113" t="s">
        <v>1062</v>
      </c>
      <c r="K125" s="2139">
        <v>2325</v>
      </c>
      <c r="L125" s="2072" t="s">
        <v>1063</v>
      </c>
      <c r="M125" s="2072" t="s">
        <v>1023</v>
      </c>
      <c r="N125" s="2072" t="s">
        <v>1007</v>
      </c>
      <c r="O125" s="2077">
        <v>9400000</v>
      </c>
      <c r="P125" s="2138">
        <f t="shared" si="5"/>
        <v>4043.010752688172</v>
      </c>
      <c r="Q125" s="1785"/>
      <c r="R125" s="1785"/>
    </row>
    <row r="126" spans="1:18">
      <c r="A126" s="1777"/>
      <c r="B126" s="1777"/>
      <c r="C126" s="1777"/>
      <c r="D126" s="1777"/>
      <c r="E126" s="1777"/>
      <c r="F126" s="1777"/>
      <c r="G126" s="1777"/>
      <c r="H126" s="1785"/>
      <c r="I126" s="1785"/>
      <c r="J126" s="2113" t="s">
        <v>1064</v>
      </c>
      <c r="K126" s="2139">
        <v>2224</v>
      </c>
      <c r="L126" s="2072" t="s">
        <v>1063</v>
      </c>
      <c r="M126" s="2072" t="s">
        <v>1023</v>
      </c>
      <c r="N126" s="2072" t="s">
        <v>1007</v>
      </c>
      <c r="O126" s="2077">
        <v>9300000</v>
      </c>
      <c r="P126" s="2138">
        <f t="shared" si="5"/>
        <v>4181.6546762589924</v>
      </c>
      <c r="Q126" s="1785"/>
      <c r="R126" s="1785"/>
    </row>
    <row r="127" spans="1:18">
      <c r="A127" s="1777"/>
      <c r="B127" s="1777"/>
      <c r="C127" s="1777"/>
      <c r="D127" s="1777"/>
      <c r="E127" s="1777"/>
      <c r="F127" s="1777"/>
      <c r="G127" s="1777"/>
      <c r="H127" s="1785"/>
      <c r="I127" s="1785"/>
      <c r="J127" s="2113" t="s">
        <v>1065</v>
      </c>
      <c r="K127" s="2139">
        <v>1995</v>
      </c>
      <c r="L127" s="2072" t="s">
        <v>1063</v>
      </c>
      <c r="M127" s="2072" t="s">
        <v>1031</v>
      </c>
      <c r="N127" s="2072" t="s">
        <v>1007</v>
      </c>
      <c r="O127" s="2077">
        <v>9000000</v>
      </c>
      <c r="P127" s="2138">
        <f t="shared" si="5"/>
        <v>4511.2781954887214</v>
      </c>
      <c r="Q127" s="1785"/>
      <c r="R127" s="1785"/>
    </row>
    <row r="128" spans="1:18">
      <c r="A128" s="1777"/>
      <c r="B128" s="1777"/>
      <c r="C128" s="1777"/>
      <c r="D128" s="1777"/>
      <c r="E128" s="1777"/>
      <c r="F128" s="1777"/>
      <c r="G128" s="1777"/>
      <c r="H128" s="1785"/>
      <c r="I128" s="1785"/>
      <c r="J128" s="2113" t="s">
        <v>1066</v>
      </c>
      <c r="K128" s="2139">
        <v>2350</v>
      </c>
      <c r="L128" s="2072" t="s">
        <v>1067</v>
      </c>
      <c r="M128" s="2072" t="s">
        <v>1023</v>
      </c>
      <c r="N128" s="2072" t="s">
        <v>1007</v>
      </c>
      <c r="O128" s="2077">
        <v>9000000</v>
      </c>
      <c r="P128" s="2138">
        <f t="shared" si="5"/>
        <v>3829.7872340425533</v>
      </c>
      <c r="Q128" s="1785"/>
      <c r="R128" s="1785"/>
    </row>
    <row r="129" spans="1:18">
      <c r="A129" s="1777"/>
      <c r="B129" s="1777"/>
      <c r="C129" s="1777"/>
      <c r="D129" s="1777"/>
      <c r="E129" s="1777"/>
      <c r="F129" s="1777"/>
      <c r="G129" s="1777"/>
      <c r="H129" s="1785"/>
      <c r="I129" s="1785"/>
      <c r="J129" s="2113" t="s">
        <v>1068</v>
      </c>
      <c r="K129" s="2139">
        <v>1975</v>
      </c>
      <c r="L129" s="2072" t="s">
        <v>1069</v>
      </c>
      <c r="M129" s="2072" t="s">
        <v>1031</v>
      </c>
      <c r="N129" s="2072" t="s">
        <v>1007</v>
      </c>
      <c r="O129" s="2077">
        <v>8950000</v>
      </c>
      <c r="P129" s="2138">
        <f t="shared" si="5"/>
        <v>4531.6455696202529</v>
      </c>
      <c r="Q129" s="1785"/>
      <c r="R129" s="1785"/>
    </row>
    <row r="130" spans="1:18">
      <c r="A130" s="1777"/>
      <c r="B130" s="1777"/>
      <c r="C130" s="1777"/>
      <c r="D130" s="1777"/>
      <c r="E130" s="1777"/>
      <c r="F130" s="1777"/>
      <c r="G130" s="1777"/>
      <c r="H130" s="1785"/>
      <c r="I130" s="1785"/>
      <c r="J130" s="2113" t="s">
        <v>1070</v>
      </c>
      <c r="K130" s="2139">
        <v>2334</v>
      </c>
      <c r="L130" s="2072" t="s">
        <v>1063</v>
      </c>
      <c r="M130" s="2072" t="s">
        <v>1023</v>
      </c>
      <c r="N130" s="2072"/>
      <c r="O130" s="2077">
        <v>8900000</v>
      </c>
      <c r="P130" s="2138">
        <f t="shared" si="5"/>
        <v>3813.1962296486718</v>
      </c>
      <c r="Q130" s="1785"/>
      <c r="R130" s="1785"/>
    </row>
    <row r="131" spans="1:18">
      <c r="A131" s="1777"/>
      <c r="B131" s="1777"/>
      <c r="C131" s="1777"/>
      <c r="D131" s="1777"/>
      <c r="E131" s="1777"/>
      <c r="F131" s="1777"/>
      <c r="G131" s="1777"/>
      <c r="H131" s="1785"/>
      <c r="I131" s="1785"/>
      <c r="J131" s="2113" t="s">
        <v>1071</v>
      </c>
      <c r="K131" s="2139">
        <v>2104</v>
      </c>
      <c r="L131" s="2072" t="s">
        <v>1017</v>
      </c>
      <c r="M131" s="2072" t="s">
        <v>1031</v>
      </c>
      <c r="N131" s="2072" t="s">
        <v>1007</v>
      </c>
      <c r="O131" s="2077">
        <v>8900000</v>
      </c>
      <c r="P131" s="2138">
        <f t="shared" si="5"/>
        <v>4230.0380228136883</v>
      </c>
      <c r="Q131" s="1785"/>
      <c r="R131" s="1785"/>
    </row>
    <row r="132" spans="1:18">
      <c r="A132" s="1777"/>
      <c r="B132" s="1777"/>
      <c r="C132" s="1777"/>
      <c r="D132" s="1777"/>
      <c r="E132" s="1777"/>
      <c r="F132" s="1777"/>
      <c r="G132" s="1777"/>
      <c r="H132" s="1785"/>
      <c r="I132" s="1785"/>
      <c r="J132" s="2113" t="s">
        <v>1072</v>
      </c>
      <c r="K132" s="2139">
        <v>2380</v>
      </c>
      <c r="L132" s="2072" t="s">
        <v>1067</v>
      </c>
      <c r="M132" s="2072" t="s">
        <v>1023</v>
      </c>
      <c r="N132" s="2072" t="s">
        <v>1007</v>
      </c>
      <c r="O132" s="2077">
        <v>8800000</v>
      </c>
      <c r="P132" s="2138">
        <f t="shared" si="5"/>
        <v>3697.4789915966385</v>
      </c>
      <c r="Q132" s="1785"/>
      <c r="R132" s="1785"/>
    </row>
    <row r="133" spans="1:18">
      <c r="A133" s="1777"/>
      <c r="B133" s="1777"/>
      <c r="C133" s="1777"/>
      <c r="D133" s="1777"/>
      <c r="E133" s="1777"/>
      <c r="F133" s="1777"/>
      <c r="G133" s="1777"/>
      <c r="H133" s="1785"/>
      <c r="I133" s="1785"/>
      <c r="J133" s="2113" t="s">
        <v>1073</v>
      </c>
      <c r="K133" s="2139">
        <v>2380</v>
      </c>
      <c r="L133" s="2072" t="s">
        <v>1063</v>
      </c>
      <c r="M133" s="2072" t="s">
        <v>1023</v>
      </c>
      <c r="N133" s="2072" t="s">
        <v>1007</v>
      </c>
      <c r="O133" s="2077">
        <v>8700000</v>
      </c>
      <c r="P133" s="2138">
        <f t="shared" si="5"/>
        <v>3655.4621848739494</v>
      </c>
      <c r="Q133" s="1785"/>
      <c r="R133" s="1785"/>
    </row>
    <row r="134" spans="1:18">
      <c r="A134" s="1777"/>
      <c r="B134" s="1777"/>
      <c r="C134" s="1777"/>
      <c r="D134" s="1777"/>
      <c r="E134" s="1777"/>
      <c r="F134" s="1777"/>
      <c r="G134" s="1777"/>
      <c r="H134" s="1785"/>
      <c r="I134" s="1785"/>
      <c r="J134" s="2113" t="s">
        <v>1074</v>
      </c>
      <c r="K134" s="2139">
        <v>2443</v>
      </c>
      <c r="L134" s="2072" t="s">
        <v>1063</v>
      </c>
      <c r="M134" s="2072" t="s">
        <v>1023</v>
      </c>
      <c r="N134" s="2072"/>
      <c r="O134" s="2077">
        <v>8700000</v>
      </c>
      <c r="P134" s="2138">
        <f t="shared" si="5"/>
        <v>3561.1952517396644</v>
      </c>
      <c r="Q134" s="1785"/>
      <c r="R134" s="1785"/>
    </row>
    <row r="135" spans="1:18">
      <c r="A135" s="1777"/>
      <c r="B135" s="1777"/>
      <c r="C135" s="1777"/>
      <c r="D135" s="1777"/>
      <c r="E135" s="1777"/>
      <c r="F135" s="1777"/>
      <c r="G135" s="1777"/>
      <c r="H135" s="1785"/>
      <c r="I135" s="1785"/>
      <c r="J135" s="2113" t="s">
        <v>1075</v>
      </c>
      <c r="K135" s="2139">
        <v>2084</v>
      </c>
      <c r="L135" s="2072" t="s">
        <v>1017</v>
      </c>
      <c r="M135" s="2072" t="s">
        <v>1031</v>
      </c>
      <c r="N135" s="2072" t="s">
        <v>1007</v>
      </c>
      <c r="O135" s="2077">
        <v>8700000</v>
      </c>
      <c r="P135" s="2138">
        <f t="shared" si="5"/>
        <v>4174.6641074856043</v>
      </c>
      <c r="Q135" s="1785"/>
      <c r="R135" s="1785"/>
    </row>
    <row r="136" spans="1:18">
      <c r="A136" s="1777"/>
      <c r="B136" s="1777"/>
      <c r="C136" s="1777"/>
      <c r="D136" s="1777"/>
      <c r="E136" s="1777"/>
      <c r="F136" s="1777"/>
      <c r="G136" s="1777"/>
      <c r="H136" s="1785"/>
      <c r="I136" s="1785"/>
      <c r="J136" s="2113" t="s">
        <v>1076</v>
      </c>
      <c r="K136" s="2139">
        <v>2371</v>
      </c>
      <c r="L136" s="2072" t="s">
        <v>1063</v>
      </c>
      <c r="M136" s="2072" t="s">
        <v>1023</v>
      </c>
      <c r="N136" s="2072" t="s">
        <v>1007</v>
      </c>
      <c r="O136" s="2077">
        <v>8600000</v>
      </c>
      <c r="P136" s="2138">
        <f t="shared" si="5"/>
        <v>3627.161535217208</v>
      </c>
      <c r="Q136" s="1785"/>
      <c r="R136" s="1785"/>
    </row>
    <row r="137" spans="1:18">
      <c r="A137" s="1777"/>
      <c r="B137" s="1777"/>
      <c r="C137" s="1777"/>
      <c r="D137" s="1777"/>
      <c r="E137" s="1777"/>
      <c r="F137" s="1777"/>
      <c r="G137" s="1777"/>
      <c r="H137" s="1785"/>
      <c r="I137" s="1785"/>
      <c r="J137" s="2113" t="s">
        <v>1077</v>
      </c>
      <c r="K137" s="2139">
        <v>2380</v>
      </c>
      <c r="L137" s="2072" t="s">
        <v>1063</v>
      </c>
      <c r="M137" s="2072" t="s">
        <v>1023</v>
      </c>
      <c r="N137" s="2072" t="s">
        <v>1007</v>
      </c>
      <c r="O137" s="2077">
        <v>8600000</v>
      </c>
      <c r="P137" s="2138">
        <f t="shared" si="5"/>
        <v>3613.4453781512607</v>
      </c>
      <c r="Q137" s="1785"/>
      <c r="R137" s="1785"/>
    </row>
    <row r="138" spans="1:18">
      <c r="A138" s="1777"/>
      <c r="B138" s="1777"/>
      <c r="C138" s="1777"/>
      <c r="D138" s="1777"/>
      <c r="E138" s="1777"/>
      <c r="F138" s="1777"/>
      <c r="G138" s="1777"/>
      <c r="H138" s="1785"/>
      <c r="I138" s="1785"/>
      <c r="J138" s="2113" t="s">
        <v>1078</v>
      </c>
      <c r="K138" s="2139">
        <v>2507</v>
      </c>
      <c r="L138" s="2072" t="s">
        <v>1067</v>
      </c>
      <c r="M138" s="2072" t="s">
        <v>1023</v>
      </c>
      <c r="N138" s="2072" t="s">
        <v>1007</v>
      </c>
      <c r="O138" s="2077">
        <v>8550000</v>
      </c>
      <c r="P138" s="2138">
        <f t="shared" si="5"/>
        <v>3410.4507379337856</v>
      </c>
      <c r="Q138" s="1785"/>
      <c r="R138" s="1785"/>
    </row>
    <row r="139" spans="1:18">
      <c r="A139" s="1777"/>
      <c r="B139" s="1777"/>
      <c r="C139" s="1777"/>
      <c r="D139" s="1777"/>
      <c r="E139" s="1777"/>
      <c r="F139" s="1777"/>
      <c r="G139" s="1777"/>
      <c r="H139" s="1785"/>
      <c r="I139" s="1785"/>
      <c r="J139" s="2113" t="s">
        <v>1079</v>
      </c>
      <c r="K139" s="2139">
        <v>2443</v>
      </c>
      <c r="L139" s="2072" t="s">
        <v>1058</v>
      </c>
      <c r="M139" s="2072" t="s">
        <v>1023</v>
      </c>
      <c r="N139" s="2072" t="s">
        <v>1007</v>
      </c>
      <c r="O139" s="2077">
        <v>8000000</v>
      </c>
      <c r="P139" s="2138">
        <f t="shared" si="5"/>
        <v>3274.6623004502662</v>
      </c>
      <c r="Q139" s="1785"/>
      <c r="R139" s="1785"/>
    </row>
    <row r="140" spans="1:18">
      <c r="A140" s="1777"/>
      <c r="B140" s="1777"/>
      <c r="C140" s="1777"/>
      <c r="D140" s="1777"/>
      <c r="E140" s="1777"/>
      <c r="F140" s="1777"/>
      <c r="G140" s="1777"/>
      <c r="H140" s="1785"/>
      <c r="I140" s="1785"/>
      <c r="J140" s="2113" t="s">
        <v>1080</v>
      </c>
      <c r="K140" s="2139">
        <v>2380</v>
      </c>
      <c r="L140" s="2072" t="s">
        <v>1063</v>
      </c>
      <c r="M140" s="2072" t="s">
        <v>1023</v>
      </c>
      <c r="N140" s="2072"/>
      <c r="O140" s="2077">
        <v>7600000</v>
      </c>
      <c r="P140" s="2138">
        <f t="shared" si="5"/>
        <v>3193.2773109243699</v>
      </c>
      <c r="Q140" s="1785"/>
      <c r="R140" s="1785"/>
    </row>
    <row r="141" spans="1:18">
      <c r="A141" s="1777"/>
      <c r="B141" s="1777"/>
      <c r="C141" s="1777"/>
      <c r="D141" s="1777"/>
      <c r="E141" s="1777"/>
      <c r="F141" s="1777"/>
      <c r="G141" s="1777"/>
      <c r="H141" s="1785"/>
      <c r="I141" s="1785"/>
      <c r="J141" s="2113" t="s">
        <v>1081</v>
      </c>
      <c r="K141" s="2139">
        <v>1351</v>
      </c>
      <c r="L141" s="2072" t="s">
        <v>1019</v>
      </c>
      <c r="M141" s="2072" t="s">
        <v>929</v>
      </c>
      <c r="N141" s="2072" t="s">
        <v>1007</v>
      </c>
      <c r="O141" s="2077">
        <v>5200000</v>
      </c>
      <c r="P141" s="2138">
        <f t="shared" si="5"/>
        <v>3849.0007401924499</v>
      </c>
      <c r="Q141" s="1785"/>
      <c r="R141" s="1785"/>
    </row>
    <row r="142" spans="1:18">
      <c r="A142" s="1777"/>
      <c r="B142" s="1777"/>
      <c r="C142" s="1777"/>
      <c r="D142" s="1777"/>
      <c r="E142" s="1777"/>
      <c r="F142" s="1777"/>
      <c r="G142" s="1777"/>
      <c r="H142" s="1785"/>
      <c r="I142" s="1785"/>
      <c r="J142" s="2113" t="s">
        <v>1082</v>
      </c>
      <c r="K142" s="2139">
        <v>1336</v>
      </c>
      <c r="L142" s="2072" t="s">
        <v>1019</v>
      </c>
      <c r="M142" s="2072" t="s">
        <v>929</v>
      </c>
      <c r="N142" s="2072" t="s">
        <v>1007</v>
      </c>
      <c r="O142" s="2077">
        <v>5000000</v>
      </c>
      <c r="P142" s="2138">
        <f t="shared" si="5"/>
        <v>3742.5149700598804</v>
      </c>
      <c r="Q142" s="1785"/>
      <c r="R142" s="1785"/>
    </row>
    <row r="143" spans="1:18">
      <c r="A143" s="1777"/>
      <c r="B143" s="1777"/>
      <c r="C143" s="1777"/>
      <c r="D143" s="1777"/>
      <c r="E143" s="1777"/>
      <c r="F143" s="1777"/>
      <c r="G143" s="1777"/>
      <c r="H143" s="1785"/>
      <c r="I143" s="1785"/>
      <c r="J143" s="2113" t="s">
        <v>1083</v>
      </c>
      <c r="K143" s="2139">
        <v>1434</v>
      </c>
      <c r="L143" s="2072" t="s">
        <v>1019</v>
      </c>
      <c r="M143" s="2072" t="s">
        <v>1031</v>
      </c>
      <c r="N143" s="2072" t="s">
        <v>1007</v>
      </c>
      <c r="O143" s="2077">
        <v>4950000</v>
      </c>
      <c r="P143" s="2138">
        <f t="shared" si="5"/>
        <v>3451.8828451882846</v>
      </c>
      <c r="Q143" s="1785"/>
      <c r="R143" s="1785"/>
    </row>
    <row r="144" spans="1:18">
      <c r="A144" s="1777"/>
      <c r="B144" s="1777"/>
      <c r="C144" s="1777"/>
      <c r="D144" s="1777"/>
      <c r="E144" s="1777"/>
      <c r="F144" s="1777"/>
      <c r="G144" s="1777"/>
      <c r="H144" s="1785"/>
      <c r="I144" s="1785"/>
      <c r="J144" s="2113" t="s">
        <v>1084</v>
      </c>
      <c r="K144" s="2139">
        <v>1434</v>
      </c>
      <c r="L144" s="2072" t="s">
        <v>1030</v>
      </c>
      <c r="M144" s="2072" t="s">
        <v>1031</v>
      </c>
      <c r="N144" s="2072" t="s">
        <v>1007</v>
      </c>
      <c r="O144" s="2077">
        <v>4950000</v>
      </c>
      <c r="P144" s="2138">
        <f t="shared" si="5"/>
        <v>3451.8828451882846</v>
      </c>
      <c r="Q144" s="1785"/>
      <c r="R144" s="1785"/>
    </row>
    <row r="145" spans="1:18">
      <c r="A145" s="1777"/>
      <c r="B145" s="1777"/>
      <c r="C145" s="1777"/>
      <c r="D145" s="1777"/>
      <c r="E145" s="1777"/>
      <c r="F145" s="1777"/>
      <c r="G145" s="1777"/>
      <c r="H145" s="1785"/>
      <c r="I145" s="1785"/>
      <c r="J145" s="2113" t="s">
        <v>1085</v>
      </c>
      <c r="K145" s="2139">
        <v>1428</v>
      </c>
      <c r="L145" s="2072" t="s">
        <v>1086</v>
      </c>
      <c r="M145" s="2072" t="s">
        <v>1031</v>
      </c>
      <c r="N145" s="2072" t="s">
        <v>1007</v>
      </c>
      <c r="O145" s="2077">
        <v>4950000</v>
      </c>
      <c r="P145" s="2138">
        <f t="shared" si="5"/>
        <v>3466.3865546218485</v>
      </c>
      <c r="Q145" s="1785"/>
      <c r="R145" s="1785"/>
    </row>
    <row r="146" spans="1:18">
      <c r="A146" s="1777"/>
      <c r="B146" s="1777"/>
      <c r="C146" s="1777"/>
      <c r="D146" s="1777"/>
      <c r="E146" s="1777"/>
      <c r="F146" s="1777"/>
      <c r="G146" s="1777"/>
      <c r="H146" s="1785"/>
      <c r="I146" s="1785"/>
      <c r="J146" s="2113" t="s">
        <v>1087</v>
      </c>
      <c r="K146" s="2139">
        <v>1428</v>
      </c>
      <c r="L146" s="2072" t="s">
        <v>1019</v>
      </c>
      <c r="M146" s="2072" t="s">
        <v>1031</v>
      </c>
      <c r="N146" s="2072" t="s">
        <v>1007</v>
      </c>
      <c r="O146" s="2077">
        <v>4950000</v>
      </c>
      <c r="P146" s="2138">
        <f t="shared" si="5"/>
        <v>3466.3865546218485</v>
      </c>
      <c r="Q146" s="1785"/>
      <c r="R146" s="1785"/>
    </row>
    <row r="147" spans="1:18">
      <c r="A147" s="1777"/>
      <c r="B147" s="1777"/>
      <c r="C147" s="1777"/>
      <c r="D147" s="1777"/>
      <c r="E147" s="1777"/>
      <c r="F147" s="1777"/>
      <c r="G147" s="1777"/>
      <c r="H147" s="1785"/>
      <c r="I147" s="1785"/>
      <c r="J147" s="2113" t="s">
        <v>1088</v>
      </c>
      <c r="K147" s="2139">
        <v>1434</v>
      </c>
      <c r="L147" s="2072" t="s">
        <v>1030</v>
      </c>
      <c r="M147" s="2072" t="s">
        <v>1031</v>
      </c>
      <c r="N147" s="2072" t="s">
        <v>1007</v>
      </c>
      <c r="O147" s="2077">
        <v>4850000</v>
      </c>
      <c r="P147" s="2138">
        <f t="shared" si="5"/>
        <v>3382.1478382147839</v>
      </c>
      <c r="Q147" s="1785"/>
      <c r="R147" s="1785"/>
    </row>
    <row r="148" spans="1:18">
      <c r="A148" s="1777"/>
      <c r="B148" s="1777"/>
      <c r="C148" s="1777"/>
      <c r="D148" s="1777"/>
      <c r="E148" s="1777"/>
      <c r="F148" s="1777"/>
      <c r="G148" s="1777"/>
      <c r="H148" s="1785"/>
      <c r="I148" s="1785"/>
      <c r="J148" s="2113" t="s">
        <v>1089</v>
      </c>
      <c r="K148" s="2139">
        <v>1434</v>
      </c>
      <c r="L148" s="2072" t="s">
        <v>1030</v>
      </c>
      <c r="M148" s="2072" t="s">
        <v>1031</v>
      </c>
      <c r="N148" s="2072" t="s">
        <v>1007</v>
      </c>
      <c r="O148" s="2077">
        <v>4850000</v>
      </c>
      <c r="P148" s="2138">
        <f t="shared" si="5"/>
        <v>3382.1478382147839</v>
      </c>
      <c r="Q148" s="1785"/>
      <c r="R148" s="1785"/>
    </row>
    <row r="149" spans="1:18">
      <c r="A149" s="1777"/>
      <c r="B149" s="1777"/>
      <c r="C149" s="1777"/>
      <c r="D149" s="1777"/>
      <c r="E149" s="1777"/>
      <c r="F149" s="1777"/>
      <c r="G149" s="1777"/>
      <c r="H149" s="1785"/>
      <c r="I149" s="1785"/>
      <c r="J149" s="2113" t="s">
        <v>1090</v>
      </c>
      <c r="K149" s="2139">
        <v>1434</v>
      </c>
      <c r="L149" s="2072" t="s">
        <v>1030</v>
      </c>
      <c r="M149" s="2072" t="s">
        <v>1031</v>
      </c>
      <c r="N149" s="2072" t="s">
        <v>1007</v>
      </c>
      <c r="O149" s="2077">
        <v>4750000</v>
      </c>
      <c r="P149" s="2138">
        <f t="shared" si="5"/>
        <v>3312.4128312412831</v>
      </c>
      <c r="Q149" s="1785"/>
      <c r="R149" s="1785"/>
    </row>
    <row r="150" spans="1:18">
      <c r="A150" s="1777"/>
      <c r="B150" s="1777"/>
      <c r="C150" s="1777"/>
      <c r="D150" s="1777"/>
      <c r="E150" s="1777"/>
      <c r="F150" s="1777"/>
      <c r="G150" s="1777"/>
      <c r="H150" s="1785"/>
      <c r="I150" s="1785"/>
      <c r="J150" s="2113" t="s">
        <v>1091</v>
      </c>
      <c r="K150" s="2139">
        <v>1428</v>
      </c>
      <c r="L150" s="2072" t="s">
        <v>1030</v>
      </c>
      <c r="M150" s="2072" t="s">
        <v>1031</v>
      </c>
      <c r="N150" s="2072" t="s">
        <v>1007</v>
      </c>
      <c r="O150" s="2077">
        <v>4750000</v>
      </c>
      <c r="P150" s="2138">
        <f t="shared" si="5"/>
        <v>3326.3305322128854</v>
      </c>
      <c r="Q150" s="1785"/>
      <c r="R150" s="1785"/>
    </row>
    <row r="151" spans="1:18">
      <c r="A151" s="1777"/>
      <c r="B151" s="1777"/>
      <c r="C151" s="1777"/>
      <c r="D151" s="1777"/>
      <c r="E151" s="1777"/>
      <c r="F151" s="1777"/>
      <c r="G151" s="1777"/>
      <c r="H151" s="1785"/>
      <c r="I151" s="1785"/>
      <c r="J151" s="2113" t="s">
        <v>1092</v>
      </c>
      <c r="K151" s="2139">
        <v>1428</v>
      </c>
      <c r="L151" s="2072" t="s">
        <v>1086</v>
      </c>
      <c r="M151" s="2072" t="s">
        <v>1031</v>
      </c>
      <c r="N151" s="2072" t="s">
        <v>1007</v>
      </c>
      <c r="O151" s="2077">
        <v>4650000</v>
      </c>
      <c r="P151" s="2138">
        <f t="shared" si="5"/>
        <v>3256.3025210084033</v>
      </c>
      <c r="Q151" s="1785"/>
      <c r="R151" s="1785"/>
    </row>
    <row r="152" spans="1:18">
      <c r="A152" s="1777"/>
      <c r="B152" s="1777"/>
      <c r="C152" s="1777"/>
      <c r="D152" s="1777"/>
      <c r="E152" s="1777"/>
      <c r="F152" s="1777"/>
      <c r="G152" s="1777"/>
      <c r="H152" s="1785"/>
      <c r="I152" s="1785"/>
      <c r="J152" s="2113" t="s">
        <v>1093</v>
      </c>
      <c r="K152" s="2139">
        <v>1428</v>
      </c>
      <c r="L152" s="2072" t="s">
        <v>1030</v>
      </c>
      <c r="M152" s="2072" t="s">
        <v>1031</v>
      </c>
      <c r="N152" s="2072" t="s">
        <v>1007</v>
      </c>
      <c r="O152" s="2077">
        <v>4550000</v>
      </c>
      <c r="P152" s="2138">
        <f t="shared" si="5"/>
        <v>3186.2745098039218</v>
      </c>
      <c r="Q152" s="1785"/>
      <c r="R152" s="1785"/>
    </row>
    <row r="153" spans="1:18">
      <c r="A153" s="1777"/>
      <c r="B153" s="1777"/>
      <c r="C153" s="1777"/>
      <c r="D153" s="1777"/>
      <c r="E153" s="1777"/>
      <c r="F153" s="1777"/>
      <c r="G153" s="1777"/>
      <c r="H153" s="1785"/>
      <c r="I153" s="1785"/>
      <c r="J153" s="2113" t="s">
        <v>1094</v>
      </c>
      <c r="K153" s="2139">
        <v>1434</v>
      </c>
      <c r="L153" s="2072" t="s">
        <v>1030</v>
      </c>
      <c r="M153" s="2072" t="s">
        <v>1031</v>
      </c>
      <c r="N153" s="2072" t="s">
        <v>1007</v>
      </c>
      <c r="O153" s="2077">
        <v>4550000</v>
      </c>
      <c r="P153" s="2138">
        <f t="shared" si="5"/>
        <v>3172.9428172942817</v>
      </c>
      <c r="Q153" s="1785"/>
      <c r="R153" s="1785"/>
    </row>
    <row r="154" spans="1:18">
      <c r="A154" s="1777"/>
      <c r="B154" s="1777"/>
      <c r="C154" s="1777"/>
      <c r="D154" s="1777"/>
      <c r="E154" s="1777"/>
      <c r="F154" s="1777"/>
      <c r="G154" s="1777"/>
      <c r="H154" s="1785"/>
      <c r="I154" s="1785"/>
      <c r="J154" s="2113" t="s">
        <v>1095</v>
      </c>
      <c r="K154" s="2139">
        <v>1434</v>
      </c>
      <c r="L154" s="2072" t="s">
        <v>1030</v>
      </c>
      <c r="M154" s="2072" t="s">
        <v>1031</v>
      </c>
      <c r="N154" s="2072" t="s">
        <v>1007</v>
      </c>
      <c r="O154" s="2077">
        <v>4550000</v>
      </c>
      <c r="P154" s="2138">
        <f t="shared" si="5"/>
        <v>3172.9428172942817</v>
      </c>
      <c r="Q154" s="1785"/>
      <c r="R154" s="1785"/>
    </row>
    <row r="155" spans="1:18">
      <c r="A155" s="1777"/>
      <c r="B155" s="1777"/>
      <c r="C155" s="1777"/>
      <c r="D155" s="1777"/>
      <c r="E155" s="1777"/>
      <c r="F155" s="1777"/>
      <c r="G155" s="1777"/>
      <c r="H155" s="1785"/>
      <c r="I155" s="1785"/>
      <c r="J155" s="2113" t="s">
        <v>1096</v>
      </c>
      <c r="K155" s="2139">
        <v>1428</v>
      </c>
      <c r="L155" s="2072" t="s">
        <v>1086</v>
      </c>
      <c r="M155" s="2072" t="s">
        <v>1031</v>
      </c>
      <c r="N155" s="2072" t="s">
        <v>1007</v>
      </c>
      <c r="O155" s="2077">
        <v>4550000</v>
      </c>
      <c r="P155" s="2138">
        <f t="shared" si="5"/>
        <v>3186.2745098039218</v>
      </c>
      <c r="Q155" s="1785"/>
      <c r="R155" s="1785"/>
    </row>
    <row r="156" spans="1:18">
      <c r="A156" s="1777"/>
      <c r="B156" s="1777"/>
      <c r="C156" s="1777"/>
      <c r="D156" s="1777"/>
      <c r="E156" s="1777"/>
      <c r="F156" s="1777"/>
      <c r="G156" s="1777"/>
      <c r="H156" s="1785"/>
      <c r="I156" s="1785"/>
      <c r="J156" s="2113" t="s">
        <v>1097</v>
      </c>
      <c r="K156" s="2139">
        <v>1434</v>
      </c>
      <c r="L156" s="2072" t="s">
        <v>1030</v>
      </c>
      <c r="M156" s="2072" t="s">
        <v>1031</v>
      </c>
      <c r="N156" s="2072" t="s">
        <v>1007</v>
      </c>
      <c r="O156" s="2077">
        <v>4550000</v>
      </c>
      <c r="P156" s="2138">
        <f t="shared" si="5"/>
        <v>3172.9428172942817</v>
      </c>
      <c r="Q156" s="1785"/>
      <c r="R156" s="1785"/>
    </row>
    <row r="157" spans="1:18">
      <c r="A157" s="1777"/>
      <c r="B157" s="1777"/>
      <c r="C157" s="1777"/>
      <c r="D157" s="1777"/>
      <c r="E157" s="1777"/>
      <c r="F157" s="1777"/>
      <c r="G157" s="1777"/>
      <c r="H157" s="1785"/>
      <c r="I157" s="1785"/>
      <c r="J157" s="2113" t="s">
        <v>1098</v>
      </c>
      <c r="K157" s="2139">
        <v>1428</v>
      </c>
      <c r="L157" s="2072" t="s">
        <v>1030</v>
      </c>
      <c r="M157" s="2072" t="s">
        <v>1031</v>
      </c>
      <c r="N157" s="2072" t="s">
        <v>1007</v>
      </c>
      <c r="O157" s="2077">
        <v>4450000</v>
      </c>
      <c r="P157" s="2138">
        <f t="shared" si="5"/>
        <v>3116.2464985994397</v>
      </c>
      <c r="Q157" s="1785"/>
      <c r="R157" s="1785"/>
    </row>
    <row r="158" spans="1:18">
      <c r="A158" s="1777"/>
      <c r="B158" s="1777"/>
      <c r="C158" s="1777"/>
      <c r="D158" s="1777"/>
      <c r="E158" s="1777"/>
      <c r="F158" s="1777"/>
      <c r="G158" s="1777"/>
      <c r="H158" s="1785"/>
      <c r="I158" s="1785"/>
      <c r="J158" s="2113" t="s">
        <v>1099</v>
      </c>
      <c r="K158" s="2139">
        <v>1434</v>
      </c>
      <c r="L158" s="2072" t="s">
        <v>1019</v>
      </c>
      <c r="M158" s="2072" t="s">
        <v>1031</v>
      </c>
      <c r="N158" s="2072" t="s">
        <v>1007</v>
      </c>
      <c r="O158" s="2077">
        <v>4350000</v>
      </c>
      <c r="P158" s="2138">
        <f t="shared" si="5"/>
        <v>3033.4728033472802</v>
      </c>
      <c r="Q158" s="1785"/>
      <c r="R158" s="1785"/>
    </row>
    <row r="159" spans="1:18">
      <c r="A159" s="1777"/>
      <c r="B159" s="1777"/>
      <c r="C159" s="1777"/>
      <c r="D159" s="1777"/>
      <c r="E159" s="1777"/>
      <c r="F159" s="1777"/>
      <c r="G159" s="1777"/>
      <c r="H159" s="1785"/>
      <c r="I159" s="1785"/>
      <c r="J159" s="2113" t="s">
        <v>1100</v>
      </c>
      <c r="K159" s="2139">
        <v>1193</v>
      </c>
      <c r="L159" s="2072" t="s">
        <v>1019</v>
      </c>
      <c r="M159" s="2072" t="s">
        <v>929</v>
      </c>
      <c r="N159" s="2072" t="s">
        <v>1007</v>
      </c>
      <c r="O159" s="2077">
        <v>3250000</v>
      </c>
      <c r="P159" s="2138">
        <f t="shared" si="5"/>
        <v>2724.224643755239</v>
      </c>
      <c r="Q159" s="1785"/>
      <c r="R159" s="1785"/>
    </row>
    <row r="160" spans="1:18">
      <c r="A160" s="1777"/>
      <c r="B160" s="1777"/>
      <c r="C160" s="1777"/>
      <c r="D160" s="1777"/>
      <c r="E160" s="1777"/>
      <c r="F160" s="1777"/>
      <c r="G160" s="1777"/>
      <c r="H160" s="1785"/>
      <c r="I160" s="1785"/>
      <c r="J160" s="2113" t="s">
        <v>1101</v>
      </c>
      <c r="K160" s="2139">
        <v>1193</v>
      </c>
      <c r="L160" s="2072" t="s">
        <v>1019</v>
      </c>
      <c r="M160" s="2072" t="s">
        <v>929</v>
      </c>
      <c r="N160" s="2072" t="s">
        <v>1007</v>
      </c>
      <c r="O160" s="2077">
        <v>3200000</v>
      </c>
      <c r="P160" s="2138">
        <f t="shared" si="5"/>
        <v>2682.3134953897738</v>
      </c>
      <c r="Q160" s="1785"/>
      <c r="R160" s="1785"/>
    </row>
    <row r="161" spans="1:18">
      <c r="A161" s="1777"/>
      <c r="B161" s="1777"/>
      <c r="C161" s="1777"/>
      <c r="D161" s="1777"/>
      <c r="E161" s="1777"/>
      <c r="F161" s="1777"/>
      <c r="G161" s="1777"/>
      <c r="H161" s="1785"/>
      <c r="I161" s="1785"/>
      <c r="J161" s="2113" t="s">
        <v>1102</v>
      </c>
      <c r="K161" s="2139">
        <v>1193</v>
      </c>
      <c r="L161" s="2072" t="s">
        <v>1019</v>
      </c>
      <c r="M161" s="2072" t="s">
        <v>929</v>
      </c>
      <c r="N161" s="2072" t="s">
        <v>1007</v>
      </c>
      <c r="O161" s="2077">
        <v>3200000</v>
      </c>
      <c r="P161" s="2138">
        <f t="shared" si="5"/>
        <v>2682.3134953897738</v>
      </c>
      <c r="Q161" s="1785"/>
      <c r="R161" s="1785"/>
    </row>
    <row r="162" spans="1:18">
      <c r="A162" s="1777"/>
      <c r="B162" s="1777"/>
      <c r="C162" s="1777"/>
      <c r="D162" s="1777"/>
      <c r="E162" s="1777"/>
      <c r="F162" s="1777"/>
      <c r="G162" s="1777"/>
      <c r="H162" s="1785"/>
      <c r="I162" s="1785"/>
      <c r="J162" s="2113" t="s">
        <v>1103</v>
      </c>
      <c r="K162" s="2139">
        <v>1125</v>
      </c>
      <c r="L162" s="2072" t="s">
        <v>1019</v>
      </c>
      <c r="M162" s="2072" t="s">
        <v>929</v>
      </c>
      <c r="N162" s="2072" t="s">
        <v>1007</v>
      </c>
      <c r="O162" s="2077">
        <v>2950000</v>
      </c>
      <c r="P162" s="2138">
        <f t="shared" si="5"/>
        <v>2622.2222222222222</v>
      </c>
      <c r="Q162" s="1785"/>
      <c r="R162" s="1785"/>
    </row>
    <row r="163" spans="1:18">
      <c r="A163" s="1777"/>
      <c r="B163" s="1777"/>
      <c r="C163" s="1777"/>
      <c r="D163" s="1777"/>
      <c r="E163" s="1777"/>
      <c r="F163" s="1777"/>
      <c r="G163" s="1777"/>
      <c r="H163" s="1785"/>
      <c r="I163" s="1785"/>
      <c r="J163" s="2113" t="s">
        <v>1104</v>
      </c>
      <c r="K163" s="2139">
        <v>1125</v>
      </c>
      <c r="L163" s="2072" t="s">
        <v>1019</v>
      </c>
      <c r="M163" s="2072" t="s">
        <v>929</v>
      </c>
      <c r="N163" s="2072" t="s">
        <v>1007</v>
      </c>
      <c r="O163" s="2077">
        <v>2900000</v>
      </c>
      <c r="P163" s="2138">
        <f t="shared" si="5"/>
        <v>2577.7777777777778</v>
      </c>
      <c r="Q163" s="1785"/>
      <c r="R163" s="1785"/>
    </row>
    <row r="164" spans="1:18">
      <c r="A164" s="1777"/>
      <c r="B164" s="1777"/>
      <c r="C164" s="1777"/>
      <c r="D164" s="1777"/>
      <c r="E164" s="1777"/>
      <c r="F164" s="1777"/>
      <c r="G164" s="1777"/>
      <c r="H164" s="1785"/>
      <c r="I164" s="1785"/>
      <c r="J164" s="2113"/>
      <c r="K164" s="2072"/>
      <c r="L164" s="2072"/>
      <c r="M164" s="2072"/>
      <c r="N164" s="2072"/>
      <c r="O164" s="2077"/>
      <c r="P164" s="2114"/>
      <c r="Q164" s="1785"/>
      <c r="R164" s="1785"/>
    </row>
    <row r="165" spans="1:18">
      <c r="A165" s="1777"/>
      <c r="B165" s="1777"/>
      <c r="C165" s="1777"/>
      <c r="D165" s="1777"/>
      <c r="E165" s="1777"/>
      <c r="F165" s="1777"/>
      <c r="G165" s="1777"/>
      <c r="H165" s="1785"/>
      <c r="I165" s="1785"/>
      <c r="J165" s="2130" t="s">
        <v>1114</v>
      </c>
      <c r="K165" s="2131"/>
      <c r="L165" s="2131"/>
      <c r="M165" s="2131"/>
      <c r="N165" s="2131"/>
      <c r="O165" s="2132"/>
      <c r="P165" s="2133">
        <f>SUM(O114:O164)/SUM(K114:K164)</f>
        <v>4397.9935901715962</v>
      </c>
      <c r="Q165" s="1785"/>
      <c r="R165" s="1785"/>
    </row>
    <row r="166" spans="1:18">
      <c r="A166" s="1777"/>
      <c r="B166" s="1777"/>
      <c r="C166" s="1777"/>
      <c r="D166" s="1777"/>
      <c r="E166" s="1777"/>
      <c r="F166" s="1777"/>
      <c r="G166" s="1777"/>
      <c r="H166" s="1785"/>
      <c r="I166" s="1785"/>
      <c r="J166" s="2134" t="s">
        <v>996</v>
      </c>
      <c r="K166" s="2135"/>
      <c r="L166" s="2135"/>
      <c r="M166" s="2135"/>
      <c r="N166" s="2135"/>
      <c r="O166" s="2136"/>
      <c r="P166" s="2081">
        <f>MEDIAN(P114:P164)</f>
        <v>3526.4324362207717</v>
      </c>
      <c r="Q166" s="1785"/>
      <c r="R166" s="1785"/>
    </row>
    <row r="167" spans="1:18">
      <c r="A167" s="1777"/>
      <c r="B167" s="1777"/>
      <c r="C167" s="1777"/>
      <c r="D167" s="1777"/>
      <c r="E167" s="1777"/>
      <c r="F167" s="1777"/>
      <c r="G167" s="1777"/>
      <c r="H167" s="1785"/>
      <c r="I167" s="1785"/>
      <c r="J167" s="2127"/>
      <c r="K167" s="2128"/>
      <c r="L167" s="2128"/>
      <c r="M167" s="2128"/>
      <c r="N167" s="2128"/>
      <c r="O167" s="2129"/>
      <c r="P167" s="1785"/>
      <c r="Q167" s="1785"/>
      <c r="R167" s="1785"/>
    </row>
    <row r="168" spans="1:18">
      <c r="A168" s="1777"/>
      <c r="B168" s="1777"/>
      <c r="C168" s="1777"/>
      <c r="D168" s="1777"/>
      <c r="E168" s="1777"/>
      <c r="F168" s="1777"/>
      <c r="G168" s="1777"/>
      <c r="H168" s="1785"/>
      <c r="I168" s="1785"/>
      <c r="J168" s="2124" t="s">
        <v>1034</v>
      </c>
      <c r="K168" s="2126" t="s">
        <v>921</v>
      </c>
      <c r="L168" s="2126" t="s">
        <v>922</v>
      </c>
      <c r="M168" s="2126" t="s">
        <v>923</v>
      </c>
      <c r="N168" s="2126" t="s">
        <v>1683</v>
      </c>
      <c r="O168" s="2125" t="s">
        <v>1035</v>
      </c>
      <c r="P168" s="2120" t="s">
        <v>1036</v>
      </c>
      <c r="Q168" s="1785"/>
      <c r="R168" s="1785"/>
    </row>
    <row r="169" spans="1:18">
      <c r="A169" s="1777"/>
      <c r="B169" s="1777"/>
      <c r="C169" s="1777"/>
      <c r="D169" s="1777"/>
      <c r="E169" s="1777"/>
      <c r="F169" s="1777"/>
      <c r="G169" s="1777"/>
      <c r="H169" s="1785"/>
      <c r="I169" s="1785"/>
      <c r="J169" s="2113" t="s">
        <v>1106</v>
      </c>
      <c r="K169" s="2139">
        <v>4075</v>
      </c>
      <c r="L169" s="2072" t="s">
        <v>1002</v>
      </c>
      <c r="M169" s="2072" t="s">
        <v>1003</v>
      </c>
      <c r="N169" s="2072"/>
      <c r="O169" s="2077">
        <v>10450000</v>
      </c>
      <c r="P169" s="2138">
        <f t="shared" ref="P169:P175" si="6">+O169/K169</f>
        <v>2564.4171779141107</v>
      </c>
      <c r="Q169" s="1785"/>
      <c r="R169" s="1785"/>
    </row>
    <row r="170" spans="1:18">
      <c r="A170" s="1777"/>
      <c r="B170" s="1777"/>
      <c r="C170" s="1777"/>
      <c r="D170" s="1777"/>
      <c r="E170" s="1777"/>
      <c r="F170" s="1777"/>
      <c r="G170" s="1777"/>
      <c r="H170" s="1785"/>
      <c r="I170" s="1785"/>
      <c r="J170" s="2113" t="s">
        <v>1107</v>
      </c>
      <c r="K170" s="2139">
        <v>3303</v>
      </c>
      <c r="L170" s="2072" t="s">
        <v>1017</v>
      </c>
      <c r="M170" s="2072" t="s">
        <v>1023</v>
      </c>
      <c r="N170" s="2072"/>
      <c r="O170" s="2077">
        <v>9950000</v>
      </c>
      <c r="P170" s="2138">
        <f t="shared" si="6"/>
        <v>3012.4129579170453</v>
      </c>
      <c r="Q170" s="1785"/>
      <c r="R170" s="1785"/>
    </row>
    <row r="171" spans="1:18">
      <c r="A171" s="1777"/>
      <c r="B171" s="1777"/>
      <c r="C171" s="1777"/>
      <c r="D171" s="1777"/>
      <c r="E171" s="1777"/>
      <c r="F171" s="1777"/>
      <c r="G171" s="1777"/>
      <c r="H171" s="1785"/>
      <c r="I171" s="1785"/>
      <c r="J171" s="2113" t="s">
        <v>1108</v>
      </c>
      <c r="K171" s="2139">
        <v>1700</v>
      </c>
      <c r="L171" s="2072" t="s">
        <v>1019</v>
      </c>
      <c r="M171" s="2072" t="s">
        <v>929</v>
      </c>
      <c r="N171" s="2072"/>
      <c r="O171" s="2077">
        <v>3500000</v>
      </c>
      <c r="P171" s="2138">
        <f t="shared" si="6"/>
        <v>2058.8235294117649</v>
      </c>
      <c r="Q171" s="1785"/>
      <c r="R171" s="1785"/>
    </row>
    <row r="172" spans="1:18">
      <c r="A172" s="1777"/>
      <c r="B172" s="1777"/>
      <c r="C172" s="1777"/>
      <c r="D172" s="1777"/>
      <c r="E172" s="1777"/>
      <c r="F172" s="1777"/>
      <c r="G172" s="1777"/>
      <c r="H172" s="1785"/>
      <c r="I172" s="1785"/>
      <c r="J172" s="2113" t="s">
        <v>1109</v>
      </c>
      <c r="K172" s="2139">
        <v>1340</v>
      </c>
      <c r="L172" s="2072" t="s">
        <v>1110</v>
      </c>
      <c r="M172" s="2072" t="s">
        <v>929</v>
      </c>
      <c r="N172" s="2072"/>
      <c r="O172" s="2077">
        <v>2395000</v>
      </c>
      <c r="P172" s="2138">
        <f t="shared" si="6"/>
        <v>1787.313432835821</v>
      </c>
      <c r="Q172" s="1785"/>
      <c r="R172" s="1785"/>
    </row>
    <row r="173" spans="1:18">
      <c r="A173" s="1777"/>
      <c r="B173" s="1777"/>
      <c r="C173" s="1777"/>
      <c r="D173" s="1777"/>
      <c r="E173" s="1777"/>
      <c r="F173" s="1777"/>
      <c r="G173" s="1777"/>
      <c r="H173" s="1785"/>
      <c r="I173" s="1785"/>
      <c r="J173" s="2113" t="s">
        <v>1111</v>
      </c>
      <c r="K173" s="2139">
        <v>1238</v>
      </c>
      <c r="L173" s="2072" t="s">
        <v>1110</v>
      </c>
      <c r="M173" s="2072" t="s">
        <v>929</v>
      </c>
      <c r="N173" s="2072"/>
      <c r="O173" s="2077">
        <v>2395000</v>
      </c>
      <c r="P173" s="2138">
        <f t="shared" si="6"/>
        <v>1934.5718901453959</v>
      </c>
      <c r="Q173" s="1785"/>
      <c r="R173" s="1785"/>
    </row>
    <row r="174" spans="1:18">
      <c r="A174" s="1777"/>
      <c r="B174" s="1777"/>
      <c r="C174" s="1777"/>
      <c r="D174" s="1777"/>
      <c r="E174" s="1777"/>
      <c r="F174" s="1777"/>
      <c r="G174" s="1777"/>
      <c r="H174" s="1785"/>
      <c r="I174" s="1785"/>
      <c r="J174" s="2113" t="s">
        <v>1112</v>
      </c>
      <c r="K174" s="2139">
        <v>1238</v>
      </c>
      <c r="L174" s="2072" t="s">
        <v>1110</v>
      </c>
      <c r="M174" s="2072" t="s">
        <v>929</v>
      </c>
      <c r="N174" s="2072"/>
      <c r="O174" s="2077">
        <v>2200000</v>
      </c>
      <c r="P174" s="2138">
        <f t="shared" si="6"/>
        <v>1777.0597738287561</v>
      </c>
      <c r="Q174" s="1785"/>
      <c r="R174" s="1785"/>
    </row>
    <row r="175" spans="1:18">
      <c r="A175" s="1777"/>
      <c r="B175" s="1777"/>
      <c r="C175" s="1777"/>
      <c r="D175" s="1777"/>
      <c r="E175" s="1777"/>
      <c r="F175" s="1777"/>
      <c r="G175" s="1777"/>
      <c r="H175" s="1785"/>
      <c r="I175" s="1785"/>
      <c r="J175" s="2113" t="s">
        <v>1113</v>
      </c>
      <c r="K175" s="2139">
        <v>685</v>
      </c>
      <c r="L175" s="2072" t="s">
        <v>1033</v>
      </c>
      <c r="M175" s="2072" t="s">
        <v>932</v>
      </c>
      <c r="N175" s="2072"/>
      <c r="O175" s="2077">
        <v>1575000</v>
      </c>
      <c r="P175" s="2138">
        <f t="shared" si="6"/>
        <v>2299.2700729927005</v>
      </c>
      <c r="Q175" s="1785"/>
      <c r="R175" s="1785"/>
    </row>
    <row r="176" spans="1:18">
      <c r="A176" s="1777"/>
      <c r="B176" s="1777"/>
      <c r="C176" s="1777"/>
      <c r="D176" s="1777"/>
      <c r="E176" s="1777"/>
      <c r="F176" s="1777"/>
      <c r="G176" s="1777"/>
      <c r="H176" s="1785"/>
      <c r="I176" s="1785"/>
      <c r="J176" s="2113"/>
      <c r="K176" s="2139"/>
      <c r="L176" s="2072"/>
      <c r="M176" s="2072"/>
      <c r="N176" s="2072"/>
      <c r="O176" s="2077"/>
      <c r="P176" s="2138"/>
      <c r="Q176" s="1785"/>
      <c r="R176" s="1785"/>
    </row>
    <row r="177" spans="1:18">
      <c r="A177" s="1777"/>
      <c r="B177" s="1777"/>
      <c r="C177" s="1777"/>
      <c r="D177" s="1777"/>
      <c r="E177" s="1777"/>
      <c r="F177" s="1777"/>
      <c r="G177" s="1777"/>
      <c r="H177" s="1785"/>
      <c r="I177" s="1785"/>
      <c r="J177" s="2130" t="s">
        <v>979</v>
      </c>
      <c r="K177" s="2131"/>
      <c r="L177" s="2131"/>
      <c r="M177" s="2131"/>
      <c r="N177" s="2131"/>
      <c r="O177" s="2132"/>
      <c r="P177" s="2133">
        <f>SUM(O169:O176)/SUM(K169:K176)</f>
        <v>2390.8240665733852</v>
      </c>
      <c r="Q177" s="1785"/>
      <c r="R177" s="1785"/>
    </row>
    <row r="178" spans="1:18">
      <c r="A178" s="1777"/>
      <c r="B178" s="1777"/>
      <c r="C178" s="1777"/>
      <c r="D178" s="1777"/>
      <c r="E178" s="1777"/>
      <c r="F178" s="1777"/>
      <c r="G178" s="1777"/>
      <c r="H178" s="1785"/>
      <c r="I178" s="1785"/>
      <c r="J178" s="2134" t="s">
        <v>996</v>
      </c>
      <c r="K178" s="2135"/>
      <c r="L178" s="2135"/>
      <c r="M178" s="2135"/>
      <c r="N178" s="2135"/>
      <c r="O178" s="2136"/>
      <c r="P178" s="2081">
        <f>MEDIAN(P169:P176)</f>
        <v>2058.8235294117649</v>
      </c>
      <c r="Q178" s="1785"/>
      <c r="R178" s="1785"/>
    </row>
    <row r="179" spans="1:18">
      <c r="A179" s="1777"/>
      <c r="B179" s="1777"/>
      <c r="C179" s="1777"/>
      <c r="D179" s="1777"/>
      <c r="E179" s="1777"/>
      <c r="F179" s="1777"/>
      <c r="G179" s="1777"/>
      <c r="H179" s="1785"/>
      <c r="I179" s="1785"/>
      <c r="J179" s="2108"/>
      <c r="K179" s="2109"/>
      <c r="L179" s="2109"/>
      <c r="M179" s="2109"/>
      <c r="N179" s="2109"/>
      <c r="O179" s="2110"/>
      <c r="P179" s="1785"/>
      <c r="Q179" s="1785"/>
      <c r="R179" s="1785"/>
    </row>
    <row r="180" spans="1:18" ht="12.75" customHeight="1">
      <c r="A180" s="1777"/>
      <c r="B180" s="1777"/>
      <c r="C180" s="1777"/>
      <c r="D180" s="1777"/>
      <c r="E180" s="1777"/>
      <c r="F180" s="1777"/>
      <c r="G180" s="1777"/>
      <c r="H180" s="1785"/>
      <c r="I180" s="1785"/>
      <c r="J180" s="2124" t="s">
        <v>1034</v>
      </c>
      <c r="K180" s="2126" t="s">
        <v>921</v>
      </c>
      <c r="L180" s="2126" t="s">
        <v>922</v>
      </c>
      <c r="M180" s="2126" t="s">
        <v>923</v>
      </c>
      <c r="N180" s="2126" t="s">
        <v>1683</v>
      </c>
      <c r="O180" s="2125" t="s">
        <v>1035</v>
      </c>
      <c r="P180" s="2120" t="s">
        <v>1036</v>
      </c>
      <c r="Q180" s="1785"/>
      <c r="R180" s="1785"/>
    </row>
    <row r="181" spans="1:18" ht="12.75" customHeight="1">
      <c r="A181" s="1777"/>
      <c r="B181" s="1777"/>
      <c r="C181" s="1777"/>
      <c r="D181" s="1777"/>
      <c r="E181" s="1777"/>
      <c r="F181" s="1777"/>
      <c r="G181" s="1777"/>
      <c r="H181" s="1785"/>
      <c r="I181" s="1785"/>
      <c r="J181" s="2113" t="s">
        <v>1131</v>
      </c>
      <c r="K181" s="2139">
        <v>4476</v>
      </c>
      <c r="L181" s="2072" t="s">
        <v>1132</v>
      </c>
      <c r="M181" s="2072" t="s">
        <v>1047</v>
      </c>
      <c r="N181" s="2072"/>
      <c r="O181" s="2077">
        <v>20350000</v>
      </c>
      <c r="P181" s="2138">
        <f>O181/K181</f>
        <v>4546.4700625558535</v>
      </c>
      <c r="Q181" s="1785"/>
      <c r="R181" s="1785"/>
    </row>
    <row r="182" spans="1:18" ht="12.75" customHeight="1">
      <c r="A182" s="1777"/>
      <c r="B182" s="1777"/>
      <c r="C182" s="1777"/>
      <c r="D182" s="1777"/>
      <c r="E182" s="1777"/>
      <c r="F182" s="1777"/>
      <c r="G182" s="1777"/>
      <c r="H182" s="1785"/>
      <c r="I182" s="1785"/>
      <c r="J182" s="2113" t="s">
        <v>1133</v>
      </c>
      <c r="K182" s="2139">
        <v>4803</v>
      </c>
      <c r="L182" s="2072" t="s">
        <v>1134</v>
      </c>
      <c r="M182" s="2072" t="s">
        <v>1135</v>
      </c>
      <c r="N182" s="2072"/>
      <c r="O182" s="2077">
        <v>18500000</v>
      </c>
      <c r="P182" s="2138">
        <f>O182/K182</f>
        <v>3851.7593170934833</v>
      </c>
      <c r="Q182" s="1785"/>
      <c r="R182" s="1785"/>
    </row>
    <row r="183" spans="1:18" ht="12.75" customHeight="1">
      <c r="A183" s="1777"/>
      <c r="B183" s="1777"/>
      <c r="C183" s="1777"/>
      <c r="D183" s="1777"/>
      <c r="E183" s="1777"/>
      <c r="F183" s="1777"/>
      <c r="G183" s="1777"/>
      <c r="H183" s="1785"/>
      <c r="I183" s="1785"/>
      <c r="J183" s="2113" t="s">
        <v>1136</v>
      </c>
      <c r="K183" s="2139">
        <v>3558</v>
      </c>
      <c r="L183" s="2072" t="s">
        <v>1137</v>
      </c>
      <c r="M183" s="2072" t="s">
        <v>950</v>
      </c>
      <c r="N183" s="2072"/>
      <c r="O183" s="2077">
        <v>18500000</v>
      </c>
      <c r="P183" s="2138">
        <f>O183/K183</f>
        <v>5199.5503091624505</v>
      </c>
      <c r="Q183" s="1785"/>
      <c r="R183" s="1785"/>
    </row>
    <row r="184" spans="1:18" ht="12.75" customHeight="1">
      <c r="A184" s="1777"/>
      <c r="B184" s="1777"/>
      <c r="C184" s="1777"/>
      <c r="D184" s="1777"/>
      <c r="E184" s="1777"/>
      <c r="F184" s="1777"/>
      <c r="G184" s="1777"/>
      <c r="H184" s="1785"/>
      <c r="I184" s="1785"/>
      <c r="J184" s="2113" t="s">
        <v>1138</v>
      </c>
      <c r="K184" s="2139">
        <v>3709</v>
      </c>
      <c r="L184" s="2072" t="s">
        <v>1005</v>
      </c>
      <c r="M184" s="2072" t="s">
        <v>1015</v>
      </c>
      <c r="N184" s="2072" t="s">
        <v>1007</v>
      </c>
      <c r="O184" s="2077">
        <v>8650000</v>
      </c>
      <c r="P184" s="2138">
        <f>O184/K184</f>
        <v>2332.1650040442169</v>
      </c>
      <c r="Q184" s="1785"/>
      <c r="R184" s="1785"/>
    </row>
    <row r="185" spans="1:18">
      <c r="A185" s="1777"/>
      <c r="B185" s="1777"/>
      <c r="C185" s="1777"/>
      <c r="D185" s="1777"/>
      <c r="E185" s="1777"/>
      <c r="F185" s="1777"/>
      <c r="G185" s="1777"/>
      <c r="H185" s="1785"/>
      <c r="I185" s="1785"/>
      <c r="J185" s="2113"/>
      <c r="K185" s="2139"/>
      <c r="L185" s="2072"/>
      <c r="M185" s="2072"/>
      <c r="N185" s="2072"/>
      <c r="O185" s="2077"/>
      <c r="P185" s="2138"/>
      <c r="Q185" s="1785"/>
      <c r="R185" s="1785"/>
    </row>
    <row r="186" spans="1:18">
      <c r="A186" s="1777"/>
      <c r="B186" s="1777"/>
      <c r="C186" s="1777"/>
      <c r="D186" s="1777"/>
      <c r="E186" s="1777"/>
      <c r="F186" s="1777"/>
      <c r="G186" s="1777"/>
      <c r="H186" s="1785"/>
      <c r="I186" s="1785"/>
      <c r="J186" s="2130" t="s">
        <v>979</v>
      </c>
      <c r="K186" s="2131"/>
      <c r="L186" s="2131"/>
      <c r="M186" s="2131"/>
      <c r="N186" s="2131"/>
      <c r="O186" s="2132"/>
      <c r="P186" s="2133">
        <f>SUM(O181:O185)/SUM(K181:K185)</f>
        <v>3988.8794874894234</v>
      </c>
      <c r="Q186" s="1785"/>
      <c r="R186" s="1785"/>
    </row>
    <row r="187" spans="1:18">
      <c r="A187" s="1777"/>
      <c r="B187" s="1777"/>
      <c r="C187" s="1777"/>
      <c r="D187" s="1777"/>
      <c r="E187" s="1777"/>
      <c r="F187" s="1777"/>
      <c r="G187" s="1777"/>
      <c r="H187" s="1785"/>
      <c r="I187" s="1785"/>
      <c r="J187" s="2134" t="s">
        <v>996</v>
      </c>
      <c r="K187" s="2135"/>
      <c r="L187" s="2135"/>
      <c r="M187" s="2135"/>
      <c r="N187" s="2135"/>
      <c r="O187" s="2136"/>
      <c r="P187" s="2081">
        <f>MEDIAN(P181:P185)</f>
        <v>4199.1146898246679</v>
      </c>
      <c r="Q187" s="1785"/>
      <c r="R187" s="1785"/>
    </row>
    <row r="188" spans="1:18">
      <c r="A188" s="1777"/>
      <c r="B188" s="1777"/>
      <c r="C188" s="1777"/>
      <c r="D188" s="1777"/>
      <c r="E188" s="1777"/>
      <c r="F188" s="1777"/>
      <c r="G188" s="1777"/>
      <c r="H188" s="1785"/>
      <c r="I188" s="1785"/>
      <c r="J188" s="2108"/>
      <c r="K188" s="2109"/>
      <c r="L188" s="2109"/>
      <c r="M188" s="2109"/>
      <c r="N188" s="2109"/>
      <c r="O188" s="2110"/>
      <c r="P188" s="1785"/>
      <c r="Q188" s="1785"/>
      <c r="R188" s="1785"/>
    </row>
    <row r="189" spans="1:18" ht="12.75" customHeight="1">
      <c r="A189" s="1777"/>
      <c r="B189" s="1777"/>
      <c r="C189" s="1777"/>
      <c r="D189" s="1777"/>
      <c r="E189" s="1777"/>
      <c r="F189" s="1777"/>
      <c r="G189" s="1777"/>
      <c r="H189" s="1785"/>
      <c r="I189" s="1785"/>
      <c r="J189" s="2124" t="s">
        <v>1034</v>
      </c>
      <c r="K189" s="2126" t="s">
        <v>921</v>
      </c>
      <c r="L189" s="2126" t="s">
        <v>922</v>
      </c>
      <c r="M189" s="2126" t="s">
        <v>923</v>
      </c>
      <c r="N189" s="2126" t="s">
        <v>1683</v>
      </c>
      <c r="O189" s="2125" t="s">
        <v>1035</v>
      </c>
      <c r="P189" s="2120" t="s">
        <v>1036</v>
      </c>
      <c r="Q189" s="1785"/>
      <c r="R189" s="1785"/>
    </row>
    <row r="190" spans="1:18" ht="12.75" customHeight="1">
      <c r="A190" s="1777"/>
      <c r="B190" s="1777"/>
      <c r="C190" s="1777"/>
      <c r="D190" s="1777"/>
      <c r="E190" s="1777"/>
      <c r="F190" s="1777"/>
      <c r="G190" s="1777"/>
      <c r="H190" s="1785"/>
      <c r="I190" s="1785"/>
      <c r="J190" s="2113" t="s">
        <v>1141</v>
      </c>
      <c r="K190" s="2139">
        <v>8255</v>
      </c>
      <c r="L190" s="2139" t="s">
        <v>1142</v>
      </c>
      <c r="M190" s="2072" t="s">
        <v>1012</v>
      </c>
      <c r="N190" s="2072"/>
      <c r="O190" s="2077">
        <v>79500000</v>
      </c>
      <c r="P190" s="2138">
        <f t="shared" ref="P190:P195" si="7">O190/K190</f>
        <v>9630.5269533615992</v>
      </c>
      <c r="Q190" s="1785"/>
      <c r="R190" s="1785"/>
    </row>
    <row r="191" spans="1:18" ht="12.75" customHeight="1">
      <c r="A191" s="1777"/>
      <c r="B191" s="1777"/>
      <c r="C191" s="1777"/>
      <c r="D191" s="1777"/>
      <c r="E191" s="1777"/>
      <c r="F191" s="1777"/>
      <c r="G191" s="1777"/>
      <c r="H191" s="1785"/>
      <c r="I191" s="1785"/>
      <c r="J191" s="2113" t="s">
        <v>1143</v>
      </c>
      <c r="K191" s="2139">
        <v>8055</v>
      </c>
      <c r="L191" s="2139" t="s">
        <v>1009</v>
      </c>
      <c r="M191" s="2072" t="s">
        <v>1012</v>
      </c>
      <c r="N191" s="2072"/>
      <c r="O191" s="2077">
        <v>73500000</v>
      </c>
      <c r="P191" s="2138">
        <f t="shared" si="7"/>
        <v>9124.7672253258843</v>
      </c>
      <c r="Q191" s="1785"/>
      <c r="R191" s="1785"/>
    </row>
    <row r="192" spans="1:18" ht="12.75" customHeight="1">
      <c r="A192" s="1777"/>
      <c r="B192" s="1777"/>
      <c r="C192" s="1777"/>
      <c r="D192" s="1777"/>
      <c r="E192" s="1777"/>
      <c r="F192" s="1777"/>
      <c r="G192" s="1777"/>
      <c r="H192" s="1785"/>
      <c r="I192" s="1785"/>
      <c r="J192" s="2113" t="s">
        <v>1144</v>
      </c>
      <c r="K192" s="2139">
        <v>5421</v>
      </c>
      <c r="L192" s="2139" t="s">
        <v>1014</v>
      </c>
      <c r="M192" s="2072" t="s">
        <v>1145</v>
      </c>
      <c r="N192" s="2072"/>
      <c r="O192" s="2077">
        <v>44250000</v>
      </c>
      <c r="P192" s="2138">
        <f t="shared" si="7"/>
        <v>8162.700608743774</v>
      </c>
      <c r="Q192" s="1785"/>
      <c r="R192" s="1785"/>
    </row>
    <row r="193" spans="1:18" ht="12.75" customHeight="1">
      <c r="A193" s="1777"/>
      <c r="B193" s="1777"/>
      <c r="C193" s="1777"/>
      <c r="D193" s="1777"/>
      <c r="E193" s="1777"/>
      <c r="F193" s="1777"/>
      <c r="G193" s="1777"/>
      <c r="H193" s="1785"/>
      <c r="I193" s="1785"/>
      <c r="J193" s="2113" t="s">
        <v>1146</v>
      </c>
      <c r="K193" s="2139">
        <v>4019</v>
      </c>
      <c r="L193" s="2139" t="s">
        <v>1002</v>
      </c>
      <c r="M193" s="2072" t="s">
        <v>1003</v>
      </c>
      <c r="N193" s="2072"/>
      <c r="O193" s="2077">
        <v>30750000</v>
      </c>
      <c r="P193" s="2138">
        <f t="shared" si="7"/>
        <v>7651.1570042299081</v>
      </c>
      <c r="Q193" s="1785"/>
      <c r="R193" s="1785"/>
    </row>
    <row r="194" spans="1:18" ht="12.75" customHeight="1">
      <c r="A194" s="1777"/>
      <c r="B194" s="1777"/>
      <c r="C194" s="1777"/>
      <c r="D194" s="1777"/>
      <c r="E194" s="1777"/>
      <c r="F194" s="1777"/>
      <c r="G194" s="1777"/>
      <c r="H194" s="1785"/>
      <c r="I194" s="1785"/>
      <c r="J194" s="2113" t="s">
        <v>257</v>
      </c>
      <c r="K194" s="2139">
        <v>2633</v>
      </c>
      <c r="L194" s="2139" t="s">
        <v>258</v>
      </c>
      <c r="M194" s="2072" t="s">
        <v>950</v>
      </c>
      <c r="N194" s="2072"/>
      <c r="O194" s="2077">
        <v>21750000</v>
      </c>
      <c r="P194" s="2138">
        <f t="shared" si="7"/>
        <v>8260.5393087732627</v>
      </c>
      <c r="Q194" s="1785"/>
      <c r="R194" s="1785"/>
    </row>
    <row r="195" spans="1:18" ht="12.75" customHeight="1">
      <c r="A195" s="1777"/>
      <c r="B195" s="1777"/>
      <c r="C195" s="1777"/>
      <c r="D195" s="1777"/>
      <c r="E195" s="1777"/>
      <c r="F195" s="1777"/>
      <c r="G195" s="1777"/>
      <c r="H195" s="1785"/>
      <c r="I195" s="1785"/>
      <c r="J195" s="2113" t="s">
        <v>259</v>
      </c>
      <c r="K195" s="2139">
        <v>3575</v>
      </c>
      <c r="L195" s="2139" t="s">
        <v>1027</v>
      </c>
      <c r="M195" s="2072" t="s">
        <v>1023</v>
      </c>
      <c r="N195" s="2072"/>
      <c r="O195" s="2077">
        <v>17400000</v>
      </c>
      <c r="P195" s="2138">
        <f t="shared" si="7"/>
        <v>4867.1328671328674</v>
      </c>
      <c r="Q195" s="1785"/>
      <c r="R195" s="1785"/>
    </row>
    <row r="196" spans="1:18">
      <c r="A196" s="1777"/>
      <c r="B196" s="1777"/>
      <c r="C196" s="1777"/>
      <c r="D196" s="1777"/>
      <c r="E196" s="1777"/>
      <c r="F196" s="1777"/>
      <c r="G196" s="1777"/>
      <c r="H196" s="1785"/>
      <c r="I196" s="1785"/>
      <c r="J196" s="2113"/>
      <c r="K196" s="2139"/>
      <c r="L196" s="2072"/>
      <c r="M196" s="2072"/>
      <c r="N196" s="2072"/>
      <c r="O196" s="2077"/>
      <c r="P196" s="2138"/>
      <c r="Q196" s="1785"/>
      <c r="R196" s="1785"/>
    </row>
    <row r="197" spans="1:18">
      <c r="A197" s="1777"/>
      <c r="B197" s="1777"/>
      <c r="C197" s="1777"/>
      <c r="D197" s="1777"/>
      <c r="E197" s="1777"/>
      <c r="F197" s="1777"/>
      <c r="G197" s="1777"/>
      <c r="H197" s="1785"/>
      <c r="I197" s="1785"/>
      <c r="J197" s="2130" t="s">
        <v>979</v>
      </c>
      <c r="K197" s="2131"/>
      <c r="L197" s="2131"/>
      <c r="M197" s="2131"/>
      <c r="N197" s="2131"/>
      <c r="O197" s="2132"/>
      <c r="P197" s="2133">
        <f>SUM(O190:O196)/SUM(K190:K196)</f>
        <v>8359.4092246072978</v>
      </c>
      <c r="Q197" s="1785"/>
      <c r="R197" s="1785"/>
    </row>
    <row r="198" spans="1:18">
      <c r="A198" s="1777"/>
      <c r="B198" s="1777"/>
      <c r="C198" s="1777"/>
      <c r="D198" s="1777"/>
      <c r="E198" s="1777"/>
      <c r="F198" s="1777"/>
      <c r="G198" s="1777"/>
      <c r="H198" s="1785"/>
      <c r="I198" s="1785"/>
      <c r="J198" s="2134" t="s">
        <v>996</v>
      </c>
      <c r="K198" s="2135"/>
      <c r="L198" s="2135"/>
      <c r="M198" s="2135"/>
      <c r="N198" s="2135"/>
      <c r="O198" s="2136"/>
      <c r="P198" s="2081">
        <f>MEDIAN(P190:P196)</f>
        <v>8211.6199587585179</v>
      </c>
      <c r="Q198" s="1785"/>
      <c r="R198" s="1785"/>
    </row>
    <row r="199" spans="1:18">
      <c r="A199" s="1777"/>
      <c r="B199" s="1777"/>
      <c r="C199" s="1777"/>
      <c r="D199" s="1777"/>
      <c r="E199" s="1777"/>
      <c r="F199" s="1777"/>
      <c r="G199" s="1777"/>
      <c r="H199" s="1785"/>
      <c r="I199" s="1785"/>
      <c r="J199" s="2108"/>
      <c r="K199" s="2109"/>
      <c r="L199" s="2109"/>
      <c r="M199" s="2109"/>
      <c r="N199" s="2109"/>
      <c r="O199" s="2110"/>
      <c r="P199" s="1785"/>
      <c r="Q199" s="1785"/>
      <c r="R199" s="1785"/>
    </row>
    <row r="200" spans="1:18" ht="12.75" customHeight="1">
      <c r="A200" s="1777"/>
      <c r="B200" s="1777"/>
      <c r="C200" s="1777"/>
      <c r="D200" s="1777"/>
      <c r="E200" s="1777"/>
      <c r="F200" s="1777"/>
      <c r="G200" s="1777"/>
      <c r="H200" s="1785"/>
      <c r="I200" s="1785"/>
      <c r="J200" s="2124" t="s">
        <v>1034</v>
      </c>
      <c r="K200" s="2126" t="s">
        <v>921</v>
      </c>
      <c r="L200" s="2126" t="s">
        <v>922</v>
      </c>
      <c r="M200" s="2126" t="s">
        <v>923</v>
      </c>
      <c r="N200" s="2126" t="s">
        <v>1683</v>
      </c>
      <c r="O200" s="2125" t="s">
        <v>1035</v>
      </c>
      <c r="P200" s="2120" t="s">
        <v>1036</v>
      </c>
      <c r="Q200" s="1785"/>
      <c r="R200" s="1785"/>
    </row>
    <row r="201" spans="1:18" ht="12.75" customHeight="1">
      <c r="A201" s="1777"/>
      <c r="B201" s="1777"/>
      <c r="C201" s="1777"/>
      <c r="D201" s="1777"/>
      <c r="E201" s="1777"/>
      <c r="F201" s="1777"/>
      <c r="G201" s="1777"/>
      <c r="H201" s="1785"/>
      <c r="I201" s="1785"/>
      <c r="J201" s="2113" t="s">
        <v>263</v>
      </c>
      <c r="K201" s="2139">
        <v>5475</v>
      </c>
      <c r="L201" s="2139" t="s">
        <v>1005</v>
      </c>
      <c r="M201" s="2072" t="s">
        <v>1047</v>
      </c>
      <c r="N201" s="2072"/>
      <c r="O201" s="2077">
        <v>32750000</v>
      </c>
      <c r="P201" s="2138">
        <f>O201/K201</f>
        <v>5981.7351598173518</v>
      </c>
      <c r="Q201" s="1785"/>
      <c r="R201" s="1785"/>
    </row>
    <row r="202" spans="1:18" ht="12.75" customHeight="1">
      <c r="A202" s="1777"/>
      <c r="B202" s="1777"/>
      <c r="C202" s="1777"/>
      <c r="D202" s="1777"/>
      <c r="E202" s="1777"/>
      <c r="F202" s="1777"/>
      <c r="G202" s="1777"/>
      <c r="H202" s="1785"/>
      <c r="I202" s="1785"/>
      <c r="J202" s="2113" t="s">
        <v>264</v>
      </c>
      <c r="K202" s="2139">
        <v>4193</v>
      </c>
      <c r="L202" s="2139" t="s">
        <v>1017</v>
      </c>
      <c r="M202" s="2072" t="s">
        <v>1023</v>
      </c>
      <c r="N202" s="2072"/>
      <c r="O202" s="2077">
        <v>27000000</v>
      </c>
      <c r="P202" s="2138">
        <f>O202/K202</f>
        <v>6439.3036012401626</v>
      </c>
      <c r="Q202" s="1785"/>
      <c r="R202" s="1785"/>
    </row>
    <row r="203" spans="1:18" ht="12.75" customHeight="1">
      <c r="A203" s="1777"/>
      <c r="B203" s="1777"/>
      <c r="C203" s="1777"/>
      <c r="D203" s="1777"/>
      <c r="E203" s="1777"/>
      <c r="F203" s="1777"/>
      <c r="G203" s="1777"/>
      <c r="H203" s="1785"/>
      <c r="I203" s="1785"/>
      <c r="J203" s="2113" t="s">
        <v>265</v>
      </c>
      <c r="K203" s="2139">
        <v>3466</v>
      </c>
      <c r="L203" s="2139" t="s">
        <v>1014</v>
      </c>
      <c r="M203" s="2072" t="s">
        <v>1003</v>
      </c>
      <c r="N203" s="2072"/>
      <c r="O203" s="2077">
        <v>20900000</v>
      </c>
      <c r="P203" s="2138">
        <f>O203/K203</f>
        <v>6030.00577034045</v>
      </c>
      <c r="Q203" s="1785"/>
      <c r="R203" s="1785"/>
    </row>
    <row r="204" spans="1:18" ht="12.75" customHeight="1">
      <c r="A204" s="1777"/>
      <c r="B204" s="1777"/>
      <c r="C204" s="1777"/>
      <c r="D204" s="1777"/>
      <c r="E204" s="1777"/>
      <c r="F204" s="1777"/>
      <c r="G204" s="1777"/>
      <c r="H204" s="1785"/>
      <c r="I204" s="1785"/>
      <c r="J204" s="2113" t="s">
        <v>266</v>
      </c>
      <c r="K204" s="2139">
        <v>3228</v>
      </c>
      <c r="L204" s="2139" t="s">
        <v>1017</v>
      </c>
      <c r="M204" s="2072" t="s">
        <v>1023</v>
      </c>
      <c r="N204" s="2072"/>
      <c r="O204" s="2077">
        <v>18850000</v>
      </c>
      <c r="P204" s="2138">
        <f>O204/K204</f>
        <v>5839.5291201982654</v>
      </c>
      <c r="Q204" s="1785"/>
      <c r="R204" s="1785"/>
    </row>
    <row r="205" spans="1:18" ht="12.75" customHeight="1">
      <c r="A205" s="1777"/>
      <c r="B205" s="1777"/>
      <c r="C205" s="1777"/>
      <c r="D205" s="1777"/>
      <c r="E205" s="1777"/>
      <c r="F205" s="1777"/>
      <c r="G205" s="1777"/>
      <c r="H205" s="1785"/>
      <c r="I205" s="1785"/>
      <c r="J205" s="2113" t="s">
        <v>267</v>
      </c>
      <c r="K205" s="2139">
        <v>1000</v>
      </c>
      <c r="L205" s="2139" t="s">
        <v>268</v>
      </c>
      <c r="M205" s="2072" t="s">
        <v>269</v>
      </c>
      <c r="N205" s="2072"/>
      <c r="O205" s="2077">
        <v>6000000</v>
      </c>
      <c r="P205" s="2138">
        <f>O205/K205</f>
        <v>6000</v>
      </c>
      <c r="Q205" s="1785"/>
      <c r="R205" s="1785"/>
    </row>
    <row r="206" spans="1:18">
      <c r="A206" s="1777"/>
      <c r="B206" s="1777"/>
      <c r="C206" s="1777"/>
      <c r="D206" s="1777"/>
      <c r="E206" s="1777"/>
      <c r="F206" s="1777"/>
      <c r="G206" s="1777"/>
      <c r="H206" s="1785"/>
      <c r="I206" s="1785"/>
      <c r="J206" s="2113"/>
      <c r="K206" s="2139"/>
      <c r="L206" s="2072"/>
      <c r="M206" s="2072"/>
      <c r="N206" s="2072"/>
      <c r="O206" s="2077"/>
      <c r="P206" s="2138"/>
      <c r="Q206" s="1785"/>
      <c r="R206" s="1785"/>
    </row>
    <row r="207" spans="1:18">
      <c r="A207" s="1777"/>
      <c r="B207" s="1777"/>
      <c r="C207" s="1777"/>
      <c r="D207" s="1777"/>
      <c r="E207" s="1777"/>
      <c r="F207" s="1777"/>
      <c r="G207" s="1777"/>
      <c r="H207" s="1785"/>
      <c r="I207" s="1785"/>
      <c r="J207" s="2130" t="s">
        <v>979</v>
      </c>
      <c r="K207" s="2131"/>
      <c r="L207" s="2131"/>
      <c r="M207" s="2131"/>
      <c r="N207" s="2131"/>
      <c r="O207" s="2132"/>
      <c r="P207" s="2133">
        <f>SUM(O201:O206)/SUM(K201:K206)</f>
        <v>6076.4888837691515</v>
      </c>
      <c r="Q207" s="1785"/>
      <c r="R207" s="1785"/>
    </row>
    <row r="208" spans="1:18">
      <c r="A208" s="1777"/>
      <c r="B208" s="1777"/>
      <c r="C208" s="1777"/>
      <c r="D208" s="1777"/>
      <c r="E208" s="1777"/>
      <c r="F208" s="1777"/>
      <c r="G208" s="1777"/>
      <c r="H208" s="1785"/>
      <c r="I208" s="1785"/>
      <c r="J208" s="2134" t="s">
        <v>996</v>
      </c>
      <c r="K208" s="2135"/>
      <c r="L208" s="2135"/>
      <c r="M208" s="2135"/>
      <c r="N208" s="2135"/>
      <c r="O208" s="2136"/>
      <c r="P208" s="2081">
        <f>MEDIAN(P201:P206)</f>
        <v>6000</v>
      </c>
      <c r="Q208" s="1785"/>
      <c r="R208" s="1785"/>
    </row>
    <row r="209" spans="1:18">
      <c r="A209" s="1777"/>
      <c r="B209" s="1777"/>
      <c r="C209" s="1777"/>
      <c r="D209" s="1777"/>
      <c r="E209" s="1777"/>
      <c r="F209" s="1777"/>
      <c r="G209" s="1777"/>
      <c r="H209" s="1785"/>
      <c r="I209" s="1785"/>
      <c r="J209" s="2108"/>
      <c r="K209" s="2109"/>
      <c r="L209" s="2109"/>
      <c r="M209" s="2109"/>
      <c r="N209" s="2109"/>
      <c r="O209" s="2110"/>
      <c r="P209" s="1785"/>
      <c r="Q209" s="1785"/>
      <c r="R209" s="1785"/>
    </row>
    <row r="210" spans="1:18">
      <c r="A210" s="1777"/>
      <c r="B210" s="1777"/>
      <c r="C210" s="1777"/>
      <c r="D210" s="1777"/>
      <c r="E210" s="1777"/>
      <c r="F210" s="1777"/>
      <c r="G210" s="1777"/>
      <c r="H210" s="1785"/>
      <c r="I210" s="1785"/>
      <c r="J210" s="2243" t="s">
        <v>2244</v>
      </c>
      <c r="L210" s="2244"/>
      <c r="M210" s="2244"/>
      <c r="N210" s="2244"/>
      <c r="O210" s="2245"/>
      <c r="P210" s="1785"/>
      <c r="Q210" s="1785"/>
      <c r="R210" s="1785"/>
    </row>
    <row r="211" spans="1:18">
      <c r="A211" s="1777"/>
      <c r="B211" s="1777"/>
      <c r="C211" s="1777"/>
      <c r="D211" s="1777"/>
      <c r="E211" s="1777"/>
      <c r="F211" s="1777"/>
      <c r="G211" s="1777"/>
      <c r="H211" s="1785"/>
      <c r="I211" s="1785"/>
      <c r="J211" s="2124" t="s">
        <v>2245</v>
      </c>
      <c r="K211" s="2126" t="s">
        <v>921</v>
      </c>
      <c r="L211" s="2126" t="s">
        <v>922</v>
      </c>
      <c r="M211" s="2126" t="s">
        <v>923</v>
      </c>
      <c r="N211" s="2126" t="s">
        <v>1683</v>
      </c>
      <c r="O211" s="2125" t="s">
        <v>1035</v>
      </c>
      <c r="P211" s="2120" t="s">
        <v>1036</v>
      </c>
      <c r="Q211" s="1785"/>
      <c r="R211" s="1785"/>
    </row>
    <row r="212" spans="1:18">
      <c r="A212" s="1777"/>
      <c r="B212" s="1777"/>
      <c r="C212" s="1777"/>
      <c r="D212" s="1777"/>
      <c r="E212" s="1777"/>
      <c r="F212" s="1777"/>
      <c r="G212" s="1777"/>
      <c r="H212" s="1785"/>
      <c r="I212" s="1785"/>
      <c r="J212" s="2113" t="s">
        <v>2246</v>
      </c>
      <c r="K212" s="2246">
        <v>9799</v>
      </c>
      <c r="L212" s="2246" t="s">
        <v>2247</v>
      </c>
      <c r="M212" s="2247" t="s">
        <v>2248</v>
      </c>
      <c r="N212" s="2247"/>
      <c r="O212" s="2248">
        <v>60000000</v>
      </c>
      <c r="P212" s="2249">
        <f t="shared" ref="P212:P217" si="8">O212/K212</f>
        <v>6123.0737830390854</v>
      </c>
      <c r="Q212" s="1785"/>
      <c r="R212" s="1785"/>
    </row>
    <row r="213" spans="1:18">
      <c r="A213" s="1777"/>
      <c r="B213" s="1777"/>
      <c r="C213" s="1777"/>
      <c r="D213" s="1777"/>
      <c r="E213" s="1777"/>
      <c r="F213" s="1777"/>
      <c r="G213" s="1777"/>
      <c r="H213" s="1785"/>
      <c r="I213" s="1785"/>
      <c r="J213" s="2113" t="s">
        <v>2249</v>
      </c>
      <c r="K213" s="2246">
        <v>4788</v>
      </c>
      <c r="L213" s="2246" t="s">
        <v>2250</v>
      </c>
      <c r="M213" s="2247" t="s">
        <v>1145</v>
      </c>
      <c r="N213" s="2247"/>
      <c r="O213" s="2248">
        <v>17500000</v>
      </c>
      <c r="P213" s="2249">
        <f t="shared" si="8"/>
        <v>3654.9707602339181</v>
      </c>
      <c r="Q213" s="1785"/>
      <c r="R213" s="1785"/>
    </row>
    <row r="214" spans="1:18">
      <c r="A214" s="1777"/>
      <c r="B214" s="1777"/>
      <c r="C214" s="1777"/>
      <c r="D214" s="1777"/>
      <c r="E214" s="1777"/>
      <c r="F214" s="1777"/>
      <c r="G214" s="1777"/>
      <c r="H214" s="1785"/>
      <c r="I214" s="1785"/>
      <c r="J214" s="2113" t="s">
        <v>2251</v>
      </c>
      <c r="K214" s="2246">
        <v>3789</v>
      </c>
      <c r="L214" s="2246" t="s">
        <v>1014</v>
      </c>
      <c r="M214" s="2247" t="s">
        <v>1003</v>
      </c>
      <c r="N214" s="2247"/>
      <c r="O214" s="2248">
        <v>12000000</v>
      </c>
      <c r="P214" s="2249">
        <f t="shared" si="8"/>
        <v>3167.0625494853525</v>
      </c>
      <c r="Q214" s="1785"/>
      <c r="R214" s="1785"/>
    </row>
    <row r="215" spans="1:18">
      <c r="A215" s="1777"/>
      <c r="B215" s="1777"/>
      <c r="C215" s="1777"/>
      <c r="D215" s="1777"/>
      <c r="E215" s="1777"/>
      <c r="F215" s="1777"/>
      <c r="G215" s="1777"/>
      <c r="H215" s="1785"/>
      <c r="I215" s="1785"/>
      <c r="J215" s="2113" t="s">
        <v>2252</v>
      </c>
      <c r="K215" s="2246">
        <v>2815</v>
      </c>
      <c r="L215" s="2246" t="s">
        <v>1002</v>
      </c>
      <c r="M215" s="2247" t="s">
        <v>1023</v>
      </c>
      <c r="N215" s="2247"/>
      <c r="O215" s="2248">
        <v>8950000</v>
      </c>
      <c r="P215" s="2249">
        <f t="shared" si="8"/>
        <v>3179.3960923623445</v>
      </c>
      <c r="Q215" s="1785"/>
      <c r="R215" s="1785"/>
    </row>
    <row r="216" spans="1:18">
      <c r="A216" s="1777"/>
      <c r="B216" s="1777"/>
      <c r="C216" s="1777"/>
      <c r="D216" s="1777"/>
      <c r="E216" s="1777"/>
      <c r="F216" s="1777"/>
      <c r="G216" s="1777"/>
      <c r="H216" s="1785"/>
      <c r="I216" s="1785"/>
      <c r="J216" s="2113" t="s">
        <v>2253</v>
      </c>
      <c r="K216" s="2246">
        <v>2122</v>
      </c>
      <c r="L216" s="2246" t="s">
        <v>258</v>
      </c>
      <c r="M216" s="2247" t="s">
        <v>1023</v>
      </c>
      <c r="N216" s="2247"/>
      <c r="O216" s="2248">
        <v>6950000</v>
      </c>
      <c r="P216" s="2249">
        <f t="shared" si="8"/>
        <v>3275.2120640904805</v>
      </c>
      <c r="Q216" s="1785"/>
      <c r="R216" s="1785"/>
    </row>
    <row r="217" spans="1:18">
      <c r="A217" s="1777"/>
      <c r="B217" s="1777"/>
      <c r="C217" s="1777"/>
      <c r="D217" s="1777"/>
      <c r="E217" s="1777"/>
      <c r="F217" s="1777"/>
      <c r="G217" s="1777"/>
      <c r="H217" s="1785"/>
      <c r="I217" s="1785"/>
      <c r="J217" s="2113" t="s">
        <v>2254</v>
      </c>
      <c r="K217" s="2246">
        <v>2122</v>
      </c>
      <c r="L217" s="2246" t="s">
        <v>258</v>
      </c>
      <c r="M217" s="2247" t="s">
        <v>1023</v>
      </c>
      <c r="N217" s="2247"/>
      <c r="O217" s="2248">
        <v>6750000</v>
      </c>
      <c r="P217" s="2249">
        <f t="shared" si="8"/>
        <v>3180.9613572101789</v>
      </c>
      <c r="Q217" s="1785"/>
      <c r="R217" s="1785"/>
    </row>
    <row r="218" spans="1:18">
      <c r="A218" s="1777"/>
      <c r="B218" s="1777"/>
      <c r="C218" s="1777"/>
      <c r="D218" s="1777"/>
      <c r="E218" s="1777"/>
      <c r="F218" s="1777"/>
      <c r="G218" s="1777"/>
      <c r="H218" s="1785"/>
      <c r="I218" s="1785"/>
      <c r="J218" s="2113"/>
      <c r="K218" s="2246"/>
      <c r="L218" s="2247"/>
      <c r="M218" s="2247"/>
      <c r="N218" s="2247"/>
      <c r="O218" s="2248"/>
      <c r="P218" s="2249"/>
      <c r="Q218" s="1785"/>
      <c r="R218" s="1785"/>
    </row>
    <row r="219" spans="1:18">
      <c r="A219" s="1777"/>
      <c r="B219" s="1777"/>
      <c r="C219" s="1777"/>
      <c r="D219" s="1777"/>
      <c r="E219" s="1777"/>
      <c r="F219" s="1777"/>
      <c r="G219" s="1777"/>
      <c r="H219" s="1785"/>
      <c r="I219" s="1785"/>
      <c r="J219" s="2130" t="s">
        <v>979</v>
      </c>
      <c r="K219" s="2131"/>
      <c r="L219" s="2131"/>
      <c r="M219" s="2131"/>
      <c r="N219" s="2131"/>
      <c r="O219" s="2132"/>
      <c r="P219" s="2133">
        <f>SUM(O212:O218)/SUM(K212:K218)</f>
        <v>4409.2785531747595</v>
      </c>
      <c r="Q219" s="1785"/>
      <c r="R219" s="1785"/>
    </row>
    <row r="220" spans="1:18">
      <c r="A220" s="1777"/>
      <c r="B220" s="1777"/>
      <c r="C220" s="1777"/>
      <c r="D220" s="1777"/>
      <c r="E220" s="1777"/>
      <c r="F220" s="1777"/>
      <c r="G220" s="1777"/>
      <c r="H220" s="1785"/>
      <c r="I220" s="1785"/>
      <c r="J220" s="2134" t="s">
        <v>996</v>
      </c>
      <c r="K220" s="2135"/>
      <c r="L220" s="2135"/>
      <c r="M220" s="2135"/>
      <c r="N220" s="2135"/>
      <c r="O220" s="2136"/>
      <c r="P220" s="2081">
        <f>MEDIAN(P212:P218)</f>
        <v>3228.0867106503297</v>
      </c>
      <c r="Q220" s="1785"/>
      <c r="R220" s="1785"/>
    </row>
    <row r="221" spans="1:18">
      <c r="A221" s="1777"/>
      <c r="B221" s="1777"/>
      <c r="C221" s="1777"/>
      <c r="D221" s="1777"/>
      <c r="E221" s="1777"/>
      <c r="F221" s="1777"/>
      <c r="G221" s="1777"/>
      <c r="H221" s="1785"/>
      <c r="I221" s="1785"/>
      <c r="J221" s="2108"/>
      <c r="K221" s="2244"/>
      <c r="L221" s="2244"/>
      <c r="M221" s="2244"/>
      <c r="N221" s="2244"/>
      <c r="O221" s="2245"/>
      <c r="P221" s="1785"/>
      <c r="Q221" s="1785"/>
      <c r="R221" s="1785"/>
    </row>
    <row r="222" spans="1:18" ht="12.75" customHeight="1">
      <c r="A222" s="1777"/>
      <c r="B222" s="1777"/>
      <c r="C222" s="1777"/>
      <c r="D222" s="1777"/>
      <c r="E222" s="1777"/>
      <c r="F222" s="1777"/>
      <c r="G222" s="1777"/>
      <c r="H222" s="1785"/>
      <c r="I222" s="1785"/>
      <c r="J222" s="2124" t="s">
        <v>1034</v>
      </c>
      <c r="K222" s="2126" t="s">
        <v>921</v>
      </c>
      <c r="L222" s="2126" t="s">
        <v>922</v>
      </c>
      <c r="M222" s="2126" t="s">
        <v>923</v>
      </c>
      <c r="N222" s="2126" t="s">
        <v>1683</v>
      </c>
      <c r="O222" s="2125" t="s">
        <v>1035</v>
      </c>
      <c r="P222" s="2120" t="s">
        <v>1036</v>
      </c>
      <c r="Q222" s="1785"/>
      <c r="R222" s="1785"/>
    </row>
    <row r="223" spans="1:18" ht="12.75" customHeight="1">
      <c r="A223" s="1777"/>
      <c r="B223" s="1777"/>
      <c r="C223" s="1777"/>
      <c r="D223" s="1777"/>
      <c r="E223" s="1777"/>
      <c r="F223" s="1777"/>
      <c r="G223" s="1777"/>
      <c r="H223" s="1785"/>
      <c r="I223" s="1785"/>
      <c r="J223" s="2113" t="s">
        <v>2255</v>
      </c>
      <c r="K223" s="2246">
        <v>4368</v>
      </c>
      <c r="L223" s="2246" t="s">
        <v>1060</v>
      </c>
      <c r="M223" s="2247" t="s">
        <v>1003</v>
      </c>
      <c r="N223" s="2247"/>
      <c r="O223" s="2248">
        <v>26900000</v>
      </c>
      <c r="P223" s="2249">
        <f t="shared" ref="P223:P235" si="9">O223/K223</f>
        <v>6158.4249084249086</v>
      </c>
      <c r="Q223" s="1785"/>
      <c r="R223" s="1785"/>
    </row>
    <row r="224" spans="1:18" ht="12.75" customHeight="1">
      <c r="A224" s="1777"/>
      <c r="B224" s="1777"/>
      <c r="C224" s="1777"/>
      <c r="D224" s="1777"/>
      <c r="E224" s="1777"/>
      <c r="F224" s="1777"/>
      <c r="G224" s="1777"/>
      <c r="H224" s="1785"/>
      <c r="I224" s="1785"/>
      <c r="J224" s="2113" t="s">
        <v>2256</v>
      </c>
      <c r="K224" s="2246">
        <v>2975</v>
      </c>
      <c r="L224" s="2246" t="s">
        <v>1002</v>
      </c>
      <c r="M224" s="2247" t="s">
        <v>1023</v>
      </c>
      <c r="N224" s="2247"/>
      <c r="O224" s="2248">
        <v>17950000</v>
      </c>
      <c r="P224" s="2249">
        <f t="shared" si="9"/>
        <v>6033.6134453781515</v>
      </c>
      <c r="Q224" s="1785"/>
      <c r="R224" s="1785"/>
    </row>
    <row r="225" spans="1:18" ht="12.75" customHeight="1">
      <c r="A225" s="1777"/>
      <c r="B225" s="1777"/>
      <c r="C225" s="1777"/>
      <c r="D225" s="1777"/>
      <c r="E225" s="1777"/>
      <c r="F225" s="1777"/>
      <c r="G225" s="1777"/>
      <c r="H225" s="1785"/>
      <c r="I225" s="1785"/>
      <c r="J225" s="2113" t="s">
        <v>2257</v>
      </c>
      <c r="K225" s="2246">
        <v>2248</v>
      </c>
      <c r="L225" s="2246" t="s">
        <v>258</v>
      </c>
      <c r="M225" s="2247" t="s">
        <v>1023</v>
      </c>
      <c r="N225" s="2247"/>
      <c r="O225" s="2248">
        <v>14975000</v>
      </c>
      <c r="P225" s="2249">
        <f t="shared" si="9"/>
        <v>6661.4768683274024</v>
      </c>
      <c r="Q225" s="1785"/>
      <c r="R225" s="1785"/>
    </row>
    <row r="226" spans="1:18" ht="12.75" customHeight="1">
      <c r="A226" s="1777"/>
      <c r="B226" s="1777"/>
      <c r="C226" s="1777"/>
      <c r="D226" s="1777"/>
      <c r="E226" s="1777"/>
      <c r="F226" s="1777"/>
      <c r="G226" s="1777"/>
      <c r="H226" s="1785"/>
      <c r="I226" s="1785"/>
      <c r="J226" s="2113" t="s">
        <v>2258</v>
      </c>
      <c r="K226" s="2246">
        <v>1125</v>
      </c>
      <c r="L226" s="2246" t="s">
        <v>1033</v>
      </c>
      <c r="M226" s="2247" t="s">
        <v>269</v>
      </c>
      <c r="N226" s="2247"/>
      <c r="O226" s="2248">
        <v>5495000</v>
      </c>
      <c r="P226" s="2249">
        <f t="shared" si="9"/>
        <v>4884.4444444444443</v>
      </c>
      <c r="Q226" s="1785"/>
      <c r="R226" s="1785"/>
    </row>
    <row r="227" spans="1:18" ht="12.75" customHeight="1">
      <c r="A227" s="1777"/>
      <c r="B227" s="1777"/>
      <c r="C227" s="1777"/>
      <c r="D227" s="1777"/>
      <c r="E227" s="1777"/>
      <c r="F227" s="1777"/>
      <c r="G227" s="1777"/>
      <c r="H227" s="1785"/>
      <c r="I227" s="1785"/>
      <c r="J227" s="2113" t="s">
        <v>2259</v>
      </c>
      <c r="K227" s="2246">
        <v>1383</v>
      </c>
      <c r="L227" s="2246" t="s">
        <v>1033</v>
      </c>
      <c r="M227" s="2247" t="s">
        <v>269</v>
      </c>
      <c r="N227" s="2247"/>
      <c r="O227" s="2248">
        <v>4700000</v>
      </c>
      <c r="P227" s="2249">
        <f t="shared" si="9"/>
        <v>3398.4092552422271</v>
      </c>
      <c r="Q227" s="1785"/>
      <c r="R227" s="1785"/>
    </row>
    <row r="228" spans="1:18" ht="12.75" customHeight="1">
      <c r="A228" s="1777"/>
      <c r="B228" s="1777"/>
      <c r="C228" s="1777"/>
      <c r="D228" s="1777"/>
      <c r="E228" s="1777"/>
      <c r="F228" s="1777"/>
      <c r="G228" s="1777"/>
      <c r="H228" s="1785"/>
      <c r="I228" s="1785"/>
      <c r="J228" s="2113" t="s">
        <v>2260</v>
      </c>
      <c r="K228" s="2246">
        <v>1328</v>
      </c>
      <c r="L228" s="2246" t="s">
        <v>1019</v>
      </c>
      <c r="M228" s="2247" t="s">
        <v>929</v>
      </c>
      <c r="N228" s="2247"/>
      <c r="O228" s="2248">
        <v>4575000</v>
      </c>
      <c r="P228" s="2249">
        <f t="shared" si="9"/>
        <v>3445.0301204819275</v>
      </c>
      <c r="Q228" s="1785"/>
      <c r="R228" s="1785"/>
    </row>
    <row r="229" spans="1:18" ht="12.75" customHeight="1">
      <c r="A229" s="1777"/>
      <c r="B229" s="1777"/>
      <c r="C229" s="1777"/>
      <c r="D229" s="1777"/>
      <c r="E229" s="1777"/>
      <c r="F229" s="1777"/>
      <c r="G229" s="1777"/>
      <c r="H229" s="1785"/>
      <c r="I229" s="1785"/>
      <c r="J229" s="2113" t="s">
        <v>2261</v>
      </c>
      <c r="K229" s="2246">
        <v>817</v>
      </c>
      <c r="L229" s="2246" t="s">
        <v>1033</v>
      </c>
      <c r="M229" s="2247" t="s">
        <v>932</v>
      </c>
      <c r="N229" s="2247"/>
      <c r="O229" s="2248">
        <v>2495000</v>
      </c>
      <c r="P229" s="2249">
        <f t="shared" si="9"/>
        <v>3053.8555691554466</v>
      </c>
      <c r="Q229" s="1785"/>
      <c r="R229" s="1785"/>
    </row>
    <row r="230" spans="1:18" ht="12.75" customHeight="1">
      <c r="A230" s="1777"/>
      <c r="B230" s="1777"/>
      <c r="C230" s="1777"/>
      <c r="D230" s="1777"/>
      <c r="E230" s="1777"/>
      <c r="F230" s="1777"/>
      <c r="G230" s="1777"/>
      <c r="H230" s="1785"/>
      <c r="I230" s="1785"/>
      <c r="J230" s="2113" t="s">
        <v>2262</v>
      </c>
      <c r="K230" s="2246">
        <v>800</v>
      </c>
      <c r="L230" s="2246" t="s">
        <v>1033</v>
      </c>
      <c r="M230" s="2247" t="s">
        <v>932</v>
      </c>
      <c r="N230" s="2247"/>
      <c r="O230" s="2248">
        <v>2395000</v>
      </c>
      <c r="P230" s="2249">
        <f t="shared" si="9"/>
        <v>2993.75</v>
      </c>
      <c r="Q230" s="1785"/>
      <c r="R230" s="1785"/>
    </row>
    <row r="231" spans="1:18" ht="12.75" customHeight="1">
      <c r="A231" s="1777"/>
      <c r="B231" s="1777"/>
      <c r="C231" s="1777"/>
      <c r="D231" s="1777"/>
      <c r="E231" s="1777"/>
      <c r="F231" s="1777"/>
      <c r="G231" s="1777"/>
      <c r="H231" s="1785"/>
      <c r="I231" s="1785"/>
      <c r="J231" s="2113" t="s">
        <v>2263</v>
      </c>
      <c r="K231" s="2246">
        <v>698</v>
      </c>
      <c r="L231" s="2246" t="s">
        <v>268</v>
      </c>
      <c r="M231" s="2247" t="s">
        <v>932</v>
      </c>
      <c r="N231" s="2247"/>
      <c r="O231" s="2248">
        <v>1950000</v>
      </c>
      <c r="P231" s="2249">
        <f t="shared" si="9"/>
        <v>2793.6962750716334</v>
      </c>
      <c r="Q231" s="1785"/>
      <c r="R231" s="1785"/>
    </row>
    <row r="232" spans="1:18" ht="12.75" customHeight="1">
      <c r="A232" s="1777"/>
      <c r="B232" s="1777"/>
      <c r="C232" s="1777"/>
      <c r="D232" s="1777"/>
      <c r="E232" s="1777"/>
      <c r="F232" s="1777"/>
      <c r="G232" s="1777"/>
      <c r="H232" s="1785"/>
      <c r="I232" s="1785"/>
      <c r="J232" s="2113" t="s">
        <v>2264</v>
      </c>
      <c r="K232" s="2246">
        <v>530</v>
      </c>
      <c r="L232" s="2246" t="s">
        <v>2265</v>
      </c>
      <c r="M232" s="2247" t="s">
        <v>932</v>
      </c>
      <c r="N232" s="2247"/>
      <c r="O232" s="2248">
        <v>1895000</v>
      </c>
      <c r="P232" s="2249">
        <f t="shared" si="9"/>
        <v>3575.4716981132074</v>
      </c>
      <c r="Q232" s="1785"/>
      <c r="R232" s="1785"/>
    </row>
    <row r="233" spans="1:18" ht="12.75" customHeight="1">
      <c r="A233" s="1777"/>
      <c r="B233" s="1777"/>
      <c r="C233" s="1777"/>
      <c r="D233" s="1777"/>
      <c r="E233" s="1777"/>
      <c r="F233" s="1777"/>
      <c r="G233" s="1777"/>
      <c r="H233" s="1785"/>
      <c r="I233" s="1785"/>
      <c r="J233" s="2113" t="s">
        <v>2264</v>
      </c>
      <c r="K233" s="2246">
        <v>530</v>
      </c>
      <c r="L233" s="2246" t="s">
        <v>2265</v>
      </c>
      <c r="M233" s="2247" t="s">
        <v>932</v>
      </c>
      <c r="N233" s="2247"/>
      <c r="O233" s="2248">
        <v>1795000</v>
      </c>
      <c r="P233" s="2249">
        <f t="shared" si="9"/>
        <v>3386.7924528301887</v>
      </c>
      <c r="Q233" s="1785"/>
      <c r="R233" s="1785"/>
    </row>
    <row r="234" spans="1:18" ht="12.75" customHeight="1">
      <c r="A234" s="1777"/>
      <c r="B234" s="1777"/>
      <c r="C234" s="1777"/>
      <c r="D234" s="1777"/>
      <c r="E234" s="1777"/>
      <c r="F234" s="1777"/>
      <c r="G234" s="1777"/>
      <c r="H234" s="1785"/>
      <c r="I234" s="1785"/>
      <c r="J234" s="2113" t="s">
        <v>2266</v>
      </c>
      <c r="K234" s="2246">
        <v>529</v>
      </c>
      <c r="L234" s="2246" t="s">
        <v>268</v>
      </c>
      <c r="M234" s="2247" t="s">
        <v>932</v>
      </c>
      <c r="N234" s="2247"/>
      <c r="O234" s="2248">
        <v>1500000</v>
      </c>
      <c r="P234" s="2249">
        <f t="shared" si="9"/>
        <v>2835.5387523629488</v>
      </c>
      <c r="Q234" s="1785"/>
      <c r="R234" s="1785"/>
    </row>
    <row r="235" spans="1:18" ht="12.75" customHeight="1">
      <c r="A235" s="1777"/>
      <c r="B235" s="1777"/>
      <c r="C235" s="1777"/>
      <c r="D235" s="1777"/>
      <c r="E235" s="1777"/>
      <c r="F235" s="1777"/>
      <c r="G235" s="1777"/>
      <c r="H235" s="1785"/>
      <c r="I235" s="1785"/>
      <c r="J235" s="2113" t="s">
        <v>2267</v>
      </c>
      <c r="K235" s="2246">
        <v>500</v>
      </c>
      <c r="L235" s="2246" t="s">
        <v>2265</v>
      </c>
      <c r="M235" s="2247" t="s">
        <v>932</v>
      </c>
      <c r="N235" s="2247"/>
      <c r="O235" s="2248">
        <v>1375000</v>
      </c>
      <c r="P235" s="2249">
        <f t="shared" si="9"/>
        <v>2750</v>
      </c>
      <c r="Q235" s="1785"/>
      <c r="R235" s="1785"/>
    </row>
    <row r="236" spans="1:18">
      <c r="A236" s="1777"/>
      <c r="B236" s="1777"/>
      <c r="C236" s="1777"/>
      <c r="D236" s="1777"/>
      <c r="E236" s="1777"/>
      <c r="F236" s="1777"/>
      <c r="G236" s="1777"/>
      <c r="H236" s="1785"/>
      <c r="I236" s="1785"/>
      <c r="J236" s="2113"/>
      <c r="K236" s="2246"/>
      <c r="L236" s="2247"/>
      <c r="M236" s="2247"/>
      <c r="N236" s="2247"/>
      <c r="O236" s="2248"/>
      <c r="P236" s="2249"/>
      <c r="Q236" s="1785"/>
      <c r="R236" s="1785"/>
    </row>
    <row r="237" spans="1:18">
      <c r="A237" s="1777"/>
      <c r="B237" s="1777"/>
      <c r="C237" s="1777"/>
      <c r="D237" s="1777"/>
      <c r="E237" s="1777"/>
      <c r="F237" s="1777"/>
      <c r="G237" s="1777"/>
      <c r="H237" s="1785"/>
      <c r="I237" s="1785"/>
      <c r="J237" s="2130" t="s">
        <v>979</v>
      </c>
      <c r="K237" s="2131"/>
      <c r="L237" s="2131"/>
      <c r="M237" s="2131"/>
      <c r="N237" s="2131"/>
      <c r="O237" s="2132"/>
      <c r="P237" s="2133">
        <f>SUM(O223:O236)/SUM(K223:K236)</f>
        <v>4935.2251696483654</v>
      </c>
      <c r="Q237" s="1785"/>
      <c r="R237" s="1785"/>
    </row>
    <row r="238" spans="1:18">
      <c r="A238" s="1777"/>
      <c r="B238" s="1777"/>
      <c r="C238" s="1777"/>
      <c r="D238" s="1777"/>
      <c r="E238" s="1777"/>
      <c r="F238" s="1777"/>
      <c r="G238" s="1777"/>
      <c r="H238" s="1785"/>
      <c r="I238" s="1785"/>
      <c r="J238" s="2134" t="s">
        <v>996</v>
      </c>
      <c r="K238" s="2135"/>
      <c r="L238" s="2135"/>
      <c r="M238" s="2135"/>
      <c r="N238" s="2135"/>
      <c r="O238" s="2136"/>
      <c r="P238" s="2081">
        <f>MEDIAN(P223:P236)</f>
        <v>3398.4092552422271</v>
      </c>
      <c r="Q238" s="1785"/>
      <c r="R238" s="1785"/>
    </row>
    <row r="239" spans="1:18" ht="15.75">
      <c r="A239" s="1777"/>
      <c r="B239" s="1777"/>
      <c r="C239" s="1777"/>
      <c r="D239" s="1777"/>
      <c r="E239" s="1777"/>
      <c r="F239" s="1777"/>
      <c r="G239" s="1777"/>
      <c r="H239" s="1785"/>
      <c r="I239" s="1785"/>
      <c r="J239" s="2250"/>
      <c r="K239"/>
      <c r="L239"/>
      <c r="M239"/>
      <c r="N239"/>
      <c r="O239"/>
      <c r="P239" s="1785"/>
      <c r="Q239" s="1785"/>
      <c r="R239" s="1785"/>
    </row>
    <row r="240" spans="1:18" ht="15.75">
      <c r="A240" s="1777"/>
      <c r="B240" s="1777"/>
      <c r="C240" s="1777"/>
      <c r="D240" s="1777"/>
      <c r="E240" s="1777"/>
      <c r="F240" s="1777"/>
      <c r="G240" s="1777"/>
      <c r="H240" s="1785"/>
      <c r="I240" s="1785"/>
      <c r="J240" s="2250"/>
      <c r="K240"/>
      <c r="L240"/>
      <c r="M240"/>
      <c r="N240"/>
      <c r="O240"/>
      <c r="P240" s="1785"/>
      <c r="Q240" s="1785"/>
      <c r="R240" s="1785"/>
    </row>
    <row r="241" spans="1:23">
      <c r="A241" s="1777"/>
      <c r="B241" s="1777"/>
      <c r="C241" s="1777"/>
      <c r="D241" s="1777"/>
      <c r="E241" s="1777"/>
      <c r="F241" s="1777"/>
      <c r="G241" s="1777"/>
      <c r="H241" s="1785"/>
      <c r="I241" s="1785"/>
      <c r="J241" s="2108"/>
      <c r="K241" s="2109"/>
      <c r="L241" s="2109"/>
      <c r="M241" s="2109"/>
      <c r="N241" s="2109"/>
      <c r="O241" s="2110"/>
      <c r="P241" s="1785"/>
      <c r="Q241" s="1785"/>
      <c r="R241" s="1785"/>
    </row>
    <row r="242" spans="1:23">
      <c r="A242" s="1777"/>
      <c r="B242" s="1777"/>
      <c r="C242" s="1777"/>
      <c r="D242" s="1777"/>
      <c r="E242" s="1777"/>
      <c r="F242" s="1777"/>
      <c r="G242" s="1777"/>
      <c r="H242" s="1785"/>
      <c r="I242" s="1785"/>
      <c r="P242" s="1785"/>
      <c r="Q242" s="1785"/>
      <c r="R242" s="1785"/>
      <c r="S242" s="1734" t="s">
        <v>997</v>
      </c>
    </row>
    <row r="243" spans="1:23">
      <c r="S243" s="2091" t="s">
        <v>2076</v>
      </c>
      <c r="T243" s="2092">
        <v>1413</v>
      </c>
      <c r="U243" s="2083"/>
      <c r="V243" s="2083"/>
      <c r="W243" s="2083"/>
    </row>
    <row r="244" spans="1:23">
      <c r="G244" s="5"/>
      <c r="S244" s="1898" t="s">
        <v>45</v>
      </c>
      <c r="T244" s="2080">
        <v>450</v>
      </c>
      <c r="U244" s="2084"/>
      <c r="V244" s="2084"/>
      <c r="W244" s="2084"/>
    </row>
    <row r="245" spans="1:23">
      <c r="S245" s="1898" t="s">
        <v>2077</v>
      </c>
      <c r="T245" s="2093">
        <v>0.94</v>
      </c>
      <c r="U245" s="2094"/>
      <c r="V245" s="2094"/>
      <c r="W245" s="2094"/>
    </row>
    <row r="246" spans="1:23">
      <c r="S246" s="1898" t="s">
        <v>2086</v>
      </c>
      <c r="T246" s="1969">
        <f>+T245*T244</f>
        <v>423</v>
      </c>
      <c r="U246" s="1968"/>
      <c r="V246" s="1968"/>
      <c r="W246" s="1968"/>
    </row>
    <row r="247" spans="1:23">
      <c r="S247" s="1898"/>
      <c r="T247" s="1976"/>
      <c r="U247" s="1777"/>
      <c r="V247" s="1777"/>
      <c r="W247" s="1777"/>
    </row>
    <row r="248" spans="1:23">
      <c r="S248" s="1898" t="s">
        <v>983</v>
      </c>
      <c r="T248" s="1969">
        <f>(T246*T243*365)/1000000</f>
        <v>218.160135</v>
      </c>
      <c r="U248" s="1968"/>
      <c r="V248" s="1968"/>
      <c r="W248" s="1968"/>
    </row>
    <row r="249" spans="1:23">
      <c r="S249" s="1979" t="s">
        <v>320</v>
      </c>
      <c r="T249" s="2168">
        <v>0.65</v>
      </c>
      <c r="U249" s="2098"/>
      <c r="V249" s="2098"/>
      <c r="W249" s="2098"/>
    </row>
    <row r="250" spans="1:23">
      <c r="S250" s="1898" t="s">
        <v>984</v>
      </c>
      <c r="T250" s="1976">
        <f>+T252-T248</f>
        <v>117.4708419230769</v>
      </c>
      <c r="U250" s="1784"/>
      <c r="V250" s="1777"/>
      <c r="W250" s="1777"/>
    </row>
    <row r="251" spans="1:23" ht="3.95" customHeight="1">
      <c r="S251" s="1898"/>
      <c r="T251" s="1566" t="s">
        <v>1367</v>
      </c>
      <c r="U251" s="2099"/>
      <c r="V251" s="2099"/>
      <c r="W251" s="2099"/>
    </row>
    <row r="252" spans="1:23">
      <c r="S252" s="1898" t="s">
        <v>198</v>
      </c>
      <c r="T252" s="1969">
        <f>T248/T249</f>
        <v>335.6309769230769</v>
      </c>
      <c r="U252" s="2100"/>
      <c r="V252" s="2100"/>
      <c r="W252" s="2100"/>
    </row>
    <row r="253" spans="1:23">
      <c r="S253" s="1898"/>
      <c r="T253" s="1969"/>
      <c r="U253" s="2100"/>
      <c r="V253" s="2100"/>
      <c r="W253" s="2100"/>
    </row>
    <row r="254" spans="1:23">
      <c r="S254" s="1898" t="s">
        <v>351</v>
      </c>
      <c r="T254" s="2168">
        <v>0.25</v>
      </c>
      <c r="U254" s="2098"/>
      <c r="V254" s="2098"/>
      <c r="W254" s="2098"/>
    </row>
    <row r="255" spans="1:23">
      <c r="S255" s="1898"/>
      <c r="T255" s="2168"/>
      <c r="U255" s="2098"/>
      <c r="V255" s="2098"/>
      <c r="W255" s="2098"/>
    </row>
    <row r="256" spans="1:23">
      <c r="S256" s="1898" t="s">
        <v>357</v>
      </c>
      <c r="T256" s="1969">
        <f>+T252*T254</f>
        <v>83.907744230769225</v>
      </c>
      <c r="U256" s="2098"/>
      <c r="V256" s="2098"/>
      <c r="W256" s="2098"/>
    </row>
    <row r="257" spans="19:23">
      <c r="S257" s="1898" t="s">
        <v>353</v>
      </c>
      <c r="T257" s="2204">
        <f>-T252*U257</f>
        <v>-13.425239076923077</v>
      </c>
      <c r="U257" s="2098">
        <v>0.04</v>
      </c>
      <c r="V257" s="2098"/>
      <c r="W257" s="2098"/>
    </row>
    <row r="258" spans="19:23" ht="3.95" customHeight="1">
      <c r="S258" s="1898"/>
      <c r="T258" s="1566" t="s">
        <v>1367</v>
      </c>
      <c r="U258" s="2099"/>
      <c r="V258" s="2099"/>
      <c r="W258" s="2099"/>
    </row>
    <row r="259" spans="19:23">
      <c r="S259" s="1972" t="s">
        <v>360</v>
      </c>
      <c r="T259" s="2081">
        <f>+T257+T256</f>
        <v>70.482505153846148</v>
      </c>
      <c r="U259" s="1968"/>
      <c r="V259" s="1968"/>
      <c r="W259" s="1968"/>
    </row>
    <row r="260" spans="19:23">
      <c r="S260" s="1777"/>
      <c r="T260" s="1968"/>
      <c r="U260" s="1968" t="s">
        <v>998</v>
      </c>
      <c r="V260" s="1968"/>
      <c r="W260" s="1968"/>
    </row>
    <row r="261" spans="19:23">
      <c r="S261" s="1777"/>
      <c r="T261" s="1968"/>
      <c r="U261" s="2096"/>
      <c r="V261" s="2097" t="s">
        <v>1371</v>
      </c>
      <c r="W261" s="1968"/>
    </row>
    <row r="262" spans="19:23">
      <c r="S262" s="1777"/>
      <c r="T262" s="1968"/>
      <c r="U262" s="1967" t="s">
        <v>1228</v>
      </c>
      <c r="V262" s="1969">
        <f>T259</f>
        <v>70.482505153846148</v>
      </c>
      <c r="W262" s="1968"/>
    </row>
    <row r="263" spans="19:23">
      <c r="S263" s="1777"/>
      <c r="T263" s="1968"/>
      <c r="U263" s="1967" t="s">
        <v>999</v>
      </c>
      <c r="V263" s="1969">
        <f>-T252*W263</f>
        <v>-16.781548846153846</v>
      </c>
      <c r="W263" s="1784">
        <v>0.05</v>
      </c>
    </row>
    <row r="264" spans="19:23" ht="3.95" customHeight="1">
      <c r="S264" s="1777"/>
      <c r="T264" s="1968"/>
      <c r="U264" s="1967"/>
      <c r="V264" s="1566" t="s">
        <v>1367</v>
      </c>
      <c r="W264" s="1968"/>
    </row>
    <row r="265" spans="19:23">
      <c r="S265" s="1777"/>
      <c r="T265" s="1968"/>
      <c r="U265" s="1967" t="s">
        <v>1537</v>
      </c>
      <c r="V265" s="1969">
        <f>SUM(V262:V264)</f>
        <v>53.700956307692302</v>
      </c>
      <c r="W265" s="1968"/>
    </row>
    <row r="266" spans="19:23">
      <c r="S266" s="1777"/>
      <c r="T266" s="1968"/>
      <c r="U266" s="1967" t="s">
        <v>1536</v>
      </c>
      <c r="V266" s="2093">
        <v>0.03</v>
      </c>
      <c r="W266" s="1968"/>
    </row>
    <row r="267" spans="19:23">
      <c r="S267" s="1777"/>
      <c r="T267" s="1968"/>
      <c r="U267" s="2095" t="s">
        <v>1825</v>
      </c>
      <c r="V267" s="2081">
        <f>+V265/V266</f>
        <v>1790.0318769230769</v>
      </c>
      <c r="W267" s="1968"/>
    </row>
    <row r="269" spans="19:23">
      <c r="U269" s="1734" t="s">
        <v>1116</v>
      </c>
    </row>
    <row r="270" spans="19:23">
      <c r="U270" s="1518" t="s">
        <v>2174</v>
      </c>
      <c r="V270" s="1520" t="s">
        <v>1371</v>
      </c>
    </row>
    <row r="271" spans="19:23">
      <c r="U271" s="1898" t="s">
        <v>1117</v>
      </c>
      <c r="V271" s="1969">
        <f>AF287</f>
        <v>284.3975694230769</v>
      </c>
    </row>
    <row r="272" spans="19:23">
      <c r="U272" s="1898" t="s">
        <v>358</v>
      </c>
      <c r="V272" s="1969">
        <f>AH287</f>
        <v>68.53772198076922</v>
      </c>
    </row>
    <row r="273" spans="21:37">
      <c r="U273" s="1898"/>
      <c r="V273" s="1976"/>
    </row>
    <row r="274" spans="21:37">
      <c r="U274" s="1898" t="s">
        <v>1118</v>
      </c>
      <c r="V274" s="1976">
        <f>-V271*W274</f>
        <v>-14.219878471153846</v>
      </c>
      <c r="W274" s="1775">
        <v>0.05</v>
      </c>
    </row>
    <row r="275" spans="21:37">
      <c r="U275" s="1898" t="s">
        <v>359</v>
      </c>
      <c r="V275" s="1976">
        <f>-V271*W275</f>
        <v>-11.375902776923077</v>
      </c>
      <c r="W275" s="1775">
        <f>+U257</f>
        <v>0.04</v>
      </c>
    </row>
    <row r="276" spans="21:37">
      <c r="U276" s="1898"/>
      <c r="V276" s="1976"/>
    </row>
    <row r="277" spans="21:37">
      <c r="U277" s="1898" t="s">
        <v>1119</v>
      </c>
      <c r="V277" s="1969">
        <f>SUM(V272:V276)</f>
        <v>42.941940732692295</v>
      </c>
    </row>
    <row r="278" spans="21:37">
      <c r="U278" s="1898" t="s">
        <v>1536</v>
      </c>
      <c r="V278" s="2093">
        <v>0.04</v>
      </c>
    </row>
    <row r="279" spans="21:37">
      <c r="U279" s="1898"/>
      <c r="V279" s="1976"/>
    </row>
    <row r="280" spans="21:37">
      <c r="U280" s="1898" t="s">
        <v>1120</v>
      </c>
      <c r="V280" s="1969">
        <f>V277/V278</f>
        <v>1073.5485183173073</v>
      </c>
    </row>
    <row r="281" spans="21:37" ht="25.5">
      <c r="U281" s="2180" t="s">
        <v>363</v>
      </c>
      <c r="V281" s="2181">
        <f>+V277/(V280+350)</f>
        <v>3.0165421255505524E-2</v>
      </c>
    </row>
    <row r="283" spans="21:37">
      <c r="X283" s="1734" t="s">
        <v>985</v>
      </c>
    </row>
    <row r="284" spans="21:37" s="2063" customFormat="1" ht="26.25" customHeight="1">
      <c r="X284" s="2105" t="s">
        <v>293</v>
      </c>
      <c r="Y284" s="2067" t="s">
        <v>2076</v>
      </c>
      <c r="Z284" s="2170" t="s">
        <v>45</v>
      </c>
      <c r="AA284" s="2170" t="s">
        <v>355</v>
      </c>
      <c r="AB284" s="2170" t="s">
        <v>2086</v>
      </c>
      <c r="AC284" s="2170" t="s">
        <v>1378</v>
      </c>
      <c r="AD284" s="2170" t="s">
        <v>356</v>
      </c>
      <c r="AE284" s="2170" t="s">
        <v>324</v>
      </c>
      <c r="AF284" s="2170" t="s">
        <v>198</v>
      </c>
      <c r="AG284" s="2170" t="s">
        <v>1932</v>
      </c>
      <c r="AH284" s="2170" t="s">
        <v>354</v>
      </c>
      <c r="AI284" s="2170" t="s">
        <v>352</v>
      </c>
      <c r="AJ284" s="2106" t="s">
        <v>354</v>
      </c>
    </row>
    <row r="285" spans="21:37">
      <c r="X285" s="1898" t="s">
        <v>322</v>
      </c>
      <c r="Y285" s="2083">
        <v>1413</v>
      </c>
      <c r="Z285" s="2146">
        <f>+T244</f>
        <v>450</v>
      </c>
      <c r="AA285" s="2171">
        <f>+T245</f>
        <v>0.94</v>
      </c>
      <c r="AB285" s="2146">
        <f>+AA285*Z285</f>
        <v>423</v>
      </c>
      <c r="AC285" s="2146">
        <f>+T248</f>
        <v>218.160135</v>
      </c>
      <c r="AD285" s="2172">
        <f>+T249</f>
        <v>0.65</v>
      </c>
      <c r="AE285" s="2146">
        <f>+T250</f>
        <v>117.4708419230769</v>
      </c>
      <c r="AF285" s="2146">
        <f>AE285+AC285</f>
        <v>335.6309769230769</v>
      </c>
      <c r="AG285" s="2171">
        <f>T254</f>
        <v>0.25</v>
      </c>
      <c r="AH285" s="2146">
        <f>+AG285*AF285</f>
        <v>83.907744230769225</v>
      </c>
      <c r="AI285" s="2146">
        <f>-AF285*$U$257</f>
        <v>-13.425239076923077</v>
      </c>
      <c r="AJ285" s="1969">
        <f>+AI285+AH285</f>
        <v>70.482505153846148</v>
      </c>
    </row>
    <row r="286" spans="21:37">
      <c r="X286" s="1979" t="s">
        <v>986</v>
      </c>
      <c r="Y286" s="2083">
        <v>181</v>
      </c>
      <c r="Z286" s="2173">
        <v>750</v>
      </c>
      <c r="AA286" s="2174">
        <f>+AA285</f>
        <v>0.94</v>
      </c>
      <c r="AB286" s="2146">
        <f>+AA286*Z286</f>
        <v>705</v>
      </c>
      <c r="AC286" s="2146">
        <f>+Z286*AA286*Y286*365/1000000</f>
        <v>46.575825000000002</v>
      </c>
      <c r="AD286" s="2175">
        <v>0.1</v>
      </c>
      <c r="AE286" s="2146">
        <f>+AD286*AC286</f>
        <v>4.6575825000000002</v>
      </c>
      <c r="AF286" s="2146">
        <f>AE286+AC286</f>
        <v>51.233407499999998</v>
      </c>
      <c r="AG286" s="2176">
        <v>0.3</v>
      </c>
      <c r="AH286" s="2146">
        <f>+AG286*AF286</f>
        <v>15.370022249999998</v>
      </c>
      <c r="AI286" s="2146">
        <f>-AF286*$U$257</f>
        <v>-2.0493362999999998</v>
      </c>
      <c r="AJ286" s="1969">
        <f>+AI286+AH286</f>
        <v>13.320685949999998</v>
      </c>
    </row>
    <row r="287" spans="21:37">
      <c r="X287" s="2102" t="s">
        <v>323</v>
      </c>
      <c r="Y287" s="2103">
        <f>+Y285-Y286</f>
        <v>1232</v>
      </c>
      <c r="Z287" s="2147">
        <f>+(Z285*Y285-Y286*Z286)/Y287</f>
        <v>405.9253246753247</v>
      </c>
      <c r="AA287" s="2177">
        <f>+AA285</f>
        <v>0.94</v>
      </c>
      <c r="AB287" s="2147">
        <f>+AA287*Z287</f>
        <v>381.56980519480521</v>
      </c>
      <c r="AC287" s="2147">
        <f>+AC285-AC286</f>
        <v>171.58430999999999</v>
      </c>
      <c r="AD287" s="2178">
        <f>+AE287/AC287</f>
        <v>0.65748004245304781</v>
      </c>
      <c r="AE287" s="2147">
        <f>+T250-AE286</f>
        <v>112.8132594230769</v>
      </c>
      <c r="AF287" s="2147">
        <f>AE287+AC287</f>
        <v>284.3975694230769</v>
      </c>
      <c r="AG287" s="2179">
        <f>+AH287/AF287</f>
        <v>0.24099264322055719</v>
      </c>
      <c r="AH287" s="2147">
        <f>+AH285-AH286</f>
        <v>68.53772198076922</v>
      </c>
      <c r="AI287" s="2147">
        <f>-AF287*$U$257</f>
        <v>-11.375902776923077</v>
      </c>
      <c r="AJ287" s="2081">
        <f>+AI287+AH287</f>
        <v>57.161819203846143</v>
      </c>
    </row>
    <row r="288" spans="21:37">
      <c r="AK288" s="1734" t="s">
        <v>986</v>
      </c>
    </row>
    <row r="289" spans="37:46">
      <c r="AK289" s="1734" t="s">
        <v>987</v>
      </c>
    </row>
    <row r="290" spans="37:46">
      <c r="AK290" s="1734" t="s">
        <v>991</v>
      </c>
    </row>
    <row r="291" spans="37:46">
      <c r="AK291" s="1518" t="s">
        <v>284</v>
      </c>
      <c r="AL291" s="1780"/>
      <c r="AM291" s="1780"/>
      <c r="AN291" s="2082"/>
      <c r="AO291" s="1777"/>
      <c r="AP291" s="1777"/>
      <c r="AQ291" s="1777"/>
      <c r="AR291" s="1777"/>
      <c r="AS291" s="1777"/>
      <c r="AT291" s="1777"/>
    </row>
    <row r="292" spans="37:46">
      <c r="AK292" s="1898" t="s">
        <v>283</v>
      </c>
      <c r="AL292" s="2083">
        <v>181</v>
      </c>
      <c r="AM292" s="1777"/>
      <c r="AN292" s="1976"/>
      <c r="AO292" s="1777"/>
      <c r="AP292" s="1777"/>
      <c r="AQ292" s="1777"/>
      <c r="AR292" s="1777"/>
      <c r="AS292" s="1777"/>
      <c r="AT292" s="1777"/>
    </row>
    <row r="293" spans="37:46">
      <c r="AK293" s="1898" t="s">
        <v>992</v>
      </c>
      <c r="AL293" s="2083">
        <v>30</v>
      </c>
      <c r="AM293" s="2083"/>
      <c r="AN293" s="2079"/>
      <c r="AO293" s="2083"/>
      <c r="AP293" s="2083"/>
      <c r="AQ293" s="2083"/>
      <c r="AR293" s="2083"/>
      <c r="AS293" s="2083"/>
      <c r="AT293" s="2083"/>
    </row>
    <row r="294" spans="37:46">
      <c r="AK294" s="1979" t="s">
        <v>988</v>
      </c>
      <c r="AL294" s="2083">
        <v>3000</v>
      </c>
      <c r="AM294" s="2083"/>
      <c r="AN294" s="2079"/>
      <c r="AO294" s="2083"/>
      <c r="AP294" s="2083"/>
      <c r="AQ294" s="2083"/>
      <c r="AR294" s="2083"/>
      <c r="AS294" s="2083"/>
      <c r="AT294" s="2083"/>
    </row>
    <row r="295" spans="37:46">
      <c r="AK295" s="1898" t="s">
        <v>989</v>
      </c>
      <c r="AL295" s="2083">
        <f>123-AL293</f>
        <v>93</v>
      </c>
      <c r="AM295" s="2083"/>
      <c r="AN295" s="2079"/>
      <c r="AO295" s="2083"/>
      <c r="AP295" s="2083"/>
      <c r="AQ295" s="2083"/>
      <c r="AR295" s="2083"/>
      <c r="AS295" s="2083"/>
      <c r="AT295" s="2083"/>
    </row>
    <row r="296" spans="37:46">
      <c r="AK296" s="1979" t="s">
        <v>988</v>
      </c>
      <c r="AL296" s="2083">
        <v>1500</v>
      </c>
      <c r="AM296" s="2083"/>
      <c r="AN296" s="2079"/>
      <c r="AO296" s="2083"/>
      <c r="AP296" s="2083"/>
      <c r="AQ296" s="2083"/>
      <c r="AR296" s="2083"/>
      <c r="AS296" s="2083"/>
      <c r="AT296" s="2083"/>
    </row>
    <row r="297" spans="37:46">
      <c r="AK297" s="1898" t="s">
        <v>2076</v>
      </c>
      <c r="AL297" s="2083">
        <f>+AL292-AL293-AL295</f>
        <v>58</v>
      </c>
      <c r="AM297" s="2083"/>
      <c r="AN297" s="2079"/>
      <c r="AO297" s="2083"/>
      <c r="AP297" s="2083"/>
      <c r="AQ297" s="2083"/>
      <c r="AR297" s="2083"/>
      <c r="AS297" s="2083"/>
      <c r="AT297" s="2083"/>
    </row>
    <row r="298" spans="37:46">
      <c r="AK298" s="1979" t="s">
        <v>988</v>
      </c>
      <c r="AL298" s="2083">
        <v>900</v>
      </c>
      <c r="AM298" s="2083"/>
      <c r="AN298" s="2079"/>
      <c r="AO298" s="2083"/>
      <c r="AP298" s="2083"/>
      <c r="AQ298" s="2083"/>
      <c r="AR298" s="2083"/>
      <c r="AS298" s="2083"/>
      <c r="AT298" s="2083"/>
    </row>
    <row r="299" spans="37:46" ht="3.95" customHeight="1">
      <c r="AK299" s="1898"/>
      <c r="AL299" s="1565" t="s">
        <v>1367</v>
      </c>
      <c r="AM299" s="1565"/>
      <c r="AN299" s="1566"/>
      <c r="AO299" s="1565"/>
      <c r="AP299" s="1565"/>
      <c r="AQ299" s="1565"/>
      <c r="AR299" s="1565"/>
      <c r="AS299" s="1565"/>
      <c r="AT299" s="1565"/>
    </row>
    <row r="300" spans="37:46">
      <c r="AK300" s="1898" t="s">
        <v>990</v>
      </c>
      <c r="AL300" s="1777">
        <f>+AL298*AL297+AL296*AL295+AL294*AL293</f>
        <v>281700</v>
      </c>
      <c r="AM300" s="1777"/>
      <c r="AN300" s="1976"/>
      <c r="AO300" s="1777"/>
      <c r="AP300" s="1777"/>
      <c r="AQ300" s="1777"/>
      <c r="AR300" s="1777"/>
      <c r="AS300" s="1777"/>
      <c r="AT300" s="1777"/>
    </row>
    <row r="301" spans="37:46">
      <c r="AK301" s="1898"/>
      <c r="AL301" s="1777"/>
      <c r="AM301" s="1777"/>
      <c r="AN301" s="1976"/>
      <c r="AO301" s="1777"/>
      <c r="AP301" s="1777"/>
      <c r="AQ301" s="1777"/>
      <c r="AR301" s="1777"/>
      <c r="AS301" s="1777"/>
      <c r="AT301" s="1777"/>
    </row>
    <row r="302" spans="37:46">
      <c r="AK302" s="1898" t="s">
        <v>1115</v>
      </c>
      <c r="AL302" s="2084">
        <f>700*1.25</f>
        <v>875</v>
      </c>
      <c r="AM302" s="1777"/>
      <c r="AN302" s="1976"/>
      <c r="AO302" s="1777"/>
      <c r="AP302" s="1777"/>
      <c r="AQ302" s="1777"/>
      <c r="AR302" s="1777"/>
      <c r="AS302" s="1777"/>
      <c r="AT302" s="1777"/>
    </row>
    <row r="303" spans="37:46">
      <c r="AK303" s="1898" t="s">
        <v>282</v>
      </c>
      <c r="AL303" s="1968">
        <f>AL300*AL302/1000000</f>
        <v>246.48750000000001</v>
      </c>
      <c r="AM303" s="1777"/>
      <c r="AN303" s="1976"/>
      <c r="AO303" s="1777"/>
      <c r="AP303" s="1777"/>
      <c r="AQ303" s="1777"/>
      <c r="AR303" s="1777"/>
      <c r="AS303" s="1777"/>
      <c r="AT303" s="1777"/>
    </row>
    <row r="304" spans="37:46">
      <c r="AK304" s="1898"/>
      <c r="AL304" s="1777"/>
      <c r="AM304" s="1777"/>
      <c r="AN304" s="1976"/>
      <c r="AO304" s="1777"/>
      <c r="AP304" s="1777"/>
      <c r="AQ304" s="1777"/>
      <c r="AR304" s="1777"/>
      <c r="AS304" s="1777"/>
      <c r="AT304" s="1777"/>
    </row>
    <row r="305" spans="37:48">
      <c r="AK305" s="2150"/>
      <c r="AL305" s="2151" t="s">
        <v>84</v>
      </c>
      <c r="AM305" s="2151" t="s">
        <v>592</v>
      </c>
      <c r="AN305" s="2152" t="s">
        <v>748</v>
      </c>
      <c r="AO305" s="1777"/>
      <c r="AP305" s="1777"/>
      <c r="AQ305" s="1777"/>
      <c r="AR305" s="1777"/>
      <c r="AS305" s="1777"/>
      <c r="AT305" s="1777"/>
    </row>
    <row r="306" spans="37:48">
      <c r="AK306" s="1898" t="s">
        <v>280</v>
      </c>
      <c r="AL306" s="1968">
        <f>+AS339</f>
        <v>2390.8240665733852</v>
      </c>
      <c r="AM306" s="1968">
        <f>AS336</f>
        <v>4211.4515780017391</v>
      </c>
      <c r="AN306" s="1969">
        <f>+AS327</f>
        <v>7217.9490541882242</v>
      </c>
      <c r="AO306" s="2084"/>
      <c r="AP306" s="2084"/>
      <c r="AQ306" s="2084"/>
      <c r="AR306" s="2084"/>
      <c r="AS306" s="2084"/>
      <c r="AT306" s="2084"/>
    </row>
    <row r="307" spans="37:48">
      <c r="AK307" s="1898"/>
      <c r="AL307" s="1777"/>
      <c r="AM307" s="1777"/>
      <c r="AN307" s="1976"/>
      <c r="AO307" s="1777"/>
      <c r="AP307" s="1777"/>
      <c r="AQ307" s="1777"/>
      <c r="AR307" s="1777"/>
      <c r="AS307" s="1777"/>
      <c r="AT307" s="1777"/>
    </row>
    <row r="308" spans="37:48">
      <c r="AK308" s="1898" t="s">
        <v>281</v>
      </c>
      <c r="AL308" s="1968">
        <f>+AL306*$AL$300/1000000</f>
        <v>673.49513955372265</v>
      </c>
      <c r="AM308" s="1968">
        <f>+AM306*$AL$300/1000000</f>
        <v>1186.3659095230898</v>
      </c>
      <c r="AN308" s="1969">
        <f>+AN306*AL300/1000000</f>
        <v>2033.2962485648227</v>
      </c>
      <c r="AO308" s="1968"/>
      <c r="AP308" s="1968"/>
      <c r="AQ308" s="1968"/>
      <c r="AR308" s="1968"/>
      <c r="AS308" s="1968"/>
      <c r="AT308" s="1968"/>
    </row>
    <row r="309" spans="37:48">
      <c r="AK309" s="2182" t="s">
        <v>328</v>
      </c>
      <c r="AL309" s="2104">
        <f>+AL308-$AL$303</f>
        <v>427.00763955372264</v>
      </c>
      <c r="AM309" s="2104">
        <f>+AM308-$AL$303</f>
        <v>939.87840952308989</v>
      </c>
      <c r="AN309" s="2081">
        <f>+AN308-$AL$303</f>
        <v>1786.8087485648227</v>
      </c>
      <c r="AO309" s="1968"/>
      <c r="AP309" s="1968"/>
      <c r="AQ309" s="1968"/>
      <c r="AR309" s="1968"/>
      <c r="AS309" s="1968"/>
      <c r="AT309" s="1968"/>
    </row>
    <row r="310" spans="37:48">
      <c r="AK310" s="1777"/>
      <c r="AL310" s="1968"/>
      <c r="AM310" s="1968"/>
      <c r="AN310" s="1968"/>
      <c r="AO310" s="1968"/>
      <c r="AP310" s="1968"/>
      <c r="AQ310" s="1968"/>
      <c r="AR310" s="1968"/>
      <c r="AS310" s="1968"/>
      <c r="AT310" s="1968"/>
    </row>
    <row r="311" spans="37:48">
      <c r="AO311" s="1518" t="s">
        <v>326</v>
      </c>
      <c r="AP311" s="2082"/>
    </row>
    <row r="312" spans="37:48">
      <c r="AO312" s="1898" t="s">
        <v>327</v>
      </c>
      <c r="AP312" s="1976">
        <f>+AL300</f>
        <v>281700</v>
      </c>
    </row>
    <row r="313" spans="37:48">
      <c r="AO313" s="1898" t="s">
        <v>325</v>
      </c>
      <c r="AP313" s="1969">
        <f>I85</f>
        <v>293.52120259195732</v>
      </c>
    </row>
    <row r="314" spans="37:48" ht="3.95" customHeight="1">
      <c r="AO314" s="1898"/>
      <c r="AP314" s="1566" t="s">
        <v>1367</v>
      </c>
    </row>
    <row r="315" spans="37:48">
      <c r="AO315" s="1898" t="s">
        <v>993</v>
      </c>
      <c r="AP315" s="1969">
        <f>+AP313*AP312/1000000</f>
        <v>82.684922770154373</v>
      </c>
    </row>
    <row r="316" spans="37:48">
      <c r="AO316" s="1898"/>
      <c r="AP316" s="1976"/>
    </row>
    <row r="317" spans="37:48">
      <c r="AO317" s="1898" t="s">
        <v>994</v>
      </c>
      <c r="AP317" s="1969">
        <f>AP315*13</f>
        <v>1074.9039960120069</v>
      </c>
    </row>
    <row r="318" spans="37:48">
      <c r="AO318" s="1972" t="s">
        <v>995</v>
      </c>
      <c r="AP318" s="2081">
        <f>AP315/0.06</f>
        <v>1378.0820461692397</v>
      </c>
    </row>
    <row r="319" spans="37:48">
      <c r="AO319" s="1777"/>
      <c r="AP319" s="1968"/>
    </row>
    <row r="320" spans="37:48" s="2" customFormat="1">
      <c r="AO320" s="228"/>
      <c r="AP320" s="580"/>
      <c r="AQ320" s="2156"/>
      <c r="AR320" s="1022"/>
      <c r="AS320" s="2158" t="s">
        <v>1139</v>
      </c>
      <c r="AT320" s="2158" t="s">
        <v>1140</v>
      </c>
      <c r="AU320" s="2157"/>
      <c r="AV320" s="2159"/>
    </row>
    <row r="321" spans="41:49" s="2" customFormat="1">
      <c r="AO321" s="228"/>
      <c r="AP321" s="580"/>
      <c r="AQ321" s="2160" t="s">
        <v>273</v>
      </c>
      <c r="AR321" s="805" t="s">
        <v>487</v>
      </c>
      <c r="AS321" s="1858" t="s">
        <v>1036</v>
      </c>
      <c r="AT321" s="1858" t="s">
        <v>1036</v>
      </c>
      <c r="AU321" s="1723" t="s">
        <v>1126</v>
      </c>
      <c r="AV321" s="2161" t="s">
        <v>1127</v>
      </c>
    </row>
    <row r="322" spans="41:49">
      <c r="AO322" s="1777"/>
      <c r="AP322" s="1968"/>
      <c r="AQ322" s="505" t="s">
        <v>748</v>
      </c>
      <c r="AR322" s="1791"/>
      <c r="AS322" s="2143"/>
      <c r="AT322" s="2143"/>
      <c r="AU322" s="2144"/>
      <c r="AV322" s="1976"/>
    </row>
    <row r="323" spans="41:49">
      <c r="AO323" s="1777"/>
      <c r="AP323" s="1968"/>
      <c r="AQ323" s="1898" t="s">
        <v>1121</v>
      </c>
      <c r="AR323" s="1777">
        <v>94</v>
      </c>
      <c r="AS323" s="2146">
        <f>P207</f>
        <v>6076.4888837691515</v>
      </c>
      <c r="AT323" s="2143" t="s">
        <v>551</v>
      </c>
      <c r="AU323" s="2144" t="s">
        <v>1128</v>
      </c>
      <c r="AV323" s="1976"/>
    </row>
    <row r="324" spans="41:49">
      <c r="AO324" s="1777"/>
      <c r="AP324" s="1968"/>
      <c r="AQ324" s="1898" t="s">
        <v>1122</v>
      </c>
      <c r="AR324" s="1777">
        <v>125</v>
      </c>
      <c r="AS324" s="2144">
        <f>+P197</f>
        <v>8359.4092246072978</v>
      </c>
      <c r="AT324" s="2144">
        <v>8469</v>
      </c>
      <c r="AU324" s="2144" t="s">
        <v>271</v>
      </c>
      <c r="AV324" s="1976"/>
      <c r="AW324" s="1734" t="s">
        <v>333</v>
      </c>
    </row>
    <row r="325" spans="41:49">
      <c r="AQ325" s="1898" t="s">
        <v>262</v>
      </c>
      <c r="AR325" s="1777"/>
      <c r="AS325" s="2143" t="s">
        <v>551</v>
      </c>
      <c r="AT325" s="2143" t="s">
        <v>551</v>
      </c>
      <c r="AU325" s="2144" t="s">
        <v>1128</v>
      </c>
      <c r="AV325" s="1976" t="s">
        <v>334</v>
      </c>
    </row>
    <row r="326" spans="41:49" ht="3.95" customHeight="1">
      <c r="AQ326" s="1898"/>
      <c r="AR326" s="1777"/>
      <c r="AS326" s="2144"/>
      <c r="AT326" s="2144"/>
      <c r="AU326" s="2144"/>
      <c r="AV326" s="1976"/>
    </row>
    <row r="327" spans="41:49">
      <c r="AQ327" s="1898" t="s">
        <v>261</v>
      </c>
      <c r="AR327" s="1777"/>
      <c r="AS327" s="2146">
        <f>AVERAGE(AS323:AS326)</f>
        <v>7217.9490541882242</v>
      </c>
      <c r="AT327" s="2146">
        <f>AVERAGE(AT323:AT326)</f>
        <v>8469</v>
      </c>
      <c r="AU327" s="2144"/>
      <c r="AV327" s="1976"/>
    </row>
    <row r="328" spans="41:49" s="122" customFormat="1">
      <c r="AQ328" s="1353"/>
      <c r="AR328" s="499"/>
      <c r="AS328" s="2145"/>
      <c r="AT328" s="2145"/>
      <c r="AU328" s="2145"/>
      <c r="AV328" s="2142"/>
    </row>
    <row r="329" spans="41:49">
      <c r="AQ329" s="505" t="s">
        <v>592</v>
      </c>
      <c r="AR329" s="1777"/>
      <c r="AS329" s="2144"/>
      <c r="AT329" s="2144"/>
      <c r="AU329" s="2144"/>
      <c r="AV329" s="1976"/>
    </row>
    <row r="330" spans="41:49">
      <c r="AQ330" s="1898" t="s">
        <v>270</v>
      </c>
      <c r="AR330" s="1777">
        <v>32</v>
      </c>
      <c r="AS330" s="2146">
        <f>P186</f>
        <v>3988.8794874894234</v>
      </c>
      <c r="AT330" s="2146">
        <v>3208.6428571428573</v>
      </c>
      <c r="AU330" s="2144" t="s">
        <v>1129</v>
      </c>
      <c r="AV330" s="1976" t="s">
        <v>335</v>
      </c>
    </row>
    <row r="331" spans="41:49">
      <c r="AQ331" s="1898" t="s">
        <v>1123</v>
      </c>
      <c r="AR331" s="1777">
        <v>97</v>
      </c>
      <c r="AS331" s="2144">
        <f>P106</f>
        <v>3325.8810895245533</v>
      </c>
      <c r="AT331" s="2144">
        <v>3603.0975609756097</v>
      </c>
      <c r="AU331" s="2144" t="s">
        <v>272</v>
      </c>
      <c r="AV331" s="1976" t="s">
        <v>335</v>
      </c>
      <c r="AW331" s="1734" t="s">
        <v>332</v>
      </c>
    </row>
    <row r="332" spans="41:49">
      <c r="AQ332" s="1898" t="s">
        <v>1124</v>
      </c>
      <c r="AR332" s="1777">
        <v>68</v>
      </c>
      <c r="AS332" s="2144">
        <f>P165</f>
        <v>4397.9935901715962</v>
      </c>
      <c r="AT332" s="2143" t="s">
        <v>551</v>
      </c>
      <c r="AU332" s="2144" t="s">
        <v>272</v>
      </c>
      <c r="AV332" s="1976" t="s">
        <v>336</v>
      </c>
    </row>
    <row r="333" spans="41:49">
      <c r="AQ333" s="1898" t="s">
        <v>2242</v>
      </c>
      <c r="AR333" s="1777">
        <v>192</v>
      </c>
      <c r="AS333" s="2144">
        <f>+P219</f>
        <v>4409.2785531747595</v>
      </c>
      <c r="AT333" s="2254"/>
      <c r="AU333" s="2144" t="s">
        <v>1890</v>
      </c>
      <c r="AV333" s="1976"/>
    </row>
    <row r="334" spans="41:49">
      <c r="AQ334" s="1898" t="s">
        <v>2243</v>
      </c>
      <c r="AR334" s="1791" t="s">
        <v>551</v>
      </c>
      <c r="AS334" s="2144">
        <f>+P237</f>
        <v>4935.2251696483654</v>
      </c>
      <c r="AT334" s="2254"/>
      <c r="AU334" s="2144" t="s">
        <v>1891</v>
      </c>
      <c r="AV334" s="1976" t="s">
        <v>1892</v>
      </c>
    </row>
    <row r="335" spans="41:49" ht="3.95" customHeight="1">
      <c r="AQ335" s="1898"/>
      <c r="AR335" s="1777"/>
      <c r="AS335" s="2144"/>
      <c r="AT335" s="2144"/>
      <c r="AU335" s="2144"/>
      <c r="AV335" s="1976"/>
    </row>
    <row r="336" spans="41:49">
      <c r="AQ336" s="1898" t="s">
        <v>260</v>
      </c>
      <c r="AR336" s="1777"/>
      <c r="AS336" s="2146">
        <f>AVERAGE(AS330:AS335)</f>
        <v>4211.4515780017391</v>
      </c>
      <c r="AT336" s="2146">
        <f>AVERAGE(AT330:AT335)</f>
        <v>3405.8702090592333</v>
      </c>
      <c r="AU336" s="2144"/>
      <c r="AV336" s="1976"/>
    </row>
    <row r="337" spans="43:50" s="499" customFormat="1">
      <c r="AQ337" s="1353"/>
      <c r="AS337" s="2145"/>
      <c r="AT337" s="2145"/>
      <c r="AU337" s="2145"/>
      <c r="AV337" s="2142"/>
    </row>
    <row r="338" spans="43:50">
      <c r="AQ338" s="505" t="s">
        <v>84</v>
      </c>
      <c r="AR338" s="1777"/>
      <c r="AS338" s="2144"/>
      <c r="AT338" s="2144"/>
      <c r="AU338" s="2144"/>
      <c r="AV338" s="1976"/>
    </row>
    <row r="339" spans="43:50">
      <c r="AQ339" s="1972" t="s">
        <v>1125</v>
      </c>
      <c r="AR339" s="1735">
        <v>226</v>
      </c>
      <c r="AS339" s="2147">
        <f>P177</f>
        <v>2390.8240665733852</v>
      </c>
      <c r="AT339" s="2147">
        <v>1959.3636363636363</v>
      </c>
      <c r="AU339" s="2148" t="s">
        <v>275</v>
      </c>
      <c r="AV339" s="1973" t="s">
        <v>274</v>
      </c>
    </row>
    <row r="340" spans="43:50" s="122" customFormat="1">
      <c r="AW340" s="2163" t="s">
        <v>1797</v>
      </c>
    </row>
    <row r="341" spans="43:50" s="122" customFormat="1">
      <c r="AW341" s="1964" t="s">
        <v>278</v>
      </c>
      <c r="AX341" s="1966" t="s">
        <v>1371</v>
      </c>
    </row>
    <row r="342" spans="43:50">
      <c r="AW342" s="1898" t="s">
        <v>303</v>
      </c>
      <c r="AX342" s="1969">
        <f>V280</f>
        <v>1073.5485183173073</v>
      </c>
    </row>
    <row r="343" spans="43:50">
      <c r="AW343" s="1898" t="s">
        <v>1889</v>
      </c>
      <c r="AX343" s="1976">
        <f>AM308</f>
        <v>1186.3659095230898</v>
      </c>
    </row>
    <row r="344" spans="43:50">
      <c r="AW344" s="1898" t="s">
        <v>1130</v>
      </c>
      <c r="AX344" s="1976">
        <f>-V275*14.5</f>
        <v>164.95059026538462</v>
      </c>
    </row>
    <row r="345" spans="43:50">
      <c r="AW345" s="1898" t="s">
        <v>1888</v>
      </c>
      <c r="AX345" s="1976">
        <f>+BE417</f>
        <v>475.20000000000005</v>
      </c>
    </row>
    <row r="346" spans="43:50" ht="3.95" customHeight="1">
      <c r="AW346" s="1898"/>
      <c r="AX346" s="1566" t="s">
        <v>276</v>
      </c>
    </row>
    <row r="347" spans="43:50">
      <c r="AW347" s="1898" t="s">
        <v>298</v>
      </c>
      <c r="AX347" s="1969">
        <f>SUM(AX342:AX346)</f>
        <v>2900.0650181057817</v>
      </c>
    </row>
    <row r="348" spans="43:50">
      <c r="AW348" s="1979" t="s">
        <v>321</v>
      </c>
      <c r="AX348" s="2114">
        <f>AX347/1413</f>
        <v>2.0524168564089043</v>
      </c>
    </row>
    <row r="349" spans="43:50">
      <c r="AW349" s="1979"/>
      <c r="AX349" s="2114"/>
    </row>
    <row r="350" spans="43:50">
      <c r="AW350" s="2153" t="s">
        <v>279</v>
      </c>
      <c r="AX350" s="1969">
        <f>-AL303</f>
        <v>-246.48750000000001</v>
      </c>
    </row>
    <row r="351" spans="43:50">
      <c r="AW351" s="2153" t="s">
        <v>361</v>
      </c>
      <c r="AX351" s="1969">
        <f>-AZ395</f>
        <v>-609.24907135211913</v>
      </c>
    </row>
    <row r="352" spans="43:50" s="1777" customFormat="1">
      <c r="AW352" s="1898"/>
      <c r="AX352" s="1976"/>
    </row>
    <row r="353" spans="49:50">
      <c r="AW353" s="1898" t="s">
        <v>314</v>
      </c>
      <c r="AX353" s="1969">
        <f>SUM(AX347,AX350:AX352)</f>
        <v>2044.3284467536623</v>
      </c>
    </row>
    <row r="354" spans="49:50">
      <c r="AW354" s="1979" t="s">
        <v>277</v>
      </c>
      <c r="AX354" s="2114">
        <f>+AX353/'EBITDA Val'!$H$14</f>
        <v>6.348846107930628</v>
      </c>
    </row>
    <row r="355" spans="49:50" s="1777" customFormat="1">
      <c r="AW355" s="1898"/>
      <c r="AX355" s="1976"/>
    </row>
    <row r="356" spans="49:50" s="1777" customFormat="1">
      <c r="AW356" s="1898" t="s">
        <v>285</v>
      </c>
      <c r="AX356" s="1969">
        <f>+T256*13</f>
        <v>1090.800675</v>
      </c>
    </row>
    <row r="357" spans="49:50" s="1777" customFormat="1">
      <c r="AW357" s="1979" t="s">
        <v>277</v>
      </c>
      <c r="AX357" s="2114">
        <f>+AX356/'EBITDA Val'!$H$14</f>
        <v>3.3875797360248447</v>
      </c>
    </row>
    <row r="358" spans="49:50" s="1777" customFormat="1">
      <c r="AW358" s="1898"/>
      <c r="AX358" s="1969"/>
    </row>
    <row r="359" spans="49:50">
      <c r="AW359" s="1972" t="s">
        <v>299</v>
      </c>
      <c r="AX359" s="2086">
        <f>+AX354-AX357</f>
        <v>2.9612663719057832</v>
      </c>
    </row>
    <row r="360" spans="49:50">
      <c r="AW360" s="1777"/>
      <c r="AX360" s="1785"/>
    </row>
    <row r="361" spans="49:50">
      <c r="AW361" s="2163" t="s">
        <v>312</v>
      </c>
      <c r="AX361" s="1785"/>
    </row>
    <row r="362" spans="49:50" s="122" customFormat="1">
      <c r="AW362" s="1964" t="s">
        <v>315</v>
      </c>
      <c r="AX362" s="1966" t="s">
        <v>1371</v>
      </c>
    </row>
    <row r="363" spans="49:50">
      <c r="AW363" s="1898" t="s">
        <v>311</v>
      </c>
      <c r="AX363" s="1969">
        <f>V277/0.03</f>
        <v>1431.3980244230765</v>
      </c>
    </row>
    <row r="364" spans="49:50">
      <c r="AW364" s="1898" t="s">
        <v>304</v>
      </c>
      <c r="AX364" s="1976">
        <f>+AN308</f>
        <v>2033.2962485648227</v>
      </c>
    </row>
    <row r="365" spans="49:50">
      <c r="AW365" s="1898" t="s">
        <v>316</v>
      </c>
      <c r="AX365" s="1976">
        <f>+BF417</f>
        <v>1485</v>
      </c>
    </row>
    <row r="366" spans="49:50" ht="3.95" customHeight="1">
      <c r="AW366" s="1898"/>
      <c r="AX366" s="1566" t="s">
        <v>276</v>
      </c>
    </row>
    <row r="367" spans="49:50">
      <c r="AW367" s="1898" t="s">
        <v>298</v>
      </c>
      <c r="AX367" s="1969">
        <f>SUM(AX363:AX366)</f>
        <v>4949.6942729878992</v>
      </c>
    </row>
    <row r="368" spans="49:50">
      <c r="AW368" s="1979"/>
      <c r="AX368" s="2114"/>
    </row>
    <row r="369" spans="49:52">
      <c r="AW369" s="2153" t="s">
        <v>279</v>
      </c>
      <c r="AX369" s="1969">
        <f>-AL303</f>
        <v>-246.48750000000001</v>
      </c>
    </row>
    <row r="370" spans="49:52">
      <c r="AW370" s="2153" t="s">
        <v>313</v>
      </c>
      <c r="AX370" s="2079">
        <v>-350</v>
      </c>
    </row>
    <row r="371" spans="49:52">
      <c r="AW371" s="1978" t="s">
        <v>362</v>
      </c>
      <c r="AX371" s="1976">
        <f>V275*14.5</f>
        <v>-164.95059026538462</v>
      </c>
    </row>
    <row r="372" spans="49:52">
      <c r="AW372" s="2153" t="s">
        <v>305</v>
      </c>
      <c r="AX372" s="2079">
        <v>0</v>
      </c>
    </row>
    <row r="373" spans="49:52" s="1777" customFormat="1">
      <c r="AW373" s="1898"/>
      <c r="AX373" s="1976"/>
    </row>
    <row r="374" spans="49:52">
      <c r="AW374" s="1898" t="s">
        <v>318</v>
      </c>
      <c r="AX374" s="1969">
        <f>SUM(AX367:AX373)</f>
        <v>4188.2561827225145</v>
      </c>
    </row>
    <row r="375" spans="49:52">
      <c r="AW375" s="2102" t="s">
        <v>319</v>
      </c>
      <c r="AX375" s="2086">
        <f>+AX374/'EBITDA Val'!$H$14</f>
        <v>13.007006778641349</v>
      </c>
    </row>
    <row r="376" spans="49:52">
      <c r="AW376" s="1777"/>
      <c r="AX376" s="1785"/>
    </row>
    <row r="377" spans="49:52">
      <c r="AY377" s="1734" t="s">
        <v>694</v>
      </c>
    </row>
    <row r="378" spans="49:52">
      <c r="AY378" s="1964" t="s">
        <v>293</v>
      </c>
      <c r="AZ378" s="1966" t="s">
        <v>1371</v>
      </c>
    </row>
    <row r="379" spans="49:52">
      <c r="AY379" s="1898" t="s">
        <v>337</v>
      </c>
      <c r="AZ379" s="2155">
        <f>+AX342+AX343+AX345</f>
        <v>2735.1144278403972</v>
      </c>
    </row>
    <row r="380" spans="49:52">
      <c r="AY380" s="1898"/>
      <c r="AZ380" s="1976"/>
    </row>
    <row r="381" spans="49:52">
      <c r="AY381" s="2154" t="s">
        <v>290</v>
      </c>
      <c r="AZ381" s="2155">
        <f>+BB401*BB400/1000000</f>
        <v>2.9882879999999998</v>
      </c>
    </row>
    <row r="382" spans="49:52">
      <c r="AY382" s="2154" t="s">
        <v>291</v>
      </c>
      <c r="AZ382" s="2199">
        <f>+BB404*BB403/1000000</f>
        <v>2.8084020000000001</v>
      </c>
    </row>
    <row r="383" spans="49:52">
      <c r="AY383" s="1898" t="s">
        <v>292</v>
      </c>
      <c r="AZ383" s="2199">
        <v>77</v>
      </c>
    </row>
    <row r="384" spans="49:52">
      <c r="AY384" s="1898" t="s">
        <v>295</v>
      </c>
      <c r="AZ384" s="2199">
        <v>100</v>
      </c>
    </row>
    <row r="385" spans="51:60">
      <c r="AY385" s="1898" t="s">
        <v>296</v>
      </c>
      <c r="AZ385" s="2199">
        <v>100</v>
      </c>
    </row>
    <row r="386" spans="51:60">
      <c r="AY386" s="1898" t="s">
        <v>300</v>
      </c>
      <c r="AZ386" s="2199">
        <v>175</v>
      </c>
    </row>
    <row r="387" spans="51:60">
      <c r="AY387" s="1898" t="s">
        <v>338</v>
      </c>
      <c r="AZ387" s="2199">
        <f>-AX350</f>
        <v>246.48750000000001</v>
      </c>
    </row>
    <row r="388" spans="51:60" ht="3.95" customHeight="1">
      <c r="AY388" s="1898"/>
      <c r="AZ388" s="1566" t="s">
        <v>301</v>
      </c>
    </row>
    <row r="389" spans="51:60">
      <c r="AY389" s="1898" t="s">
        <v>341</v>
      </c>
      <c r="AZ389" s="2155">
        <f>SUM(AZ381:AZ388)</f>
        <v>704.28419000000008</v>
      </c>
    </row>
    <row r="390" spans="51:60">
      <c r="AY390" s="1898"/>
      <c r="AZ390" s="1976"/>
    </row>
    <row r="391" spans="51:60">
      <c r="AY391" s="1898" t="s">
        <v>297</v>
      </c>
      <c r="AZ391" s="2155">
        <f>+AZ379-AZ389</f>
        <v>2030.8302378403971</v>
      </c>
    </row>
    <row r="392" spans="51:60">
      <c r="AY392" s="1898"/>
      <c r="AZ392" s="1976"/>
      <c r="BA392" s="1773" t="s">
        <v>344</v>
      </c>
      <c r="BB392" s="1773" t="s">
        <v>350</v>
      </c>
      <c r="BD392" s="1773" t="s">
        <v>345</v>
      </c>
      <c r="BE392" s="1773" t="s">
        <v>346</v>
      </c>
      <c r="BF392" s="1773" t="s">
        <v>347</v>
      </c>
      <c r="BG392" s="1773" t="s">
        <v>348</v>
      </c>
      <c r="BH392" s="1773" t="s">
        <v>349</v>
      </c>
    </row>
    <row r="393" spans="51:60">
      <c r="AY393" s="1898" t="s">
        <v>342</v>
      </c>
      <c r="AZ393" s="2093">
        <v>0.3</v>
      </c>
      <c r="BA393" s="2203">
        <v>0.35</v>
      </c>
      <c r="BB393" s="1734">
        <f>+NPV(BA394,BD394:BH394)</f>
        <v>538.89110775639904</v>
      </c>
      <c r="BD393" s="2202">
        <v>0.2</v>
      </c>
      <c r="BE393" s="2202">
        <v>0.2</v>
      </c>
      <c r="BF393" s="2202">
        <v>0.2</v>
      </c>
      <c r="BG393" s="2202">
        <v>0.2</v>
      </c>
      <c r="BH393" s="2201">
        <f>1-SUM(BD393:BG393)</f>
        <v>0.19999999999999996</v>
      </c>
    </row>
    <row r="394" spans="51:60">
      <c r="AY394" s="1898"/>
      <c r="AZ394" s="1976"/>
      <c r="BA394" s="2203">
        <v>0.1</v>
      </c>
      <c r="BB394" s="1734">
        <f>+AZ391*BA393</f>
        <v>710.79058324413893</v>
      </c>
      <c r="BD394" s="1734">
        <f>+$BB$394*BD393</f>
        <v>142.15811664882779</v>
      </c>
      <c r="BE394" s="1734">
        <f>+$BB$394*BE393</f>
        <v>142.15811664882779</v>
      </c>
      <c r="BF394" s="1734">
        <f>+$BB$394*BF393</f>
        <v>142.15811664882779</v>
      </c>
      <c r="BG394" s="1734">
        <f>+$BB$394*BG393</f>
        <v>142.15811664882779</v>
      </c>
      <c r="BH394" s="1734">
        <f>+$BB$394*BH393</f>
        <v>142.15811664882776</v>
      </c>
    </row>
    <row r="395" spans="51:60">
      <c r="AY395" s="1972" t="s">
        <v>694</v>
      </c>
      <c r="AZ395" s="2184">
        <f>+AZ393*AZ391</f>
        <v>609.24907135211913</v>
      </c>
    </row>
    <row r="396" spans="51:60">
      <c r="AY396" s="1734" t="s">
        <v>294</v>
      </c>
      <c r="AZ396" s="2149"/>
    </row>
    <row r="397" spans="51:60">
      <c r="AY397" s="1734" t="s">
        <v>343</v>
      </c>
      <c r="AZ397" s="2149"/>
    </row>
    <row r="398" spans="51:60">
      <c r="AZ398" s="2149"/>
      <c r="BA398" s="1734" t="s">
        <v>302</v>
      </c>
    </row>
    <row r="399" spans="51:60">
      <c r="BA399" s="2091" t="s">
        <v>287</v>
      </c>
      <c r="BB399" s="2162">
        <v>366040.75</v>
      </c>
    </row>
    <row r="400" spans="51:60">
      <c r="BA400" s="2154" t="s">
        <v>339</v>
      </c>
      <c r="BB400" s="1976">
        <v>249024</v>
      </c>
      <c r="BC400" s="1775">
        <f>+BB400/BB399</f>
        <v>0.68031769686844978</v>
      </c>
    </row>
    <row r="401" spans="53:58">
      <c r="BA401" s="1979" t="s">
        <v>286</v>
      </c>
      <c r="BB401" s="1969">
        <v>12</v>
      </c>
    </row>
    <row r="402" spans="53:58">
      <c r="BA402" s="2154" t="s">
        <v>329</v>
      </c>
      <c r="BB402" s="2155">
        <f>+BB401*BB400/1000000</f>
        <v>2.9882879999999998</v>
      </c>
    </row>
    <row r="403" spans="53:58">
      <c r="BA403" s="1898" t="s">
        <v>288</v>
      </c>
      <c r="BB403" s="1976">
        <f>+BB399-BB400</f>
        <v>117016.75</v>
      </c>
    </row>
    <row r="404" spans="53:58">
      <c r="BA404" s="1979" t="s">
        <v>289</v>
      </c>
      <c r="BB404" s="1969">
        <f>+BB401*2</f>
        <v>24</v>
      </c>
    </row>
    <row r="405" spans="53:58">
      <c r="BA405" s="2154" t="s">
        <v>330</v>
      </c>
      <c r="BB405" s="2155">
        <f>+BB404*BB403/1000000</f>
        <v>2.8084020000000001</v>
      </c>
    </row>
    <row r="406" spans="53:58">
      <c r="BA406" s="2183" t="s">
        <v>340</v>
      </c>
      <c r="BB406" s="2200">
        <f>+BB405+BB402</f>
        <v>5.7966899999999999</v>
      </c>
    </row>
    <row r="407" spans="53:58">
      <c r="BD407" s="1734" t="s">
        <v>306</v>
      </c>
    </row>
    <row r="408" spans="53:58">
      <c r="BD408" s="1964"/>
      <c r="BE408" s="1965" t="s">
        <v>592</v>
      </c>
      <c r="BF408" s="1966" t="s">
        <v>748</v>
      </c>
    </row>
    <row r="409" spans="53:58">
      <c r="BD409" s="1898" t="s">
        <v>307</v>
      </c>
      <c r="BE409" s="2083">
        <v>237600</v>
      </c>
      <c r="BF409" s="2079">
        <f>+BE409</f>
        <v>237600</v>
      </c>
    </row>
    <row r="410" spans="53:58">
      <c r="BD410" s="1898" t="s">
        <v>308</v>
      </c>
      <c r="BE410" s="2094">
        <v>0.15</v>
      </c>
      <c r="BF410" s="2093">
        <v>0.25</v>
      </c>
    </row>
    <row r="411" spans="53:58">
      <c r="BD411" s="1979" t="s">
        <v>309</v>
      </c>
      <c r="BE411" s="1777">
        <f>+BE410*BE409</f>
        <v>35640</v>
      </c>
      <c r="BF411" s="1976">
        <f>+BF410*BF409</f>
        <v>59400</v>
      </c>
    </row>
    <row r="412" spans="53:58">
      <c r="BD412" s="1898" t="s">
        <v>310</v>
      </c>
      <c r="BE412" s="2084">
        <v>600</v>
      </c>
      <c r="BF412" s="2080">
        <v>1000</v>
      </c>
    </row>
    <row r="413" spans="53:58">
      <c r="BD413" s="1898"/>
      <c r="BE413" s="1777"/>
      <c r="BF413" s="1976"/>
    </row>
    <row r="414" spans="53:58" s="2149" customFormat="1">
      <c r="BD414" s="2164" t="s">
        <v>364</v>
      </c>
      <c r="BE414" s="2165">
        <f>BE411*BE412/1000000</f>
        <v>21.384</v>
      </c>
      <c r="BF414" s="2155">
        <f>BF411*BF412/1000000</f>
        <v>59.4</v>
      </c>
    </row>
    <row r="415" spans="53:58" s="1862" customFormat="1">
      <c r="BD415" s="2166" t="s">
        <v>1536</v>
      </c>
      <c r="BE415" s="2101">
        <v>4.4999999999999998E-2</v>
      </c>
      <c r="BF415" s="2167">
        <v>0.04</v>
      </c>
    </row>
    <row r="416" spans="53:58" ht="3.95" customHeight="1">
      <c r="BD416" s="1898"/>
      <c r="BE416" s="1565" t="s">
        <v>317</v>
      </c>
      <c r="BF416" s="1566" t="s">
        <v>317</v>
      </c>
    </row>
    <row r="417" spans="56:58" s="1776" customFormat="1">
      <c r="BD417" s="2095" t="s">
        <v>365</v>
      </c>
      <c r="BE417" s="2104">
        <f>+BE414/BE415</f>
        <v>475.20000000000005</v>
      </c>
      <c r="BF417" s="2081">
        <f>+BF414/BF415</f>
        <v>1485</v>
      </c>
    </row>
  </sheetData>
  <phoneticPr fontId="114" type="noConversion"/>
  <hyperlinks>
    <hyperlink ref="B3" r:id="rId1" tooltip="Link to unit #42R/R2 on StreetEasy" display="http://streeteasy.com/property/6830614-waldorf-astoria-hotel-42rr2"/>
    <hyperlink ref="F3" r:id="rId2" display="http://streeteasy.com/rental/1041760-rental-100-east-50th-street-midtown-new-york"/>
    <hyperlink ref="B4" r:id="rId3" tooltip="Link to unit #36H on StreetEasy" display="http://streeteasy.com/property/6829892-waldorf-astoria-hotel-36h"/>
    <hyperlink ref="F4" r:id="rId4" display="http://streeteasy.com/rental/1040062-rental-100-east-50th-street-midtown-new-york"/>
    <hyperlink ref="B5" r:id="rId5" tooltip="Link to unit #39Y on StreetEasy" display="http://streeteasy.com/property/6718539-waldorf-astoria-hotel-39y"/>
    <hyperlink ref="F5" r:id="rId6" display="http://streeteasy.com/rental/1033011-rental-100-east-50th-street-midtown-new-york"/>
    <hyperlink ref="B6" r:id="rId7" tooltip="Link to unit #31T on StreetEasy" display="http://streeteasy.com/property/4154950-waldorf-astoria-hotel-31t"/>
    <hyperlink ref="F6" r:id="rId8" display="http://streeteasy.com/rental/1035717-rental-100-east-50th-street-midtown-new-york"/>
    <hyperlink ref="B7" r:id="rId9" tooltip="Link to unit #37T on StreetEasy" display="http://streeteasy.com/property/1314939-waldorf-astoria-hotel-37t"/>
    <hyperlink ref="F7" r:id="rId10" display="http://streeteasy.com/rental/1022457-rental-100-east-50th-street-midtown-new-york"/>
    <hyperlink ref="B8" r:id="rId11" tooltip="Link to unit #37R/R2 on StreetEasy" display="http://streeteasy.com/property/4301830-waldorf-astoria-hotel-37rr2"/>
    <hyperlink ref="F8" r:id="rId12" display="http://streeteasy.com/rental/1013168-rental-100-east-50th-street-midtown-new-york"/>
    <hyperlink ref="B9" r:id="rId13" tooltip="Link to unit #39F on StreetEasy" display="http://streeteasy.com/property/1408144-waldorf-astoria-hotel-39f"/>
    <hyperlink ref="F9" r:id="rId14" display="http://streeteasy.com/rental/1013169-rental-100-east-50th-street-midtown-new-york"/>
    <hyperlink ref="B10" r:id="rId15" tooltip="Link to unit #36A on StreetEasy" display="http://streeteasy.com/property/1341971-waldorf-astoria-hotel-36a"/>
    <hyperlink ref="F10" r:id="rId16" display="http://streeteasy.com/rental/990286-rental-100-east-50th-street-midtown-new-york"/>
    <hyperlink ref="B11" r:id="rId17" tooltip="Link to unit #31F/F2 on StreetEasy" display="http://streeteasy.com/property/3268207-waldorf-astoria-hotel-31ff2"/>
    <hyperlink ref="F11" r:id="rId18" display="http://streeteasy.com/rental/999107-rental-100-east-50th-street-midtown-new-york"/>
    <hyperlink ref="B12" r:id="rId19" tooltip="Link to unit #37HH2 on StreetEasy" display="http://streeteasy.com/property/1321758-waldorf-astoria-hotel-37hh2"/>
    <hyperlink ref="F12" r:id="rId20" display="http://streeteasy.com/rental/1004703-rental-100-east-50th-street-midtown-new-york"/>
    <hyperlink ref="B13" r:id="rId21" tooltip="Link to unit #28F/F2 on StreetEasy" display="http://streeteasy.com/property/1398770-waldorf-astoria-hotel-28ff2"/>
    <hyperlink ref="F13" r:id="rId22" display="http://streeteasy.com/rental/1004426-rental-100-east-50th-street-midtown-new-york"/>
    <hyperlink ref="B14" r:id="rId23" tooltip="Link to unit #33A on StreetEasy" display="http://streeteasy.com/property/1324355-waldorf-astoria-hotel-33a"/>
    <hyperlink ref="F14" r:id="rId24" display="http://streeteasy.com/rental/672008-rental-100-east-50th-street-midtown-new-york"/>
    <hyperlink ref="B15" r:id="rId25" tooltip="Link to unit #40A on StreetEasy" display="http://streeteasy.com/property/1316365-waldorf-astoria-hotel-40a"/>
    <hyperlink ref="F15" r:id="rId26" display="http://streeteasy.com/rental/747863-rental-100-east-50th-street-midtown-new-york"/>
    <hyperlink ref="B16" r:id="rId27" tooltip="Link to unit #30H on StreetEasy" display="http://streeteasy.com/property/1325287-waldorf-astoria-hotel-30h"/>
    <hyperlink ref="F16" r:id="rId28" display="http://streeteasy.com/rental/673391-rental-100-east-50th-street-midtown-new-york"/>
    <hyperlink ref="B17" r:id="rId29" tooltip="Link to unit #33H on StreetEasy" display="http://streeteasy.com/property/1314837-waldorf-astoria-hotel-33h"/>
    <hyperlink ref="F17" r:id="rId30" display="http://streeteasy.com/rental/632219-rental-100-east-50th-street-midtown-new-york"/>
    <hyperlink ref="B18" r:id="rId31" tooltip="Link to unit #32H on StreetEasy" display="http://streeteasy.com/property/1298795-waldorf-astoria-hotel-32h"/>
    <hyperlink ref="F18" r:id="rId32" display="http://streeteasy.com/rental/999106-rental-100-east-50th-street-midtown-new-york"/>
    <hyperlink ref="B19" r:id="rId33" tooltip="Link to unit #31H on StreetEasy" display="http://streeteasy.com/property/1316366-waldorf-astoria-hotel-31h"/>
    <hyperlink ref="F19" r:id="rId34" display="http://streeteasy.com/rental/920923-rental-100-east-50th-street-midtown-new-york"/>
    <hyperlink ref="B20" r:id="rId35" tooltip="Link to unit #3308 on StreetEasy" display="http://streeteasy.com/property/1365509-waldorf-astoria-hotel-3308"/>
    <hyperlink ref="F20" r:id="rId36" display="http://streeteasy.com/rental/976090-rental-100-east-50th-street-midtown-new-york"/>
    <hyperlink ref="B21" r:id="rId37" tooltip="Link to unit #37H/H2 on StreetEasy" display="http://streeteasy.com/property/1373431-waldorf-astoria-hotel-37hh2"/>
    <hyperlink ref="F21" r:id="rId38" display="http://streeteasy.com/rental/673389-rental-100-east-50th-street-midtown-new-york"/>
    <hyperlink ref="B22" r:id="rId39" tooltip="Link to unit #31T on StreetEasy" display="http://streeteasy.com/property/4154950-waldorf-astoria-hotel-31t"/>
    <hyperlink ref="F22" r:id="rId40" display="http://streeteasy.com/rental/973347-rental-100-east-50th-street-midtown-new-york"/>
    <hyperlink ref="B23" r:id="rId41" tooltip="Link to unit #37T on StreetEasy" display="http://streeteasy.com/property/1314939-waldorf-astoria-hotel-37t"/>
    <hyperlink ref="F23" r:id="rId42" display="http://streeteasy.com/rental/962814-rental-100-east-50th-street-midtown-new-york"/>
    <hyperlink ref="B24" r:id="rId43" tooltip="Link to unit #32H on StreetEasy" display="http://streeteasy.com/property/1298795-waldorf-astoria-hotel-32h"/>
    <hyperlink ref="F24" r:id="rId44" display="http://streeteasy.com/rental/921896-rental-100-east-50th-street-midtown-new-york"/>
    <hyperlink ref="B25" r:id="rId45" tooltip="Link to unit #31F/F2 on StreetEasy" display="http://streeteasy.com/property/3268207-waldorf-astoria-hotel-31ff2"/>
    <hyperlink ref="F25" r:id="rId46" display="http://streeteasy.com/rental/920924-rental-100-east-50th-street-midtown-new-york"/>
    <hyperlink ref="B26" r:id="rId47" tooltip="Link to unit #36A on StreetEasy" display="http://streeteasy.com/property/1341971-waldorf-astoria-hotel-36a"/>
    <hyperlink ref="F26" r:id="rId48" display="http://streeteasy.com/rental/936849-rental-100-east-50th-street-midtown-new-york"/>
    <hyperlink ref="B27" r:id="rId49" tooltip="Link to unit #3308 on StreetEasy" display="http://streeteasy.com/property/1365509-waldorf-astoria-hotel-3308"/>
    <hyperlink ref="F27" r:id="rId50" display="http://streeteasy.com/rental/882022-rental-100-east-50th-street-midtown-new-york"/>
    <hyperlink ref="B28" r:id="rId51" tooltip="Link to unit #38M/M2 on StreetEasy" display="http://streeteasy.com/property/1624287-waldorf-astoria-hotel-38mm2"/>
    <hyperlink ref="F28" r:id="rId52" display="http://streeteasy.com/rental/884855-rental-100-east-50th-street-midtown-new-york"/>
    <hyperlink ref="B29" r:id="rId53" tooltip="Link to unit #37T on StreetEasy" display="http://streeteasy.com/property/1314939-waldorf-astoria-hotel-37t"/>
    <hyperlink ref="F29" r:id="rId54" display="http://streeteasy.com/rental/908775-rental-100-east-50th-street-midtown-new-york"/>
    <hyperlink ref="B30" r:id="rId55" tooltip="Link to unit #39F on StreetEasy" display="http://streeteasy.com/property/1408144-waldorf-astoria-hotel-39f"/>
    <hyperlink ref="F30" r:id="rId56" display="http://streeteasy.com/rental/779346-rental-100-east-50th-street-midtown-new-york"/>
    <hyperlink ref="B31" r:id="rId57" tooltip="Link to unit #37Y on StreetEasy" display="http://streeteasy.com/property/1314940-waldorf-astoria-hotel-37y"/>
    <hyperlink ref="F31" r:id="rId58" display="http://streeteasy.com/rental/755612-rental-100-east-50th-street-midtown-new-york"/>
    <hyperlink ref="B32" r:id="rId59" tooltip="Link to unit #37RR2 on StreetEasy" display="http://streeteasy.com/property/1319327-waldorf-astoria-hotel-37rr2"/>
    <hyperlink ref="F32" r:id="rId60" display="http://streeteasy.com/rental/417567-rental-100-east-50th-street-midtown-new-york"/>
    <hyperlink ref="B33" r:id="rId61" tooltip="Link to unit #36A on StreetEasy" display="http://streeteasy.com/property/1341971-waldorf-astoria-hotel-36a"/>
    <hyperlink ref="F33" r:id="rId62" display="http://streeteasy.com/rental/830528-rental-100-east-50th-street-midtown-new-york"/>
    <hyperlink ref="B34" r:id="rId63" tooltip="Link to unit #36A on StreetEasy" display="http://streeteasy.com/property/1341971-waldorf-astoria-hotel-36a"/>
    <hyperlink ref="F34" r:id="rId64" display="http://streeteasy.com/rental/608303-rental-100-east-50th-street-midtown-new-york"/>
    <hyperlink ref="B35" r:id="rId65" tooltip="Link to unit #31H on StreetEasy" display="http://streeteasy.com/property/1316366-waldorf-astoria-hotel-31h"/>
    <hyperlink ref="F35" r:id="rId66" display="http://streeteasy.com/rental/786045-rental-100-east-50th-street-midtown-new-york"/>
    <hyperlink ref="B36" r:id="rId67" tooltip="Link to unit #42H on StreetEasy" display="http://streeteasy.com/property/1316712-waldorf-astoria-hotel-42h"/>
    <hyperlink ref="F36" r:id="rId68" display="http://streeteasy.com/rental/815651-rental-100-east-50th-street-midtown-new-york"/>
    <hyperlink ref="B37" r:id="rId69" tooltip="Link to unit #28F/F2 on StreetEasy" display="http://streeteasy.com/property/1398770-waldorf-astoria-hotel-28ff2"/>
    <hyperlink ref="F37" r:id="rId70" display="http://streeteasy.com/rental/755611-rental-100-east-50th-street-midtown-new-york"/>
    <hyperlink ref="B38" r:id="rId71" tooltip="Link to unit #30F/F2 on StreetEasy" display="http://streeteasy.com/property/1628603-waldorf-astoria-hotel-30ff2"/>
    <hyperlink ref="F38" r:id="rId72" display="http://streeteasy.com/rental/890689-rental-100-east-50th-street-midtown-new-york"/>
    <hyperlink ref="B39" r:id="rId73" tooltip="Link to unit #37J on StreetEasy" display="http://streeteasy.com/property/1341972-waldorf-astoria-hotel-37j"/>
    <hyperlink ref="F39" r:id="rId74" display="http://streeteasy.com/rental/569410-rental-100-east-50th-street-midtown-new-york"/>
    <hyperlink ref="B40" r:id="rId75" tooltip="Link to unit #32H on StreetEasy" display="http://streeteasy.com/property/1298795-waldorf-astoria-hotel-32h"/>
    <hyperlink ref="F40" r:id="rId76" display="http://streeteasy.com/rental/115179-rental-100-east-50th-street-midtown-new-york"/>
    <hyperlink ref="B41" r:id="rId77" tooltip="Link to unit #31H on StreetEasy" display="http://streeteasy.com/property/1316366-waldorf-astoria-hotel-31h"/>
    <hyperlink ref="F41" r:id="rId78" display="http://streeteasy.com/rental/844566-rental-100-east-50th-street-midtown-new-york"/>
    <hyperlink ref="B42" r:id="rId79" tooltip="Link to unit #37T on StreetEasy" display="http://streeteasy.com/property/1314939-waldorf-astoria-hotel-37t"/>
    <hyperlink ref="F42" r:id="rId80" display="http://streeteasy.com/rental/745751-rental-100-east-50th-street-midtown-new-york"/>
    <hyperlink ref="B43" r:id="rId81" tooltip="Link to unit #32T on StreetEasy" display="http://streeteasy.com/property/1366388-waldorf-astoria-hotel-32t"/>
    <hyperlink ref="F43" r:id="rId82" display="http://streeteasy.com/rental/654784-rental-100-east-50th-street-midtown-new-york"/>
    <hyperlink ref="B44" r:id="rId83" tooltip="Link to unit #37H on StreetEasy" display="http://streeteasy.com/property/1391270-waldorf-astoria-hotel-37h"/>
    <hyperlink ref="F44" r:id="rId84" display="http://streeteasy.com/rental/736040-coop-100-east-50th-street-midtown-new-york"/>
    <hyperlink ref="B45" r:id="rId85" tooltip="Link to unit #3310 on StreetEasy" display="http://streeteasy.com/property/1314838-waldorf-astoria-hotel-3310"/>
    <hyperlink ref="F45" r:id="rId86" display="http://streeteasy.com/rental/755613-rental-100-east-50th-street-midtown-new-york"/>
    <hyperlink ref="B46" r:id="rId87" tooltip="Link to unit #42H on StreetEasy" display="http://streeteasy.com/property/1316712-waldorf-astoria-hotel-42h"/>
    <hyperlink ref="F46" r:id="rId88" display="http://streeteasy.com/rental/755343-coop-100-east-50th-street-midtown-new-york"/>
    <hyperlink ref="B47" r:id="rId89" tooltip="Link to unit #331B on StreetEasy" display="http://streeteasy.com/property/1393711-waldorf-astoria-hotel-331b"/>
    <hyperlink ref="F47" r:id="rId90" display="http://streeteasy.com/rental/742135-rental-100-east-50th-street-midtown-new-york"/>
    <hyperlink ref="B48" r:id="rId91" tooltip="Link to unit #38MM2 on StreetEasy" display="http://streeteasy.com/property/1324157-waldorf-astoria-hotel-38mm2"/>
    <hyperlink ref="F48" r:id="rId92" display="http://streeteasy.com/rental/740247-coop-100-east-50th-street-midtown-new-york"/>
    <hyperlink ref="B49" r:id="rId93" tooltip="Link to unit #3308 on StreetEasy" display="http://streeteasy.com/property/1365509-waldorf-astoria-hotel-3308"/>
    <hyperlink ref="F49" r:id="rId94" display="http://streeteasy.com/rental/652395-coop-100-east-50th-street-midtown-new-york"/>
    <hyperlink ref="B50" r:id="rId95" tooltip="Link to unit #31H on StreetEasy" display="http://streeteasy.com/property/1316366-waldorf-astoria-hotel-31h"/>
    <hyperlink ref="F50" r:id="rId96" display="http://streeteasy.com/rental/632220-coop-100-east-50th-street-midtown-new-york"/>
    <hyperlink ref="B51" r:id="rId97" tooltip="Link to unit #28H on StreetEasy" display="http://streeteasy.com/property/1314839-waldorf-astoria-hotel-28h"/>
    <hyperlink ref="F51" r:id="rId98" display="http://streeteasy.com/rental/569411-coop-100-east-50th-street-midtown-new-york"/>
    <hyperlink ref="B52" r:id="rId99" tooltip="Link to unit #41H on StreetEasy" display="http://streeteasy.com/property/1353154-waldorf-astoria-hotel-41h"/>
    <hyperlink ref="F52" r:id="rId100" display="http://streeteasy.com/rental/678069-coop-100-east-50th-street-midtown-new-york"/>
    <hyperlink ref="B53" r:id="rId101" tooltip="Link to unit #38MM2 on StreetEasy" display="http://streeteasy.com/property/1324157-waldorf-astoria-hotel-38mm2"/>
    <hyperlink ref="F53" r:id="rId102" display="http://streeteasy.com/rental/680415-rental-100-east-50th-street-midtown-new-york"/>
    <hyperlink ref="B54" r:id="rId103" tooltip="Link to unit #38M2 on StreetEasy" display="http://streeteasy.com/property/1325532-waldorf-astoria-hotel-38m2"/>
    <hyperlink ref="F54" r:id="rId104" display="http://streeteasy.com/rental/467535-coop-100-east-50th-street-midtown-new-york"/>
    <hyperlink ref="B55" r:id="rId105" tooltip="Link to unit #40A on StreetEasy" display="http://streeteasy.com/property/1316365-waldorf-astoria-hotel-40a"/>
    <hyperlink ref="F55" r:id="rId106" display="http://streeteasy.com/rental/608701-rental-100-east-50th-street-midtown-new-york"/>
    <hyperlink ref="B56" r:id="rId107" tooltip="Link to unit #42H on StreetEasy" display="http://streeteasy.com/property/1316712-waldorf-astoria-hotel-42h"/>
    <hyperlink ref="F56" r:id="rId108" display="http://streeteasy.com/rental/389903-rental-100-east-50th-street-midtown-new-york"/>
    <hyperlink ref="B57" r:id="rId109" tooltip="Link to unit #3310 on StreetEasy" display="http://streeteasy.com/property/1314838-waldorf-astoria-hotel-3310"/>
    <hyperlink ref="F57" r:id="rId110" display="http://streeteasy.com/rental/569414-rental-100-east-50th-street-midtown-new-york"/>
    <hyperlink ref="B58" r:id="rId111" tooltip="Link to unit #37Y on StreetEasy" display="http://streeteasy.com/property/1314940-waldorf-astoria-hotel-37y"/>
    <hyperlink ref="F58" r:id="rId112" display="http://streeteasy.com/rental/569413-rental-100-east-50th-street-midtown-new-york"/>
    <hyperlink ref="B59" r:id="rId113" tooltip="Link to unit #28FF2 on StreetEasy" display="http://streeteasy.com/property/1317451-waldorf-astoria-hotel-28ff2"/>
    <hyperlink ref="F59" r:id="rId114" display="http://streeteasy.com/rental/449222-rental-100-east-50th-street-midtown-new-york"/>
    <hyperlink ref="B60" r:id="rId115" tooltip="Link to unit #39H on StreetEasy" display="http://streeteasy.com/property/1353153-waldorf-astoria-hotel-39h"/>
    <hyperlink ref="F60" r:id="rId116" display="http://streeteasy.com/rental/608010-rental-100-east-50th-street-midtown-new-york"/>
    <hyperlink ref="B61" r:id="rId117" tooltip="Link to unit #41A on StreetEasy" display="http://streeteasy.com/property/1314834-waldorf-astoria-hotel-41a"/>
    <hyperlink ref="F61" r:id="rId118" display="http://streeteasy.com/rental/556239-rental-100-east-50th-street-midtown-new-york"/>
    <hyperlink ref="B62" r:id="rId119" tooltip="Link to unit #37T on StreetEasy" display="http://streeteasy.com/property/1314939-waldorf-astoria-hotel-37t"/>
    <hyperlink ref="F62" r:id="rId120" display="http://streeteasy.com/rental/569412-rental-100-east-50th-street-midtown-new-york"/>
    <hyperlink ref="B63" r:id="rId121" tooltip="Link to unit #30H on StreetEasy" display="http://streeteasy.com/property/1325287-waldorf-astoria-hotel-30h"/>
    <hyperlink ref="F63" r:id="rId122" display="http://streeteasy.com/rental/465717-rental-100-east-50th-street-midtown-new-york"/>
    <hyperlink ref="B64" r:id="rId123" tooltip="Link to unit #37HH2 on StreetEasy" display="http://streeteasy.com/property/1321758-waldorf-astoria-hotel-37hh2"/>
    <hyperlink ref="F64" r:id="rId124" display="http://streeteasy.com/rental/449224-rental-100-east-50th-street-midtown-new-york"/>
    <hyperlink ref="B65" r:id="rId125" tooltip="Link to unit #40H on StreetEasy" display="http://streeteasy.com/property/1353152-waldorf-astoria-hotel-40h"/>
    <hyperlink ref="F65" r:id="rId126" display="http://streeteasy.com/rental/608009-rental-100-east-50th-street-midtown-new-york"/>
    <hyperlink ref="B66" r:id="rId127" tooltip="Link to unit #41H on StreetEasy" display="http://streeteasy.com/property/1353154-waldorf-astoria-hotel-41h"/>
    <hyperlink ref="F66" r:id="rId128" display="http://streeteasy.com/rental/608011-rental-100-east-50th-street-midtown-new-york"/>
    <hyperlink ref="B67" r:id="rId129" tooltip="Link to unit #38MM2 on StreetEasy" display="http://streeteasy.com/property/1324157-waldorf-astoria-hotel-38mm2"/>
    <hyperlink ref="F67" r:id="rId130" display="http://streeteasy.com/rental/455685-rental-100-east-50th-street-midtown-new-york"/>
    <hyperlink ref="B68" r:id="rId131" tooltip="Link to unit #37HH2 on StreetEasy" display="http://streeteasy.com/property/1321758-waldorf-astoria-hotel-37hh2"/>
    <hyperlink ref="F68" r:id="rId132" display="http://streeteasy.com/rental/436509-rental-100-east-50th-street-midtown-new-york"/>
    <hyperlink ref="B69" r:id="rId133" tooltip="Link to unit #28FF2 on StreetEasy" display="http://streeteasy.com/property/1317451-waldorf-astoria-hotel-28ff2"/>
    <hyperlink ref="F69" r:id="rId134" display="http://streeteasy.com/rental/401749-rental-100-east-50th-street-midtown-new-york"/>
    <hyperlink ref="B70" r:id="rId135" tooltip="Link to unit #31H on StreetEasy" display="http://streeteasy.com/property/1316366-waldorf-astoria-hotel-31h"/>
    <hyperlink ref="F70" r:id="rId136" display="http://streeteasy.com/rental/388353-rental-100-east-50th-street-midtown-new-york"/>
    <hyperlink ref="B71" r:id="rId137" tooltip="Link to unit #37Y on StreetEasy" display="http://streeteasy.com/property/1314940-waldorf-astoria-hotel-37y"/>
    <hyperlink ref="F71" r:id="rId138" display="http://streeteasy.com/rental/369716-rental-100-east-50th-street-midtown-new-york"/>
    <hyperlink ref="B72" r:id="rId139" tooltip="Link to unit #37T on StreetEasy" display="http://streeteasy.com/property/1314939-waldorf-astoria-hotel-37t"/>
    <hyperlink ref="F72" r:id="rId140" display="http://streeteasy.com/rental/369715-rental-100-east-50th-street-midtown-new-york"/>
    <hyperlink ref="B73" r:id="rId141" tooltip="Link to unit #28H on StreetEasy" display="http://streeteasy.com/property/1314839-waldorf-astoria-hotel-28h"/>
    <hyperlink ref="F73" r:id="rId142" display="http://streeteasy.com/rental/367675-rental-100-east-50th-street-midtown-new-york"/>
    <hyperlink ref="B74" r:id="rId143" tooltip="Link to unit #3310 on StreetEasy" display="http://streeteasy.com/property/1314838-waldorf-astoria-hotel-3310"/>
    <hyperlink ref="F74" r:id="rId144" display="http://streeteasy.com/rental/367674-rental-100-east-50th-street-midtown-new-york"/>
    <hyperlink ref="B75" r:id="rId145" tooltip="Link to unit #30A on StreetEasy" display="http://streeteasy.com/property/1319204-waldorf-astoria-hotel-30a"/>
    <hyperlink ref="F75" r:id="rId146" display="http://streeteasy.com/rental/416838-coop-100-east-50th-street-midtown-new-york"/>
    <hyperlink ref="B76" r:id="rId147" tooltip="Link to unit #31H on StreetEasy" display="http://streeteasy.com/property/1316366-waldorf-astoria-hotel-31h"/>
    <hyperlink ref="F76" r:id="rId148" display="http://streeteasy.com/rental/593002-rental-100-east-50th-street-midtown-new-york"/>
    <hyperlink ref="B77" r:id="rId149" tooltip="Link to unit #33A on StreetEasy" display="http://streeteasy.com/property/1324355-waldorf-astoria-hotel-33a"/>
    <hyperlink ref="F77" r:id="rId150" display="http://streeteasy.com/rental/594244-rental-100-east-50th-street-midtown-new-york"/>
    <hyperlink ref="B78" r:id="rId151" tooltip="Link to unit #31H on StreetEasy" display="http://streeteasy.com/property/1316366-waldorf-astoria-hotel-31h"/>
    <hyperlink ref="F78" r:id="rId152" display="http://streeteasy.com/rental/449223-rental-100-east-50th-street-midtown-new-york"/>
    <hyperlink ref="B79" r:id="rId153" tooltip="Link to unit #33A on StreetEasy" display="http://streeteasy.com/property/1324355-waldorf-astoria-hotel-33a"/>
    <hyperlink ref="F79" r:id="rId154" display="http://streeteasy.com/rental/457508-rental-100-east-50th-street-midtown-new-york"/>
    <hyperlink ref="B80" r:id="rId155" tooltip="Link to unit #36A on StreetEasy" display="http://streeteasy.com/property/1341971-waldorf-astoria-hotel-36a"/>
    <hyperlink ref="F80" r:id="rId156" display="http://streeteasy.com/rental/569409-rental-100-east-50th-street-midtown-new-york"/>
    <hyperlink ref="B81" r:id="rId157" tooltip="Link to unit #33H on StreetEasy" display="http://streeteasy.com/property/1314837-waldorf-astoria-hotel-33h"/>
    <hyperlink ref="F81" r:id="rId158" display="http://streeteasy.com/rental/367672-rental-100-east-50th-street-midtown-new-york"/>
    <hyperlink ref="B82" r:id="rId159" tooltip="Link to unit #2812 on StreetEasy" display="http://streeteasy.com/property/1319980-waldorf-astoria-hotel-2812"/>
    <hyperlink ref="F82" r:id="rId160" display="http://streeteasy.com/rental/422977-rental-100-east-50th-street-midtown-new-york"/>
    <hyperlink ref="B83" r:id="rId161" tooltip="Link to unit #40A on StreetEasy" display="http://streeteasy.com/property/1316365-waldorf-astoria-hotel-40a"/>
    <hyperlink ref="F83" r:id="rId162" display="http://streeteasy.com/rental/388352-rental-100-east-50th-street-midtown-new-york"/>
    <hyperlink ref="B84" r:id="rId163" tooltip="Link to unit #41A on StreetEasy" display="http://streeteasy.com/property/1314834-waldorf-astoria-hotel-41a"/>
    <hyperlink ref="F84" r:id="rId164" display="http://streeteasy.com/rental/367665-rental-100-east-50th-street-midtown-new-york"/>
    <hyperlink ref="J89" r:id="rId165" display="http://streeteasy.com/building/737-park-avenue-new_york/20a"/>
    <hyperlink ref="J90" r:id="rId166" display="http://streeteasy.com/building/737-park-avenue-new_york/10c"/>
    <hyperlink ref="J91" r:id="rId167" display="http://streeteasy.com/building/737-park-avenue-new_york/6c"/>
    <hyperlink ref="J92" r:id="rId168" display="http://streeteasy.com/building/737-park-avenue-new_york/14e"/>
    <hyperlink ref="J93" r:id="rId169" display="http://streeteasy.com/building/737-park-avenue-new_york/17e"/>
    <hyperlink ref="J94" r:id="rId170" display="http://streeteasy.com/building/737-park-avenue-new_york/8a"/>
    <hyperlink ref="J95" r:id="rId171" display="http://streeteasy.com/building/737-park-avenue-new_york/18-a"/>
    <hyperlink ref="J96" r:id="rId172" display="http://streeteasy.com/building/737-park-avenue-new_york/5a"/>
    <hyperlink ref="J97" r:id="rId173" display="http://streeteasy.com/building/737-park-avenue-new_york/6a"/>
    <hyperlink ref="J98" r:id="rId174" display="http://streeteasy.com/building/737-park-avenue-new_york/3c"/>
    <hyperlink ref="J99" r:id="rId175" display="http://streeteasy.com/building/737-park-avenue-new_york/4c"/>
    <hyperlink ref="J100" r:id="rId176" display="http://streeteasy.com/building/737-park-avenue-new_york/5e"/>
    <hyperlink ref="J101" r:id="rId177" display="http://streeteasy.com/building/737-park-avenue-new_york/3e"/>
    <hyperlink ref="J102" r:id="rId178" display="http://streeteasy.com/building/737-park-avenue-new_york/2b"/>
    <hyperlink ref="J103" r:id="rId179" display="http://streeteasy.com/building/737-park-avenue-new_york/6f"/>
    <hyperlink ref="J104" r:id="rId180" display="http://streeteasy.com/building/737-park-avenue-new_york/2e"/>
    <hyperlink ref="J110" r:id="rId181" display="http://streeteasy.com/building/737-park-avenue-new_york/7e"/>
    <hyperlink ref="J111" r:id="rId182" display="http://streeteasy.com/building/737-park-avenue-new_york/7g"/>
    <hyperlink ref="J114" r:id="rId183" display="http://streeteasy.com/building/carlton-house/ph"/>
    <hyperlink ref="J115" r:id="rId184" display="http://streeteasy.com/building/carlton-house/th"/>
    <hyperlink ref="J116" r:id="rId185" display="http://streeteasy.com/building/carlton-house/14b"/>
    <hyperlink ref="J117" r:id="rId186" display="http://streeteasy.com/building/carlton-house/16b"/>
    <hyperlink ref="J118" r:id="rId187" display="http://streeteasy.com/building/carlton-house/14a"/>
    <hyperlink ref="J119" r:id="rId188" display="http://streeteasy.com/building/carlton-house/15a"/>
    <hyperlink ref="J120" r:id="rId189" display="http://streeteasy.com/building/carlton-house/6e"/>
    <hyperlink ref="J121" r:id="rId190" display="http://streeteasy.com/building/carlton-house/5b"/>
    <hyperlink ref="J122" r:id="rId191" display="http://streeteasy.com/building/carlton-house/12e"/>
    <hyperlink ref="J123" r:id="rId192" display="http://streeteasy.com/building/carlton-house/3e"/>
    <hyperlink ref="J124" r:id="rId193" display="http://streeteasy.com/building/carlton-house/11e"/>
    <hyperlink ref="J125" r:id="rId194" display="http://streeteasy.com/building/carlton-house/11a"/>
    <hyperlink ref="J126" r:id="rId195" display="http://streeteasy.com/building/carlton-house/12a"/>
    <hyperlink ref="J127" r:id="rId196" display="http://streeteasy.com/building/carlton-house/12f"/>
    <hyperlink ref="J128" r:id="rId197" display="http://streeteasy.com/building/carlton-house/10f"/>
    <hyperlink ref="J129" r:id="rId198" display="http://streeteasy.com/building/carlton-house/12b"/>
    <hyperlink ref="J130" r:id="rId199" display="http://streeteasy.com/building/carlton-house/10b"/>
    <hyperlink ref="J131" r:id="rId200" display="http://streeteasy.com/building/carlton-house/11f"/>
    <hyperlink ref="J132" r:id="rId201" display="http://streeteasy.com/building/carlton-house/8f"/>
    <hyperlink ref="J133" r:id="rId202" display="http://streeteasy.com/building/carlton-house/7f"/>
    <hyperlink ref="J134" r:id="rId203" display="http://streeteasy.com/building/carlton-house/8a"/>
    <hyperlink ref="J135" r:id="rId204" display="http://streeteasy.com/building/carlton-house/11b"/>
    <hyperlink ref="J136" r:id="rId205" display="http://streeteasy.com/building/carlton-house/7b"/>
    <hyperlink ref="J137" r:id="rId206" display="http://streeteasy.com/building/carlton-house/9f"/>
    <hyperlink ref="J138" r:id="rId207" display="http://streeteasy.com/building/carlton-house/10e"/>
    <hyperlink ref="J139" r:id="rId208" display="http://streeteasy.com/building/carlton-house/3a"/>
    <hyperlink ref="J140" r:id="rId209" display="http://streeteasy.com/building/carlton-house/3f"/>
    <hyperlink ref="J141" r:id="rId210" display="http://streeteasy.com/building/carlton-house/12c"/>
    <hyperlink ref="J142" r:id="rId211" display="http://streeteasy.com/building/carlton-house/12d"/>
    <hyperlink ref="J143" r:id="rId212" display="http://streeteasy.com/building/carlton-house/11c"/>
    <hyperlink ref="J144" r:id="rId213" display="http://streeteasy.com/building/carlton-house/10d"/>
    <hyperlink ref="J145" r:id="rId214" display="http://streeteasy.com/building/carlton-house/8d"/>
    <hyperlink ref="J146" r:id="rId215" display="http://streeteasy.com/building/carlton-house/11d"/>
    <hyperlink ref="J147" r:id="rId216" display="http://streeteasy.com/building/carlton-house/9c"/>
    <hyperlink ref="J148" r:id="rId217" display="http://streeteasy.com/building/carlton-house/10c"/>
    <hyperlink ref="J149" r:id="rId218" display="http://streeteasy.com/building/carlton-house/8c"/>
    <hyperlink ref="J150" r:id="rId219" display="http://streeteasy.com/building/carlton-house/9d"/>
    <hyperlink ref="J151" r:id="rId220" display="http://streeteasy.com/building/carlton-house/7d"/>
    <hyperlink ref="J152" r:id="rId221" display="http://streeteasy.com/building/carlton-house/5d"/>
    <hyperlink ref="J153" r:id="rId222" display="http://streeteasy.com/building/carlton-house/7c"/>
    <hyperlink ref="J154" r:id="rId223" display="http://streeteasy.com/building/carlton-house/6c"/>
    <hyperlink ref="J155" r:id="rId224" display="http://streeteasy.com/building/carlton-house/4d"/>
    <hyperlink ref="J156" r:id="rId225" display="http://streeteasy.com/building/carlton-house/5c"/>
    <hyperlink ref="J157" r:id="rId226" display="http://streeteasy.com/building/carlton-house/6d"/>
    <hyperlink ref="J158" r:id="rId227" display="http://streeteasy.com/building/carlton-house/4c"/>
    <hyperlink ref="J159" r:id="rId228" display="http://streeteasy.com/building/carlton-house/6f"/>
    <hyperlink ref="J160" r:id="rId229" display="http://streeteasy.com/building/carlton-house/5f"/>
    <hyperlink ref="J161" r:id="rId230" display="http://streeteasy.com/building/carlton-house/4f"/>
    <hyperlink ref="J162" r:id="rId231" display="http://streeteasy.com/building/carlton-house/6a"/>
    <hyperlink ref="J163" r:id="rId232" display="http://streeteasy.com/building/carlton-house/5a"/>
    <hyperlink ref="J169" r:id="rId233" display="http://streeteasy.com/sale/913321-condo-641-fifth-avenue-midtown-new-york"/>
    <hyperlink ref="J170" r:id="rId234" display="http://streeteasy.com/building/olympic-tower/48gh"/>
    <hyperlink ref="J171" r:id="rId235" display="http://streeteasy.com/building/olympic-tower/28g"/>
    <hyperlink ref="J172" r:id="rId236" display="http://streeteasy.com/building/olympic-tower/48b"/>
    <hyperlink ref="J173" r:id="rId237" display="http://streeteasy.com/building/olympic-tower/27b"/>
    <hyperlink ref="J174" r:id="rId238" display="http://streeteasy.com/building/olympic-tower/28b"/>
    <hyperlink ref="J175" r:id="rId239" display="http://streeteasy.com/building/olympic-tower/22n"/>
    <hyperlink ref="J181" r:id="rId240" display="https://streeteasy.com/building/135-east-79-street-new_york/ph-17e"/>
    <hyperlink ref="J182" r:id="rId241" display="https://streeteasy.com/building/135-east-79-street-new_york/mw"/>
    <hyperlink ref="J183" r:id="rId242" display="https://streeteasy.com/building/135-east-79-street-new_york/ph-19e"/>
    <hyperlink ref="J184" r:id="rId243" display="https://streeteasy.com/building/135-east-79-street-new_york/mais-e"/>
    <hyperlink ref="J190" r:id="rId244" display="https://streeteasy.com/building/432-park-avenue/ph92"/>
    <hyperlink ref="J191" r:id="rId245" display="https://streeteasy.com/building/432-park-avenue/ph86"/>
    <hyperlink ref="J192" r:id="rId246" display="https://streeteasy.com/building/432-park-avenue/80b"/>
    <hyperlink ref="J193" r:id="rId247" display="https://streeteasy.com/building/432-park-avenue/64b"/>
    <hyperlink ref="J194" r:id="rId248" display="https://streeteasy.com/building/432-park-avenue/83a"/>
    <hyperlink ref="J195" r:id="rId249" display="https://streeteasy.com/building/432-park-avenue/42c"/>
    <hyperlink ref="J201" r:id="rId250" display="https://streeteasy.com/building/one57-condominium/53b"/>
    <hyperlink ref="J202" r:id="rId251" display="https://streeteasy.com/building/one57-condominium/58b"/>
    <hyperlink ref="J203" r:id="rId252" display="https://streeteasy.com/building/one57-condominium/49c"/>
    <hyperlink ref="J204" r:id="rId253" display="https://streeteasy.com/building/one57-condominium/43a"/>
    <hyperlink ref="J205" r:id="rId254" display="https://streeteasy.com/building/one57-condominium/39a"/>
    <hyperlink ref="J212" r:id="rId255" display="https://streeteasy.com/building/432-park-avenue/ph92"/>
    <hyperlink ref="J213" r:id="rId256" display="https://streeteasy.com/building/432-park-avenue/ph86"/>
    <hyperlink ref="J214" r:id="rId257" display="https://streeteasy.com/building/432-park-avenue/80b"/>
    <hyperlink ref="J215" r:id="rId258" display="https://streeteasy.com/building/432-park-avenue/64b"/>
    <hyperlink ref="J216" r:id="rId259" display="https://streeteasy.com/building/432-park-avenue/83a"/>
    <hyperlink ref="J217" r:id="rId260" display="https://streeteasy.com/building/432-park-avenue/42c"/>
    <hyperlink ref="J223" r:id="rId261" display="https://streeteasy.com/building/the-plaza/17071807"/>
    <hyperlink ref="J224" r:id="rId262" display="https://streeteasy.com/building/the-plaza/1707"/>
    <hyperlink ref="J225" r:id="rId263" display="https://streeteasy.com/building/the-plaza/607"/>
    <hyperlink ref="J226" r:id="rId264" display="https://streeteasy.com/building/the-plaza/1811"/>
    <hyperlink ref="J227" r:id="rId265" display="https://streeteasy.com/building/the-plaza/1711"/>
    <hyperlink ref="J228" r:id="rId266" display="https://streeteasy.com/building/the-plaza/810"/>
    <hyperlink ref="J229" r:id="rId267" display="https://streeteasy.com/building/the-plaza/1806"/>
    <hyperlink ref="J230" r:id="rId268" display="https://streeteasy.com/building/the-plaza/1608"/>
    <hyperlink ref="J231" r:id="rId269" display="https://streeteasy.com/building/the-plaza/1427"/>
    <hyperlink ref="J232" r:id="rId270" display="https://streeteasy.com/sale/699178-condo-768-fifth-avenue-central-park-south-new-york"/>
    <hyperlink ref="J233" r:id="rId271" display="https://streeteasy.com/sale/1031137-condo-768-fifth-avenue-central-park-south-new-york"/>
    <hyperlink ref="J234" r:id="rId272" display="https://streeteasy.com/building/the-plaza/1238"/>
    <hyperlink ref="J235" r:id="rId273" display="https://streeteasy.com/building/the-plaza/1136"/>
  </hyperlinks>
  <pageMargins left="0.7" right="0.7" top="0.75" bottom="0.75" header="0.3" footer="0.3"/>
  <pageSetup orientation="portrait" r:id="rId274"/>
  <drawing r:id="rId275"/>
  <legacyDrawing r:id="rId27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U164"/>
  <sheetViews>
    <sheetView showGridLines="0" zoomScale="70" zoomScaleNormal="70" workbookViewId="0"/>
  </sheetViews>
  <sheetFormatPr defaultRowHeight="13.5" customHeight="1"/>
  <cols>
    <col min="1" max="1" width="42.625" style="2301" customWidth="1"/>
    <col min="2" max="2" width="1.5" style="1734" customWidth="1"/>
    <col min="3" max="4" width="9" style="1734"/>
    <col min="5" max="5" width="1.5" style="1734" customWidth="1"/>
    <col min="6" max="8" width="9" style="1734"/>
    <col min="9" max="9" width="1.5" style="1734" customWidth="1"/>
    <col min="10" max="11" width="9" style="1734"/>
    <col min="12" max="13" width="11.625" style="1734" customWidth="1"/>
    <col min="14" max="14" width="22.375" style="1734" customWidth="1"/>
    <col min="15" max="16" width="9" style="1734"/>
    <col min="17" max="17" width="1.625" style="1734" customWidth="1"/>
    <col min="18" max="19" width="9" style="1734"/>
    <col min="20" max="20" width="1.625" style="1734" customWidth="1"/>
    <col min="21" max="22" width="9" style="1734"/>
    <col min="23" max="23" width="1.625" style="1734" customWidth="1"/>
    <col min="24" max="25" width="9" style="1734"/>
    <col min="26" max="26" width="1.625" style="1734" customWidth="1"/>
    <col min="27" max="27" width="19.25" style="1734" customWidth="1"/>
    <col min="28" max="28" width="10.125" style="1734" customWidth="1"/>
    <col min="29" max="29" width="8.625" style="1734" customWidth="1"/>
    <col min="30" max="30" width="1.625" style="1734" customWidth="1"/>
    <col min="31" max="31" width="8.625" style="1734" customWidth="1"/>
    <col min="32" max="32" width="1.625" style="1734" customWidth="1"/>
    <col min="33" max="33" width="7.625" style="1734" customWidth="1"/>
    <col min="34" max="34" width="1.625" style="1734" customWidth="1"/>
    <col min="35" max="35" width="10.25" style="1734" customWidth="1"/>
    <col min="36" max="44" width="9.625" style="1734" customWidth="1"/>
    <col min="45" max="45" width="7.625" style="1734" customWidth="1"/>
    <col min="46" max="46" width="44" style="1734" customWidth="1"/>
    <col min="47" max="47" width="13.125" style="1734" customWidth="1"/>
    <col min="48" max="48" width="14" style="1734" customWidth="1"/>
    <col min="49" max="60" width="9" style="1734"/>
    <col min="61" max="61" width="4" style="1734" customWidth="1"/>
    <col min="62" max="62" width="13.875" style="1734" customWidth="1"/>
    <col min="63" max="16384" width="9" style="1734"/>
  </cols>
  <sheetData>
    <row r="1" spans="1:19" ht="13.5" customHeight="1">
      <c r="A1" s="2255" t="s">
        <v>1894</v>
      </c>
      <c r="B1" s="2256"/>
      <c r="C1" s="2324" t="s">
        <v>2307</v>
      </c>
      <c r="D1" s="2256"/>
      <c r="E1" s="2256"/>
      <c r="F1" s="2256"/>
      <c r="G1" s="2256"/>
      <c r="H1" s="2256"/>
      <c r="I1" s="2256"/>
      <c r="J1" s="2256"/>
      <c r="K1" s="2256"/>
      <c r="L1" s="2256"/>
      <c r="M1" s="2256"/>
      <c r="N1" s="2256"/>
      <c r="O1" s="2256"/>
      <c r="P1" s="2256"/>
      <c r="Q1" s="2256"/>
      <c r="R1" s="2256"/>
      <c r="S1" s="2256"/>
    </row>
    <row r="2" spans="1:19" ht="13.5" customHeight="1">
      <c r="A2" s="2255" t="s">
        <v>2152</v>
      </c>
      <c r="B2" s="2256"/>
      <c r="C2" s="2256"/>
      <c r="D2" s="2256"/>
      <c r="E2" s="2256"/>
      <c r="F2" s="2256"/>
      <c r="G2" s="2256"/>
      <c r="H2" s="2256"/>
      <c r="I2" s="2256"/>
      <c r="J2" s="2256"/>
      <c r="K2" s="2256"/>
      <c r="L2" s="2256"/>
      <c r="M2" s="2257"/>
      <c r="N2" s="2257"/>
      <c r="O2" s="2257"/>
      <c r="P2" s="2257"/>
      <c r="Q2" s="2257"/>
      <c r="R2" s="2257"/>
      <c r="S2" s="2257"/>
    </row>
    <row r="3" spans="1:19" ht="13.5" customHeight="1">
      <c r="A3" s="2258"/>
      <c r="B3" s="2256"/>
      <c r="C3" s="904"/>
      <c r="D3" s="2256"/>
      <c r="E3" s="2256"/>
      <c r="F3" s="2256"/>
      <c r="G3" s="2256"/>
      <c r="H3" s="2256"/>
      <c r="I3" s="2256"/>
      <c r="J3" s="2256"/>
      <c r="K3" s="2256"/>
      <c r="L3" s="2256"/>
      <c r="M3" s="2257"/>
      <c r="N3" s="2257"/>
      <c r="O3" s="2257"/>
      <c r="P3" s="2257"/>
      <c r="Q3" s="2257"/>
      <c r="R3" s="2257"/>
      <c r="S3" s="2257"/>
    </row>
    <row r="4" spans="1:19" ht="13.5" customHeight="1" thickBot="1">
      <c r="A4" s="2259" t="s">
        <v>2153</v>
      </c>
      <c r="B4" s="2256"/>
      <c r="C4" s="2256"/>
      <c r="D4" s="2256"/>
      <c r="E4" s="2256"/>
      <c r="F4" s="2256"/>
      <c r="G4" s="2256"/>
      <c r="H4" s="2256"/>
      <c r="I4" s="2256"/>
      <c r="J4" s="2256"/>
      <c r="K4" s="2256"/>
      <c r="L4" s="2256"/>
      <c r="M4" s="2257"/>
      <c r="N4" s="2257"/>
      <c r="O4" s="2257"/>
      <c r="P4" s="2257"/>
      <c r="Q4" s="2257"/>
      <c r="R4" s="2257"/>
      <c r="S4" s="2257"/>
    </row>
    <row r="5" spans="1:19" ht="13.5" customHeight="1">
      <c r="A5" s="2311"/>
      <c r="B5" s="2312"/>
      <c r="C5" s="2325" t="s">
        <v>1900</v>
      </c>
      <c r="D5" s="2326"/>
      <c r="E5" s="2326"/>
      <c r="F5" s="2326"/>
      <c r="G5" s="2327"/>
      <c r="H5" s="2325" t="s">
        <v>2174</v>
      </c>
      <c r="I5" s="2326"/>
      <c r="J5" s="2328"/>
      <c r="K5" s="2329"/>
      <c r="L5" s="2256"/>
      <c r="M5" s="2260"/>
      <c r="N5" s="2260"/>
      <c r="O5" s="2257"/>
      <c r="P5" s="2257"/>
      <c r="Q5" s="2257"/>
      <c r="R5" s="2257"/>
      <c r="S5" s="2257"/>
    </row>
    <row r="6" spans="1:19" ht="13.5" customHeight="1">
      <c r="A6" s="2313"/>
      <c r="B6" s="2314"/>
      <c r="C6" s="2330"/>
      <c r="D6" s="2314"/>
      <c r="E6" s="2314"/>
      <c r="F6" s="2315" t="s">
        <v>2154</v>
      </c>
      <c r="G6" s="2331"/>
      <c r="H6" s="2314"/>
      <c r="I6" s="2314"/>
      <c r="J6" s="2315" t="s">
        <v>2154</v>
      </c>
      <c r="K6" s="2316"/>
      <c r="L6" s="2256"/>
      <c r="M6" s="2257"/>
      <c r="N6" s="2257"/>
      <c r="O6" s="2257"/>
      <c r="P6" s="2257"/>
      <c r="Q6" s="2257"/>
      <c r="R6" s="2257"/>
      <c r="S6" s="2257"/>
    </row>
    <row r="7" spans="1:19" ht="13.5" customHeight="1" thickBot="1">
      <c r="A7" s="2317"/>
      <c r="B7" s="2318"/>
      <c r="C7" s="2319" t="s">
        <v>2321</v>
      </c>
      <c r="D7" s="2320" t="s">
        <v>228</v>
      </c>
      <c r="E7" s="2320"/>
      <c r="F7" s="2320" t="s">
        <v>1715</v>
      </c>
      <c r="G7" s="2320" t="s">
        <v>2143</v>
      </c>
      <c r="H7" s="2319" t="s">
        <v>1778</v>
      </c>
      <c r="I7" s="2320"/>
      <c r="J7" s="2320" t="s">
        <v>1715</v>
      </c>
      <c r="K7" s="2321" t="s">
        <v>2143</v>
      </c>
      <c r="L7"/>
      <c r="M7"/>
      <c r="N7" s="2262"/>
      <c r="O7" s="2257"/>
      <c r="P7" s="2261"/>
      <c r="Q7" s="2261"/>
      <c r="R7" s="2257"/>
      <c r="S7" s="2257"/>
    </row>
    <row r="8" spans="1:19" ht="15" customHeight="1">
      <c r="A8" s="2263" t="s">
        <v>698</v>
      </c>
      <c r="B8" s="2257"/>
      <c r="C8" s="2264"/>
      <c r="D8" s="2303"/>
      <c r="E8" s="2340"/>
      <c r="F8" s="2340"/>
      <c r="G8" s="2257"/>
      <c r="H8" s="2352"/>
      <c r="I8" s="2257"/>
      <c r="J8" s="2257"/>
      <c r="K8" s="2265"/>
      <c r="L8" s="2256"/>
      <c r="M8" s="2260"/>
      <c r="N8" s="2260"/>
      <c r="O8" s="2257"/>
      <c r="P8" s="2257"/>
      <c r="Q8" s="2257"/>
      <c r="R8" s="2257"/>
      <c r="S8" s="2257"/>
    </row>
    <row r="9" spans="1:19" ht="15" customHeight="1">
      <c r="A9" s="2266" t="s">
        <v>1245</v>
      </c>
      <c r="B9" s="2257"/>
      <c r="C9" s="2267">
        <f>Hilton!S9</f>
        <v>1079</v>
      </c>
      <c r="D9" s="2322">
        <f>Hilton!N9</f>
        <v>998</v>
      </c>
      <c r="E9" s="2268"/>
      <c r="F9" s="2268">
        <f>C9-D9</f>
        <v>81</v>
      </c>
      <c r="G9" s="2269">
        <f>IF(D9=0,0,C9/D9-1)</f>
        <v>8.1162324649298512E-2</v>
      </c>
      <c r="H9" s="923">
        <v>1046.2946581917506</v>
      </c>
      <c r="I9" s="2270"/>
      <c r="J9" s="2268">
        <f>C9-H9</f>
        <v>32.705341808249386</v>
      </c>
      <c r="K9" s="2304">
        <f>IF(H9=0,0,C9/H9-1)</f>
        <v>3.1258251728793152E-2</v>
      </c>
      <c r="L9" s="2256"/>
      <c r="M9" s="2260"/>
      <c r="N9" s="2260"/>
      <c r="O9" s="2257"/>
      <c r="P9" s="2257"/>
      <c r="Q9" s="2257"/>
      <c r="R9" s="2257"/>
      <c r="S9" s="2257"/>
    </row>
    <row r="10" spans="1:19" ht="15" customHeight="1">
      <c r="A10" s="2266" t="s">
        <v>1244</v>
      </c>
      <c r="B10" s="2257"/>
      <c r="C10" s="2271">
        <f>Hilton!S16</f>
        <v>364</v>
      </c>
      <c r="D10" s="2341">
        <f>Hilton!N16</f>
        <v>307</v>
      </c>
      <c r="E10" s="2270"/>
      <c r="F10" s="2270">
        <f>C10-D10</f>
        <v>57</v>
      </c>
      <c r="G10" s="2269">
        <f>IF(D10=0,0,C10/D10-1)</f>
        <v>0.18566775244299683</v>
      </c>
      <c r="H10" s="639">
        <v>342.00296483322279</v>
      </c>
      <c r="I10" s="2270"/>
      <c r="J10" s="2270">
        <f>C10-H10</f>
        <v>21.997035166777209</v>
      </c>
      <c r="K10" s="2304">
        <f>IF(H10=0,0,C10/H10-1)</f>
        <v>6.4318258695517549E-2</v>
      </c>
      <c r="L10" s="2256"/>
      <c r="M10" s="2262"/>
      <c r="N10" s="2262"/>
      <c r="O10" s="2257"/>
      <c r="P10" s="2257"/>
      <c r="Q10" s="2257"/>
      <c r="R10" s="2257"/>
      <c r="S10" s="2257"/>
    </row>
    <row r="11" spans="1:19" ht="15" customHeight="1">
      <c r="A11" s="2266" t="s">
        <v>750</v>
      </c>
      <c r="B11" s="2257"/>
      <c r="C11" s="2271">
        <f>Hilton!S18</f>
        <v>295</v>
      </c>
      <c r="D11" s="2341">
        <f>Hilton!N18</f>
        <v>302</v>
      </c>
      <c r="E11" s="2270"/>
      <c r="F11" s="2270">
        <f>C11-D11</f>
        <v>-7</v>
      </c>
      <c r="G11" s="2269">
        <f>IF(D11=0,0,C11/D11-1)</f>
        <v>-2.3178807947019875E-2</v>
      </c>
      <c r="H11" s="639">
        <v>308.04000000000002</v>
      </c>
      <c r="I11" s="2270"/>
      <c r="J11" s="2270">
        <f>C11-H11</f>
        <v>-13.04000000000002</v>
      </c>
      <c r="K11" s="2304">
        <f>IF(H11=0,0,C11/H11-1)</f>
        <v>-4.2332164653941073E-2</v>
      </c>
      <c r="L11" s="2257"/>
      <c r="M11" s="2257"/>
      <c r="N11" s="2257"/>
      <c r="O11" s="2257"/>
      <c r="P11" s="2257"/>
      <c r="Q11" s="2257"/>
      <c r="R11" s="2257"/>
      <c r="S11" s="2257"/>
    </row>
    <row r="12" spans="1:19" ht="15" customHeight="1">
      <c r="A12" s="2266" t="s">
        <v>1896</v>
      </c>
      <c r="B12" s="2257"/>
      <c r="C12" s="2271">
        <f>Hilton!S23</f>
        <v>906</v>
      </c>
      <c r="D12" s="2341">
        <f>Hilton!N23</f>
        <v>842</v>
      </c>
      <c r="E12" s="2270"/>
      <c r="F12" s="2270">
        <f>C12-D12</f>
        <v>64</v>
      </c>
      <c r="G12" s="2269">
        <f>IF(D12=0,0,C12/D12-1)</f>
        <v>7.6009501187648487E-2</v>
      </c>
      <c r="H12" s="639">
        <v>938.00161690414848</v>
      </c>
      <c r="I12" s="2270"/>
      <c r="J12" s="2270">
        <f>C12-H12</f>
        <v>-32.001616904148477</v>
      </c>
      <c r="K12" s="2304">
        <f>IF(H12=0,0,C12/H12-1)</f>
        <v>-3.411680356135105E-2</v>
      </c>
      <c r="L12" s="2257"/>
      <c r="M12" s="2257"/>
      <c r="N12" s="2257"/>
      <c r="O12" s="2257"/>
      <c r="P12" s="2257"/>
      <c r="Q12" s="2257"/>
      <c r="R12" s="2257"/>
      <c r="S12" s="2257"/>
    </row>
    <row r="13" spans="1:19" ht="15" customHeight="1">
      <c r="A13" s="2332" t="s">
        <v>1895</v>
      </c>
      <c r="B13" s="2333"/>
      <c r="C13" s="1464">
        <f>SUM(C9:C12)</f>
        <v>2644</v>
      </c>
      <c r="D13" s="2342">
        <f>SUM(D9:D12)</f>
        <v>2449</v>
      </c>
      <c r="E13" s="2334"/>
      <c r="F13" s="1470">
        <f>C13-D13</f>
        <v>195</v>
      </c>
      <c r="G13" s="2335">
        <f>IF(D13=0,0,C13/D13-1)</f>
        <v>7.962433646386291E-2</v>
      </c>
      <c r="H13" s="1464">
        <f>SUM(H9:H12)</f>
        <v>2634.3392399291215</v>
      </c>
      <c r="I13" s="2334"/>
      <c r="J13" s="1470">
        <f>C13-H13</f>
        <v>9.6607600708784958</v>
      </c>
      <c r="K13" s="2353">
        <f>IF(H13=0,0,C13/H13-1)</f>
        <v>3.6672422155994422E-3</v>
      </c>
      <c r="L13" s="2257"/>
      <c r="M13" s="2257"/>
      <c r="N13" s="2257"/>
      <c r="O13" s="2257"/>
      <c r="P13" s="2272"/>
      <c r="Q13" s="2272"/>
      <c r="R13" s="2257"/>
      <c r="S13" s="2257"/>
    </row>
    <row r="14" spans="1:19" ht="13.5" customHeight="1">
      <c r="A14" s="2273"/>
      <c r="B14" s="2257"/>
      <c r="C14" s="2271"/>
      <c r="D14" s="2341"/>
      <c r="E14" s="2270"/>
      <c r="F14" s="2270"/>
      <c r="G14" s="2274"/>
      <c r="H14" s="2271"/>
      <c r="I14" s="2270"/>
      <c r="J14" s="2270"/>
      <c r="K14" s="2306"/>
      <c r="L14" s="2257"/>
      <c r="M14" s="2257"/>
      <c r="N14" s="2257"/>
      <c r="O14" s="2257"/>
      <c r="P14" s="2275"/>
      <c r="Q14" s="2275"/>
      <c r="R14" s="2257"/>
      <c r="S14" s="2257"/>
    </row>
    <row r="15" spans="1:19" ht="15" customHeight="1">
      <c r="A15" s="2276" t="s">
        <v>840</v>
      </c>
      <c r="B15" s="2257"/>
      <c r="C15" s="2271"/>
      <c r="D15" s="2341"/>
      <c r="E15" s="2270"/>
      <c r="F15" s="2270"/>
      <c r="G15" s="2274"/>
      <c r="H15" s="2271"/>
      <c r="I15" s="2270"/>
      <c r="J15" s="2270"/>
      <c r="K15" s="2306"/>
      <c r="L15" s="2257"/>
      <c r="M15" s="2257"/>
      <c r="N15" s="2257"/>
      <c r="O15" s="2257"/>
      <c r="P15" s="2257"/>
      <c r="Q15" s="2257"/>
      <c r="R15" s="2257"/>
      <c r="S15" s="2257"/>
    </row>
    <row r="16" spans="1:19" ht="15" customHeight="1">
      <c r="A16" s="2266" t="s">
        <v>1783</v>
      </c>
      <c r="B16" s="2257"/>
      <c r="C16" s="2338">
        <f>Hilton!S31</f>
        <v>816</v>
      </c>
      <c r="D16" s="2323">
        <f>Hilton!N31</f>
        <v>780</v>
      </c>
      <c r="E16" s="2270"/>
      <c r="F16" s="2305">
        <f t="shared" ref="F16:F21" si="0">C16-D16</f>
        <v>36</v>
      </c>
      <c r="G16" s="2269">
        <f t="shared" ref="G16:G21" si="1">IF(D16=0,0,C16/D16-1)</f>
        <v>4.6153846153846212E-2</v>
      </c>
      <c r="H16" s="639">
        <v>803.55429749126449</v>
      </c>
      <c r="I16" s="2270"/>
      <c r="J16" s="2270">
        <f t="shared" ref="J16:J21" si="2">C16-H16</f>
        <v>12.445702508735508</v>
      </c>
      <c r="K16" s="2304">
        <f t="shared" ref="K16:K21" si="3">IF(H16=0,0,C16/H16-1)</f>
        <v>1.548831553460861E-2</v>
      </c>
      <c r="L16" s="2257"/>
      <c r="M16" s="2257"/>
      <c r="N16" s="2257"/>
      <c r="O16" s="2257"/>
      <c r="P16" s="2257"/>
      <c r="Q16" s="2257"/>
      <c r="R16" s="2257"/>
      <c r="S16" s="2257"/>
    </row>
    <row r="17" spans="1:19" ht="15" customHeight="1">
      <c r="A17" s="2266" t="s">
        <v>750</v>
      </c>
      <c r="B17" s="2257"/>
      <c r="C17" s="2271">
        <f>Hilton!S32</f>
        <v>199</v>
      </c>
      <c r="D17" s="2341">
        <f>Hilton!N32</f>
        <v>194</v>
      </c>
      <c r="E17" s="2270"/>
      <c r="F17" s="2270">
        <f t="shared" si="0"/>
        <v>5</v>
      </c>
      <c r="G17" s="2269">
        <f t="shared" si="1"/>
        <v>2.5773195876288568E-2</v>
      </c>
      <c r="H17" s="639">
        <v>201.76000000000002</v>
      </c>
      <c r="I17" s="2270"/>
      <c r="J17" s="2270">
        <f t="shared" si="2"/>
        <v>-2.7600000000000193</v>
      </c>
      <c r="K17" s="2304">
        <f t="shared" si="3"/>
        <v>-1.3679619349722505E-2</v>
      </c>
      <c r="L17" s="2257"/>
      <c r="M17" s="2257"/>
      <c r="N17" s="2257"/>
      <c r="O17" s="2257"/>
      <c r="P17" s="2257"/>
      <c r="Q17" s="2257"/>
      <c r="R17" s="2257"/>
      <c r="S17" s="2257"/>
    </row>
    <row r="18" spans="1:19" ht="15" customHeight="1">
      <c r="A18" s="2266" t="s">
        <v>2090</v>
      </c>
      <c r="B18" s="2257"/>
      <c r="C18" s="2271">
        <f>Hilton!S33</f>
        <v>119</v>
      </c>
      <c r="D18" s="2341">
        <f>Hilton!N33</f>
        <v>130</v>
      </c>
      <c r="E18" s="2270"/>
      <c r="F18" s="2270">
        <f t="shared" si="0"/>
        <v>-11</v>
      </c>
      <c r="G18" s="2269">
        <f t="shared" si="1"/>
        <v>-8.4615384615384648E-2</v>
      </c>
      <c r="H18" s="639">
        <v>105.37356959716486</v>
      </c>
      <c r="I18" s="2270"/>
      <c r="J18" s="2270">
        <f t="shared" si="2"/>
        <v>13.62643040283514</v>
      </c>
      <c r="K18" s="2304">
        <f t="shared" si="3"/>
        <v>0.12931544840824838</v>
      </c>
      <c r="L18" s="2257"/>
      <c r="M18" s="2257"/>
      <c r="N18" s="2257"/>
      <c r="O18" s="2257"/>
      <c r="P18" s="2257"/>
      <c r="Q18" s="2257"/>
      <c r="R18" s="2257"/>
      <c r="S18" s="2257"/>
    </row>
    <row r="19" spans="1:19" ht="15" customHeight="1">
      <c r="A19" s="2266" t="s">
        <v>1902</v>
      </c>
      <c r="B19" s="2257"/>
      <c r="C19" s="2271">
        <f>Hilton!S35</f>
        <v>906</v>
      </c>
      <c r="D19" s="2341">
        <f>Hilton!N35</f>
        <v>842</v>
      </c>
      <c r="E19" s="2270"/>
      <c r="F19" s="2270">
        <f t="shared" si="0"/>
        <v>64</v>
      </c>
      <c r="G19" s="2269">
        <f t="shared" si="1"/>
        <v>7.6009501187648487E-2</v>
      </c>
      <c r="H19" s="639">
        <v>938.00161690414848</v>
      </c>
      <c r="I19" s="2270"/>
      <c r="J19" s="2270">
        <f t="shared" si="2"/>
        <v>-32.001616904148477</v>
      </c>
      <c r="K19" s="2304">
        <f t="shared" si="3"/>
        <v>-3.411680356135105E-2</v>
      </c>
      <c r="L19" s="2257"/>
      <c r="M19" s="2257"/>
      <c r="N19" s="2257"/>
      <c r="O19" s="2257"/>
      <c r="P19" s="2257"/>
      <c r="Q19" s="2257"/>
      <c r="R19" s="2257"/>
      <c r="S19" s="2257"/>
    </row>
    <row r="20" spans="1:19" ht="15" customHeight="1">
      <c r="A20" s="2266" t="s">
        <v>2306</v>
      </c>
      <c r="B20" s="2257"/>
      <c r="C20" s="2271">
        <f>Hilton!S45</f>
        <v>159</v>
      </c>
      <c r="D20" s="2341">
        <f>Hilton!N45</f>
        <v>146</v>
      </c>
      <c r="E20" s="2270"/>
      <c r="F20" s="2270">
        <f t="shared" si="0"/>
        <v>13</v>
      </c>
      <c r="G20" s="2269">
        <f t="shared" si="1"/>
        <v>8.9041095890410871E-2</v>
      </c>
      <c r="H20" s="639">
        <v>159.14000000000001</v>
      </c>
      <c r="I20" s="2270"/>
      <c r="J20" s="2270">
        <f t="shared" si="2"/>
        <v>-0.14000000000001478</v>
      </c>
      <c r="K20" s="2304">
        <f t="shared" si="3"/>
        <v>-8.79728540907454E-4</v>
      </c>
      <c r="L20"/>
      <c r="M20"/>
      <c r="N20" s="2257"/>
      <c r="O20" s="2257"/>
      <c r="P20" s="2257"/>
      <c r="Q20" s="2257"/>
      <c r="R20" s="2257"/>
      <c r="S20" s="2257"/>
    </row>
    <row r="21" spans="1:19" ht="15" customHeight="1">
      <c r="A21" s="2332" t="s">
        <v>840</v>
      </c>
      <c r="B21" s="2333"/>
      <c r="C21" s="1464">
        <f>SUM(C16:C20)</f>
        <v>2199</v>
      </c>
      <c r="D21" s="2342">
        <f>SUM(D16:D20)</f>
        <v>2092</v>
      </c>
      <c r="E21" s="2334"/>
      <c r="F21" s="1470">
        <f t="shared" si="0"/>
        <v>107</v>
      </c>
      <c r="G21" s="2335">
        <f t="shared" si="1"/>
        <v>5.1147227533460793E-2</v>
      </c>
      <c r="H21" s="1464">
        <f>SUM(H16:H20)</f>
        <v>2207.8294839925779</v>
      </c>
      <c r="I21" s="2334"/>
      <c r="J21" s="1470">
        <f t="shared" si="2"/>
        <v>-8.8294839925779343</v>
      </c>
      <c r="K21" s="2353">
        <f t="shared" si="3"/>
        <v>-3.9991693455470045E-3</v>
      </c>
      <c r="L21"/>
      <c r="M21"/>
      <c r="N21" s="2257"/>
      <c r="O21" s="2257"/>
      <c r="P21" s="2257"/>
      <c r="Q21" s="2257"/>
      <c r="R21" s="2257"/>
      <c r="S21" s="2257"/>
    </row>
    <row r="22" spans="1:19" ht="13.5" customHeight="1">
      <c r="A22" s="2277"/>
      <c r="B22" s="2257"/>
      <c r="C22" s="2271"/>
      <c r="D22" s="2341"/>
      <c r="E22" s="2270"/>
      <c r="F22" s="2270"/>
      <c r="G22" s="2274"/>
      <c r="H22" s="2271"/>
      <c r="I22" s="2270"/>
      <c r="J22" s="2270"/>
      <c r="K22" s="2306"/>
      <c r="L22"/>
      <c r="M22"/>
      <c r="N22" s="2257"/>
      <c r="O22" s="2257"/>
      <c r="P22" s="2257"/>
      <c r="Q22" s="2257"/>
      <c r="R22" s="2257"/>
      <c r="S22" s="2257"/>
    </row>
    <row r="23" spans="1:19" ht="13.5" customHeight="1">
      <c r="A23" s="2278" t="s">
        <v>199</v>
      </c>
      <c r="B23" s="2262"/>
      <c r="C23" s="2279">
        <f>C13-C21</f>
        <v>445</v>
      </c>
      <c r="D23" s="2343">
        <f>D13-D21</f>
        <v>357</v>
      </c>
      <c r="E23" s="2281"/>
      <c r="F23" s="2280">
        <f>C23-D23</f>
        <v>88</v>
      </c>
      <c r="G23" s="2282">
        <f>IF(D23=0,0,C23/D23-1)</f>
        <v>0.24649859943977592</v>
      </c>
      <c r="H23" s="2279">
        <f>H13-H21</f>
        <v>426.50975593654357</v>
      </c>
      <c r="I23" s="2281"/>
      <c r="J23" s="2280">
        <f>C23-H23</f>
        <v>18.49024406345643</v>
      </c>
      <c r="K23" s="2308">
        <f>IF(H23=0,0,C23/H23-1)</f>
        <v>4.3352452801120434E-2</v>
      </c>
      <c r="L23"/>
      <c r="M23"/>
      <c r="N23" s="2262"/>
      <c r="O23" s="2262"/>
      <c r="P23" s="2262"/>
      <c r="Q23" s="2262"/>
      <c r="R23" s="2262"/>
      <c r="S23" s="2262"/>
    </row>
    <row r="24" spans="1:19" ht="13.5" customHeight="1">
      <c r="A24" s="2278"/>
      <c r="B24" s="2257"/>
      <c r="C24" s="2283"/>
      <c r="D24" s="2344"/>
      <c r="E24" s="2270"/>
      <c r="F24" s="2281"/>
      <c r="G24" s="2274"/>
      <c r="H24" s="2283"/>
      <c r="I24" s="2270"/>
      <c r="J24" s="2281"/>
      <c r="K24" s="2306"/>
      <c r="L24"/>
      <c r="M24"/>
      <c r="N24" s="2257"/>
      <c r="O24" s="2257"/>
      <c r="P24" s="2257"/>
      <c r="Q24" s="2257"/>
      <c r="R24" s="2257"/>
      <c r="S24" s="2257"/>
    </row>
    <row r="25" spans="1:19" ht="15" customHeight="1">
      <c r="A25" s="384" t="s">
        <v>578</v>
      </c>
      <c r="B25" s="2257"/>
      <c r="C25" s="2339">
        <f>Hilton!S50</f>
        <v>2</v>
      </c>
      <c r="D25" s="2341">
        <f>Hilton!N50</f>
        <v>2</v>
      </c>
      <c r="E25" s="2270"/>
      <c r="F25" s="2270">
        <f>C25-D25</f>
        <v>0</v>
      </c>
      <c r="G25" s="2269">
        <f>IF(D25=0,0,C25/D25-1)</f>
        <v>0</v>
      </c>
      <c r="H25" s="639">
        <v>0.54500000000000004</v>
      </c>
      <c r="I25" s="2270"/>
      <c r="J25" s="2270">
        <f t="shared" ref="J25:J33" si="4">C25-H25</f>
        <v>1.4550000000000001</v>
      </c>
      <c r="K25" s="2355" t="s">
        <v>2296</v>
      </c>
      <c r="L25"/>
      <c r="M25"/>
      <c r="N25" s="2257"/>
      <c r="O25" s="2257"/>
      <c r="P25" s="2257"/>
      <c r="Q25" s="2257"/>
      <c r="R25" s="2257"/>
      <c r="S25" s="2257"/>
    </row>
    <row r="26" spans="1:19" ht="15" customHeight="1">
      <c r="A26" s="384" t="s">
        <v>577</v>
      </c>
      <c r="B26" s="2257"/>
      <c r="C26" s="2271">
        <f>Hilton!S51</f>
        <v>-156</v>
      </c>
      <c r="D26" s="2341">
        <f>Hilton!N51</f>
        <v>-127</v>
      </c>
      <c r="E26" s="2270"/>
      <c r="F26" s="2270">
        <f>C26-D26</f>
        <v>-29</v>
      </c>
      <c r="G26" s="2269">
        <f>IF(D26=0,0,C26/D26-1)</f>
        <v>0.22834645669291342</v>
      </c>
      <c r="H26" s="639">
        <v>-152.92037500000001</v>
      </c>
      <c r="I26" s="2270"/>
      <c r="J26" s="2270">
        <f t="shared" si="4"/>
        <v>-3.079624999999993</v>
      </c>
      <c r="K26" s="2304">
        <f>IF(H26=0,0,C26/H26-1)</f>
        <v>2.0138748678846685E-2</v>
      </c>
      <c r="L26"/>
      <c r="M26"/>
      <c r="N26" s="2257"/>
      <c r="O26" s="2257"/>
      <c r="P26" s="2257"/>
      <c r="Q26" s="2257"/>
      <c r="R26" s="2257"/>
      <c r="S26" s="2257"/>
    </row>
    <row r="27" spans="1:19" ht="15" customHeight="1">
      <c r="A27" s="384" t="s">
        <v>2148</v>
      </c>
      <c r="B27" s="2257"/>
      <c r="C27" s="2271">
        <f>Hilton!S52</f>
        <v>4</v>
      </c>
      <c r="D27" s="2341">
        <f>Hilton!N52</f>
        <v>3</v>
      </c>
      <c r="E27" s="2270"/>
      <c r="F27" s="2270">
        <f>C27-D27</f>
        <v>1</v>
      </c>
      <c r="G27" s="2269">
        <f>IF(D27=0,0,C27/D27-1)</f>
        <v>0.33333333333333326</v>
      </c>
      <c r="H27" s="639">
        <v>8</v>
      </c>
      <c r="I27" s="2270"/>
      <c r="J27" s="2270">
        <f t="shared" si="4"/>
        <v>-4</v>
      </c>
      <c r="K27" s="2304">
        <f>IF(H27=0,0,C27/H27-1)</f>
        <v>-0.5</v>
      </c>
      <c r="L27"/>
      <c r="M27"/>
      <c r="N27" s="2257"/>
      <c r="O27" s="2257"/>
      <c r="P27" s="2257"/>
      <c r="Q27" s="2257"/>
      <c r="R27" s="2257"/>
      <c r="S27" s="2257"/>
    </row>
    <row r="28" spans="1:19" ht="15" customHeight="1">
      <c r="A28" s="2266" t="s">
        <v>395</v>
      </c>
      <c r="B28" s="2257"/>
      <c r="C28" s="2271">
        <f>SUM(Hilton!S53:S54)</f>
        <v>19</v>
      </c>
      <c r="D28" s="2341">
        <f>SUM(Hilton!N53:N54)</f>
        <v>38</v>
      </c>
      <c r="E28" s="2270"/>
      <c r="F28" s="2270">
        <f>C28-D28</f>
        <v>-19</v>
      </c>
      <c r="G28" s="2269">
        <f>IF(D28=0,0,C28/D28-1)</f>
        <v>-0.5</v>
      </c>
      <c r="H28" s="639">
        <v>-2</v>
      </c>
      <c r="I28" s="2270"/>
      <c r="J28" s="2270">
        <f t="shared" si="4"/>
        <v>21</v>
      </c>
      <c r="K28" s="2355" t="s">
        <v>2296</v>
      </c>
      <c r="L28"/>
      <c r="M28"/>
      <c r="N28" s="2257"/>
      <c r="O28" s="2257"/>
      <c r="P28" s="2257"/>
      <c r="Q28" s="2257"/>
      <c r="R28" s="2257"/>
      <c r="S28" s="2257"/>
    </row>
    <row r="29" spans="1:19" ht="15" customHeight="1">
      <c r="A29" s="2285" t="s">
        <v>22</v>
      </c>
      <c r="B29" s="2286"/>
      <c r="C29" s="2287">
        <f>SUM(C23:C28)</f>
        <v>314</v>
      </c>
      <c r="D29" s="2347">
        <f>SUM(D23:D28)</f>
        <v>273</v>
      </c>
      <c r="E29" s="2289"/>
      <c r="F29" s="2288">
        <f>C29-D29</f>
        <v>41</v>
      </c>
      <c r="G29" s="2291">
        <f>IF(D29=0,0,C29/D29-1)</f>
        <v>0.15018315018315009</v>
      </c>
      <c r="H29" s="2287">
        <f>SUM(H23:H28)</f>
        <v>280.13438093654361</v>
      </c>
      <c r="I29" s="2290"/>
      <c r="J29" s="2288">
        <f t="shared" si="4"/>
        <v>33.865619063456393</v>
      </c>
      <c r="K29" s="2307">
        <f>IF(H29=0,0,C29/H29-1)</f>
        <v>0.12089062024531594</v>
      </c>
      <c r="L29"/>
      <c r="M29"/>
      <c r="N29" s="2262"/>
      <c r="O29" s="2262"/>
      <c r="P29" s="2284"/>
      <c r="Q29" s="2284"/>
      <c r="R29" s="2262"/>
      <c r="S29" s="2262"/>
    </row>
    <row r="30" spans="1:19" ht="13.5" customHeight="1">
      <c r="A30" s="2276"/>
      <c r="B30" s="2262"/>
      <c r="C30" s="2279"/>
      <c r="D30" s="2343"/>
      <c r="E30" s="2281"/>
      <c r="F30" s="2280"/>
      <c r="G30" s="2269"/>
      <c r="H30" s="2279"/>
      <c r="I30" s="2281"/>
      <c r="J30" s="2280"/>
      <c r="K30" s="2304"/>
      <c r="L30"/>
      <c r="M30"/>
      <c r="N30" s="2262"/>
      <c r="O30" s="2262"/>
      <c r="P30" s="2262"/>
      <c r="Q30" s="2262"/>
      <c r="R30" s="2262"/>
      <c r="S30" s="2262"/>
    </row>
    <row r="31" spans="1:19" ht="15" customHeight="1">
      <c r="A31" s="2266" t="s">
        <v>1903</v>
      </c>
      <c r="B31" s="2262"/>
      <c r="C31" s="2339">
        <f>Hilton!S57</f>
        <v>-127</v>
      </c>
      <c r="D31" s="2345">
        <f>Hilton!N57</f>
        <v>-70</v>
      </c>
      <c r="E31" s="2281"/>
      <c r="F31" s="2346">
        <f>C31-D31</f>
        <v>-57</v>
      </c>
      <c r="G31" s="2269">
        <f>IF(D31=0,0,C31/D31-1)</f>
        <v>0.81428571428571428</v>
      </c>
      <c r="H31" s="639">
        <v>-109.25240856525194</v>
      </c>
      <c r="I31" s="2281"/>
      <c r="J31" s="2270">
        <f t="shared" si="4"/>
        <v>-17.74759143474806</v>
      </c>
      <c r="K31" s="2304">
        <f>IF(H31=0,0,C31/H31-1)</f>
        <v>0.16244576817863154</v>
      </c>
      <c r="L31"/>
      <c r="M31"/>
      <c r="N31" s="2262"/>
      <c r="O31" s="2262"/>
      <c r="P31" s="2262"/>
      <c r="Q31" s="2262"/>
      <c r="R31" s="2262"/>
      <c r="S31" s="2262"/>
    </row>
    <row r="32" spans="1:19" ht="15" customHeight="1">
      <c r="A32" s="384" t="s">
        <v>226</v>
      </c>
      <c r="B32" s="2262"/>
      <c r="C32" s="2339">
        <f>Hilton!S58</f>
        <v>-4</v>
      </c>
      <c r="D32" s="2345">
        <f>Hilton!N58</f>
        <v>-3</v>
      </c>
      <c r="E32" s="2281"/>
      <c r="F32" s="2346">
        <f>C32-D32</f>
        <v>-1</v>
      </c>
      <c r="G32" s="2269">
        <f>IF(D32=0,0,C32/D32-1)</f>
        <v>0.33333333333333326</v>
      </c>
      <c r="H32" s="639">
        <v>-6</v>
      </c>
      <c r="I32" s="2281"/>
      <c r="J32" s="2270">
        <f t="shared" si="4"/>
        <v>2</v>
      </c>
      <c r="K32" s="2304">
        <f>IF(H32=0,0,C32/H32-1)</f>
        <v>-0.33333333333333337</v>
      </c>
      <c r="L32"/>
      <c r="M32"/>
      <c r="N32" s="2262"/>
      <c r="O32" s="2262"/>
      <c r="P32" s="2262"/>
      <c r="Q32" s="2262"/>
      <c r="R32" s="2262"/>
      <c r="S32" s="2262"/>
    </row>
    <row r="33" spans="1:19" ht="15" customHeight="1">
      <c r="A33" s="384" t="s">
        <v>227</v>
      </c>
      <c r="B33" s="2257"/>
      <c r="C33" s="2339">
        <f>Hilton!S59</f>
        <v>0</v>
      </c>
      <c r="D33" s="2345">
        <f>Hilton!N59</f>
        <v>0</v>
      </c>
      <c r="E33" s="2270"/>
      <c r="F33" s="2346">
        <f>C33-D33</f>
        <v>0</v>
      </c>
      <c r="G33" s="2269">
        <f>IF(D33=0,0,C33/D33-1)</f>
        <v>0</v>
      </c>
      <c r="H33" s="639">
        <v>0</v>
      </c>
      <c r="I33" s="2270"/>
      <c r="J33" s="2270">
        <f t="shared" si="4"/>
        <v>0</v>
      </c>
      <c r="K33" s="2304">
        <f>IF(H33=0,0,C33/H33-1)</f>
        <v>0</v>
      </c>
      <c r="L33"/>
      <c r="M33"/>
      <c r="N33" s="2257"/>
      <c r="O33" s="2257"/>
      <c r="P33" s="2257"/>
      <c r="Q33" s="2257"/>
      <c r="R33" s="2257"/>
      <c r="S33" s="2257"/>
    </row>
    <row r="34" spans="1:19" ht="15" customHeight="1">
      <c r="A34" s="2332" t="s">
        <v>2290</v>
      </c>
      <c r="B34" s="2333"/>
      <c r="C34" s="1464">
        <f>SUM(C29:C33)</f>
        <v>183</v>
      </c>
      <c r="D34" s="2342">
        <f>SUM(D29:D33)</f>
        <v>200</v>
      </c>
      <c r="E34" s="2334"/>
      <c r="F34" s="1470">
        <f>C34-D34</f>
        <v>-17</v>
      </c>
      <c r="G34" s="2335">
        <f>IF(D34=0,0,C34/D34-1)</f>
        <v>-8.4999999999999964E-2</v>
      </c>
      <c r="H34" s="1464">
        <f>SUM(H29:H33)</f>
        <v>164.88197237129168</v>
      </c>
      <c r="I34" s="2334"/>
      <c r="J34" s="1470">
        <f>C34-H34</f>
        <v>18.118027628708319</v>
      </c>
      <c r="K34" s="2353">
        <f>IF(H34=0,0,C34/H34-1)</f>
        <v>0.1098848307558391</v>
      </c>
      <c r="L34"/>
      <c r="M34"/>
      <c r="N34" s="2257"/>
      <c r="O34" s="2257"/>
      <c r="P34" s="2272"/>
      <c r="Q34" s="2272"/>
      <c r="R34" s="2257"/>
      <c r="S34" s="2257"/>
    </row>
    <row r="35" spans="1:19" ht="13.5" customHeight="1">
      <c r="A35" s="2273"/>
      <c r="B35" s="2257"/>
      <c r="C35" s="2271"/>
      <c r="D35" s="2341"/>
      <c r="E35" s="2270"/>
      <c r="F35" s="2270"/>
      <c r="G35" s="2269"/>
      <c r="H35" s="2271"/>
      <c r="I35" s="2270"/>
      <c r="J35" s="2270"/>
      <c r="K35" s="2304"/>
      <c r="L35"/>
      <c r="M35"/>
      <c r="N35" s="2257"/>
      <c r="O35" s="2257"/>
      <c r="P35" s="2272"/>
      <c r="Q35" s="2272"/>
      <c r="R35" s="2257"/>
      <c r="S35" s="2257"/>
    </row>
    <row r="36" spans="1:19" ht="15" customHeight="1">
      <c r="A36" s="494" t="s">
        <v>702</v>
      </c>
      <c r="B36" s="2257"/>
      <c r="C36" s="2339">
        <f>Hilton!S65</f>
        <v>-9</v>
      </c>
      <c r="D36" s="2345">
        <f>Hilton!N65</f>
        <v>0</v>
      </c>
      <c r="E36" s="2351"/>
      <c r="F36" s="2351">
        <f>C36-D36</f>
        <v>-9</v>
      </c>
      <c r="G36" s="2269">
        <f>IF(D36=0,0,C36/D36-1)</f>
        <v>0</v>
      </c>
      <c r="H36" s="639">
        <v>0</v>
      </c>
      <c r="I36" s="2270"/>
      <c r="J36" s="2351">
        <f>C36-H36</f>
        <v>-9</v>
      </c>
      <c r="K36" s="2304">
        <f>IF(H36=0,0,C36/H36-1)</f>
        <v>0</v>
      </c>
      <c r="L36"/>
      <c r="M36"/>
      <c r="N36" s="2257"/>
      <c r="O36" s="2257"/>
      <c r="P36" s="2272"/>
      <c r="Q36" s="2272"/>
      <c r="R36" s="2257"/>
      <c r="S36" s="2257"/>
    </row>
    <row r="37" spans="1:19" ht="15" customHeight="1">
      <c r="A37" s="2332" t="s">
        <v>2155</v>
      </c>
      <c r="B37" s="2333"/>
      <c r="C37" s="1464">
        <f>SUM(C34:C36)</f>
        <v>174</v>
      </c>
      <c r="D37" s="2342">
        <f>SUM(D34:D36)</f>
        <v>200</v>
      </c>
      <c r="E37" s="2334"/>
      <c r="F37" s="1470">
        <f>C37-D37</f>
        <v>-26</v>
      </c>
      <c r="G37" s="2335">
        <f>IF(D37=0,0,C37/D37-1)</f>
        <v>-0.13</v>
      </c>
      <c r="H37" s="1464">
        <f>SUM(H34:H36)</f>
        <v>164.88197237129168</v>
      </c>
      <c r="I37" s="2334"/>
      <c r="J37" s="1470">
        <f>C37-H37</f>
        <v>9.1180276287083188</v>
      </c>
      <c r="K37" s="2353">
        <f>IF(H37=0,0,C37/H37-1)</f>
        <v>5.5300330882601001E-2</v>
      </c>
      <c r="L37"/>
      <c r="M37"/>
      <c r="N37" s="2257"/>
      <c r="O37" s="2257"/>
      <c r="P37" s="2272"/>
      <c r="Q37" s="2272"/>
      <c r="R37" s="2257"/>
      <c r="S37" s="2257"/>
    </row>
    <row r="38" spans="1:19" ht="13.5" customHeight="1">
      <c r="A38" s="2273"/>
      <c r="B38" s="2257"/>
      <c r="C38" s="2271"/>
      <c r="D38" s="2341"/>
      <c r="E38" s="2270"/>
      <c r="F38" s="2270"/>
      <c r="G38" s="2269"/>
      <c r="H38" s="639"/>
      <c r="I38" s="2270"/>
      <c r="J38" s="2270"/>
      <c r="K38" s="2304"/>
      <c r="L38"/>
      <c r="M38"/>
      <c r="N38" s="2257"/>
      <c r="O38" s="2257"/>
      <c r="P38" s="2272"/>
      <c r="Q38" s="2272"/>
      <c r="R38" s="2257"/>
      <c r="S38" s="2257"/>
    </row>
    <row r="39" spans="1:19" ht="15" customHeight="1">
      <c r="A39" s="2273" t="s">
        <v>892</v>
      </c>
      <c r="B39" s="2257"/>
      <c r="C39" s="2271">
        <f>Hilton!S70</f>
        <v>986.5</v>
      </c>
      <c r="D39" s="2341">
        <f>Hilton!N70</f>
        <v>866.66666666666674</v>
      </c>
      <c r="E39" s="2270"/>
      <c r="F39" s="2270">
        <f>C39-D39</f>
        <v>119.83333333333326</v>
      </c>
      <c r="G39" s="2269">
        <f>IF(D39=0,0,C39/D39-1)</f>
        <v>0.13826923076923059</v>
      </c>
      <c r="H39" s="639">
        <v>985</v>
      </c>
      <c r="I39" s="2270"/>
      <c r="J39" s="2270">
        <f>C39-H39</f>
        <v>1.5</v>
      </c>
      <c r="K39" s="2304">
        <f>IF(H39=0,0,C39/H39-1)</f>
        <v>1.5228426395939021E-3</v>
      </c>
      <c r="L39"/>
      <c r="M39"/>
      <c r="N39" s="2257"/>
      <c r="O39" s="2257"/>
      <c r="P39" s="2272"/>
      <c r="Q39" s="2272"/>
      <c r="R39" s="2257"/>
      <c r="S39" s="2257"/>
    </row>
    <row r="40" spans="1:19" ht="15" customHeight="1">
      <c r="A40" s="2332" t="s">
        <v>1897</v>
      </c>
      <c r="B40" s="2333"/>
      <c r="C40" s="2405">
        <v>0.19</v>
      </c>
      <c r="D40" s="2348">
        <f>D37/D39</f>
        <v>0.23076923076923075</v>
      </c>
      <c r="E40" s="2334"/>
      <c r="F40" s="2337">
        <f>C40-D40</f>
        <v>-4.0769230769230752E-2</v>
      </c>
      <c r="G40" s="2335">
        <f>IF(D40=0,0,C40/D40-1)</f>
        <v>-0.17666666666666664</v>
      </c>
      <c r="H40" s="2336">
        <f>H37/H39</f>
        <v>0.16739286535156517</v>
      </c>
      <c r="I40" s="2334"/>
      <c r="J40" s="2337">
        <f>C40-H40</f>
        <v>2.2607134648434835E-2</v>
      </c>
      <c r="K40" s="2353">
        <f>IF(H40=0,0,C40/H40-1)</f>
        <v>0.13505435014183198</v>
      </c>
      <c r="L40"/>
      <c r="M40"/>
      <c r="N40" s="2257"/>
      <c r="O40" s="2257"/>
      <c r="P40" s="2272"/>
      <c r="Q40" s="2272"/>
      <c r="R40" s="2257"/>
      <c r="S40" s="2257"/>
    </row>
    <row r="41" spans="1:19" ht="13.5" customHeight="1">
      <c r="A41" s="2292"/>
      <c r="B41" s="2293"/>
      <c r="C41" s="2294"/>
      <c r="D41" s="2349"/>
      <c r="E41" s="2296"/>
      <c r="F41" s="2295"/>
      <c r="G41" s="2297"/>
      <c r="H41" s="2294"/>
      <c r="I41" s="2296"/>
      <c r="J41" s="2295"/>
      <c r="K41" s="2309"/>
      <c r="L41"/>
      <c r="M41"/>
      <c r="N41" s="2257"/>
      <c r="O41" s="2257"/>
      <c r="P41" s="2272"/>
      <c r="Q41" s="2272"/>
      <c r="R41" s="2257"/>
      <c r="S41" s="2257"/>
    </row>
    <row r="42" spans="1:19" ht="15" customHeight="1">
      <c r="A42" s="2278" t="s">
        <v>1418</v>
      </c>
      <c r="B42" s="2293"/>
      <c r="C42" s="2298"/>
      <c r="D42" s="2350"/>
      <c r="E42" s="2296"/>
      <c r="F42" s="2296"/>
      <c r="G42" s="2297"/>
      <c r="H42" s="2298"/>
      <c r="I42" s="2296"/>
      <c r="J42" s="2296"/>
      <c r="K42" s="2309"/>
      <c r="L42"/>
      <c r="M42"/>
      <c r="N42" s="2293"/>
      <c r="O42" s="2293"/>
      <c r="P42" s="2293"/>
      <c r="Q42" s="2293"/>
      <c r="R42" s="2257"/>
      <c r="S42" s="2257"/>
    </row>
    <row r="43" spans="1:19" ht="15" customHeight="1">
      <c r="A43" s="384" t="s">
        <v>396</v>
      </c>
      <c r="B43"/>
      <c r="C43" s="2267">
        <f>Hilton!S105</f>
        <v>183</v>
      </c>
      <c r="D43" s="2322">
        <f>Hilton!N105</f>
        <v>200</v>
      </c>
      <c r="E43" s="2310"/>
      <c r="F43" s="2268">
        <f t="shared" ref="F43:F55" si="5">C43-D43</f>
        <v>-17</v>
      </c>
      <c r="G43" s="2269">
        <f t="shared" ref="G43:G54" si="6">IF(D43=0,0,C43/D43-1)</f>
        <v>-8.4999999999999964E-2</v>
      </c>
      <c r="H43" s="923">
        <v>164.88197237129151</v>
      </c>
      <c r="I43"/>
      <c r="J43" s="2268">
        <f t="shared" ref="J43:J55" si="7">C43-H43</f>
        <v>18.118027628708489</v>
      </c>
      <c r="K43" s="2304">
        <f t="shared" ref="K43:K55" si="8">IF(H43=0,0,C43/H43-1)</f>
        <v>0.10988483075584021</v>
      </c>
      <c r="L43"/>
      <c r="M43"/>
      <c r="N43" s="2293"/>
      <c r="O43" s="2293"/>
      <c r="P43" s="2293"/>
      <c r="Q43" s="2293"/>
      <c r="R43" s="2257"/>
      <c r="S43" s="2257"/>
    </row>
    <row r="44" spans="1:19" ht="15" customHeight="1">
      <c r="A44" s="384" t="s">
        <v>21</v>
      </c>
      <c r="B44"/>
      <c r="C44" s="2271">
        <f>Hilton!S106</f>
        <v>156</v>
      </c>
      <c r="D44" s="2341">
        <f>Hilton!N106</f>
        <v>127</v>
      </c>
      <c r="E44" s="2310"/>
      <c r="F44" s="2270">
        <f t="shared" si="5"/>
        <v>29</v>
      </c>
      <c r="G44" s="2269">
        <f t="shared" si="6"/>
        <v>0.22834645669291342</v>
      </c>
      <c r="H44" s="639">
        <v>152.92037500000001</v>
      </c>
      <c r="I44"/>
      <c r="J44" s="2270">
        <f t="shared" si="7"/>
        <v>3.079624999999993</v>
      </c>
      <c r="K44" s="2304">
        <f t="shared" si="8"/>
        <v>2.0138748678846685E-2</v>
      </c>
      <c r="L44"/>
      <c r="M44"/>
      <c r="N44" s="2293"/>
      <c r="O44" s="2293"/>
      <c r="P44" s="2293"/>
      <c r="Q44" s="2293"/>
      <c r="R44" s="2257"/>
      <c r="S44" s="2257"/>
    </row>
    <row r="45" spans="1:19" ht="15" customHeight="1">
      <c r="A45" s="2266" t="s">
        <v>1899</v>
      </c>
      <c r="B45"/>
      <c r="C45" s="2271">
        <f>Hilton!S107</f>
        <v>2</v>
      </c>
      <c r="D45" s="2341">
        <f>Hilton!N107</f>
        <v>4</v>
      </c>
      <c r="E45" s="2310"/>
      <c r="F45" s="2270">
        <f t="shared" si="5"/>
        <v>-2</v>
      </c>
      <c r="G45" s="2269">
        <f t="shared" si="6"/>
        <v>-0.5</v>
      </c>
      <c r="H45" s="639">
        <v>2</v>
      </c>
      <c r="I45"/>
      <c r="J45" s="2270">
        <f t="shared" si="7"/>
        <v>0</v>
      </c>
      <c r="K45" s="2304">
        <f t="shared" si="8"/>
        <v>0</v>
      </c>
      <c r="L45"/>
      <c r="M45"/>
      <c r="N45" s="2293"/>
      <c r="O45" s="2293"/>
      <c r="P45" s="2293"/>
      <c r="Q45" s="2293"/>
      <c r="R45" s="2257"/>
      <c r="S45" s="2257"/>
    </row>
    <row r="46" spans="1:19" ht="15" customHeight="1">
      <c r="A46" s="2266" t="s">
        <v>1904</v>
      </c>
      <c r="B46"/>
      <c r="C46" s="2271">
        <f>Hilton!S108</f>
        <v>127</v>
      </c>
      <c r="D46" s="2341">
        <f>Hilton!N108</f>
        <v>70</v>
      </c>
      <c r="E46" s="2310"/>
      <c r="F46" s="2270">
        <f t="shared" si="5"/>
        <v>57</v>
      </c>
      <c r="G46" s="2269">
        <f t="shared" si="6"/>
        <v>0.81428571428571428</v>
      </c>
      <c r="H46" s="639">
        <v>109.25240856525194</v>
      </c>
      <c r="I46"/>
      <c r="J46" s="2270">
        <f t="shared" si="7"/>
        <v>17.74759143474806</v>
      </c>
      <c r="K46" s="2304">
        <f t="shared" si="8"/>
        <v>0.16244576817863154</v>
      </c>
      <c r="L46"/>
      <c r="M46"/>
      <c r="N46" s="2293"/>
      <c r="O46" s="2293"/>
      <c r="P46" s="2293"/>
      <c r="Q46" s="2293"/>
      <c r="R46" s="2257"/>
      <c r="S46" s="2257"/>
    </row>
    <row r="47" spans="1:19" ht="15" customHeight="1">
      <c r="A47" s="384" t="s">
        <v>189</v>
      </c>
      <c r="B47"/>
      <c r="C47" s="2271">
        <f>Hilton!S109</f>
        <v>159</v>
      </c>
      <c r="D47" s="2341">
        <f>Hilton!N109</f>
        <v>146</v>
      </c>
      <c r="E47" s="2310"/>
      <c r="F47" s="2270">
        <f t="shared" si="5"/>
        <v>13</v>
      </c>
      <c r="G47" s="2269">
        <f t="shared" si="6"/>
        <v>8.9041095890410871E-2</v>
      </c>
      <c r="H47" s="639">
        <v>159.14000000000001</v>
      </c>
      <c r="I47"/>
      <c r="J47" s="2270">
        <f t="shared" si="7"/>
        <v>-0.14000000000001478</v>
      </c>
      <c r="K47" s="2304">
        <f t="shared" si="8"/>
        <v>-8.79728540907454E-4</v>
      </c>
      <c r="L47"/>
      <c r="M47"/>
      <c r="N47" s="2293"/>
      <c r="O47" s="2293"/>
      <c r="P47" s="2293"/>
      <c r="Q47" s="2293"/>
      <c r="R47" s="2257"/>
      <c r="S47" s="2257"/>
    </row>
    <row r="48" spans="1:19" ht="15" customHeight="1">
      <c r="A48" s="2266" t="s">
        <v>1898</v>
      </c>
      <c r="B48"/>
      <c r="C48" s="2271">
        <f>Hilton!S110</f>
        <v>7</v>
      </c>
      <c r="D48" s="2341">
        <f>Hilton!N110</f>
        <v>8</v>
      </c>
      <c r="E48" s="2310"/>
      <c r="F48" s="2270">
        <f t="shared" si="5"/>
        <v>-1</v>
      </c>
      <c r="G48" s="2269">
        <f t="shared" si="6"/>
        <v>-0.125</v>
      </c>
      <c r="H48" s="639">
        <v>9</v>
      </c>
      <c r="I48"/>
      <c r="J48" s="2270">
        <f t="shared" si="7"/>
        <v>-2</v>
      </c>
      <c r="K48" s="2304">
        <f t="shared" si="8"/>
        <v>-0.22222222222222221</v>
      </c>
      <c r="L48"/>
      <c r="M48"/>
      <c r="N48" s="2293"/>
      <c r="O48" s="2293"/>
      <c r="P48" s="2293"/>
      <c r="Q48" s="2293"/>
      <c r="R48" s="2257"/>
      <c r="S48" s="2257"/>
    </row>
    <row r="49" spans="1:19" ht="15" customHeight="1">
      <c r="A49" s="2332" t="s">
        <v>1228</v>
      </c>
      <c r="B49" s="2333"/>
      <c r="C49" s="1464">
        <f>SUM(C43:C48)</f>
        <v>634</v>
      </c>
      <c r="D49" s="2342">
        <f>SUM(D43:D48)</f>
        <v>555</v>
      </c>
      <c r="E49" s="2334"/>
      <c r="F49" s="1470">
        <f t="shared" si="5"/>
        <v>79</v>
      </c>
      <c r="G49" s="2335">
        <f>IF(D49=0,0,C49/D49-1)</f>
        <v>0.14234234234234244</v>
      </c>
      <c r="H49" s="1464">
        <f>SUM(H43:H48)</f>
        <v>597.1947559365434</v>
      </c>
      <c r="I49" s="2334"/>
      <c r="J49" s="1470">
        <f t="shared" si="7"/>
        <v>36.805244063456598</v>
      </c>
      <c r="K49" s="2353">
        <f t="shared" si="8"/>
        <v>6.1630219786068308E-2</v>
      </c>
      <c r="L49"/>
      <c r="M49"/>
      <c r="N49" s="2293"/>
      <c r="O49" s="2293"/>
      <c r="P49" s="2293"/>
      <c r="Q49" s="2293"/>
      <c r="R49" s="2257"/>
      <c r="S49" s="2257"/>
    </row>
    <row r="50" spans="1:19" ht="15" customHeight="1">
      <c r="A50" s="2354" t="s">
        <v>1905</v>
      </c>
      <c r="B50"/>
      <c r="C50" s="2271">
        <f>Hilton!S112</f>
        <v>4</v>
      </c>
      <c r="D50" s="2341">
        <f>Hilton!N112</f>
        <v>3</v>
      </c>
      <c r="E50" s="2310"/>
      <c r="F50" s="2270">
        <f t="shared" si="5"/>
        <v>1</v>
      </c>
      <c r="G50" s="2269">
        <f t="shared" si="6"/>
        <v>0.33333333333333326</v>
      </c>
      <c r="H50" s="639">
        <v>6</v>
      </c>
      <c r="I50"/>
      <c r="J50" s="2270">
        <f t="shared" si="7"/>
        <v>-2</v>
      </c>
      <c r="K50" s="2304">
        <f t="shared" si="8"/>
        <v>-0.33333333333333337</v>
      </c>
      <c r="L50"/>
      <c r="M50"/>
      <c r="N50" s="2293"/>
      <c r="O50" s="2293"/>
      <c r="P50" s="2293"/>
      <c r="Q50" s="2293"/>
      <c r="R50" s="2257"/>
      <c r="S50" s="2257"/>
    </row>
    <row r="51" spans="1:19" ht="15" customHeight="1">
      <c r="A51" s="494" t="s">
        <v>773</v>
      </c>
      <c r="B51"/>
      <c r="C51" s="2271">
        <f>Hilton!S113</f>
        <v>5</v>
      </c>
      <c r="D51" s="2341">
        <f>Hilton!N113</f>
        <v>-39</v>
      </c>
      <c r="E51" s="2310"/>
      <c r="F51" s="2270">
        <f t="shared" si="5"/>
        <v>44</v>
      </c>
      <c r="G51" s="2356" t="s">
        <v>2296</v>
      </c>
      <c r="H51" s="639">
        <v>0</v>
      </c>
      <c r="I51"/>
      <c r="J51" s="2270">
        <f t="shared" si="7"/>
        <v>5</v>
      </c>
      <c r="K51" s="2304">
        <f t="shared" si="8"/>
        <v>0</v>
      </c>
      <c r="L51"/>
      <c r="M51"/>
      <c r="N51" s="2293"/>
      <c r="O51" s="2293"/>
      <c r="P51" s="2293"/>
      <c r="Q51" s="2293"/>
      <c r="R51" s="2257"/>
      <c r="S51" s="2257"/>
    </row>
    <row r="52" spans="1:19" ht="15" customHeight="1">
      <c r="A52" s="494" t="s">
        <v>775</v>
      </c>
      <c r="B52"/>
      <c r="C52" s="2271">
        <f>Hilton!S115</f>
        <v>9</v>
      </c>
      <c r="D52" s="2341">
        <f>Hilton!N115</f>
        <v>12</v>
      </c>
      <c r="E52" s="2310"/>
      <c r="F52" s="2270">
        <f t="shared" si="5"/>
        <v>-3</v>
      </c>
      <c r="G52" s="2269">
        <f t="shared" si="6"/>
        <v>-0.25</v>
      </c>
      <c r="H52" s="639">
        <v>14</v>
      </c>
      <c r="I52"/>
      <c r="J52" s="2270">
        <f t="shared" si="7"/>
        <v>-5</v>
      </c>
      <c r="K52" s="2304">
        <f t="shared" si="8"/>
        <v>-0.3571428571428571</v>
      </c>
      <c r="L52"/>
      <c r="M52"/>
      <c r="N52" s="2293"/>
      <c r="O52" s="2293"/>
      <c r="P52" s="2293"/>
      <c r="Q52" s="2293"/>
      <c r="R52" s="2257"/>
      <c r="S52" s="2257"/>
    </row>
    <row r="53" spans="1:19" ht="15" customHeight="1">
      <c r="A53" s="494" t="s">
        <v>776</v>
      </c>
      <c r="B53"/>
      <c r="C53" s="2271">
        <f>Hilton!S116</f>
        <v>6</v>
      </c>
      <c r="D53" s="2341">
        <f>Hilton!N116</f>
        <v>2</v>
      </c>
      <c r="E53" s="2310"/>
      <c r="F53" s="2270">
        <f t="shared" si="5"/>
        <v>4</v>
      </c>
      <c r="G53" s="2356" t="s">
        <v>2296</v>
      </c>
      <c r="H53" s="639">
        <v>4</v>
      </c>
      <c r="I53"/>
      <c r="J53" s="2270">
        <f t="shared" si="7"/>
        <v>2</v>
      </c>
      <c r="K53" s="2304">
        <f t="shared" si="8"/>
        <v>0.5</v>
      </c>
      <c r="L53"/>
      <c r="M53"/>
      <c r="N53" s="2293"/>
      <c r="O53" s="2293"/>
      <c r="P53" s="2293"/>
      <c r="Q53" s="2293"/>
      <c r="R53" s="2257"/>
      <c r="S53" s="2257"/>
    </row>
    <row r="54" spans="1:19" ht="15" customHeight="1">
      <c r="A54" s="494" t="s">
        <v>395</v>
      </c>
      <c r="B54"/>
      <c r="C54" s="2271">
        <f>SUM(Hilton!S117:S120,Hilton!S114)</f>
        <v>-13</v>
      </c>
      <c r="D54" s="2341">
        <f>SUM(Hilton!N117:N120,Hilton!N114)</f>
        <v>37</v>
      </c>
      <c r="E54" s="2310"/>
      <c r="F54" s="2270">
        <f t="shared" si="5"/>
        <v>-50</v>
      </c>
      <c r="G54" s="2269">
        <f t="shared" si="6"/>
        <v>-1.3513513513513513</v>
      </c>
      <c r="H54" s="639"/>
      <c r="I54"/>
      <c r="J54" s="2270">
        <f t="shared" si="7"/>
        <v>-13</v>
      </c>
      <c r="K54" s="2304">
        <f t="shared" si="8"/>
        <v>0</v>
      </c>
      <c r="L54"/>
      <c r="M54" s="2293"/>
      <c r="N54" s="2293"/>
      <c r="O54" s="2293"/>
      <c r="P54" s="2293"/>
      <c r="Q54" s="2293"/>
      <c r="R54" s="2257"/>
      <c r="S54" s="2257"/>
    </row>
    <row r="55" spans="1:19" ht="15" customHeight="1">
      <c r="A55" s="2332" t="s">
        <v>2091</v>
      </c>
      <c r="B55" s="2333"/>
      <c r="C55" s="1464">
        <f>SUM(C49:C54)</f>
        <v>645</v>
      </c>
      <c r="D55" s="2342">
        <f>SUM(D49:D54)</f>
        <v>570</v>
      </c>
      <c r="E55" s="2334"/>
      <c r="F55" s="1470">
        <f t="shared" si="5"/>
        <v>75</v>
      </c>
      <c r="G55" s="2335">
        <f>IF(D55=0,0,C55/D55-1)</f>
        <v>0.13157894736842102</v>
      </c>
      <c r="H55" s="1464">
        <f>SUM(H49:H54)</f>
        <v>621.1947559365434</v>
      </c>
      <c r="I55" s="2334"/>
      <c r="J55" s="1470">
        <f t="shared" si="7"/>
        <v>23.805244063456598</v>
      </c>
      <c r="K55" s="2353">
        <f t="shared" si="8"/>
        <v>3.8321708024670498E-2</v>
      </c>
      <c r="L55"/>
      <c r="M55" s="2293"/>
      <c r="N55" s="2293"/>
      <c r="O55" s="2293"/>
      <c r="P55" s="2293"/>
      <c r="Q55" s="2293"/>
      <c r="R55" s="2257"/>
      <c r="S55" s="2257"/>
    </row>
    <row r="56" spans="1:19" ht="13.5" customHeight="1">
      <c r="A56"/>
      <c r="B56"/>
      <c r="C56"/>
      <c r="D56"/>
      <c r="E56"/>
      <c r="F56"/>
      <c r="G56"/>
      <c r="H56"/>
      <c r="I56"/>
      <c r="J56"/>
      <c r="K56"/>
      <c r="L56"/>
      <c r="M56" s="2293"/>
      <c r="N56" s="2293"/>
      <c r="O56" s="2293"/>
      <c r="P56" s="2293"/>
      <c r="Q56" s="2293"/>
      <c r="R56" s="2257"/>
      <c r="S56" s="2257"/>
    </row>
    <row r="57" spans="1:19" ht="13.5" customHeight="1">
      <c r="A57"/>
      <c r="B57"/>
      <c r="C57"/>
      <c r="D57"/>
      <c r="E57"/>
      <c r="F57"/>
      <c r="G57"/>
      <c r="H57"/>
      <c r="I57"/>
      <c r="J57"/>
      <c r="K57"/>
      <c r="L57"/>
      <c r="M57" s="2293"/>
      <c r="N57" s="2293"/>
      <c r="O57" s="2293"/>
      <c r="P57" s="2293"/>
      <c r="Q57" s="2293"/>
      <c r="R57" s="2257"/>
      <c r="S57" s="2257"/>
    </row>
    <row r="58" spans="1:19" ht="4.5" customHeight="1">
      <c r="B58"/>
      <c r="C58"/>
      <c r="D58"/>
      <c r="E58"/>
      <c r="F58"/>
      <c r="G58"/>
      <c r="H58"/>
      <c r="I58"/>
      <c r="J58"/>
      <c r="K58"/>
      <c r="L58"/>
    </row>
    <row r="59" spans="1:19" ht="4.5" customHeight="1">
      <c r="G59" s="2299"/>
      <c r="H59" s="2293"/>
      <c r="I59" s="2293"/>
      <c r="J59" s="2293"/>
      <c r="K59" s="2300"/>
      <c r="L59" s="2256"/>
    </row>
    <row r="60" spans="1:19" ht="4.5" customHeight="1">
      <c r="G60" s="2299"/>
      <c r="H60" s="2293"/>
      <c r="I60" s="2293"/>
      <c r="J60" s="2293"/>
      <c r="K60" s="2300"/>
      <c r="L60" s="2256"/>
    </row>
    <row r="61" spans="1:19" customFormat="1" ht="13.5" customHeight="1"/>
    <row r="62" spans="1:19" customFormat="1" ht="13.5" customHeight="1"/>
    <row r="63" spans="1:19" customFormat="1" ht="13.5" customHeight="1"/>
    <row r="64" spans="1:19" customFormat="1" ht="5.0999999999999996" customHeight="1"/>
    <row r="65" customFormat="1" ht="13.5" customHeight="1"/>
    <row r="66" customFormat="1" ht="13.5" customHeight="1"/>
    <row r="67" customFormat="1" ht="5.0999999999999996" customHeight="1"/>
    <row r="68" customFormat="1" ht="13.5" customHeight="1"/>
    <row r="69" customFormat="1" ht="13.5" customHeight="1"/>
    <row r="70" customFormat="1" ht="4.5" customHeight="1"/>
    <row r="71" customFormat="1" ht="13.5" customHeight="1"/>
    <row r="72" customFormat="1" ht="4.5" customHeight="1"/>
    <row r="73" customFormat="1" ht="13.5" customHeight="1"/>
    <row r="74" customFormat="1" ht="4.5" customHeight="1"/>
    <row r="75" customFormat="1" ht="13.5" customHeight="1"/>
    <row r="76" customFormat="1" ht="4.5" customHeight="1"/>
    <row r="77" customFormat="1" ht="13.5" customHeight="1"/>
    <row r="78" customFormat="1" ht="4.5" customHeight="1"/>
    <row r="79" customFormat="1" ht="13.5" customHeight="1"/>
    <row r="80" customFormat="1" ht="4.5" customHeight="1"/>
    <row r="81" customFormat="1" ht="13.5" customHeight="1"/>
    <row r="82" customFormat="1" ht="4.5" customHeight="1"/>
    <row r="83" customFormat="1" ht="13.5" customHeight="1"/>
    <row r="84" customFormat="1" ht="4.5" customHeight="1"/>
    <row r="85" customFormat="1" ht="13.5" customHeight="1"/>
    <row r="86" customFormat="1" ht="4.5" customHeight="1"/>
    <row r="87" customFormat="1" ht="13.5" customHeight="1"/>
    <row r="88" customFormat="1" ht="4.5" customHeight="1"/>
    <row r="89" customFormat="1" ht="13.5" customHeight="1"/>
    <row r="90" customFormat="1" ht="4.5" customHeight="1"/>
    <row r="91" customFormat="1" ht="5.0999999999999996" customHeight="1"/>
    <row r="92" customFormat="1" ht="4.5" customHeight="1"/>
    <row r="93" customFormat="1" ht="13.5" customHeight="1"/>
    <row r="94" customFormat="1" ht="13.5" customHeight="1"/>
    <row r="95" customFormat="1" ht="13.5" customHeight="1"/>
    <row r="96" customFormat="1" ht="13.5" customHeight="1"/>
    <row r="97" customFormat="1" ht="13.5" customHeight="1"/>
    <row r="98" customFormat="1" ht="13.5" customHeight="1"/>
    <row r="99" customFormat="1" ht="13.5" customHeight="1"/>
    <row r="100" customFormat="1" ht="13.5" customHeight="1"/>
    <row r="101" customFormat="1" ht="13.5" customHeight="1"/>
    <row r="102" customFormat="1" ht="13.5" customHeight="1"/>
    <row r="103" customFormat="1" ht="13.5" customHeight="1"/>
    <row r="104" customFormat="1" ht="13.5" customHeight="1"/>
    <row r="105" customFormat="1" ht="13.5" customHeight="1"/>
    <row r="106" customFormat="1" ht="13.5" customHeight="1"/>
    <row r="107" customFormat="1" ht="13.5" customHeight="1"/>
    <row r="108" customFormat="1" ht="13.5" customHeight="1"/>
    <row r="109" customFormat="1" ht="13.5" customHeight="1"/>
    <row r="110" customFormat="1" ht="13.5" customHeight="1"/>
    <row r="111" customFormat="1" ht="13.5" customHeight="1"/>
    <row r="112" customFormat="1" ht="13.5" customHeight="1"/>
    <row r="113" spans="46:47" customFormat="1" ht="13.5" customHeight="1"/>
    <row r="114" spans="46:47" customFormat="1" ht="13.5" customHeight="1"/>
    <row r="115" spans="46:47" customFormat="1" ht="13.5" customHeight="1"/>
    <row r="116" spans="46:47" customFormat="1" ht="13.5" customHeight="1"/>
    <row r="117" spans="46:47" customFormat="1" ht="13.5" customHeight="1"/>
    <row r="118" spans="46:47" customFormat="1" ht="13.5" customHeight="1"/>
    <row r="119" spans="46:47" customFormat="1" ht="13.5" customHeight="1"/>
    <row r="120" spans="46:47" s="2302" customFormat="1" ht="13.5" customHeight="1"/>
    <row r="121" spans="46:47" s="2302" customFormat="1" ht="13.5" customHeight="1"/>
    <row r="122" spans="46:47" s="2302" customFormat="1" ht="13.5" customHeight="1">
      <c r="AT122"/>
      <c r="AU122"/>
    </row>
    <row r="123" spans="46:47" s="2302" customFormat="1" ht="13.5" customHeight="1">
      <c r="AT123"/>
      <c r="AU123"/>
    </row>
    <row r="124" spans="46:47" s="2302" customFormat="1" ht="13.5" customHeight="1">
      <c r="AT124"/>
      <c r="AU124"/>
    </row>
    <row r="125" spans="46:47" s="2302" customFormat="1" ht="13.5" customHeight="1">
      <c r="AT125"/>
      <c r="AU125"/>
    </row>
    <row r="126" spans="46:47" s="2302" customFormat="1" ht="13.5" customHeight="1">
      <c r="AT126"/>
      <c r="AU126"/>
    </row>
    <row r="127" spans="46:47" s="2302" customFormat="1" ht="13.5" customHeight="1">
      <c r="AT127"/>
      <c r="AU127"/>
    </row>
    <row r="128" spans="46:47" s="2302" customFormat="1" ht="13.5" customHeight="1">
      <c r="AT128"/>
      <c r="AU128"/>
    </row>
    <row r="129" spans="46:47" s="2302" customFormat="1" ht="13.5" customHeight="1">
      <c r="AT129"/>
      <c r="AU129"/>
    </row>
    <row r="130" spans="46:47" s="2302" customFormat="1" ht="13.5" customHeight="1">
      <c r="AT130"/>
      <c r="AU130"/>
    </row>
    <row r="131" spans="46:47" s="2302" customFormat="1" ht="13.5" customHeight="1">
      <c r="AT131"/>
      <c r="AU131"/>
    </row>
    <row r="132" spans="46:47" ht="13.5" customHeight="1">
      <c r="AT132"/>
      <c r="AU132"/>
    </row>
    <row r="133" spans="46:47" ht="13.5" customHeight="1">
      <c r="AT133"/>
      <c r="AU133"/>
    </row>
    <row r="134" spans="46:47" ht="13.5" customHeight="1">
      <c r="AT134"/>
      <c r="AU134"/>
    </row>
    <row r="149" ht="5.25" customHeight="1"/>
    <row r="152" ht="5.25" customHeight="1"/>
    <row r="158" ht="5.25" customHeight="1"/>
    <row r="164" ht="4.5" customHeight="1"/>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U164"/>
  <sheetViews>
    <sheetView showGridLines="0" zoomScale="85" zoomScaleNormal="85" workbookViewId="0"/>
  </sheetViews>
  <sheetFormatPr defaultRowHeight="13.5" customHeight="1"/>
  <cols>
    <col min="1" max="1" width="42.625" style="2301" customWidth="1"/>
    <col min="2" max="2" width="1.5" style="1734" customWidth="1"/>
    <col min="3" max="4" width="9" style="1734"/>
    <col min="5" max="5" width="1.5" style="1734" customWidth="1"/>
    <col min="6" max="8" width="9" style="1734"/>
    <col min="9" max="9" width="1.5" style="1734" customWidth="1"/>
    <col min="10" max="11" width="9" style="1734"/>
    <col min="12" max="13" width="11.625" style="1734" customWidth="1"/>
    <col min="14" max="14" width="22.375" style="1734" customWidth="1"/>
    <col min="15" max="16" width="9" style="1734"/>
    <col min="17" max="17" width="1.625" style="1734" customWidth="1"/>
    <col min="18" max="19" width="9" style="1734"/>
    <col min="20" max="20" width="1.625" style="1734" customWidth="1"/>
    <col min="21" max="22" width="9" style="1734"/>
    <col min="23" max="23" width="1.625" style="1734" customWidth="1"/>
    <col min="24" max="25" width="9" style="1734"/>
    <col min="26" max="26" width="1.625" style="1734" customWidth="1"/>
    <col min="27" max="27" width="19.25" style="1734" customWidth="1"/>
    <col min="28" max="28" width="10.125" style="1734" customWidth="1"/>
    <col min="29" max="29" width="8.625" style="1734" customWidth="1"/>
    <col min="30" max="30" width="1.625" style="1734" customWidth="1"/>
    <col min="31" max="31" width="8.625" style="1734" customWidth="1"/>
    <col min="32" max="32" width="1.625" style="1734" customWidth="1"/>
    <col min="33" max="33" width="7.625" style="1734" customWidth="1"/>
    <col min="34" max="34" width="1.625" style="1734" customWidth="1"/>
    <col min="35" max="35" width="10.25" style="1734" customWidth="1"/>
    <col min="36" max="44" width="9.625" style="1734" customWidth="1"/>
    <col min="45" max="45" width="7.625" style="1734" customWidth="1"/>
    <col min="46" max="46" width="44" style="1734" customWidth="1"/>
    <col min="47" max="47" width="13.125" style="1734" customWidth="1"/>
    <col min="48" max="48" width="14" style="1734" customWidth="1"/>
    <col min="49" max="60" width="9" style="1734"/>
    <col min="61" max="61" width="4" style="1734" customWidth="1"/>
    <col min="62" max="62" width="13.875" style="1734" customWidth="1"/>
    <col min="63" max="16384" width="9" style="1734"/>
  </cols>
  <sheetData>
    <row r="1" spans="1:19" ht="13.5" customHeight="1">
      <c r="A1" s="2255" t="s">
        <v>1894</v>
      </c>
      <c r="B1" s="2256"/>
      <c r="C1" s="2324" t="s">
        <v>2307</v>
      </c>
      <c r="D1" s="2256"/>
      <c r="E1" s="2256"/>
      <c r="F1" s="2256"/>
      <c r="G1" s="2256"/>
      <c r="H1" s="2256"/>
      <c r="I1" s="2256"/>
      <c r="J1" s="2256"/>
      <c r="K1" s="2256"/>
      <c r="L1" s="2256"/>
      <c r="M1" s="2256"/>
      <c r="N1" s="2256"/>
      <c r="O1" s="2256"/>
      <c r="P1" s="2256"/>
      <c r="Q1" s="2256"/>
      <c r="R1" s="2256"/>
      <c r="S1" s="2256"/>
    </row>
    <row r="2" spans="1:19" ht="13.5" customHeight="1">
      <c r="A2" s="2255" t="s">
        <v>2152</v>
      </c>
      <c r="B2" s="2256"/>
      <c r="C2" s="2256"/>
      <c r="D2" s="2256"/>
      <c r="E2" s="2256"/>
      <c r="F2" s="2256"/>
      <c r="G2" s="2256"/>
      <c r="H2" s="2256"/>
      <c r="I2" s="2256"/>
      <c r="J2" s="2256"/>
      <c r="K2" s="2256"/>
      <c r="L2" s="2256"/>
      <c r="M2" s="2257"/>
      <c r="N2" s="2257"/>
      <c r="O2" s="2257"/>
      <c r="P2" s="2257"/>
      <c r="Q2" s="2257"/>
      <c r="R2" s="2257"/>
      <c r="S2" s="2257"/>
    </row>
    <row r="3" spans="1:19" ht="13.5" customHeight="1">
      <c r="A3" s="2258"/>
      <c r="B3" s="2256"/>
      <c r="C3" s="2256"/>
      <c r="D3" s="2256"/>
      <c r="E3" s="2256"/>
      <c r="F3" s="2256"/>
      <c r="G3" s="2256"/>
      <c r="H3" s="2256"/>
      <c r="I3" s="2256"/>
      <c r="J3" s="2256"/>
      <c r="K3" s="2256"/>
      <c r="L3" s="2256"/>
      <c r="M3" s="2257"/>
      <c r="N3" s="2257"/>
      <c r="O3" s="2257"/>
      <c r="P3" s="2257"/>
      <c r="Q3" s="2257"/>
      <c r="R3" s="2257"/>
      <c r="S3" s="2257"/>
    </row>
    <row r="4" spans="1:19" ht="13.5" customHeight="1" thickBot="1">
      <c r="A4" s="2259" t="s">
        <v>2153</v>
      </c>
      <c r="B4" s="2256"/>
      <c r="C4" s="2256"/>
      <c r="D4" s="2256"/>
      <c r="E4" s="2256"/>
      <c r="F4" s="2256"/>
      <c r="G4" s="2256"/>
      <c r="H4" s="2256"/>
      <c r="I4" s="2256"/>
      <c r="J4" s="2256"/>
      <c r="K4" s="2256"/>
      <c r="L4" s="2256"/>
      <c r="M4" s="2257"/>
      <c r="N4" s="2257"/>
      <c r="O4" s="2257"/>
      <c r="P4" s="2257"/>
      <c r="Q4" s="2257"/>
      <c r="R4" s="2257"/>
      <c r="S4" s="2257"/>
    </row>
    <row r="5" spans="1:19" ht="13.5" customHeight="1">
      <c r="A5" s="2311"/>
      <c r="B5" s="2312"/>
      <c r="C5" s="2325" t="s">
        <v>1900</v>
      </c>
      <c r="D5" s="2326"/>
      <c r="E5" s="2326"/>
      <c r="F5" s="2326"/>
      <c r="G5" s="2327"/>
      <c r="H5" s="2325" t="s">
        <v>2174</v>
      </c>
      <c r="I5" s="2326"/>
      <c r="J5" s="2328"/>
      <c r="K5" s="2329"/>
      <c r="L5" s="2256"/>
      <c r="M5" s="2260"/>
      <c r="N5" s="2260"/>
      <c r="O5" s="2257"/>
      <c r="P5" s="2257"/>
      <c r="Q5" s="2257"/>
      <c r="R5" s="2257"/>
      <c r="S5" s="2257"/>
    </row>
    <row r="6" spans="1:19" ht="13.5" customHeight="1">
      <c r="A6" s="2313"/>
      <c r="B6" s="2314"/>
      <c r="C6" s="2330"/>
      <c r="D6" s="2314"/>
      <c r="E6" s="2314"/>
      <c r="F6" s="2315" t="s">
        <v>2154</v>
      </c>
      <c r="G6" s="2331"/>
      <c r="H6" s="2314"/>
      <c r="I6" s="2314"/>
      <c r="J6" s="2315" t="s">
        <v>2154</v>
      </c>
      <c r="K6" s="2316"/>
      <c r="L6" s="2256"/>
      <c r="M6" s="2257"/>
      <c r="N6" s="2257"/>
      <c r="O6" s="2257"/>
      <c r="P6" s="2257"/>
      <c r="Q6" s="2257"/>
      <c r="R6" s="2257"/>
      <c r="S6" s="2257"/>
    </row>
    <row r="7" spans="1:19" ht="13.5" customHeight="1" thickBot="1">
      <c r="A7" s="2317"/>
      <c r="B7" s="2318"/>
      <c r="C7" s="2319" t="s">
        <v>1893</v>
      </c>
      <c r="D7" s="2320" t="s">
        <v>2213</v>
      </c>
      <c r="E7" s="2320"/>
      <c r="F7" s="2320" t="s">
        <v>1715</v>
      </c>
      <c r="G7" s="2320" t="s">
        <v>2143</v>
      </c>
      <c r="H7" s="2319" t="s">
        <v>1779</v>
      </c>
      <c r="I7" s="2320"/>
      <c r="J7" s="2320" t="s">
        <v>1715</v>
      </c>
      <c r="K7" s="2321" t="s">
        <v>2143</v>
      </c>
      <c r="L7"/>
      <c r="M7"/>
      <c r="N7" s="2262"/>
      <c r="O7" s="2257"/>
      <c r="P7" s="2261"/>
      <c r="Q7" s="2261"/>
      <c r="R7" s="2257"/>
      <c r="S7" s="2257"/>
    </row>
    <row r="8" spans="1:19" ht="15" customHeight="1">
      <c r="A8" s="2263" t="s">
        <v>698</v>
      </c>
      <c r="B8" s="2257"/>
      <c r="C8" s="2264"/>
      <c r="D8" s="2303"/>
      <c r="E8" s="2340"/>
      <c r="F8" s="2340"/>
      <c r="G8" s="2257"/>
      <c r="H8" s="2352"/>
      <c r="I8" s="2257"/>
      <c r="J8" s="2257"/>
      <c r="K8" s="2265"/>
      <c r="L8" s="2256"/>
      <c r="M8" s="2260"/>
      <c r="N8" s="2260"/>
      <c r="O8" s="2257"/>
      <c r="P8" s="2257"/>
      <c r="Q8" s="2257"/>
      <c r="R8" s="2257"/>
      <c r="S8" s="2257"/>
    </row>
    <row r="9" spans="1:19" ht="15" customHeight="1">
      <c r="A9" s="2266" t="s">
        <v>1245</v>
      </c>
      <c r="B9" s="2257"/>
      <c r="C9" s="2267">
        <f>Hilton!R9</f>
        <v>1117</v>
      </c>
      <c r="D9" s="2322">
        <f>Hilton!M9</f>
        <v>1070</v>
      </c>
      <c r="E9" s="2268"/>
      <c r="F9" s="2268">
        <f>C9-D9</f>
        <v>47</v>
      </c>
      <c r="G9" s="2269">
        <f>IF(D9=0,0,C9/D9-1)</f>
        <v>4.3925233644859896E-2</v>
      </c>
      <c r="H9" s="923">
        <v>1095.6397940325487</v>
      </c>
      <c r="I9" s="2270"/>
      <c r="J9" s="2268">
        <f>C9-H9</f>
        <v>21.360205967451293</v>
      </c>
      <c r="K9" s="2304">
        <f>IF(H9=0,0,C9/H9-1)</f>
        <v>1.9495646364608765E-2</v>
      </c>
      <c r="L9" s="2256"/>
      <c r="M9" s="2260"/>
      <c r="N9" s="2260"/>
      <c r="O9" s="2257"/>
      <c r="P9" s="2257"/>
      <c r="Q9" s="2257"/>
      <c r="R9" s="2257"/>
      <c r="S9" s="2257"/>
    </row>
    <row r="10" spans="1:19" ht="15" customHeight="1">
      <c r="A10" s="2266" t="s">
        <v>1244</v>
      </c>
      <c r="B10" s="2257"/>
      <c r="C10" s="2271">
        <f>Hilton!R16</f>
        <v>354</v>
      </c>
      <c r="D10" s="2341">
        <f>Hilton!M16</f>
        <v>299</v>
      </c>
      <c r="E10" s="2270"/>
      <c r="F10" s="2270">
        <f>C10-D10</f>
        <v>55</v>
      </c>
      <c r="G10" s="2269">
        <f>IF(D10=0,0,C10/D10-1)</f>
        <v>0.18394648829431448</v>
      </c>
      <c r="H10" s="639">
        <v>335.90093085935501</v>
      </c>
      <c r="I10" s="2270"/>
      <c r="J10" s="2270">
        <f>C10-H10</f>
        <v>18.099069140644986</v>
      </c>
      <c r="K10" s="2304">
        <f>IF(H10=0,0,C10/H10-1)</f>
        <v>5.3882164286776613E-2</v>
      </c>
      <c r="L10" s="2256"/>
      <c r="M10" s="2262"/>
      <c r="N10" s="2262"/>
      <c r="O10" s="2257"/>
      <c r="P10" s="2257"/>
      <c r="Q10" s="2257"/>
      <c r="R10" s="2257"/>
      <c r="S10" s="2257"/>
    </row>
    <row r="11" spans="1:19" ht="15" customHeight="1">
      <c r="A11" s="2266" t="s">
        <v>750</v>
      </c>
      <c r="B11" s="2257"/>
      <c r="C11" s="2271">
        <f>Hilton!R18</f>
        <v>276</v>
      </c>
      <c r="D11" s="2341">
        <f>Hilton!M18</f>
        <v>261</v>
      </c>
      <c r="E11" s="2270"/>
      <c r="F11" s="2270">
        <f>C11-D11</f>
        <v>15</v>
      </c>
      <c r="G11" s="2269">
        <f>IF(D11=0,0,C11/D11-1)</f>
        <v>5.7471264367816133E-2</v>
      </c>
      <c r="H11" s="639">
        <v>292.32000000000005</v>
      </c>
      <c r="I11" s="2270"/>
      <c r="J11" s="2270">
        <f>C11-H11</f>
        <v>-16.32000000000005</v>
      </c>
      <c r="K11" s="2304">
        <f>IF(H11=0,0,C11/H11-1)</f>
        <v>-5.58292282430215E-2</v>
      </c>
      <c r="L11" s="2257"/>
      <c r="M11" s="2257"/>
      <c r="N11" s="2257"/>
      <c r="O11" s="2257"/>
      <c r="P11" s="2257"/>
      <c r="Q11" s="2257"/>
      <c r="R11" s="2257"/>
      <c r="S11" s="2257"/>
    </row>
    <row r="12" spans="1:19" ht="15" customHeight="1">
      <c r="A12" s="2266" t="s">
        <v>1896</v>
      </c>
      <c r="B12" s="2257"/>
      <c r="C12" s="2271">
        <f>Hilton!R23</f>
        <v>920</v>
      </c>
      <c r="D12" s="2341">
        <f>Hilton!M23</f>
        <v>750</v>
      </c>
      <c r="E12" s="2270"/>
      <c r="F12" s="2270">
        <f>C12-D12</f>
        <v>170</v>
      </c>
      <c r="G12" s="2269">
        <f>IF(D12=0,0,C12/D12-1)</f>
        <v>0.22666666666666657</v>
      </c>
      <c r="H12" s="639">
        <v>842.56086335958616</v>
      </c>
      <c r="I12" s="2270"/>
      <c r="J12" s="2270">
        <f>C12-H12</f>
        <v>77.439136640413835</v>
      </c>
      <c r="K12" s="2304">
        <f>IF(H12=0,0,C12/H12-1)</f>
        <v>9.1909249536747728E-2</v>
      </c>
      <c r="L12" s="2257"/>
      <c r="M12" s="2257"/>
      <c r="N12" s="2257"/>
      <c r="O12" s="2257"/>
      <c r="P12" s="2257"/>
      <c r="Q12" s="2257"/>
      <c r="R12" s="2257"/>
      <c r="S12" s="2257"/>
    </row>
    <row r="13" spans="1:19" ht="15" customHeight="1">
      <c r="A13" s="2332" t="s">
        <v>1895</v>
      </c>
      <c r="B13" s="2333"/>
      <c r="C13" s="1464">
        <f>SUM(C9:C12)</f>
        <v>2667</v>
      </c>
      <c r="D13" s="2342">
        <f>SUM(D9:D12)</f>
        <v>2380</v>
      </c>
      <c r="E13" s="2334"/>
      <c r="F13" s="1470">
        <f>C13-D13</f>
        <v>287</v>
      </c>
      <c r="G13" s="2335">
        <f>IF(D13=0,0,C13/D13-1)</f>
        <v>0.12058823529411766</v>
      </c>
      <c r="H13" s="1464">
        <f>SUM(H9:H12)</f>
        <v>2566.42158825149</v>
      </c>
      <c r="I13" s="2334"/>
      <c r="J13" s="1470">
        <f>C13-H13</f>
        <v>100.57841174851001</v>
      </c>
      <c r="K13" s="2353">
        <f>IF(H13=0,0,C13/H13-1)</f>
        <v>3.9190136261686659E-2</v>
      </c>
      <c r="L13" s="2257"/>
      <c r="M13" s="2257"/>
      <c r="N13" s="2257"/>
      <c r="O13" s="2257"/>
      <c r="P13" s="2272"/>
      <c r="Q13" s="2272"/>
      <c r="R13" s="2257"/>
      <c r="S13" s="2257"/>
    </row>
    <row r="14" spans="1:19" ht="13.5" customHeight="1">
      <c r="A14" s="2273"/>
      <c r="B14" s="2257"/>
      <c r="C14" s="2271"/>
      <c r="D14" s="2341"/>
      <c r="E14" s="2270"/>
      <c r="F14" s="2270"/>
      <c r="G14" s="2274"/>
      <c r="H14" s="2271"/>
      <c r="I14" s="2270"/>
      <c r="J14" s="2270"/>
      <c r="K14" s="2306"/>
      <c r="L14" s="2257"/>
      <c r="M14" s="2257"/>
      <c r="N14" s="2257"/>
      <c r="O14" s="2257"/>
      <c r="P14" s="2275"/>
      <c r="Q14" s="2275"/>
      <c r="R14" s="2257"/>
      <c r="S14" s="2257"/>
    </row>
    <row r="15" spans="1:19" ht="15" customHeight="1">
      <c r="A15" s="2276" t="s">
        <v>840</v>
      </c>
      <c r="B15" s="2257"/>
      <c r="C15" s="2271"/>
      <c r="D15" s="2341"/>
      <c r="E15" s="2270"/>
      <c r="F15" s="2270"/>
      <c r="G15" s="2274"/>
      <c r="H15" s="2271"/>
      <c r="I15" s="2270"/>
      <c r="J15" s="2270"/>
      <c r="K15" s="2306"/>
      <c r="L15" s="2257"/>
      <c r="M15" s="2257"/>
      <c r="N15" s="2257"/>
      <c r="O15" s="2257"/>
      <c r="P15" s="2257"/>
      <c r="Q15" s="2257"/>
      <c r="R15" s="2257"/>
      <c r="S15" s="2257"/>
    </row>
    <row r="16" spans="1:19" ht="15" customHeight="1">
      <c r="A16" s="2266" t="s">
        <v>1783</v>
      </c>
      <c r="B16" s="2257"/>
      <c r="C16" s="2338">
        <f>Hilton!R31</f>
        <v>833</v>
      </c>
      <c r="D16" s="2323">
        <f>Hilton!M31</f>
        <v>804</v>
      </c>
      <c r="E16" s="2270"/>
      <c r="F16" s="2305">
        <f t="shared" ref="F16:F21" si="0">C16-D16</f>
        <v>29</v>
      </c>
      <c r="G16" s="2269">
        <f t="shared" ref="G16:G21" si="1">IF(D16=0,0,C16/D16-1)</f>
        <v>3.6069651741293507E-2</v>
      </c>
      <c r="H16" s="639">
        <v>816.69195039671047</v>
      </c>
      <c r="I16" s="2270"/>
      <c r="J16" s="2270">
        <f t="shared" ref="J16:J21" si="2">C16-H16</f>
        <v>16.308049603289533</v>
      </c>
      <c r="K16" s="2304">
        <f t="shared" ref="K16:K21" si="3">IF(H16=0,0,C16/H16-1)</f>
        <v>1.9968422114810647E-2</v>
      </c>
      <c r="L16" s="2257"/>
      <c r="M16" s="2257"/>
      <c r="N16" s="2257"/>
      <c r="O16" s="2257"/>
      <c r="P16" s="2257"/>
      <c r="Q16" s="2257"/>
      <c r="R16" s="2257"/>
      <c r="S16" s="2257"/>
    </row>
    <row r="17" spans="1:19" ht="15" customHeight="1">
      <c r="A17" s="2266" t="s">
        <v>750</v>
      </c>
      <c r="B17" s="2257"/>
      <c r="C17" s="2271">
        <f>Hilton!R32</f>
        <v>188</v>
      </c>
      <c r="D17" s="2341">
        <f>Hilton!M32</f>
        <v>181</v>
      </c>
      <c r="E17" s="2270"/>
      <c r="F17" s="2270">
        <f t="shared" si="0"/>
        <v>7</v>
      </c>
      <c r="G17" s="2269">
        <f t="shared" si="1"/>
        <v>3.8674033149171283E-2</v>
      </c>
      <c r="H17" s="639">
        <v>193.67000000000002</v>
      </c>
      <c r="I17" s="2270"/>
      <c r="J17" s="2270">
        <f t="shared" si="2"/>
        <v>-5.6700000000000159</v>
      </c>
      <c r="K17" s="2304">
        <f t="shared" si="3"/>
        <v>-2.9276604533484907E-2</v>
      </c>
      <c r="L17" s="2257"/>
      <c r="M17" s="2257"/>
      <c r="N17" s="2257"/>
      <c r="O17" s="2257"/>
      <c r="P17" s="2257"/>
      <c r="Q17" s="2257"/>
      <c r="R17" s="2257"/>
      <c r="S17" s="2257"/>
    </row>
    <row r="18" spans="1:19" ht="15" customHeight="1">
      <c r="A18" s="2266" t="s">
        <v>2090</v>
      </c>
      <c r="B18" s="2257"/>
      <c r="C18" s="2271">
        <f>Hilton!R33</f>
        <v>133</v>
      </c>
      <c r="D18" s="2341">
        <f>Hilton!M33</f>
        <v>92</v>
      </c>
      <c r="E18" s="2270"/>
      <c r="F18" s="2270">
        <f t="shared" si="0"/>
        <v>41</v>
      </c>
      <c r="G18" s="2269">
        <f t="shared" si="1"/>
        <v>0.44565217391304346</v>
      </c>
      <c r="H18" s="639">
        <v>97.524020353556622</v>
      </c>
      <c r="I18" s="2270"/>
      <c r="J18" s="2270">
        <f t="shared" si="2"/>
        <v>35.475979646443378</v>
      </c>
      <c r="K18" s="2304">
        <f t="shared" si="3"/>
        <v>0.36376658302058607</v>
      </c>
      <c r="L18" s="2257"/>
      <c r="M18" s="2257"/>
      <c r="N18" s="2257"/>
      <c r="O18" s="2257"/>
      <c r="P18" s="2257"/>
      <c r="Q18" s="2257"/>
      <c r="R18" s="2257"/>
      <c r="S18" s="2257"/>
    </row>
    <row r="19" spans="1:19" ht="15" customHeight="1">
      <c r="A19" s="2266" t="s">
        <v>1902</v>
      </c>
      <c r="B19" s="2257"/>
      <c r="C19" s="2271">
        <f>Hilton!R35</f>
        <v>920</v>
      </c>
      <c r="D19" s="2341">
        <f>Hilton!M35</f>
        <v>750</v>
      </c>
      <c r="E19" s="2270"/>
      <c r="F19" s="2270">
        <f t="shared" si="0"/>
        <v>170</v>
      </c>
      <c r="G19" s="2269">
        <f t="shared" si="1"/>
        <v>0.22666666666666657</v>
      </c>
      <c r="H19" s="639">
        <v>842.56086335958616</v>
      </c>
      <c r="I19" s="2270"/>
      <c r="J19" s="2270">
        <f t="shared" si="2"/>
        <v>77.439136640413835</v>
      </c>
      <c r="K19" s="2304">
        <f t="shared" si="3"/>
        <v>9.1909249536747728E-2</v>
      </c>
      <c r="L19" s="2257"/>
      <c r="M19" s="2257"/>
      <c r="N19" s="2257"/>
      <c r="O19" s="2257"/>
      <c r="P19" s="2257"/>
      <c r="Q19" s="2257"/>
      <c r="R19" s="2257"/>
      <c r="S19" s="2257"/>
    </row>
    <row r="20" spans="1:19" ht="15" customHeight="1">
      <c r="A20" s="2266" t="s">
        <v>2306</v>
      </c>
      <c r="B20" s="2257"/>
      <c r="C20" s="2271">
        <f>Hilton!R45</f>
        <v>158</v>
      </c>
      <c r="D20" s="2341">
        <f>Hilton!M45</f>
        <v>149</v>
      </c>
      <c r="E20" s="2270"/>
      <c r="F20" s="2270">
        <f t="shared" si="0"/>
        <v>9</v>
      </c>
      <c r="G20" s="2269">
        <f t="shared" si="1"/>
        <v>6.0402684563758413E-2</v>
      </c>
      <c r="H20" s="639">
        <v>157.19499999999999</v>
      </c>
      <c r="I20" s="2270"/>
      <c r="J20" s="2270">
        <f t="shared" si="2"/>
        <v>0.80500000000000682</v>
      </c>
      <c r="K20" s="2304">
        <f t="shared" si="3"/>
        <v>5.1210280225197913E-3</v>
      </c>
      <c r="L20"/>
      <c r="M20"/>
      <c r="N20" s="2257"/>
      <c r="O20" s="2257"/>
      <c r="P20" s="2257"/>
      <c r="Q20" s="2257"/>
      <c r="R20" s="2257"/>
      <c r="S20" s="2257"/>
    </row>
    <row r="21" spans="1:19" ht="15" customHeight="1">
      <c r="A21" s="2332" t="s">
        <v>840</v>
      </c>
      <c r="B21" s="2333"/>
      <c r="C21" s="1464">
        <f>SUM(C16:C20)</f>
        <v>2232</v>
      </c>
      <c r="D21" s="2342">
        <f>SUM(D16:D20)</f>
        <v>1976</v>
      </c>
      <c r="E21" s="2334"/>
      <c r="F21" s="1470">
        <f t="shared" si="0"/>
        <v>256</v>
      </c>
      <c r="G21" s="2335">
        <f t="shared" si="1"/>
        <v>0.12955465587044523</v>
      </c>
      <c r="H21" s="1464">
        <f>SUM(H16:H20)</f>
        <v>2107.6418341098533</v>
      </c>
      <c r="I21" s="2334"/>
      <c r="J21" s="1470">
        <f t="shared" si="2"/>
        <v>124.35816589014667</v>
      </c>
      <c r="K21" s="2353">
        <f t="shared" si="3"/>
        <v>5.9003462484729319E-2</v>
      </c>
      <c r="L21"/>
      <c r="M21"/>
      <c r="N21" s="2257"/>
      <c r="O21" s="2257"/>
      <c r="P21" s="2257"/>
      <c r="Q21" s="2257"/>
      <c r="R21" s="2257"/>
      <c r="S21" s="2257"/>
    </row>
    <row r="22" spans="1:19" ht="13.5" customHeight="1">
      <c r="A22" s="2277"/>
      <c r="B22" s="2257"/>
      <c r="C22" s="2271"/>
      <c r="D22" s="2341"/>
      <c r="E22" s="2270"/>
      <c r="F22" s="2270"/>
      <c r="G22" s="2274"/>
      <c r="H22" s="2271"/>
      <c r="I22" s="2270"/>
      <c r="J22" s="2270"/>
      <c r="K22" s="2306"/>
      <c r="L22"/>
      <c r="M22"/>
      <c r="N22" s="2257"/>
      <c r="O22" s="2257"/>
      <c r="P22" s="2257"/>
      <c r="Q22" s="2257"/>
      <c r="R22" s="2257"/>
      <c r="S22" s="2257"/>
    </row>
    <row r="23" spans="1:19" ht="13.5" customHeight="1">
      <c r="A23" s="2278" t="s">
        <v>199</v>
      </c>
      <c r="B23" s="2262"/>
      <c r="C23" s="2279">
        <f>C13-C21</f>
        <v>435</v>
      </c>
      <c r="D23" s="2343">
        <f>D13-D21</f>
        <v>404</v>
      </c>
      <c r="E23" s="2281"/>
      <c r="F23" s="2280">
        <f>C23-D23</f>
        <v>31</v>
      </c>
      <c r="G23" s="2282">
        <f>IF(D23=0,0,C23/D23-1)</f>
        <v>7.6732673267326801E-2</v>
      </c>
      <c r="H23" s="2279">
        <f>H13-H21</f>
        <v>458.77975414163666</v>
      </c>
      <c r="I23" s="2281"/>
      <c r="J23" s="2280">
        <f>C23-H23</f>
        <v>-23.779754141636658</v>
      </c>
      <c r="K23" s="2308">
        <f>IF(H23=0,0,C23/H23-1)</f>
        <v>-5.1832614510480934E-2</v>
      </c>
      <c r="L23"/>
      <c r="M23"/>
      <c r="N23" s="2262"/>
      <c r="O23" s="2262"/>
      <c r="P23" s="2262"/>
      <c r="Q23" s="2262"/>
      <c r="R23" s="2262"/>
      <c r="S23" s="2262"/>
    </row>
    <row r="24" spans="1:19" ht="13.5" customHeight="1">
      <c r="A24" s="2278"/>
      <c r="B24" s="2257"/>
      <c r="C24" s="2283"/>
      <c r="D24" s="2344"/>
      <c r="E24" s="2270"/>
      <c r="F24" s="2281"/>
      <c r="G24" s="2274"/>
      <c r="H24" s="2283"/>
      <c r="I24" s="2270"/>
      <c r="J24" s="2281"/>
      <c r="K24" s="2306"/>
      <c r="L24"/>
      <c r="M24"/>
      <c r="N24" s="2257"/>
      <c r="O24" s="2257"/>
      <c r="P24" s="2257"/>
      <c r="Q24" s="2257"/>
      <c r="R24" s="2257"/>
      <c r="S24" s="2257"/>
    </row>
    <row r="25" spans="1:19" ht="15" customHeight="1">
      <c r="A25" s="384" t="s">
        <v>578</v>
      </c>
      <c r="B25" s="2257"/>
      <c r="C25" s="2339">
        <f>Hilton!R50</f>
        <v>5</v>
      </c>
      <c r="D25" s="2341">
        <f>Hilton!M50</f>
        <v>1</v>
      </c>
      <c r="E25" s="2270"/>
      <c r="F25" s="2270">
        <f>C25-D25</f>
        <v>4</v>
      </c>
      <c r="G25" s="2269">
        <f>IF(D25=0,0,C25/D25-1)</f>
        <v>4</v>
      </c>
      <c r="H25" s="639">
        <v>0.435</v>
      </c>
      <c r="I25" s="2270"/>
      <c r="J25" s="2270">
        <f t="shared" ref="J25:J33" si="4">C25-H25</f>
        <v>4.5650000000000004</v>
      </c>
      <c r="K25" s="2355" t="s">
        <v>2296</v>
      </c>
      <c r="L25"/>
      <c r="M25"/>
      <c r="N25" s="2257"/>
      <c r="O25" s="2257"/>
      <c r="P25" s="2257"/>
      <c r="Q25" s="2257"/>
      <c r="R25" s="2257"/>
      <c r="S25" s="2257"/>
    </row>
    <row r="26" spans="1:19" ht="15" customHeight="1">
      <c r="A26" s="384" t="s">
        <v>577</v>
      </c>
      <c r="B26" s="2257"/>
      <c r="C26" s="2271">
        <f>Hilton!R51</f>
        <v>-158</v>
      </c>
      <c r="D26" s="2341">
        <f>Hilton!M51</f>
        <v>-131</v>
      </c>
      <c r="E26" s="2270"/>
      <c r="F26" s="2270">
        <f>C26-D26</f>
        <v>-27</v>
      </c>
      <c r="G26" s="2269">
        <f>IF(D26=0,0,C26/D26-1)</f>
        <v>0.20610687022900764</v>
      </c>
      <c r="H26" s="639">
        <v>-152.05217500000003</v>
      </c>
      <c r="I26" s="2270"/>
      <c r="J26" s="2270">
        <f t="shared" si="4"/>
        <v>-5.9478249999999662</v>
      </c>
      <c r="K26" s="2304">
        <f>IF(H26=0,0,C26/H26-1)</f>
        <v>3.9117000463820828E-2</v>
      </c>
      <c r="L26"/>
      <c r="M26"/>
      <c r="N26" s="2257"/>
      <c r="O26" s="2257"/>
      <c r="P26" s="2257"/>
      <c r="Q26" s="2257"/>
      <c r="R26" s="2257"/>
      <c r="S26" s="2257"/>
    </row>
    <row r="27" spans="1:19" ht="15" customHeight="1">
      <c r="A27" s="384" t="s">
        <v>2148</v>
      </c>
      <c r="B27" s="2257"/>
      <c r="C27" s="2271">
        <f>Hilton!R52</f>
        <v>8</v>
      </c>
      <c r="D27" s="2341">
        <f>Hilton!M52</f>
        <v>7</v>
      </c>
      <c r="E27" s="2270"/>
      <c r="F27" s="2270">
        <f>C27-D27</f>
        <v>1</v>
      </c>
      <c r="G27" s="2269">
        <f>IF(D27=0,0,C27/D27-1)</f>
        <v>0.14285714285714279</v>
      </c>
      <c r="H27" s="639">
        <v>4</v>
      </c>
      <c r="I27" s="2270"/>
      <c r="J27" s="2270">
        <f t="shared" si="4"/>
        <v>4</v>
      </c>
      <c r="K27" s="2304">
        <f>IF(H27=0,0,C27/H27-1)</f>
        <v>1</v>
      </c>
      <c r="L27"/>
      <c r="M27"/>
      <c r="N27" s="2257"/>
      <c r="O27" s="2257"/>
      <c r="P27" s="2257"/>
      <c r="Q27" s="2257"/>
      <c r="R27" s="2257"/>
      <c r="S27" s="2257"/>
    </row>
    <row r="28" spans="1:19" ht="15" customHeight="1">
      <c r="A28" s="2266" t="s">
        <v>395</v>
      </c>
      <c r="B28" s="2257"/>
      <c r="C28" s="2271">
        <f>SUM(Hilton!R53:R54)</f>
        <v>43</v>
      </c>
      <c r="D28" s="2341">
        <f>SUM(Hilton!M53:M54)</f>
        <v>-40</v>
      </c>
      <c r="E28" s="2270"/>
      <c r="F28" s="2270">
        <f>C28-D28</f>
        <v>83</v>
      </c>
      <c r="G28" s="2269">
        <f>IF(D28=0,0,C28/D28-1)</f>
        <v>-2.0750000000000002</v>
      </c>
      <c r="H28" s="639">
        <v>1</v>
      </c>
      <c r="I28" s="2270"/>
      <c r="J28" s="2270">
        <f t="shared" si="4"/>
        <v>42</v>
      </c>
      <c r="K28" s="2355" t="s">
        <v>2296</v>
      </c>
      <c r="L28"/>
      <c r="M28"/>
      <c r="N28" s="2257"/>
      <c r="O28" s="2257"/>
      <c r="P28" s="2257"/>
      <c r="Q28" s="2257"/>
      <c r="R28" s="2257"/>
      <c r="S28" s="2257"/>
    </row>
    <row r="29" spans="1:19" ht="15" customHeight="1">
      <c r="A29" s="2285" t="s">
        <v>22</v>
      </c>
      <c r="B29" s="2286"/>
      <c r="C29" s="2287">
        <f>SUM(C23:C28)</f>
        <v>333</v>
      </c>
      <c r="D29" s="2347">
        <f>SUM(D23:D28)</f>
        <v>241</v>
      </c>
      <c r="E29" s="2289"/>
      <c r="F29" s="2288">
        <f>C29-D29</f>
        <v>92</v>
      </c>
      <c r="G29" s="2291">
        <f>IF(D29=0,0,C29/D29-1)</f>
        <v>0.38174273858921159</v>
      </c>
      <c r="H29" s="2287">
        <f>SUM(H23:H28)</f>
        <v>312.16257914163663</v>
      </c>
      <c r="I29" s="2290"/>
      <c r="J29" s="2288">
        <f t="shared" si="4"/>
        <v>20.837420858363373</v>
      </c>
      <c r="K29" s="2307">
        <f>IF(H29=0,0,C29/H29-1)</f>
        <v>6.6751821809201806E-2</v>
      </c>
      <c r="L29"/>
      <c r="M29"/>
      <c r="N29" s="2262"/>
      <c r="O29" s="2262"/>
      <c r="P29" s="2284"/>
      <c r="Q29" s="2284"/>
      <c r="R29" s="2262"/>
      <c r="S29" s="2262"/>
    </row>
    <row r="30" spans="1:19" ht="13.5" customHeight="1">
      <c r="A30" s="2276"/>
      <c r="B30" s="2262"/>
      <c r="C30" s="2279"/>
      <c r="D30" s="2343"/>
      <c r="E30" s="2281"/>
      <c r="F30" s="2280"/>
      <c r="G30" s="2269"/>
      <c r="H30" s="2279"/>
      <c r="I30" s="2281"/>
      <c r="J30" s="2280"/>
      <c r="K30" s="2304"/>
      <c r="L30"/>
      <c r="M30"/>
      <c r="N30" s="2262"/>
      <c r="O30" s="2262"/>
      <c r="P30" s="2262"/>
      <c r="Q30" s="2262"/>
      <c r="R30" s="2262"/>
      <c r="S30" s="2262"/>
    </row>
    <row r="31" spans="1:19" ht="15" customHeight="1">
      <c r="A31" s="2266" t="s">
        <v>1903</v>
      </c>
      <c r="B31" s="2262"/>
      <c r="C31" s="2339">
        <f>Hilton!R57</f>
        <v>-121</v>
      </c>
      <c r="D31" s="2345">
        <f>Hilton!M57</f>
        <v>-84</v>
      </c>
      <c r="E31" s="2281"/>
      <c r="F31" s="2346">
        <f>C31-D31</f>
        <v>-37</v>
      </c>
      <c r="G31" s="2269">
        <f>IF(D31=0,0,C31/D31-1)</f>
        <v>0.44047619047619047</v>
      </c>
      <c r="H31" s="639">
        <v>-118.62178007382198</v>
      </c>
      <c r="I31" s="2281"/>
      <c r="J31" s="2270">
        <f t="shared" si="4"/>
        <v>-2.3782199261780193</v>
      </c>
      <c r="K31" s="2304">
        <f>IF(H31=0,0,C31/H31-1)</f>
        <v>2.004876275417522E-2</v>
      </c>
      <c r="L31"/>
      <c r="M31"/>
      <c r="N31" s="2262"/>
      <c r="O31" s="2262"/>
      <c r="P31" s="2262"/>
      <c r="Q31" s="2262"/>
      <c r="R31" s="2262"/>
      <c r="S31" s="2262"/>
    </row>
    <row r="32" spans="1:19" ht="15" customHeight="1">
      <c r="A32" s="384" t="s">
        <v>226</v>
      </c>
      <c r="B32" s="2262"/>
      <c r="C32" s="2339">
        <f>Hilton!R58</f>
        <v>-3</v>
      </c>
      <c r="D32" s="2345">
        <f>Hilton!M58</f>
        <v>-2</v>
      </c>
      <c r="E32" s="2281"/>
      <c r="F32" s="2346">
        <f>C32-D32</f>
        <v>-1</v>
      </c>
      <c r="G32" s="2269">
        <f>IF(D32=0,0,C32/D32-1)</f>
        <v>0.5</v>
      </c>
      <c r="H32" s="639">
        <v>-6</v>
      </c>
      <c r="I32" s="2281"/>
      <c r="J32" s="2270">
        <f t="shared" si="4"/>
        <v>3</v>
      </c>
      <c r="K32" s="2304">
        <f>IF(H32=0,0,C32/H32-1)</f>
        <v>-0.5</v>
      </c>
      <c r="L32"/>
      <c r="M32"/>
      <c r="N32" s="2262"/>
      <c r="O32" s="2262"/>
      <c r="P32" s="2262"/>
      <c r="Q32" s="2262"/>
      <c r="R32" s="2262"/>
      <c r="S32" s="2262"/>
    </row>
    <row r="33" spans="1:19" ht="15" customHeight="1">
      <c r="A33" s="384" t="s">
        <v>227</v>
      </c>
      <c r="B33" s="2257"/>
      <c r="C33" s="2339">
        <f>Hilton!R59</f>
        <v>0</v>
      </c>
      <c r="D33" s="2345">
        <f>Hilton!M59</f>
        <v>0</v>
      </c>
      <c r="E33" s="2270"/>
      <c r="F33" s="2346">
        <f>C33-D33</f>
        <v>0</v>
      </c>
      <c r="G33" s="2269">
        <f>IF(D33=0,0,C33/D33-1)</f>
        <v>0</v>
      </c>
      <c r="H33" s="639">
        <v>0</v>
      </c>
      <c r="I33" s="2270"/>
      <c r="J33" s="2270">
        <f t="shared" si="4"/>
        <v>0</v>
      </c>
      <c r="K33" s="2304">
        <f>IF(H33=0,0,C33/H33-1)</f>
        <v>0</v>
      </c>
      <c r="L33"/>
      <c r="M33"/>
      <c r="N33" s="2257"/>
      <c r="O33" s="2257"/>
      <c r="P33" s="2257"/>
      <c r="Q33" s="2257"/>
      <c r="R33" s="2257"/>
      <c r="S33" s="2257"/>
    </row>
    <row r="34" spans="1:19" ht="15" customHeight="1">
      <c r="A34" s="2332" t="s">
        <v>2290</v>
      </c>
      <c r="B34" s="2333"/>
      <c r="C34" s="1464">
        <f>SUM(C29:C33)</f>
        <v>209</v>
      </c>
      <c r="D34" s="2342">
        <f>SUM(D29:D33)</f>
        <v>155</v>
      </c>
      <c r="E34" s="2334"/>
      <c r="F34" s="1470">
        <f>C34-D34</f>
        <v>54</v>
      </c>
      <c r="G34" s="2335">
        <f>IF(D34=0,0,C34/D34-1)</f>
        <v>0.34838709677419355</v>
      </c>
      <c r="H34" s="1464">
        <f>SUM(H29:H33)</f>
        <v>187.54079906781465</v>
      </c>
      <c r="I34" s="2334"/>
      <c r="J34" s="1470">
        <f>C34-H34</f>
        <v>21.459200932185354</v>
      </c>
      <c r="K34" s="2353">
        <f>IF(H34=0,0,C34/H34-1)</f>
        <v>0.11442417350704437</v>
      </c>
      <c r="L34"/>
      <c r="M34"/>
      <c r="N34" s="2257"/>
      <c r="O34" s="2257"/>
      <c r="P34" s="2272"/>
      <c r="Q34" s="2272"/>
      <c r="R34" s="2257"/>
      <c r="S34" s="2257"/>
    </row>
    <row r="35" spans="1:19" ht="13.5" customHeight="1">
      <c r="A35" s="2273"/>
      <c r="B35" s="2257"/>
      <c r="C35" s="2271"/>
      <c r="D35" s="2341"/>
      <c r="E35" s="2270"/>
      <c r="F35" s="2270"/>
      <c r="G35" s="2269"/>
      <c r="H35" s="2271"/>
      <c r="I35" s="2270"/>
      <c r="J35" s="2270"/>
      <c r="K35" s="2304"/>
      <c r="L35"/>
      <c r="M35"/>
      <c r="N35" s="2257"/>
      <c r="O35" s="2257"/>
      <c r="P35" s="2272"/>
      <c r="Q35" s="2272"/>
      <c r="R35" s="2257"/>
      <c r="S35" s="2257"/>
    </row>
    <row r="36" spans="1:19" ht="15" customHeight="1">
      <c r="A36" s="494" t="s">
        <v>702</v>
      </c>
      <c r="B36" s="2257"/>
      <c r="C36" s="2339">
        <f>Hilton!R65</f>
        <v>0</v>
      </c>
      <c r="D36" s="2345">
        <f>Hilton!M65</f>
        <v>0</v>
      </c>
      <c r="E36" s="2351"/>
      <c r="F36" s="2351">
        <f>C36-D36</f>
        <v>0</v>
      </c>
      <c r="G36" s="2269">
        <f>IF(D36=0,0,C36/D36-1)</f>
        <v>0</v>
      </c>
      <c r="H36" s="639">
        <v>0</v>
      </c>
      <c r="I36" s="2270"/>
      <c r="J36" s="2351">
        <f>C36-H36</f>
        <v>0</v>
      </c>
      <c r="K36" s="2304">
        <f>IF(H36=0,0,C36/H36-1)</f>
        <v>0</v>
      </c>
      <c r="L36"/>
      <c r="M36"/>
      <c r="N36" s="2257"/>
      <c r="O36" s="2257"/>
      <c r="P36" s="2272"/>
      <c r="Q36" s="2272"/>
      <c r="R36" s="2257"/>
      <c r="S36" s="2257"/>
    </row>
    <row r="37" spans="1:19" ht="15" customHeight="1">
      <c r="A37" s="2332" t="s">
        <v>2155</v>
      </c>
      <c r="B37" s="2333"/>
      <c r="C37" s="1464">
        <f>SUM(C34:C36)</f>
        <v>209</v>
      </c>
      <c r="D37" s="2342">
        <f>SUM(D34:D36)</f>
        <v>155</v>
      </c>
      <c r="E37" s="2334"/>
      <c r="F37" s="1470">
        <f>C37-D37</f>
        <v>54</v>
      </c>
      <c r="G37" s="2335">
        <f>IF(D37=0,0,C37/D37-1)</f>
        <v>0.34838709677419355</v>
      </c>
      <c r="H37" s="1464">
        <f>SUM(H34:H36)</f>
        <v>187.54079906781465</v>
      </c>
      <c r="I37" s="2334"/>
      <c r="J37" s="1470">
        <f>C37-H37</f>
        <v>21.459200932185354</v>
      </c>
      <c r="K37" s="2353">
        <f>IF(H37=0,0,C37/H37-1)</f>
        <v>0.11442417350704437</v>
      </c>
      <c r="L37"/>
      <c r="M37"/>
      <c r="N37" s="2257"/>
      <c r="O37" s="2257"/>
      <c r="P37" s="2272"/>
      <c r="Q37" s="2272"/>
      <c r="R37" s="2257"/>
      <c r="S37" s="2257"/>
    </row>
    <row r="38" spans="1:19" ht="13.5" customHeight="1">
      <c r="A38" s="2273"/>
      <c r="B38" s="2257"/>
      <c r="C38" s="2271"/>
      <c r="D38" s="2341"/>
      <c r="E38" s="2270"/>
      <c r="F38" s="2270"/>
      <c r="G38" s="2269"/>
      <c r="H38" s="639"/>
      <c r="I38" s="2270"/>
      <c r="J38" s="2270"/>
      <c r="K38" s="2304"/>
      <c r="L38"/>
      <c r="M38"/>
      <c r="N38" s="2257"/>
      <c r="O38" s="2257"/>
      <c r="P38" s="2272"/>
      <c r="Q38" s="2272"/>
      <c r="R38" s="2257"/>
      <c r="S38" s="2257"/>
    </row>
    <row r="39" spans="1:19" ht="15" customHeight="1">
      <c r="A39" s="2273" t="s">
        <v>892</v>
      </c>
      <c r="B39" s="2257"/>
      <c r="C39" s="2271">
        <f>Hilton!R70</f>
        <v>985</v>
      </c>
      <c r="D39" s="2341">
        <f>Hilton!M70</f>
        <v>866.66666666666674</v>
      </c>
      <c r="E39" s="2270"/>
      <c r="F39" s="2270">
        <f>C39-D39</f>
        <v>118.33333333333326</v>
      </c>
      <c r="G39" s="2269">
        <f>IF(D39=0,0,C39/D39-1)</f>
        <v>0.1365384615384615</v>
      </c>
      <c r="H39" s="639">
        <v>985</v>
      </c>
      <c r="I39" s="2270"/>
      <c r="J39" s="2270">
        <f>C39-H39</f>
        <v>0</v>
      </c>
      <c r="K39" s="2304">
        <f>IF(H39=0,0,C39/H39-1)</f>
        <v>0</v>
      </c>
      <c r="L39"/>
      <c r="M39"/>
      <c r="N39" s="2257"/>
      <c r="O39" s="2257"/>
      <c r="P39" s="2272"/>
      <c r="Q39" s="2272"/>
      <c r="R39" s="2257"/>
      <c r="S39" s="2257"/>
    </row>
    <row r="40" spans="1:19" ht="15" customHeight="1">
      <c r="A40" s="2332" t="s">
        <v>1897</v>
      </c>
      <c r="B40" s="2333"/>
      <c r="C40" s="2336">
        <f>C37/C39</f>
        <v>0.21218274111675126</v>
      </c>
      <c r="D40" s="2348">
        <f>D37/D39</f>
        <v>0.17884615384615382</v>
      </c>
      <c r="E40" s="2334"/>
      <c r="F40" s="2337">
        <f>C40-D40</f>
        <v>3.3336587270597434E-2</v>
      </c>
      <c r="G40" s="2335">
        <f>IF(D40=0,0,C40/D40-1)</f>
        <v>0.18639812237323294</v>
      </c>
      <c r="H40" s="2336">
        <f>H37/H39</f>
        <v>0.19039675032265446</v>
      </c>
      <c r="I40" s="2334"/>
      <c r="J40" s="2337">
        <f>C40-H40</f>
        <v>2.1785990794096793E-2</v>
      </c>
      <c r="K40" s="2353">
        <f>IF(H40=0,0,C40/H40-1)</f>
        <v>0.11442417350704415</v>
      </c>
      <c r="L40"/>
      <c r="M40"/>
      <c r="N40" s="2257"/>
      <c r="O40" s="2257"/>
      <c r="P40" s="2272"/>
      <c r="Q40" s="2272"/>
      <c r="R40" s="2257"/>
      <c r="S40" s="2257"/>
    </row>
    <row r="41" spans="1:19" ht="13.5" customHeight="1">
      <c r="A41" s="2292"/>
      <c r="B41" s="2293"/>
      <c r="C41" s="2294"/>
      <c r="D41" s="2349"/>
      <c r="E41" s="2296"/>
      <c r="F41" s="2295"/>
      <c r="G41" s="2297"/>
      <c r="H41" s="2294"/>
      <c r="I41" s="2296"/>
      <c r="J41" s="2295"/>
      <c r="K41" s="2309"/>
      <c r="L41"/>
      <c r="M41"/>
      <c r="N41" s="2257"/>
      <c r="O41" s="2257"/>
      <c r="P41" s="2272"/>
      <c r="Q41" s="2272"/>
      <c r="R41" s="2257"/>
      <c r="S41" s="2257"/>
    </row>
    <row r="42" spans="1:19" ht="15" customHeight="1">
      <c r="A42" s="2278" t="s">
        <v>1418</v>
      </c>
      <c r="B42" s="2293"/>
      <c r="C42" s="2298"/>
      <c r="D42" s="2350"/>
      <c r="E42" s="2296"/>
      <c r="F42" s="2296"/>
      <c r="G42" s="2297"/>
      <c r="H42" s="2298"/>
      <c r="I42" s="2296"/>
      <c r="J42" s="2296"/>
      <c r="K42" s="2309"/>
      <c r="L42"/>
      <c r="M42"/>
      <c r="N42" s="2293"/>
      <c r="O42" s="2293"/>
      <c r="P42" s="2293"/>
      <c r="Q42" s="2293"/>
      <c r="R42" s="2257"/>
      <c r="S42" s="2257"/>
    </row>
    <row r="43" spans="1:19" ht="15" customHeight="1">
      <c r="A43" s="384" t="s">
        <v>396</v>
      </c>
      <c r="B43"/>
      <c r="C43" s="2267">
        <f>Hilton!R105</f>
        <v>209</v>
      </c>
      <c r="D43" s="2322">
        <f>Hilton!M105</f>
        <v>155</v>
      </c>
      <c r="E43" s="2310"/>
      <c r="F43" s="2268">
        <f t="shared" ref="F43:F55" si="5">C43-D43</f>
        <v>54</v>
      </c>
      <c r="G43" s="2269">
        <f t="shared" ref="G43:G54" si="6">IF(D43=0,0,C43/D43-1)</f>
        <v>0.34838709677419355</v>
      </c>
      <c r="H43" s="923">
        <v>187.54079906781482</v>
      </c>
      <c r="I43"/>
      <c r="J43" s="2268">
        <f t="shared" ref="J43:J55" si="7">C43-H43</f>
        <v>21.459200932185183</v>
      </c>
      <c r="K43" s="2304">
        <f t="shared" ref="K43:K55" si="8">IF(H43=0,0,C43/H43-1)</f>
        <v>0.11442417350704326</v>
      </c>
      <c r="L43"/>
      <c r="M43"/>
      <c r="N43" s="2293"/>
      <c r="O43" s="2293"/>
      <c r="P43" s="2293"/>
      <c r="Q43" s="2293"/>
      <c r="R43" s="2257"/>
      <c r="S43" s="2257"/>
    </row>
    <row r="44" spans="1:19" ht="15" customHeight="1">
      <c r="A44" s="384" t="s">
        <v>21</v>
      </c>
      <c r="B44"/>
      <c r="C44" s="2271">
        <f>Hilton!R106</f>
        <v>158</v>
      </c>
      <c r="D44" s="2341">
        <f>Hilton!M106</f>
        <v>131</v>
      </c>
      <c r="E44" s="2310"/>
      <c r="F44" s="2270">
        <f t="shared" si="5"/>
        <v>27</v>
      </c>
      <c r="G44" s="2269">
        <f t="shared" si="6"/>
        <v>0.20610687022900764</v>
      </c>
      <c r="H44" s="639">
        <v>152.05217500000003</v>
      </c>
      <c r="I44"/>
      <c r="J44" s="2270">
        <f t="shared" si="7"/>
        <v>5.9478249999999662</v>
      </c>
      <c r="K44" s="2304">
        <f t="shared" si="8"/>
        <v>3.9117000463820828E-2</v>
      </c>
      <c r="L44"/>
      <c r="M44"/>
      <c r="N44" s="2293"/>
      <c r="O44" s="2293"/>
      <c r="P44" s="2293"/>
      <c r="Q44" s="2293"/>
      <c r="R44" s="2257"/>
      <c r="S44" s="2257"/>
    </row>
    <row r="45" spans="1:19" ht="15" customHeight="1">
      <c r="A45" s="2266" t="s">
        <v>1899</v>
      </c>
      <c r="B45"/>
      <c r="C45" s="2271">
        <f>Hilton!R107</f>
        <v>3</v>
      </c>
      <c r="D45" s="2341">
        <f>Hilton!M107</f>
        <v>2</v>
      </c>
      <c r="E45" s="2310"/>
      <c r="F45" s="2270">
        <f t="shared" si="5"/>
        <v>1</v>
      </c>
      <c r="G45" s="2269">
        <f t="shared" si="6"/>
        <v>0.5</v>
      </c>
      <c r="H45" s="639">
        <v>2</v>
      </c>
      <c r="I45"/>
      <c r="J45" s="2270">
        <f t="shared" si="7"/>
        <v>1</v>
      </c>
      <c r="K45" s="2304">
        <f t="shared" si="8"/>
        <v>0.5</v>
      </c>
      <c r="L45"/>
      <c r="M45"/>
      <c r="N45" s="2293"/>
      <c r="O45" s="2293"/>
      <c r="P45" s="2293"/>
      <c r="Q45" s="2293"/>
      <c r="R45" s="2257"/>
      <c r="S45" s="2257"/>
    </row>
    <row r="46" spans="1:19" ht="15" customHeight="1">
      <c r="A46" s="2266" t="s">
        <v>1904</v>
      </c>
      <c r="B46"/>
      <c r="C46" s="2271">
        <f>Hilton!R108</f>
        <v>121</v>
      </c>
      <c r="D46" s="2341">
        <f>Hilton!M108</f>
        <v>84</v>
      </c>
      <c r="E46" s="2310"/>
      <c r="F46" s="2270">
        <f t="shared" si="5"/>
        <v>37</v>
      </c>
      <c r="G46" s="2269">
        <f t="shared" si="6"/>
        <v>0.44047619047619047</v>
      </c>
      <c r="H46" s="639">
        <v>118.62178007382198</v>
      </c>
      <c r="I46"/>
      <c r="J46" s="2270">
        <f t="shared" si="7"/>
        <v>2.3782199261780193</v>
      </c>
      <c r="K46" s="2304">
        <f t="shared" si="8"/>
        <v>2.004876275417522E-2</v>
      </c>
      <c r="L46"/>
      <c r="M46"/>
      <c r="N46" s="2293"/>
      <c r="O46" s="2293"/>
      <c r="P46" s="2293"/>
      <c r="Q46" s="2293"/>
      <c r="R46" s="2257"/>
      <c r="S46" s="2257"/>
    </row>
    <row r="47" spans="1:19" ht="15" customHeight="1">
      <c r="A47" s="384" t="s">
        <v>189</v>
      </c>
      <c r="B47"/>
      <c r="C47" s="2271">
        <f>Hilton!R109</f>
        <v>158</v>
      </c>
      <c r="D47" s="2341">
        <f>Hilton!M109</f>
        <v>149</v>
      </c>
      <c r="E47" s="2310"/>
      <c r="F47" s="2270">
        <f t="shared" si="5"/>
        <v>9</v>
      </c>
      <c r="G47" s="2269">
        <f t="shared" si="6"/>
        <v>6.0402684563758413E-2</v>
      </c>
      <c r="H47" s="639">
        <v>157.19499999999999</v>
      </c>
      <c r="I47"/>
      <c r="J47" s="2270">
        <f t="shared" si="7"/>
        <v>0.80500000000000682</v>
      </c>
      <c r="K47" s="2304">
        <f t="shared" si="8"/>
        <v>5.1210280225197913E-3</v>
      </c>
      <c r="L47"/>
      <c r="M47"/>
      <c r="N47" s="2293"/>
      <c r="O47" s="2293"/>
      <c r="P47" s="2293"/>
      <c r="Q47" s="2293"/>
      <c r="R47" s="2257"/>
      <c r="S47" s="2257"/>
    </row>
    <row r="48" spans="1:19" ht="15" customHeight="1">
      <c r="A48" s="2266" t="s">
        <v>1898</v>
      </c>
      <c r="B48"/>
      <c r="C48" s="2271">
        <f>Hilton!R110</f>
        <v>7</v>
      </c>
      <c r="D48" s="2341">
        <f>Hilton!M110</f>
        <v>7</v>
      </c>
      <c r="E48" s="2310"/>
      <c r="F48" s="2270">
        <f t="shared" si="5"/>
        <v>0</v>
      </c>
      <c r="G48" s="2269">
        <f t="shared" si="6"/>
        <v>0</v>
      </c>
      <c r="H48" s="639">
        <v>7</v>
      </c>
      <c r="I48"/>
      <c r="J48" s="2270">
        <f t="shared" si="7"/>
        <v>0</v>
      </c>
      <c r="K48" s="2304">
        <f t="shared" si="8"/>
        <v>0</v>
      </c>
      <c r="L48"/>
      <c r="M48"/>
      <c r="N48" s="2293"/>
      <c r="O48" s="2293"/>
      <c r="P48" s="2293"/>
      <c r="Q48" s="2293"/>
      <c r="R48" s="2257"/>
      <c r="S48" s="2257"/>
    </row>
    <row r="49" spans="1:19" ht="15" customHeight="1">
      <c r="A49" s="2332" t="s">
        <v>1228</v>
      </c>
      <c r="B49" s="2333"/>
      <c r="C49" s="1464">
        <f>SUM(C43:C48)</f>
        <v>656</v>
      </c>
      <c r="D49" s="2342">
        <f>SUM(D43:D48)</f>
        <v>528</v>
      </c>
      <c r="E49" s="2334"/>
      <c r="F49" s="1470">
        <f t="shared" si="5"/>
        <v>128</v>
      </c>
      <c r="G49" s="2335">
        <f>IF(D49=0,0,C49/D49-1)</f>
        <v>0.24242424242424243</v>
      </c>
      <c r="H49" s="1464">
        <f>SUM(H43:H48)</f>
        <v>624.40975414163677</v>
      </c>
      <c r="I49" s="2334"/>
      <c r="J49" s="1470">
        <f t="shared" si="7"/>
        <v>31.590245858363232</v>
      </c>
      <c r="K49" s="2353">
        <f t="shared" si="8"/>
        <v>5.0592172285632619E-2</v>
      </c>
      <c r="L49"/>
      <c r="M49"/>
      <c r="N49" s="2293"/>
      <c r="O49" s="2293"/>
      <c r="P49" s="2293"/>
      <c r="Q49" s="2293"/>
      <c r="R49" s="2257"/>
      <c r="S49" s="2257"/>
    </row>
    <row r="50" spans="1:19" ht="15" customHeight="1">
      <c r="A50" s="2354" t="s">
        <v>1905</v>
      </c>
      <c r="B50"/>
      <c r="C50" s="2271">
        <f>Hilton!R112</f>
        <v>3</v>
      </c>
      <c r="D50" s="2341">
        <f>Hilton!M112</f>
        <v>2</v>
      </c>
      <c r="E50" s="2310"/>
      <c r="F50" s="2270">
        <f t="shared" si="5"/>
        <v>1</v>
      </c>
      <c r="G50" s="2269">
        <f t="shared" si="6"/>
        <v>0.5</v>
      </c>
      <c r="H50" s="639">
        <v>6</v>
      </c>
      <c r="I50"/>
      <c r="J50" s="2270">
        <f t="shared" si="7"/>
        <v>-3</v>
      </c>
      <c r="K50" s="2304">
        <f t="shared" si="8"/>
        <v>-0.5</v>
      </c>
      <c r="L50"/>
      <c r="M50"/>
      <c r="N50" s="2293"/>
      <c r="O50" s="2293"/>
      <c r="P50" s="2293"/>
      <c r="Q50" s="2293"/>
      <c r="R50" s="2257"/>
      <c r="S50" s="2257"/>
    </row>
    <row r="51" spans="1:19" ht="15" customHeight="1">
      <c r="A51" s="494" t="s">
        <v>773</v>
      </c>
      <c r="B51"/>
      <c r="C51" s="2271">
        <f>Hilton!R113</f>
        <v>-32</v>
      </c>
      <c r="D51" s="2341">
        <f>Hilton!M113</f>
        <v>39</v>
      </c>
      <c r="E51" s="2310"/>
      <c r="F51" s="2270">
        <f t="shared" si="5"/>
        <v>-71</v>
      </c>
      <c r="G51" s="2356" t="s">
        <v>2296</v>
      </c>
      <c r="H51" s="639">
        <v>0</v>
      </c>
      <c r="I51"/>
      <c r="J51" s="2270">
        <f t="shared" si="7"/>
        <v>-32</v>
      </c>
      <c r="K51" s="2304">
        <f t="shared" si="8"/>
        <v>0</v>
      </c>
      <c r="L51"/>
      <c r="M51"/>
      <c r="N51" s="2293"/>
      <c r="O51" s="2293"/>
      <c r="P51" s="2293"/>
      <c r="Q51" s="2293"/>
      <c r="R51" s="2257"/>
      <c r="S51" s="2257"/>
    </row>
    <row r="52" spans="1:19" ht="15" customHeight="1">
      <c r="A52" s="494" t="s">
        <v>775</v>
      </c>
      <c r="B52"/>
      <c r="C52" s="2271">
        <f>Hilton!R115</f>
        <v>12</v>
      </c>
      <c r="D52" s="2341">
        <f>Hilton!M115</f>
        <v>10</v>
      </c>
      <c r="E52" s="2310"/>
      <c r="F52" s="2270">
        <f t="shared" si="5"/>
        <v>2</v>
      </c>
      <c r="G52" s="2269">
        <f t="shared" si="6"/>
        <v>0.19999999999999996</v>
      </c>
      <c r="H52" s="639">
        <v>10.5</v>
      </c>
      <c r="I52"/>
      <c r="J52" s="2270">
        <f t="shared" si="7"/>
        <v>1.5</v>
      </c>
      <c r="K52" s="2304">
        <f t="shared" si="8"/>
        <v>0.14285714285714279</v>
      </c>
      <c r="L52"/>
      <c r="M52"/>
      <c r="N52" s="2293"/>
      <c r="O52" s="2293"/>
      <c r="P52" s="2293"/>
      <c r="Q52" s="2293"/>
      <c r="R52" s="2257"/>
      <c r="S52" s="2257"/>
    </row>
    <row r="53" spans="1:19" ht="15" customHeight="1">
      <c r="A53" s="494" t="s">
        <v>776</v>
      </c>
      <c r="B53"/>
      <c r="C53" s="2271">
        <f>Hilton!R116</f>
        <v>6</v>
      </c>
      <c r="D53" s="2341">
        <f>Hilton!M116</f>
        <v>1</v>
      </c>
      <c r="E53" s="2310"/>
      <c r="F53" s="2270">
        <f t="shared" si="5"/>
        <v>5</v>
      </c>
      <c r="G53" s="2356" t="s">
        <v>2296</v>
      </c>
      <c r="H53" s="639">
        <v>6</v>
      </c>
      <c r="I53"/>
      <c r="J53" s="2270">
        <f t="shared" si="7"/>
        <v>0</v>
      </c>
      <c r="K53" s="2304">
        <f t="shared" si="8"/>
        <v>0</v>
      </c>
      <c r="L53"/>
      <c r="M53"/>
      <c r="N53" s="2293"/>
      <c r="O53" s="2293"/>
      <c r="P53" s="2293"/>
      <c r="Q53" s="2293"/>
      <c r="R53" s="2257"/>
      <c r="S53" s="2257"/>
    </row>
    <row r="54" spans="1:19" ht="15" customHeight="1">
      <c r="A54" s="494" t="s">
        <v>395</v>
      </c>
      <c r="B54"/>
      <c r="C54" s="2271">
        <f>SUM(Hilton!R117:R120,Hilton!R114)</f>
        <v>6</v>
      </c>
      <c r="D54" s="2341">
        <f>SUM(Hilton!M117:M120,Hilton!M114)</f>
        <v>10</v>
      </c>
      <c r="E54" s="2310"/>
      <c r="F54" s="2270">
        <f t="shared" si="5"/>
        <v>-4</v>
      </c>
      <c r="G54" s="2269">
        <f t="shared" si="6"/>
        <v>-0.4</v>
      </c>
      <c r="H54" s="639">
        <v>8</v>
      </c>
      <c r="I54"/>
      <c r="J54" s="2270">
        <f t="shared" si="7"/>
        <v>-2</v>
      </c>
      <c r="K54" s="2304">
        <f t="shared" si="8"/>
        <v>-0.25</v>
      </c>
      <c r="L54"/>
      <c r="M54" s="2293"/>
      <c r="N54" s="2293"/>
      <c r="O54" s="2293"/>
      <c r="P54" s="2293"/>
      <c r="Q54" s="2293"/>
      <c r="R54" s="2257"/>
      <c r="S54" s="2257"/>
    </row>
    <row r="55" spans="1:19" ht="15" customHeight="1">
      <c r="A55" s="2332" t="s">
        <v>2091</v>
      </c>
      <c r="B55" s="2333"/>
      <c r="C55" s="1464">
        <f>SUM(C49:C54)</f>
        <v>651</v>
      </c>
      <c r="D55" s="2342">
        <f>SUM(D49:D54)</f>
        <v>590</v>
      </c>
      <c r="E55" s="2334"/>
      <c r="F55" s="1470">
        <f t="shared" si="5"/>
        <v>61</v>
      </c>
      <c r="G55" s="2335">
        <f>IF(D55=0,0,C55/D55-1)</f>
        <v>0.10338983050847461</v>
      </c>
      <c r="H55" s="1464">
        <f>SUM(H49:H54)</f>
        <v>654.90975414163677</v>
      </c>
      <c r="I55" s="2334"/>
      <c r="J55" s="1470">
        <f t="shared" si="7"/>
        <v>-3.9097541416367676</v>
      </c>
      <c r="K55" s="2353">
        <f t="shared" si="8"/>
        <v>-5.969912826785051E-3</v>
      </c>
      <c r="L55"/>
      <c r="M55" s="2293"/>
      <c r="N55" s="2293"/>
      <c r="O55" s="2293"/>
      <c r="P55" s="2293"/>
      <c r="Q55" s="2293"/>
      <c r="R55" s="2257"/>
      <c r="S55" s="2257"/>
    </row>
    <row r="56" spans="1:19" ht="13.5" customHeight="1">
      <c r="A56"/>
      <c r="B56"/>
      <c r="C56"/>
      <c r="D56"/>
      <c r="E56"/>
      <c r="F56"/>
      <c r="G56"/>
      <c r="H56"/>
      <c r="I56"/>
      <c r="J56"/>
      <c r="K56"/>
      <c r="L56"/>
      <c r="M56" s="2293"/>
      <c r="N56" s="2293"/>
      <c r="O56" s="2293"/>
      <c r="P56" s="2293"/>
      <c r="Q56" s="2293"/>
      <c r="R56" s="2257"/>
      <c r="S56" s="2257"/>
    </row>
    <row r="57" spans="1:19" ht="13.5" customHeight="1">
      <c r="A57"/>
      <c r="B57"/>
      <c r="C57"/>
      <c r="D57"/>
      <c r="E57"/>
      <c r="F57"/>
      <c r="G57"/>
      <c r="H57"/>
      <c r="I57"/>
      <c r="J57"/>
      <c r="K57"/>
      <c r="L57"/>
      <c r="M57" s="2293"/>
      <c r="N57" s="2293"/>
      <c r="O57" s="2293"/>
      <c r="P57" s="2293"/>
      <c r="Q57" s="2293"/>
      <c r="R57" s="2257"/>
      <c r="S57" s="2257"/>
    </row>
    <row r="58" spans="1:19" ht="4.5" customHeight="1">
      <c r="B58"/>
      <c r="C58"/>
      <c r="D58"/>
      <c r="E58"/>
      <c r="F58"/>
      <c r="G58"/>
      <c r="H58"/>
      <c r="I58"/>
      <c r="J58"/>
      <c r="K58"/>
      <c r="L58"/>
    </row>
    <row r="59" spans="1:19" ht="4.5" customHeight="1">
      <c r="G59" s="2299"/>
      <c r="H59" s="2293"/>
      <c r="I59" s="2293"/>
      <c r="J59" s="2293"/>
      <c r="K59" s="2300"/>
      <c r="L59" s="2256"/>
    </row>
    <row r="60" spans="1:19" ht="4.5" customHeight="1">
      <c r="G60" s="2299"/>
      <c r="H60" s="2293"/>
      <c r="I60" s="2293"/>
      <c r="J60" s="2293"/>
      <c r="K60" s="2300"/>
      <c r="L60" s="2256"/>
    </row>
    <row r="61" spans="1:19" customFormat="1" ht="13.5" customHeight="1"/>
    <row r="62" spans="1:19" customFormat="1" ht="13.5" customHeight="1"/>
    <row r="63" spans="1:19" customFormat="1" ht="13.5" customHeight="1"/>
    <row r="64" spans="1:19" customFormat="1" ht="5.0999999999999996" customHeight="1"/>
    <row r="65" customFormat="1" ht="13.5" customHeight="1"/>
    <row r="66" customFormat="1" ht="13.5" customHeight="1"/>
    <row r="67" customFormat="1" ht="5.0999999999999996" customHeight="1"/>
    <row r="68" customFormat="1" ht="13.5" customHeight="1"/>
    <row r="69" customFormat="1" ht="13.5" customHeight="1"/>
    <row r="70" customFormat="1" ht="4.5" customHeight="1"/>
    <row r="71" customFormat="1" ht="13.5" customHeight="1"/>
    <row r="72" customFormat="1" ht="4.5" customHeight="1"/>
    <row r="73" customFormat="1" ht="13.5" customHeight="1"/>
    <row r="74" customFormat="1" ht="4.5" customHeight="1"/>
    <row r="75" customFormat="1" ht="13.5" customHeight="1"/>
    <row r="76" customFormat="1" ht="4.5" customHeight="1"/>
    <row r="77" customFormat="1" ht="13.5" customHeight="1"/>
    <row r="78" customFormat="1" ht="4.5" customHeight="1"/>
    <row r="79" customFormat="1" ht="13.5" customHeight="1"/>
    <row r="80" customFormat="1" ht="4.5" customHeight="1"/>
    <row r="81" customFormat="1" ht="13.5" customHeight="1"/>
    <row r="82" customFormat="1" ht="4.5" customHeight="1"/>
    <row r="83" customFormat="1" ht="13.5" customHeight="1"/>
    <row r="84" customFormat="1" ht="4.5" customHeight="1"/>
    <row r="85" customFormat="1" ht="13.5" customHeight="1"/>
    <row r="86" customFormat="1" ht="4.5" customHeight="1"/>
    <row r="87" customFormat="1" ht="13.5" customHeight="1"/>
    <row r="88" customFormat="1" ht="4.5" customHeight="1"/>
    <row r="89" customFormat="1" ht="13.5" customHeight="1"/>
    <row r="90" customFormat="1" ht="4.5" customHeight="1"/>
    <row r="91" customFormat="1" ht="5.0999999999999996" customHeight="1"/>
    <row r="92" customFormat="1" ht="4.5" customHeight="1"/>
    <row r="93" customFormat="1" ht="13.5" customHeight="1"/>
    <row r="94" customFormat="1" ht="13.5" customHeight="1"/>
    <row r="95" customFormat="1" ht="13.5" customHeight="1"/>
    <row r="96" customFormat="1" ht="13.5" customHeight="1"/>
    <row r="97" customFormat="1" ht="13.5" customHeight="1"/>
    <row r="98" customFormat="1" ht="13.5" customHeight="1"/>
    <row r="99" customFormat="1" ht="13.5" customHeight="1"/>
    <row r="100" customFormat="1" ht="13.5" customHeight="1"/>
    <row r="101" customFormat="1" ht="13.5" customHeight="1"/>
    <row r="102" customFormat="1" ht="13.5" customHeight="1"/>
    <row r="103" customFormat="1" ht="13.5" customHeight="1"/>
    <row r="104" customFormat="1" ht="13.5" customHeight="1"/>
    <row r="105" customFormat="1" ht="13.5" customHeight="1"/>
    <row r="106" customFormat="1" ht="13.5" customHeight="1"/>
    <row r="107" customFormat="1" ht="13.5" customHeight="1"/>
    <row r="108" customFormat="1" ht="13.5" customHeight="1"/>
    <row r="109" customFormat="1" ht="13.5" customHeight="1"/>
    <row r="110" customFormat="1" ht="13.5" customHeight="1"/>
    <row r="111" customFormat="1" ht="13.5" customHeight="1"/>
    <row r="112" customFormat="1" ht="13.5" customHeight="1"/>
    <row r="113" spans="46:47" customFormat="1" ht="13.5" customHeight="1"/>
    <row r="114" spans="46:47" customFormat="1" ht="13.5" customHeight="1"/>
    <row r="115" spans="46:47" customFormat="1" ht="13.5" customHeight="1"/>
    <row r="116" spans="46:47" customFormat="1" ht="13.5" customHeight="1"/>
    <row r="117" spans="46:47" customFormat="1" ht="13.5" customHeight="1"/>
    <row r="118" spans="46:47" customFormat="1" ht="13.5" customHeight="1"/>
    <row r="119" spans="46:47" customFormat="1" ht="13.5" customHeight="1"/>
    <row r="120" spans="46:47" s="2302" customFormat="1" ht="13.5" customHeight="1"/>
    <row r="121" spans="46:47" s="2302" customFormat="1" ht="13.5" customHeight="1"/>
    <row r="122" spans="46:47" s="2302" customFormat="1" ht="13.5" customHeight="1">
      <c r="AT122"/>
      <c r="AU122"/>
    </row>
    <row r="123" spans="46:47" s="2302" customFormat="1" ht="13.5" customHeight="1">
      <c r="AT123"/>
      <c r="AU123"/>
    </row>
    <row r="124" spans="46:47" s="2302" customFormat="1" ht="13.5" customHeight="1">
      <c r="AT124"/>
      <c r="AU124"/>
    </row>
    <row r="125" spans="46:47" s="2302" customFormat="1" ht="13.5" customHeight="1">
      <c r="AT125"/>
      <c r="AU125"/>
    </row>
    <row r="126" spans="46:47" s="2302" customFormat="1" ht="13.5" customHeight="1">
      <c r="AT126"/>
      <c r="AU126"/>
    </row>
    <row r="127" spans="46:47" s="2302" customFormat="1" ht="13.5" customHeight="1">
      <c r="AT127"/>
      <c r="AU127"/>
    </row>
    <row r="128" spans="46:47" s="2302" customFormat="1" ht="13.5" customHeight="1">
      <c r="AT128"/>
      <c r="AU128"/>
    </row>
    <row r="129" spans="46:47" s="2302" customFormat="1" ht="13.5" customHeight="1">
      <c r="AT129"/>
      <c r="AU129"/>
    </row>
    <row r="130" spans="46:47" s="2302" customFormat="1" ht="13.5" customHeight="1">
      <c r="AT130"/>
      <c r="AU130"/>
    </row>
    <row r="131" spans="46:47" s="2302" customFormat="1" ht="13.5" customHeight="1">
      <c r="AT131"/>
      <c r="AU131"/>
    </row>
    <row r="132" spans="46:47" ht="13.5" customHeight="1">
      <c r="AT132"/>
      <c r="AU132"/>
    </row>
    <row r="133" spans="46:47" ht="13.5" customHeight="1">
      <c r="AT133"/>
      <c r="AU133"/>
    </row>
    <row r="134" spans="46:47" ht="13.5" customHeight="1">
      <c r="AT134"/>
      <c r="AU134"/>
    </row>
    <row r="149" ht="5.25" customHeight="1"/>
    <row r="152" ht="5.25" customHeight="1"/>
    <row r="158" ht="5.25" customHeight="1"/>
    <row r="164" ht="4.5" customHeight="1"/>
  </sheetData>
  <phoneticPr fontId="126"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F2"/>
  <sheetViews>
    <sheetView workbookViewId="0"/>
  </sheetViews>
  <sheetFormatPr defaultRowHeight="15.75"/>
  <sheetData>
    <row r="1" spans="1:32">
      <c r="A1" t="s">
        <v>1586</v>
      </c>
    </row>
    <row r="2" spans="1:32">
      <c r="A2" s="126" t="s">
        <v>1763</v>
      </c>
      <c r="B2" s="126" t="s">
        <v>1225</v>
      </c>
      <c r="C2" s="126" t="s">
        <v>1703</v>
      </c>
      <c r="D2" s="126" t="s">
        <v>2105</v>
      </c>
      <c r="E2" s="126" t="s">
        <v>1583</v>
      </c>
      <c r="F2" s="126" t="s">
        <v>3196</v>
      </c>
      <c r="G2" s="126" t="s">
        <v>1646</v>
      </c>
      <c r="H2" s="126" t="s">
        <v>2172</v>
      </c>
      <c r="I2" s="126" t="s">
        <v>1441</v>
      </c>
      <c r="J2" s="126" t="s">
        <v>2173</v>
      </c>
      <c r="K2" s="126" t="s">
        <v>1704</v>
      </c>
      <c r="L2" s="126" t="s">
        <v>2103</v>
      </c>
      <c r="M2" s="126" t="s">
        <v>1217</v>
      </c>
      <c r="N2" s="126" t="s">
        <v>2087</v>
      </c>
      <c r="O2" s="126" t="s">
        <v>1446</v>
      </c>
      <c r="P2" s="126" t="s">
        <v>1447</v>
      </c>
      <c r="Q2" s="126" t="s">
        <v>1647</v>
      </c>
      <c r="R2" s="126" t="s">
        <v>2172</v>
      </c>
      <c r="S2" s="126" t="s">
        <v>1584</v>
      </c>
      <c r="T2" s="126" t="s">
        <v>3010</v>
      </c>
      <c r="U2" s="126" t="s">
        <v>1585</v>
      </c>
      <c r="V2" s="126" t="s">
        <v>2172</v>
      </c>
      <c r="W2" s="126" t="s">
        <v>1440</v>
      </c>
      <c r="X2" s="126" t="s">
        <v>2173</v>
      </c>
      <c r="Y2" s="126" t="s">
        <v>1648</v>
      </c>
      <c r="Z2" s="126" t="s">
        <v>2104</v>
      </c>
      <c r="AA2" s="126" t="s">
        <v>1764</v>
      </c>
      <c r="AB2" s="126" t="s">
        <v>2172</v>
      </c>
      <c r="AC2" s="126" t="s">
        <v>241</v>
      </c>
      <c r="AD2" s="126" t="s">
        <v>1514</v>
      </c>
      <c r="AE2" s="126" t="s">
        <v>1442</v>
      </c>
      <c r="AF2" s="126" t="s">
        <v>2173</v>
      </c>
    </row>
  </sheetData>
  <phoneticPr fontId="12" type="noConversion"/>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R44"/>
  <sheetViews>
    <sheetView zoomScale="85" zoomScaleNormal="85" workbookViewId="0"/>
  </sheetViews>
  <sheetFormatPr defaultRowHeight="12.75"/>
  <cols>
    <col min="1" max="1" width="34.625" style="3" customWidth="1"/>
    <col min="2" max="16384" width="9" style="3"/>
  </cols>
  <sheetData>
    <row r="2" spans="1:18">
      <c r="A2" s="2" t="s">
        <v>1735</v>
      </c>
    </row>
    <row r="3" spans="1:18">
      <c r="A3" s="1326" t="s">
        <v>1729</v>
      </c>
      <c r="B3" s="1322">
        <v>2012</v>
      </c>
      <c r="C3" s="1323" t="s">
        <v>1804</v>
      </c>
      <c r="D3" s="1324" t="s">
        <v>2214</v>
      </c>
      <c r="E3" s="1324" t="s">
        <v>229</v>
      </c>
      <c r="F3" s="2013" t="s">
        <v>1499</v>
      </c>
      <c r="G3" s="2014" t="s">
        <v>542</v>
      </c>
      <c r="H3" s="1323" t="s">
        <v>367</v>
      </c>
      <c r="I3" s="1324" t="s">
        <v>1779</v>
      </c>
      <c r="J3" s="1324" t="s">
        <v>1778</v>
      </c>
      <c r="K3" s="1325" t="s">
        <v>1777</v>
      </c>
      <c r="L3" s="1322" t="s">
        <v>901</v>
      </c>
      <c r="M3" s="1322" t="s">
        <v>902</v>
      </c>
      <c r="N3" s="1322" t="s">
        <v>42</v>
      </c>
      <c r="O3" s="1322" t="s">
        <v>43</v>
      </c>
      <c r="P3" s="1322" t="s">
        <v>44</v>
      </c>
      <c r="Q3" s="1322" t="s">
        <v>1343</v>
      </c>
      <c r="R3" s="1322" t="s">
        <v>1813</v>
      </c>
    </row>
    <row r="4" spans="1:18">
      <c r="A4" s="646" t="s">
        <v>2171</v>
      </c>
      <c r="B4" s="1339">
        <f>RevPAR!H10</f>
        <v>6.0999999999999999E-2</v>
      </c>
      <c r="C4" s="128">
        <f>RevPAR!I10</f>
        <v>5.5E-2</v>
      </c>
      <c r="D4" s="128">
        <f>RevPAR!J10</f>
        <v>5.1999999999999998E-2</v>
      </c>
      <c r="E4" s="128">
        <f>RevPAR!K10</f>
        <v>5.1999999999999998E-2</v>
      </c>
      <c r="F4" s="128">
        <f>RevPAR!L10</f>
        <v>4.7E-2</v>
      </c>
      <c r="G4" s="1339">
        <f>RevPAR!M10</f>
        <v>5.1999999999999998E-2</v>
      </c>
      <c r="H4" s="128">
        <f>RevPAR!N10</f>
        <v>6.7000000000000004E-2</v>
      </c>
      <c r="I4" s="128">
        <f>RevPAR!O10</f>
        <v>7.2999999999999995E-2</v>
      </c>
      <c r="J4" s="128">
        <f>RevPAR!P10</f>
        <v>8.7999999999999995E-2</v>
      </c>
      <c r="K4" s="128">
        <f>RevPAR!Q10</f>
        <v>6.8000000000000005E-2</v>
      </c>
      <c r="L4" s="1339">
        <f>RevPAR!R10</f>
        <v>7.3999999999999996E-2</v>
      </c>
      <c r="M4" s="1339">
        <f>RevPAR!W10</f>
        <v>5.1999999999999998E-2</v>
      </c>
      <c r="N4" s="1339">
        <f>RevPAR!AB10</f>
        <v>1.9E-2</v>
      </c>
      <c r="O4" s="1339">
        <f>RevPAR!AG10</f>
        <v>1.4999999999999999E-2</v>
      </c>
      <c r="P4" s="1339">
        <f>RevPAR!AL10</f>
        <v>1.6875000000000001E-2</v>
      </c>
      <c r="Q4" s="1339">
        <f>RevPAR!AM10</f>
        <v>1.2999999999999999E-2</v>
      </c>
      <c r="R4" s="1339">
        <f>RevPAR!AN10</f>
        <v>-0.03</v>
      </c>
    </row>
    <row r="5" spans="1:18">
      <c r="A5" s="646" t="s">
        <v>208</v>
      </c>
      <c r="B5" s="226">
        <f>RevPAR!H11</f>
        <v>1.4066586398332914E-2</v>
      </c>
      <c r="C5" s="128">
        <f>RevPAR!I11</f>
        <v>-2.8580886913448511E-3</v>
      </c>
      <c r="D5" s="128">
        <f>RevPAR!J11</f>
        <v>1.026781457508541E-2</v>
      </c>
      <c r="E5" s="128">
        <f>RevPAR!K11</f>
        <v>2.3840575829098265E-2</v>
      </c>
      <c r="F5" s="128">
        <f>RevPAR!L11</f>
        <v>0.04</v>
      </c>
      <c r="G5" s="226">
        <f>RevPAR!M11</f>
        <v>1.7678841071379514E-2</v>
      </c>
      <c r="H5" s="128">
        <f>RevPAR!N11</f>
        <v>0.05</v>
      </c>
      <c r="I5" s="128">
        <f>RevPAR!O11</f>
        <v>0.06</v>
      </c>
      <c r="J5" s="128">
        <f>RevPAR!P11</f>
        <v>8.3000000000000004E-2</v>
      </c>
      <c r="K5" s="128">
        <f>RevPAR!Q11</f>
        <v>6.5000000000000002E-2</v>
      </c>
      <c r="L5" s="226">
        <f>RevPAR!R11</f>
        <v>6.4951401364892858E-2</v>
      </c>
      <c r="M5" s="226">
        <f>RevPAR!W11</f>
        <v>5.1694213664527311E-2</v>
      </c>
      <c r="N5" s="226">
        <f>RevPAR!AB11</f>
        <v>1.7310952464866247E-2</v>
      </c>
      <c r="O5" s="226">
        <f>RevPAR!AG11</f>
        <v>5.2999999999999999E-2</v>
      </c>
      <c r="P5" s="226">
        <f>RevPAR!AL11</f>
        <v>3.0000000000000027E-2</v>
      </c>
      <c r="Q5" s="226">
        <f>RevPAR!AM11</f>
        <v>1.4999999999999999E-2</v>
      </c>
      <c r="R5" s="226">
        <f>RevPAR!AN11</f>
        <v>-0.03</v>
      </c>
    </row>
    <row r="6" spans="1:18">
      <c r="A6" s="646" t="s">
        <v>2218</v>
      </c>
      <c r="B6" s="226">
        <f>RevPAR!H12</f>
        <v>-7.9296957472282492E-2</v>
      </c>
      <c r="C6" s="128">
        <f>RevPAR!I12</f>
        <v>1.2691977758956918E-2</v>
      </c>
      <c r="D6" s="128">
        <f>RevPAR!J12</f>
        <v>3.7735703575343837E-2</v>
      </c>
      <c r="E6" s="128">
        <f>RevPAR!K12</f>
        <v>2.0227161903575652E-2</v>
      </c>
      <c r="F6" s="128">
        <f>RevPAR!L12</f>
        <v>4.6000000000000041E-2</v>
      </c>
      <c r="G6" s="226">
        <f>RevPAR!M12</f>
        <v>3.8195523159392897E-2</v>
      </c>
      <c r="H6" s="128">
        <f>RevPAR!N12</f>
        <v>6.4999999999999947E-2</v>
      </c>
      <c r="I6" s="128">
        <f>RevPAR!O12</f>
        <v>4.4000000000000039E-2</v>
      </c>
      <c r="J6" s="128">
        <f>RevPAR!P12</f>
        <v>6.6000000000000059E-2</v>
      </c>
      <c r="K6" s="128">
        <f>RevPAR!Q12</f>
        <v>6.899999999999995E-2</v>
      </c>
      <c r="L6" s="226">
        <f>RevPAR!R12</f>
        <v>6.0999999999999943E-2</v>
      </c>
      <c r="M6" s="226">
        <f>RevPAR!W12</f>
        <v>6.0999999999999943E-2</v>
      </c>
      <c r="N6" s="226">
        <f>RevPAR!AB12</f>
        <v>1.0999999999999999E-2</v>
      </c>
      <c r="O6" s="226">
        <f>RevPAR!AG12</f>
        <v>6.6000000000000003E-2</v>
      </c>
      <c r="P6" s="226">
        <f>RevPAR!AL12</f>
        <v>4.0000000000000258E-2</v>
      </c>
      <c r="Q6" s="226">
        <f>RevPAR!AM12</f>
        <v>0.02</v>
      </c>
      <c r="R6" s="226">
        <f>RevPAR!AN12</f>
        <v>-0.03</v>
      </c>
    </row>
    <row r="7" spans="1:18">
      <c r="A7" s="646" t="s">
        <v>209</v>
      </c>
      <c r="B7" s="455">
        <f>RevPAR!H13</f>
        <v>-7.386806625897091E-2</v>
      </c>
      <c r="C7" s="128">
        <f>RevPAR!I13</f>
        <v>6.1946597155315697E-3</v>
      </c>
      <c r="D7" s="128">
        <f>RevPAR!J13</f>
        <v>0.16622502089707059</v>
      </c>
      <c r="E7" s="417">
        <f>RevPAR!K13</f>
        <v>-0.19126784584807943</v>
      </c>
      <c r="F7" s="417">
        <f>RevPAR!L13</f>
        <v>-3.2000000000000139E-2</v>
      </c>
      <c r="G7" s="455">
        <f>RevPAR!M13</f>
        <v>-3.7564832034553408E-3</v>
      </c>
      <c r="H7" s="128">
        <f>RevPAR!N13</f>
        <v>-6.0000000000000053E-3</v>
      </c>
      <c r="I7" s="128">
        <f>RevPAR!O13</f>
        <v>-3.400000000000003E-2</v>
      </c>
      <c r="J7" s="417">
        <f>RevPAR!P13</f>
        <v>0.15500000000000003</v>
      </c>
      <c r="K7" s="417">
        <f>RevPAR!Q13</f>
        <v>6.6999999999999948E-2</v>
      </c>
      <c r="L7" s="455">
        <f>RevPAR!R13</f>
        <v>4.4000000000000039E-2</v>
      </c>
      <c r="M7" s="455">
        <f>RevPAR!W13</f>
        <v>1.6999999999999904E-2</v>
      </c>
      <c r="N7" s="455">
        <f>RevPAR!AB13</f>
        <v>-1.4999999999999999E-2</v>
      </c>
      <c r="O7" s="455">
        <f>RevPAR!AG13</f>
        <v>3.5999999999999997E-2</v>
      </c>
      <c r="P7" s="455">
        <f>RevPAR!AL13</f>
        <v>2.5540816099760555E-2</v>
      </c>
      <c r="Q7" s="455">
        <f>RevPAR!AM13</f>
        <v>1.4999999999999999E-2</v>
      </c>
      <c r="R7" s="455">
        <f>RevPAR!AN13</f>
        <v>-0.03</v>
      </c>
    </row>
    <row r="8" spans="1:18">
      <c r="A8" s="647" t="s">
        <v>1688</v>
      </c>
      <c r="B8" s="456">
        <f>RevPAR!H14</f>
        <v>-6.231014919235367E-2</v>
      </c>
      <c r="C8" s="441">
        <f>RevPAR!I14</f>
        <v>5.206064624357909E-3</v>
      </c>
      <c r="D8" s="441">
        <f>RevPAR!J14</f>
        <v>-4.8651755827657461E-2</v>
      </c>
      <c r="E8" s="612">
        <f>RevPAR!K14</f>
        <v>-7.6025400552350075E-2</v>
      </c>
      <c r="F8" s="612">
        <f>RevPAR!L14</f>
        <v>8.6000000000000076E-2</v>
      </c>
      <c r="G8" s="456">
        <f>RevPAR!M14</f>
        <v>-3.6272514619235641E-2</v>
      </c>
      <c r="H8" s="441">
        <f>RevPAR!N14</f>
        <v>8.6999999999999966E-2</v>
      </c>
      <c r="I8" s="441">
        <f>RevPAR!O14</f>
        <v>4.8000000000000043E-2</v>
      </c>
      <c r="J8" s="612">
        <f>RevPAR!P14</f>
        <v>3.400000000000003E-2</v>
      </c>
      <c r="K8" s="612">
        <f>RevPAR!Q14</f>
        <v>2.8999999999999915E-2</v>
      </c>
      <c r="L8" s="456">
        <f>RevPAR!R14</f>
        <v>4.8999999999999932E-2</v>
      </c>
      <c r="M8" s="456">
        <f>RevPAR!W14</f>
        <v>9.2999999999999972E-2</v>
      </c>
      <c r="N8" s="456">
        <f>RevPAR!AB14</f>
        <v>3.5000000000000003E-2</v>
      </c>
      <c r="O8" s="456">
        <f>RevPAR!AG14</f>
        <v>7.2999999999999995E-2</v>
      </c>
      <c r="P8" s="456">
        <f>RevPAR!AL14</f>
        <v>5.9999999999999831E-2</v>
      </c>
      <c r="Q8" s="456">
        <f>RevPAR!AM14</f>
        <v>0.04</v>
      </c>
      <c r="R8" s="456">
        <f>RevPAR!AN14</f>
        <v>-0.02</v>
      </c>
    </row>
    <row r="9" spans="1:18">
      <c r="A9" s="1327" t="s">
        <v>788</v>
      </c>
      <c r="B9" s="1332">
        <f>RevPAR!H15</f>
        <v>5.7000000000000002E-2</v>
      </c>
      <c r="C9" s="1331">
        <f>RevPAR!I15</f>
        <v>5.3999999999999999E-2</v>
      </c>
      <c r="D9" s="1331">
        <f>RevPAR!J15</f>
        <v>5.3999999999999999E-2</v>
      </c>
      <c r="E9" s="1331">
        <f>RevPAR!K15</f>
        <v>5.0999999999999997E-2</v>
      </c>
      <c r="F9" s="1331">
        <f>RevPAR!L15</f>
        <v>4.7E-2</v>
      </c>
      <c r="G9" s="1332">
        <f>RevPAR!M15</f>
        <v>5.1999999999999998E-2</v>
      </c>
      <c r="H9" s="1331">
        <f>RevPAR!N15</f>
        <v>6.6000000000000003E-2</v>
      </c>
      <c r="I9" s="1331">
        <f>RevPAR!O15</f>
        <v>6.7000000000000004E-2</v>
      </c>
      <c r="J9" s="1331">
        <f>RevPAR!P15</f>
        <v>8.4000000000000005E-2</v>
      </c>
      <c r="K9" s="1430">
        <f>RevPAR!Q15</f>
        <v>6.6000000000000003E-2</v>
      </c>
      <c r="L9" s="1331">
        <f>RevPAR!R15</f>
        <v>7.0999999999999994E-2</v>
      </c>
      <c r="M9" s="1332">
        <f>RevPAR!W15</f>
        <v>5.3999999999999999E-2</v>
      </c>
      <c r="N9" s="1332">
        <f>RevPAR!AB15</f>
        <v>1.7999999999999999E-2</v>
      </c>
      <c r="O9" s="1332">
        <f>RevPAR!AG15</f>
        <v>2.5000000000000001E-2</v>
      </c>
      <c r="P9" s="1332">
        <f>RevPAR!AL15</f>
        <v>2.3457210246139646E-2</v>
      </c>
      <c r="Q9" s="1332">
        <f>RevPAR!AM15</f>
        <v>1.5937306656940566E-2</v>
      </c>
      <c r="R9" s="1332">
        <f>RevPAR!AN15</f>
        <v>-2.9226213866005338E-2</v>
      </c>
    </row>
    <row r="10" spans="1:18">
      <c r="A10" s="223" t="s">
        <v>1734</v>
      </c>
      <c r="B10" s="1334">
        <v>-5.2722255159640539E-2</v>
      </c>
      <c r="C10" s="1317">
        <v>6.4178896984684866E-3</v>
      </c>
      <c r="D10" s="1318">
        <v>2.4908637739709034E-2</v>
      </c>
      <c r="E10" s="1318">
        <v>-3.0087383761671093E-2</v>
      </c>
      <c r="F10" s="1318">
        <v>3.8250013234504887E-2</v>
      </c>
      <c r="G10" s="1319">
        <v>1.0037192306768123E-2</v>
      </c>
      <c r="H10" s="1318">
        <v>5.9531233578859692E-2</v>
      </c>
      <c r="I10" s="1318">
        <v>6.3369031507219301E-2</v>
      </c>
      <c r="J10" s="1318">
        <v>7.3777535862100396E-2</v>
      </c>
      <c r="K10" s="1319">
        <v>6.4785333570007334E-2</v>
      </c>
      <c r="L10" s="1320">
        <v>6.5118711286998532E-2</v>
      </c>
      <c r="M10" s="1320">
        <v>5.7877034015964196E-2</v>
      </c>
      <c r="N10" s="1320"/>
      <c r="O10" s="1320"/>
      <c r="P10" s="1320"/>
      <c r="Q10" s="1320"/>
      <c r="R10" s="1320"/>
    </row>
    <row r="12" spans="1:18">
      <c r="A12" s="223" t="s">
        <v>1736</v>
      </c>
      <c r="B12" s="223"/>
      <c r="C12" s="223"/>
      <c r="D12" s="223"/>
      <c r="E12" s="223"/>
      <c r="F12" s="223"/>
      <c r="G12" s="223"/>
      <c r="H12" s="223"/>
      <c r="I12" s="223"/>
      <c r="J12" s="223"/>
      <c r="K12" s="223"/>
      <c r="L12" s="223"/>
      <c r="M12" s="223"/>
      <c r="N12" s="223"/>
      <c r="O12" s="223"/>
      <c r="P12" s="223"/>
      <c r="Q12" s="223"/>
      <c r="R12" s="223"/>
    </row>
    <row r="13" spans="1:18">
      <c r="A13" s="645" t="s">
        <v>1354</v>
      </c>
      <c r="B13" s="1339">
        <v>4.2000000000000003E-2</v>
      </c>
      <c r="C13" s="1023">
        <v>5.2999999999999936E-2</v>
      </c>
      <c r="D13" s="1023">
        <v>5.0999999999999934E-2</v>
      </c>
      <c r="E13" s="1023">
        <v>0.03</v>
      </c>
      <c r="F13" s="1023">
        <v>5.9240789513394398E-2</v>
      </c>
      <c r="G13" s="1339">
        <v>4.8748044504258736E-2</v>
      </c>
      <c r="H13" s="1023">
        <v>3.6128502339824342E-2</v>
      </c>
      <c r="I13" s="1023">
        <v>4.8185205224640093E-2</v>
      </c>
      <c r="J13" s="1023">
        <v>7.2131335409860053E-2</v>
      </c>
      <c r="K13" s="1023">
        <v>5.5352972121833766E-2</v>
      </c>
      <c r="L13" s="1339">
        <v>5.3144327477391951E-2</v>
      </c>
      <c r="M13" s="1339">
        <v>5.6398591388767683E-2</v>
      </c>
      <c r="N13" s="745"/>
      <c r="O13" s="745"/>
      <c r="P13" s="745"/>
      <c r="Q13" s="745"/>
      <c r="R13" s="745"/>
    </row>
    <row r="14" spans="1:18">
      <c r="A14" s="15" t="s">
        <v>2171</v>
      </c>
      <c r="B14" s="226"/>
      <c r="C14" s="128">
        <v>8.8000000000000078E-2</v>
      </c>
      <c r="D14" s="128">
        <v>6.2999999999999945E-2</v>
      </c>
      <c r="E14" s="128">
        <v>6.2000000000000055E-2</v>
      </c>
      <c r="F14" s="128">
        <v>3.8615384615384718E-2</v>
      </c>
      <c r="G14" s="226">
        <v>6.2895113630224708E-2</v>
      </c>
      <c r="H14" s="128">
        <v>5.9321239991788399E-2</v>
      </c>
      <c r="I14" s="128">
        <v>5.856387013298181E-2</v>
      </c>
      <c r="J14" s="128">
        <v>6.0499999999999998E-2</v>
      </c>
      <c r="K14" s="128">
        <v>6.0700636942675246E-2</v>
      </c>
      <c r="L14" s="226">
        <v>5.9449118047577798E-2</v>
      </c>
      <c r="M14" s="226">
        <v>5.4654047988660803E-2</v>
      </c>
      <c r="N14" s="455"/>
      <c r="O14" s="455"/>
      <c r="P14" s="455"/>
      <c r="Q14" s="455"/>
      <c r="R14" s="455"/>
    </row>
    <row r="15" spans="1:18">
      <c r="A15" s="6" t="s">
        <v>1253</v>
      </c>
      <c r="B15" s="671"/>
      <c r="C15" s="441">
        <v>1.4000000000000012E-2</v>
      </c>
      <c r="D15" s="441">
        <v>3.8000000000000034E-2</v>
      </c>
      <c r="E15" s="441">
        <v>-5.0000000000000001E-3</v>
      </c>
      <c r="F15" s="441">
        <v>-7.0422535211267512E-3</v>
      </c>
      <c r="G15" s="671">
        <v>9.9160464538869952E-3</v>
      </c>
      <c r="H15" s="441">
        <v>-8.1215332980038024E-3</v>
      </c>
      <c r="I15" s="441">
        <v>2.3339052369077518E-2</v>
      </c>
      <c r="J15" s="441">
        <v>7.3052511920727037E-2</v>
      </c>
      <c r="K15" s="441">
        <v>4.8262411347517631E-2</v>
      </c>
      <c r="L15" s="671">
        <v>3.4770729794378452E-2</v>
      </c>
      <c r="M15" s="671">
        <v>5.8298620258786071E-2</v>
      </c>
      <c r="N15" s="456"/>
      <c r="O15" s="456"/>
      <c r="P15" s="456"/>
      <c r="Q15" s="456"/>
      <c r="R15" s="456"/>
    </row>
    <row r="18" spans="1:18">
      <c r="A18" s="2" t="s">
        <v>879</v>
      </c>
    </row>
    <row r="19" spans="1:18">
      <c r="A19" s="1321" t="s">
        <v>1731</v>
      </c>
      <c r="B19" s="1322">
        <f t="shared" ref="B19:M19" si="0">B3</f>
        <v>2012</v>
      </c>
      <c r="C19" s="1323" t="str">
        <f t="shared" si="0"/>
        <v>1Q13</v>
      </c>
      <c r="D19" s="1324" t="str">
        <f t="shared" si="0"/>
        <v>2Q13</v>
      </c>
      <c r="E19" s="1324" t="str">
        <f t="shared" si="0"/>
        <v>3Q13</v>
      </c>
      <c r="F19" s="1325" t="str">
        <f t="shared" si="0"/>
        <v>4Q13</v>
      </c>
      <c r="G19" s="1322" t="str">
        <f t="shared" si="0"/>
        <v>2013</v>
      </c>
      <c r="H19" s="1323" t="str">
        <f t="shared" si="0"/>
        <v>1Q14</v>
      </c>
      <c r="I19" s="1324" t="str">
        <f t="shared" si="0"/>
        <v>2Q14E</v>
      </c>
      <c r="J19" s="1324" t="str">
        <f t="shared" si="0"/>
        <v>3Q14E</v>
      </c>
      <c r="K19" s="1325" t="str">
        <f t="shared" si="0"/>
        <v>4Q14E</v>
      </c>
      <c r="L19" s="1322" t="str">
        <f t="shared" si="0"/>
        <v>2014E</v>
      </c>
      <c r="M19" s="1322" t="str">
        <f t="shared" si="0"/>
        <v>2015E</v>
      </c>
      <c r="N19" s="1322" t="str">
        <f>N3</f>
        <v>2016E</v>
      </c>
      <c r="O19" s="1322" t="str">
        <f>O3</f>
        <v>2017E</v>
      </c>
      <c r="P19" s="1322" t="str">
        <f>P3</f>
        <v>2018E</v>
      </c>
      <c r="Q19" s="1322" t="str">
        <f>Q3</f>
        <v>2019E</v>
      </c>
      <c r="R19" s="1322" t="str">
        <f>R3</f>
        <v>2020E</v>
      </c>
    </row>
    <row r="20" spans="1:18">
      <c r="A20" s="1313" t="s">
        <v>596</v>
      </c>
      <c r="B20" s="1314">
        <v>6.4000000000000001E-2</v>
      </c>
      <c r="C20" s="1315">
        <v>4.8000000000000001E-2</v>
      </c>
      <c r="D20" s="1315">
        <v>5.1999999999999998E-2</v>
      </c>
      <c r="E20" s="1315">
        <v>5.1999999999999998E-2</v>
      </c>
      <c r="F20" s="1315">
        <v>1.7999999999999999E-2</v>
      </c>
      <c r="G20" s="1314">
        <v>0.05</v>
      </c>
      <c r="H20" s="2223"/>
      <c r="I20" s="611"/>
      <c r="J20" s="611"/>
      <c r="K20" s="611"/>
      <c r="L20" s="614"/>
      <c r="M20" s="614"/>
      <c r="N20" s="614"/>
      <c r="O20" s="614"/>
      <c r="P20" s="614"/>
      <c r="Q20" s="614"/>
      <c r="R20" s="614"/>
    </row>
    <row r="21" spans="1:18">
      <c r="A21" s="878" t="s">
        <v>1732</v>
      </c>
      <c r="B21" s="1314">
        <v>5.2999999999999999E-2</v>
      </c>
      <c r="C21" s="1315">
        <v>6.0999999999999999E-2</v>
      </c>
      <c r="D21" s="1315">
        <v>4.3999999999999997E-2</v>
      </c>
      <c r="E21" s="1315">
        <v>7.4999999999999997E-2</v>
      </c>
      <c r="F21" s="1315">
        <v>0.13400000000000001</v>
      </c>
      <c r="G21" s="1314">
        <v>6.2E-2</v>
      </c>
      <c r="H21" s="2223"/>
      <c r="I21" s="611"/>
      <c r="J21" s="611"/>
      <c r="K21" s="611"/>
      <c r="L21" s="614"/>
      <c r="M21" s="614"/>
      <c r="N21" s="614"/>
      <c r="O21" s="614"/>
      <c r="P21" s="614"/>
      <c r="Q21" s="614"/>
      <c r="R21" s="614"/>
    </row>
    <row r="22" spans="1:18">
      <c r="A22" s="878" t="s">
        <v>2218</v>
      </c>
      <c r="B22" s="1314">
        <v>2.8000000000000001E-2</v>
      </c>
      <c r="C22" s="1315">
        <v>-1.7999999999999999E-2</v>
      </c>
      <c r="D22" s="1315">
        <v>1.2E-2</v>
      </c>
      <c r="E22" s="1315">
        <v>2.1999999999999999E-2</v>
      </c>
      <c r="F22" s="1315">
        <v>2.3E-2</v>
      </c>
      <c r="G22" s="1314">
        <v>1.4999999999999999E-2</v>
      </c>
      <c r="H22" s="2223"/>
      <c r="I22" s="611"/>
      <c r="J22" s="611"/>
      <c r="K22" s="611"/>
      <c r="L22" s="614"/>
      <c r="M22" s="614"/>
      <c r="N22" s="614"/>
      <c r="O22" s="614"/>
      <c r="P22" s="614"/>
      <c r="Q22" s="614"/>
      <c r="R22" s="614"/>
    </row>
    <row r="23" spans="1:18">
      <c r="A23" s="878" t="s">
        <v>2142</v>
      </c>
      <c r="B23" s="1314">
        <v>9.1999999999999998E-2</v>
      </c>
      <c r="C23" s="1315">
        <v>0.112</v>
      </c>
      <c r="D23" s="1315">
        <v>5.7000000000000002E-2</v>
      </c>
      <c r="E23" s="1315">
        <v>-0.113</v>
      </c>
      <c r="F23" s="1315">
        <v>-4.2000000000000003E-2</v>
      </c>
      <c r="G23" s="1314">
        <v>-1.4999999999999999E-2</v>
      </c>
      <c r="H23" s="2223"/>
      <c r="I23" s="611"/>
      <c r="J23" s="611"/>
      <c r="K23" s="611"/>
      <c r="L23" s="614"/>
      <c r="M23" s="614"/>
      <c r="N23" s="614"/>
      <c r="O23" s="614"/>
      <c r="P23" s="614"/>
      <c r="Q23" s="614"/>
      <c r="R23" s="614"/>
    </row>
    <row r="24" spans="1:18">
      <c r="A24" s="878" t="s">
        <v>1688</v>
      </c>
      <c r="B24" s="1314">
        <v>7.5999999999999998E-2</v>
      </c>
      <c r="C24" s="1315">
        <v>3.3000000000000002E-2</v>
      </c>
      <c r="D24" s="1315">
        <v>2.5000000000000001E-2</v>
      </c>
      <c r="E24" s="1315">
        <v>3.7999999999999999E-2</v>
      </c>
      <c r="F24" s="1315">
        <v>3.5000000000000003E-2</v>
      </c>
      <c r="G24" s="1314">
        <v>3.4000000000000002E-2</v>
      </c>
      <c r="H24" s="2223"/>
      <c r="I24" s="611"/>
      <c r="J24" s="611"/>
      <c r="K24" s="611"/>
      <c r="L24" s="614"/>
      <c r="M24" s="614"/>
      <c r="N24" s="614"/>
      <c r="O24" s="614"/>
      <c r="P24" s="614"/>
      <c r="Q24" s="614"/>
      <c r="R24" s="614"/>
    </row>
    <row r="25" spans="1:18">
      <c r="A25" s="1330" t="s">
        <v>1733</v>
      </c>
      <c r="B25" s="1328">
        <v>6.0999999999999999E-2</v>
      </c>
      <c r="C25" s="1329">
        <v>4.5999999999999999E-2</v>
      </c>
      <c r="D25" s="1329">
        <v>4.7E-2</v>
      </c>
      <c r="E25" s="1329">
        <v>4.8000000000000001E-2</v>
      </c>
      <c r="F25" s="1329">
        <v>2.3E-2</v>
      </c>
      <c r="G25" s="1328">
        <v>4.5337688502775995E-2</v>
      </c>
      <c r="H25" s="2224"/>
      <c r="I25" s="1331"/>
      <c r="J25" s="1331"/>
      <c r="K25" s="1331"/>
      <c r="L25" s="1332"/>
      <c r="M25" s="1332"/>
      <c r="N25" s="1332"/>
      <c r="O25" s="1332"/>
      <c r="P25" s="1332"/>
      <c r="Q25" s="1332"/>
      <c r="R25" s="1332"/>
    </row>
    <row r="26" spans="1:18">
      <c r="A26" s="223" t="s">
        <v>1734</v>
      </c>
      <c r="B26" s="1316"/>
      <c r="C26" s="1317"/>
      <c r="D26" s="1318"/>
      <c r="E26" s="1318"/>
      <c r="F26" s="1318"/>
      <c r="G26" s="1319"/>
      <c r="H26" s="1318"/>
      <c r="I26" s="1318"/>
      <c r="J26" s="1318"/>
      <c r="K26" s="1319"/>
      <c r="L26" s="1320"/>
      <c r="M26" s="1320"/>
      <c r="N26" s="1320"/>
      <c r="O26" s="1320"/>
      <c r="P26" s="1320"/>
      <c r="Q26" s="1320"/>
      <c r="R26" s="1320"/>
    </row>
    <row r="29" spans="1:18">
      <c r="A29" s="2" t="s">
        <v>1694</v>
      </c>
    </row>
    <row r="30" spans="1:18">
      <c r="A30" s="1327" t="s">
        <v>788</v>
      </c>
      <c r="B30" s="1322">
        <f t="shared" ref="B30:Q30" si="1">B19</f>
        <v>2012</v>
      </c>
      <c r="C30" s="1324" t="str">
        <f t="shared" si="1"/>
        <v>1Q13</v>
      </c>
      <c r="D30" s="1324" t="str">
        <f t="shared" si="1"/>
        <v>2Q13</v>
      </c>
      <c r="E30" s="1324" t="str">
        <f t="shared" si="1"/>
        <v>3Q13</v>
      </c>
      <c r="F30" s="1324" t="str">
        <f t="shared" si="1"/>
        <v>4Q13</v>
      </c>
      <c r="G30" s="1322" t="str">
        <f t="shared" si="1"/>
        <v>2013</v>
      </c>
      <c r="H30" s="1324" t="str">
        <f t="shared" si="1"/>
        <v>1Q14</v>
      </c>
      <c r="I30" s="1324" t="str">
        <f t="shared" si="1"/>
        <v>2Q14E</v>
      </c>
      <c r="J30" s="1324" t="str">
        <f t="shared" si="1"/>
        <v>3Q14E</v>
      </c>
      <c r="K30" s="1324" t="str">
        <f t="shared" si="1"/>
        <v>4Q14E</v>
      </c>
      <c r="L30" s="1322" t="str">
        <f t="shared" si="1"/>
        <v>2014E</v>
      </c>
      <c r="M30" s="1322" t="str">
        <f t="shared" si="1"/>
        <v>2015E</v>
      </c>
      <c r="N30" s="1322" t="str">
        <f t="shared" si="1"/>
        <v>2016E</v>
      </c>
      <c r="O30" s="1322" t="str">
        <f t="shared" si="1"/>
        <v>2017E</v>
      </c>
      <c r="P30" s="1322" t="str">
        <f t="shared" si="1"/>
        <v>2018E</v>
      </c>
      <c r="Q30" s="1322" t="str">
        <f t="shared" si="1"/>
        <v>2019E</v>
      </c>
      <c r="R30" s="1322" t="str">
        <f>R19</f>
        <v>2020E</v>
      </c>
    </row>
    <row r="31" spans="1:18">
      <c r="A31" s="646" t="s">
        <v>2175</v>
      </c>
      <c r="B31" s="226">
        <v>6.0003495097240345E-2</v>
      </c>
      <c r="C31" s="7">
        <v>6.1856643686844848E-2</v>
      </c>
      <c r="D31" s="7">
        <v>5.110802191511965E-2</v>
      </c>
      <c r="E31" s="7">
        <v>5.412262156448211E-2</v>
      </c>
      <c r="F31" s="7">
        <v>6.6152417536870817E-2</v>
      </c>
      <c r="G31" s="226">
        <v>5.8246575342465759E-2</v>
      </c>
      <c r="H31" s="2225"/>
      <c r="I31" s="7"/>
      <c r="J31" s="7"/>
      <c r="K31" s="7"/>
      <c r="L31" s="226"/>
      <c r="M31" s="226"/>
      <c r="N31" s="226"/>
      <c r="O31" s="226"/>
      <c r="P31" s="226"/>
      <c r="Q31" s="226"/>
      <c r="R31" s="226"/>
    </row>
    <row r="32" spans="1:18">
      <c r="A32" s="646" t="s">
        <v>2218</v>
      </c>
      <c r="B32" s="226">
        <v>-6.0443465842402011E-2</v>
      </c>
      <c r="C32" s="7">
        <v>-4.4569765326540889E-3</v>
      </c>
      <c r="D32" s="7">
        <v>2.4337548452691093E-2</v>
      </c>
      <c r="E32" s="7">
        <v>5.4012437074326458E-2</v>
      </c>
      <c r="F32" s="7">
        <v>7.1742313323572393E-2</v>
      </c>
      <c r="G32" s="226">
        <v>3.9328379489204757E-2</v>
      </c>
      <c r="H32" s="2225"/>
      <c r="I32" s="7"/>
      <c r="J32" s="7"/>
      <c r="K32" s="7"/>
      <c r="L32" s="226"/>
      <c r="M32" s="226"/>
      <c r="N32" s="226"/>
      <c r="O32" s="226"/>
      <c r="P32" s="226"/>
      <c r="Q32" s="226"/>
      <c r="R32" s="226"/>
    </row>
    <row r="33" spans="1:18">
      <c r="A33" s="646" t="s">
        <v>20</v>
      </c>
      <c r="B33" s="226">
        <v>3.1989249631015682E-2</v>
      </c>
      <c r="C33" s="7">
        <v>6.027607361963172E-2</v>
      </c>
      <c r="D33" s="7">
        <v>5.5046695402298784E-2</v>
      </c>
      <c r="E33" s="7">
        <v>-6.5580706579225767E-3</v>
      </c>
      <c r="F33" s="7">
        <v>8.0794603809948295E-3</v>
      </c>
      <c r="G33" s="226">
        <v>3.0141944677763766E-2</v>
      </c>
      <c r="H33" s="2225"/>
      <c r="I33" s="7"/>
      <c r="J33" s="7"/>
      <c r="K33" s="7"/>
      <c r="L33" s="226"/>
      <c r="M33" s="226"/>
      <c r="N33" s="226"/>
      <c r="O33" s="226"/>
      <c r="P33" s="226"/>
      <c r="Q33" s="226"/>
      <c r="R33" s="226"/>
    </row>
    <row r="34" spans="1:18">
      <c r="A34" s="646" t="s">
        <v>1638</v>
      </c>
      <c r="B34" s="226">
        <v>4.5416997049880115E-2</v>
      </c>
      <c r="C34" s="7">
        <v>3.6391495882014846E-2</v>
      </c>
      <c r="D34" s="7">
        <v>3.2831737346101786E-3</v>
      </c>
      <c r="E34" s="7">
        <v>-1.360369609856249E-2</v>
      </c>
      <c r="F34" s="7">
        <v>-3.0044227543083557E-2</v>
      </c>
      <c r="G34" s="226">
        <v>-2.9123619800964784E-3</v>
      </c>
      <c r="H34" s="2225"/>
      <c r="I34" s="7"/>
      <c r="J34" s="7"/>
      <c r="K34" s="7"/>
      <c r="L34" s="226"/>
      <c r="M34" s="226"/>
      <c r="N34" s="226"/>
      <c r="O34" s="226"/>
      <c r="P34" s="226"/>
      <c r="Q34" s="226"/>
      <c r="R34" s="226"/>
    </row>
    <row r="35" spans="1:18">
      <c r="A35" s="646" t="s">
        <v>459</v>
      </c>
      <c r="B35" s="226"/>
      <c r="C35" s="7">
        <v>6.4000000000000001E-2</v>
      </c>
      <c r="D35" s="7">
        <v>2.7E-2</v>
      </c>
      <c r="E35" s="7">
        <v>4.5999999999999999E-2</v>
      </c>
      <c r="F35" s="7">
        <v>5.1999999999999998E-2</v>
      </c>
      <c r="G35" s="226">
        <v>4.725E-2</v>
      </c>
      <c r="H35" s="2225"/>
      <c r="I35" s="7"/>
      <c r="J35" s="7"/>
      <c r="K35" s="7"/>
      <c r="L35" s="226"/>
      <c r="M35" s="226"/>
      <c r="N35" s="226"/>
      <c r="O35" s="226"/>
      <c r="P35" s="226"/>
      <c r="Q35" s="226"/>
      <c r="R35" s="226"/>
    </row>
    <row r="36" spans="1:18">
      <c r="A36" s="647" t="s">
        <v>1269</v>
      </c>
      <c r="B36" s="226">
        <v>7.3428186621484315E-2</v>
      </c>
      <c r="C36" s="7">
        <v>3.0369175287083827E-3</v>
      </c>
      <c r="D36" s="7">
        <v>6.687520224355481E-3</v>
      </c>
      <c r="E36" s="7">
        <v>9.5050423090299319E-3</v>
      </c>
      <c r="F36" s="7">
        <v>2.2862415419315107E-2</v>
      </c>
      <c r="G36" s="226">
        <v>1.0215254329134504E-2</v>
      </c>
      <c r="H36" s="2225"/>
      <c r="I36" s="7"/>
      <c r="J36" s="7"/>
      <c r="K36" s="7"/>
      <c r="L36" s="226"/>
      <c r="M36" s="226"/>
      <c r="N36" s="226"/>
      <c r="O36" s="226"/>
      <c r="P36" s="226"/>
      <c r="Q36" s="226"/>
      <c r="R36" s="226"/>
    </row>
    <row r="37" spans="1:18">
      <c r="A37" s="1327" t="s">
        <v>788</v>
      </c>
      <c r="B37" s="1341">
        <v>3.2000000000000001E-2</v>
      </c>
      <c r="C37" s="1340">
        <v>4.5999999999999999E-2</v>
      </c>
      <c r="D37" s="1340">
        <v>3.9E-2</v>
      </c>
      <c r="E37" s="1340">
        <v>4.2000000000000003E-2</v>
      </c>
      <c r="F37" s="1340">
        <v>4.8401122065126485E-2</v>
      </c>
      <c r="G37" s="1341">
        <v>4.3768700898131854E-2</v>
      </c>
      <c r="H37" s="2226"/>
      <c r="I37" s="1340"/>
      <c r="J37" s="1340"/>
      <c r="K37" s="1340"/>
      <c r="L37" s="1341"/>
      <c r="M37" s="1341"/>
      <c r="N37" s="1341"/>
      <c r="O37" s="1341"/>
      <c r="P37" s="1341"/>
      <c r="Q37" s="1341"/>
      <c r="R37" s="1341"/>
    </row>
    <row r="38" spans="1:18">
      <c r="A38" s="223" t="s">
        <v>1734</v>
      </c>
      <c r="B38" s="1316"/>
      <c r="C38" s="1317"/>
      <c r="D38" s="1318"/>
      <c r="E38" s="1318"/>
      <c r="F38" s="1318"/>
      <c r="G38" s="1319"/>
      <c r="H38" s="2227"/>
      <c r="I38" s="1318"/>
      <c r="J38" s="1318"/>
      <c r="K38" s="1319"/>
      <c r="L38" s="1320"/>
      <c r="M38" s="1320"/>
      <c r="N38" s="1320"/>
      <c r="O38" s="1320"/>
      <c r="P38" s="1320"/>
      <c r="Q38" s="1320"/>
      <c r="R38" s="1320"/>
    </row>
    <row r="39" spans="1:18">
      <c r="H39" s="1531"/>
    </row>
    <row r="40" spans="1:18">
      <c r="A40" s="1342" t="s">
        <v>460</v>
      </c>
      <c r="B40" s="223"/>
      <c r="C40" s="223"/>
      <c r="D40" s="223"/>
      <c r="E40" s="223"/>
      <c r="F40" s="223"/>
      <c r="G40" s="223"/>
      <c r="H40" s="1531"/>
    </row>
    <row r="41" spans="1:18">
      <c r="A41" s="394" t="s">
        <v>1354</v>
      </c>
      <c r="B41" s="745">
        <v>2.5999999999999999E-2</v>
      </c>
      <c r="C41" s="417">
        <v>3.4000000000000002E-2</v>
      </c>
      <c r="D41" s="417">
        <v>4.3999999999999997E-2</v>
      </c>
      <c r="E41" s="417">
        <v>5.1999999999999998E-2</v>
      </c>
      <c r="F41" s="417">
        <v>5.8000000000000003E-2</v>
      </c>
      <c r="G41" s="1983">
        <v>0.05</v>
      </c>
      <c r="H41" s="1531"/>
    </row>
    <row r="42" spans="1:18">
      <c r="A42" s="394" t="s">
        <v>2175</v>
      </c>
      <c r="B42" s="1043" t="s">
        <v>1263</v>
      </c>
      <c r="C42" s="417">
        <v>6.3E-2</v>
      </c>
      <c r="D42" s="417">
        <v>9.8000000000000004E-2</v>
      </c>
      <c r="E42" s="417">
        <v>8.5000000000000006E-2</v>
      </c>
      <c r="F42" s="417">
        <v>5.7000000000000002E-2</v>
      </c>
      <c r="G42" s="1045" t="s">
        <v>1263</v>
      </c>
      <c r="H42" s="1531"/>
    </row>
    <row r="43" spans="1:18">
      <c r="A43" s="395" t="s">
        <v>16</v>
      </c>
      <c r="B43" s="1343" t="s">
        <v>1263</v>
      </c>
      <c r="C43" s="612">
        <v>8.9999999999999993E-3</v>
      </c>
      <c r="D43" s="612">
        <v>7.0000000000000001E-3</v>
      </c>
      <c r="E43" s="612">
        <v>2.9000000000000001E-2</v>
      </c>
      <c r="F43" s="612">
        <v>5.8999999999999997E-2</v>
      </c>
      <c r="G43" s="2026" t="s">
        <v>1263</v>
      </c>
      <c r="H43" s="1531"/>
    </row>
    <row r="44" spans="1:18">
      <c r="F44" s="15"/>
    </row>
  </sheetData>
  <phoneticPr fontId="12" type="noConversion"/>
  <pageMargins left="0.75" right="0.75" top="1" bottom="1" header="0.5" footer="0.5"/>
  <pageSetup scale="79"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3:IV722"/>
  <sheetViews>
    <sheetView topLeftCell="IS700" zoomScale="85" zoomScaleNormal="85" workbookViewId="0">
      <selection activeCell="IX722" sqref="IX722:JL747"/>
    </sheetView>
  </sheetViews>
  <sheetFormatPr defaultRowHeight="12.75"/>
  <cols>
    <col min="1" max="1" width="27" style="3" customWidth="1"/>
    <col min="2" max="2" width="9" style="3"/>
    <col min="3" max="3" width="1.625" style="3" customWidth="1"/>
    <col min="4" max="55" width="9" style="3"/>
    <col min="56" max="56" width="19.75" style="3" bestFit="1" customWidth="1"/>
    <col min="57" max="57" width="24.875" style="3" bestFit="1" customWidth="1"/>
    <col min="58" max="66" width="9" style="3"/>
    <col min="67" max="67" width="16.5" style="3" customWidth="1"/>
    <col min="68" max="72" width="9" style="3"/>
    <col min="73" max="73" width="0" style="3" hidden="1" customWidth="1"/>
    <col min="74" max="80" width="9" style="3"/>
    <col min="81" max="85" width="9.125" style="3" customWidth="1"/>
    <col min="86" max="86" width="9.625" style="3" customWidth="1"/>
    <col min="87" max="87" width="9" style="3"/>
    <col min="88" max="88" width="6" style="3" customWidth="1"/>
    <col min="89" max="89" width="13.125" style="3" customWidth="1"/>
    <col min="90" max="90" width="1.625" style="3" customWidth="1"/>
    <col min="91" max="91" width="13.125" style="3" customWidth="1"/>
    <col min="92" max="92" width="9" style="3"/>
    <col min="93" max="93" width="19.25" style="3" bestFit="1" customWidth="1"/>
    <col min="94" max="96" width="9" style="3"/>
    <col min="97" max="97" width="0" style="3" hidden="1" customWidth="1"/>
    <col min="98" max="98" width="20.75" style="3" customWidth="1"/>
    <col min="99" max="106" width="9" style="3"/>
    <col min="107" max="107" width="20.75" style="3" customWidth="1"/>
    <col min="108" max="118" width="9" style="3"/>
    <col min="119" max="119" width="13.125" style="3" customWidth="1"/>
    <col min="120" max="120" width="11.375" style="3" customWidth="1"/>
    <col min="121" max="121" width="46.75" style="3" customWidth="1"/>
    <col min="122" max="122" width="21.75" style="3" bestFit="1" customWidth="1"/>
    <col min="123" max="128" width="9" style="3"/>
    <col min="129" max="129" width="12.875" style="3" customWidth="1"/>
    <col min="130" max="143" width="9" style="3"/>
    <col min="144" max="144" width="17.125" style="3" customWidth="1"/>
    <col min="145" max="155" width="9" style="3"/>
    <col min="156" max="156" width="27.875" style="3" customWidth="1"/>
    <col min="157" max="158" width="11.5" style="3" customWidth="1"/>
    <col min="159" max="159" width="9.5" style="3" bestFit="1" customWidth="1"/>
    <col min="160" max="160" width="10" style="3" bestFit="1" customWidth="1"/>
    <col min="161" max="161" width="24.875" style="3" customWidth="1"/>
    <col min="162" max="162" width="32" style="3" bestFit="1" customWidth="1"/>
    <col min="163" max="166" width="9" style="3"/>
    <col min="167" max="167" width="12.5" style="3" customWidth="1"/>
    <col min="168" max="184" width="9" style="3"/>
    <col min="185" max="185" width="18.875" style="3" customWidth="1"/>
    <col min="186" max="219" width="9" style="3"/>
    <col min="220" max="220" width="34.625" style="3" customWidth="1"/>
    <col min="221" max="222" width="0" style="3" hidden="1" customWidth="1"/>
    <col min="223" max="223" width="10.625" style="3" customWidth="1"/>
    <col min="224" max="224" width="10.625" style="3" hidden="1" customWidth="1"/>
    <col min="225" max="226" width="10.625" style="3" customWidth="1"/>
    <col min="227" max="227" width="40.75" style="3" customWidth="1"/>
    <col min="228" max="234" width="8.125" style="3" customWidth="1"/>
    <col min="235" max="235" width="23.75" style="3" customWidth="1"/>
    <col min="236" max="242" width="8.125" style="3" customWidth="1"/>
    <col min="243" max="243" width="24.125" style="3" bestFit="1" customWidth="1"/>
    <col min="244" max="250" width="8.125" style="3" customWidth="1"/>
    <col min="251" max="251" width="17.25" style="3" customWidth="1"/>
    <col min="252" max="16384" width="9" style="3"/>
  </cols>
  <sheetData>
    <row r="3" spans="1:5">
      <c r="A3" s="6"/>
      <c r="B3" s="1461" t="s">
        <v>229</v>
      </c>
      <c r="D3" s="1461" t="s">
        <v>1741</v>
      </c>
    </row>
    <row r="4" spans="1:5">
      <c r="A4" s="130" t="s">
        <v>1748</v>
      </c>
      <c r="B4" s="3">
        <f>'QTR Rooms'!K783+'QTR Rooms'!K803+'QTR Rooms'!K823</f>
        <v>196225</v>
      </c>
      <c r="D4" s="121">
        <f t="shared" ref="D4:D13" si="0">B4/B$15</f>
        <v>0.29484374671310642</v>
      </c>
      <c r="E4" s="121"/>
    </row>
    <row r="5" spans="1:5">
      <c r="A5" s="130" t="s">
        <v>1393</v>
      </c>
      <c r="B5" s="3">
        <f>'QTR Rooms'!K788+'QTR Rooms'!K808+'QTR Rooms'!K828</f>
        <v>189681</v>
      </c>
      <c r="D5" s="121">
        <f t="shared" si="0"/>
        <v>0.28501086365289202</v>
      </c>
      <c r="E5" s="121"/>
    </row>
    <row r="6" spans="1:5">
      <c r="A6" s="130" t="s">
        <v>1747</v>
      </c>
      <c r="B6" s="3">
        <f>'QTR Rooms'!K785+'QTR Rooms'!K805+'QTR Rooms'!K825</f>
        <v>90409</v>
      </c>
      <c r="D6" s="121">
        <f t="shared" si="0"/>
        <v>0.13584674886780601</v>
      </c>
      <c r="E6" s="121"/>
    </row>
    <row r="7" spans="1:5">
      <c r="A7" s="130" t="s">
        <v>1392</v>
      </c>
      <c r="B7" s="3">
        <f>'QTR Rooms'!K787+'QTR Rooms'!K807+'QTR Rooms'!K827</f>
        <v>79135</v>
      </c>
      <c r="D7" s="121">
        <f t="shared" si="0"/>
        <v>0.11890666273992445</v>
      </c>
      <c r="E7" s="121"/>
    </row>
    <row r="8" spans="1:5">
      <c r="A8" s="130" t="s">
        <v>1746</v>
      </c>
      <c r="B8" s="3">
        <f>'QTR Rooms'!K786+'QTR Rooms'!K806+'QTR Rooms'!K826</f>
        <v>51217</v>
      </c>
      <c r="D8" s="121">
        <f t="shared" si="0"/>
        <v>7.6957636261460932E-2</v>
      </c>
      <c r="E8" s="121"/>
    </row>
    <row r="9" spans="1:5">
      <c r="A9" s="130" t="s">
        <v>1745</v>
      </c>
      <c r="B9" s="3">
        <f>'QTR Rooms'!K792+'QTR Rooms'!K812+'QTR Rooms'!K832</f>
        <v>36237</v>
      </c>
      <c r="D9" s="121">
        <f t="shared" si="0"/>
        <v>5.4448988913965275E-2</v>
      </c>
      <c r="E9" s="121"/>
    </row>
    <row r="10" spans="1:5">
      <c r="A10" s="130" t="s">
        <v>1742</v>
      </c>
      <c r="B10" s="3">
        <f>'QTR Rooms'!K780+'QTR Rooms'!K800+'QTR Rooms'!K820</f>
        <v>10335</v>
      </c>
      <c r="D10" s="121">
        <f t="shared" si="0"/>
        <v>1.5529163573856312E-2</v>
      </c>
      <c r="E10" s="121"/>
    </row>
    <row r="11" spans="1:5">
      <c r="A11" s="130" t="s">
        <v>1744</v>
      </c>
      <c r="B11" s="3">
        <f>'QTR Rooms'!K781+'QTR Rooms'!K801+'QTR Rooms'!K821</f>
        <v>7877</v>
      </c>
      <c r="D11" s="121">
        <f t="shared" si="0"/>
        <v>1.1835822106556959E-2</v>
      </c>
      <c r="E11" s="121"/>
    </row>
    <row r="12" spans="1:5">
      <c r="A12" s="130" t="s">
        <v>1743</v>
      </c>
      <c r="B12" s="3">
        <f>'QTR Rooms'!K789+'QTR Rooms'!K809+'QTR Rooms'!K829</f>
        <v>2423</v>
      </c>
      <c r="D12" s="121">
        <f t="shared" si="0"/>
        <v>3.6407511697584753E-3</v>
      </c>
      <c r="E12" s="1462"/>
    </row>
    <row r="13" spans="1:5">
      <c r="A13" s="130" t="s">
        <v>1407</v>
      </c>
      <c r="B13" s="3">
        <f>'QTR Rooms'!K793+'QTR Rooms'!K813+'QTR Rooms'!K833</f>
        <v>1983</v>
      </c>
      <c r="D13" s="121">
        <f t="shared" si="0"/>
        <v>2.979616000673156E-3</v>
      </c>
      <c r="E13" s="1462"/>
    </row>
    <row r="14" spans="1:5" ht="4.5" customHeight="1">
      <c r="A14" s="402"/>
      <c r="B14" s="123" t="s">
        <v>1872</v>
      </c>
      <c r="D14" s="123" t="s">
        <v>1872</v>
      </c>
    </row>
    <row r="15" spans="1:5">
      <c r="A15" s="2" t="s">
        <v>1157</v>
      </c>
      <c r="B15" s="2">
        <f>SUM(B4:B14)</f>
        <v>665522</v>
      </c>
      <c r="D15" s="206">
        <f>SUM(D4:D14)</f>
        <v>1.0000000000000002</v>
      </c>
    </row>
    <row r="16" spans="1:5" ht="4.5" customHeight="1"/>
    <row r="17" spans="1:4">
      <c r="A17" s="3" t="s">
        <v>1394</v>
      </c>
      <c r="B17" s="3">
        <f>'QTR Rooms'!K816</f>
        <v>6404</v>
      </c>
    </row>
    <row r="18" spans="1:4" s="15" customFormat="1" ht="4.5" customHeight="1">
      <c r="A18" s="1522"/>
      <c r="B18" s="10" t="s">
        <v>1872</v>
      </c>
      <c r="D18" s="10"/>
    </row>
    <row r="19" spans="1:4">
      <c r="A19" s="15" t="s">
        <v>1740</v>
      </c>
      <c r="B19" s="15">
        <f>SUM(B15:B17)</f>
        <v>671926</v>
      </c>
    </row>
    <row r="20" spans="1:4">
      <c r="A20" s="15"/>
      <c r="B20" s="15"/>
    </row>
    <row r="21" spans="1:4">
      <c r="A21" s="15"/>
      <c r="B21" s="15"/>
    </row>
    <row r="52" spans="16:21">
      <c r="P52" s="3" t="s">
        <v>1749</v>
      </c>
    </row>
    <row r="54" spans="16:21">
      <c r="Q54" s="209" t="s">
        <v>1752</v>
      </c>
      <c r="R54" s="209" t="s">
        <v>1750</v>
      </c>
      <c r="S54" s="209" t="s">
        <v>879</v>
      </c>
      <c r="T54" s="209" t="s">
        <v>1694</v>
      </c>
      <c r="U54" s="209" t="s">
        <v>1622</v>
      </c>
    </row>
    <row r="55" spans="16:21">
      <c r="P55" s="3" t="s">
        <v>1589</v>
      </c>
      <c r="Q55" s="3">
        <v>3962</v>
      </c>
      <c r="R55" s="3">
        <f>'QTR Rooms'!K794</f>
        <v>62251</v>
      </c>
    </row>
    <row r="56" spans="16:21">
      <c r="P56" s="3" t="s">
        <v>1283</v>
      </c>
      <c r="Q56" s="3">
        <v>174968</v>
      </c>
      <c r="R56" s="3">
        <f>'QTR Rooms'!K814</f>
        <v>140187</v>
      </c>
    </row>
    <row r="57" spans="16:21">
      <c r="P57" s="3" t="s">
        <v>1284</v>
      </c>
      <c r="Q57" s="3">
        <f>500120-Q58</f>
        <v>500120</v>
      </c>
      <c r="R57" s="3">
        <f>'QTR Rooms'!K834</f>
        <v>463084</v>
      </c>
    </row>
    <row r="58" spans="16:21">
      <c r="P58" s="3" t="s">
        <v>750</v>
      </c>
      <c r="Q58" s="9">
        <v>0</v>
      </c>
      <c r="R58" s="3">
        <f>+'QTR Rooms'!K816</f>
        <v>6404</v>
      </c>
      <c r="S58" s="9"/>
    </row>
    <row r="59" spans="16:21" ht="4.5" customHeight="1">
      <c r="P59" s="120"/>
      <c r="Q59" s="123" t="s">
        <v>1751</v>
      </c>
      <c r="R59" s="123" t="s">
        <v>1751</v>
      </c>
      <c r="S59" s="123"/>
      <c r="T59" s="123"/>
    </row>
    <row r="60" spans="16:21">
      <c r="P60" s="3" t="s">
        <v>1687</v>
      </c>
      <c r="Q60" s="3">
        <f>SUM(Q55:Q59)</f>
        <v>679050</v>
      </c>
      <c r="R60" s="3">
        <f>SUM(R55:R59)</f>
        <v>671926</v>
      </c>
    </row>
    <row r="62" spans="16:21" s="2" customFormat="1">
      <c r="Q62" s="209" t="str">
        <f>Q54</f>
        <v>IHG</v>
      </c>
      <c r="R62" s="209" t="str">
        <f>R54</f>
        <v>HLT</v>
      </c>
      <c r="S62" s="209"/>
      <c r="T62" s="209"/>
    </row>
    <row r="63" spans="16:21">
      <c r="P63" s="3" t="s">
        <v>1589</v>
      </c>
      <c r="Q63" s="121">
        <f t="shared" ref="Q63:R65" si="1">Q55/Q$60</f>
        <v>5.8346218982401887E-3</v>
      </c>
      <c r="R63" s="121">
        <f t="shared" si="1"/>
        <v>9.2645618713965525E-2</v>
      </c>
      <c r="S63" s="121"/>
      <c r="T63" s="121"/>
    </row>
    <row r="64" spans="16:21">
      <c r="P64" s="3" t="s">
        <v>1283</v>
      </c>
      <c r="Q64" s="121">
        <f t="shared" si="1"/>
        <v>0.25766585671158238</v>
      </c>
      <c r="R64" s="121">
        <f t="shared" si="1"/>
        <v>0.20863458178430364</v>
      </c>
      <c r="S64" s="121"/>
      <c r="T64" s="121"/>
    </row>
    <row r="65" spans="16:20">
      <c r="P65" s="3" t="s">
        <v>1284</v>
      </c>
      <c r="Q65" s="121">
        <f t="shared" si="1"/>
        <v>0.73649952139017749</v>
      </c>
      <c r="R65" s="121">
        <f t="shared" si="1"/>
        <v>0.68918898807309137</v>
      </c>
      <c r="S65" s="121"/>
      <c r="T65" s="121"/>
    </row>
    <row r="66" spans="16:20" ht="4.5" customHeight="1">
      <c r="P66" s="120"/>
      <c r="Q66" s="1463" t="s">
        <v>1751</v>
      </c>
      <c r="R66" s="1463" t="s">
        <v>1751</v>
      </c>
      <c r="S66" s="1463"/>
      <c r="T66" s="1463"/>
    </row>
    <row r="67" spans="16:20">
      <c r="P67" s="3" t="s">
        <v>1687</v>
      </c>
      <c r="Q67" s="121">
        <f>SUM(Q63:Q66)</f>
        <v>1</v>
      </c>
      <c r="R67" s="121">
        <f>SUM(R63:R66)</f>
        <v>0.99046918857136057</v>
      </c>
      <c r="S67" s="121"/>
      <c r="T67" s="121"/>
    </row>
    <row r="101" spans="31:36">
      <c r="AF101" s="3" t="s">
        <v>1753</v>
      </c>
    </row>
    <row r="103" spans="31:36">
      <c r="AF103" s="123" t="s">
        <v>174</v>
      </c>
      <c r="AG103" s="123" t="s">
        <v>1228</v>
      </c>
    </row>
    <row r="104" spans="31:36">
      <c r="AE104" s="3" t="s">
        <v>167</v>
      </c>
      <c r="AF104" s="3">
        <f>Hilton!P281</f>
        <v>1271</v>
      </c>
      <c r="AG104" s="3">
        <f>Hilton!P136</f>
        <v>1271</v>
      </c>
    </row>
    <row r="105" spans="31:36">
      <c r="AE105" s="3" t="s">
        <v>1589</v>
      </c>
      <c r="AF105" s="3">
        <f>Hilton!P9</f>
        <v>4046</v>
      </c>
      <c r="AG105" s="3">
        <f>Hilton!P135</f>
        <v>929</v>
      </c>
    </row>
    <row r="106" spans="31:36">
      <c r="AE106" s="6" t="s">
        <v>750</v>
      </c>
      <c r="AF106" s="6">
        <f>Hilton!P423</f>
        <v>1109</v>
      </c>
      <c r="AG106" s="6">
        <f>Hilton!P137</f>
        <v>297</v>
      </c>
    </row>
    <row r="107" spans="31:36">
      <c r="AE107" s="3" t="s">
        <v>1687</v>
      </c>
      <c r="AF107" s="3">
        <f>SUM(AF104:AF106)</f>
        <v>6426</v>
      </c>
      <c r="AG107" s="3">
        <f>SUM(AG104:AG106)</f>
        <v>2497</v>
      </c>
    </row>
    <row r="109" spans="31:36">
      <c r="AI109" s="123" t="s">
        <v>174</v>
      </c>
      <c r="AJ109" s="123" t="s">
        <v>1228</v>
      </c>
    </row>
    <row r="110" spans="31:36">
      <c r="AH110" s="3" t="s">
        <v>167</v>
      </c>
      <c r="AI110" s="121">
        <f>AF104/AF$107</f>
        <v>0.19779022720199191</v>
      </c>
      <c r="AJ110" s="121">
        <f>AG104/AG$107</f>
        <v>0.50901081297557071</v>
      </c>
    </row>
    <row r="111" spans="31:36">
      <c r="AH111" s="3" t="s">
        <v>1589</v>
      </c>
      <c r="AI111" s="121">
        <f t="shared" ref="AI111:AJ113" si="2">AF105/AF$107</f>
        <v>0.62962962962962965</v>
      </c>
      <c r="AJ111" s="121">
        <f t="shared" si="2"/>
        <v>0.37204645574689627</v>
      </c>
    </row>
    <row r="112" spans="31:36">
      <c r="AH112" s="6" t="s">
        <v>750</v>
      </c>
      <c r="AI112" s="1498">
        <f t="shared" si="2"/>
        <v>0.17258014316837847</v>
      </c>
      <c r="AJ112" s="1498">
        <f t="shared" si="2"/>
        <v>0.11894273127753303</v>
      </c>
    </row>
    <row r="113" spans="34:36">
      <c r="AH113" s="3" t="s">
        <v>1687</v>
      </c>
      <c r="AI113" s="121">
        <f t="shared" si="2"/>
        <v>1</v>
      </c>
      <c r="AJ113" s="121">
        <f t="shared" si="2"/>
        <v>1</v>
      </c>
    </row>
    <row r="142" spans="39:42">
      <c r="AM142" s="228"/>
      <c r="AN142" s="227"/>
      <c r="AO142" s="227"/>
      <c r="AP142" s="227"/>
    </row>
    <row r="143" spans="39:42">
      <c r="AM143" s="15"/>
      <c r="AN143" s="1809"/>
      <c r="AO143" s="1809"/>
      <c r="AP143" s="1809"/>
    </row>
    <row r="144" spans="39:42">
      <c r="AM144" s="15"/>
      <c r="AN144" s="1809"/>
      <c r="AO144" s="1809"/>
      <c r="AP144" s="1809"/>
    </row>
    <row r="145" spans="39:42">
      <c r="AM145" s="15"/>
      <c r="AN145" s="1809"/>
      <c r="AO145" s="1809"/>
      <c r="AP145" s="1809"/>
    </row>
    <row r="146" spans="39:42">
      <c r="AM146" s="15"/>
      <c r="AN146" s="1809"/>
      <c r="AO146" s="1809"/>
      <c r="AP146" s="1809"/>
    </row>
    <row r="167" spans="48:62" s="2" customFormat="1">
      <c r="AV167" s="228"/>
      <c r="AW167" s="227"/>
      <c r="AX167" s="227"/>
      <c r="AY167" s="227"/>
      <c r="BD167" s="1518" t="s">
        <v>408</v>
      </c>
      <c r="BE167" s="1521" t="s">
        <v>409</v>
      </c>
      <c r="BF167" s="1519" t="s">
        <v>1750</v>
      </c>
      <c r="BG167" s="1519" t="s">
        <v>1622</v>
      </c>
      <c r="BH167" s="1519" t="s">
        <v>1694</v>
      </c>
      <c r="BI167" s="1519" t="s">
        <v>1752</v>
      </c>
      <c r="BJ167" s="1520" t="s">
        <v>879</v>
      </c>
    </row>
    <row r="168" spans="48:62">
      <c r="AV168" s="15"/>
      <c r="AW168" s="1809"/>
      <c r="AX168" s="1809"/>
      <c r="AY168" s="1809"/>
      <c r="BD168" s="13" t="s">
        <v>1270</v>
      </c>
      <c r="BE168" s="15" t="s">
        <v>414</v>
      </c>
      <c r="BF168" s="247">
        <f>'QTR Rooms'!K935</f>
        <v>2.7364985680413269E-2</v>
      </c>
      <c r="BG168" s="247"/>
      <c r="BH168" s="247"/>
      <c r="BI168" s="247">
        <f>BM189</f>
        <v>8.9867969946750309E-2</v>
      </c>
      <c r="BJ168" s="582"/>
    </row>
    <row r="169" spans="48:62">
      <c r="AV169" s="15"/>
      <c r="AW169" s="1809"/>
      <c r="AX169" s="1809"/>
      <c r="AY169" s="1809"/>
      <c r="BD169" s="1639" t="s">
        <v>1693</v>
      </c>
      <c r="BE169" s="1859" t="s">
        <v>505</v>
      </c>
      <c r="BF169" s="1641">
        <f>'QTR Rooms'!K936</f>
        <v>0.37180138297456733</v>
      </c>
      <c r="BG169" s="1641"/>
      <c r="BH169" s="1641"/>
      <c r="BI169" s="1642">
        <f>BM190</f>
        <v>0</v>
      </c>
      <c r="BJ169" s="1643"/>
    </row>
    <row r="170" spans="48:62">
      <c r="AV170" s="15"/>
      <c r="AW170" s="1809"/>
      <c r="AX170" s="1809"/>
      <c r="AY170" s="1809"/>
      <c r="BD170" s="13" t="s">
        <v>410</v>
      </c>
      <c r="BE170" s="15" t="s">
        <v>416</v>
      </c>
      <c r="BF170" s="1637">
        <f>'QTR Rooms'!K937</f>
        <v>0.30920240052169573</v>
      </c>
      <c r="BG170" s="247"/>
      <c r="BH170" s="247"/>
      <c r="BI170" s="247">
        <f>BM191</f>
        <v>0.20518758966129308</v>
      </c>
      <c r="BJ170" s="1638"/>
    </row>
    <row r="171" spans="48:62">
      <c r="AV171" s="15"/>
      <c r="AW171" s="1809"/>
      <c r="AX171" s="1809"/>
      <c r="AY171" s="1809"/>
      <c r="BD171" s="1639" t="s">
        <v>411</v>
      </c>
      <c r="BE171" s="1640" t="s">
        <v>415</v>
      </c>
      <c r="BF171" s="1641">
        <f>'QTR Rooms'!K938</f>
        <v>0.29163123082332365</v>
      </c>
      <c r="BG171" s="1642"/>
      <c r="BH171" s="1642"/>
      <c r="BI171" s="1641">
        <f>BM192</f>
        <v>0.66014114815084979</v>
      </c>
      <c r="BJ171" s="1644"/>
    </row>
    <row r="172" spans="48:62">
      <c r="BD172" s="13" t="s">
        <v>1927</v>
      </c>
      <c r="BE172" s="15" t="s">
        <v>413</v>
      </c>
      <c r="BF172" s="247">
        <v>0</v>
      </c>
      <c r="BG172" s="247"/>
      <c r="BH172" s="247"/>
      <c r="BI172" s="247">
        <f>BM193</f>
        <v>4.4803292241106817E-2</v>
      </c>
      <c r="BJ172" s="582"/>
    </row>
    <row r="173" spans="48:62">
      <c r="BD173" s="1516" t="s">
        <v>1928</v>
      </c>
      <c r="BE173" s="6" t="s">
        <v>412</v>
      </c>
      <c r="BF173" s="1498">
        <v>0</v>
      </c>
      <c r="BG173" s="1498"/>
      <c r="BH173" s="1498"/>
      <c r="BI173" s="1498">
        <v>0</v>
      </c>
      <c r="BJ173" s="1517"/>
    </row>
    <row r="174" spans="48:62">
      <c r="BD174" s="1516" t="s">
        <v>1687</v>
      </c>
      <c r="BE174" s="6"/>
      <c r="BF174" s="1498">
        <f>SUM(BF168:BF173)</f>
        <v>1</v>
      </c>
      <c r="BG174" s="1498"/>
      <c r="BH174" s="1498"/>
      <c r="BI174" s="1498">
        <f>SUM(BI168:BI173)</f>
        <v>1</v>
      </c>
      <c r="BJ174" s="1517"/>
    </row>
    <row r="177" spans="63:65">
      <c r="BK177" s="3" t="s">
        <v>369</v>
      </c>
      <c r="BL177" s="9">
        <v>59136</v>
      </c>
      <c r="BM177" s="7">
        <f t="shared" ref="BM177:BM183" si="3">BL177/BL$187</f>
        <v>8.9867969946750309E-2</v>
      </c>
    </row>
    <row r="178" spans="63:65">
      <c r="BK178" s="3" t="s">
        <v>370</v>
      </c>
      <c r="BL178" s="9">
        <v>107963</v>
      </c>
      <c r="BM178" s="7">
        <f t="shared" si="3"/>
        <v>0.16406952853356677</v>
      </c>
    </row>
    <row r="179" spans="63:65">
      <c r="BK179" s="3" t="s">
        <v>371</v>
      </c>
      <c r="BL179" s="9">
        <v>223601</v>
      </c>
      <c r="BM179" s="7">
        <f t="shared" si="3"/>
        <v>0.33980262358061614</v>
      </c>
    </row>
    <row r="180" spans="63:65">
      <c r="BK180" s="3" t="s">
        <v>372</v>
      </c>
      <c r="BL180" s="9">
        <v>210793</v>
      </c>
      <c r="BM180" s="7">
        <f t="shared" si="3"/>
        <v>0.32033852457023365</v>
      </c>
    </row>
    <row r="181" spans="63:65">
      <c r="BK181" s="3" t="s">
        <v>373</v>
      </c>
      <c r="BL181" s="9">
        <v>21088</v>
      </c>
      <c r="BM181" s="7">
        <f t="shared" si="3"/>
        <v>3.2047073698543538E-2</v>
      </c>
    </row>
    <row r="182" spans="63:65">
      <c r="BK182" s="3" t="s">
        <v>374</v>
      </c>
      <c r="BL182" s="9">
        <v>29482</v>
      </c>
      <c r="BM182" s="7">
        <f t="shared" si="3"/>
        <v>4.4803292241106817E-2</v>
      </c>
    </row>
    <row r="183" spans="63:65">
      <c r="BK183" s="3" t="s">
        <v>375</v>
      </c>
      <c r="BL183" s="9">
        <v>5969</v>
      </c>
      <c r="BM183" s="7">
        <f t="shared" si="3"/>
        <v>9.0709874291827752E-3</v>
      </c>
    </row>
    <row r="184" spans="63:65">
      <c r="BK184" s="6" t="s">
        <v>395</v>
      </c>
      <c r="BL184" s="807">
        <v>21018</v>
      </c>
      <c r="BM184" s="6"/>
    </row>
    <row r="185" spans="63:65">
      <c r="BK185" s="3" t="s">
        <v>1687</v>
      </c>
      <c r="BL185" s="15">
        <f>SUM(BL177:BL184)</f>
        <v>679050</v>
      </c>
      <c r="BM185" s="7">
        <f>SUM(BM177:BM184)</f>
        <v>1</v>
      </c>
    </row>
    <row r="186" spans="63:65">
      <c r="BL186" s="15"/>
    </row>
    <row r="187" spans="63:65">
      <c r="BL187" s="3">
        <f>SUM(BL177:BL183)</f>
        <v>658032</v>
      </c>
    </row>
    <row r="189" spans="63:65">
      <c r="BK189" s="3" t="s">
        <v>1270</v>
      </c>
      <c r="BM189" s="121">
        <f>BM177</f>
        <v>8.9867969946750309E-2</v>
      </c>
    </row>
    <row r="190" spans="63:65">
      <c r="BK190" s="3" t="s">
        <v>376</v>
      </c>
      <c r="BM190" s="121">
        <v>0</v>
      </c>
    </row>
    <row r="191" spans="63:65">
      <c r="BK191" s="3" t="s">
        <v>1271</v>
      </c>
      <c r="BM191" s="121">
        <f>BM178+BM181+BM183</f>
        <v>0.20518758966129308</v>
      </c>
    </row>
    <row r="192" spans="63:65">
      <c r="BK192" s="3" t="s">
        <v>377</v>
      </c>
      <c r="BM192" s="121">
        <f>BM179+BM180</f>
        <v>0.66014114815084979</v>
      </c>
    </row>
    <row r="193" spans="63:76">
      <c r="BK193" s="6" t="s">
        <v>1927</v>
      </c>
      <c r="BL193" s="6"/>
      <c r="BM193" s="1498">
        <f>BM182</f>
        <v>4.4803292241106817E-2</v>
      </c>
    </row>
    <row r="194" spans="63:76">
      <c r="BK194" s="3" t="s">
        <v>1687</v>
      </c>
      <c r="BM194" s="121">
        <f>SUM(BM189:BM193)</f>
        <v>1</v>
      </c>
    </row>
    <row r="196" spans="63:76">
      <c r="BO196" s="6"/>
      <c r="BP196" s="1461" t="str">
        <f>RevPAR!C4</f>
        <v>2011</v>
      </c>
      <c r="BQ196" s="1461" t="str">
        <f>RevPAR!D4</f>
        <v>1Q12</v>
      </c>
      <c r="BR196" s="1461" t="str">
        <f>RevPAR!E4</f>
        <v>2Q12</v>
      </c>
      <c r="BS196" s="1461" t="str">
        <f>RevPAR!F4</f>
        <v>3Q12</v>
      </c>
      <c r="BT196" s="1461" t="str">
        <f>RevPAR!G4</f>
        <v>4Q12</v>
      </c>
      <c r="BU196" s="1501">
        <f>RevPAR!H4</f>
        <v>2012</v>
      </c>
      <c r="BV196" s="1461" t="str">
        <f>RevPAR!I4</f>
        <v>1Q13</v>
      </c>
      <c r="BW196" s="1461" t="str">
        <f>RevPAR!J4</f>
        <v>2Q13</v>
      </c>
      <c r="BX196" s="1461" t="str">
        <f>RevPAR!K4</f>
        <v>3Q13</v>
      </c>
    </row>
    <row r="197" spans="63:76">
      <c r="BO197" s="3" t="s">
        <v>599</v>
      </c>
      <c r="BP197" s="7">
        <f>RevPAR!C474</f>
        <v>6.7000000000000004E-2</v>
      </c>
      <c r="BQ197" s="7">
        <f>RevPAR!D474</f>
        <v>7.0000000000000062E-2</v>
      </c>
      <c r="BR197" s="7">
        <f>RevPAR!E474</f>
        <v>6.899999999999995E-2</v>
      </c>
      <c r="BS197" s="7">
        <f>RevPAR!F474</f>
        <v>4.8000000000000043E-2</v>
      </c>
      <c r="BT197" s="7">
        <f>RevPAR!G474</f>
        <v>5.8999999999999941E-2</v>
      </c>
      <c r="BU197" s="7">
        <f>RevPAR!H474</f>
        <v>6.0999999999999999E-2</v>
      </c>
      <c r="BV197" s="7">
        <f>RevPAR!I474</f>
        <v>5.5E-2</v>
      </c>
      <c r="BW197" s="7">
        <f>RevPAR!J474</f>
        <v>5.1999999999999998E-2</v>
      </c>
      <c r="BX197" s="7">
        <f>RevPAR!K474</f>
        <v>5.1999999999999998E-2</v>
      </c>
    </row>
    <row r="198" spans="63:76">
      <c r="BO198" s="3" t="s">
        <v>600</v>
      </c>
      <c r="BP198" s="7">
        <f>RevPAR!C475</f>
        <v>7.6605379928728151E-2</v>
      </c>
      <c r="BQ198" s="7">
        <f>RevPAR!D475</f>
        <v>7.3340970912010625E-2</v>
      </c>
      <c r="BR198" s="7">
        <f>RevPAR!E475</f>
        <v>7.5120262551002681E-2</v>
      </c>
      <c r="BS198" s="7">
        <f>RevPAR!F475</f>
        <v>5.0455717065940944E-2</v>
      </c>
      <c r="BT198" s="7">
        <f>RevPAR!G475</f>
        <v>6.6897512865128808E-2</v>
      </c>
      <c r="BU198" s="7">
        <f>RevPAR!H475</f>
        <v>6.7538370604172282E-2</v>
      </c>
      <c r="BV198" s="7">
        <f>RevPAR!I475</f>
        <v>5.6439175076467486E-2</v>
      </c>
      <c r="BW198" s="7">
        <f>RevPAR!J475</f>
        <v>5.2539322774699256E-2</v>
      </c>
      <c r="BX198" s="7">
        <f>RevPAR!K475</f>
        <v>5.4635488448255325E-2</v>
      </c>
    </row>
    <row r="230" spans="80:86">
      <c r="CB230" s="2" t="s">
        <v>1623</v>
      </c>
    </row>
    <row r="232" spans="80:86">
      <c r="CB232" s="6"/>
      <c r="CC232" s="1501">
        <v>2011</v>
      </c>
      <c r="CD232" s="1501">
        <v>2012</v>
      </c>
      <c r="CE232" s="1501" t="s">
        <v>1625</v>
      </c>
      <c r="CF232" s="1501" t="s">
        <v>1626</v>
      </c>
      <c r="CG232" s="1501" t="s">
        <v>1627</v>
      </c>
      <c r="CH232" s="1501">
        <v>2016</v>
      </c>
    </row>
    <row r="233" spans="80:86">
      <c r="CB233" s="3" t="s">
        <v>1750</v>
      </c>
      <c r="CC233" s="7">
        <f>'QTR Rooms'!C921</f>
        <v>4.3431039188062792E-2</v>
      </c>
      <c r="CD233" s="7">
        <f>'QTR Rooms'!H921</f>
        <v>3.2290615539858791E-2</v>
      </c>
      <c r="CE233" s="7">
        <f>'QTR Rooms'!M921</f>
        <v>4.4989754045739572E-2</v>
      </c>
      <c r="CF233" s="7">
        <f>'QTR Rooms'!R921</f>
        <v>6.3728983491504909E-2</v>
      </c>
      <c r="CG233" s="7">
        <f>'QTR Rooms'!W921</f>
        <v>6.5566120551843854E-2</v>
      </c>
      <c r="CH233" s="7">
        <f>'QTR Rooms'!AB921</f>
        <v>6.7694580184336495E-2</v>
      </c>
    </row>
    <row r="234" spans="80:86">
      <c r="CB234" s="1734" t="s">
        <v>1622</v>
      </c>
      <c r="CC234" s="7"/>
      <c r="CD234" s="7"/>
      <c r="CE234" s="7"/>
      <c r="CF234" s="7"/>
      <c r="CG234" s="7"/>
      <c r="CH234" s="7"/>
    </row>
    <row r="235" spans="80:86">
      <c r="CB235" s="3" t="s">
        <v>1694</v>
      </c>
      <c r="CC235" s="7"/>
      <c r="CD235" s="7"/>
      <c r="CE235" s="7"/>
      <c r="CF235" s="7"/>
      <c r="CG235" s="7"/>
      <c r="CH235" s="7"/>
    </row>
    <row r="236" spans="80:86">
      <c r="CB236" s="1734" t="s">
        <v>1752</v>
      </c>
      <c r="CC236" s="7"/>
      <c r="CD236" s="7"/>
      <c r="CE236" s="7"/>
      <c r="CF236" s="7"/>
      <c r="CG236" s="7"/>
      <c r="CH236" s="7"/>
    </row>
    <row r="237" spans="80:86">
      <c r="CB237" s="3" t="s">
        <v>879</v>
      </c>
      <c r="CC237" s="7"/>
      <c r="CD237" s="7"/>
      <c r="CE237" s="7"/>
      <c r="CF237" s="7"/>
      <c r="CG237" s="7"/>
      <c r="CH237" s="7"/>
    </row>
    <row r="238" spans="80:86">
      <c r="CF238" s="127"/>
      <c r="CG238" s="127"/>
    </row>
    <row r="239" spans="80:86">
      <c r="CC239" s="7"/>
      <c r="CD239" s="7"/>
      <c r="CE239" s="7"/>
      <c r="CF239" s="7"/>
      <c r="CG239" s="7"/>
    </row>
    <row r="241" spans="80:97">
      <c r="CG241" s="7"/>
      <c r="CJ241" s="2" t="s">
        <v>1624</v>
      </c>
    </row>
    <row r="242" spans="80:97">
      <c r="CJ242" s="6"/>
      <c r="CK242" s="1505" t="s">
        <v>1651</v>
      </c>
      <c r="CL242" s="1461"/>
      <c r="CM242" s="1461" t="s">
        <v>1650</v>
      </c>
    </row>
    <row r="243" spans="80:97">
      <c r="CJ243" s="3" t="s">
        <v>1750</v>
      </c>
      <c r="CK243" s="582">
        <f>'QTR Rooms'!K944/'QTR Rooms'!K920</f>
        <v>0.30831914678477834</v>
      </c>
      <c r="CL243" s="247"/>
      <c r="CM243" s="121">
        <f>'QTR Rooms'!K944/('QTR Rooms'!K837-'QTR Rooms'!K836)</f>
        <v>0.27947986693152144</v>
      </c>
    </row>
    <row r="244" spans="80:97">
      <c r="CJ244" s="3" t="s">
        <v>1694</v>
      </c>
      <c r="CK244" s="582"/>
      <c r="CL244" s="247"/>
      <c r="CM244" s="121"/>
    </row>
    <row r="245" spans="80:97">
      <c r="CJ245" s="3" t="s">
        <v>879</v>
      </c>
      <c r="CK245" s="582"/>
      <c r="CL245" s="247"/>
      <c r="CM245" s="121"/>
    </row>
    <row r="249" spans="80:97">
      <c r="CO249" s="1513" t="s">
        <v>1750</v>
      </c>
      <c r="CP249" s="1514" t="s">
        <v>1625</v>
      </c>
      <c r="CQ249" s="1514" t="s">
        <v>1626</v>
      </c>
      <c r="CR249" s="1515" t="s">
        <v>1627</v>
      </c>
      <c r="CS249" s="1461" t="s">
        <v>1654</v>
      </c>
    </row>
    <row r="250" spans="80:97" s="11" customFormat="1">
      <c r="CB250" s="3"/>
      <c r="CC250" s="3"/>
      <c r="CD250" s="3"/>
      <c r="CE250" s="3"/>
      <c r="CF250" s="3"/>
      <c r="CG250" s="3"/>
      <c r="CH250" s="3"/>
      <c r="CO250" s="819" t="s">
        <v>1652</v>
      </c>
      <c r="CP250" s="1659">
        <f>Hilton!P616</f>
        <v>11496</v>
      </c>
      <c r="CQ250" s="1659">
        <f>Hilton!U616</f>
        <v>10430</v>
      </c>
      <c r="CR250" s="1660">
        <f>Hilton!Z616</f>
        <v>9357</v>
      </c>
      <c r="CS250" s="514">
        <f>Hilton!AE616</f>
        <v>8937</v>
      </c>
    </row>
    <row r="251" spans="80:97">
      <c r="CB251" s="11"/>
      <c r="CC251" s="11"/>
      <c r="CD251" s="11"/>
      <c r="CE251" s="11"/>
      <c r="CF251" s="11"/>
      <c r="CG251" s="11"/>
      <c r="CH251" s="11"/>
      <c r="CO251" s="13" t="s">
        <v>1653</v>
      </c>
      <c r="CP251" s="15">
        <f>Hilton!P621</f>
        <v>2210</v>
      </c>
      <c r="CQ251" s="15">
        <f>Hilton!U621</f>
        <v>2508</v>
      </c>
      <c r="CR251" s="474">
        <f>Hilton!Z621</f>
        <v>2879</v>
      </c>
      <c r="CS251" s="15">
        <f>Hilton!AE621</f>
        <v>2975</v>
      </c>
    </row>
    <row r="252" spans="80:97" s="2" customFormat="1">
      <c r="CB252" s="3"/>
      <c r="CC252" s="3"/>
      <c r="CD252" s="3"/>
      <c r="CE252" s="3"/>
      <c r="CF252" s="3"/>
      <c r="CG252" s="3"/>
      <c r="CH252" s="3"/>
      <c r="CO252" s="505" t="s">
        <v>1771</v>
      </c>
      <c r="CP252" s="1661">
        <f>CP250/CP251</f>
        <v>5.2018099547511314</v>
      </c>
      <c r="CQ252" s="1661">
        <f>CQ250/CQ251</f>
        <v>4.1586921850079746</v>
      </c>
      <c r="CR252" s="1662">
        <f>CR250/CR251</f>
        <v>3.2500868357068429</v>
      </c>
      <c r="CS252" s="1661">
        <f>CS250/CS251</f>
        <v>3.0040336134453782</v>
      </c>
    </row>
    <row r="253" spans="80:97">
      <c r="CB253" s="2"/>
      <c r="CC253" s="2"/>
      <c r="CD253" s="2"/>
      <c r="CE253" s="2"/>
      <c r="CF253" s="2"/>
      <c r="CG253" s="2"/>
      <c r="CH253" s="2"/>
      <c r="CO253" s="13"/>
      <c r="CP253" s="1506"/>
      <c r="CQ253" s="1506"/>
      <c r="CR253" s="1653"/>
      <c r="CS253" s="1506"/>
    </row>
    <row r="254" spans="80:97" s="124" customFormat="1">
      <c r="CB254" s="3"/>
      <c r="CC254" s="3"/>
      <c r="CD254" s="3"/>
      <c r="CE254" s="3"/>
      <c r="CF254" s="3"/>
      <c r="CG254" s="3"/>
      <c r="CH254" s="3"/>
      <c r="CO254" s="1654" t="s">
        <v>21</v>
      </c>
      <c r="CP254" s="1458">
        <f>+Hilton!AW51</f>
        <v>-620</v>
      </c>
      <c r="CQ254" s="1458">
        <f>+Hilton!AX51</f>
        <v>-618</v>
      </c>
      <c r="CR254" s="1655">
        <f>+Hilton!AY51</f>
        <v>-575</v>
      </c>
      <c r="CS254" s="1458">
        <f>+Hilton!AZ51</f>
        <v>-587</v>
      </c>
    </row>
    <row r="255" spans="80:97" s="124" customFormat="1">
      <c r="CO255" s="1654" t="s">
        <v>4</v>
      </c>
      <c r="CP255" s="1657">
        <f>+CP254/Hilton!AW70</f>
        <v>-0.67172264355362943</v>
      </c>
      <c r="CQ255" s="1657">
        <f>+CQ254/Hilton!AX70</f>
        <v>-0.62685431723088625</v>
      </c>
      <c r="CR255" s="1658">
        <f>+CR254/Hilton!AY70</f>
        <v>-0.58168942842690941</v>
      </c>
      <c r="CS255" s="1458"/>
    </row>
    <row r="256" spans="80:97">
      <c r="CB256" s="124"/>
      <c r="CC256" s="124"/>
      <c r="CD256" s="124"/>
      <c r="CE256" s="124"/>
      <c r="CF256" s="124"/>
      <c r="CG256" s="124"/>
      <c r="CH256" s="124"/>
      <c r="CO256" s="13"/>
      <c r="CP256" s="15"/>
      <c r="CQ256" s="15"/>
      <c r="CR256" s="474"/>
      <c r="CS256" s="15"/>
    </row>
    <row r="257" spans="93:102">
      <c r="CO257" s="1516" t="s">
        <v>1771</v>
      </c>
      <c r="CP257" s="1461" t="str">
        <f>CP249</f>
        <v>2013e</v>
      </c>
      <c r="CQ257" s="1461" t="str">
        <f>CQ249</f>
        <v>2014e</v>
      </c>
      <c r="CR257" s="1505" t="str">
        <f>CR249</f>
        <v>2015e</v>
      </c>
      <c r="CS257" s="1461" t="str">
        <f>CS249</f>
        <v>2016e</v>
      </c>
    </row>
    <row r="258" spans="93:102">
      <c r="CO258" s="13" t="s">
        <v>1622</v>
      </c>
      <c r="CP258" s="1506"/>
      <c r="CQ258" s="1506"/>
      <c r="CR258" s="1653"/>
      <c r="CS258" s="1506"/>
    </row>
    <row r="259" spans="93:102">
      <c r="CO259" s="13" t="s">
        <v>1694</v>
      </c>
      <c r="CP259" s="1506"/>
      <c r="CQ259" s="1506"/>
      <c r="CR259" s="1653"/>
      <c r="CS259" s="1506"/>
    </row>
    <row r="260" spans="93:102">
      <c r="CO260" s="1516" t="s">
        <v>879</v>
      </c>
      <c r="CP260" s="1507"/>
      <c r="CQ260" s="1507"/>
      <c r="CR260" s="1656"/>
      <c r="CS260" s="1506"/>
    </row>
    <row r="264" spans="93:102">
      <c r="CT264" s="6" t="s">
        <v>1655</v>
      </c>
      <c r="CU264" s="1461" t="s">
        <v>1228</v>
      </c>
      <c r="CW264" s="6" t="s">
        <v>1655</v>
      </c>
      <c r="CX264" s="1461" t="s">
        <v>912</v>
      </c>
    </row>
    <row r="265" spans="93:102">
      <c r="CU265" s="1508"/>
      <c r="CX265" s="121"/>
    </row>
    <row r="266" spans="93:102">
      <c r="CT266" s="3" t="s">
        <v>1694</v>
      </c>
      <c r="CU266" s="1508"/>
      <c r="CX266" s="121"/>
    </row>
    <row r="267" spans="93:102">
      <c r="CT267" s="3" t="s">
        <v>1750</v>
      </c>
      <c r="CU267" s="1508"/>
      <c r="CX267" s="121"/>
    </row>
    <row r="268" spans="93:102">
      <c r="CT268" s="3" t="s">
        <v>879</v>
      </c>
      <c r="CU268" s="1508"/>
      <c r="CX268" s="121"/>
    </row>
    <row r="300" spans="107:108">
      <c r="DC300" s="6" t="s">
        <v>1655</v>
      </c>
      <c r="DD300" s="1461" t="s">
        <v>912</v>
      </c>
    </row>
    <row r="301" spans="107:108">
      <c r="DD301" s="1508"/>
    </row>
    <row r="302" spans="107:108">
      <c r="DC302" s="3" t="s">
        <v>1750</v>
      </c>
      <c r="DD302" s="1508">
        <f>(Hilton!AE72/Hilton!P72)^(1/(2016-2013))-1</f>
        <v>0.189589149345464</v>
      </c>
    </row>
    <row r="303" spans="107:108">
      <c r="DC303" s="3" t="s">
        <v>879</v>
      </c>
      <c r="DD303" s="1508"/>
    </row>
    <row r="304" spans="107:108">
      <c r="DC304" s="3" t="s">
        <v>1694</v>
      </c>
      <c r="DD304" s="1508"/>
    </row>
    <row r="341" spans="119:125">
      <c r="DO341" s="1509" t="s">
        <v>162</v>
      </c>
      <c r="DP341" s="1510"/>
      <c r="DQ341" s="1649" t="s">
        <v>1656</v>
      </c>
    </row>
    <row r="342" spans="119:125" ht="25.5">
      <c r="DO342" s="1512" t="s">
        <v>174</v>
      </c>
      <c r="DP342" s="1511">
        <f>(Hilton!AE20/Hilton!P20)^(1/(2016-2013))-1</f>
        <v>4.4682529053429842E-2</v>
      </c>
      <c r="DQ342" s="1648" t="s">
        <v>161</v>
      </c>
    </row>
    <row r="343" spans="119:125">
      <c r="DO343" s="1512" t="s">
        <v>1228</v>
      </c>
      <c r="DP343" s="1511">
        <f>(Hilton!AE121/Hilton!P121)^(1/(2016-2013))-1</f>
        <v>0.10415886963424925</v>
      </c>
      <c r="DQ343" s="1512" t="s">
        <v>1657</v>
      </c>
    </row>
    <row r="344" spans="119:125">
      <c r="DO344" s="1512" t="s">
        <v>396</v>
      </c>
      <c r="DP344" s="1511">
        <f>(Hilton!AE67/Hilton!P67)^(1/(2016-2013))-1</f>
        <v>0.21827653835303629</v>
      </c>
      <c r="DQ344" s="1512" t="s">
        <v>163</v>
      </c>
    </row>
    <row r="346" spans="119:125">
      <c r="DR346" s="3" t="s">
        <v>2037</v>
      </c>
    </row>
    <row r="347" spans="119:125">
      <c r="DR347" s="3" t="s">
        <v>2171</v>
      </c>
      <c r="DS347" s="3">
        <f>+'QTR Rooms'!L488</f>
        <v>518374</v>
      </c>
      <c r="DT347" s="3">
        <f>SUM(DS347:DS351)</f>
        <v>669716</v>
      </c>
      <c r="DU347" s="7">
        <f>DS347/DT347</f>
        <v>0.77402062964002649</v>
      </c>
    </row>
    <row r="348" spans="119:125">
      <c r="DR348" s="3" t="s">
        <v>2218</v>
      </c>
      <c r="DS348" s="3">
        <f>+'QTR Rooms'!L630</f>
        <v>58716</v>
      </c>
      <c r="DU348" s="7">
        <f>DS348/DT347</f>
        <v>8.7672983772225835E-2</v>
      </c>
    </row>
    <row r="349" spans="119:125">
      <c r="DR349" s="3" t="s">
        <v>1688</v>
      </c>
      <c r="DS349" s="3">
        <f>+'QTR Rooms'!L772</f>
        <v>39689</v>
      </c>
      <c r="DU349" s="7">
        <f>DS349/DT347</f>
        <v>5.9262433628582863E-2</v>
      </c>
    </row>
    <row r="350" spans="119:125">
      <c r="DR350" s="3" t="s">
        <v>2038</v>
      </c>
      <c r="DS350" s="3">
        <f>+'QTR Rooms'!L701</f>
        <v>19514</v>
      </c>
      <c r="DU350" s="7">
        <f>DS350/DT347</f>
        <v>2.9137724050194411E-2</v>
      </c>
    </row>
    <row r="351" spans="119:125">
      <c r="DR351" s="3" t="s">
        <v>417</v>
      </c>
      <c r="DS351" s="3">
        <f>+'QTR Rooms'!L559</f>
        <v>33423</v>
      </c>
      <c r="DU351" s="7">
        <f>DS351/DT347</f>
        <v>4.9906228908970368E-2</v>
      </c>
    </row>
    <row r="383" spans="131:132">
      <c r="EA383" s="2" t="s">
        <v>1930</v>
      </c>
    </row>
    <row r="384" spans="131:132">
      <c r="EA384" s="3" t="s">
        <v>2171</v>
      </c>
      <c r="EB384" s="121"/>
    </row>
    <row r="385" spans="131:132">
      <c r="EA385" s="3" t="s">
        <v>2218</v>
      </c>
      <c r="EB385" s="121"/>
    </row>
    <row r="386" spans="131:132">
      <c r="EA386" s="3" t="s">
        <v>1688</v>
      </c>
      <c r="EB386" s="121"/>
    </row>
    <row r="387" spans="131:132">
      <c r="EA387" s="3" t="s">
        <v>2038</v>
      </c>
      <c r="EB387" s="121"/>
    </row>
    <row r="388" spans="131:132">
      <c r="EA388" s="5" t="s">
        <v>417</v>
      </c>
      <c r="EB388" s="1498"/>
    </row>
    <row r="389" spans="131:132">
      <c r="EB389" s="121"/>
    </row>
    <row r="420" spans="144:145">
      <c r="EN420" s="2" t="s">
        <v>1931</v>
      </c>
    </row>
    <row r="421" spans="144:145">
      <c r="EN421" s="3" t="s">
        <v>2171</v>
      </c>
      <c r="EO421" s="121">
        <v>0.75</v>
      </c>
    </row>
    <row r="422" spans="144:145">
      <c r="EN422" s="3" t="s">
        <v>2218</v>
      </c>
      <c r="EO422" s="121">
        <v>0.09</v>
      </c>
    </row>
    <row r="423" spans="144:145">
      <c r="EN423" s="3" t="s">
        <v>1688</v>
      </c>
      <c r="EO423" s="121">
        <v>0.09</v>
      </c>
    </row>
    <row r="424" spans="144:145">
      <c r="EN424" s="3" t="s">
        <v>2038</v>
      </c>
      <c r="EO424" s="121">
        <v>0.02</v>
      </c>
    </row>
    <row r="425" spans="144:145">
      <c r="EN425" s="5" t="s">
        <v>417</v>
      </c>
      <c r="EO425" s="121">
        <v>0.05</v>
      </c>
    </row>
    <row r="426" spans="144:145">
      <c r="EO426" s="7">
        <f>SUM(EO421:EO425)</f>
        <v>1</v>
      </c>
    </row>
    <row r="461" spans="156:160">
      <c r="EZ461" s="3" t="s">
        <v>2041</v>
      </c>
    </row>
    <row r="462" spans="156:160">
      <c r="EZ462" s="1513"/>
      <c r="FA462" s="223" t="s">
        <v>2042</v>
      </c>
      <c r="FB462" s="1514" t="s">
        <v>2057</v>
      </c>
      <c r="FC462" s="1514" t="s">
        <v>2043</v>
      </c>
      <c r="FD462" s="1515" t="s">
        <v>2044</v>
      </c>
    </row>
    <row r="463" spans="156:160">
      <c r="EZ463" s="1526" t="s">
        <v>2045</v>
      </c>
      <c r="FA463" s="1527">
        <v>496000</v>
      </c>
      <c r="FB463" s="1527">
        <v>672000</v>
      </c>
      <c r="FC463" s="1528">
        <f t="shared" ref="FC463:FC479" si="4">+FB463-FA463</f>
        <v>176000</v>
      </c>
      <c r="FD463" s="1529">
        <f>+FB463/FA463-1</f>
        <v>0.35483870967741926</v>
      </c>
    </row>
    <row r="464" spans="156:160">
      <c r="EZ464" s="13" t="s">
        <v>2055</v>
      </c>
      <c r="FA464" s="244">
        <v>395000</v>
      </c>
      <c r="FB464" s="244">
        <v>523000</v>
      </c>
      <c r="FC464" s="15">
        <f t="shared" si="4"/>
        <v>128000</v>
      </c>
      <c r="FD464" s="582">
        <f>+FB464/FA464-1</f>
        <v>0.32405063291139236</v>
      </c>
    </row>
    <row r="465" spans="80:160">
      <c r="EZ465" s="1526" t="s">
        <v>2039</v>
      </c>
      <c r="FA465" s="1527">
        <v>116000</v>
      </c>
      <c r="FB465" s="1527">
        <v>186000</v>
      </c>
      <c r="FC465" s="1528">
        <f t="shared" si="4"/>
        <v>70000</v>
      </c>
      <c r="FD465" s="1529">
        <f>+FB465/FA465-1</f>
        <v>0.60344827586206895</v>
      </c>
    </row>
    <row r="466" spans="80:160">
      <c r="CJ466" s="121"/>
      <c r="CK466" s="121"/>
      <c r="CL466" s="121"/>
      <c r="CM466" s="121"/>
      <c r="EZ466" s="13" t="s">
        <v>2040</v>
      </c>
      <c r="FA466" s="244">
        <v>42000</v>
      </c>
      <c r="FB466" s="244">
        <v>98000</v>
      </c>
      <c r="FC466" s="15">
        <f t="shared" si="4"/>
        <v>56000</v>
      </c>
      <c r="FD466" s="582">
        <f>+FB466/FA466-1</f>
        <v>1.3333333333333335</v>
      </c>
    </row>
    <row r="467" spans="80:160" s="121" customFormat="1">
      <c r="EZ467" s="1543" t="s">
        <v>2046</v>
      </c>
      <c r="FA467" s="1541">
        <v>0.19</v>
      </c>
      <c r="FB467" s="1541">
        <v>0.6</v>
      </c>
      <c r="FC467" s="1542">
        <f t="shared" si="4"/>
        <v>0.41</v>
      </c>
      <c r="FD467" s="1529">
        <f>+FB467-FA467</f>
        <v>0.41</v>
      </c>
    </row>
    <row r="468" spans="80:160" s="121" customFormat="1">
      <c r="CJ468" s="3"/>
      <c r="CK468" s="3"/>
      <c r="CL468" s="3"/>
      <c r="CM468" s="3"/>
      <c r="EZ468" s="13" t="s">
        <v>2049</v>
      </c>
      <c r="FA468" s="562">
        <v>0.13</v>
      </c>
      <c r="FB468" s="562">
        <v>0.78</v>
      </c>
      <c r="FC468" s="247">
        <f t="shared" si="4"/>
        <v>0.65</v>
      </c>
      <c r="FD468" s="582">
        <f>+FB468-FA468</f>
        <v>0.65</v>
      </c>
    </row>
    <row r="469" spans="80:160">
      <c r="EZ469" s="13" t="s">
        <v>2047</v>
      </c>
      <c r="FA469" s="244">
        <v>32</v>
      </c>
      <c r="FB469" s="244">
        <v>72</v>
      </c>
      <c r="FC469" s="15">
        <f t="shared" si="4"/>
        <v>40</v>
      </c>
      <c r="FD469" s="582">
        <f>+FB469/FA469-1</f>
        <v>1.25</v>
      </c>
    </row>
    <row r="470" spans="80:160">
      <c r="CJ470" s="121"/>
      <c r="CK470" s="121"/>
      <c r="CL470" s="121"/>
      <c r="CM470" s="121"/>
      <c r="EZ470" s="13" t="s">
        <v>2048</v>
      </c>
      <c r="FA470" s="244">
        <v>0</v>
      </c>
      <c r="FB470" s="244">
        <v>117</v>
      </c>
      <c r="FC470" s="15">
        <f t="shared" si="4"/>
        <v>117</v>
      </c>
      <c r="FD470" s="1525" t="s">
        <v>2173</v>
      </c>
    </row>
    <row r="471" spans="80:160" s="121" customFormat="1">
      <c r="CJ471" s="3"/>
      <c r="CK471" s="3"/>
      <c r="CL471" s="3"/>
      <c r="CM471" s="3"/>
      <c r="EZ471" s="1526" t="s">
        <v>2050</v>
      </c>
      <c r="FA471" s="1541">
        <v>1.1299999999999999</v>
      </c>
      <c r="FB471" s="1541">
        <v>1.1499999999999999</v>
      </c>
      <c r="FC471" s="1542">
        <f t="shared" si="4"/>
        <v>2.0000000000000018E-2</v>
      </c>
      <c r="FD471" s="1529">
        <f>+FB471-FA471</f>
        <v>2.0000000000000018E-2</v>
      </c>
    </row>
    <row r="472" spans="80:160">
      <c r="EZ472" s="13" t="s">
        <v>2051</v>
      </c>
      <c r="FA472" s="562">
        <v>0.56999999999999995</v>
      </c>
      <c r="FB472" s="562">
        <v>0.62</v>
      </c>
      <c r="FC472" s="247">
        <f t="shared" si="4"/>
        <v>5.0000000000000044E-2</v>
      </c>
      <c r="FD472" s="582">
        <f>+FB472-FA472</f>
        <v>5.0000000000000044E-2</v>
      </c>
    </row>
    <row r="473" spans="80:160">
      <c r="EZ473" s="1898" t="s">
        <v>518</v>
      </c>
      <c r="FA473" s="562">
        <v>0.47</v>
      </c>
      <c r="FB473" s="562">
        <v>0.52</v>
      </c>
      <c r="FC473" s="247">
        <f t="shared" si="4"/>
        <v>5.0000000000000044E-2</v>
      </c>
      <c r="FD473" s="582">
        <f>+FB473-FA473</f>
        <v>5.0000000000000044E-2</v>
      </c>
    </row>
    <row r="474" spans="80:160">
      <c r="EZ474" s="1526" t="s">
        <v>2052</v>
      </c>
      <c r="FA474" s="1538">
        <v>0.04</v>
      </c>
      <c r="FB474" s="1538">
        <v>4.4999999999999998E-2</v>
      </c>
      <c r="FC474" s="1539">
        <f t="shared" si="4"/>
        <v>4.9999999999999975E-3</v>
      </c>
      <c r="FD474" s="1540">
        <f>+FB474-FA474</f>
        <v>4.9999999999999975E-3</v>
      </c>
    </row>
    <row r="475" spans="80:160">
      <c r="EZ475" s="1898" t="s">
        <v>517</v>
      </c>
      <c r="FA475" s="562">
        <v>0</v>
      </c>
      <c r="FB475" s="562">
        <v>0.5</v>
      </c>
      <c r="FC475" s="247">
        <f t="shared" si="4"/>
        <v>0.5</v>
      </c>
      <c r="FD475" s="582">
        <f>+FB475-FA475</f>
        <v>0.5</v>
      </c>
    </row>
    <row r="476" spans="80:160">
      <c r="EZ476" s="1526" t="s">
        <v>2053</v>
      </c>
      <c r="FA476" s="1527">
        <v>21000000</v>
      </c>
      <c r="FB476" s="1527">
        <v>39000000</v>
      </c>
      <c r="FC476" s="1528">
        <f t="shared" si="4"/>
        <v>18000000</v>
      </c>
      <c r="FD476" s="1529">
        <f>+FB476/FA476-1</f>
        <v>0.85714285714285721</v>
      </c>
    </row>
    <row r="477" spans="80:160">
      <c r="CJ477" s="11"/>
      <c r="CK477" s="11"/>
      <c r="CL477" s="11"/>
      <c r="CM477" s="11"/>
      <c r="EZ477" s="1901" t="s">
        <v>2054</v>
      </c>
      <c r="FA477" s="562">
        <v>0.42</v>
      </c>
      <c r="FB477" s="562">
        <v>0.5</v>
      </c>
      <c r="FC477" s="247">
        <f t="shared" si="4"/>
        <v>8.0000000000000016E-2</v>
      </c>
      <c r="FD477" s="582">
        <f>+FB477-FA477</f>
        <v>8.0000000000000016E-2</v>
      </c>
    </row>
    <row r="478" spans="80:160" s="11" customFormat="1">
      <c r="CJ478" s="3"/>
      <c r="CK478" s="3"/>
      <c r="CL478" s="3"/>
      <c r="CM478" s="3"/>
      <c r="EZ478" s="1530" t="s">
        <v>1770</v>
      </c>
      <c r="FA478" s="1532">
        <v>1763</v>
      </c>
      <c r="FB478" s="1532">
        <v>2126</v>
      </c>
      <c r="FC478" s="1533">
        <f t="shared" si="4"/>
        <v>363</v>
      </c>
      <c r="FD478" s="1529">
        <f>+FB478/FA478-1</f>
        <v>0.20589903573454338</v>
      </c>
    </row>
    <row r="479" spans="80:160">
      <c r="EZ479" s="1534" t="s">
        <v>2056</v>
      </c>
      <c r="FA479" s="1535">
        <v>0.29599999999999999</v>
      </c>
      <c r="FB479" s="1535">
        <v>0.34100000000000003</v>
      </c>
      <c r="FC479" s="1536">
        <f t="shared" si="4"/>
        <v>4.500000000000004E-2</v>
      </c>
      <c r="FD479" s="1537">
        <f>+FB479-FA479</f>
        <v>4.500000000000004E-2</v>
      </c>
    </row>
    <row r="480" spans="80:160" s="130" customFormat="1">
      <c r="CB480" s="3"/>
      <c r="CC480" s="3"/>
      <c r="CD480" s="3"/>
      <c r="CE480" s="3"/>
      <c r="CF480" s="3"/>
      <c r="CG480" s="3"/>
      <c r="CH480" s="3"/>
      <c r="EZ480" s="135"/>
      <c r="FA480" s="757"/>
      <c r="FB480" s="757"/>
      <c r="FC480" s="611"/>
      <c r="FD480" s="611"/>
    </row>
    <row r="481" spans="80:173">
      <c r="CB481" s="130"/>
      <c r="CC481" s="130"/>
      <c r="CD481" s="130"/>
      <c r="CE481" s="130"/>
      <c r="CF481" s="130"/>
      <c r="CG481" s="130"/>
      <c r="CH481" s="130"/>
      <c r="FG481" s="12">
        <v>2012</v>
      </c>
      <c r="FH481" s="12">
        <v>2007</v>
      </c>
      <c r="FI481" s="123" t="s">
        <v>598</v>
      </c>
    </row>
    <row r="482" spans="80:173">
      <c r="FF482" s="2" t="s">
        <v>879</v>
      </c>
    </row>
    <row r="483" spans="80:173">
      <c r="FF483" s="3" t="s">
        <v>2061</v>
      </c>
      <c r="FG483" s="9">
        <v>41</v>
      </c>
      <c r="FH483" s="9">
        <v>29</v>
      </c>
      <c r="FI483" s="7">
        <f>+FG483/FH483-1</f>
        <v>0.4137931034482758</v>
      </c>
    </row>
    <row r="484" spans="80:173">
      <c r="FF484" s="1524" t="s">
        <v>2059</v>
      </c>
      <c r="FG484" s="1523" t="s">
        <v>2058</v>
      </c>
      <c r="FH484" s="1523" t="s">
        <v>2058</v>
      </c>
    </row>
    <row r="485" spans="80:173">
      <c r="FF485" s="3" t="s">
        <v>2060</v>
      </c>
      <c r="FG485" s="9">
        <v>127000</v>
      </c>
      <c r="FH485" s="9">
        <v>151000</v>
      </c>
      <c r="FI485" s="7">
        <f>+FG485/FH485-1</f>
        <v>-0.15894039735099341</v>
      </c>
    </row>
    <row r="486" spans="80:173">
      <c r="FF486" s="2" t="s">
        <v>1694</v>
      </c>
      <c r="FG486" s="9"/>
      <c r="FH486" s="9"/>
    </row>
    <row r="487" spans="80:173">
      <c r="FF487" s="3" t="s">
        <v>2062</v>
      </c>
      <c r="FG487" s="1523" t="s">
        <v>2173</v>
      </c>
      <c r="FH487" s="1523" t="s">
        <v>2173</v>
      </c>
      <c r="FI487" s="8">
        <v>0.54</v>
      </c>
    </row>
    <row r="488" spans="80:173">
      <c r="FF488" s="1524" t="s">
        <v>2059</v>
      </c>
      <c r="FG488" s="1544">
        <v>0.5</v>
      </c>
      <c r="FH488" s="1544">
        <v>0.4</v>
      </c>
    </row>
    <row r="489" spans="80:173">
      <c r="FF489" s="3" t="s">
        <v>2060</v>
      </c>
      <c r="FG489" s="9">
        <v>171000</v>
      </c>
      <c r="FH489" s="9">
        <v>155000</v>
      </c>
      <c r="FI489" s="7">
        <f>+FG489/FH489-1</f>
        <v>0.10322580645161294</v>
      </c>
    </row>
    <row r="493" spans="80:173">
      <c r="FL493" s="123">
        <f>Hilton!P5</f>
        <v>2013</v>
      </c>
      <c r="FM493" s="123">
        <f>Hilton!U5</f>
        <v>2014</v>
      </c>
      <c r="FN493" s="123">
        <f>Hilton!Z5</f>
        <v>2015</v>
      </c>
      <c r="FO493" s="123">
        <f>Hilton!AE5</f>
        <v>2016</v>
      </c>
      <c r="FP493" s="123" t="str">
        <f>Hilton!AJ5</f>
        <v>2017A</v>
      </c>
      <c r="FQ493" s="123" t="str">
        <f>Hilton!AO5</f>
        <v>2018E</v>
      </c>
    </row>
    <row r="494" spans="80:173">
      <c r="FK494" s="3" t="s">
        <v>1932</v>
      </c>
      <c r="FL494" s="7">
        <f>Hilton!P125</f>
        <v>0.22701592193117617</v>
      </c>
      <c r="FM494" s="7">
        <f>Hilton!U125</f>
        <v>0.23881165492287185</v>
      </c>
      <c r="FN494" s="7">
        <f>Hilton!Z125</f>
        <v>0.25541163946061035</v>
      </c>
      <c r="FO494" s="7">
        <f>Hilton!AE125</f>
        <v>0.25508016805281658</v>
      </c>
      <c r="FP494" s="7">
        <f ca="1">Hilton!AJ125</f>
        <v>0.2149890590809628</v>
      </c>
      <c r="FQ494" s="7">
        <f ca="1">Hilton!AO125</f>
        <v>0.20905935557730629</v>
      </c>
    </row>
    <row r="529" spans="185:192">
      <c r="GC529" s="3" t="s">
        <v>1750</v>
      </c>
      <c r="GD529" s="1788">
        <f>Hilton!K5</f>
        <v>2012</v>
      </c>
      <c r="GE529" s="123">
        <f>Hilton!P5</f>
        <v>2013</v>
      </c>
      <c r="GF529" s="123">
        <f>Hilton!U5</f>
        <v>2014</v>
      </c>
      <c r="GG529" s="123">
        <f>Hilton!Z5</f>
        <v>2015</v>
      </c>
      <c r="GH529" s="123">
        <f>Hilton!AE5</f>
        <v>2016</v>
      </c>
      <c r="GI529" s="123" t="str">
        <f>Hilton!AJ5</f>
        <v>2017A</v>
      </c>
      <c r="GJ529" s="123" t="str">
        <f>Hilton!AO5</f>
        <v>2018E</v>
      </c>
    </row>
    <row r="530" spans="185:192">
      <c r="GC530" s="3" t="s">
        <v>1933</v>
      </c>
      <c r="GD530" s="7">
        <f>Hilton!K266</f>
        <v>0.19795307039440838</v>
      </c>
      <c r="GE530" s="7">
        <f>Hilton!P266</f>
        <v>0.2279754601226994</v>
      </c>
      <c r="GF530" s="7">
        <f>Hilton!U266</f>
        <v>0.23390306719737766</v>
      </c>
      <c r="GG530" s="7">
        <f>Hilton!Z266</f>
        <v>0.24964805255748476</v>
      </c>
      <c r="GH530" s="7">
        <f>Hilton!AE266</f>
        <v>0.24753427952850612</v>
      </c>
      <c r="GI530" s="7">
        <f>Hilton!AJ266</f>
        <v>0.11310344827586206</v>
      </c>
      <c r="GJ530" s="7">
        <f>Hilton!AO266</f>
        <v>9.9484907683467308E-2</v>
      </c>
    </row>
    <row r="531" spans="185:192">
      <c r="GG531" s="7">
        <f>GG530-GE530</f>
        <v>2.1672592434785365E-2</v>
      </c>
      <c r="GH531" s="7">
        <f>GH530-GE530</f>
        <v>1.9558819405806727E-2</v>
      </c>
      <c r="GI531" s="682">
        <f>GI530-GE530</f>
        <v>-0.11487201184683733</v>
      </c>
      <c r="GJ531" s="7"/>
    </row>
    <row r="533" spans="185:192">
      <c r="GC533" s="3" t="s">
        <v>1694</v>
      </c>
      <c r="GD533" s="123"/>
      <c r="GE533" s="123"/>
      <c r="GF533" s="123"/>
    </row>
    <row r="534" spans="185:192">
      <c r="GC534" s="3" t="s">
        <v>1933</v>
      </c>
      <c r="GD534" s="7"/>
      <c r="GE534" s="7"/>
      <c r="GF534" s="7"/>
      <c r="GG534" s="7"/>
    </row>
    <row r="535" spans="185:192">
      <c r="GF535" s="7"/>
    </row>
    <row r="537" spans="185:192">
      <c r="GD537" s="7"/>
      <c r="GE537" s="7"/>
      <c r="GF537" s="7"/>
    </row>
    <row r="563" spans="201:209">
      <c r="GS563" s="14"/>
    </row>
    <row r="564" spans="201:209">
      <c r="GV564" s="1788">
        <f>Hilton!K382</f>
        <v>2012</v>
      </c>
      <c r="GW564" s="123">
        <f>Hilton!P382</f>
        <v>2013</v>
      </c>
      <c r="GX564" s="123">
        <f>Hilton!U382</f>
        <v>2014</v>
      </c>
      <c r="GY564" s="123">
        <f>Hilton!Z382</f>
        <v>2015</v>
      </c>
      <c r="GZ564" s="123">
        <f>Hilton!AE382</f>
        <v>2016</v>
      </c>
      <c r="HA564" s="123" t="str">
        <f>Hilton!AJ382</f>
        <v>2017A</v>
      </c>
    </row>
    <row r="565" spans="201:209">
      <c r="GU565" s="3" t="s">
        <v>1934</v>
      </c>
      <c r="GV565" s="1559">
        <f>Hilton!K371</f>
        <v>112</v>
      </c>
      <c r="GW565" s="1559">
        <f>Hilton!P371</f>
        <v>114</v>
      </c>
      <c r="GX565" s="1559">
        <f>Hilton!U371</f>
        <v>137</v>
      </c>
      <c r="GY565" s="1559">
        <f>Hilton!Z371</f>
        <v>148</v>
      </c>
      <c r="GZ565" s="1559">
        <f>Hilton!AE371</f>
        <v>155</v>
      </c>
      <c r="HA565" s="1559">
        <f>Hilton!AJ371</f>
        <v>222</v>
      </c>
    </row>
    <row r="567" spans="201:209">
      <c r="GY567" s="7">
        <f>(GZ565/GW565)^(1/(2016-2013))-1</f>
        <v>0.10783636179582157</v>
      </c>
    </row>
    <row r="599" spans="80:226">
      <c r="HL599" s="1518" t="s">
        <v>839</v>
      </c>
      <c r="HM599" s="1521" t="str">
        <f>'Price per key'!B4</f>
        <v>City</v>
      </c>
      <c r="HN599" s="1521" t="str">
        <f>'Price per key'!C4</f>
        <v>State / Country</v>
      </c>
      <c r="HO599" s="1519" t="str">
        <f>'Price per key'!D4</f>
        <v>Rooms</v>
      </c>
      <c r="HP599" s="1519" t="str">
        <f>'Price per key'!E4</f>
        <v>Ownership</v>
      </c>
      <c r="HQ599" s="1519" t="str">
        <f>'Price per key'!F4</f>
        <v>Price/Key</v>
      </c>
      <c r="HR599" s="1520" t="str">
        <f>'Price per key'!G4</f>
        <v>Value (mm)</v>
      </c>
    </row>
    <row r="600" spans="80:226">
      <c r="HL600" s="1561"/>
      <c r="HM600" s="645"/>
      <c r="HN600" s="645"/>
      <c r="HO600" s="645"/>
      <c r="HP600" s="645"/>
      <c r="HQ600" s="816"/>
      <c r="HR600" s="1562"/>
    </row>
    <row r="601" spans="80:226">
      <c r="HL601" s="13" t="str">
        <f>'Price per key'!A6</f>
        <v>Hilton Hawaiian Village Beach Resort &amp; Spa</v>
      </c>
      <c r="HM601" s="15" t="str">
        <f>'Price per key'!B6</f>
        <v>Honolulu</v>
      </c>
      <c r="HN601" s="15" t="str">
        <f>'Price per key'!C6</f>
        <v>HI</v>
      </c>
      <c r="HO601" s="15">
        <f>'Price per key'!D6</f>
        <v>2860</v>
      </c>
      <c r="HP601" s="15">
        <f>'Price per key'!E6</f>
        <v>1</v>
      </c>
      <c r="HQ601" s="15">
        <f>'Price per key'!F6</f>
        <v>550000</v>
      </c>
      <c r="HR601" s="474">
        <f>'Price per key'!G6</f>
        <v>1573</v>
      </c>
    </row>
    <row r="602" spans="80:226">
      <c r="HL602" s="13" t="str">
        <f>'Price per key'!A7</f>
        <v>Hilton New York</v>
      </c>
      <c r="HM602" s="15" t="str">
        <f>'Price per key'!B7</f>
        <v>New York</v>
      </c>
      <c r="HN602" s="15" t="str">
        <f>'Price per key'!C7</f>
        <v>NY</v>
      </c>
      <c r="HO602" s="15">
        <f>'Price per key'!D7</f>
        <v>1981</v>
      </c>
      <c r="HP602" s="15">
        <f>'Price per key'!E7</f>
        <v>1</v>
      </c>
      <c r="HQ602" s="15">
        <f>'Price per key'!F7</f>
        <v>1000000</v>
      </c>
      <c r="HR602" s="474">
        <f>'Price per key'!G7</f>
        <v>1981</v>
      </c>
    </row>
    <row r="603" spans="80:226">
      <c r="HL603" s="13" t="str">
        <f>'Price per key'!A8</f>
        <v>Hilton San Francisco Union Square</v>
      </c>
      <c r="HM603" s="15" t="str">
        <f>'Price per key'!B8</f>
        <v>San Francisco</v>
      </c>
      <c r="HN603" s="15" t="str">
        <f>'Price per key'!C8</f>
        <v>CA</v>
      </c>
      <c r="HO603" s="15">
        <f>'Price per key'!D8</f>
        <v>1908</v>
      </c>
      <c r="HP603" s="15">
        <f>'Price per key'!E8</f>
        <v>1</v>
      </c>
      <c r="HQ603" s="15">
        <f>'Price per key'!F8</f>
        <v>500000</v>
      </c>
      <c r="HR603" s="474">
        <f>'Price per key'!G8</f>
        <v>954</v>
      </c>
    </row>
    <row r="604" spans="80:226">
      <c r="HL604" s="13" t="str">
        <f>'Price per key'!A9</f>
        <v>Hilton New Orleans Riverside</v>
      </c>
      <c r="HM604" s="15" t="str">
        <f>'Price per key'!B9</f>
        <v xml:space="preserve">New Orleans </v>
      </c>
      <c r="HN604" s="15" t="str">
        <f>'Price per key'!C9</f>
        <v>LA</v>
      </c>
      <c r="HO604" s="15">
        <f>'Price per key'!D9</f>
        <v>1622</v>
      </c>
      <c r="HP604" s="15">
        <f>'Price per key'!E9</f>
        <v>1</v>
      </c>
      <c r="HQ604" s="15">
        <f>'Price per key'!F9</f>
        <v>300000</v>
      </c>
      <c r="HR604" s="474">
        <f>'Price per key'!G9</f>
        <v>486.6</v>
      </c>
    </row>
    <row r="605" spans="80:226">
      <c r="HL605" s="13" t="str">
        <f>'Price per key'!A10</f>
        <v>Hilton Chicago</v>
      </c>
      <c r="HM605" s="15" t="str">
        <f>'Price per key'!B10</f>
        <v>Chicago</v>
      </c>
      <c r="HN605" s="15" t="str">
        <f>'Price per key'!C10</f>
        <v>IL</v>
      </c>
      <c r="HO605" s="15">
        <f>'Price per key'!D10</f>
        <v>1544</v>
      </c>
      <c r="HP605" s="15">
        <f>'Price per key'!E10</f>
        <v>1</v>
      </c>
      <c r="HQ605" s="15">
        <f>'Price per key'!F10</f>
        <v>350000</v>
      </c>
      <c r="HR605" s="474">
        <f>'Price per key'!G10</f>
        <v>540.4</v>
      </c>
    </row>
    <row r="606" spans="80:226">
      <c r="HL606" s="13" t="str">
        <f>'Price per key'!A11</f>
        <v>Hilton Waikoloa Village</v>
      </c>
      <c r="HM606" s="15" t="str">
        <f>'Price per key'!B11</f>
        <v>Waikoloa</v>
      </c>
      <c r="HN606" s="15" t="str">
        <f>'Price per key'!C11</f>
        <v>HI</v>
      </c>
      <c r="HO606" s="15">
        <f>'Price per key'!D11</f>
        <v>1241</v>
      </c>
      <c r="HP606" s="15">
        <f>'Price per key'!E11</f>
        <v>1</v>
      </c>
      <c r="HQ606" s="15">
        <f>'Price per key'!F11</f>
        <v>550000</v>
      </c>
      <c r="HR606" s="474">
        <f>'Price per key'!G11</f>
        <v>682.55</v>
      </c>
    </row>
    <row r="607" spans="80:226">
      <c r="HL607" s="13" t="str">
        <f>'Price per key'!A13</f>
        <v>Hilton Chicago O’Hare Airport</v>
      </c>
      <c r="HM607" s="15" t="str">
        <f>'Price per key'!B13</f>
        <v>Chicago</v>
      </c>
      <c r="HN607" s="15" t="str">
        <f>'Price per key'!C13</f>
        <v>IL</v>
      </c>
      <c r="HO607" s="15">
        <f>'Price per key'!D13</f>
        <v>860</v>
      </c>
      <c r="HP607" s="15">
        <f>'Price per key'!E13</f>
        <v>1</v>
      </c>
      <c r="HQ607" s="15">
        <f>'Price per key'!F13</f>
        <v>250000</v>
      </c>
      <c r="HR607" s="474">
        <f>'Price per key'!G13</f>
        <v>215</v>
      </c>
    </row>
    <row r="608" spans="80:226" s="15" customFormat="1" ht="3.95" customHeight="1">
      <c r="CB608" s="3"/>
      <c r="CC608" s="3"/>
      <c r="CD608" s="3"/>
      <c r="CE608" s="3"/>
      <c r="CF608" s="3"/>
      <c r="CG608" s="3"/>
      <c r="CH608" s="3"/>
      <c r="CJ608" s="3"/>
      <c r="CK608" s="3"/>
      <c r="CL608" s="3"/>
      <c r="CM608" s="3"/>
      <c r="HL608" s="13"/>
      <c r="HR608" s="1563" t="s">
        <v>1367</v>
      </c>
    </row>
    <row r="609" spans="80:234">
      <c r="HL609" s="13" t="s">
        <v>1687</v>
      </c>
      <c r="HM609" s="15"/>
      <c r="HN609" s="15"/>
      <c r="HO609" s="15"/>
      <c r="HP609" s="15"/>
      <c r="HQ609" s="15"/>
      <c r="HR609" s="571">
        <f>SUM(HR600:HR608)</f>
        <v>6432.55</v>
      </c>
    </row>
    <row r="610" spans="80:234" ht="3.95" customHeight="1">
      <c r="HL610" s="13"/>
      <c r="HM610" s="15"/>
      <c r="HN610" s="15"/>
      <c r="HO610" s="15"/>
      <c r="HP610" s="15"/>
      <c r="HQ610" s="15"/>
      <c r="HR610" s="571"/>
    </row>
    <row r="611" spans="80:234">
      <c r="HL611" s="1898" t="s">
        <v>516</v>
      </c>
      <c r="HM611" s="15"/>
      <c r="HN611" s="15"/>
      <c r="HO611" s="15"/>
      <c r="HP611" s="15"/>
      <c r="HQ611" s="15"/>
      <c r="HR611" s="474"/>
    </row>
    <row r="612" spans="80:234" ht="3.95" customHeight="1">
      <c r="HL612" s="13"/>
      <c r="HM612" s="15"/>
      <c r="HN612" s="15"/>
      <c r="HO612" s="15"/>
      <c r="HP612" s="15"/>
      <c r="HQ612" s="15"/>
      <c r="HR612" s="474"/>
    </row>
    <row r="613" spans="80:234">
      <c r="CJ613" s="1564"/>
      <c r="CK613" s="1564"/>
      <c r="CL613" s="1564"/>
      <c r="CM613" s="1564"/>
      <c r="HL613" s="1516" t="s">
        <v>1366</v>
      </c>
      <c r="HM613" s="6">
        <f>'Price per key'!B145</f>
        <v>0</v>
      </c>
      <c r="HN613" s="6">
        <f>'Price per key'!C145</f>
        <v>0</v>
      </c>
      <c r="HO613" s="6"/>
      <c r="HP613" s="6"/>
      <c r="HQ613" s="6"/>
      <c r="HR613" s="956">
        <f>(HR609+HR611)/'EBITDA Val'!H14</f>
        <v>19.976863354037267</v>
      </c>
    </row>
    <row r="614" spans="80:234">
      <c r="CB614" s="1564"/>
      <c r="CC614" s="1564"/>
      <c r="CD614" s="1564"/>
      <c r="CE614" s="1564"/>
      <c r="CF614" s="1564"/>
      <c r="CG614" s="1564"/>
      <c r="CH614" s="1564"/>
      <c r="CJ614" s="1564"/>
      <c r="CK614" s="1564"/>
      <c r="CL614" s="1564"/>
      <c r="CM614" s="1564"/>
      <c r="HL614" s="15"/>
      <c r="HM614" s="15"/>
      <c r="HN614" s="15"/>
      <c r="HO614" s="15"/>
      <c r="HP614" s="15"/>
      <c r="HQ614" s="15"/>
      <c r="HR614" s="514"/>
    </row>
    <row r="615" spans="80:234" s="1564" customFormat="1">
      <c r="CJ615" s="3"/>
      <c r="CK615" s="3"/>
      <c r="CL615" s="3"/>
      <c r="CM615" s="3"/>
      <c r="HS615" s="1568" t="s">
        <v>1371</v>
      </c>
      <c r="HT615" s="1569">
        <v>2010</v>
      </c>
      <c r="HU615" s="1569">
        <v>2011</v>
      </c>
      <c r="HV615" s="1569">
        <v>2012</v>
      </c>
      <c r="HW615" s="1570" t="s">
        <v>1815</v>
      </c>
      <c r="HX615" s="1570" t="s">
        <v>901</v>
      </c>
      <c r="HY615" s="1570" t="s">
        <v>902</v>
      </c>
      <c r="HZ615" s="1571" t="s">
        <v>42</v>
      </c>
    </row>
    <row r="616" spans="80:234">
      <c r="CJ616" s="11"/>
      <c r="CK616" s="11"/>
      <c r="CL616" s="11"/>
      <c r="CM616" s="11"/>
      <c r="HS616" s="505" t="s">
        <v>174</v>
      </c>
      <c r="HT616" s="15"/>
      <c r="HU616" s="15"/>
      <c r="HV616" s="15"/>
      <c r="HW616" s="15"/>
      <c r="HX616" s="15"/>
      <c r="HY616" s="15"/>
      <c r="HZ616" s="474"/>
    </row>
    <row r="617" spans="80:234" s="11" customFormat="1">
      <c r="CJ617" s="3"/>
      <c r="CK617" s="3"/>
      <c r="CL617" s="3"/>
      <c r="CM617" s="3"/>
      <c r="HS617" s="819" t="s">
        <v>1245</v>
      </c>
      <c r="HT617" s="514">
        <f>+Hilton!E9</f>
        <v>3667</v>
      </c>
      <c r="HU617" s="514">
        <f>+Hilton!F9</f>
        <v>3898</v>
      </c>
      <c r="HV617" s="514">
        <f>+Hilton!K9</f>
        <v>3979</v>
      </c>
      <c r="HW617" s="514">
        <f>+Hilton!P9</f>
        <v>4046</v>
      </c>
      <c r="HX617" s="514">
        <f>+Hilton!U9</f>
        <v>4239</v>
      </c>
      <c r="HY617" s="514">
        <f>+Hilton!Z9</f>
        <v>4233</v>
      </c>
      <c r="HZ617" s="571">
        <f>+Hilton!AE9</f>
        <v>4126</v>
      </c>
    </row>
    <row r="618" spans="80:234">
      <c r="HS618" s="13" t="s">
        <v>1244</v>
      </c>
      <c r="HT618" s="15">
        <f>+Hilton!E16</f>
        <v>901</v>
      </c>
      <c r="HU618" s="15">
        <f>+Hilton!F16</f>
        <v>1014</v>
      </c>
      <c r="HV618" s="15">
        <f>+Hilton!K16</f>
        <v>1088</v>
      </c>
      <c r="HW618" s="15">
        <f>+Hilton!P16</f>
        <v>1175</v>
      </c>
      <c r="HX618" s="15">
        <f>+Hilton!U16</f>
        <v>1401</v>
      </c>
      <c r="HY618" s="15">
        <f>+Hilton!Z16</f>
        <v>1601</v>
      </c>
      <c r="HZ618" s="474">
        <f>+Hilton!AE16</f>
        <v>1701</v>
      </c>
    </row>
    <row r="619" spans="80:234">
      <c r="HS619" s="13" t="s">
        <v>750</v>
      </c>
      <c r="HT619" s="15">
        <f>+Hilton!E18</f>
        <v>863</v>
      </c>
      <c r="HU619" s="15">
        <f>+Hilton!F18</f>
        <v>944</v>
      </c>
      <c r="HV619" s="15">
        <f>+Hilton!K18</f>
        <v>1085</v>
      </c>
      <c r="HW619" s="15">
        <f>+Hilton!P18</f>
        <v>1109</v>
      </c>
      <c r="HX619" s="15">
        <f>+Hilton!U18</f>
        <v>1171</v>
      </c>
      <c r="HY619" s="15">
        <f>+Hilton!Z18</f>
        <v>1308</v>
      </c>
      <c r="HZ619" s="474">
        <f>+Hilton!AE18</f>
        <v>1390</v>
      </c>
    </row>
    <row r="620" spans="80:234" ht="3.95" customHeight="1">
      <c r="CJ620" s="11"/>
      <c r="CK620" s="11"/>
      <c r="CL620" s="11"/>
      <c r="CM620" s="11"/>
      <c r="HS620" s="13"/>
      <c r="HT620" s="1565" t="s">
        <v>1367</v>
      </c>
      <c r="HU620" s="1565" t="s">
        <v>1367</v>
      </c>
      <c r="HV620" s="1565" t="s">
        <v>1367</v>
      </c>
      <c r="HW620" s="1565" t="s">
        <v>1367</v>
      </c>
      <c r="HX620" s="1565" t="s">
        <v>1367</v>
      </c>
      <c r="HY620" s="1565" t="s">
        <v>1367</v>
      </c>
      <c r="HZ620" s="1566" t="s">
        <v>1367</v>
      </c>
    </row>
    <row r="621" spans="80:234" s="11" customFormat="1">
      <c r="CJ621" s="3"/>
      <c r="CK621" s="3"/>
      <c r="CL621" s="3"/>
      <c r="CM621" s="3"/>
      <c r="HS621" s="819" t="s">
        <v>1368</v>
      </c>
      <c r="HT621" s="514">
        <f t="shared" ref="HT621:HZ621" si="5">SUM(HT617:HT620)</f>
        <v>5431</v>
      </c>
      <c r="HU621" s="514">
        <f t="shared" si="5"/>
        <v>5856</v>
      </c>
      <c r="HV621" s="514">
        <f t="shared" si="5"/>
        <v>6152</v>
      </c>
      <c r="HW621" s="514">
        <f t="shared" si="5"/>
        <v>6330</v>
      </c>
      <c r="HX621" s="514">
        <f t="shared" si="5"/>
        <v>6811</v>
      </c>
      <c r="HY621" s="514">
        <f t="shared" si="5"/>
        <v>7142</v>
      </c>
      <c r="HZ621" s="571">
        <f t="shared" si="5"/>
        <v>7217</v>
      </c>
    </row>
    <row r="622" spans="80:234">
      <c r="HS622" s="13" t="s">
        <v>1370</v>
      </c>
      <c r="HT622" s="15">
        <f>+Hilton!E23</f>
        <v>2637</v>
      </c>
      <c r="HU622" s="15">
        <f>+Hilton!F23</f>
        <v>2927</v>
      </c>
      <c r="HV622" s="15">
        <f>+Hilton!K23</f>
        <v>3124</v>
      </c>
      <c r="HW622" s="15">
        <f>+Hilton!P23</f>
        <v>3405</v>
      </c>
      <c r="HX622" s="15">
        <f>+Hilton!U23</f>
        <v>3691</v>
      </c>
      <c r="HY622" s="15">
        <f>+Hilton!Z23</f>
        <v>4130</v>
      </c>
      <c r="HZ622" s="474">
        <f>+Hilton!AE23</f>
        <v>4446</v>
      </c>
    </row>
    <row r="623" spans="80:234" ht="3.95" customHeight="1">
      <c r="CJ623" s="1546"/>
      <c r="CK623" s="1546"/>
      <c r="CL623" s="1546"/>
      <c r="CM623" s="1546"/>
      <c r="HS623" s="13"/>
      <c r="HT623" s="1565" t="s">
        <v>1367</v>
      </c>
      <c r="HU623" s="1565" t="s">
        <v>1367</v>
      </c>
      <c r="HV623" s="1565" t="s">
        <v>1367</v>
      </c>
      <c r="HW623" s="1565" t="s">
        <v>1367</v>
      </c>
      <c r="HX623" s="1565" t="s">
        <v>1367</v>
      </c>
      <c r="HY623" s="1565" t="s">
        <v>1367</v>
      </c>
      <c r="HZ623" s="1566" t="s">
        <v>1367</v>
      </c>
    </row>
    <row r="624" spans="80:234" s="1546" customFormat="1">
      <c r="CJ624" s="7"/>
      <c r="CK624" s="7"/>
      <c r="CL624" s="7"/>
      <c r="CM624" s="7"/>
      <c r="HS624" s="1054" t="s">
        <v>198</v>
      </c>
      <c r="HT624" s="580">
        <f t="shared" ref="HT624:HZ624" si="6">+HT622+SUM(HT617:HT619)</f>
        <v>8068</v>
      </c>
      <c r="HU624" s="580">
        <f t="shared" si="6"/>
        <v>8783</v>
      </c>
      <c r="HV624" s="580">
        <f t="shared" si="6"/>
        <v>9276</v>
      </c>
      <c r="HW624" s="580">
        <f t="shared" si="6"/>
        <v>9735</v>
      </c>
      <c r="HX624" s="580">
        <f t="shared" si="6"/>
        <v>10502</v>
      </c>
      <c r="HY624" s="580">
        <f t="shared" si="6"/>
        <v>11272</v>
      </c>
      <c r="HZ624" s="581">
        <f t="shared" si="6"/>
        <v>11663</v>
      </c>
    </row>
    <row r="625" spans="88:234" s="7" customFormat="1">
      <c r="CJ625" s="3"/>
      <c r="CK625" s="3"/>
      <c r="CL625" s="3"/>
      <c r="CM625" s="3"/>
      <c r="HS625" s="1567" t="s">
        <v>1372</v>
      </c>
      <c r="HT625" s="128"/>
      <c r="HU625" s="128">
        <f t="shared" ref="HU625:HZ625" si="7">+HU624/HT624-1</f>
        <v>8.862171541893904E-2</v>
      </c>
      <c r="HV625" s="128">
        <f t="shared" si="7"/>
        <v>5.6131162472959018E-2</v>
      </c>
      <c r="HW625" s="128">
        <f t="shared" si="7"/>
        <v>4.9482535575679165E-2</v>
      </c>
      <c r="HX625" s="128">
        <f t="shared" si="7"/>
        <v>7.8787878787878851E-2</v>
      </c>
      <c r="HY625" s="128">
        <f t="shared" si="7"/>
        <v>7.3319367739478114E-2</v>
      </c>
      <c r="HZ625" s="786">
        <f t="shared" si="7"/>
        <v>3.4687721788502435E-2</v>
      </c>
    </row>
    <row r="626" spans="88:234">
      <c r="HS626" s="13"/>
      <c r="HT626" s="15"/>
      <c r="HU626" s="15"/>
      <c r="HV626" s="15"/>
      <c r="HW626" s="15"/>
      <c r="HX626" s="15"/>
      <c r="HY626" s="15"/>
      <c r="HZ626" s="474"/>
    </row>
    <row r="627" spans="88:234">
      <c r="CJ627" s="11"/>
      <c r="CK627" s="11"/>
      <c r="CL627" s="11"/>
      <c r="CM627" s="11"/>
      <c r="HS627" s="505" t="s">
        <v>1228</v>
      </c>
      <c r="HT627" s="15"/>
      <c r="HU627" s="15"/>
      <c r="HV627" s="15"/>
      <c r="HW627" s="15"/>
      <c r="HX627" s="15"/>
      <c r="HY627" s="15"/>
      <c r="HZ627" s="474"/>
    </row>
    <row r="628" spans="88:234" s="11" customFormat="1">
      <c r="CJ628" s="3"/>
      <c r="CK628" s="3"/>
      <c r="CL628" s="3"/>
      <c r="CM628" s="3"/>
      <c r="HS628" s="819" t="s">
        <v>1245</v>
      </c>
      <c r="HT628" s="514">
        <f>+Hilton!E135</f>
        <v>688</v>
      </c>
      <c r="HU628" s="514">
        <f>+Hilton!F135</f>
        <v>725</v>
      </c>
      <c r="HV628" s="514">
        <f>+Hilton!K135</f>
        <v>793</v>
      </c>
      <c r="HW628" s="514">
        <f>+Hilton!P135</f>
        <v>929</v>
      </c>
      <c r="HX628" s="514">
        <f>+Hilton!U135</f>
        <v>999</v>
      </c>
      <c r="HY628" s="514">
        <f>+Hilton!Z135</f>
        <v>1064</v>
      </c>
      <c r="HZ628" s="571">
        <f>+Hilton!AE135</f>
        <v>1029</v>
      </c>
    </row>
    <row r="629" spans="88:234">
      <c r="HS629" s="13" t="s">
        <v>1244</v>
      </c>
      <c r="HT629" s="15">
        <f>+Hilton!E136</f>
        <v>968</v>
      </c>
      <c r="HU629" s="15">
        <f>+Hilton!F136</f>
        <v>1095</v>
      </c>
      <c r="HV629" s="15">
        <f>+Hilton!K136</f>
        <v>1180</v>
      </c>
      <c r="HW629" s="15">
        <f>+Hilton!P136</f>
        <v>1271</v>
      </c>
      <c r="HX629" s="15">
        <f>+Hilton!U136</f>
        <v>1468</v>
      </c>
      <c r="HY629" s="15">
        <f>+Hilton!Z136</f>
        <v>1691</v>
      </c>
      <c r="HZ629" s="474">
        <f>+Hilton!AE136</f>
        <v>1786</v>
      </c>
    </row>
    <row r="630" spans="88:234">
      <c r="HS630" s="13" t="s">
        <v>750</v>
      </c>
      <c r="HT630" s="15">
        <f>+Hilton!E137</f>
        <v>171</v>
      </c>
      <c r="HU630" s="15">
        <f>+Hilton!F137</f>
        <v>207</v>
      </c>
      <c r="HV630" s="15">
        <f>+Hilton!K137</f>
        <v>252</v>
      </c>
      <c r="HW630" s="15">
        <f>+Hilton!P137</f>
        <v>297</v>
      </c>
      <c r="HX630" s="15">
        <f>+Hilton!U137</f>
        <v>334</v>
      </c>
      <c r="HY630" s="15">
        <f>+Hilton!Z137</f>
        <v>352</v>
      </c>
      <c r="HZ630" s="474">
        <f>+Hilton!AE137</f>
        <v>381</v>
      </c>
    </row>
    <row r="631" spans="88:234">
      <c r="HS631" s="13" t="s">
        <v>1369</v>
      </c>
      <c r="HT631" s="15">
        <f>+Hilton!E138</f>
        <v>-263</v>
      </c>
      <c r="HU631" s="15">
        <f>+Hilton!F138</f>
        <v>-274</v>
      </c>
      <c r="HV631" s="15">
        <f>+Hilton!K138</f>
        <v>-269</v>
      </c>
      <c r="HW631" s="15">
        <f>+Hilton!P138</f>
        <v>-287</v>
      </c>
      <c r="HX631" s="15">
        <f>+Hilton!U138</f>
        <v>-293</v>
      </c>
      <c r="HY631" s="15">
        <f>+Hilton!Z138</f>
        <v>-228</v>
      </c>
      <c r="HZ631" s="474">
        <f>+Hilton!AE138</f>
        <v>-221</v>
      </c>
    </row>
    <row r="632" spans="88:234" ht="3.95" customHeight="1">
      <c r="CJ632" s="1546"/>
      <c r="CK632" s="1546"/>
      <c r="CL632" s="1546"/>
      <c r="CM632" s="1546"/>
      <c r="HS632" s="13"/>
      <c r="HT632" s="1565" t="s">
        <v>1367</v>
      </c>
      <c r="HU632" s="1565" t="s">
        <v>1367</v>
      </c>
      <c r="HV632" s="1565" t="s">
        <v>1367</v>
      </c>
      <c r="HW632" s="1565" t="s">
        <v>1367</v>
      </c>
      <c r="HX632" s="1565" t="s">
        <v>1367</v>
      </c>
      <c r="HY632" s="1565" t="s">
        <v>1367</v>
      </c>
      <c r="HZ632" s="1566" t="s">
        <v>1367</v>
      </c>
    </row>
    <row r="633" spans="88:234" s="1546" customFormat="1">
      <c r="CJ633" s="7"/>
      <c r="CK633" s="7"/>
      <c r="CL633" s="7"/>
      <c r="CM633" s="7"/>
      <c r="HS633" s="1054" t="s">
        <v>622</v>
      </c>
      <c r="HT633" s="580">
        <f>+Hilton!E140</f>
        <v>1564</v>
      </c>
      <c r="HU633" s="580">
        <f>+Hilton!F140</f>
        <v>1753</v>
      </c>
      <c r="HV633" s="580">
        <f>+Hilton!K140</f>
        <v>1956</v>
      </c>
      <c r="HW633" s="580">
        <f>+Hilton!P140</f>
        <v>2210</v>
      </c>
      <c r="HX633" s="580">
        <f>+Hilton!U140</f>
        <v>2508</v>
      </c>
      <c r="HY633" s="580">
        <f>+Hilton!Z140</f>
        <v>2879</v>
      </c>
      <c r="HZ633" s="581">
        <f>+Hilton!AE140</f>
        <v>2975</v>
      </c>
    </row>
    <row r="634" spans="88:234" s="7" customFormat="1">
      <c r="HS634" s="1567" t="s">
        <v>1175</v>
      </c>
      <c r="HT634" s="128"/>
      <c r="HU634" s="128">
        <f t="shared" ref="HU634:HZ634" si="8">+HU633/HT633-1</f>
        <v>0.12084398976982103</v>
      </c>
      <c r="HV634" s="128">
        <f t="shared" si="8"/>
        <v>0.11580148317170558</v>
      </c>
      <c r="HW634" s="128">
        <f t="shared" si="8"/>
        <v>0.12985685071574649</v>
      </c>
      <c r="HX634" s="128">
        <f t="shared" si="8"/>
        <v>0.13484162895927598</v>
      </c>
      <c r="HY634" s="128">
        <f t="shared" si="8"/>
        <v>0.14792663476874002</v>
      </c>
      <c r="HZ634" s="786">
        <f t="shared" si="8"/>
        <v>3.3344911427579005E-2</v>
      </c>
    </row>
    <row r="635" spans="88:234" s="7" customFormat="1">
      <c r="HS635" s="1567" t="s">
        <v>1176</v>
      </c>
      <c r="HT635" s="128"/>
      <c r="HU635" s="128">
        <f t="shared" ref="HU635:HZ635" si="9">+HU628/HT628-1</f>
        <v>5.3779069767441845E-2</v>
      </c>
      <c r="HV635" s="128">
        <f t="shared" si="9"/>
        <v>9.3793103448275961E-2</v>
      </c>
      <c r="HW635" s="128">
        <f t="shared" si="9"/>
        <v>0.17150063051702391</v>
      </c>
      <c r="HX635" s="128">
        <f t="shared" si="9"/>
        <v>7.5349838536060254E-2</v>
      </c>
      <c r="HY635" s="128">
        <f>+HY628/HX628-1</f>
        <v>6.5065065065065042E-2</v>
      </c>
      <c r="HZ635" s="786">
        <f t="shared" si="9"/>
        <v>-3.289473684210531E-2</v>
      </c>
    </row>
    <row r="636" spans="88:234" s="7" customFormat="1">
      <c r="HS636" s="1567" t="s">
        <v>1791</v>
      </c>
      <c r="HT636" s="128"/>
      <c r="HU636" s="128">
        <f t="shared" ref="HU636:HZ636" si="10">+HU629/HT629-1</f>
        <v>0.13119834710743805</v>
      </c>
      <c r="HV636" s="128">
        <f t="shared" si="10"/>
        <v>7.7625570776255648E-2</v>
      </c>
      <c r="HW636" s="128">
        <f t="shared" si="10"/>
        <v>7.7118644067796671E-2</v>
      </c>
      <c r="HX636" s="128">
        <f t="shared" si="10"/>
        <v>0.15499606608969319</v>
      </c>
      <c r="HY636" s="128">
        <f t="shared" si="10"/>
        <v>0.15190735694822899</v>
      </c>
      <c r="HZ636" s="786">
        <f t="shared" si="10"/>
        <v>5.6179775280898792E-2</v>
      </c>
    </row>
    <row r="637" spans="88:234" s="7" customFormat="1">
      <c r="HS637" s="1567" t="s">
        <v>1792</v>
      </c>
      <c r="HT637" s="128"/>
      <c r="HU637" s="128">
        <f t="shared" ref="HU637:HZ638" si="11">+HU630/HT630-1</f>
        <v>0.21052631578947367</v>
      </c>
      <c r="HV637" s="128">
        <f t="shared" si="11"/>
        <v>0.21739130434782616</v>
      </c>
      <c r="HW637" s="128">
        <f t="shared" si="11"/>
        <v>0.1785714285714286</v>
      </c>
      <c r="HX637" s="128">
        <f t="shared" si="11"/>
        <v>0.12457912457912457</v>
      </c>
      <c r="HY637" s="128">
        <f t="shared" si="11"/>
        <v>5.3892215568862367E-2</v>
      </c>
      <c r="HZ637" s="786">
        <f t="shared" si="11"/>
        <v>8.2386363636363535E-2</v>
      </c>
    </row>
    <row r="638" spans="88:234" s="7" customFormat="1">
      <c r="HS638" s="1567" t="s">
        <v>1793</v>
      </c>
      <c r="HT638" s="128"/>
      <c r="HU638" s="128">
        <f t="shared" si="11"/>
        <v>4.1825095057034245E-2</v>
      </c>
      <c r="HV638" s="128">
        <f t="shared" si="11"/>
        <v>-1.8248175182481785E-2</v>
      </c>
      <c r="HW638" s="128">
        <f t="shared" si="11"/>
        <v>6.6914498141263934E-2</v>
      </c>
      <c r="HX638" s="128">
        <f t="shared" si="11"/>
        <v>2.0905923344947785E-2</v>
      </c>
      <c r="HY638" s="128">
        <f t="shared" si="11"/>
        <v>-0.22184300341296925</v>
      </c>
      <c r="HZ638" s="786">
        <f t="shared" si="11"/>
        <v>-3.0701754385964897E-2</v>
      </c>
    </row>
    <row r="639" spans="88:234" s="7" customFormat="1">
      <c r="CJ639" s="1573"/>
      <c r="CK639" s="1573"/>
      <c r="CL639" s="1573"/>
      <c r="CM639" s="1573"/>
      <c r="HS639" s="1567"/>
      <c r="HT639" s="128"/>
      <c r="HU639" s="128"/>
      <c r="HV639" s="128"/>
      <c r="HW639" s="128"/>
      <c r="HX639" s="128"/>
      <c r="HY639" s="128"/>
      <c r="HZ639" s="786"/>
    </row>
    <row r="640" spans="88:234" s="1573" customFormat="1">
      <c r="CJ640" s="7"/>
      <c r="CK640" s="7"/>
      <c r="CL640" s="7"/>
      <c r="CM640" s="7"/>
      <c r="HS640" s="1572" t="s">
        <v>396</v>
      </c>
      <c r="HT640" s="1574">
        <f>+Hilton!E60</f>
        <v>128</v>
      </c>
      <c r="HU640" s="1574">
        <f>+Hilton!F60</f>
        <v>253</v>
      </c>
      <c r="HV640" s="1574">
        <f>+Hilton!K60</f>
        <v>352</v>
      </c>
      <c r="HW640" s="1574">
        <f>+Hilton!P60</f>
        <v>415</v>
      </c>
      <c r="HX640" s="1574">
        <f>+Hilton!U60</f>
        <v>673</v>
      </c>
      <c r="HY640" s="1574">
        <f>+Hilton!Z60</f>
        <v>1404</v>
      </c>
      <c r="HZ640" s="1575">
        <f>+Hilton!AE60</f>
        <v>348</v>
      </c>
    </row>
    <row r="641" spans="88:242" s="7" customFormat="1">
      <c r="CJ641" s="3"/>
      <c r="CK641" s="3"/>
      <c r="CL641" s="3"/>
      <c r="CM641" s="3"/>
      <c r="HS641" s="1567" t="s">
        <v>1372</v>
      </c>
      <c r="HT641" s="128"/>
      <c r="HU641" s="128">
        <f t="shared" ref="HU641:HZ641" si="12">+HU640/HT640-1</f>
        <v>0.9765625</v>
      </c>
      <c r="HV641" s="128">
        <f t="shared" si="12"/>
        <v>0.39130434782608692</v>
      </c>
      <c r="HW641" s="128">
        <f t="shared" si="12"/>
        <v>0.17897727272727271</v>
      </c>
      <c r="HX641" s="128">
        <f t="shared" si="12"/>
        <v>0.6216867469879519</v>
      </c>
      <c r="HY641" s="128">
        <f t="shared" si="12"/>
        <v>1.086181277860327</v>
      </c>
      <c r="HZ641" s="786">
        <f t="shared" si="12"/>
        <v>-0.75213675213675213</v>
      </c>
    </row>
    <row r="642" spans="88:242" ht="3.95" customHeight="1">
      <c r="HS642" s="1516"/>
      <c r="HT642" s="6"/>
      <c r="HU642" s="6"/>
      <c r="HV642" s="6"/>
      <c r="HW642" s="6"/>
      <c r="HX642" s="6"/>
      <c r="HY642" s="6"/>
      <c r="HZ642" s="1560"/>
    </row>
    <row r="644" spans="88:242">
      <c r="HY644" s="7">
        <f>(HZ628/HW628)^(1/(2016-2013))-1</f>
        <v>3.4665306447036137E-2</v>
      </c>
    </row>
    <row r="645" spans="88:242">
      <c r="HY645" s="7">
        <f>(HZ629/HW629)^(1/(2016-2013))-1</f>
        <v>0.12007035102443431</v>
      </c>
      <c r="IA645" s="1568" t="s">
        <v>1377</v>
      </c>
      <c r="IB645" s="1569">
        <v>2010</v>
      </c>
      <c r="IC645" s="1569">
        <v>2011</v>
      </c>
      <c r="ID645" s="1569">
        <v>2012</v>
      </c>
      <c r="IE645" s="1570" t="s">
        <v>1815</v>
      </c>
      <c r="IF645" s="1570" t="s">
        <v>901</v>
      </c>
      <c r="IG645" s="1570" t="s">
        <v>902</v>
      </c>
      <c r="IH645" s="1571" t="s">
        <v>42</v>
      </c>
    </row>
    <row r="646" spans="88:242">
      <c r="HY646" s="7">
        <f>(HZ630/HW630)^(1/(2016-2013))-1</f>
        <v>8.6566160513486645E-2</v>
      </c>
      <c r="IA646" s="13" t="s">
        <v>434</v>
      </c>
      <c r="IB646" s="15">
        <f>+Hilton!E187</f>
        <v>199</v>
      </c>
      <c r="IC646" s="15">
        <f>+Hilton!F187</f>
        <v>161</v>
      </c>
      <c r="ID646" s="15">
        <f>+Hilton!K187</f>
        <v>161</v>
      </c>
      <c r="IE646" s="15">
        <f>+Hilton!P187</f>
        <v>155</v>
      </c>
      <c r="IF646" s="15">
        <f>+Hilton!U187</f>
        <v>144</v>
      </c>
      <c r="IG646" s="15">
        <f>+Hilton!Z187</f>
        <v>146</v>
      </c>
      <c r="IH646" s="474">
        <f>+Hilton!AE187</f>
        <v>142</v>
      </c>
    </row>
    <row r="647" spans="88:242">
      <c r="HY647" s="7">
        <f>(HZ631/HW631)^(1/(2016-2013))-1</f>
        <v>-8.3420529630394813E-2</v>
      </c>
      <c r="IA647" s="13"/>
      <c r="IB647" s="15"/>
      <c r="IC647" s="15"/>
      <c r="ID647" s="15"/>
      <c r="IE647" s="15"/>
      <c r="IF647" s="15"/>
      <c r="IG647" s="15"/>
      <c r="IH647" s="474"/>
    </row>
    <row r="648" spans="88:242">
      <c r="HY648" s="7"/>
      <c r="IA648" s="13" t="s">
        <v>2076</v>
      </c>
      <c r="IB648" s="15">
        <f>+Hilton!E202</f>
        <v>67326</v>
      </c>
      <c r="IC648" s="15">
        <f>+Hilton!F202</f>
        <v>62527</v>
      </c>
      <c r="ID648" s="15">
        <f>+Hilton!K202</f>
        <v>62543</v>
      </c>
      <c r="IE648" s="15">
        <f>+Hilton!P202</f>
        <v>61670</v>
      </c>
      <c r="IF648" s="15">
        <f>+Hilton!U202</f>
        <v>58954</v>
      </c>
      <c r="IG648" s="15">
        <f>+Hilton!Z202</f>
        <v>59463</v>
      </c>
      <c r="IH648" s="474">
        <f>+Hilton!AE202</f>
        <v>57716</v>
      </c>
    </row>
    <row r="649" spans="88:242">
      <c r="HY649" s="7">
        <f>(HZ633/HW633)^(1/(2016-2013))-1</f>
        <v>0.10415886963424925</v>
      </c>
      <c r="IA649" s="1567" t="s">
        <v>1372</v>
      </c>
      <c r="IB649" s="128"/>
      <c r="IC649" s="128">
        <f t="shared" ref="IC649:IH649" si="13">+IC648/IB648-1</f>
        <v>-7.128004040043967E-2</v>
      </c>
      <c r="ID649" s="128">
        <f t="shared" si="13"/>
        <v>2.5588945575516497E-4</v>
      </c>
      <c r="IE649" s="128">
        <f t="shared" si="13"/>
        <v>-1.3958396623123259E-2</v>
      </c>
      <c r="IF649" s="128">
        <f t="shared" si="13"/>
        <v>-4.4040862656072655E-2</v>
      </c>
      <c r="IG649" s="128">
        <f t="shared" si="13"/>
        <v>8.6338501204328288E-3</v>
      </c>
      <c r="IH649" s="786">
        <f t="shared" si="13"/>
        <v>-2.9379614213880911E-2</v>
      </c>
    </row>
    <row r="650" spans="88:242">
      <c r="CJ650" s="256"/>
      <c r="CK650" s="256"/>
      <c r="CL650" s="256"/>
      <c r="CM650" s="256"/>
      <c r="IA650" s="13"/>
      <c r="IB650" s="15"/>
      <c r="IC650" s="15"/>
      <c r="ID650" s="15"/>
      <c r="IE650" s="15"/>
      <c r="IF650" s="15"/>
      <c r="IG650" s="15"/>
      <c r="IH650" s="474"/>
    </row>
    <row r="651" spans="88:242" s="256" customFormat="1">
      <c r="IA651" s="1598" t="s">
        <v>1380</v>
      </c>
      <c r="IB651" s="701">
        <f>+Hilton!E208</f>
        <v>0</v>
      </c>
      <c r="IC651" s="701">
        <f>+Hilton!F208</f>
        <v>4.2999999999999997E-2</v>
      </c>
      <c r="ID651" s="701">
        <f>+Hilton!K208</f>
        <v>4.2000000000000003E-2</v>
      </c>
      <c r="IE651" s="701">
        <f>+Hilton!P208</f>
        <v>4.7108949980364079E-2</v>
      </c>
      <c r="IF651" s="701">
        <f>+Hilton!U208</f>
        <v>5.8000000000000052E-2</v>
      </c>
      <c r="IG651" s="701">
        <f>+Hilton!Z208</f>
        <v>4.7750000000000015E-2</v>
      </c>
      <c r="IH651" s="1599">
        <f>+Hilton!AE208</f>
        <v>1.1509127086819504E-3</v>
      </c>
    </row>
    <row r="652" spans="88:242" s="256" customFormat="1">
      <c r="CJ652" s="3"/>
      <c r="CK652" s="3"/>
      <c r="CL652" s="3"/>
      <c r="CM652" s="3"/>
      <c r="IA652" s="1598" t="s">
        <v>1381</v>
      </c>
      <c r="IB652" s="701">
        <f>+Hilton!E223</f>
        <v>0</v>
      </c>
      <c r="IC652" s="701">
        <f>+Hilton!F223</f>
        <v>6.5000000000000002E-2</v>
      </c>
      <c r="ID652" s="701">
        <f>+Hilton!K223</f>
        <v>4.2000000000000003E-2</v>
      </c>
      <c r="IE652" s="701">
        <f>+Hilton!P223</f>
        <v>9.1999999999999998E-2</v>
      </c>
      <c r="IF652" s="701">
        <f>+Hilton!U223</f>
        <v>8.4666666666666668E-2</v>
      </c>
      <c r="IG652" s="701">
        <f>+Hilton!Z223</f>
        <v>7.0000000000000007E-2</v>
      </c>
      <c r="IH652" s="1599">
        <f>+Hilton!AE223</f>
        <v>0.05</v>
      </c>
    </row>
    <row r="653" spans="88:242">
      <c r="CJ653" s="11"/>
      <c r="CK653" s="11"/>
      <c r="CL653" s="11"/>
      <c r="CM653" s="11"/>
      <c r="IA653" s="13"/>
      <c r="IB653" s="15"/>
      <c r="IC653" s="15"/>
      <c r="ID653" s="15"/>
      <c r="IE653" s="15"/>
      <c r="IF653" s="15"/>
      <c r="IG653" s="15"/>
      <c r="IH653" s="474"/>
    </row>
    <row r="654" spans="88:242" s="11" customFormat="1">
      <c r="CJ654" s="3"/>
      <c r="CK654" s="3"/>
      <c r="CL654" s="3"/>
      <c r="CM654" s="3"/>
      <c r="IA654" s="819" t="s">
        <v>1378</v>
      </c>
      <c r="IB654" s="514"/>
      <c r="IC654" s="514"/>
      <c r="ID654" s="514">
        <f>+Hilton!K237</f>
        <v>3136.9326529881728</v>
      </c>
      <c r="IE654" s="514">
        <f>+Hilton!P237</f>
        <v>3257.5146802700001</v>
      </c>
      <c r="IF654" s="514">
        <f>+Hilton!U237</f>
        <v>3385.8493191399998</v>
      </c>
      <c r="IG654" s="514">
        <f>+Hilton!Z237</f>
        <v>3222.3312801400002</v>
      </c>
      <c r="IH654" s="571">
        <f>+Hilton!AE237</f>
        <v>3129.7446131350002</v>
      </c>
    </row>
    <row r="655" spans="88:242">
      <c r="IA655" s="13" t="s">
        <v>1379</v>
      </c>
      <c r="IB655" s="15"/>
      <c r="IC655" s="15"/>
      <c r="ID655" s="15">
        <f>+ID657-ID654</f>
        <v>842.06734701182722</v>
      </c>
      <c r="IE655" s="15">
        <f>+IE657-IE654</f>
        <v>788.4853197299999</v>
      </c>
      <c r="IF655" s="15">
        <f>+IF657-IF654</f>
        <v>853.15068086000019</v>
      </c>
      <c r="IG655" s="15">
        <f>+IG657-IG654</f>
        <v>1010.6687198599998</v>
      </c>
      <c r="IH655" s="474">
        <f>+IH657-IH654</f>
        <v>996.25538686499976</v>
      </c>
    </row>
    <row r="656" spans="88:242" ht="3.95" customHeight="1">
      <c r="CJ656" s="11"/>
      <c r="CK656" s="11"/>
      <c r="CL656" s="11"/>
      <c r="CM656" s="11"/>
      <c r="IA656" s="13"/>
      <c r="IB656" s="15"/>
      <c r="IC656" s="15"/>
      <c r="ID656" s="1565" t="s">
        <v>1367</v>
      </c>
      <c r="IE656" s="1565" t="s">
        <v>1367</v>
      </c>
      <c r="IF656" s="1565" t="s">
        <v>1367</v>
      </c>
      <c r="IG656" s="1565" t="s">
        <v>1367</v>
      </c>
      <c r="IH656" s="1566" t="s">
        <v>1367</v>
      </c>
    </row>
    <row r="657" spans="88:250" s="11" customFormat="1">
      <c r="IA657" s="819" t="s">
        <v>198</v>
      </c>
      <c r="IB657" s="514">
        <f>+Hilton!E249</f>
        <v>3667</v>
      </c>
      <c r="IC657" s="514">
        <f>+Hilton!F249</f>
        <v>3898</v>
      </c>
      <c r="ID657" s="514">
        <f>+Hilton!K249</f>
        <v>3979</v>
      </c>
      <c r="IE657" s="514">
        <f>+Hilton!P249</f>
        <v>4046</v>
      </c>
      <c r="IF657" s="514">
        <f>+Hilton!U249</f>
        <v>4239</v>
      </c>
      <c r="IG657" s="514">
        <f>+Hilton!Z249</f>
        <v>4233</v>
      </c>
      <c r="IH657" s="571">
        <f>+Hilton!AE249</f>
        <v>4126</v>
      </c>
    </row>
    <row r="658" spans="88:250" s="11" customFormat="1">
      <c r="CJ658" s="3"/>
      <c r="CK658" s="3"/>
      <c r="CL658" s="3"/>
      <c r="CM658" s="3"/>
      <c r="IA658" s="1567" t="s">
        <v>1372</v>
      </c>
      <c r="IB658" s="128"/>
      <c r="IC658" s="128">
        <f t="shared" ref="IC658:IH658" si="14">+IC657/IB657-1</f>
        <v>6.2994273247886534E-2</v>
      </c>
      <c r="ID658" s="128">
        <f t="shared" si="14"/>
        <v>2.0779887121600726E-2</v>
      </c>
      <c r="IE658" s="128">
        <f t="shared" si="14"/>
        <v>1.6838401608444409E-2</v>
      </c>
      <c r="IF658" s="128">
        <f t="shared" si="14"/>
        <v>4.7701433514582225E-2</v>
      </c>
      <c r="IG658" s="128">
        <f t="shared" si="14"/>
        <v>-1.4154281670205604E-3</v>
      </c>
      <c r="IH658" s="786">
        <f t="shared" si="14"/>
        <v>-2.5277580911882813E-2</v>
      </c>
    </row>
    <row r="659" spans="88:250">
      <c r="IA659" s="13"/>
      <c r="IB659" s="15"/>
      <c r="IC659" s="15"/>
      <c r="ID659" s="15"/>
      <c r="IE659" s="15"/>
      <c r="IF659" s="15"/>
      <c r="IG659" s="15"/>
      <c r="IH659" s="474"/>
    </row>
    <row r="660" spans="88:250">
      <c r="IA660" s="13" t="s">
        <v>840</v>
      </c>
      <c r="IB660" s="15">
        <f t="shared" ref="IB660:IH660" si="15">+IB662-IB657</f>
        <v>-2979</v>
      </c>
      <c r="IC660" s="15">
        <f t="shared" si="15"/>
        <v>-3173</v>
      </c>
      <c r="ID660" s="15">
        <f t="shared" si="15"/>
        <v>-3186</v>
      </c>
      <c r="IE660" s="15">
        <f t="shared" si="15"/>
        <v>-3117</v>
      </c>
      <c r="IF660" s="15">
        <f t="shared" si="15"/>
        <v>-3240</v>
      </c>
      <c r="IG660" s="15">
        <f t="shared" si="15"/>
        <v>-3169</v>
      </c>
      <c r="IH660" s="474">
        <f t="shared" si="15"/>
        <v>-3097</v>
      </c>
    </row>
    <row r="661" spans="88:250">
      <c r="CJ661" s="11"/>
      <c r="CK661" s="11"/>
      <c r="CL661" s="11"/>
      <c r="CM661" s="11"/>
      <c r="IA661" s="13"/>
      <c r="IB661" s="15"/>
      <c r="IC661" s="15"/>
      <c r="ID661" s="15"/>
      <c r="IE661" s="15"/>
      <c r="IF661" s="15"/>
      <c r="IG661" s="15"/>
      <c r="IH661" s="474"/>
    </row>
    <row r="662" spans="88:250" s="11" customFormat="1">
      <c r="CJ662" s="3"/>
      <c r="CK662" s="3"/>
      <c r="CL662" s="3"/>
      <c r="CM662" s="3"/>
      <c r="IA662" s="819" t="s">
        <v>1794</v>
      </c>
      <c r="IB662" s="514">
        <f>+Hilton!E264</f>
        <v>688</v>
      </c>
      <c r="IC662" s="514">
        <f>+Hilton!F264</f>
        <v>725</v>
      </c>
      <c r="ID662" s="514">
        <f>+Hilton!K264</f>
        <v>793</v>
      </c>
      <c r="IE662" s="514">
        <f>+Hilton!P264</f>
        <v>929</v>
      </c>
      <c r="IF662" s="514">
        <f>+Hilton!U264</f>
        <v>999</v>
      </c>
      <c r="IG662" s="514">
        <f>+Hilton!Z264</f>
        <v>1064</v>
      </c>
      <c r="IH662" s="571">
        <f>+Hilton!AE264</f>
        <v>1029</v>
      </c>
    </row>
    <row r="663" spans="88:250">
      <c r="IA663" s="1567" t="s">
        <v>1372</v>
      </c>
      <c r="IB663" s="128"/>
      <c r="IC663" s="128">
        <f t="shared" ref="IC663:IH663" si="16">+IC662/IB662-1</f>
        <v>5.3779069767441845E-2</v>
      </c>
      <c r="ID663" s="128">
        <f t="shared" si="16"/>
        <v>9.3793103448275961E-2</v>
      </c>
      <c r="IE663" s="128">
        <f t="shared" si="16"/>
        <v>0.17150063051702391</v>
      </c>
      <c r="IF663" s="128">
        <f t="shared" si="16"/>
        <v>7.5349838536060254E-2</v>
      </c>
      <c r="IG663" s="128">
        <f t="shared" si="16"/>
        <v>6.5065065065065042E-2</v>
      </c>
      <c r="IH663" s="786">
        <f t="shared" si="16"/>
        <v>-3.289473684210531E-2</v>
      </c>
    </row>
    <row r="664" spans="88:250">
      <c r="IA664" s="1567" t="s">
        <v>2317</v>
      </c>
      <c r="IB664" s="128">
        <f>+IB662/IB657</f>
        <v>0.18761930733569676</v>
      </c>
      <c r="IC664" s="128">
        <f t="shared" ref="IC664:IH664" si="17">+IC662/IC657</f>
        <v>0.18599281682914315</v>
      </c>
      <c r="ID664" s="128">
        <f t="shared" si="17"/>
        <v>0.19929630560442321</v>
      </c>
      <c r="IE664" s="128">
        <f t="shared" si="17"/>
        <v>0.2296094908551656</v>
      </c>
      <c r="IF664" s="128">
        <f t="shared" si="17"/>
        <v>0.2356687898089172</v>
      </c>
      <c r="IG664" s="128">
        <f t="shared" si="17"/>
        <v>0.25135837467517125</v>
      </c>
      <c r="IH664" s="786">
        <f t="shared" si="17"/>
        <v>0.24939408628211343</v>
      </c>
    </row>
    <row r="665" spans="88:250">
      <c r="IA665" s="1567" t="s">
        <v>1174</v>
      </c>
      <c r="IB665" s="128"/>
      <c r="IC665" s="128">
        <f t="shared" ref="IC665:IH665" si="18">+(IC662-IB662)/(IC657-IB657)</f>
        <v>0.16017316017316016</v>
      </c>
      <c r="ID665" s="128">
        <f t="shared" si="18"/>
        <v>0.83950617283950613</v>
      </c>
      <c r="IE665" s="128">
        <f t="shared" si="18"/>
        <v>2.0298507462686568</v>
      </c>
      <c r="IF665" s="128">
        <f t="shared" si="18"/>
        <v>0.36269430051813473</v>
      </c>
      <c r="IG665" s="128">
        <f t="shared" si="18"/>
        <v>-10.833333333333334</v>
      </c>
      <c r="IH665" s="786">
        <f t="shared" si="18"/>
        <v>0.32710280373831774</v>
      </c>
    </row>
    <row r="666" spans="88:250" ht="3.95" customHeight="1">
      <c r="IA666" s="1516"/>
      <c r="IB666" s="6"/>
      <c r="IC666" s="6"/>
      <c r="ID666" s="6"/>
      <c r="IE666" s="6"/>
      <c r="IF666" s="6"/>
      <c r="IG666" s="6"/>
      <c r="IH666" s="1560"/>
    </row>
    <row r="667" spans="88:250" ht="25.5" customHeight="1">
      <c r="IA667" s="13"/>
      <c r="IB667" s="15"/>
      <c r="IC667" s="15"/>
      <c r="ID667" s="15"/>
      <c r="IE667" s="15"/>
      <c r="IF667" s="15"/>
      <c r="IG667" s="15"/>
      <c r="IH667" s="474"/>
    </row>
    <row r="669" spans="88:250">
      <c r="II669" s="1568" t="s">
        <v>749</v>
      </c>
      <c r="IJ669" s="1569">
        <v>2010</v>
      </c>
      <c r="IK669" s="1569">
        <v>2011</v>
      </c>
      <c r="IL669" s="1569">
        <v>2012</v>
      </c>
      <c r="IM669" s="1570" t="s">
        <v>1815</v>
      </c>
      <c r="IN669" s="1570" t="s">
        <v>901</v>
      </c>
      <c r="IO669" s="1570" t="s">
        <v>902</v>
      </c>
      <c r="IP669" s="1571" t="s">
        <v>42</v>
      </c>
    </row>
    <row r="670" spans="88:250">
      <c r="II670" s="13" t="s">
        <v>76</v>
      </c>
      <c r="IJ670" s="15">
        <f>+Hilton!E327</f>
        <v>408</v>
      </c>
      <c r="IK670" s="15">
        <f>+Hilton!F327</f>
        <v>477</v>
      </c>
      <c r="IL670" s="15">
        <f>+Hilton!K327</f>
        <v>493</v>
      </c>
      <c r="IM670" s="15">
        <f>+Hilton!P327</f>
        <v>540</v>
      </c>
      <c r="IN670" s="15">
        <f>+Hilton!U327</f>
        <v>570</v>
      </c>
      <c r="IO670" s="15">
        <f>+Hilton!Z327</f>
        <v>589</v>
      </c>
      <c r="IP670" s="474">
        <f>+Hilton!AE327</f>
        <v>605</v>
      </c>
    </row>
    <row r="671" spans="88:250">
      <c r="II671" s="13" t="s">
        <v>77</v>
      </c>
      <c r="IJ671" s="15">
        <f>+Hilton!E384</f>
        <v>3102</v>
      </c>
      <c r="IK671" s="15">
        <f>+Hilton!F384</f>
        <v>3205</v>
      </c>
      <c r="IL671" s="15">
        <f>+Hilton!K384</f>
        <v>3312</v>
      </c>
      <c r="IM671" s="15">
        <f>+Hilton!P384</f>
        <v>3420</v>
      </c>
      <c r="IN671" s="15">
        <f>+Hilton!U384</f>
        <v>3608</v>
      </c>
      <c r="IO671" s="15">
        <f>+Hilton!Z384</f>
        <v>3875</v>
      </c>
      <c r="IP671" s="474">
        <f>+Hilton!AE384</f>
        <v>4175</v>
      </c>
    </row>
    <row r="672" spans="88:250">
      <c r="II672" s="13"/>
      <c r="IJ672" s="15"/>
      <c r="IK672" s="15"/>
      <c r="IL672" s="15"/>
      <c r="IM672" s="15"/>
      <c r="IN672" s="15"/>
      <c r="IO672" s="15"/>
      <c r="IP672" s="474"/>
    </row>
    <row r="673" spans="88:250">
      <c r="II673" s="13" t="s">
        <v>78</v>
      </c>
      <c r="IJ673" s="15">
        <f>+Hilton!E331</f>
        <v>121188</v>
      </c>
      <c r="IK673" s="15">
        <f>+Hilton!F331</f>
        <v>134160</v>
      </c>
      <c r="IL673" s="15">
        <f>+Hilton!K331</f>
        <v>139856</v>
      </c>
      <c r="IM673" s="15">
        <f>+Hilton!P331</f>
        <v>150318</v>
      </c>
      <c r="IN673" s="15">
        <f>+Hilton!U331</f>
        <v>160428</v>
      </c>
      <c r="IO673" s="15">
        <f>+Hilton!Z331</f>
        <v>166000</v>
      </c>
      <c r="IP673" s="474">
        <f>+Hilton!AE331</f>
        <v>172977</v>
      </c>
    </row>
    <row r="674" spans="88:250">
      <c r="II674" s="1567" t="s">
        <v>1372</v>
      </c>
      <c r="IJ674" s="128"/>
      <c r="IK674" s="128">
        <f t="shared" ref="IK674:IP674" si="19">+IK673/IJ673-1</f>
        <v>0.10704030101990303</v>
      </c>
      <c r="IL674" s="128">
        <f t="shared" si="19"/>
        <v>4.2456768038163339E-2</v>
      </c>
      <c r="IM674" s="128">
        <f t="shared" si="19"/>
        <v>7.4805514243221571E-2</v>
      </c>
      <c r="IN674" s="128">
        <f t="shared" si="19"/>
        <v>6.7257414281722827E-2</v>
      </c>
      <c r="IO674" s="128">
        <f t="shared" si="19"/>
        <v>3.4732091654823272E-2</v>
      </c>
      <c r="IP674" s="786">
        <f t="shared" si="19"/>
        <v>4.203012048192778E-2</v>
      </c>
    </row>
    <row r="675" spans="88:250">
      <c r="II675" s="13" t="s">
        <v>79</v>
      </c>
      <c r="IJ675" s="15">
        <f>+Hilton!E388</f>
        <v>421120</v>
      </c>
      <c r="IK675" s="15">
        <f>+Hilton!F388</f>
        <v>436551</v>
      </c>
      <c r="IL675" s="15">
        <f>+Hilton!K388</f>
        <v>450558</v>
      </c>
      <c r="IM675" s="15">
        <f>+Hilton!P388</f>
        <v>466642</v>
      </c>
      <c r="IN675" s="15">
        <f>+Hilton!U388</f>
        <v>495680</v>
      </c>
      <c r="IO675" s="15">
        <f>+Hilton!Z388</f>
        <v>533039</v>
      </c>
      <c r="IP675" s="474">
        <f>+Hilton!AE388</f>
        <v>573404</v>
      </c>
    </row>
    <row r="676" spans="88:250">
      <c r="II676" s="1567" t="s">
        <v>1372</v>
      </c>
      <c r="IJ676" s="128"/>
      <c r="IK676" s="128">
        <f t="shared" ref="IK676:IP676" si="20">+IK675/IJ675-1</f>
        <v>3.6642762158054731E-2</v>
      </c>
      <c r="IL676" s="128">
        <f t="shared" si="20"/>
        <v>3.2085598246253122E-2</v>
      </c>
      <c r="IM676" s="128">
        <f t="shared" si="20"/>
        <v>3.5697956755845084E-2</v>
      </c>
      <c r="IN676" s="128">
        <f t="shared" si="20"/>
        <v>6.22275748861012E-2</v>
      </c>
      <c r="IO676" s="128">
        <f t="shared" si="20"/>
        <v>7.536918979987095E-2</v>
      </c>
      <c r="IP676" s="786">
        <f t="shared" si="20"/>
        <v>7.5726166378069948E-2</v>
      </c>
    </row>
    <row r="677" spans="88:250" ht="3.95" customHeight="1">
      <c r="II677" s="13"/>
      <c r="IJ677" s="1565" t="s">
        <v>1367</v>
      </c>
      <c r="IK677" s="1565" t="s">
        <v>1367</v>
      </c>
      <c r="IL677" s="1565" t="s">
        <v>1367</v>
      </c>
      <c r="IM677" s="1565" t="s">
        <v>1367</v>
      </c>
      <c r="IN677" s="1565" t="s">
        <v>1367</v>
      </c>
      <c r="IO677" s="1565" t="s">
        <v>1367</v>
      </c>
      <c r="IP677" s="1566" t="s">
        <v>1367</v>
      </c>
    </row>
    <row r="678" spans="88:250">
      <c r="II678" s="13" t="s">
        <v>1173</v>
      </c>
      <c r="IJ678" s="15">
        <f t="shared" ref="IJ678:IP678" si="21">+IJ675+IJ673</f>
        <v>542308</v>
      </c>
      <c r="IK678" s="15">
        <f t="shared" si="21"/>
        <v>570711</v>
      </c>
      <c r="IL678" s="15">
        <f t="shared" si="21"/>
        <v>590414</v>
      </c>
      <c r="IM678" s="15">
        <f t="shared" si="21"/>
        <v>616960</v>
      </c>
      <c r="IN678" s="15">
        <f t="shared" si="21"/>
        <v>656108</v>
      </c>
      <c r="IO678" s="15">
        <f t="shared" si="21"/>
        <v>699039</v>
      </c>
      <c r="IP678" s="474">
        <f t="shared" si="21"/>
        <v>746381</v>
      </c>
    </row>
    <row r="679" spans="88:250">
      <c r="II679" s="1567" t="s">
        <v>1372</v>
      </c>
      <c r="IJ679" s="128"/>
      <c r="IK679" s="128">
        <f t="shared" ref="IK679:IP679" si="22">+IK678/IJ678-1</f>
        <v>5.2374296525221853E-2</v>
      </c>
      <c r="IL679" s="128">
        <f t="shared" si="22"/>
        <v>3.4523603014485538E-2</v>
      </c>
      <c r="IM679" s="128">
        <f t="shared" si="22"/>
        <v>4.4961670963086897E-2</v>
      </c>
      <c r="IN679" s="128">
        <f t="shared" si="22"/>
        <v>6.3453060165975073E-2</v>
      </c>
      <c r="IO679" s="128">
        <f t="shared" si="22"/>
        <v>6.5432825083675317E-2</v>
      </c>
      <c r="IP679" s="786">
        <f t="shared" si="22"/>
        <v>6.7724404503897384E-2</v>
      </c>
    </row>
    <row r="680" spans="88:250">
      <c r="CJ680" s="7"/>
      <c r="CK680" s="7"/>
      <c r="CL680" s="7"/>
      <c r="CM680" s="7"/>
      <c r="II680" s="13"/>
      <c r="IJ680" s="15"/>
      <c r="IK680" s="15"/>
      <c r="IL680" s="15"/>
      <c r="IM680" s="15"/>
      <c r="IN680" s="15"/>
      <c r="IO680" s="15"/>
      <c r="IP680" s="474"/>
    </row>
    <row r="681" spans="88:250" s="7" customFormat="1">
      <c r="II681" s="646" t="s">
        <v>2171</v>
      </c>
      <c r="IJ681" s="128">
        <f>+Hilton!E317</f>
        <v>5.2999999999999999E-2</v>
      </c>
      <c r="IK681" s="128">
        <f>+Hilton!F317</f>
        <v>6.7000000000000004E-2</v>
      </c>
      <c r="IL681" s="128">
        <f>+Hilton!K317</f>
        <v>6.0999999999999999E-2</v>
      </c>
      <c r="IM681" s="128">
        <f>+Hilton!P317</f>
        <v>5.1999999999999998E-2</v>
      </c>
      <c r="IN681" s="128">
        <f>+Hilton!U317</f>
        <v>7.3999999999999996E-2</v>
      </c>
      <c r="IO681" s="128">
        <f>+Hilton!Z317</f>
        <v>5.1999999999999998E-2</v>
      </c>
      <c r="IP681" s="786">
        <f>+Hilton!AE317</f>
        <v>1.9E-2</v>
      </c>
    </row>
    <row r="682" spans="88:250" s="7" customFormat="1">
      <c r="II682" s="646" t="s">
        <v>424</v>
      </c>
      <c r="IJ682" s="128">
        <f>+Hilton!E318</f>
        <v>7.0000000000000062E-2</v>
      </c>
      <c r="IK682" s="128">
        <f>+Hilton!F318</f>
        <v>7.9160496294379934E-2</v>
      </c>
      <c r="IL682" s="128">
        <f>+Hilton!K318</f>
        <v>1.4066586398332914E-2</v>
      </c>
      <c r="IM682" s="128">
        <f>+Hilton!P318</f>
        <v>1.7678841071379514E-2</v>
      </c>
      <c r="IN682" s="128">
        <f>+Hilton!U318</f>
        <v>6.4951401364892858E-2</v>
      </c>
      <c r="IO682" s="128">
        <f>+Hilton!Z318</f>
        <v>5.1694213664527311E-2</v>
      </c>
      <c r="IP682" s="786">
        <f>+Hilton!AE318</f>
        <v>1.7310952464866247E-2</v>
      </c>
    </row>
    <row r="683" spans="88:250" s="7" customFormat="1">
      <c r="II683" s="646" t="s">
        <v>2218</v>
      </c>
      <c r="IJ683" s="128">
        <f>+Hilton!E319</f>
        <v>7.6000000000000068E-2</v>
      </c>
      <c r="IK683" s="128">
        <f>+Hilton!F319</f>
        <v>9.0906817053286959E-2</v>
      </c>
      <c r="IL683" s="128">
        <f>+Hilton!K319</f>
        <v>-7.9296957472282492E-2</v>
      </c>
      <c r="IM683" s="128">
        <f>+Hilton!P319</f>
        <v>3.8195523159392897E-2</v>
      </c>
      <c r="IN683" s="128">
        <f>+Hilton!U319</f>
        <v>6.0999999999999943E-2</v>
      </c>
      <c r="IO683" s="128">
        <f>+Hilton!Z319</f>
        <v>6.0999999999999943E-2</v>
      </c>
      <c r="IP683" s="786">
        <f>+Hilton!AE319</f>
        <v>1.0999999999999999E-2</v>
      </c>
    </row>
    <row r="684" spans="88:250" s="7" customFormat="1">
      <c r="II684" s="646" t="s">
        <v>209</v>
      </c>
      <c r="IJ684" s="128">
        <f>+Hilton!E320</f>
        <v>5.8000000000000052E-2</v>
      </c>
      <c r="IK684" s="128">
        <f>+Hilton!F320</f>
        <v>-1.4955882673934551E-2</v>
      </c>
      <c r="IL684" s="128">
        <f>+Hilton!K320</f>
        <v>-7.386806625897091E-2</v>
      </c>
      <c r="IM684" s="128">
        <f>+Hilton!P320</f>
        <v>-3.7564832034553408E-3</v>
      </c>
      <c r="IN684" s="128">
        <f>+Hilton!U320</f>
        <v>4.4000000000000039E-2</v>
      </c>
      <c r="IO684" s="128">
        <f>+Hilton!Z320</f>
        <v>1.6999999999999904E-2</v>
      </c>
      <c r="IP684" s="786">
        <f>+Hilton!AE320</f>
        <v>-1.4999999999999999E-2</v>
      </c>
    </row>
    <row r="685" spans="88:250" s="7" customFormat="1">
      <c r="II685" s="646" t="s">
        <v>1688</v>
      </c>
      <c r="IJ685" s="128">
        <f>+Hilton!E321</f>
        <v>9.2999999999999972E-2</v>
      </c>
      <c r="IK685" s="128">
        <f>+Hilton!F321</f>
        <v>0.10765333655084919</v>
      </c>
      <c r="IL685" s="128">
        <f>+Hilton!K321</f>
        <v>-6.231014919235367E-2</v>
      </c>
      <c r="IM685" s="128">
        <f>+Hilton!P321</f>
        <v>-3.6272514619235641E-2</v>
      </c>
      <c r="IN685" s="128">
        <f>+Hilton!U321</f>
        <v>4.8999999999999932E-2</v>
      </c>
      <c r="IO685" s="128">
        <f>+Hilton!Z321</f>
        <v>9.2999999999999972E-2</v>
      </c>
      <c r="IP685" s="786">
        <f>+Hilton!AE321</f>
        <v>3.5000000000000003E-2</v>
      </c>
    </row>
    <row r="686" spans="88:250" s="7" customFormat="1">
      <c r="CJ686" s="3"/>
      <c r="CK686" s="3"/>
      <c r="CL686" s="3"/>
      <c r="CM686" s="3"/>
      <c r="II686" s="646" t="s">
        <v>1247</v>
      </c>
      <c r="IJ686" s="128">
        <f>+Hilton!E322</f>
        <v>5.8000000000000003E-2</v>
      </c>
      <c r="IK686" s="128">
        <f>+Hilton!F322</f>
        <v>5.8999999999999997E-2</v>
      </c>
      <c r="IL686" s="128">
        <f>+Hilton!K322</f>
        <v>5.7000000000000002E-2</v>
      </c>
      <c r="IM686" s="128">
        <f>+Hilton!P322</f>
        <v>5.1999999999999998E-2</v>
      </c>
      <c r="IN686" s="128">
        <f>+Hilton!U322</f>
        <v>7.0999999999999994E-2</v>
      </c>
      <c r="IO686" s="128">
        <f>+Hilton!Z322</f>
        <v>5.3999999999999999E-2</v>
      </c>
      <c r="IP686" s="786">
        <f>+Hilton!AE322</f>
        <v>1.7999999999999999E-2</v>
      </c>
    </row>
    <row r="687" spans="88:250">
      <c r="II687" s="13"/>
      <c r="IJ687" s="15"/>
      <c r="IK687" s="15"/>
      <c r="IL687" s="15"/>
      <c r="IM687" s="15"/>
      <c r="IN687" s="15"/>
      <c r="IO687" s="15"/>
      <c r="IP687" s="474"/>
    </row>
    <row r="688" spans="88:250">
      <c r="II688" s="878" t="s">
        <v>592</v>
      </c>
      <c r="IJ688" s="514">
        <f>+Hilton!E275</f>
        <v>261</v>
      </c>
      <c r="IK688" s="514">
        <f>+Hilton!F275</f>
        <v>271</v>
      </c>
      <c r="IL688" s="514">
        <f>+Hilton!K275</f>
        <v>289</v>
      </c>
      <c r="IM688" s="514">
        <f>+Hilton!P275</f>
        <v>299</v>
      </c>
      <c r="IN688" s="514">
        <f>+Hilton!U275</f>
        <v>331</v>
      </c>
      <c r="IO688" s="514">
        <f>+Hilton!Z275</f>
        <v>347</v>
      </c>
      <c r="IP688" s="571">
        <f>+Hilton!AE275</f>
        <v>354</v>
      </c>
    </row>
    <row r="689" spans="243:256">
      <c r="II689" s="879" t="s">
        <v>17</v>
      </c>
      <c r="IJ689" s="15">
        <f>+Hilton!E276</f>
        <v>92</v>
      </c>
      <c r="IK689" s="15">
        <f>+Hilton!F276</f>
        <v>104</v>
      </c>
      <c r="IL689" s="15">
        <f>+Hilton!K276</f>
        <v>112</v>
      </c>
      <c r="IM689" s="15">
        <f>+Hilton!P276</f>
        <v>114</v>
      </c>
      <c r="IN689" s="15">
        <f>+Hilton!U276</f>
        <v>137</v>
      </c>
      <c r="IO689" s="15">
        <f>+Hilton!Z276</f>
        <v>148</v>
      </c>
      <c r="IP689" s="474">
        <f>+Hilton!AE276</f>
        <v>155</v>
      </c>
    </row>
    <row r="690" spans="243:256">
      <c r="II690" s="764" t="s">
        <v>2156</v>
      </c>
      <c r="IJ690" s="15">
        <f>+Hilton!E277</f>
        <v>353</v>
      </c>
      <c r="IK690" s="15">
        <f>+Hilton!F277</f>
        <v>375</v>
      </c>
      <c r="IL690" s="15">
        <f>+Hilton!K277</f>
        <v>401</v>
      </c>
      <c r="IM690" s="15">
        <f>+Hilton!P277</f>
        <v>413</v>
      </c>
      <c r="IN690" s="15">
        <f>+Hilton!U277</f>
        <v>468</v>
      </c>
      <c r="IO690" s="15">
        <f>+Hilton!Z277</f>
        <v>495</v>
      </c>
      <c r="IP690" s="474">
        <f>+Hilton!AE277</f>
        <v>509</v>
      </c>
    </row>
    <row r="691" spans="243:256">
      <c r="II691" s="879" t="s">
        <v>1719</v>
      </c>
      <c r="IJ691" s="15">
        <f>+Hilton!E278</f>
        <v>585</v>
      </c>
      <c r="IK691" s="15">
        <f>+Hilton!F278</f>
        <v>671</v>
      </c>
      <c r="IL691" s="15">
        <f>+Hilton!K278</f>
        <v>749</v>
      </c>
      <c r="IM691" s="15">
        <f>+Hilton!P278</f>
        <v>829</v>
      </c>
      <c r="IN691" s="15">
        <f>+Hilton!U278</f>
        <v>971</v>
      </c>
      <c r="IO691" s="15">
        <f>+Hilton!Z278</f>
        <v>1165</v>
      </c>
      <c r="IP691" s="474">
        <f>+Hilton!AE278</f>
        <v>1237</v>
      </c>
    </row>
    <row r="692" spans="243:256">
      <c r="II692" s="764" t="s">
        <v>1382</v>
      </c>
      <c r="IJ692" s="15">
        <f>+Hilton!E279</f>
        <v>938</v>
      </c>
      <c r="IK692" s="15">
        <f>+Hilton!F279</f>
        <v>1046</v>
      </c>
      <c r="IL692" s="15">
        <f>+Hilton!K279</f>
        <v>1150</v>
      </c>
      <c r="IM692" s="15">
        <f>+Hilton!P279</f>
        <v>1242</v>
      </c>
      <c r="IN692" s="15">
        <f>+Hilton!U279</f>
        <v>1439</v>
      </c>
      <c r="IO692" s="15">
        <f>+Hilton!Z279</f>
        <v>1660</v>
      </c>
      <c r="IP692" s="474">
        <f>+Hilton!AE279</f>
        <v>1746</v>
      </c>
    </row>
    <row r="693" spans="243:256">
      <c r="II693" s="878" t="s">
        <v>614</v>
      </c>
      <c r="IJ693" s="15">
        <f>+Hilton!E280</f>
        <v>30</v>
      </c>
      <c r="IK693" s="15">
        <f>+Hilton!F280</f>
        <v>49</v>
      </c>
      <c r="IL693" s="15">
        <f>+Hilton!K280</f>
        <v>30</v>
      </c>
      <c r="IM693" s="15">
        <f>+Hilton!P280</f>
        <v>29</v>
      </c>
      <c r="IN693" s="15">
        <f>+Hilton!U280</f>
        <v>29</v>
      </c>
      <c r="IO693" s="15">
        <f>+Hilton!Z280</f>
        <v>31</v>
      </c>
      <c r="IP693" s="474">
        <f>+Hilton!AE280</f>
        <v>40</v>
      </c>
    </row>
    <row r="694" spans="243:256" ht="3.95" customHeight="1">
      <c r="II694" s="13"/>
      <c r="IJ694" s="1565" t="s">
        <v>1367</v>
      </c>
      <c r="IK694" s="1565" t="s">
        <v>1367</v>
      </c>
      <c r="IL694" s="1565" t="s">
        <v>1367</v>
      </c>
      <c r="IM694" s="1565" t="s">
        <v>1367</v>
      </c>
      <c r="IN694" s="1565" t="s">
        <v>1367</v>
      </c>
      <c r="IO694" s="1565" t="s">
        <v>1367</v>
      </c>
      <c r="IP694" s="1566" t="s">
        <v>1367</v>
      </c>
    </row>
    <row r="695" spans="243:256">
      <c r="II695" s="497" t="s">
        <v>767</v>
      </c>
      <c r="IJ695" s="514">
        <f>+Hilton!E281</f>
        <v>968</v>
      </c>
      <c r="IK695" s="514">
        <f>+Hilton!F281</f>
        <v>1095</v>
      </c>
      <c r="IL695" s="514">
        <f>+Hilton!K281</f>
        <v>1180</v>
      </c>
      <c r="IM695" s="514">
        <f>+Hilton!P281</f>
        <v>1271</v>
      </c>
      <c r="IN695" s="514">
        <f>+Hilton!U281</f>
        <v>1468</v>
      </c>
      <c r="IO695" s="514">
        <f>+Hilton!Z281</f>
        <v>1691</v>
      </c>
      <c r="IP695" s="571">
        <f>+Hilton!AE281</f>
        <v>1786</v>
      </c>
    </row>
    <row r="696" spans="243:256">
      <c r="II696" s="1567" t="s">
        <v>1372</v>
      </c>
      <c r="IJ696" s="128"/>
      <c r="IK696" s="128">
        <f t="shared" ref="IK696:IP696" si="23">+IK695/IJ695-1</f>
        <v>0.13119834710743805</v>
      </c>
      <c r="IL696" s="128">
        <f t="shared" si="23"/>
        <v>7.7625570776255648E-2</v>
      </c>
      <c r="IM696" s="128">
        <f t="shared" si="23"/>
        <v>7.7118644067796671E-2</v>
      </c>
      <c r="IN696" s="128">
        <f t="shared" si="23"/>
        <v>0.15499606608969319</v>
      </c>
      <c r="IO696" s="128">
        <f t="shared" si="23"/>
        <v>0.15190735694822899</v>
      </c>
      <c r="IP696" s="786">
        <f t="shared" si="23"/>
        <v>5.6179775280898792E-2</v>
      </c>
    </row>
    <row r="697" spans="243:256" ht="3.95" customHeight="1">
      <c r="II697" s="1516"/>
      <c r="IJ697" s="6"/>
      <c r="IK697" s="6"/>
      <c r="IL697" s="6"/>
      <c r="IM697" s="6"/>
      <c r="IN697" s="6"/>
      <c r="IO697" s="6"/>
      <c r="IP697" s="1560"/>
    </row>
    <row r="699" spans="243:256">
      <c r="IQ699" s="1860" t="s">
        <v>1625</v>
      </c>
    </row>
    <row r="700" spans="243:256">
      <c r="IQ700" s="230" t="s">
        <v>174</v>
      </c>
      <c r="IR700" s="805" t="s">
        <v>1622</v>
      </c>
      <c r="IS700" s="805" t="s">
        <v>1750</v>
      </c>
      <c r="IT700" s="805" t="s">
        <v>1694</v>
      </c>
      <c r="IU700" s="805" t="s">
        <v>1752</v>
      </c>
      <c r="IV700" s="805" t="s">
        <v>879</v>
      </c>
    </row>
    <row r="701" spans="243:256">
      <c r="IQ701" s="3" t="s">
        <v>1449</v>
      </c>
      <c r="IS701" s="3">
        <f>AF104</f>
        <v>1271</v>
      </c>
    </row>
    <row r="702" spans="243:256">
      <c r="IQ702" s="3" t="s">
        <v>1483</v>
      </c>
      <c r="IS702" s="3">
        <f>AF105</f>
        <v>4046</v>
      </c>
    </row>
    <row r="703" spans="243:256">
      <c r="IQ703" s="1735" t="s">
        <v>1580</v>
      </c>
      <c r="IR703" s="6"/>
      <c r="IS703" s="6">
        <f>AF106</f>
        <v>1109</v>
      </c>
      <c r="IT703" s="6"/>
      <c r="IU703" s="1839"/>
      <c r="IV703" s="1461"/>
    </row>
    <row r="704" spans="243:256">
      <c r="IQ704" s="3" t="s">
        <v>1687</v>
      </c>
      <c r="IS704" s="3">
        <f>SUM(IS701:IS703)</f>
        <v>6426</v>
      </c>
    </row>
    <row r="706" spans="251:256">
      <c r="IQ706" s="230" t="s">
        <v>1228</v>
      </c>
      <c r="IR706" s="6"/>
      <c r="IS706" s="230"/>
      <c r="IT706" s="230"/>
      <c r="IU706" s="230"/>
      <c r="IV706" s="230"/>
    </row>
    <row r="707" spans="251:256">
      <c r="IQ707" s="3" t="s">
        <v>1449</v>
      </c>
      <c r="IS707" s="3">
        <f>AG104</f>
        <v>1271</v>
      </c>
    </row>
    <row r="708" spans="251:256">
      <c r="IQ708" s="3" t="s">
        <v>1483</v>
      </c>
      <c r="IS708" s="3">
        <f>AG105</f>
        <v>929</v>
      </c>
    </row>
    <row r="709" spans="251:256">
      <c r="IQ709" s="1735" t="s">
        <v>1580</v>
      </c>
      <c r="IR709" s="6"/>
      <c r="IS709" s="6">
        <f>AG106</f>
        <v>297</v>
      </c>
      <c r="IT709" s="6"/>
      <c r="IU709" s="1839"/>
      <c r="IV709" s="1461"/>
    </row>
    <row r="710" spans="251:256">
      <c r="IQ710" s="3" t="s">
        <v>1687</v>
      </c>
      <c r="IS710" s="3">
        <f>SUM(IS707:IS709)</f>
        <v>2497</v>
      </c>
    </row>
    <row r="711" spans="251:256" ht="13.5" thickBot="1"/>
    <row r="712" spans="251:256">
      <c r="IQ712" s="230" t="s">
        <v>174</v>
      </c>
      <c r="IR712" s="805"/>
      <c r="IS712" s="1810" t="str">
        <f>IS700</f>
        <v>HLT</v>
      </c>
      <c r="IT712" s="805"/>
      <c r="IU712" s="805"/>
      <c r="IV712" s="805"/>
    </row>
    <row r="713" spans="251:256">
      <c r="IQ713" s="3" t="s">
        <v>1449</v>
      </c>
      <c r="IR713" s="1463"/>
      <c r="IS713" s="1811">
        <f>IS701/IS$704</f>
        <v>0.19779022720199191</v>
      </c>
      <c r="IT713" s="1463"/>
      <c r="IU713" s="1463"/>
      <c r="IV713" s="1463"/>
    </row>
    <row r="714" spans="251:256">
      <c r="IQ714" s="129" t="s">
        <v>1483</v>
      </c>
      <c r="IR714" s="1816"/>
      <c r="IS714" s="1817">
        <f>IS702/IS$704</f>
        <v>0.62962962962962965</v>
      </c>
      <c r="IT714" s="1816"/>
      <c r="IU714" s="1816"/>
      <c r="IV714" s="1816"/>
    </row>
    <row r="715" spans="251:256">
      <c r="IQ715" s="6" t="str">
        <f>IQ703</f>
        <v>Timeshare / Other</v>
      </c>
      <c r="IR715" s="1601"/>
      <c r="IS715" s="1812">
        <f>IS703/IS$704</f>
        <v>0.17258014316837847</v>
      </c>
      <c r="IT715" s="1601"/>
      <c r="IU715" s="1601"/>
      <c r="IV715" s="1601"/>
    </row>
    <row r="716" spans="251:256">
      <c r="IQ716" s="3" t="s">
        <v>1687</v>
      </c>
      <c r="IR716" s="1463"/>
      <c r="IS716" s="1811">
        <f>SUM(IS713:IS715)</f>
        <v>1</v>
      </c>
      <c r="IT716" s="1463"/>
      <c r="IU716" s="1463"/>
      <c r="IV716" s="1463"/>
    </row>
    <row r="717" spans="251:256">
      <c r="IS717" s="1813"/>
    </row>
    <row r="718" spans="251:256">
      <c r="IQ718" s="230" t="s">
        <v>1228</v>
      </c>
      <c r="IR718" s="805"/>
      <c r="IS718" s="1814" t="str">
        <f>IS712</f>
        <v>HLT</v>
      </c>
      <c r="IT718" s="805"/>
      <c r="IU718" s="805"/>
      <c r="IV718" s="805"/>
    </row>
    <row r="719" spans="251:256">
      <c r="IQ719" s="3" t="s">
        <v>1449</v>
      </c>
      <c r="IR719" s="1463"/>
      <c r="IS719" s="1811">
        <f>IS707/IS$710</f>
        <v>0.50901081297557071</v>
      </c>
      <c r="IT719" s="1463"/>
      <c r="IU719" s="1463"/>
      <c r="IV719" s="1463"/>
    </row>
    <row r="720" spans="251:256">
      <c r="IQ720" s="129" t="s">
        <v>1483</v>
      </c>
      <c r="IR720" s="1816"/>
      <c r="IS720" s="1817">
        <f>IS708/IS$710</f>
        <v>0.37204645574689627</v>
      </c>
      <c r="IT720" s="1816"/>
      <c r="IU720" s="1816"/>
      <c r="IV720" s="1816"/>
    </row>
    <row r="721" spans="251:256">
      <c r="IQ721" s="6" t="str">
        <f>IQ709</f>
        <v>Timeshare / Other</v>
      </c>
      <c r="IR721" s="1601"/>
      <c r="IS721" s="1812">
        <f>IS709/IS$710</f>
        <v>0.11894273127753303</v>
      </c>
      <c r="IT721" s="1601"/>
      <c r="IU721" s="1861"/>
      <c r="IV721" s="1601"/>
    </row>
    <row r="722" spans="251:256" ht="13.5" thickBot="1">
      <c r="IQ722" s="3" t="s">
        <v>1687</v>
      </c>
      <c r="IR722" s="1463"/>
      <c r="IS722" s="1815">
        <f>SUM(IS719:IS721)</f>
        <v>1</v>
      </c>
      <c r="IT722" s="1463"/>
      <c r="IU722" s="1463"/>
      <c r="IV722" s="1463"/>
    </row>
  </sheetData>
  <sortState ref="IX726:IY731">
    <sortCondition ref="IY725:IY730"/>
  </sortState>
  <phoneticPr fontId="12" type="noConversion"/>
  <pageMargins left="0.75" right="0.75" top="1" bottom="1" header="0.5" footer="0.5"/>
  <pageSetup orientation="portrait" r:id="rId1"/>
  <headerFooter alignWithMargins="0"/>
  <ignoredErrors>
    <ignoredError sqref="BL187" formulaRange="1"/>
  </ignoredErrors>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24"/>
    <pageSetUpPr autoPageBreaks="0"/>
  </sheetPr>
  <dimension ref="A1:F14"/>
  <sheetViews>
    <sheetView showGridLines="0" showZeros="0" zoomScale="150" workbookViewId="0"/>
  </sheetViews>
  <sheetFormatPr defaultRowHeight="15.75"/>
  <cols>
    <col min="1" max="1" width="19.375" style="1865" customWidth="1"/>
    <col min="2" max="6" width="11.125" style="1865" customWidth="1"/>
    <col min="7" max="7" width="9" style="1865"/>
    <col min="8" max="8" width="5" style="1865" customWidth="1"/>
    <col min="9" max="16384" width="9" style="1865"/>
  </cols>
  <sheetData>
    <row r="1" spans="1:6">
      <c r="A1" s="1863"/>
      <c r="B1" s="1863"/>
      <c r="C1" s="4148" t="s">
        <v>506</v>
      </c>
      <c r="D1" s="1863"/>
      <c r="E1" s="1864"/>
      <c r="F1" s="1864"/>
    </row>
    <row r="2" spans="1:6">
      <c r="A2" s="1866"/>
      <c r="B2" s="1866"/>
      <c r="C2" s="4148"/>
      <c r="D2" s="1866"/>
      <c r="E2" s="1864"/>
      <c r="F2" s="1864"/>
    </row>
    <row r="3" spans="1:6">
      <c r="A3" s="1867"/>
      <c r="B3" s="1868"/>
      <c r="C3" s="4148"/>
      <c r="D3" s="1868"/>
      <c r="E3" s="1864"/>
      <c r="F3" s="1864"/>
    </row>
    <row r="4" spans="1:6">
      <c r="A4" s="1863"/>
      <c r="B4" s="1863"/>
      <c r="C4" s="4149"/>
      <c r="D4" s="1863"/>
      <c r="E4" s="1864"/>
      <c r="F4" s="1864"/>
    </row>
    <row r="5" spans="1:6" ht="23.25">
      <c r="A5" s="1869" t="s">
        <v>507</v>
      </c>
      <c r="B5" s="1870" t="s">
        <v>508</v>
      </c>
      <c r="C5" s="1871" t="s">
        <v>509</v>
      </c>
      <c r="D5" s="1870" t="s">
        <v>214</v>
      </c>
      <c r="E5" s="1870" t="s">
        <v>510</v>
      </c>
      <c r="F5" s="1872" t="s">
        <v>511</v>
      </c>
    </row>
    <row r="6" spans="1:6" ht="23.25">
      <c r="A6" s="1873" t="s">
        <v>512</v>
      </c>
      <c r="B6" s="1874">
        <f ca="1">'PT Impact'!B68</f>
        <v>48.79752943755463</v>
      </c>
      <c r="C6" s="1875">
        <f ca="1">B6</f>
        <v>48.79752943755463</v>
      </c>
      <c r="D6" s="1876">
        <f ca="1">B10</f>
        <v>83.521735746698837</v>
      </c>
      <c r="E6" s="1877"/>
      <c r="F6" s="1878"/>
    </row>
    <row r="7" spans="1:6">
      <c r="A7" s="1879" t="s">
        <v>2446</v>
      </c>
      <c r="B7" s="1880"/>
      <c r="C7" s="1881">
        <f>-('PT Impact'!H36+'PT Impact'!H41)</f>
        <v>5.6652199454107937</v>
      </c>
      <c r="D7" s="1882">
        <f t="shared" ref="D7:D14" ca="1" si="0">$D$6</f>
        <v>83.521735746698837</v>
      </c>
      <c r="E7" s="1882">
        <f ca="1">SUM(OFFSET(E7,-1,0,1,1),OFFSET(E7,-1,-2,1,1))</f>
        <v>48.79752943755463</v>
      </c>
      <c r="F7" s="1883">
        <f>C7</f>
        <v>5.6652199454107937</v>
      </c>
    </row>
    <row r="8" spans="1:6">
      <c r="A8" s="1879" t="s">
        <v>2347</v>
      </c>
      <c r="B8" s="1884"/>
      <c r="C8" s="1881">
        <f>-('PT Impact'!H44+'PT Impact'!H47)</f>
        <v>-0.29234142608695651</v>
      </c>
      <c r="D8" s="1882">
        <f t="shared" ca="1" si="0"/>
        <v>83.521735746698837</v>
      </c>
      <c r="E8" s="1882">
        <f ca="1">SUM(OFFSET(E8,-1,0,1,1),OFFSET(E8,-1,-2,1,1))</f>
        <v>54.462749382965427</v>
      </c>
      <c r="F8" s="1883">
        <f>C8</f>
        <v>-0.29234142608695651</v>
      </c>
    </row>
    <row r="9" spans="1:6">
      <c r="A9" s="1879" t="s">
        <v>513</v>
      </c>
      <c r="B9" s="1884"/>
      <c r="C9" s="1881">
        <f ca="1">-'PT Impact'!H49</f>
        <v>29.351327789820367</v>
      </c>
      <c r="D9" s="1882">
        <f t="shared" ca="1" si="0"/>
        <v>83.521735746698837</v>
      </c>
      <c r="E9" s="1882">
        <f ca="1">SUM(OFFSET(E9,-1,0,1,1),OFFSET(E9,-1,-2,1,1))</f>
        <v>54.170407956878471</v>
      </c>
      <c r="F9" s="1883">
        <f ca="1">C9</f>
        <v>29.351327789820367</v>
      </c>
    </row>
    <row r="10" spans="1:6" ht="23.25">
      <c r="A10" s="1885" t="s">
        <v>514</v>
      </c>
      <c r="B10" s="1886">
        <f ca="1">'PT Impact'!B67</f>
        <v>83.521735746698837</v>
      </c>
      <c r="C10" s="1887"/>
      <c r="D10" s="1886">
        <f ca="1">B10</f>
        <v>83.521735746698837</v>
      </c>
      <c r="E10" s="1888"/>
      <c r="F10" s="1889"/>
    </row>
    <row r="11" spans="1:6">
      <c r="A11" s="1879" t="s">
        <v>2447</v>
      </c>
      <c r="B11" s="1890"/>
      <c r="C11" s="1891">
        <f>'PT Impact'!H12+'PT Impact'!H17</f>
        <v>5.2429537914453936</v>
      </c>
      <c r="D11" s="1886">
        <f t="shared" ca="1" si="0"/>
        <v>83.521735746698837</v>
      </c>
      <c r="E11" s="1886">
        <f ca="1">SUM(OFFSET(E11,-1,-3,1,1))</f>
        <v>83.521735746698837</v>
      </c>
      <c r="F11" s="1889">
        <f>C11</f>
        <v>5.2429537914453936</v>
      </c>
    </row>
    <row r="12" spans="1:6">
      <c r="A12" s="1879" t="s">
        <v>331</v>
      </c>
      <c r="B12" s="1890"/>
      <c r="C12" s="1891">
        <f>'PT Impact'!H20+'PT Impact'!H23</f>
        <v>-0.29234142608695651</v>
      </c>
      <c r="D12" s="1886">
        <f t="shared" ca="1" si="0"/>
        <v>83.521735746698837</v>
      </c>
      <c r="E12" s="1886">
        <f ca="1">SUM(OFFSET(E12,-1,0,1,1),OFFSET(E12,-1,-2,1,1))</f>
        <v>88.764689538144225</v>
      </c>
      <c r="F12" s="1889">
        <f>C12</f>
        <v>-0.29234142608695651</v>
      </c>
    </row>
    <row r="13" spans="1:6">
      <c r="A13" s="1879" t="s">
        <v>1885</v>
      </c>
      <c r="B13" s="1890"/>
      <c r="C13" s="1891">
        <f ca="1">'PT Impact'!H27</f>
        <v>19.612362166048054</v>
      </c>
      <c r="D13" s="1886">
        <f t="shared" ca="1" si="0"/>
        <v>83.521735746698837</v>
      </c>
      <c r="E13" s="1886">
        <f ca="1">SUM(OFFSET(E13,-1,0,1,1),OFFSET(E13,-1,-2,1,1))</f>
        <v>88.472348112057261</v>
      </c>
      <c r="F13" s="1889">
        <f ca="1">C13</f>
        <v>19.612362166048054</v>
      </c>
    </row>
    <row r="14" spans="1:6" ht="23.25">
      <c r="A14" s="1892" t="s">
        <v>515</v>
      </c>
      <c r="B14" s="1893">
        <f ca="1">'PT Impact'!B66</f>
        <v>108.08471027810533</v>
      </c>
      <c r="C14" s="1894"/>
      <c r="D14" s="1894">
        <f t="shared" ca="1" si="0"/>
        <v>83.521735746698837</v>
      </c>
      <c r="E14" s="1895"/>
      <c r="F14" s="1896"/>
    </row>
  </sheetData>
  <mergeCells count="1">
    <mergeCell ref="C1:C4"/>
  </mergeCells>
  <phoneticPr fontId="95" type="noConversion"/>
  <pageMargins left="0.75" right="0.75" top="1" bottom="1" header="0.5" footer="0.5"/>
  <pageSetup orientation="landscape" horizontalDpi="1200" verticalDpi="12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40"/>
  <sheetViews>
    <sheetView zoomScale="85" workbookViewId="0">
      <selection activeCell="K8" sqref="K8"/>
    </sheetView>
  </sheetViews>
  <sheetFormatPr defaultColWidth="7" defaultRowHeight="15.75"/>
  <cols>
    <col min="1" max="1" width="21" style="1611" customWidth="1"/>
    <col min="2" max="2" width="9.125" style="1611" customWidth="1"/>
    <col min="3" max="3" width="2.625" style="1611" customWidth="1"/>
    <col min="4" max="9" width="9.125" style="1611" customWidth="1"/>
    <col min="10" max="10" width="9.125" customWidth="1"/>
    <col min="11" max="13" width="9.125" style="1611" customWidth="1"/>
    <col min="14" max="16384" width="7" style="1611"/>
  </cols>
  <sheetData>
    <row r="1" spans="1:13">
      <c r="A1" s="1610" t="s">
        <v>1498</v>
      </c>
      <c r="C1" s="1610"/>
    </row>
    <row r="2" spans="1:13">
      <c r="A2" s="1612" t="s">
        <v>763</v>
      </c>
      <c r="C2" s="1612"/>
    </row>
    <row r="4" spans="1:13">
      <c r="A4" s="1613" t="s">
        <v>1484</v>
      </c>
      <c r="C4" s="1613"/>
    </row>
    <row r="7" spans="1:13" ht="12.75">
      <c r="A7" s="1614" t="s">
        <v>1501</v>
      </c>
      <c r="B7" s="1615" t="s">
        <v>2380</v>
      </c>
      <c r="C7" s="1614"/>
      <c r="D7" s="1616" t="s">
        <v>1485</v>
      </c>
      <c r="E7" s="1616" t="s">
        <v>1486</v>
      </c>
      <c r="F7" s="1616" t="s">
        <v>1802</v>
      </c>
      <c r="G7" s="1616" t="s">
        <v>2356</v>
      </c>
      <c r="H7" s="1616" t="s">
        <v>1627</v>
      </c>
      <c r="I7" s="1616" t="s">
        <v>1654</v>
      </c>
      <c r="J7" s="1616" t="s">
        <v>1915</v>
      </c>
      <c r="K7" s="1616" t="s">
        <v>1916</v>
      </c>
      <c r="L7" s="1616" t="s">
        <v>1917</v>
      </c>
      <c r="M7" s="1616" t="s">
        <v>1918</v>
      </c>
    </row>
    <row r="8" spans="1:13" ht="12.75">
      <c r="A8" s="1611" t="s">
        <v>1794</v>
      </c>
      <c r="D8" s="1611">
        <f>Hilton!F121</f>
        <v>1753</v>
      </c>
      <c r="E8" s="1611">
        <f>Hilton!K121</f>
        <v>1956</v>
      </c>
      <c r="F8" s="1611">
        <f>Hilton!P121</f>
        <v>2210</v>
      </c>
      <c r="G8" s="1611">
        <f>Hilton!U121</f>
        <v>2508</v>
      </c>
      <c r="H8" s="1611">
        <f>Hilton!Z121</f>
        <v>2879</v>
      </c>
      <c r="I8" s="1611">
        <f>Hilton!AE121</f>
        <v>2975</v>
      </c>
      <c r="J8" s="1611">
        <f ca="1">Hilton!AJ121</f>
        <v>1965</v>
      </c>
      <c r="K8" s="1611">
        <f ca="1">Hilton!AO121</f>
        <v>2068.6601203221921</v>
      </c>
      <c r="L8" s="1611">
        <f ca="1">Hilton!AP121</f>
        <v>2225.2912648602464</v>
      </c>
      <c r="M8" s="1611">
        <f ca="1">Hilton!AQ121</f>
        <v>2265.167276048126</v>
      </c>
    </row>
    <row r="9" spans="1:13" ht="12.75">
      <c r="A9" s="1618" t="s">
        <v>1487</v>
      </c>
      <c r="C9" s="1618"/>
      <c r="D9" s="1618"/>
      <c r="E9" s="1619">
        <f t="shared" ref="E9:M9" si="0">E8/D8-1</f>
        <v>0.11580148317170558</v>
      </c>
      <c r="F9" s="1619">
        <f t="shared" si="0"/>
        <v>0.12985685071574649</v>
      </c>
      <c r="G9" s="1619">
        <f t="shared" si="0"/>
        <v>0.13484162895927598</v>
      </c>
      <c r="H9" s="1619">
        <f t="shared" si="0"/>
        <v>0.14792663476874002</v>
      </c>
      <c r="I9" s="1619">
        <f t="shared" si="0"/>
        <v>3.3344911427579005E-2</v>
      </c>
      <c r="J9" s="1619">
        <f t="shared" ca="1" si="0"/>
        <v>-0.33949579831932775</v>
      </c>
      <c r="K9" s="1619">
        <f t="shared" ca="1" si="0"/>
        <v>5.2753241894245351E-2</v>
      </c>
      <c r="L9" s="1619">
        <f t="shared" ca="1" si="0"/>
        <v>7.5716229553291381E-2</v>
      </c>
      <c r="M9" s="1619">
        <f t="shared" ca="1" si="0"/>
        <v>1.7919457024599295E-2</v>
      </c>
    </row>
    <row r="10" spans="1:13" s="3" customFormat="1" ht="12.75">
      <c r="A10" s="122" t="s">
        <v>1488</v>
      </c>
      <c r="D10" s="122"/>
      <c r="E10" s="434"/>
      <c r="F10" s="434"/>
      <c r="G10" s="434"/>
      <c r="H10" s="434">
        <f>(H8/E8)^(1/3)-1</f>
        <v>0.13751623773445432</v>
      </c>
    </row>
    <row r="11" spans="1:13" ht="12.75">
      <c r="J11" s="1611"/>
    </row>
    <row r="12" spans="1:13" ht="12" customHeight="1">
      <c r="A12" s="1611" t="s">
        <v>912</v>
      </c>
      <c r="D12" s="1620"/>
      <c r="E12" s="1620">
        <f>Hilton!K72</f>
        <v>0.44082519001085774</v>
      </c>
      <c r="F12" s="1620">
        <f>Hilton!P72</f>
        <v>0.53087757313109429</v>
      </c>
      <c r="G12" s="1620">
        <f>Hilton!U72</f>
        <v>0.68061023530684772</v>
      </c>
      <c r="H12" s="1620">
        <f>Hilton!Z72</f>
        <v>0.81432385632851689</v>
      </c>
      <c r="I12" s="1620">
        <f>Hilton!AE72</f>
        <v>0.89368683748140709</v>
      </c>
      <c r="J12" s="1620">
        <f ca="1">Hilton!AJ72</f>
        <v>1.9924389413759973</v>
      </c>
      <c r="K12" s="1620">
        <f ca="1">Hilton!AO72</f>
        <v>2.6127664297444606</v>
      </c>
      <c r="L12" s="1620">
        <f ca="1">Hilton!AP72</f>
        <v>3.0600025051172763</v>
      </c>
      <c r="M12" s="1620">
        <f ca="1">Hilton!AQ72</f>
        <v>3.1931592158273188</v>
      </c>
    </row>
    <row r="13" spans="1:13" ht="12" customHeight="1">
      <c r="A13" s="1618" t="s">
        <v>1487</v>
      </c>
      <c r="C13" s="1618"/>
      <c r="D13" s="1618"/>
      <c r="E13" s="1619"/>
      <c r="F13" s="1619">
        <f t="shared" ref="F13:M13" si="1">F12/E12-1</f>
        <v>0.20428139126536426</v>
      </c>
      <c r="G13" s="1619">
        <f t="shared" si="1"/>
        <v>0.28204744324126607</v>
      </c>
      <c r="H13" s="1619">
        <f t="shared" si="1"/>
        <v>0.196461372581894</v>
      </c>
      <c r="I13" s="1619">
        <f t="shared" si="1"/>
        <v>9.7458745112427803E-2</v>
      </c>
      <c r="J13" s="1619">
        <f t="shared" ca="1" si="1"/>
        <v>1.2294598709667683</v>
      </c>
      <c r="K13" s="1619">
        <f t="shared" ca="1" si="1"/>
        <v>0.311340777118148</v>
      </c>
      <c r="L13" s="1619">
        <f t="shared" ca="1" si="1"/>
        <v>0.17117338552782813</v>
      </c>
      <c r="M13" s="1619">
        <f t="shared" ca="1" si="1"/>
        <v>4.3515229313493275E-2</v>
      </c>
    </row>
    <row r="14" spans="1:13" s="3" customFormat="1" ht="12.75">
      <c r="A14" s="122" t="s">
        <v>1488</v>
      </c>
      <c r="D14" s="122"/>
      <c r="E14" s="434"/>
      <c r="F14" s="434"/>
      <c r="G14" s="434"/>
      <c r="H14" s="434">
        <f>(H12/E12)^(1/3)-1</f>
        <v>0.22699723731470711</v>
      </c>
    </row>
    <row r="15" spans="1:13" ht="12.75">
      <c r="J15" s="1611"/>
    </row>
    <row r="16" spans="1:13" ht="12.75">
      <c r="A16" s="1611" t="s">
        <v>1489</v>
      </c>
      <c r="B16" s="1611">
        <f>Hilton!W70</f>
        <v>989</v>
      </c>
      <c r="E16" s="1611">
        <f>Hilton!K70</f>
        <v>921</v>
      </c>
      <c r="F16" s="1611">
        <f>Hilton!P70</f>
        <v>923</v>
      </c>
      <c r="G16" s="1611">
        <f>Hilton!U70</f>
        <v>985.875</v>
      </c>
      <c r="H16" s="1611">
        <f>Hilton!Z70</f>
        <v>988.5</v>
      </c>
      <c r="I16" s="1611">
        <f>Hilton!AE70</f>
        <v>991.25</v>
      </c>
      <c r="J16" s="1611">
        <f>Hilton!AJ70</f>
        <v>326.625</v>
      </c>
      <c r="K16" s="1611">
        <f>Hilton!AO70</f>
        <v>317.82565748533489</v>
      </c>
      <c r="L16" s="1611">
        <f>Hilton!AP70</f>
        <v>305.64703835591456</v>
      </c>
      <c r="M16" s="1611">
        <f>Hilton!AQ70</f>
        <v>300.11130238799626</v>
      </c>
    </row>
    <row r="17" spans="1:13" ht="12.75">
      <c r="A17" s="1618" t="s">
        <v>1487</v>
      </c>
      <c r="C17" s="1618"/>
      <c r="D17" s="1618"/>
      <c r="E17" s="1619"/>
      <c r="F17" s="1619">
        <f>F16/E16-1</f>
        <v>2.1715526601520097E-3</v>
      </c>
      <c r="G17" s="1619">
        <f>G16/F16-1</f>
        <v>6.8120260021668377E-2</v>
      </c>
      <c r="H17" s="1619">
        <f>H16/G16-1</f>
        <v>2.6626093571699982E-3</v>
      </c>
      <c r="J17" s="1611"/>
    </row>
    <row r="18" spans="1:13" ht="12.75">
      <c r="J18" s="1611"/>
    </row>
    <row r="19" spans="1:13" ht="12.75">
      <c r="A19" s="1611" t="s">
        <v>1490</v>
      </c>
      <c r="B19" s="1620">
        <f>Hilton!W80</f>
        <v>0</v>
      </c>
      <c r="D19" s="1620"/>
      <c r="E19" s="1620">
        <v>0</v>
      </c>
      <c r="F19" s="1620">
        <v>0</v>
      </c>
      <c r="G19" s="1620">
        <v>0</v>
      </c>
      <c r="H19" s="2623">
        <f>Hilton!Z80</f>
        <v>0.14000000000000001</v>
      </c>
      <c r="I19" s="2623">
        <f>+Hilton!AE80</f>
        <v>0.28000000000000003</v>
      </c>
      <c r="J19" s="2623">
        <f>+Hilton!AJ80</f>
        <v>0.6</v>
      </c>
      <c r="K19" s="2623">
        <f>+Hilton!AO80</f>
        <v>0.66</v>
      </c>
      <c r="L19" s="2623">
        <f>+Hilton!AP80</f>
        <v>0.69300000000000006</v>
      </c>
      <c r="M19" s="2623">
        <f>+Hilton!AQ80</f>
        <v>0.69300000000000006</v>
      </c>
    </row>
    <row r="20" spans="1:13" ht="12.75">
      <c r="A20" s="1618" t="s">
        <v>1487</v>
      </c>
      <c r="C20" s="1618"/>
      <c r="D20" s="1618"/>
      <c r="E20" s="1619"/>
      <c r="F20" s="1619"/>
      <c r="G20" s="1619"/>
      <c r="H20" s="1619"/>
      <c r="J20" s="1611"/>
    </row>
    <row r="21" spans="1:13" ht="12.75">
      <c r="J21" s="1611"/>
    </row>
    <row r="22" spans="1:13" ht="12.75">
      <c r="A22" s="1621" t="s">
        <v>2219</v>
      </c>
      <c r="J22" s="1611"/>
    </row>
    <row r="23" spans="1:13" ht="12.75">
      <c r="A23" s="1611" t="s">
        <v>1491</v>
      </c>
      <c r="B23" s="1611">
        <f>Hilton!W576+Hilton!W581+Hilton!W582</f>
        <v>10574</v>
      </c>
      <c r="D23" s="1611">
        <f>Hilton!F610</f>
        <v>16311</v>
      </c>
      <c r="E23" s="1611">
        <f>Hilton!K610</f>
        <v>15575</v>
      </c>
      <c r="F23" s="1611">
        <f>Hilton!P610</f>
        <v>12356</v>
      </c>
      <c r="G23" s="1611">
        <f>Hilton!U610</f>
        <v>11198</v>
      </c>
      <c r="H23" s="1611">
        <f>Hilton!Z610</f>
        <v>10213</v>
      </c>
      <c r="I23" s="1611">
        <f>Hilton!AE610</f>
        <v>10621</v>
      </c>
      <c r="J23" s="1611">
        <f>Hilton!AJ610</f>
        <v>6810</v>
      </c>
      <c r="K23" s="1611">
        <f>Hilton!AO610</f>
        <v>7060</v>
      </c>
      <c r="L23" s="1611">
        <f>Hilton!AP610</f>
        <v>7310</v>
      </c>
      <c r="M23" s="1611">
        <f>Hilton!AQ610</f>
        <v>7560</v>
      </c>
    </row>
    <row r="24" spans="1:13" ht="12.75">
      <c r="A24" s="1622" t="s">
        <v>1191</v>
      </c>
      <c r="B24" s="1622">
        <f>Hilton!W551+Hilton!W552-Hilton!W609</f>
        <v>540</v>
      </c>
      <c r="C24" s="1622"/>
      <c r="D24" s="1622">
        <f>Hilton!F614+Hilton!F615</f>
        <v>1439</v>
      </c>
      <c r="E24" s="1622">
        <f>Hilton!K614+Hilton!K615</f>
        <v>1305</v>
      </c>
      <c r="F24" s="1622">
        <f>Hilton!P614+Hilton!P615</f>
        <v>860</v>
      </c>
      <c r="G24" s="1622">
        <f>Hilton!U614+Hilton!U615</f>
        <v>768</v>
      </c>
      <c r="H24" s="1622">
        <f>Hilton!Z614+Hilton!Z615</f>
        <v>856</v>
      </c>
      <c r="I24" s="1622">
        <f>Hilton!AE614+Hilton!AE615</f>
        <v>1684</v>
      </c>
      <c r="J24" s="1622">
        <f ca="1">Hilton!AJ614+Hilton!AJ615</f>
        <v>696</v>
      </c>
      <c r="K24" s="1622">
        <f ca="1">Hilton!AO614+Hilton!AO615</f>
        <v>753.74865688383807</v>
      </c>
      <c r="L24" s="1622">
        <f ca="1">Hilton!AP614+Hilton!AP615</f>
        <v>937.85511769560981</v>
      </c>
      <c r="M24" s="1622">
        <f ca="1">Hilton!AQ614+Hilton!AQ615</f>
        <v>1754.9393587974646</v>
      </c>
    </row>
    <row r="25" spans="1:13" ht="12.75">
      <c r="A25" s="1611" t="s">
        <v>1492</v>
      </c>
      <c r="B25" s="1611">
        <f>B23-B24</f>
        <v>10034</v>
      </c>
      <c r="D25" s="1611">
        <f t="shared" ref="D25:I25" si="2">D23-D24</f>
        <v>14872</v>
      </c>
      <c r="E25" s="1611">
        <f t="shared" si="2"/>
        <v>14270</v>
      </c>
      <c r="F25" s="1611">
        <f t="shared" si="2"/>
        <v>11496</v>
      </c>
      <c r="G25" s="1611">
        <f t="shared" si="2"/>
        <v>10430</v>
      </c>
      <c r="H25" s="1611">
        <f t="shared" si="2"/>
        <v>9357</v>
      </c>
      <c r="I25" s="1611">
        <f t="shared" si="2"/>
        <v>8937</v>
      </c>
      <c r="J25" s="1611">
        <f ca="1">J23-J24</f>
        <v>6114</v>
      </c>
      <c r="K25" s="1611">
        <f ca="1">K23-K24</f>
        <v>6306.2513431161624</v>
      </c>
      <c r="L25" s="1611">
        <f ca="1">L23-L24</f>
        <v>6372.1448823043902</v>
      </c>
      <c r="M25" s="1611">
        <f ca="1">M23-M24</f>
        <v>5805.0606412025354</v>
      </c>
    </row>
    <row r="26" spans="1:13" ht="12.75">
      <c r="J26" s="1611"/>
    </row>
    <row r="27" spans="1:13" ht="12.75">
      <c r="A27" s="3" t="s">
        <v>1771</v>
      </c>
      <c r="D27" s="1623">
        <f>D25/D8</f>
        <v>8.4837421563034798</v>
      </c>
      <c r="E27" s="1623">
        <f>E25/E8</f>
        <v>7.2955010224948875</v>
      </c>
      <c r="F27" s="1623">
        <f>F25/F8</f>
        <v>5.2018099547511314</v>
      </c>
      <c r="G27" s="1623">
        <f>G25/G8</f>
        <v>4.1586921850079746</v>
      </c>
      <c r="H27" s="1623">
        <f t="shared" ref="H27:M27" si="3">H25/H8</f>
        <v>3.2500868357068429</v>
      </c>
      <c r="I27" s="1623">
        <f t="shared" si="3"/>
        <v>3.0040336134453782</v>
      </c>
      <c r="J27" s="1623">
        <f t="shared" ca="1" si="3"/>
        <v>3.1114503816793895</v>
      </c>
      <c r="K27" s="1623">
        <f t="shared" ca="1" si="3"/>
        <v>3.0484714628394194</v>
      </c>
      <c r="L27" s="1623">
        <f t="shared" ca="1" si="3"/>
        <v>2.8635104909309819</v>
      </c>
      <c r="M27" s="1623">
        <f t="shared" ca="1" si="3"/>
        <v>2.5627514146903119</v>
      </c>
    </row>
    <row r="28" spans="1:13" s="1618" customFormat="1" ht="12.75">
      <c r="A28" s="122" t="s">
        <v>483</v>
      </c>
      <c r="F28" s="1837">
        <f t="shared" ref="F28:M28" si="4">F25/F8</f>
        <v>5.2018099547511314</v>
      </c>
      <c r="G28" s="1837">
        <f t="shared" si="4"/>
        <v>4.1586921850079746</v>
      </c>
      <c r="H28" s="1837">
        <f t="shared" si="4"/>
        <v>3.2500868357068429</v>
      </c>
      <c r="I28" s="1837">
        <f t="shared" si="4"/>
        <v>3.0040336134453782</v>
      </c>
      <c r="J28" s="1837">
        <f t="shared" ca="1" si="4"/>
        <v>3.1114503816793895</v>
      </c>
      <c r="K28" s="1837">
        <f t="shared" ca="1" si="4"/>
        <v>3.0484714628394194</v>
      </c>
      <c r="L28" s="1837">
        <f t="shared" ca="1" si="4"/>
        <v>2.8635104909309819</v>
      </c>
      <c r="M28" s="1837">
        <f t="shared" ca="1" si="4"/>
        <v>2.5627514146903119</v>
      </c>
    </row>
    <row r="29" spans="1:13" ht="12.75">
      <c r="A29" s="3" t="s">
        <v>1493</v>
      </c>
      <c r="D29" s="1611">
        <f>-(Hilton!F51+Hilton!F50)</f>
        <v>632</v>
      </c>
      <c r="E29" s="1611">
        <f>-(Hilton!K51+Hilton!K50)</f>
        <v>554</v>
      </c>
      <c r="F29" s="1611">
        <f>-(Hilton!P51+Hilton!P50)</f>
        <v>611</v>
      </c>
      <c r="G29" s="1611">
        <f>-(Hilton!U51+Hilton!U50)</f>
        <v>608</v>
      </c>
      <c r="H29" s="1611">
        <f>-(Hilton!Z51+Hilton!Z50)</f>
        <v>556</v>
      </c>
      <c r="I29" s="1611">
        <f>-(Hilton!AE51+Hilton!AE50)</f>
        <v>575</v>
      </c>
      <c r="J29" s="1611">
        <f>-(Hilton!AJ51+Hilton!AJ50)</f>
        <v>408</v>
      </c>
      <c r="K29" s="1611">
        <f ca="1">-(Hilton!AO51+Hilton!AO50)</f>
        <v>331.89136552760272</v>
      </c>
      <c r="L29" s="1611">
        <f ca="1">-(Hilton!AP51+Hilton!AP50)</f>
        <v>334.69922611458969</v>
      </c>
      <c r="M29" s="1611">
        <f ca="1">-(Hilton!AQ51+Hilton!AQ50)</f>
        <v>334.7615275720122</v>
      </c>
    </row>
    <row r="30" spans="1:13" ht="12.75">
      <c r="A30" s="3" t="s">
        <v>1494</v>
      </c>
      <c r="D30" s="1623">
        <f t="shared" ref="D30:I30" si="5">D8/D29</f>
        <v>2.7737341772151898</v>
      </c>
      <c r="E30" s="1623">
        <f t="shared" si="5"/>
        <v>3.5306859205776173</v>
      </c>
      <c r="F30" s="1623">
        <f t="shared" si="5"/>
        <v>3.6170212765957448</v>
      </c>
      <c r="G30" s="1623">
        <f t="shared" si="5"/>
        <v>4.125</v>
      </c>
      <c r="H30" s="1623">
        <f t="shared" si="5"/>
        <v>5.1780575539568341</v>
      </c>
      <c r="I30" s="1623">
        <f t="shared" si="5"/>
        <v>5.1739130434782608</v>
      </c>
      <c r="J30" s="1623">
        <f ca="1">J8/J29</f>
        <v>4.8161764705882355</v>
      </c>
      <c r="K30" s="1623">
        <f ca="1">K8/K29</f>
        <v>6.2329434724331385</v>
      </c>
      <c r="L30" s="1623">
        <f ca="1">L8/L29</f>
        <v>6.6486298480367028</v>
      </c>
      <c r="M30" s="1623">
        <f ca="1">M8/M29</f>
        <v>6.7665101556834504</v>
      </c>
    </row>
    <row r="31" spans="1:13" ht="12.75">
      <c r="A31" s="726"/>
      <c r="C31" s="1620"/>
      <c r="J31" s="1611"/>
    </row>
    <row r="32" spans="1:13" ht="12.75">
      <c r="A32" s="2" t="s">
        <v>41</v>
      </c>
      <c r="J32" s="1611"/>
    </row>
    <row r="33" spans="1:13" ht="12.75">
      <c r="A33" s="3" t="s">
        <v>1495</v>
      </c>
      <c r="E33" s="1611">
        <f>Hilton!K157-Hilton!K468</f>
        <v>552</v>
      </c>
      <c r="F33" s="1611">
        <f>Hilton!P157-Hilton!P468</f>
        <v>874</v>
      </c>
      <c r="G33" s="1611">
        <f>Hilton!U157-Hilton!U468</f>
        <v>1200</v>
      </c>
      <c r="H33" s="1611">
        <f>Hilton!Z157-Hilton!Z468</f>
        <v>1612</v>
      </c>
      <c r="I33" s="1611">
        <f>Hilton!AE157-Hilton!AE468</f>
        <v>1051</v>
      </c>
      <c r="J33" s="1611">
        <f ca="1">Hilton!AJ157-Hilton!AJ468</f>
        <v>937.52</v>
      </c>
      <c r="K33" s="1611">
        <f ca="1">Hilton!AO157-Hilton!AO468</f>
        <v>1322.8701077760488</v>
      </c>
      <c r="L33" s="1611">
        <f ca="1">Hilton!AP157-Hilton!AP468</f>
        <v>1451.1742011919061</v>
      </c>
      <c r="M33" s="1611">
        <f ca="1">Hilton!AQ157-Hilton!AQ468</f>
        <v>1480.3157164562215</v>
      </c>
    </row>
    <row r="34" spans="1:13" ht="12.75">
      <c r="A34" s="3" t="s">
        <v>1496</v>
      </c>
      <c r="J34" s="1611"/>
    </row>
    <row r="35" spans="1:13" ht="12.75">
      <c r="A35" s="3" t="s">
        <v>1497</v>
      </c>
      <c r="J35" s="1611"/>
    </row>
    <row r="36" spans="1:13" ht="12.75">
      <c r="G36" s="1836"/>
      <c r="H36" s="1836"/>
      <c r="J36" s="1611"/>
    </row>
    <row r="37" spans="1:13" ht="12.75">
      <c r="A37" s="1611" t="s">
        <v>1272</v>
      </c>
      <c r="D37" s="1611" t="s">
        <v>1272</v>
      </c>
      <c r="E37" s="1683" t="str">
        <f t="shared" ref="E37:M37" si="6">E7</f>
        <v>2012A</v>
      </c>
      <c r="F37" s="1683" t="str">
        <f t="shared" si="6"/>
        <v>2013A</v>
      </c>
      <c r="G37" s="1683" t="str">
        <f t="shared" si="6"/>
        <v>2014A</v>
      </c>
      <c r="H37" s="1683" t="str">
        <f t="shared" si="6"/>
        <v>2015e</v>
      </c>
      <c r="I37" s="1683" t="str">
        <f t="shared" si="6"/>
        <v>2016e</v>
      </c>
      <c r="J37" s="1683" t="str">
        <f t="shared" si="6"/>
        <v>2017e</v>
      </c>
      <c r="K37" s="1683" t="str">
        <f t="shared" si="6"/>
        <v>2018e</v>
      </c>
      <c r="L37" s="1683" t="str">
        <f t="shared" si="6"/>
        <v>2019e</v>
      </c>
      <c r="M37" s="1683" t="str">
        <f t="shared" si="6"/>
        <v>2020e</v>
      </c>
    </row>
    <row r="38" spans="1:13" ht="12.75">
      <c r="A38" s="1682">
        <v>18</v>
      </c>
      <c r="D38" s="125">
        <f>A38</f>
        <v>18</v>
      </c>
      <c r="E38" s="7">
        <f t="shared" ref="E38:M38" si="7">E33/$B$16/$A38</f>
        <v>3.1007751937984496E-2</v>
      </c>
      <c r="F38" s="7">
        <f t="shared" si="7"/>
        <v>4.909560723514212E-2</v>
      </c>
      <c r="G38" s="7">
        <f t="shared" si="7"/>
        <v>6.7408156386922824E-2</v>
      </c>
      <c r="H38" s="7">
        <f t="shared" si="7"/>
        <v>9.0551623413099649E-2</v>
      </c>
      <c r="I38" s="7">
        <f t="shared" si="7"/>
        <v>5.903831030221323E-2</v>
      </c>
      <c r="J38" s="7">
        <f t="shared" ca="1" si="7"/>
        <v>5.2663745646556563E-2</v>
      </c>
      <c r="K38" s="7">
        <f t="shared" ca="1" si="7"/>
        <v>7.431019592046112E-2</v>
      </c>
      <c r="L38" s="7">
        <f t="shared" ca="1" si="7"/>
        <v>8.1517481248843171E-2</v>
      </c>
      <c r="M38" s="7">
        <f t="shared" ca="1" si="7"/>
        <v>8.3154461097417226E-2</v>
      </c>
    </row>
    <row r="39" spans="1:13" ht="12.75">
      <c r="A39" s="1682">
        <v>19.5</v>
      </c>
      <c r="D39" s="125">
        <f>A39</f>
        <v>19.5</v>
      </c>
      <c r="E39" s="7">
        <f t="shared" ref="E39:M39" si="8">E33/$B$16/$A39</f>
        <v>2.8622540250447227E-2</v>
      </c>
      <c r="F39" s="7">
        <f t="shared" si="8"/>
        <v>4.5319022063208113E-2</v>
      </c>
      <c r="G39" s="7">
        <f t="shared" si="8"/>
        <v>6.2222913587928752E-2</v>
      </c>
      <c r="H39" s="7">
        <f t="shared" si="8"/>
        <v>8.3586113919784294E-2</v>
      </c>
      <c r="I39" s="7">
        <f t="shared" si="8"/>
        <v>5.4496901817427598E-2</v>
      </c>
      <c r="J39" s="7">
        <f t="shared" ca="1" si="8"/>
        <v>4.8612688289129138E-2</v>
      </c>
      <c r="K39" s="7">
        <f t="shared" ca="1" si="8"/>
        <v>6.8594027003502561E-2</v>
      </c>
      <c r="L39" s="7">
        <f t="shared" ca="1" si="8"/>
        <v>7.5246905768162925E-2</v>
      </c>
      <c r="M39" s="7">
        <f t="shared" ca="1" si="8"/>
        <v>7.6757964089923594E-2</v>
      </c>
    </row>
    <row r="40" spans="1:13" ht="12.75">
      <c r="A40" s="1682">
        <v>21</v>
      </c>
      <c r="D40" s="125">
        <f>A40</f>
        <v>21</v>
      </c>
      <c r="E40" s="7">
        <f t="shared" ref="E40:M40" si="9">E33/$B$16/$A40</f>
        <v>2.6578073089700997E-2</v>
      </c>
      <c r="F40" s="7">
        <f t="shared" si="9"/>
        <v>4.2081949058693245E-2</v>
      </c>
      <c r="G40" s="7">
        <f t="shared" si="9"/>
        <v>5.7778419760219558E-2</v>
      </c>
      <c r="H40" s="7">
        <f t="shared" si="9"/>
        <v>7.7615677211228265E-2</v>
      </c>
      <c r="I40" s="7">
        <f t="shared" si="9"/>
        <v>5.0604265973325624E-2</v>
      </c>
      <c r="J40" s="7">
        <f t="shared" ca="1" si="9"/>
        <v>4.5140353411334197E-2</v>
      </c>
      <c r="K40" s="7">
        <f t="shared" ca="1" si="9"/>
        <v>6.3694453646109525E-2</v>
      </c>
      <c r="L40" s="7">
        <f t="shared" ca="1" si="9"/>
        <v>6.9872126784722724E-2</v>
      </c>
      <c r="M40" s="7">
        <f t="shared" ca="1" si="9"/>
        <v>7.1275252369214767E-2</v>
      </c>
    </row>
  </sheetData>
  <phoneticPr fontId="14" type="noConversion"/>
  <pageMargins left="0.75" right="0.75" top="1" bottom="1" header="0.5" footer="0.5"/>
  <pageSetup orientation="portrait" horizontalDpi="1200" verticalDpi="1200"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G67"/>
  <sheetViews>
    <sheetView zoomScale="85" zoomScaleNormal="85" workbookViewId="0">
      <selection activeCell="A6" sqref="A6"/>
    </sheetView>
  </sheetViews>
  <sheetFormatPr defaultColWidth="8" defaultRowHeight="12.75"/>
  <cols>
    <col min="1" max="1" width="26.125" style="1242" bestFit="1" customWidth="1"/>
    <col min="2" max="2" width="8" style="1242" customWidth="1"/>
    <col min="3" max="3" width="2.375" style="1242" customWidth="1"/>
    <col min="4" max="4" width="8" style="1242" customWidth="1"/>
    <col min="5" max="5" width="2.375" style="1242" customWidth="1"/>
    <col min="6" max="8" width="8" style="1242" customWidth="1"/>
    <col min="9" max="9" width="35.625" style="1242" customWidth="1"/>
    <col min="10" max="10" width="8" style="1242" customWidth="1"/>
    <col min="11" max="11" width="31.25" style="1242" bestFit="1" customWidth="1"/>
    <col min="12" max="15" width="8" style="1242" customWidth="1"/>
    <col min="16" max="20" width="8" style="1245" customWidth="1"/>
    <col min="21" max="21" width="15.625" style="1242" customWidth="1"/>
    <col min="22" max="29" width="8" style="1242" customWidth="1"/>
    <col min="30" max="30" width="15.625" style="1242" customWidth="1"/>
    <col min="31" max="16384" width="8" style="1242"/>
  </cols>
  <sheetData>
    <row r="1" spans="1:8">
      <c r="A1" s="1270"/>
      <c r="B1" s="1271" t="s">
        <v>901</v>
      </c>
      <c r="C1" s="1272"/>
      <c r="D1" s="1278" t="s">
        <v>1162</v>
      </c>
      <c r="E1" s="1272"/>
      <c r="F1" s="1279" t="s">
        <v>165</v>
      </c>
      <c r="G1" s="1617"/>
      <c r="H1" s="1617"/>
    </row>
    <row r="2" spans="1:8">
      <c r="A2" s="1273"/>
      <c r="B2" s="1274" t="s">
        <v>1228</v>
      </c>
      <c r="C2" s="1274"/>
      <c r="D2" s="1280" t="s">
        <v>1163</v>
      </c>
      <c r="E2" s="1274"/>
      <c r="F2" s="1281" t="s">
        <v>1825</v>
      </c>
      <c r="G2" s="1617" t="s">
        <v>84</v>
      </c>
      <c r="H2" s="1617" t="s">
        <v>748</v>
      </c>
    </row>
    <row r="3" spans="1:8" s="1245" customFormat="1">
      <c r="A3" s="1275" t="s">
        <v>1794</v>
      </c>
      <c r="B3" s="1276">
        <f>Hilton!U121</f>
        <v>2508</v>
      </c>
      <c r="C3" s="1277" t="s">
        <v>166</v>
      </c>
      <c r="D3" s="1269">
        <v>13</v>
      </c>
      <c r="E3" s="1282" t="s">
        <v>2144</v>
      </c>
      <c r="F3" s="1283">
        <f>+D3*B3</f>
        <v>32604</v>
      </c>
      <c r="G3" s="1636">
        <v>12.5</v>
      </c>
      <c r="H3" s="1636">
        <v>13.5</v>
      </c>
    </row>
    <row r="4" spans="1:8">
      <c r="A4" s="1246"/>
      <c r="B4" s="1247"/>
      <c r="C4" s="1243"/>
      <c r="D4" s="1247"/>
      <c r="E4" s="1244"/>
      <c r="F4" s="1248"/>
      <c r="G4" s="1625"/>
      <c r="H4" s="1625"/>
    </row>
    <row r="5" spans="1:8">
      <c r="A5" s="1284" t="s">
        <v>624</v>
      </c>
      <c r="B5" s="1245"/>
      <c r="C5" s="1243"/>
      <c r="D5" s="1247"/>
      <c r="E5" s="1244"/>
      <c r="F5" s="1288">
        <f>-Hilton!P616</f>
        <v>-11496</v>
      </c>
      <c r="G5" s="1626"/>
      <c r="H5" s="1626"/>
    </row>
    <row r="6" spans="1:8">
      <c r="A6" s="1273" t="s">
        <v>625</v>
      </c>
      <c r="B6" s="1249"/>
      <c r="C6" s="1250"/>
      <c r="D6" s="1251"/>
      <c r="E6" s="1252"/>
      <c r="F6" s="1289">
        <v>0</v>
      </c>
      <c r="G6" s="1627"/>
      <c r="H6" s="1627"/>
    </row>
    <row r="7" spans="1:8">
      <c r="A7" s="1275" t="s">
        <v>721</v>
      </c>
      <c r="B7" s="1245"/>
      <c r="C7" s="1244"/>
      <c r="D7" s="1253"/>
      <c r="E7" s="1244"/>
      <c r="F7" s="1283">
        <f>SUM(F3:F6)</f>
        <v>21108</v>
      </c>
      <c r="G7" s="1624">
        <f>+G3*$B$3+$F$5</f>
        <v>19854</v>
      </c>
      <c r="H7" s="1624">
        <f>+H3*$B$3+$F$5</f>
        <v>22362</v>
      </c>
    </row>
    <row r="8" spans="1:8">
      <c r="A8" s="1275"/>
      <c r="B8" s="1245"/>
      <c r="C8" s="1244"/>
      <c r="D8" s="1253"/>
      <c r="E8" s="1244"/>
      <c r="F8" s="1254"/>
      <c r="G8" s="1628"/>
      <c r="H8" s="1628"/>
    </row>
    <row r="9" spans="1:8">
      <c r="A9" s="1273" t="s">
        <v>1331</v>
      </c>
      <c r="B9" s="1249"/>
      <c r="C9" s="1255"/>
      <c r="D9" s="1251"/>
      <c r="E9" s="1252"/>
      <c r="F9" s="1635">
        <f>Hilton!O70</f>
        <v>866.66666666666674</v>
      </c>
      <c r="G9" s="1629"/>
      <c r="H9" s="1629"/>
    </row>
    <row r="10" spans="1:8">
      <c r="A10" s="1285" t="s">
        <v>1757</v>
      </c>
      <c r="B10" s="1256"/>
      <c r="C10" s="1257"/>
      <c r="D10" s="1258"/>
      <c r="E10" s="1259"/>
      <c r="F10" s="1287">
        <f>+ROUND(F7/F9,0)</f>
        <v>24</v>
      </c>
      <c r="G10" s="1630">
        <f>+ROUND(G7/$F$9,0)</f>
        <v>23</v>
      </c>
      <c r="H10" s="1630">
        <f>+ROUND(H7/$F$9,0)</f>
        <v>26</v>
      </c>
    </row>
    <row r="11" spans="1:8">
      <c r="A11" s="1286"/>
      <c r="C11" s="1260"/>
      <c r="D11" s="1261"/>
      <c r="E11" s="1262"/>
      <c r="F11" s="1261"/>
      <c r="G11" s="1261"/>
      <c r="H11" s="1261"/>
    </row>
    <row r="12" spans="1:8">
      <c r="A12" s="1270"/>
      <c r="B12" s="1271" t="s">
        <v>902</v>
      </c>
      <c r="C12" s="1272"/>
      <c r="D12" s="1278" t="s">
        <v>1162</v>
      </c>
      <c r="E12" s="1272"/>
      <c r="F12" s="1279" t="s">
        <v>165</v>
      </c>
      <c r="G12" s="1617"/>
      <c r="H12" s="1617"/>
    </row>
    <row r="13" spans="1:8">
      <c r="A13" s="1273"/>
      <c r="B13" s="1274" t="s">
        <v>1228</v>
      </c>
      <c r="C13" s="1274"/>
      <c r="D13" s="1280" t="s">
        <v>1163</v>
      </c>
      <c r="E13" s="1274"/>
      <c r="F13" s="1281" t="s">
        <v>1825</v>
      </c>
      <c r="G13" s="1617" t="s">
        <v>84</v>
      </c>
      <c r="H13" s="1617" t="s">
        <v>748</v>
      </c>
    </row>
    <row r="14" spans="1:8" s="1245" customFormat="1">
      <c r="A14" s="1275" t="s">
        <v>1794</v>
      </c>
      <c r="B14" s="1276">
        <f>Hilton!Z121</f>
        <v>2879</v>
      </c>
      <c r="C14" s="1277" t="s">
        <v>166</v>
      </c>
      <c r="D14" s="1269">
        <v>12.5</v>
      </c>
      <c r="E14" s="1282" t="s">
        <v>2144</v>
      </c>
      <c r="F14" s="1283">
        <f>+D14*B14</f>
        <v>35987.5</v>
      </c>
      <c r="G14" s="1269">
        <v>11.5</v>
      </c>
      <c r="H14" s="1269">
        <v>13</v>
      </c>
    </row>
    <row r="15" spans="1:8">
      <c r="A15" s="1246"/>
      <c r="B15" s="1247"/>
      <c r="C15" s="1243"/>
      <c r="D15" s="1247"/>
      <c r="E15" s="1244"/>
      <c r="F15" s="1248"/>
      <c r="G15" s="1625"/>
      <c r="H15" s="1625"/>
    </row>
    <row r="16" spans="1:8">
      <c r="A16" s="1284" t="s">
        <v>624</v>
      </c>
      <c r="B16" s="1245"/>
      <c r="C16" s="1243"/>
      <c r="D16" s="1247"/>
      <c r="E16" s="1244"/>
      <c r="F16" s="1632">
        <f>-Hilton!U616</f>
        <v>-10430</v>
      </c>
      <c r="G16" s="1626"/>
      <c r="H16" s="1626"/>
    </row>
    <row r="17" spans="1:10">
      <c r="A17" s="1273" t="s">
        <v>625</v>
      </c>
      <c r="B17" s="1249"/>
      <c r="C17" s="1250"/>
      <c r="D17" s="1251"/>
      <c r="E17" s="1252"/>
      <c r="F17" s="1289">
        <v>0</v>
      </c>
      <c r="G17" s="1627"/>
      <c r="H17" s="1627"/>
    </row>
    <row r="18" spans="1:10">
      <c r="A18" s="1275" t="s">
        <v>721</v>
      </c>
      <c r="B18" s="1245"/>
      <c r="C18" s="1244"/>
      <c r="D18" s="1253"/>
      <c r="E18" s="1244"/>
      <c r="F18" s="1283">
        <f>SUM(F14:F17)</f>
        <v>25557.5</v>
      </c>
      <c r="G18" s="1624">
        <f>+G14*$B$14+$F$16</f>
        <v>22678.5</v>
      </c>
      <c r="H18" s="1624">
        <f>+H14*$B$14+$F$16</f>
        <v>26997</v>
      </c>
    </row>
    <row r="19" spans="1:10">
      <c r="A19" s="1275"/>
      <c r="B19" s="1245"/>
      <c r="C19" s="1244"/>
      <c r="D19" s="1253"/>
      <c r="E19" s="1244"/>
      <c r="F19" s="1254"/>
      <c r="G19" s="1628"/>
      <c r="H19" s="1628"/>
    </row>
    <row r="20" spans="1:10">
      <c r="A20" s="1273" t="s">
        <v>1331</v>
      </c>
      <c r="B20" s="1249"/>
      <c r="C20" s="1255"/>
      <c r="D20" s="1251"/>
      <c r="E20" s="1252"/>
      <c r="F20" s="1635">
        <f>+Hilton!T70</f>
        <v>987</v>
      </c>
      <c r="G20" s="1629"/>
      <c r="H20" s="1629"/>
    </row>
    <row r="21" spans="1:10">
      <c r="A21" s="1285" t="s">
        <v>1757</v>
      </c>
      <c r="B21" s="1256"/>
      <c r="C21" s="1257"/>
      <c r="D21" s="1258"/>
      <c r="E21" s="1259"/>
      <c r="F21" s="1287">
        <f>+ROUND(F18/F20,0)</f>
        <v>26</v>
      </c>
      <c r="G21" s="1630">
        <f>+ROUND(G18/$F$9,0)</f>
        <v>26</v>
      </c>
      <c r="H21" s="1630">
        <f>+ROUND(H18/$F$9,0)</f>
        <v>31</v>
      </c>
    </row>
    <row r="22" spans="1:10">
      <c r="C22" s="1260"/>
      <c r="D22" s="1261"/>
      <c r="E22" s="1262"/>
      <c r="F22" s="1263"/>
      <c r="G22" s="1263"/>
      <c r="H22" s="1263"/>
      <c r="I22" s="1290"/>
      <c r="J22" s="1291" t="s">
        <v>626</v>
      </c>
    </row>
    <row r="23" spans="1:10">
      <c r="I23" s="1290" t="s">
        <v>1373</v>
      </c>
      <c r="J23" s="1298">
        <f>+F10</f>
        <v>24</v>
      </c>
    </row>
    <row r="24" spans="1:10">
      <c r="I24" s="1291" t="s">
        <v>627</v>
      </c>
      <c r="J24" s="1297">
        <f>+F9</f>
        <v>866.66666666666674</v>
      </c>
    </row>
    <row r="25" spans="1:10">
      <c r="I25" s="1292" t="s">
        <v>628</v>
      </c>
      <c r="J25" s="1299">
        <f>+F7</f>
        <v>21108</v>
      </c>
    </row>
    <row r="26" spans="1:10">
      <c r="I26" s="1291"/>
      <c r="J26" s="1264"/>
    </row>
    <row r="27" spans="1:10">
      <c r="I27" s="1293" t="s">
        <v>2094</v>
      </c>
      <c r="J27" s="1299">
        <f>F3</f>
        <v>32604</v>
      </c>
    </row>
    <row r="28" spans="1:10">
      <c r="I28" s="1290"/>
      <c r="J28" s="1290"/>
    </row>
    <row r="29" spans="1:10">
      <c r="I29" s="1294" t="s">
        <v>2095</v>
      </c>
      <c r="J29" s="1298">
        <f>+J23/(1+$J$30)</f>
        <v>22.857142857142858</v>
      </c>
    </row>
    <row r="30" spans="1:10">
      <c r="I30" s="1290" t="s">
        <v>2093</v>
      </c>
      <c r="J30" s="1300">
        <v>0.05</v>
      </c>
    </row>
    <row r="31" spans="1:10">
      <c r="I31" s="1295" t="s">
        <v>2096</v>
      </c>
      <c r="J31" s="1299">
        <f>+J29*$J$24</f>
        <v>19809.523809523813</v>
      </c>
    </row>
    <row r="32" spans="1:10">
      <c r="I32" s="1290"/>
      <c r="J32" s="1290"/>
    </row>
    <row r="33" spans="9:33">
      <c r="I33" s="1296" t="s">
        <v>2097</v>
      </c>
      <c r="J33" s="1299">
        <f>+J31-F6-F5</f>
        <v>31305.523809523813</v>
      </c>
    </row>
    <row r="34" spans="9:33">
      <c r="I34" s="1290"/>
      <c r="J34" s="1301"/>
    </row>
    <row r="35" spans="9:33">
      <c r="I35" s="1290"/>
      <c r="J35" s="1290"/>
    </row>
    <row r="36" spans="9:33">
      <c r="I36" s="1290"/>
      <c r="K36" s="1286" t="s">
        <v>629</v>
      </c>
      <c r="L36" s="1290"/>
      <c r="M36" s="1290"/>
      <c r="N36" s="1290"/>
      <c r="O36" s="1290"/>
      <c r="P36" s="1312"/>
      <c r="Q36" s="1312"/>
      <c r="R36" s="1312"/>
      <c r="S36" s="1312"/>
      <c r="T36" s="1312"/>
    </row>
    <row r="37" spans="9:33">
      <c r="K37" s="1308"/>
      <c r="L37" s="1309" t="s">
        <v>630</v>
      </c>
      <c r="M37" s="1309"/>
      <c r="N37" s="1309"/>
      <c r="O37" s="1309"/>
      <c r="P37" s="1309"/>
      <c r="Q37" s="1309"/>
      <c r="R37" s="1309"/>
      <c r="S37" s="1309"/>
      <c r="T37" s="1310"/>
    </row>
    <row r="38" spans="9:33" s="1265" customFormat="1">
      <c r="K38" s="1311">
        <v>2014</v>
      </c>
      <c r="L38" s="1302">
        <v>11</v>
      </c>
      <c r="M38" s="1302">
        <f t="shared" ref="M38:S38" si="0">+L38+0.5</f>
        <v>11.5</v>
      </c>
      <c r="N38" s="1302">
        <f t="shared" si="0"/>
        <v>12</v>
      </c>
      <c r="O38" s="1302">
        <f t="shared" si="0"/>
        <v>12.5</v>
      </c>
      <c r="P38" s="1302">
        <f t="shared" si="0"/>
        <v>13</v>
      </c>
      <c r="Q38" s="1302">
        <f t="shared" si="0"/>
        <v>13.5</v>
      </c>
      <c r="R38" s="1302">
        <f t="shared" si="0"/>
        <v>14</v>
      </c>
      <c r="S38" s="1302">
        <f t="shared" si="0"/>
        <v>14.5</v>
      </c>
      <c r="T38" s="1303">
        <f>+S38+0.5</f>
        <v>15</v>
      </c>
    </row>
    <row r="39" spans="9:33">
      <c r="K39" s="1293" t="s">
        <v>2100</v>
      </c>
      <c r="L39" s="1306">
        <f t="shared" ref="L39:T39" si="1">L40/$F9</f>
        <v>18.567692307692305</v>
      </c>
      <c r="M39" s="1306">
        <f t="shared" si="1"/>
        <v>20.014615384615382</v>
      </c>
      <c r="N39" s="1306">
        <f t="shared" si="1"/>
        <v>21.46153846153846</v>
      </c>
      <c r="O39" s="1453">
        <f t="shared" si="1"/>
        <v>22.908461538461538</v>
      </c>
      <c r="P39" s="1453">
        <f t="shared" si="1"/>
        <v>24.355384615384612</v>
      </c>
      <c r="Q39" s="1453">
        <f t="shared" si="1"/>
        <v>25.802307692307689</v>
      </c>
      <c r="R39" s="1453">
        <f t="shared" si="1"/>
        <v>27.249230769230767</v>
      </c>
      <c r="S39" s="1453">
        <f t="shared" si="1"/>
        <v>28.696153846153845</v>
      </c>
      <c r="T39" s="1459">
        <f t="shared" si="1"/>
        <v>30.143076923076922</v>
      </c>
    </row>
    <row r="40" spans="9:33">
      <c r="K40" s="1293" t="s">
        <v>628</v>
      </c>
      <c r="L40" s="1304">
        <f t="shared" ref="L40:T40" si="2">$B$3*L38+SUM($F$5:$F$6)</f>
        <v>16092</v>
      </c>
      <c r="M40" s="1304">
        <f t="shared" si="2"/>
        <v>17346</v>
      </c>
      <c r="N40" s="1304">
        <f t="shared" si="2"/>
        <v>18600</v>
      </c>
      <c r="O40" s="1304">
        <f t="shared" si="2"/>
        <v>19854</v>
      </c>
      <c r="P40" s="1304">
        <f t="shared" si="2"/>
        <v>21108</v>
      </c>
      <c r="Q40" s="1304">
        <f t="shared" si="2"/>
        <v>22362</v>
      </c>
      <c r="R40" s="1304">
        <f t="shared" si="2"/>
        <v>23616</v>
      </c>
      <c r="S40" s="1304">
        <f t="shared" si="2"/>
        <v>24870</v>
      </c>
      <c r="T40" s="1305">
        <f t="shared" si="2"/>
        <v>26124</v>
      </c>
    </row>
    <row r="41" spans="9:33">
      <c r="K41" s="1293" t="s">
        <v>631</v>
      </c>
      <c r="L41" s="1304">
        <f t="shared" ref="L41:T41" si="3">$B3*L38</f>
        <v>27588</v>
      </c>
      <c r="M41" s="1304">
        <f t="shared" si="3"/>
        <v>28842</v>
      </c>
      <c r="N41" s="1304">
        <f t="shared" si="3"/>
        <v>30096</v>
      </c>
      <c r="O41" s="1304">
        <f t="shared" si="3"/>
        <v>31350</v>
      </c>
      <c r="P41" s="1304">
        <f t="shared" si="3"/>
        <v>32604</v>
      </c>
      <c r="Q41" s="1304">
        <f t="shared" si="3"/>
        <v>33858</v>
      </c>
      <c r="R41" s="1304">
        <f t="shared" si="3"/>
        <v>35112</v>
      </c>
      <c r="S41" s="1304">
        <f t="shared" si="3"/>
        <v>36366</v>
      </c>
      <c r="T41" s="1305">
        <f t="shared" si="3"/>
        <v>37620</v>
      </c>
    </row>
    <row r="42" spans="9:33">
      <c r="K42" s="1293"/>
      <c r="L42" s="1266"/>
      <c r="M42" s="1266"/>
      <c r="N42" s="1266"/>
      <c r="O42" s="1266"/>
      <c r="P42" s="1266"/>
      <c r="Q42" s="1266"/>
      <c r="R42" s="1266"/>
      <c r="S42" s="1266"/>
      <c r="T42" s="1267"/>
    </row>
    <row r="43" spans="9:33">
      <c r="K43" s="1293" t="s">
        <v>2098</v>
      </c>
      <c r="L43" s="1306">
        <f t="shared" ref="L43:T43" si="4">L39/(1+$J30)</f>
        <v>17.683516483516481</v>
      </c>
      <c r="M43" s="1306">
        <f t="shared" si="4"/>
        <v>19.061538461538458</v>
      </c>
      <c r="N43" s="1306">
        <f t="shared" si="4"/>
        <v>20.439560439560438</v>
      </c>
      <c r="O43" s="1306">
        <f t="shared" si="4"/>
        <v>21.817582417582415</v>
      </c>
      <c r="P43" s="1306">
        <f t="shared" si="4"/>
        <v>23.195604395604391</v>
      </c>
      <c r="Q43" s="1306">
        <f t="shared" si="4"/>
        <v>24.573626373626368</v>
      </c>
      <c r="R43" s="1306">
        <f t="shared" si="4"/>
        <v>25.951648351648348</v>
      </c>
      <c r="S43" s="1306">
        <f t="shared" si="4"/>
        <v>27.329670329670328</v>
      </c>
      <c r="T43" s="1307">
        <f t="shared" si="4"/>
        <v>28.707692307692305</v>
      </c>
    </row>
    <row r="44" spans="9:33">
      <c r="K44" s="1293" t="s">
        <v>2096</v>
      </c>
      <c r="L44" s="1304">
        <f t="shared" ref="L44:T44" si="5">L43*$F9</f>
        <v>15325.714285714284</v>
      </c>
      <c r="M44" s="1304">
        <f t="shared" si="5"/>
        <v>16519.999999999996</v>
      </c>
      <c r="N44" s="1304">
        <f t="shared" si="5"/>
        <v>17714.285714285714</v>
      </c>
      <c r="O44" s="1304">
        <f t="shared" si="5"/>
        <v>18908.571428571428</v>
      </c>
      <c r="P44" s="1304">
        <f t="shared" si="5"/>
        <v>20102.857142857141</v>
      </c>
      <c r="Q44" s="1304">
        <f t="shared" si="5"/>
        <v>21297.142857142855</v>
      </c>
      <c r="R44" s="1304">
        <f t="shared" si="5"/>
        <v>22491.428571428569</v>
      </c>
      <c r="S44" s="1304">
        <f t="shared" si="5"/>
        <v>23685.714285714286</v>
      </c>
      <c r="T44" s="1305">
        <f t="shared" si="5"/>
        <v>24880</v>
      </c>
    </row>
    <row r="45" spans="9:33">
      <c r="K45" s="1586" t="s">
        <v>2099</v>
      </c>
      <c r="L45" s="1587">
        <f t="shared" ref="L45:T45" si="6">L44-$F5-$F6</f>
        <v>26821.714285714283</v>
      </c>
      <c r="M45" s="1587">
        <f t="shared" si="6"/>
        <v>28015.999999999996</v>
      </c>
      <c r="N45" s="1587">
        <f t="shared" si="6"/>
        <v>29210.285714285714</v>
      </c>
      <c r="O45" s="1587">
        <f t="shared" si="6"/>
        <v>30404.571428571428</v>
      </c>
      <c r="P45" s="1587">
        <f t="shared" si="6"/>
        <v>31598.857142857141</v>
      </c>
      <c r="Q45" s="1587">
        <f t="shared" si="6"/>
        <v>32793.142857142855</v>
      </c>
      <c r="R45" s="1587">
        <f t="shared" si="6"/>
        <v>33987.428571428565</v>
      </c>
      <c r="S45" s="1587">
        <f t="shared" si="6"/>
        <v>35181.71428571429</v>
      </c>
      <c r="T45" s="1588">
        <f t="shared" si="6"/>
        <v>36376</v>
      </c>
    </row>
    <row r="46" spans="9:33">
      <c r="W46" s="1703">
        <f>+W48*0.762</f>
        <v>12877.8</v>
      </c>
    </row>
    <row r="47" spans="9:33" s="1589" customFormat="1">
      <c r="K47" s="1590"/>
      <c r="P47" s="1591"/>
      <c r="Q47" s="1591"/>
      <c r="R47" s="1591"/>
      <c r="S47" s="1591"/>
      <c r="T47" s="1591"/>
      <c r="U47" s="1668" t="s">
        <v>1374</v>
      </c>
      <c r="V47" s="1669">
        <v>18</v>
      </c>
      <c r="W47" s="1670">
        <f>+(V47+X47)/2</f>
        <v>19.5</v>
      </c>
      <c r="X47" s="1671">
        <v>21</v>
      </c>
      <c r="Z47" s="1290" t="s">
        <v>1170</v>
      </c>
      <c r="AD47" s="1668" t="s">
        <v>7</v>
      </c>
      <c r="AE47" s="1669">
        <v>20</v>
      </c>
      <c r="AF47" s="1670">
        <f>+(AE47+AG47)/2</f>
        <v>22</v>
      </c>
      <c r="AG47" s="1671">
        <v>24</v>
      </c>
    </row>
    <row r="48" spans="9:33" s="1290" customFormat="1">
      <c r="P48" s="1312"/>
      <c r="Q48" s="1312"/>
      <c r="R48" s="1312"/>
      <c r="S48" s="1312"/>
      <c r="T48" s="1312"/>
      <c r="U48" s="1631" t="s">
        <v>721</v>
      </c>
      <c r="V48" s="1593">
        <f>+V47*$Z$48</f>
        <v>15600.000000000002</v>
      </c>
      <c r="W48" s="1593">
        <f>+W47*$Z$48</f>
        <v>16900</v>
      </c>
      <c r="X48" s="1632">
        <f>+X47*$Z$48</f>
        <v>18200</v>
      </c>
      <c r="Z48" s="1592">
        <f>+F9</f>
        <v>866.66666666666674</v>
      </c>
      <c r="AD48" s="1631" t="s">
        <v>721</v>
      </c>
      <c r="AE48" s="1593">
        <f>+AE47*$Z$48</f>
        <v>17333.333333333336</v>
      </c>
      <c r="AF48" s="1593">
        <f>+AF47*$Z$48</f>
        <v>19066.666666666668</v>
      </c>
      <c r="AG48" s="1632">
        <f>+AG47*$Z$48</f>
        <v>20800</v>
      </c>
    </row>
    <row r="49" spans="16:33" s="1294" customFormat="1">
      <c r="P49" s="1593"/>
      <c r="Q49" s="1593"/>
      <c r="R49" s="1593"/>
      <c r="S49" s="1593"/>
      <c r="T49" s="1593"/>
      <c r="U49" s="1284" t="s">
        <v>1652</v>
      </c>
      <c r="V49" s="1626">
        <f>+$W$49-(V47-$W$47)*$Z$50</f>
        <v>11592.153845999999</v>
      </c>
      <c r="W49" s="1626">
        <f>-$F$5</f>
        <v>11496</v>
      </c>
      <c r="X49" s="1288">
        <f>+$W$49-(X47-$W$47)*$Z$50</f>
        <v>11399.846154000001</v>
      </c>
      <c r="Z49" s="1294" t="s">
        <v>1375</v>
      </c>
      <c r="AB49" s="1294" t="s">
        <v>1172</v>
      </c>
      <c r="AD49" s="1284" t="s">
        <v>1652</v>
      </c>
      <c r="AE49" s="1626">
        <f>+$W$49-(AE47-$W$47)*$Z$50</f>
        <v>11463.948718</v>
      </c>
      <c r="AF49" s="1626">
        <f>-$F$5</f>
        <v>11496</v>
      </c>
      <c r="AG49" s="1288">
        <f>+$W$49-(AG47-$W$47)*$Z$50</f>
        <v>11207.538462</v>
      </c>
    </row>
    <row r="50" spans="16:33" s="1290" customFormat="1">
      <c r="P50" s="1312"/>
      <c r="Q50" s="1312"/>
      <c r="R50" s="1312"/>
      <c r="S50" s="1312"/>
      <c r="T50" s="1312"/>
      <c r="U50" s="1631" t="s">
        <v>1587</v>
      </c>
      <c r="V50" s="1593">
        <f>+V48+V49</f>
        <v>27192.153846000001</v>
      </c>
      <c r="W50" s="1593">
        <f>+W48+W49</f>
        <v>28396</v>
      </c>
      <c r="X50" s="1632">
        <f>+X48+X49</f>
        <v>29599.846153999999</v>
      </c>
      <c r="Z50" s="1600">
        <v>64.102564000000001</v>
      </c>
      <c r="AB50" s="7">
        <f>+Z50/($Z$50+$Z$52)</f>
        <v>0.56818182140495865</v>
      </c>
      <c r="AD50" s="1631" t="s">
        <v>1587</v>
      </c>
      <c r="AE50" s="1593">
        <f>+AE48+AE49</f>
        <v>28797.282051333335</v>
      </c>
      <c r="AF50" s="1593">
        <f>+AF48+AF49</f>
        <v>30562.666666666668</v>
      </c>
      <c r="AG50" s="1632">
        <f>+AG48+AG49</f>
        <v>32007.538462</v>
      </c>
    </row>
    <row r="51" spans="16:33" s="1294" customFormat="1">
      <c r="P51" s="1593"/>
      <c r="Q51" s="1593"/>
      <c r="R51" s="1593"/>
      <c r="S51" s="1593"/>
      <c r="T51" s="1593"/>
      <c r="U51" s="1275" t="s">
        <v>1228</v>
      </c>
      <c r="V51" s="1312"/>
      <c r="W51" s="1312"/>
      <c r="X51" s="1633"/>
      <c r="Z51" s="1294" t="s">
        <v>1171</v>
      </c>
      <c r="AD51" s="1275" t="s">
        <v>1228</v>
      </c>
      <c r="AE51" s="1312"/>
      <c r="AF51" s="1312"/>
      <c r="AG51" s="1633"/>
    </row>
    <row r="52" spans="16:33" s="1290" customFormat="1">
      <c r="P52" s="1312"/>
      <c r="Q52" s="1312"/>
      <c r="R52" s="1312"/>
      <c r="S52" s="1312"/>
      <c r="T52" s="1312"/>
      <c r="U52" s="1634">
        <v>2014</v>
      </c>
      <c r="V52" s="1593">
        <f>+Hilton!$U$121</f>
        <v>2508</v>
      </c>
      <c r="W52" s="1593">
        <f>+Hilton!$U$121</f>
        <v>2508</v>
      </c>
      <c r="X52" s="1632">
        <f>+Hilton!$U$121</f>
        <v>2508</v>
      </c>
      <c r="Z52" s="1600">
        <v>48.717948</v>
      </c>
      <c r="AB52" s="7">
        <f>+Z52/($Z$50+$Z$52)</f>
        <v>0.43181817859504129</v>
      </c>
      <c r="AD52" s="1634">
        <v>2014</v>
      </c>
      <c r="AE52" s="1593">
        <f>+Hilton!$U$121</f>
        <v>2508</v>
      </c>
      <c r="AF52" s="1593">
        <f>+Hilton!$U$121</f>
        <v>2508</v>
      </c>
      <c r="AG52" s="1632">
        <f>+Hilton!$U$121</f>
        <v>2508</v>
      </c>
    </row>
    <row r="53" spans="16:33" s="1290" customFormat="1">
      <c r="P53" s="1312"/>
      <c r="Q53" s="1312"/>
      <c r="R53" s="1312"/>
      <c r="S53" s="1312"/>
      <c r="T53" s="1312"/>
      <c r="U53" s="1634">
        <v>2015</v>
      </c>
      <c r="V53" s="1593">
        <f>+Hilton!$Z$121</f>
        <v>2879</v>
      </c>
      <c r="W53" s="1593">
        <f>+Hilton!$Z$121</f>
        <v>2879</v>
      </c>
      <c r="X53" s="1632">
        <f>+Hilton!$Z$121</f>
        <v>2879</v>
      </c>
      <c r="AD53" s="1634">
        <v>2015</v>
      </c>
      <c r="AE53" s="1593">
        <f>+Hilton!$Z$121</f>
        <v>2879</v>
      </c>
      <c r="AF53" s="1593">
        <f>+Hilton!$Z$121</f>
        <v>2879</v>
      </c>
      <c r="AG53" s="1632">
        <f>+Hilton!$Z$121</f>
        <v>2879</v>
      </c>
    </row>
    <row r="54" spans="16:33" s="1290" customFormat="1">
      <c r="P54" s="1312"/>
      <c r="Q54" s="1312"/>
      <c r="R54" s="1312"/>
      <c r="S54" s="1312"/>
      <c r="T54" s="1312"/>
      <c r="U54" s="1275" t="s">
        <v>1837</v>
      </c>
      <c r="V54" s="1312"/>
      <c r="W54" s="1312"/>
      <c r="X54" s="1633"/>
      <c r="AD54" s="1275" t="s">
        <v>1837</v>
      </c>
      <c r="AE54" s="1312"/>
      <c r="AF54" s="1312"/>
      <c r="AG54" s="1633"/>
    </row>
    <row r="55" spans="16:33" s="1290" customFormat="1">
      <c r="P55" s="1312"/>
      <c r="Q55" s="1312"/>
      <c r="R55" s="1312"/>
      <c r="S55" s="1312"/>
      <c r="T55" s="1312"/>
      <c r="U55" s="1672">
        <v>2014</v>
      </c>
      <c r="V55" s="1673">
        <f t="shared" ref="V55:X56" si="7">+V$50/V52</f>
        <v>10.842166605263158</v>
      </c>
      <c r="W55" s="1673">
        <f t="shared" si="7"/>
        <v>11.322169059011165</v>
      </c>
      <c r="X55" s="1674">
        <f t="shared" si="7"/>
        <v>11.80217151275917</v>
      </c>
      <c r="AD55" s="1672">
        <v>2014</v>
      </c>
      <c r="AE55" s="1673">
        <f t="shared" ref="AE55:AG56" si="8">+AE$50/AE52</f>
        <v>11.482169876927168</v>
      </c>
      <c r="AF55" s="1673">
        <f t="shared" si="8"/>
        <v>12.186071238702818</v>
      </c>
      <c r="AG55" s="1674">
        <f t="shared" si="8"/>
        <v>12.762176420255184</v>
      </c>
    </row>
    <row r="56" spans="16:33" s="1290" customFormat="1">
      <c r="P56" s="1312"/>
      <c r="Q56" s="1312"/>
      <c r="R56" s="1312"/>
      <c r="S56" s="1312"/>
      <c r="T56" s="1312"/>
      <c r="U56" s="1672">
        <v>2015</v>
      </c>
      <c r="V56" s="1673">
        <f t="shared" si="7"/>
        <v>9.444999599166378</v>
      </c>
      <c r="W56" s="1673">
        <f t="shared" si="7"/>
        <v>9.8631469260159772</v>
      </c>
      <c r="X56" s="1674">
        <f t="shared" si="7"/>
        <v>10.281294252865578</v>
      </c>
      <c r="AD56" s="1672">
        <v>2015</v>
      </c>
      <c r="AE56" s="1673">
        <f t="shared" si="8"/>
        <v>10.002529368299179</v>
      </c>
      <c r="AF56" s="1673">
        <f t="shared" si="8"/>
        <v>10.615723051985643</v>
      </c>
      <c r="AG56" s="1674">
        <f t="shared" si="8"/>
        <v>11.11758890656478</v>
      </c>
    </row>
    <row r="57" spans="16:33" s="1290" customFormat="1">
      <c r="P57" s="1312"/>
      <c r="Q57" s="1312"/>
      <c r="R57" s="1312"/>
      <c r="S57" s="1312"/>
      <c r="T57" s="1312"/>
      <c r="U57" s="1275" t="s">
        <v>159</v>
      </c>
      <c r="V57" s="1312"/>
      <c r="W57" s="1312"/>
      <c r="X57" s="1633"/>
      <c r="AD57" s="1275" t="s">
        <v>159</v>
      </c>
      <c r="AE57" s="1312"/>
      <c r="AF57" s="1312"/>
      <c r="AG57" s="1633"/>
    </row>
    <row r="58" spans="16:33" s="1290" customFormat="1">
      <c r="P58" s="1312"/>
      <c r="Q58" s="1312"/>
      <c r="R58" s="1312"/>
      <c r="S58" s="1312"/>
      <c r="T58" s="1312"/>
      <c r="U58" s="1634">
        <v>2014</v>
      </c>
      <c r="V58" s="1593">
        <f>+Hilton!$U$161</f>
        <v>1105</v>
      </c>
      <c r="W58" s="1593">
        <f>+Hilton!$U$161</f>
        <v>1105</v>
      </c>
      <c r="X58" s="1632">
        <f>+Hilton!$U$161</f>
        <v>1105</v>
      </c>
      <c r="AD58" s="1634">
        <v>2014</v>
      </c>
      <c r="AE58" s="1593">
        <f>+Hilton!$U$161</f>
        <v>1105</v>
      </c>
      <c r="AF58" s="1593">
        <f>+Hilton!$U$161</f>
        <v>1105</v>
      </c>
      <c r="AG58" s="1632">
        <f>+Hilton!$U$161</f>
        <v>1105</v>
      </c>
    </row>
    <row r="59" spans="16:33" s="1290" customFormat="1">
      <c r="P59" s="1312"/>
      <c r="Q59" s="1312"/>
      <c r="R59" s="1312"/>
      <c r="S59" s="1312"/>
      <c r="T59" s="1312"/>
      <c r="U59" s="1634">
        <v>2015</v>
      </c>
      <c r="V59" s="1593">
        <f>+Hilton!$Z$161</f>
        <v>3685</v>
      </c>
      <c r="W59" s="1593">
        <f>+Hilton!$Z$161</f>
        <v>3685</v>
      </c>
      <c r="X59" s="1632">
        <f>+Hilton!$Z$161</f>
        <v>3685</v>
      </c>
      <c r="AD59" s="1634">
        <v>2015</v>
      </c>
      <c r="AE59" s="1593">
        <f>+Hilton!$Z$161</f>
        <v>3685</v>
      </c>
      <c r="AF59" s="1593">
        <f>+Hilton!$Z$161</f>
        <v>3685</v>
      </c>
      <c r="AG59" s="1632">
        <f>+Hilton!$Z$161</f>
        <v>3685</v>
      </c>
    </row>
    <row r="60" spans="16:33" s="1290" customFormat="1">
      <c r="P60" s="1312"/>
      <c r="Q60" s="1312"/>
      <c r="R60" s="1312"/>
      <c r="S60" s="1312"/>
      <c r="T60" s="1312"/>
      <c r="U60" s="1275" t="s">
        <v>158</v>
      </c>
      <c r="V60" s="1312"/>
      <c r="W60" s="1312"/>
      <c r="X60" s="1633"/>
      <c r="AD60" s="1275" t="s">
        <v>158</v>
      </c>
      <c r="AE60" s="1312"/>
      <c r="AF60" s="1312"/>
      <c r="AG60" s="1633"/>
    </row>
    <row r="61" spans="16:33" s="1290" customFormat="1">
      <c r="P61" s="1312"/>
      <c r="Q61" s="1312"/>
      <c r="R61" s="1312"/>
      <c r="S61" s="1312"/>
      <c r="T61" s="1312"/>
      <c r="U61" s="1672">
        <v>2014</v>
      </c>
      <c r="V61" s="1675">
        <f t="shared" ref="V61:X62" si="9">+V58/V$48</f>
        <v>7.0833333333333331E-2</v>
      </c>
      <c r="W61" s="1675">
        <f t="shared" si="9"/>
        <v>6.5384615384615388E-2</v>
      </c>
      <c r="X61" s="1676">
        <f>+X58/X$48</f>
        <v>6.0714285714285714E-2</v>
      </c>
      <c r="AD61" s="1672">
        <v>2014</v>
      </c>
      <c r="AE61" s="1675">
        <f t="shared" ref="AE61:AG62" si="10">+AE58/AE$48</f>
        <v>6.3749999999999987E-2</v>
      </c>
      <c r="AF61" s="1675">
        <f t="shared" si="10"/>
        <v>5.7954545454545453E-2</v>
      </c>
      <c r="AG61" s="1676">
        <f t="shared" si="10"/>
        <v>5.3124999999999999E-2</v>
      </c>
    </row>
    <row r="62" spans="16:33" s="1290" customFormat="1">
      <c r="P62" s="1312"/>
      <c r="Q62" s="1312"/>
      <c r="R62" s="1312"/>
      <c r="S62" s="1312"/>
      <c r="T62" s="1312"/>
      <c r="U62" s="1677">
        <v>2015</v>
      </c>
      <c r="V62" s="1678">
        <f t="shared" si="9"/>
        <v>0.23621794871794868</v>
      </c>
      <c r="W62" s="1678">
        <f t="shared" si="9"/>
        <v>0.21804733727810652</v>
      </c>
      <c r="X62" s="1679">
        <f t="shared" si="9"/>
        <v>0.20247252747252747</v>
      </c>
      <c r="AD62" s="1677">
        <v>2015</v>
      </c>
      <c r="AE62" s="1678">
        <f t="shared" si="10"/>
        <v>0.21259615384615382</v>
      </c>
      <c r="AF62" s="1678">
        <f t="shared" si="10"/>
        <v>0.19326923076923075</v>
      </c>
      <c r="AG62" s="1679">
        <f t="shared" si="10"/>
        <v>0.17716346153846155</v>
      </c>
    </row>
    <row r="63" spans="16:33" s="1290" customFormat="1">
      <c r="P63" s="1312"/>
      <c r="Q63" s="1312"/>
      <c r="R63" s="1312"/>
      <c r="S63" s="1312"/>
      <c r="T63" s="1312"/>
    </row>
    <row r="64" spans="16:33" s="1290" customFormat="1">
      <c r="P64" s="1312"/>
      <c r="Q64" s="1312"/>
      <c r="R64" s="1312"/>
      <c r="S64" s="1312"/>
      <c r="T64" s="1312"/>
    </row>
    <row r="65" spans="16:20" s="1290" customFormat="1">
      <c r="P65" s="1312"/>
      <c r="Q65" s="1312"/>
      <c r="R65" s="1312"/>
      <c r="S65" s="1312"/>
      <c r="T65" s="1312"/>
    </row>
    <row r="66" spans="16:20" s="1290" customFormat="1">
      <c r="P66" s="1312"/>
      <c r="Q66" s="1312"/>
      <c r="R66" s="1312"/>
      <c r="S66" s="1312"/>
      <c r="T66" s="1312"/>
    </row>
    <row r="67" spans="16:20" s="1290" customFormat="1">
      <c r="P67" s="1312"/>
      <c r="Q67" s="1312"/>
      <c r="R67" s="1312"/>
      <c r="S67" s="1312"/>
      <c r="T67" s="1312"/>
    </row>
  </sheetData>
  <phoneticPr fontId="3" type="noConversion"/>
  <pageMargins left="0.75" right="0.75" top="1" bottom="1" header="0.5" footer="0.5"/>
  <pageSetup scale="33" orientation="landscape" horizontalDpi="1200" verticalDpi="1200"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5.875" style="2819" bestFit="1" customWidth="1"/>
    <col min="2" max="2" width="17.375" style="2821" customWidth="1"/>
    <col min="3" max="3" width="10.5" style="2819" bestFit="1" customWidth="1"/>
    <col min="4" max="256" width="9" style="2819"/>
    <col min="257" max="257" width="25.875" style="2819" bestFit="1" customWidth="1"/>
    <col min="258" max="258" width="17.375" style="2819" customWidth="1"/>
    <col min="259" max="259" width="10.5" style="2819" bestFit="1" customWidth="1"/>
    <col min="260" max="512" width="9" style="2819"/>
    <col min="513" max="513" width="25.875" style="2819" bestFit="1" customWidth="1"/>
    <col min="514" max="514" width="17.375" style="2819" customWidth="1"/>
    <col min="515" max="515" width="10.5" style="2819" bestFit="1" customWidth="1"/>
    <col min="516" max="768" width="9" style="2819"/>
    <col min="769" max="769" width="25.875" style="2819" bestFit="1" customWidth="1"/>
    <col min="770" max="770" width="17.375" style="2819" customWidth="1"/>
    <col min="771" max="771" width="10.5" style="2819" bestFit="1" customWidth="1"/>
    <col min="772" max="1024" width="9" style="2819"/>
    <col min="1025" max="1025" width="25.875" style="2819" bestFit="1" customWidth="1"/>
    <col min="1026" max="1026" width="17.375" style="2819" customWidth="1"/>
    <col min="1027" max="1027" width="10.5" style="2819" bestFit="1" customWidth="1"/>
    <col min="1028" max="1280" width="9" style="2819"/>
    <col min="1281" max="1281" width="25.875" style="2819" bestFit="1" customWidth="1"/>
    <col min="1282" max="1282" width="17.375" style="2819" customWidth="1"/>
    <col min="1283" max="1283" width="10.5" style="2819" bestFit="1" customWidth="1"/>
    <col min="1284" max="1536" width="9" style="2819"/>
    <col min="1537" max="1537" width="25.875" style="2819" bestFit="1" customWidth="1"/>
    <col min="1538" max="1538" width="17.375" style="2819" customWidth="1"/>
    <col min="1539" max="1539" width="10.5" style="2819" bestFit="1" customWidth="1"/>
    <col min="1540" max="1792" width="9" style="2819"/>
    <col min="1793" max="1793" width="25.875" style="2819" bestFit="1" customWidth="1"/>
    <col min="1794" max="1794" width="17.375" style="2819" customWidth="1"/>
    <col min="1795" max="1795" width="10.5" style="2819" bestFit="1" customWidth="1"/>
    <col min="1796" max="2048" width="9" style="2819"/>
    <col min="2049" max="2049" width="25.875" style="2819" bestFit="1" customWidth="1"/>
    <col min="2050" max="2050" width="17.375" style="2819" customWidth="1"/>
    <col min="2051" max="2051" width="10.5" style="2819" bestFit="1" customWidth="1"/>
    <col min="2052" max="2304" width="9" style="2819"/>
    <col min="2305" max="2305" width="25.875" style="2819" bestFit="1" customWidth="1"/>
    <col min="2306" max="2306" width="17.375" style="2819" customWidth="1"/>
    <col min="2307" max="2307" width="10.5" style="2819" bestFit="1" customWidth="1"/>
    <col min="2308" max="2560" width="9" style="2819"/>
    <col min="2561" max="2561" width="25.875" style="2819" bestFit="1" customWidth="1"/>
    <col min="2562" max="2562" width="17.375" style="2819" customWidth="1"/>
    <col min="2563" max="2563" width="10.5" style="2819" bestFit="1" customWidth="1"/>
    <col min="2564" max="2816" width="9" style="2819"/>
    <col min="2817" max="2817" width="25.875" style="2819" bestFit="1" customWidth="1"/>
    <col min="2818" max="2818" width="17.375" style="2819" customWidth="1"/>
    <col min="2819" max="2819" width="10.5" style="2819" bestFit="1" customWidth="1"/>
    <col min="2820" max="3072" width="9" style="2819"/>
    <col min="3073" max="3073" width="25.875" style="2819" bestFit="1" customWidth="1"/>
    <col min="3074" max="3074" width="17.375" style="2819" customWidth="1"/>
    <col min="3075" max="3075" width="10.5" style="2819" bestFit="1" customWidth="1"/>
    <col min="3076" max="3328" width="9" style="2819"/>
    <col min="3329" max="3329" width="25.875" style="2819" bestFit="1" customWidth="1"/>
    <col min="3330" max="3330" width="17.375" style="2819" customWidth="1"/>
    <col min="3331" max="3331" width="10.5" style="2819" bestFit="1" customWidth="1"/>
    <col min="3332" max="3584" width="9" style="2819"/>
    <col min="3585" max="3585" width="25.875" style="2819" bestFit="1" customWidth="1"/>
    <col min="3586" max="3586" width="17.375" style="2819" customWidth="1"/>
    <col min="3587" max="3587" width="10.5" style="2819" bestFit="1" customWidth="1"/>
    <col min="3588" max="3840" width="9" style="2819"/>
    <col min="3841" max="3841" width="25.875" style="2819" bestFit="1" customWidth="1"/>
    <col min="3842" max="3842" width="17.375" style="2819" customWidth="1"/>
    <col min="3843" max="3843" width="10.5" style="2819" bestFit="1" customWidth="1"/>
    <col min="3844" max="4096" width="9" style="2819"/>
    <col min="4097" max="4097" width="25.875" style="2819" bestFit="1" customWidth="1"/>
    <col min="4098" max="4098" width="17.375" style="2819" customWidth="1"/>
    <col min="4099" max="4099" width="10.5" style="2819" bestFit="1" customWidth="1"/>
    <col min="4100" max="4352" width="9" style="2819"/>
    <col min="4353" max="4353" width="25.875" style="2819" bestFit="1" customWidth="1"/>
    <col min="4354" max="4354" width="17.375" style="2819" customWidth="1"/>
    <col min="4355" max="4355" width="10.5" style="2819" bestFit="1" customWidth="1"/>
    <col min="4356" max="4608" width="9" style="2819"/>
    <col min="4609" max="4609" width="25.875" style="2819" bestFit="1" customWidth="1"/>
    <col min="4610" max="4610" width="17.375" style="2819" customWidth="1"/>
    <col min="4611" max="4611" width="10.5" style="2819" bestFit="1" customWidth="1"/>
    <col min="4612" max="4864" width="9" style="2819"/>
    <col min="4865" max="4865" width="25.875" style="2819" bestFit="1" customWidth="1"/>
    <col min="4866" max="4866" width="17.375" style="2819" customWidth="1"/>
    <col min="4867" max="4867" width="10.5" style="2819" bestFit="1" customWidth="1"/>
    <col min="4868" max="5120" width="9" style="2819"/>
    <col min="5121" max="5121" width="25.875" style="2819" bestFit="1" customWidth="1"/>
    <col min="5122" max="5122" width="17.375" style="2819" customWidth="1"/>
    <col min="5123" max="5123" width="10.5" style="2819" bestFit="1" customWidth="1"/>
    <col min="5124" max="5376" width="9" style="2819"/>
    <col min="5377" max="5377" width="25.875" style="2819" bestFit="1" customWidth="1"/>
    <col min="5378" max="5378" width="17.375" style="2819" customWidth="1"/>
    <col min="5379" max="5379" width="10.5" style="2819" bestFit="1" customWidth="1"/>
    <col min="5380" max="5632" width="9" style="2819"/>
    <col min="5633" max="5633" width="25.875" style="2819" bestFit="1" customWidth="1"/>
    <col min="5634" max="5634" width="17.375" style="2819" customWidth="1"/>
    <col min="5635" max="5635" width="10.5" style="2819" bestFit="1" customWidth="1"/>
    <col min="5636" max="5888" width="9" style="2819"/>
    <col min="5889" max="5889" width="25.875" style="2819" bestFit="1" customWidth="1"/>
    <col min="5890" max="5890" width="17.375" style="2819" customWidth="1"/>
    <col min="5891" max="5891" width="10.5" style="2819" bestFit="1" customWidth="1"/>
    <col min="5892" max="6144" width="9" style="2819"/>
    <col min="6145" max="6145" width="25.875" style="2819" bestFit="1" customWidth="1"/>
    <col min="6146" max="6146" width="17.375" style="2819" customWidth="1"/>
    <col min="6147" max="6147" width="10.5" style="2819" bestFit="1" customWidth="1"/>
    <col min="6148" max="6400" width="9" style="2819"/>
    <col min="6401" max="6401" width="25.875" style="2819" bestFit="1" customWidth="1"/>
    <col min="6402" max="6402" width="17.375" style="2819" customWidth="1"/>
    <col min="6403" max="6403" width="10.5" style="2819" bestFit="1" customWidth="1"/>
    <col min="6404" max="6656" width="9" style="2819"/>
    <col min="6657" max="6657" width="25.875" style="2819" bestFit="1" customWidth="1"/>
    <col min="6658" max="6658" width="17.375" style="2819" customWidth="1"/>
    <col min="6659" max="6659" width="10.5" style="2819" bestFit="1" customWidth="1"/>
    <col min="6660" max="6912" width="9" style="2819"/>
    <col min="6913" max="6913" width="25.875" style="2819" bestFit="1" customWidth="1"/>
    <col min="6914" max="6914" width="17.375" style="2819" customWidth="1"/>
    <col min="6915" max="6915" width="10.5" style="2819" bestFit="1" customWidth="1"/>
    <col min="6916" max="7168" width="9" style="2819"/>
    <col min="7169" max="7169" width="25.875" style="2819" bestFit="1" customWidth="1"/>
    <col min="7170" max="7170" width="17.375" style="2819" customWidth="1"/>
    <col min="7171" max="7171" width="10.5" style="2819" bestFit="1" customWidth="1"/>
    <col min="7172" max="7424" width="9" style="2819"/>
    <col min="7425" max="7425" width="25.875" style="2819" bestFit="1" customWidth="1"/>
    <col min="7426" max="7426" width="17.375" style="2819" customWidth="1"/>
    <col min="7427" max="7427" width="10.5" style="2819" bestFit="1" customWidth="1"/>
    <col min="7428" max="7680" width="9" style="2819"/>
    <col min="7681" max="7681" width="25.875" style="2819" bestFit="1" customWidth="1"/>
    <col min="7682" max="7682" width="17.375" style="2819" customWidth="1"/>
    <col min="7683" max="7683" width="10.5" style="2819" bestFit="1" customWidth="1"/>
    <col min="7684" max="7936" width="9" style="2819"/>
    <col min="7937" max="7937" width="25.875" style="2819" bestFit="1" customWidth="1"/>
    <col min="7938" max="7938" width="17.375" style="2819" customWidth="1"/>
    <col min="7939" max="7939" width="10.5" style="2819" bestFit="1" customWidth="1"/>
    <col min="7940" max="8192" width="9" style="2819"/>
    <col min="8193" max="8193" width="25.875" style="2819" bestFit="1" customWidth="1"/>
    <col min="8194" max="8194" width="17.375" style="2819" customWidth="1"/>
    <col min="8195" max="8195" width="10.5" style="2819" bestFit="1" customWidth="1"/>
    <col min="8196" max="8448" width="9" style="2819"/>
    <col min="8449" max="8449" width="25.875" style="2819" bestFit="1" customWidth="1"/>
    <col min="8450" max="8450" width="17.375" style="2819" customWidth="1"/>
    <col min="8451" max="8451" width="10.5" style="2819" bestFit="1" customWidth="1"/>
    <col min="8452" max="8704" width="9" style="2819"/>
    <col min="8705" max="8705" width="25.875" style="2819" bestFit="1" customWidth="1"/>
    <col min="8706" max="8706" width="17.375" style="2819" customWidth="1"/>
    <col min="8707" max="8707" width="10.5" style="2819" bestFit="1" customWidth="1"/>
    <col min="8708" max="8960" width="9" style="2819"/>
    <col min="8961" max="8961" width="25.875" style="2819" bestFit="1" customWidth="1"/>
    <col min="8962" max="8962" width="17.375" style="2819" customWidth="1"/>
    <col min="8963" max="8963" width="10.5" style="2819" bestFit="1" customWidth="1"/>
    <col min="8964" max="9216" width="9" style="2819"/>
    <col min="9217" max="9217" width="25.875" style="2819" bestFit="1" customWidth="1"/>
    <col min="9218" max="9218" width="17.375" style="2819" customWidth="1"/>
    <col min="9219" max="9219" width="10.5" style="2819" bestFit="1" customWidth="1"/>
    <col min="9220" max="9472" width="9" style="2819"/>
    <col min="9473" max="9473" width="25.875" style="2819" bestFit="1" customWidth="1"/>
    <col min="9474" max="9474" width="17.375" style="2819" customWidth="1"/>
    <col min="9475" max="9475" width="10.5" style="2819" bestFit="1" customWidth="1"/>
    <col min="9476" max="9728" width="9" style="2819"/>
    <col min="9729" max="9729" width="25.875" style="2819" bestFit="1" customWidth="1"/>
    <col min="9730" max="9730" width="17.375" style="2819" customWidth="1"/>
    <col min="9731" max="9731" width="10.5" style="2819" bestFit="1" customWidth="1"/>
    <col min="9732" max="9984" width="9" style="2819"/>
    <col min="9985" max="9985" width="25.875" style="2819" bestFit="1" customWidth="1"/>
    <col min="9986" max="9986" width="17.375" style="2819" customWidth="1"/>
    <col min="9987" max="9987" width="10.5" style="2819" bestFit="1" customWidth="1"/>
    <col min="9988" max="10240" width="9" style="2819"/>
    <col min="10241" max="10241" width="25.875" style="2819" bestFit="1" customWidth="1"/>
    <col min="10242" max="10242" width="17.375" style="2819" customWidth="1"/>
    <col min="10243" max="10243" width="10.5" style="2819" bestFit="1" customWidth="1"/>
    <col min="10244" max="10496" width="9" style="2819"/>
    <col min="10497" max="10497" width="25.875" style="2819" bestFit="1" customWidth="1"/>
    <col min="10498" max="10498" width="17.375" style="2819" customWidth="1"/>
    <col min="10499" max="10499" width="10.5" style="2819" bestFit="1" customWidth="1"/>
    <col min="10500" max="10752" width="9" style="2819"/>
    <col min="10753" max="10753" width="25.875" style="2819" bestFit="1" customWidth="1"/>
    <col min="10754" max="10754" width="17.375" style="2819" customWidth="1"/>
    <col min="10755" max="10755" width="10.5" style="2819" bestFit="1" customWidth="1"/>
    <col min="10756" max="11008" width="9" style="2819"/>
    <col min="11009" max="11009" width="25.875" style="2819" bestFit="1" customWidth="1"/>
    <col min="11010" max="11010" width="17.375" style="2819" customWidth="1"/>
    <col min="11011" max="11011" width="10.5" style="2819" bestFit="1" customWidth="1"/>
    <col min="11012" max="11264" width="9" style="2819"/>
    <col min="11265" max="11265" width="25.875" style="2819" bestFit="1" customWidth="1"/>
    <col min="11266" max="11266" width="17.375" style="2819" customWidth="1"/>
    <col min="11267" max="11267" width="10.5" style="2819" bestFit="1" customWidth="1"/>
    <col min="11268" max="11520" width="9" style="2819"/>
    <col min="11521" max="11521" width="25.875" style="2819" bestFit="1" customWidth="1"/>
    <col min="11522" max="11522" width="17.375" style="2819" customWidth="1"/>
    <col min="11523" max="11523" width="10.5" style="2819" bestFit="1" customWidth="1"/>
    <col min="11524" max="11776" width="9" style="2819"/>
    <col min="11777" max="11777" width="25.875" style="2819" bestFit="1" customWidth="1"/>
    <col min="11778" max="11778" width="17.375" style="2819" customWidth="1"/>
    <col min="11779" max="11779" width="10.5" style="2819" bestFit="1" customWidth="1"/>
    <col min="11780" max="12032" width="9" style="2819"/>
    <col min="12033" max="12033" width="25.875" style="2819" bestFit="1" customWidth="1"/>
    <col min="12034" max="12034" width="17.375" style="2819" customWidth="1"/>
    <col min="12035" max="12035" width="10.5" style="2819" bestFit="1" customWidth="1"/>
    <col min="12036" max="12288" width="9" style="2819"/>
    <col min="12289" max="12289" width="25.875" style="2819" bestFit="1" customWidth="1"/>
    <col min="12290" max="12290" width="17.375" style="2819" customWidth="1"/>
    <col min="12291" max="12291" width="10.5" style="2819" bestFit="1" customWidth="1"/>
    <col min="12292" max="12544" width="9" style="2819"/>
    <col min="12545" max="12545" width="25.875" style="2819" bestFit="1" customWidth="1"/>
    <col min="12546" max="12546" width="17.375" style="2819" customWidth="1"/>
    <col min="12547" max="12547" width="10.5" style="2819" bestFit="1" customWidth="1"/>
    <col min="12548" max="12800" width="9" style="2819"/>
    <col min="12801" max="12801" width="25.875" style="2819" bestFit="1" customWidth="1"/>
    <col min="12802" max="12802" width="17.375" style="2819" customWidth="1"/>
    <col min="12803" max="12803" width="10.5" style="2819" bestFit="1" customWidth="1"/>
    <col min="12804" max="13056" width="9" style="2819"/>
    <col min="13057" max="13057" width="25.875" style="2819" bestFit="1" customWidth="1"/>
    <col min="13058" max="13058" width="17.375" style="2819" customWidth="1"/>
    <col min="13059" max="13059" width="10.5" style="2819" bestFit="1" customWidth="1"/>
    <col min="13060" max="13312" width="9" style="2819"/>
    <col min="13313" max="13313" width="25.875" style="2819" bestFit="1" customWidth="1"/>
    <col min="13314" max="13314" width="17.375" style="2819" customWidth="1"/>
    <col min="13315" max="13315" width="10.5" style="2819" bestFit="1" customWidth="1"/>
    <col min="13316" max="13568" width="9" style="2819"/>
    <col min="13569" max="13569" width="25.875" style="2819" bestFit="1" customWidth="1"/>
    <col min="13570" max="13570" width="17.375" style="2819" customWidth="1"/>
    <col min="13571" max="13571" width="10.5" style="2819" bestFit="1" customWidth="1"/>
    <col min="13572" max="13824" width="9" style="2819"/>
    <col min="13825" max="13825" width="25.875" style="2819" bestFit="1" customWidth="1"/>
    <col min="13826" max="13826" width="17.375" style="2819" customWidth="1"/>
    <col min="13827" max="13827" width="10.5" style="2819" bestFit="1" customWidth="1"/>
    <col min="13828" max="14080" width="9" style="2819"/>
    <col min="14081" max="14081" width="25.875" style="2819" bestFit="1" customWidth="1"/>
    <col min="14082" max="14082" width="17.375" style="2819" customWidth="1"/>
    <col min="14083" max="14083" width="10.5" style="2819" bestFit="1" customWidth="1"/>
    <col min="14084" max="14336" width="9" style="2819"/>
    <col min="14337" max="14337" width="25.875" style="2819" bestFit="1" customWidth="1"/>
    <col min="14338" max="14338" width="17.375" style="2819" customWidth="1"/>
    <col min="14339" max="14339" width="10.5" style="2819" bestFit="1" customWidth="1"/>
    <col min="14340" max="14592" width="9" style="2819"/>
    <col min="14593" max="14593" width="25.875" style="2819" bestFit="1" customWidth="1"/>
    <col min="14594" max="14594" width="17.375" style="2819" customWidth="1"/>
    <col min="14595" max="14595" width="10.5" style="2819" bestFit="1" customWidth="1"/>
    <col min="14596" max="14848" width="9" style="2819"/>
    <col min="14849" max="14849" width="25.875" style="2819" bestFit="1" customWidth="1"/>
    <col min="14850" max="14850" width="17.375" style="2819" customWidth="1"/>
    <col min="14851" max="14851" width="10.5" style="2819" bestFit="1" customWidth="1"/>
    <col min="14852" max="15104" width="9" style="2819"/>
    <col min="15105" max="15105" width="25.875" style="2819" bestFit="1" customWidth="1"/>
    <col min="15106" max="15106" width="17.375" style="2819" customWidth="1"/>
    <col min="15107" max="15107" width="10.5" style="2819" bestFit="1" customWidth="1"/>
    <col min="15108" max="15360" width="9" style="2819"/>
    <col min="15361" max="15361" width="25.875" style="2819" bestFit="1" customWidth="1"/>
    <col min="15362" max="15362" width="17.375" style="2819" customWidth="1"/>
    <col min="15363" max="15363" width="10.5" style="2819" bestFit="1" customWidth="1"/>
    <col min="15364" max="15616" width="9" style="2819"/>
    <col min="15617" max="15617" width="25.875" style="2819" bestFit="1" customWidth="1"/>
    <col min="15618" max="15618" width="17.375" style="2819" customWidth="1"/>
    <col min="15619" max="15619" width="10.5" style="2819" bestFit="1" customWidth="1"/>
    <col min="15620" max="15872" width="9" style="2819"/>
    <col min="15873" max="15873" width="25.875" style="2819" bestFit="1" customWidth="1"/>
    <col min="15874" max="15874" width="17.375" style="2819" customWidth="1"/>
    <col min="15875" max="15875" width="10.5" style="2819" bestFit="1" customWidth="1"/>
    <col min="15876" max="16128" width="9" style="2819"/>
    <col min="16129" max="16129" width="25.875" style="2819" bestFit="1" customWidth="1"/>
    <col min="16130" max="16130" width="17.375" style="2819" customWidth="1"/>
    <col min="16131" max="16131" width="10.5" style="2819" bestFit="1" customWidth="1"/>
    <col min="16132" max="16384" width="9" style="2819"/>
  </cols>
  <sheetData>
    <row r="1" spans="1:2">
      <c r="A1" s="2819" t="s">
        <v>2479</v>
      </c>
      <c r="B1" s="2820">
        <v>6.1</v>
      </c>
    </row>
    <row r="2" spans="1:2">
      <c r="A2" s="2819" t="s">
        <v>2480</v>
      </c>
      <c r="B2" s="4171">
        <v>43145.669629629629</v>
      </c>
    </row>
    <row r="3" spans="1:2">
      <c r="A3" s="2819" t="s">
        <v>2481</v>
      </c>
      <c r="B3" s="2821" t="s">
        <v>2478</v>
      </c>
    </row>
    <row r="4" spans="1:2">
      <c r="A4" s="2819" t="s">
        <v>2482</v>
      </c>
      <c r="B4" s="2821" t="s">
        <v>2483</v>
      </c>
    </row>
    <row r="5" spans="1:2">
      <c r="A5" s="2819" t="s">
        <v>2484</v>
      </c>
      <c r="B5" s="2821" t="s">
        <v>2485</v>
      </c>
    </row>
    <row r="6" spans="1:2">
      <c r="A6" s="2819" t="s">
        <v>2486</v>
      </c>
    </row>
    <row r="7" spans="1:2">
      <c r="A7" s="2819" t="s">
        <v>1831</v>
      </c>
      <c r="B7" s="2821" t="s">
        <v>1582</v>
      </c>
    </row>
    <row r="8" spans="1:2">
      <c r="A8" s="2819" t="s">
        <v>2487</v>
      </c>
      <c r="B8" s="2821" t="s">
        <v>2488</v>
      </c>
    </row>
    <row r="9" spans="1:2">
      <c r="A9" s="2819" t="s">
        <v>2489</v>
      </c>
      <c r="B9" s="2821" t="s">
        <v>3516</v>
      </c>
    </row>
    <row r="10" spans="1:2">
      <c r="A10" s="2819" t="s">
        <v>2490</v>
      </c>
    </row>
    <row r="11" spans="1:2">
      <c r="A11" s="2819" t="s">
        <v>2491</v>
      </c>
    </row>
    <row r="12" spans="1:2">
      <c r="A12" s="2819" t="s">
        <v>2492</v>
      </c>
    </row>
    <row r="13" spans="1:2">
      <c r="A13" s="2819" t="s">
        <v>2493</v>
      </c>
    </row>
    <row r="14" spans="1:2">
      <c r="A14" s="2819" t="s">
        <v>2494</v>
      </c>
    </row>
    <row r="15" spans="1:2">
      <c r="A15" s="2819" t="s">
        <v>2495</v>
      </c>
    </row>
    <row r="16" spans="1:2">
      <c r="A16" s="2819" t="s">
        <v>2496</v>
      </c>
    </row>
    <row r="17" spans="1:4">
      <c r="A17" s="2819" t="s">
        <v>2497</v>
      </c>
      <c r="B17" s="2821" t="s">
        <v>2526</v>
      </c>
    </row>
    <row r="18" spans="1:4">
      <c r="A18" s="2819" t="s">
        <v>2498</v>
      </c>
      <c r="B18" s="2821" t="s">
        <v>2529</v>
      </c>
    </row>
    <row r="19" spans="1:4">
      <c r="A19" s="2819" t="s">
        <v>2499</v>
      </c>
      <c r="B19" s="2821" t="s">
        <v>1581</v>
      </c>
    </row>
    <row r="20" spans="1:4">
      <c r="A20" s="2819" t="s">
        <v>2500</v>
      </c>
      <c r="B20" s="2822" t="s">
        <v>3517</v>
      </c>
    </row>
    <row r="21" spans="1:4">
      <c r="A21" s="2819" t="s">
        <v>2501</v>
      </c>
      <c r="B21" s="2821" t="s">
        <v>1581</v>
      </c>
    </row>
    <row r="22" spans="1:4">
      <c r="A22" s="2819" t="s">
        <v>2502</v>
      </c>
      <c r="B22" s="2822" t="s">
        <v>3010</v>
      </c>
    </row>
    <row r="23" spans="1:4">
      <c r="A23" s="2819" t="s">
        <v>1799</v>
      </c>
      <c r="B23" s="2820">
        <v>85.95</v>
      </c>
    </row>
    <row r="24" spans="1:4">
      <c r="A24" s="2819" t="s">
        <v>1798</v>
      </c>
      <c r="B24" s="2821" t="s">
        <v>2172</v>
      </c>
      <c r="D24" s="2819" t="s">
        <v>2235</v>
      </c>
    </row>
    <row r="25" spans="1:4">
      <c r="A25" s="2819" t="s">
        <v>2503</v>
      </c>
      <c r="B25" s="2821" t="s">
        <v>3518</v>
      </c>
    </row>
    <row r="26" spans="1:4">
      <c r="A26" s="2819" t="s">
        <v>2504</v>
      </c>
      <c r="B26" s="2821">
        <v>0</v>
      </c>
    </row>
    <row r="27" spans="1:4">
      <c r="A27" s="2819" t="s">
        <v>2505</v>
      </c>
      <c r="B27" s="2821" t="s">
        <v>2506</v>
      </c>
    </row>
    <row r="28" spans="1:4">
      <c r="A28" s="2819" t="s">
        <v>2507</v>
      </c>
      <c r="B28" s="2821" t="s">
        <v>2508</v>
      </c>
    </row>
    <row r="29" spans="1:4">
      <c r="A29" s="2819" t="s">
        <v>2509</v>
      </c>
    </row>
    <row r="30" spans="1:4">
      <c r="A30" s="2819" t="s">
        <v>2510</v>
      </c>
    </row>
    <row r="31" spans="1:4">
      <c r="A31" s="2819" t="s">
        <v>2511</v>
      </c>
    </row>
    <row r="32" spans="1:4">
      <c r="A32" s="2819" t="s">
        <v>2512</v>
      </c>
      <c r="B32" s="2820"/>
    </row>
    <row r="33" spans="1:2">
      <c r="A33" s="2819" t="s">
        <v>2513</v>
      </c>
      <c r="B33" s="2820"/>
    </row>
    <row r="34" spans="1:2">
      <c r="A34" s="2819" t="s">
        <v>2514</v>
      </c>
      <c r="B34" s="2820"/>
    </row>
    <row r="35" spans="1:2">
      <c r="A35" s="2819" t="s">
        <v>2515</v>
      </c>
      <c r="B35" s="2821">
        <v>1000000</v>
      </c>
    </row>
    <row r="36" spans="1:2">
      <c r="A36" s="2819" t="s">
        <v>2516</v>
      </c>
      <c r="B36" s="2821" t="s">
        <v>2527</v>
      </c>
    </row>
    <row r="37" spans="1:2">
      <c r="A37" s="2819" t="s">
        <v>2517</v>
      </c>
      <c r="B37" s="2821" t="s">
        <v>2518</v>
      </c>
    </row>
    <row r="38" spans="1:2">
      <c r="A38" s="2819" t="s">
        <v>2519</v>
      </c>
      <c r="B38" s="2821" t="s">
        <v>2520</v>
      </c>
    </row>
    <row r="39" spans="1:2">
      <c r="A39" s="2819" t="s">
        <v>2521</v>
      </c>
      <c r="B39" s="2821" t="s">
        <v>2528</v>
      </c>
    </row>
    <row r="40" spans="1:2">
      <c r="A40" s="2819" t="s">
        <v>2522</v>
      </c>
      <c r="B40" s="2821">
        <v>1500004839</v>
      </c>
    </row>
    <row r="41" spans="1:2">
      <c r="A41" s="2819" t="s">
        <v>2523</v>
      </c>
      <c r="B41" s="2821">
        <v>1</v>
      </c>
    </row>
    <row r="42" spans="1:2">
      <c r="A42" s="2823" t="s">
        <v>2524</v>
      </c>
    </row>
    <row r="43" spans="1:2">
      <c r="A43" s="2819" t="s">
        <v>2525</v>
      </c>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5" style="2819" bestFit="1" customWidth="1"/>
    <col min="2" max="256" width="9" style="2819"/>
    <col min="257" max="257" width="25" style="2819" bestFit="1" customWidth="1"/>
    <col min="258" max="512" width="9" style="2819"/>
    <col min="513" max="513" width="25" style="2819" bestFit="1" customWidth="1"/>
    <col min="514" max="768" width="9" style="2819"/>
    <col min="769" max="769" width="25" style="2819" bestFit="1" customWidth="1"/>
    <col min="770" max="1024" width="9" style="2819"/>
    <col min="1025" max="1025" width="25" style="2819" bestFit="1" customWidth="1"/>
    <col min="1026" max="1280" width="9" style="2819"/>
    <col min="1281" max="1281" width="25" style="2819" bestFit="1" customWidth="1"/>
    <col min="1282" max="1536" width="9" style="2819"/>
    <col min="1537" max="1537" width="25" style="2819" bestFit="1" customWidth="1"/>
    <col min="1538" max="1792" width="9" style="2819"/>
    <col min="1793" max="1793" width="25" style="2819" bestFit="1" customWidth="1"/>
    <col min="1794" max="2048" width="9" style="2819"/>
    <col min="2049" max="2049" width="25" style="2819" bestFit="1" customWidth="1"/>
    <col min="2050" max="2304" width="9" style="2819"/>
    <col min="2305" max="2305" width="25" style="2819" bestFit="1" customWidth="1"/>
    <col min="2306" max="2560" width="9" style="2819"/>
    <col min="2561" max="2561" width="25" style="2819" bestFit="1" customWidth="1"/>
    <col min="2562" max="2816" width="9" style="2819"/>
    <col min="2817" max="2817" width="25" style="2819" bestFit="1" customWidth="1"/>
    <col min="2818" max="3072" width="9" style="2819"/>
    <col min="3073" max="3073" width="25" style="2819" bestFit="1" customWidth="1"/>
    <col min="3074" max="3328" width="9" style="2819"/>
    <col min="3329" max="3329" width="25" style="2819" bestFit="1" customWidth="1"/>
    <col min="3330" max="3584" width="9" style="2819"/>
    <col min="3585" max="3585" width="25" style="2819" bestFit="1" customWidth="1"/>
    <col min="3586" max="3840" width="9" style="2819"/>
    <col min="3841" max="3841" width="25" style="2819" bestFit="1" customWidth="1"/>
    <col min="3842" max="4096" width="9" style="2819"/>
    <col min="4097" max="4097" width="25" style="2819" bestFit="1" customWidth="1"/>
    <col min="4098" max="4352" width="9" style="2819"/>
    <col min="4353" max="4353" width="25" style="2819" bestFit="1" customWidth="1"/>
    <col min="4354" max="4608" width="9" style="2819"/>
    <col min="4609" max="4609" width="25" style="2819" bestFit="1" customWidth="1"/>
    <col min="4610" max="4864" width="9" style="2819"/>
    <col min="4865" max="4865" width="25" style="2819" bestFit="1" customWidth="1"/>
    <col min="4866" max="5120" width="9" style="2819"/>
    <col min="5121" max="5121" width="25" style="2819" bestFit="1" customWidth="1"/>
    <col min="5122" max="5376" width="9" style="2819"/>
    <col min="5377" max="5377" width="25" style="2819" bestFit="1" customWidth="1"/>
    <col min="5378" max="5632" width="9" style="2819"/>
    <col min="5633" max="5633" width="25" style="2819" bestFit="1" customWidth="1"/>
    <col min="5634" max="5888" width="9" style="2819"/>
    <col min="5889" max="5889" width="25" style="2819" bestFit="1" customWidth="1"/>
    <col min="5890" max="6144" width="9" style="2819"/>
    <col min="6145" max="6145" width="25" style="2819" bestFit="1" customWidth="1"/>
    <col min="6146" max="6400" width="9" style="2819"/>
    <col min="6401" max="6401" width="25" style="2819" bestFit="1" customWidth="1"/>
    <col min="6402" max="6656" width="9" style="2819"/>
    <col min="6657" max="6657" width="25" style="2819" bestFit="1" customWidth="1"/>
    <col min="6658" max="6912" width="9" style="2819"/>
    <col min="6913" max="6913" width="25" style="2819" bestFit="1" customWidth="1"/>
    <col min="6914" max="7168" width="9" style="2819"/>
    <col min="7169" max="7169" width="25" style="2819" bestFit="1" customWidth="1"/>
    <col min="7170" max="7424" width="9" style="2819"/>
    <col min="7425" max="7425" width="25" style="2819" bestFit="1" customWidth="1"/>
    <col min="7426" max="7680" width="9" style="2819"/>
    <col min="7681" max="7681" width="25" style="2819" bestFit="1" customWidth="1"/>
    <col min="7682" max="7936" width="9" style="2819"/>
    <col min="7937" max="7937" width="25" style="2819" bestFit="1" customWidth="1"/>
    <col min="7938" max="8192" width="9" style="2819"/>
    <col min="8193" max="8193" width="25" style="2819" bestFit="1" customWidth="1"/>
    <col min="8194" max="8448" width="9" style="2819"/>
    <col min="8449" max="8449" width="25" style="2819" bestFit="1" customWidth="1"/>
    <col min="8450" max="8704" width="9" style="2819"/>
    <col min="8705" max="8705" width="25" style="2819" bestFit="1" customWidth="1"/>
    <col min="8706" max="8960" width="9" style="2819"/>
    <col min="8961" max="8961" width="25" style="2819" bestFit="1" customWidth="1"/>
    <col min="8962" max="9216" width="9" style="2819"/>
    <col min="9217" max="9217" width="25" style="2819" bestFit="1" customWidth="1"/>
    <col min="9218" max="9472" width="9" style="2819"/>
    <col min="9473" max="9473" width="25" style="2819" bestFit="1" customWidth="1"/>
    <col min="9474" max="9728" width="9" style="2819"/>
    <col min="9729" max="9729" width="25" style="2819" bestFit="1" customWidth="1"/>
    <col min="9730" max="9984" width="9" style="2819"/>
    <col min="9985" max="9985" width="25" style="2819" bestFit="1" customWidth="1"/>
    <col min="9986" max="10240" width="9" style="2819"/>
    <col min="10241" max="10241" width="25" style="2819" bestFit="1" customWidth="1"/>
    <col min="10242" max="10496" width="9" style="2819"/>
    <col min="10497" max="10497" width="25" style="2819" bestFit="1" customWidth="1"/>
    <col min="10498" max="10752" width="9" style="2819"/>
    <col min="10753" max="10753" width="25" style="2819" bestFit="1" customWidth="1"/>
    <col min="10754" max="11008" width="9" style="2819"/>
    <col min="11009" max="11009" width="25" style="2819" bestFit="1" customWidth="1"/>
    <col min="11010" max="11264" width="9" style="2819"/>
    <col min="11265" max="11265" width="25" style="2819" bestFit="1" customWidth="1"/>
    <col min="11266" max="11520" width="9" style="2819"/>
    <col min="11521" max="11521" width="25" style="2819" bestFit="1" customWidth="1"/>
    <col min="11522" max="11776" width="9" style="2819"/>
    <col min="11777" max="11777" width="25" style="2819" bestFit="1" customWidth="1"/>
    <col min="11778" max="12032" width="9" style="2819"/>
    <col min="12033" max="12033" width="25" style="2819" bestFit="1" customWidth="1"/>
    <col min="12034" max="12288" width="9" style="2819"/>
    <col min="12289" max="12289" width="25" style="2819" bestFit="1" customWidth="1"/>
    <col min="12290" max="12544" width="9" style="2819"/>
    <col min="12545" max="12545" width="25" style="2819" bestFit="1" customWidth="1"/>
    <col min="12546" max="12800" width="9" style="2819"/>
    <col min="12801" max="12801" width="25" style="2819" bestFit="1" customWidth="1"/>
    <col min="12802" max="13056" width="9" style="2819"/>
    <col min="13057" max="13057" width="25" style="2819" bestFit="1" customWidth="1"/>
    <col min="13058" max="13312" width="9" style="2819"/>
    <col min="13313" max="13313" width="25" style="2819" bestFit="1" customWidth="1"/>
    <col min="13314" max="13568" width="9" style="2819"/>
    <col min="13569" max="13569" width="25" style="2819" bestFit="1" customWidth="1"/>
    <col min="13570" max="13824" width="9" style="2819"/>
    <col min="13825" max="13825" width="25" style="2819" bestFit="1" customWidth="1"/>
    <col min="13826" max="14080" width="9" style="2819"/>
    <col min="14081" max="14081" width="25" style="2819" bestFit="1" customWidth="1"/>
    <col min="14082" max="14336" width="9" style="2819"/>
    <col min="14337" max="14337" width="25" style="2819" bestFit="1" customWidth="1"/>
    <col min="14338" max="14592" width="9" style="2819"/>
    <col min="14593" max="14593" width="25" style="2819" bestFit="1" customWidth="1"/>
    <col min="14594" max="14848" width="9" style="2819"/>
    <col min="14849" max="14849" width="25" style="2819" bestFit="1" customWidth="1"/>
    <col min="14850" max="15104" width="9" style="2819"/>
    <col min="15105" max="15105" width="25" style="2819" bestFit="1" customWidth="1"/>
    <col min="15106" max="15360" width="9" style="2819"/>
    <col min="15361" max="15361" width="25" style="2819" bestFit="1" customWidth="1"/>
    <col min="15362" max="15616" width="9" style="2819"/>
    <col min="15617" max="15617" width="25" style="2819" bestFit="1" customWidth="1"/>
    <col min="15618" max="15872" width="9" style="2819"/>
    <col min="15873" max="15873" width="25" style="2819" bestFit="1" customWidth="1"/>
    <col min="15874" max="16128" width="9" style="2819"/>
    <col min="16129" max="16129" width="25" style="2819" bestFit="1" customWidth="1"/>
    <col min="16130" max="16384" width="9" style="2819"/>
  </cols>
  <sheetData>
    <row r="1" spans="1:1">
      <c r="A1" s="2824" t="s">
        <v>2530</v>
      </c>
    </row>
    <row r="2" spans="1:1">
      <c r="A2" s="2824" t="s">
        <v>3519</v>
      </c>
    </row>
    <row r="3" spans="1:1">
      <c r="A3" s="2824" t="s">
        <v>3520</v>
      </c>
    </row>
    <row r="4" spans="1:1">
      <c r="A4" s="2824" t="s">
        <v>2535</v>
      </c>
    </row>
    <row r="5" spans="1:1">
      <c r="A5" s="2824" t="s">
        <v>2536</v>
      </c>
    </row>
    <row r="6" spans="1:1">
      <c r="A6" s="2824" t="s">
        <v>2531</v>
      </c>
    </row>
    <row r="7" spans="1:1">
      <c r="A7" s="2824" t="s">
        <v>2537</v>
      </c>
    </row>
    <row r="8" spans="1:1">
      <c r="A8" s="2824" t="s">
        <v>2538</v>
      </c>
    </row>
    <row r="9" spans="1:1">
      <c r="A9" s="2824" t="s">
        <v>2539</v>
      </c>
    </row>
    <row r="10" spans="1:1">
      <c r="A10" s="2824" t="s">
        <v>2532</v>
      </c>
    </row>
    <row r="11" spans="1:1">
      <c r="A11" s="2824" t="s">
        <v>2540</v>
      </c>
    </row>
    <row r="12" spans="1:1">
      <c r="A12" s="2824" t="s">
        <v>2533</v>
      </c>
    </row>
    <row r="13" spans="1:1">
      <c r="A13" s="2824" t="s">
        <v>2534</v>
      </c>
    </row>
  </sheetData>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17"/>
  <sheetViews>
    <sheetView workbookViewId="0"/>
  </sheetViews>
  <sheetFormatPr defaultRowHeight="15.75"/>
  <sheetData>
    <row r="1" spans="1:1">
      <c r="A1" s="4" t="s">
        <v>251</v>
      </c>
    </row>
    <row r="2" spans="1:1">
      <c r="A2" s="107" t="s">
        <v>456</v>
      </c>
    </row>
    <row r="3" spans="1:1">
      <c r="A3" t="s">
        <v>252</v>
      </c>
    </row>
    <row r="4" spans="1:1">
      <c r="A4" t="s">
        <v>253</v>
      </c>
    </row>
    <row r="6" spans="1:1">
      <c r="A6" t="s">
        <v>30</v>
      </c>
    </row>
    <row r="7" spans="1:1">
      <c r="A7" t="s">
        <v>392</v>
      </c>
    </row>
    <row r="8" spans="1:1">
      <c r="A8" t="s">
        <v>719</v>
      </c>
    </row>
    <row r="10" spans="1:1">
      <c r="A10" t="s">
        <v>573</v>
      </c>
    </row>
    <row r="12" spans="1:1">
      <c r="A12" s="4" t="s">
        <v>2157</v>
      </c>
    </row>
    <row r="13" spans="1:1">
      <c r="A13" t="s">
        <v>729</v>
      </c>
    </row>
    <row r="14" spans="1:1">
      <c r="A14" t="s">
        <v>2221</v>
      </c>
    </row>
    <row r="15" spans="1:1">
      <c r="A15" t="s">
        <v>2222</v>
      </c>
    </row>
    <row r="16" spans="1:1">
      <c r="A16" t="s">
        <v>1723</v>
      </c>
    </row>
    <row r="17" spans="1:1">
      <c r="A17" t="s">
        <v>2182</v>
      </c>
    </row>
  </sheetData>
  <phoneticPr fontId="12" type="noConversion"/>
  <pageMargins left="0.75" right="0.75" top="1" bottom="1" header="0.5" footer="0.5"/>
  <pageSetup scale="71" orientation="portrait"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BX774"/>
  <sheetViews>
    <sheetView topLeftCell="BS338" workbookViewId="0">
      <selection activeCell="BY373" sqref="BY373"/>
    </sheetView>
  </sheetViews>
  <sheetFormatPr defaultColWidth="11.625" defaultRowHeight="15.75"/>
  <cols>
    <col min="1" max="1" width="2.375" customWidth="1"/>
    <col min="2" max="2" width="7.5" customWidth="1"/>
    <col min="3" max="5" width="2.375" customWidth="1"/>
    <col min="6" max="6" width="31.875" customWidth="1"/>
    <col min="7" max="25" width="11.625" customWidth="1"/>
    <col min="77" max="77" width="11.125" customWidth="1"/>
    <col min="78" max="78" width="11" customWidth="1"/>
    <col min="79" max="79" width="35" customWidth="1"/>
    <col min="80" max="80" width="10" customWidth="1"/>
    <col min="81" max="81" width="15.875" customWidth="1"/>
    <col min="82" max="82" width="8.875" customWidth="1"/>
  </cols>
  <sheetData>
    <row r="1" spans="1:76">
      <c r="A1" s="20" t="s">
        <v>465</v>
      </c>
      <c r="B1" s="20"/>
      <c r="C1" s="20"/>
      <c r="D1" s="20"/>
      <c r="E1" s="20"/>
      <c r="F1" s="20"/>
      <c r="G1" s="21"/>
      <c r="H1" s="21"/>
      <c r="I1" s="21"/>
      <c r="J1" s="21"/>
      <c r="K1" s="21"/>
      <c r="L1" s="21"/>
      <c r="M1" s="21"/>
      <c r="N1" s="21"/>
      <c r="O1" s="22"/>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row>
    <row r="3" spans="1:76">
      <c r="A3" s="24" t="s">
        <v>1360</v>
      </c>
      <c r="B3" s="24"/>
      <c r="C3" s="24"/>
      <c r="D3" s="24"/>
      <c r="E3" s="24"/>
      <c r="F3" s="24"/>
      <c r="G3" s="27"/>
      <c r="H3" s="27"/>
      <c r="I3" s="27"/>
      <c r="J3" s="27"/>
      <c r="K3" s="27"/>
      <c r="L3" s="27"/>
      <c r="M3" s="27"/>
      <c r="N3" s="27"/>
      <c r="O3" s="26"/>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row>
    <row r="4" spans="1:76">
      <c r="A4" s="4150">
        <v>38750.710902893516</v>
      </c>
      <c r="B4" s="4150"/>
      <c r="C4" s="28"/>
      <c r="D4" s="28"/>
      <c r="E4" s="28"/>
      <c r="F4" s="28"/>
      <c r="G4" s="29"/>
      <c r="H4" s="29"/>
      <c r="I4" s="29"/>
      <c r="J4" s="29"/>
      <c r="K4" s="29"/>
      <c r="L4" s="29"/>
      <c r="M4" s="29"/>
      <c r="N4" s="29"/>
      <c r="O4" s="30"/>
      <c r="P4" s="31"/>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row>
    <row r="5" spans="1:76">
      <c r="A5" s="33" t="s">
        <v>1361</v>
      </c>
      <c r="B5" s="34"/>
      <c r="C5" s="34"/>
      <c r="D5" s="34"/>
      <c r="E5" s="34"/>
      <c r="F5" s="34"/>
      <c r="G5" s="35"/>
      <c r="H5" s="35"/>
      <c r="I5" s="35"/>
      <c r="J5" s="35"/>
      <c r="K5" s="35"/>
      <c r="L5" s="4151" t="s">
        <v>1756</v>
      </c>
      <c r="M5" s="4151"/>
      <c r="N5" s="4152"/>
      <c r="O5" s="36"/>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76" ht="33.75">
      <c r="A6" s="37"/>
      <c r="B6" s="37"/>
      <c r="C6" s="37"/>
      <c r="D6" s="37"/>
      <c r="E6" s="37"/>
      <c r="F6" s="37"/>
      <c r="G6" s="38" t="s">
        <v>1444</v>
      </c>
      <c r="H6" s="38" t="s">
        <v>1160</v>
      </c>
      <c r="I6" s="38" t="s">
        <v>254</v>
      </c>
      <c r="J6" s="38" t="s">
        <v>255</v>
      </c>
      <c r="K6" s="38" t="s">
        <v>256</v>
      </c>
      <c r="L6" s="38" t="s">
        <v>1445</v>
      </c>
      <c r="M6" s="38" t="s">
        <v>1337</v>
      </c>
      <c r="N6" s="38" t="s">
        <v>1922</v>
      </c>
      <c r="O6" s="36"/>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108"/>
    </row>
    <row r="7" spans="1:76">
      <c r="A7" s="40" t="s">
        <v>1923</v>
      </c>
      <c r="B7" s="40"/>
      <c r="C7" s="40"/>
      <c r="D7" s="40"/>
      <c r="E7" s="40"/>
      <c r="F7" s="40"/>
      <c r="G7" s="41"/>
      <c r="H7" s="41"/>
      <c r="I7" s="41"/>
      <c r="J7" s="41"/>
      <c r="K7" s="41"/>
      <c r="L7" s="42"/>
      <c r="M7" s="42"/>
      <c r="N7" s="42"/>
      <c r="O7" s="43"/>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109"/>
    </row>
    <row r="8" spans="1:76" hidden="1">
      <c r="A8" s="40"/>
      <c r="B8" s="40"/>
      <c r="C8" s="40"/>
      <c r="D8" s="40"/>
      <c r="E8" s="40"/>
      <c r="F8" s="40"/>
      <c r="G8" s="41"/>
      <c r="H8" s="41"/>
      <c r="I8" s="41"/>
      <c r="J8" s="41"/>
      <c r="K8" s="41"/>
      <c r="L8" s="42"/>
      <c r="M8" s="42"/>
      <c r="N8" s="42"/>
      <c r="O8" s="43"/>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109"/>
    </row>
    <row r="9" spans="1:76" hidden="1">
      <c r="A9" s="40"/>
      <c r="B9" s="40"/>
      <c r="C9" s="40"/>
      <c r="D9" s="40"/>
      <c r="E9" s="40"/>
      <c r="F9" s="40"/>
      <c r="G9" s="41"/>
      <c r="H9" s="41"/>
      <c r="I9" s="41"/>
      <c r="J9" s="41"/>
      <c r="K9" s="41"/>
      <c r="L9" s="42"/>
      <c r="M9" s="42"/>
      <c r="N9" s="42"/>
      <c r="O9" s="43"/>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109"/>
    </row>
    <row r="10" spans="1:76" hidden="1">
      <c r="A10" s="40"/>
      <c r="B10" s="40"/>
      <c r="C10" s="40"/>
      <c r="D10" s="40"/>
      <c r="E10" s="40"/>
      <c r="F10" s="40"/>
      <c r="G10" s="41"/>
      <c r="H10" s="41"/>
      <c r="I10" s="41"/>
      <c r="J10" s="41"/>
      <c r="K10" s="41"/>
      <c r="L10" s="42"/>
      <c r="M10" s="42"/>
      <c r="N10" s="42"/>
      <c r="O10" s="43"/>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109"/>
    </row>
    <row r="11" spans="1:76" hidden="1">
      <c r="A11" s="40"/>
      <c r="B11" s="40"/>
      <c r="C11" s="40"/>
      <c r="D11" s="40"/>
      <c r="E11" s="40"/>
      <c r="F11" s="40"/>
      <c r="G11" s="41"/>
      <c r="H11" s="41"/>
      <c r="I11" s="41"/>
      <c r="J11" s="41"/>
      <c r="K11" s="41"/>
      <c r="L11" s="42"/>
      <c r="M11" s="42"/>
      <c r="N11" s="42"/>
      <c r="O11" s="43"/>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109"/>
    </row>
    <row r="12" spans="1:76" hidden="1">
      <c r="A12" s="40"/>
      <c r="B12" s="40"/>
      <c r="C12" s="40"/>
      <c r="D12" s="40"/>
      <c r="E12" s="40"/>
      <c r="F12" s="40"/>
      <c r="G12" s="41"/>
      <c r="H12" s="41"/>
      <c r="I12" s="41"/>
      <c r="J12" s="41"/>
      <c r="K12" s="41"/>
      <c r="L12" s="42"/>
      <c r="M12" s="42"/>
      <c r="N12" s="42"/>
      <c r="O12" s="43"/>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109"/>
    </row>
    <row r="13" spans="1:76" hidden="1">
      <c r="A13" s="40"/>
      <c r="B13" s="40"/>
      <c r="C13" s="40"/>
      <c r="D13" s="40"/>
      <c r="E13" s="40"/>
      <c r="F13" s="40"/>
      <c r="G13" s="41"/>
      <c r="H13" s="41"/>
      <c r="I13" s="41"/>
      <c r="J13" s="41"/>
      <c r="K13" s="41"/>
      <c r="L13" s="42"/>
      <c r="M13" s="42"/>
      <c r="N13" s="42"/>
      <c r="O13" s="43"/>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109"/>
    </row>
    <row r="14" spans="1:76" hidden="1">
      <c r="A14" s="40"/>
      <c r="B14" s="40"/>
      <c r="C14" s="40"/>
      <c r="D14" s="40"/>
      <c r="E14" s="40"/>
      <c r="F14" s="40"/>
      <c r="G14" s="41"/>
      <c r="H14" s="41"/>
      <c r="I14" s="41"/>
      <c r="J14" s="41"/>
      <c r="K14" s="41"/>
      <c r="L14" s="42"/>
      <c r="M14" s="42"/>
      <c r="N14" s="42"/>
      <c r="O14" s="43"/>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109"/>
    </row>
    <row r="15" spans="1:76" hidden="1">
      <c r="A15" s="40"/>
      <c r="B15" s="40"/>
      <c r="C15" s="40"/>
      <c r="D15" s="40"/>
      <c r="E15" s="40"/>
      <c r="F15" s="40"/>
      <c r="G15" s="41"/>
      <c r="H15" s="41"/>
      <c r="I15" s="41"/>
      <c r="J15" s="41"/>
      <c r="K15" s="41"/>
      <c r="L15" s="42"/>
      <c r="M15" s="42"/>
      <c r="N15" s="42"/>
      <c r="O15" s="43"/>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109"/>
    </row>
    <row r="16" spans="1:76" hidden="1">
      <c r="A16" s="40"/>
      <c r="B16" s="40"/>
      <c r="C16" s="40"/>
      <c r="D16" s="40"/>
      <c r="E16" s="40"/>
      <c r="F16" s="40"/>
      <c r="G16" s="41"/>
      <c r="H16" s="41"/>
      <c r="I16" s="41"/>
      <c r="J16" s="41"/>
      <c r="K16" s="41"/>
      <c r="L16" s="42"/>
      <c r="M16" s="42"/>
      <c r="N16" s="42"/>
      <c r="O16" s="43"/>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109"/>
    </row>
    <row r="17" spans="1:76" hidden="1">
      <c r="A17" s="40"/>
      <c r="B17" s="40"/>
      <c r="C17" s="40"/>
      <c r="D17" s="40"/>
      <c r="E17" s="40"/>
      <c r="F17" s="40"/>
      <c r="G17" s="41"/>
      <c r="H17" s="41"/>
      <c r="I17" s="41"/>
      <c r="J17" s="41"/>
      <c r="K17" s="41"/>
      <c r="L17" s="42"/>
      <c r="M17" s="42"/>
      <c r="N17" s="42"/>
      <c r="O17" s="43"/>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109"/>
    </row>
    <row r="18" spans="1:76">
      <c r="A18" s="44"/>
      <c r="B18" s="44" t="s">
        <v>583</v>
      </c>
      <c r="C18" s="44"/>
      <c r="D18" s="44"/>
      <c r="E18" s="44"/>
      <c r="F18" s="44"/>
      <c r="G18" s="45" t="b">
        <f t="shared" ref="G18:N18" si="0">IF(AND(IF(ISTEXT(G29), 0,G29)=0,IF(ISTEXT(G40), 0,G40)=0),TRUE,ABS((IF(ISTEXT(G29), 0,G29)-IF(ISTEXT(G40), 0,G40))/AVERAGE(ABS(IF(ISTEXT(G29), 0,G29)), ABS(IF(ISTEXT(G40), 0,G40)))*100) &lt; 0.5)</f>
        <v>1</v>
      </c>
      <c r="H18" s="45" t="b">
        <f t="shared" si="0"/>
        <v>1</v>
      </c>
      <c r="I18" s="45" t="b">
        <f t="shared" si="0"/>
        <v>1</v>
      </c>
      <c r="J18" s="45" t="b">
        <f t="shared" si="0"/>
        <v>1</v>
      </c>
      <c r="K18" s="45" t="b">
        <f t="shared" si="0"/>
        <v>1</v>
      </c>
      <c r="L18" s="46" t="b">
        <f t="shared" si="0"/>
        <v>1</v>
      </c>
      <c r="M18" s="46" t="b">
        <f t="shared" si="0"/>
        <v>1</v>
      </c>
      <c r="N18" s="46" t="b">
        <f t="shared" si="0"/>
        <v>1</v>
      </c>
      <c r="O18" s="47"/>
      <c r="P18" s="46"/>
      <c r="Q18" s="46"/>
      <c r="R18" s="46"/>
      <c r="S18" s="46"/>
      <c r="T18" s="46"/>
      <c r="U18" s="46"/>
      <c r="V18" s="46"/>
      <c r="W18" s="46"/>
      <c r="X18" s="46"/>
      <c r="Y18" s="46"/>
      <c r="Z18" s="46"/>
      <c r="AA18" s="46"/>
      <c r="AB18" s="46"/>
      <c r="AC18" s="46"/>
      <c r="AD18" s="46"/>
      <c r="AE18" s="46"/>
      <c r="AF18" s="46"/>
      <c r="AG18" s="46"/>
      <c r="AH18" s="46"/>
      <c r="AI18" s="46"/>
      <c r="AJ18" s="46"/>
      <c r="AK18" s="46"/>
      <c r="AL18" s="46"/>
      <c r="AM18" s="46"/>
      <c r="AN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W18" s="46"/>
      <c r="BX18" s="110"/>
    </row>
    <row r="19" spans="1:76" hidden="1">
      <c r="A19" s="44"/>
      <c r="B19" s="44"/>
      <c r="C19" s="44"/>
      <c r="D19" s="44"/>
      <c r="E19" s="44"/>
      <c r="F19" s="44"/>
      <c r="G19" s="45"/>
      <c r="H19" s="45"/>
      <c r="I19" s="45"/>
      <c r="J19" s="45"/>
      <c r="K19" s="45"/>
      <c r="L19" s="46"/>
      <c r="M19" s="46"/>
      <c r="N19" s="46"/>
      <c r="O19" s="47"/>
      <c r="P19" s="46"/>
      <c r="Q19" s="46"/>
      <c r="R19" s="46"/>
      <c r="S19" s="46"/>
      <c r="T19" s="46"/>
      <c r="U19" s="46"/>
      <c r="V19" s="46"/>
      <c r="W19" s="46"/>
      <c r="X19" s="46"/>
      <c r="Y19" s="46"/>
      <c r="Z19" s="46"/>
      <c r="AA19" s="46"/>
      <c r="AB19" s="46"/>
      <c r="AC19" s="46"/>
      <c r="AD19" s="46"/>
      <c r="AE19" s="46"/>
      <c r="AF19" s="46"/>
      <c r="AG19" s="46"/>
      <c r="AH19" s="46"/>
      <c r="AI19" s="46"/>
      <c r="AJ19" s="46"/>
      <c r="AK19" s="46"/>
      <c r="AL19" s="46"/>
      <c r="AM19" s="46"/>
      <c r="AN19" s="46"/>
      <c r="AO19" s="46"/>
      <c r="AP19" s="46"/>
      <c r="AQ19" s="46"/>
      <c r="AR19" s="46"/>
      <c r="AS19" s="46"/>
      <c r="AT19" s="46"/>
      <c r="AU19" s="46"/>
      <c r="AV19" s="46"/>
      <c r="AW19" s="46"/>
      <c r="AX19" s="46"/>
      <c r="AY19" s="46"/>
      <c r="AZ19" s="46"/>
      <c r="BA19" s="46"/>
      <c r="BB19" s="46"/>
      <c r="BC19" s="46"/>
      <c r="BD19" s="46"/>
      <c r="BE19" s="46"/>
      <c r="BF19" s="46"/>
      <c r="BG19" s="46"/>
      <c r="BH19" s="46"/>
      <c r="BI19" s="46"/>
      <c r="BJ19" s="46"/>
      <c r="BK19" s="46"/>
      <c r="BL19" s="46"/>
      <c r="BM19" s="46"/>
      <c r="BN19" s="46"/>
      <c r="BO19" s="46"/>
      <c r="BP19" s="46"/>
      <c r="BQ19" s="46"/>
      <c r="BR19" s="46"/>
      <c r="BS19" s="46"/>
      <c r="BT19" s="46"/>
      <c r="BU19" s="46"/>
      <c r="BV19" s="46"/>
      <c r="BW19" s="46"/>
      <c r="BX19" s="110"/>
    </row>
    <row r="20" spans="1:76" hidden="1">
      <c r="A20" s="44"/>
      <c r="B20" s="44"/>
      <c r="C20" s="44"/>
      <c r="D20" s="44"/>
      <c r="E20" s="44"/>
      <c r="F20" s="44"/>
      <c r="G20" s="45"/>
      <c r="H20" s="45"/>
      <c r="I20" s="45"/>
      <c r="J20" s="45"/>
      <c r="K20" s="45"/>
      <c r="L20" s="46"/>
      <c r="M20" s="46"/>
      <c r="N20" s="46"/>
      <c r="O20" s="47"/>
      <c r="P20" s="46"/>
      <c r="Q20" s="46"/>
      <c r="R20" s="46"/>
      <c r="S20" s="46"/>
      <c r="T20" s="46"/>
      <c r="U20" s="46"/>
      <c r="V20" s="46"/>
      <c r="W20" s="46"/>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110"/>
    </row>
    <row r="21" spans="1:76" hidden="1">
      <c r="A21" s="44"/>
      <c r="B21" s="44"/>
      <c r="C21" s="44"/>
      <c r="D21" s="44"/>
      <c r="E21" s="44"/>
      <c r="F21" s="44"/>
      <c r="G21" s="45"/>
      <c r="H21" s="45"/>
      <c r="I21" s="45"/>
      <c r="J21" s="45"/>
      <c r="K21" s="45"/>
      <c r="L21" s="46"/>
      <c r="M21" s="46"/>
      <c r="N21" s="46"/>
      <c r="O21" s="47"/>
      <c r="P21" s="46"/>
      <c r="Q21" s="46"/>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6"/>
      <c r="BO21" s="46"/>
      <c r="BP21" s="46"/>
      <c r="BQ21" s="46"/>
      <c r="BR21" s="46"/>
      <c r="BS21" s="46"/>
      <c r="BT21" s="46"/>
      <c r="BU21" s="46"/>
      <c r="BV21" s="46"/>
      <c r="BW21" s="46"/>
      <c r="BX21" s="110"/>
    </row>
    <row r="22" spans="1:76" hidden="1">
      <c r="A22" s="44"/>
      <c r="B22" s="44"/>
      <c r="C22" s="44"/>
      <c r="D22" s="44"/>
      <c r="E22" s="44"/>
      <c r="F22" s="44"/>
      <c r="G22" s="45"/>
      <c r="H22" s="45"/>
      <c r="I22" s="45"/>
      <c r="J22" s="45"/>
      <c r="K22" s="45"/>
      <c r="L22" s="46"/>
      <c r="M22" s="46"/>
      <c r="N22" s="46"/>
      <c r="O22" s="47"/>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46"/>
      <c r="AQ22" s="46"/>
      <c r="AR22" s="46"/>
      <c r="AS22" s="46"/>
      <c r="AT22" s="46"/>
      <c r="AU22" s="46"/>
      <c r="AV22" s="46"/>
      <c r="AW22" s="46"/>
      <c r="AX22" s="46"/>
      <c r="AY22" s="46"/>
      <c r="AZ22" s="46"/>
      <c r="BA22" s="46"/>
      <c r="BB22" s="46"/>
      <c r="BC22" s="46"/>
      <c r="BD22" s="46"/>
      <c r="BE22" s="46"/>
      <c r="BF22" s="46"/>
      <c r="BG22" s="46"/>
      <c r="BH22" s="46"/>
      <c r="BI22" s="46"/>
      <c r="BJ22" s="46"/>
      <c r="BK22" s="46"/>
      <c r="BL22" s="46"/>
      <c r="BM22" s="46"/>
      <c r="BN22" s="46"/>
      <c r="BO22" s="46"/>
      <c r="BP22" s="46"/>
      <c r="BQ22" s="46"/>
      <c r="BR22" s="46"/>
      <c r="BS22" s="46"/>
      <c r="BT22" s="46"/>
      <c r="BU22" s="46"/>
      <c r="BV22" s="46"/>
      <c r="BW22" s="46"/>
      <c r="BX22" s="110"/>
    </row>
    <row r="23" spans="1:76" hidden="1">
      <c r="A23" s="44"/>
      <c r="B23" s="44"/>
      <c r="C23" s="44"/>
      <c r="D23" s="44"/>
      <c r="E23" s="44"/>
      <c r="F23" s="44"/>
      <c r="G23" s="45"/>
      <c r="H23" s="45"/>
      <c r="I23" s="45"/>
      <c r="J23" s="45"/>
      <c r="K23" s="45"/>
      <c r="L23" s="46"/>
      <c r="M23" s="46"/>
      <c r="N23" s="46"/>
      <c r="O23" s="47"/>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46"/>
      <c r="AQ23" s="46"/>
      <c r="AR23" s="46"/>
      <c r="AS23" s="46"/>
      <c r="AT23" s="46"/>
      <c r="AU23" s="46"/>
      <c r="AV23" s="46"/>
      <c r="AW23" s="46"/>
      <c r="AX23" s="46"/>
      <c r="AY23" s="46"/>
      <c r="AZ23" s="46"/>
      <c r="BA23" s="46"/>
      <c r="BB23" s="46"/>
      <c r="BC23" s="46"/>
      <c r="BD23" s="46"/>
      <c r="BE23" s="46"/>
      <c r="BF23" s="46"/>
      <c r="BG23" s="46"/>
      <c r="BH23" s="46"/>
      <c r="BI23" s="46"/>
      <c r="BJ23" s="46"/>
      <c r="BK23" s="46"/>
      <c r="BL23" s="46"/>
      <c r="BM23" s="46"/>
      <c r="BN23" s="46"/>
      <c r="BO23" s="46"/>
      <c r="BP23" s="46"/>
      <c r="BQ23" s="46"/>
      <c r="BR23" s="46"/>
      <c r="BS23" s="46"/>
      <c r="BT23" s="46"/>
      <c r="BU23" s="46"/>
      <c r="BV23" s="46"/>
      <c r="BW23" s="46"/>
      <c r="BX23" s="110"/>
    </row>
    <row r="24" spans="1:76" hidden="1">
      <c r="A24" s="44"/>
      <c r="B24" s="44"/>
      <c r="C24" s="44"/>
      <c r="D24" s="44"/>
      <c r="E24" s="44"/>
      <c r="F24" s="44"/>
      <c r="G24" s="45"/>
      <c r="H24" s="45"/>
      <c r="I24" s="45"/>
      <c r="J24" s="45"/>
      <c r="K24" s="45"/>
      <c r="L24" s="46"/>
      <c r="M24" s="46"/>
      <c r="N24" s="46"/>
      <c r="O24" s="47"/>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46"/>
      <c r="BL24" s="46"/>
      <c r="BM24" s="46"/>
      <c r="BN24" s="46"/>
      <c r="BO24" s="46"/>
      <c r="BP24" s="46"/>
      <c r="BQ24" s="46"/>
      <c r="BR24" s="46"/>
      <c r="BS24" s="46"/>
      <c r="BT24" s="46"/>
      <c r="BU24" s="46"/>
      <c r="BV24" s="46"/>
      <c r="BW24" s="46"/>
      <c r="BX24" s="110"/>
    </row>
    <row r="25" spans="1:76" hidden="1">
      <c r="A25" s="44"/>
      <c r="B25" s="44"/>
      <c r="C25" s="44"/>
      <c r="D25" s="44"/>
      <c r="E25" s="44"/>
      <c r="F25" s="44"/>
      <c r="G25" s="45"/>
      <c r="H25" s="45"/>
      <c r="I25" s="45"/>
      <c r="J25" s="45"/>
      <c r="K25" s="45"/>
      <c r="L25" s="46"/>
      <c r="M25" s="46"/>
      <c r="N25" s="46"/>
      <c r="O25" s="47"/>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110"/>
    </row>
    <row r="26" spans="1:76" hidden="1">
      <c r="A26" s="44"/>
      <c r="B26" s="44"/>
      <c r="C26" s="44"/>
      <c r="D26" s="44"/>
      <c r="E26" s="44"/>
      <c r="F26" s="44"/>
      <c r="G26" s="45"/>
      <c r="H26" s="45"/>
      <c r="I26" s="45"/>
      <c r="J26" s="45"/>
      <c r="K26" s="45"/>
      <c r="L26" s="46"/>
      <c r="M26" s="46"/>
      <c r="N26" s="46"/>
      <c r="O26" s="47"/>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c r="BP26" s="46"/>
      <c r="BQ26" s="46"/>
      <c r="BR26" s="46"/>
      <c r="BS26" s="46"/>
      <c r="BT26" s="46"/>
      <c r="BU26" s="46"/>
      <c r="BV26" s="46"/>
      <c r="BW26" s="46"/>
      <c r="BX26" s="110"/>
    </row>
    <row r="27" spans="1:76" hidden="1">
      <c r="A27" s="44"/>
      <c r="B27" s="44"/>
      <c r="C27" s="44"/>
      <c r="D27" s="44"/>
      <c r="E27" s="44"/>
      <c r="F27" s="44"/>
      <c r="G27" s="45"/>
      <c r="H27" s="45"/>
      <c r="I27" s="45"/>
      <c r="J27" s="45"/>
      <c r="K27" s="45"/>
      <c r="L27" s="46"/>
      <c r="M27" s="46"/>
      <c r="N27" s="46"/>
      <c r="O27" s="47"/>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46"/>
      <c r="AQ27" s="46"/>
      <c r="AR27" s="46"/>
      <c r="AS27" s="46"/>
      <c r="AT27" s="46"/>
      <c r="AU27" s="46"/>
      <c r="AV27" s="46"/>
      <c r="AW27" s="46"/>
      <c r="AX27" s="46"/>
      <c r="AY27" s="46"/>
      <c r="AZ27" s="46"/>
      <c r="BA27" s="46"/>
      <c r="BB27" s="46"/>
      <c r="BC27" s="46"/>
      <c r="BD27" s="46"/>
      <c r="BE27" s="46"/>
      <c r="BF27" s="46"/>
      <c r="BG27" s="46"/>
      <c r="BH27" s="46"/>
      <c r="BI27" s="46"/>
      <c r="BJ27" s="46"/>
      <c r="BK27" s="46"/>
      <c r="BL27" s="46"/>
      <c r="BM27" s="46"/>
      <c r="BN27" s="46"/>
      <c r="BO27" s="46"/>
      <c r="BP27" s="46"/>
      <c r="BQ27" s="46"/>
      <c r="BR27" s="46"/>
      <c r="BS27" s="46"/>
      <c r="BT27" s="46"/>
      <c r="BU27" s="46"/>
      <c r="BV27" s="46"/>
      <c r="BW27" s="46"/>
      <c r="BX27" s="110"/>
    </row>
    <row r="28" spans="1:76" hidden="1">
      <c r="A28" s="44"/>
      <c r="B28" s="44"/>
      <c r="C28" s="44"/>
      <c r="D28" s="44"/>
      <c r="E28" s="44"/>
      <c r="F28" s="44"/>
      <c r="G28" s="45"/>
      <c r="H28" s="45"/>
      <c r="I28" s="45"/>
      <c r="J28" s="45"/>
      <c r="K28" s="45"/>
      <c r="L28" s="46"/>
      <c r="M28" s="46"/>
      <c r="N28" s="46"/>
      <c r="O28" s="47"/>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46"/>
      <c r="AQ28" s="46"/>
      <c r="AR28" s="46"/>
      <c r="AS28" s="46"/>
      <c r="AT28" s="46"/>
      <c r="AU28" s="46"/>
      <c r="AV28" s="46"/>
      <c r="AW28" s="46"/>
      <c r="AX28" s="46"/>
      <c r="AY28" s="46"/>
      <c r="AZ28" s="46"/>
      <c r="BA28" s="46"/>
      <c r="BB28" s="46"/>
      <c r="BC28" s="46"/>
      <c r="BD28" s="46"/>
      <c r="BE28" s="46"/>
      <c r="BF28" s="46"/>
      <c r="BG28" s="46"/>
      <c r="BH28" s="46"/>
      <c r="BI28" s="46"/>
      <c r="BJ28" s="46"/>
      <c r="BK28" s="46"/>
      <c r="BL28" s="46"/>
      <c r="BM28" s="46"/>
      <c r="BN28" s="46"/>
      <c r="BO28" s="46"/>
      <c r="BP28" s="46"/>
      <c r="BQ28" s="46"/>
      <c r="BR28" s="46"/>
      <c r="BS28" s="46"/>
      <c r="BT28" s="46"/>
      <c r="BU28" s="46"/>
      <c r="BV28" s="46"/>
      <c r="BW28" s="46"/>
      <c r="BX28" s="110"/>
    </row>
    <row r="29" spans="1:76">
      <c r="A29" s="37"/>
      <c r="B29" s="37"/>
      <c r="C29" s="37" t="s">
        <v>1674</v>
      </c>
      <c r="D29" s="37"/>
      <c r="E29" s="37"/>
      <c r="F29" s="37"/>
      <c r="G29" s="39">
        <f t="shared" ref="G29:N29" si="1">IF(ISTEXT(G271), 0,G271)+IF(ISTEXT(G272), 0,G272)+IF(ISTEXT(G273), 0,G273)+IF(ISTEXT(G280), 0,G280)+IF(ISTEXT(G283), 0,G283)+IF(ISTEXT(G286), 0,G286)+IF(ISTEXT(G289), 0,G289)+IF(ISTEXT(G292), 0,G292)+IF(ISTEXT(G295), 0,G295)+IF(ISTEXT(G299), 0,G299)+IF(ISTEXT(G306), 0,G306)+IF(ISTEXT(G313), 0,G313)+IF(ISTEXT(G316), 0,G316)+IF(ISTEXT(G319), 0,G319)+IF(ISTEXT(G322), 0,G322)+IF(ISTEXT(G326), 0,G326)+IF(ISTEXT(G327), 0,G327)+IF(ISTEXT(G330), 0,G330)+IF(ISTEXT(G331), 0,G331)+IF(ISTEXT(G333), 0,G333)+IF(ISTEXT(G336), 0,G336)+IF(ISTEXT(G339), 0,G339)</f>
        <v>8525</v>
      </c>
      <c r="H29" s="39">
        <f t="shared" si="1"/>
        <v>13417</v>
      </c>
      <c r="I29" s="39">
        <f t="shared" si="1"/>
        <v>12925</v>
      </c>
      <c r="J29" s="39">
        <f t="shared" si="1"/>
        <v>12697</v>
      </c>
      <c r="K29" s="39">
        <f t="shared" si="1"/>
        <v>12461</v>
      </c>
      <c r="L29" s="48">
        <f t="shared" si="1"/>
        <v>12190</v>
      </c>
      <c r="M29" s="48">
        <f t="shared" si="1"/>
        <v>11857</v>
      </c>
      <c r="N29" s="48">
        <f t="shared" si="1"/>
        <v>12298</v>
      </c>
      <c r="O29" s="36"/>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111"/>
    </row>
    <row r="30" spans="1:76" hidden="1">
      <c r="A30" s="37"/>
      <c r="B30" s="37"/>
      <c r="C30" s="37"/>
      <c r="D30" s="37"/>
      <c r="E30" s="37"/>
      <c r="F30" s="37"/>
      <c r="G30" s="39"/>
      <c r="H30" s="39"/>
      <c r="I30" s="39"/>
      <c r="J30" s="39"/>
      <c r="K30" s="39"/>
      <c r="L30" s="48"/>
      <c r="M30" s="48"/>
      <c r="N30" s="48"/>
      <c r="O30" s="36"/>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48"/>
      <c r="BA30" s="48"/>
      <c r="BB30" s="48"/>
      <c r="BC30" s="48"/>
      <c r="BD30" s="48"/>
      <c r="BE30" s="48"/>
      <c r="BF30" s="48"/>
      <c r="BG30" s="48"/>
      <c r="BH30" s="48"/>
      <c r="BI30" s="48"/>
      <c r="BJ30" s="48"/>
      <c r="BK30" s="48"/>
      <c r="BL30" s="48"/>
      <c r="BM30" s="48"/>
      <c r="BN30" s="48"/>
      <c r="BO30" s="48"/>
      <c r="BP30" s="48"/>
      <c r="BQ30" s="48"/>
      <c r="BR30" s="48"/>
      <c r="BS30" s="48"/>
      <c r="BT30" s="48"/>
      <c r="BU30" s="48"/>
      <c r="BV30" s="48"/>
      <c r="BW30" s="48"/>
      <c r="BX30" s="111"/>
    </row>
    <row r="31" spans="1:76" hidden="1">
      <c r="A31" s="37"/>
      <c r="B31" s="37"/>
      <c r="C31" s="37"/>
      <c r="D31" s="37"/>
      <c r="E31" s="37"/>
      <c r="F31" s="37"/>
      <c r="G31" s="39"/>
      <c r="H31" s="39"/>
      <c r="I31" s="39"/>
      <c r="J31" s="39"/>
      <c r="K31" s="39"/>
      <c r="L31" s="48"/>
      <c r="M31" s="48"/>
      <c r="N31" s="48"/>
      <c r="O31" s="36"/>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c r="BI31" s="48"/>
      <c r="BJ31" s="48"/>
      <c r="BK31" s="48"/>
      <c r="BL31" s="48"/>
      <c r="BM31" s="48"/>
      <c r="BN31" s="48"/>
      <c r="BO31" s="48"/>
      <c r="BP31" s="48"/>
      <c r="BQ31" s="48"/>
      <c r="BR31" s="48"/>
      <c r="BS31" s="48"/>
      <c r="BT31" s="48"/>
      <c r="BU31" s="48"/>
      <c r="BV31" s="48"/>
      <c r="BW31" s="48"/>
      <c r="BX31" s="111"/>
    </row>
    <row r="32" spans="1:76" hidden="1">
      <c r="A32" s="37"/>
      <c r="B32" s="37"/>
      <c r="C32" s="37"/>
      <c r="D32" s="37"/>
      <c r="E32" s="37"/>
      <c r="F32" s="37"/>
      <c r="G32" s="39"/>
      <c r="H32" s="39"/>
      <c r="I32" s="39"/>
      <c r="J32" s="39"/>
      <c r="K32" s="39"/>
      <c r="L32" s="48"/>
      <c r="M32" s="48"/>
      <c r="N32" s="48"/>
      <c r="O32" s="36"/>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111"/>
    </row>
    <row r="33" spans="1:76" hidden="1">
      <c r="A33" s="37"/>
      <c r="B33" s="37"/>
      <c r="C33" s="37"/>
      <c r="D33" s="37"/>
      <c r="E33" s="37"/>
      <c r="F33" s="37"/>
      <c r="G33" s="39"/>
      <c r="H33" s="39"/>
      <c r="I33" s="39"/>
      <c r="J33" s="39"/>
      <c r="K33" s="39"/>
      <c r="L33" s="48"/>
      <c r="M33" s="48"/>
      <c r="N33" s="48"/>
      <c r="O33" s="36"/>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48"/>
      <c r="BA33" s="48"/>
      <c r="BB33" s="48"/>
      <c r="BC33" s="48"/>
      <c r="BD33" s="48"/>
      <c r="BE33" s="48"/>
      <c r="BF33" s="48"/>
      <c r="BG33" s="48"/>
      <c r="BH33" s="48"/>
      <c r="BI33" s="48"/>
      <c r="BJ33" s="48"/>
      <c r="BK33" s="48"/>
      <c r="BL33" s="48"/>
      <c r="BM33" s="48"/>
      <c r="BN33" s="48"/>
      <c r="BO33" s="48"/>
      <c r="BP33" s="48"/>
      <c r="BQ33" s="48"/>
      <c r="BR33" s="48"/>
      <c r="BS33" s="48"/>
      <c r="BT33" s="48"/>
      <c r="BU33" s="48"/>
      <c r="BV33" s="48"/>
      <c r="BW33" s="48"/>
      <c r="BX33" s="111"/>
    </row>
    <row r="34" spans="1:76" hidden="1">
      <c r="A34" s="37"/>
      <c r="B34" s="37"/>
      <c r="C34" s="37"/>
      <c r="D34" s="37"/>
      <c r="E34" s="37"/>
      <c r="F34" s="37"/>
      <c r="G34" s="39"/>
      <c r="H34" s="39"/>
      <c r="I34" s="39"/>
      <c r="J34" s="39"/>
      <c r="K34" s="39"/>
      <c r="L34" s="48"/>
      <c r="M34" s="48"/>
      <c r="N34" s="48"/>
      <c r="O34" s="36"/>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c r="BO34" s="48"/>
      <c r="BP34" s="48"/>
      <c r="BQ34" s="48"/>
      <c r="BR34" s="48"/>
      <c r="BS34" s="48"/>
      <c r="BT34" s="48"/>
      <c r="BU34" s="48"/>
      <c r="BV34" s="48"/>
      <c r="BW34" s="48"/>
      <c r="BX34" s="111"/>
    </row>
    <row r="35" spans="1:76" hidden="1">
      <c r="A35" s="37"/>
      <c r="B35" s="37"/>
      <c r="C35" s="37"/>
      <c r="D35" s="37"/>
      <c r="E35" s="37"/>
      <c r="F35" s="37"/>
      <c r="G35" s="39"/>
      <c r="H35" s="39"/>
      <c r="I35" s="39"/>
      <c r="J35" s="39"/>
      <c r="K35" s="39"/>
      <c r="L35" s="48"/>
      <c r="M35" s="48"/>
      <c r="N35" s="48"/>
      <c r="O35" s="36"/>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111"/>
    </row>
    <row r="36" spans="1:76" hidden="1">
      <c r="A36" s="37"/>
      <c r="B36" s="37"/>
      <c r="C36" s="37"/>
      <c r="D36" s="37"/>
      <c r="E36" s="37"/>
      <c r="F36" s="37"/>
      <c r="G36" s="39"/>
      <c r="H36" s="39"/>
      <c r="I36" s="39"/>
      <c r="J36" s="39"/>
      <c r="K36" s="39"/>
      <c r="L36" s="48"/>
      <c r="M36" s="48"/>
      <c r="N36" s="48"/>
      <c r="O36" s="36"/>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111"/>
    </row>
    <row r="37" spans="1:76" hidden="1">
      <c r="A37" s="37"/>
      <c r="B37" s="37"/>
      <c r="C37" s="37"/>
      <c r="D37" s="37"/>
      <c r="E37" s="37"/>
      <c r="F37" s="37"/>
      <c r="G37" s="39"/>
      <c r="H37" s="39"/>
      <c r="I37" s="39"/>
      <c r="J37" s="39"/>
      <c r="K37" s="39"/>
      <c r="L37" s="48"/>
      <c r="M37" s="48"/>
      <c r="N37" s="48"/>
      <c r="O37" s="36"/>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c r="BX37" s="111"/>
    </row>
    <row r="38" spans="1:76" hidden="1">
      <c r="A38" s="37"/>
      <c r="B38" s="37"/>
      <c r="C38" s="37"/>
      <c r="D38" s="37"/>
      <c r="E38" s="37"/>
      <c r="F38" s="37"/>
      <c r="G38" s="39"/>
      <c r="H38" s="39"/>
      <c r="I38" s="39"/>
      <c r="J38" s="39"/>
      <c r="K38" s="39"/>
      <c r="L38" s="48"/>
      <c r="M38" s="48"/>
      <c r="N38" s="48"/>
      <c r="O38" s="36"/>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c r="BX38" s="111"/>
    </row>
    <row r="39" spans="1:76" hidden="1">
      <c r="A39" s="37"/>
      <c r="B39" s="37"/>
      <c r="C39" s="37"/>
      <c r="D39" s="37"/>
      <c r="E39" s="37"/>
      <c r="F39" s="37"/>
      <c r="G39" s="39"/>
      <c r="H39" s="39"/>
      <c r="I39" s="39"/>
      <c r="J39" s="39"/>
      <c r="K39" s="39"/>
      <c r="L39" s="48"/>
      <c r="M39" s="48"/>
      <c r="N39" s="48"/>
      <c r="O39" s="36"/>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c r="BX39" s="111"/>
    </row>
    <row r="40" spans="1:76">
      <c r="A40" s="37"/>
      <c r="B40" s="37"/>
      <c r="C40" s="37" t="s">
        <v>1350</v>
      </c>
      <c r="D40" s="37"/>
      <c r="E40" s="37"/>
      <c r="F40" s="37"/>
      <c r="G40" s="39">
        <f t="shared" ref="G40:N40" si="2">+IF(ISTEXT(G341), 0,G341)+IF(ISTEXT(G348), 0,G348)+IF(ISTEXT(G349), 0,G349)+IF(ISTEXT(G355), 0,G355)+IF(ISTEXT(G359), 0,G359)+IF(ISTEXT(G363), 0,G363)+IF(ISTEXT(G364), 0,G364)+IF(ISTEXT(G350), 0,G350)+IF(ISTEXT(G369), 0,G369)+IF(ISTEXT(G378), 0,G378)+IF(ISTEXT(G381), 0,G381)+IF(ISTEXT(G384), 0,G384)+IF(ISTEXT(G387), 0,G387)+IF(ISTEXT(G388), 0,G388)+IF(ISTEXT(G389), 0,G389)+IF(ISTEXT(G392), 0,G392)+IF(ISTEXT(G395), 0,G395)+IF(ISTEXT(G396), 0,G396)+IF(ISTEXT(G397), 0,G397)+IF(ISTEXT(G398), 0,G398)</f>
        <v>8525</v>
      </c>
      <c r="H40" s="39">
        <f t="shared" si="2"/>
        <v>13417</v>
      </c>
      <c r="I40" s="39">
        <f t="shared" si="2"/>
        <v>12925</v>
      </c>
      <c r="J40" s="39">
        <f t="shared" si="2"/>
        <v>12697</v>
      </c>
      <c r="K40" s="39">
        <f t="shared" si="2"/>
        <v>12461</v>
      </c>
      <c r="L40" s="48">
        <f t="shared" si="2"/>
        <v>12190</v>
      </c>
      <c r="M40" s="48">
        <f t="shared" si="2"/>
        <v>11857</v>
      </c>
      <c r="N40" s="48">
        <f t="shared" si="2"/>
        <v>12298</v>
      </c>
      <c r="O40" s="36"/>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c r="BX40" s="111"/>
    </row>
    <row r="41" spans="1:76" hidden="1">
      <c r="A41" s="37"/>
      <c r="B41" s="37"/>
      <c r="C41" s="37"/>
      <c r="D41" s="37"/>
      <c r="E41" s="37"/>
      <c r="F41" s="37"/>
      <c r="G41" s="39"/>
      <c r="H41" s="39"/>
      <c r="I41" s="39"/>
      <c r="J41" s="39"/>
      <c r="K41" s="39"/>
      <c r="L41" s="48"/>
      <c r="M41" s="48"/>
      <c r="N41" s="48"/>
      <c r="O41" s="36"/>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111"/>
    </row>
    <row r="42" spans="1:76" hidden="1">
      <c r="A42" s="37"/>
      <c r="B42" s="37"/>
      <c r="C42" s="37"/>
      <c r="D42" s="37"/>
      <c r="E42" s="37"/>
      <c r="F42" s="37"/>
      <c r="G42" s="39"/>
      <c r="H42" s="39"/>
      <c r="I42" s="39"/>
      <c r="J42" s="39"/>
      <c r="K42" s="39"/>
      <c r="L42" s="48"/>
      <c r="M42" s="48"/>
      <c r="N42" s="48"/>
      <c r="O42" s="36"/>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111"/>
    </row>
    <row r="43" spans="1:76" hidden="1">
      <c r="A43" s="37"/>
      <c r="B43" s="37"/>
      <c r="C43" s="37"/>
      <c r="D43" s="37"/>
      <c r="E43" s="37"/>
      <c r="F43" s="37"/>
      <c r="G43" s="39"/>
      <c r="H43" s="39"/>
      <c r="I43" s="39"/>
      <c r="J43" s="39"/>
      <c r="K43" s="39"/>
      <c r="L43" s="48"/>
      <c r="M43" s="48"/>
      <c r="N43" s="48"/>
      <c r="O43" s="36"/>
      <c r="P43" s="48"/>
      <c r="Q43" s="48"/>
      <c r="R43" s="48"/>
      <c r="S43" s="48"/>
      <c r="T43" s="48"/>
      <c r="U43" s="48"/>
      <c r="V43" s="48"/>
      <c r="W43" s="48"/>
      <c r="X43" s="48"/>
      <c r="Y43" s="48"/>
      <c r="Z43" s="48"/>
      <c r="AA43" s="48"/>
      <c r="AB43" s="48"/>
      <c r="AC43" s="48"/>
      <c r="AD43" s="48"/>
      <c r="AE43" s="48"/>
      <c r="AF43" s="48"/>
      <c r="AG43" s="48"/>
      <c r="AH43" s="48"/>
      <c r="AI43" s="48"/>
      <c r="AJ43" s="48"/>
      <c r="AK43" s="48"/>
      <c r="AL43" s="48"/>
      <c r="AM43" s="48"/>
      <c r="AN43" s="48"/>
      <c r="AO43" s="48"/>
      <c r="AP43" s="48"/>
      <c r="AQ43" s="48"/>
      <c r="AR43" s="48"/>
      <c r="AS43" s="48"/>
      <c r="AT43" s="48"/>
      <c r="AU43" s="48"/>
      <c r="AV43" s="48"/>
      <c r="AW43" s="48"/>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c r="BX43" s="111"/>
    </row>
    <row r="44" spans="1:76" hidden="1">
      <c r="A44" s="37"/>
      <c r="B44" s="37"/>
      <c r="C44" s="37"/>
      <c r="D44" s="37"/>
      <c r="E44" s="37"/>
      <c r="F44" s="37"/>
      <c r="G44" s="39"/>
      <c r="H44" s="39"/>
      <c r="I44" s="39"/>
      <c r="J44" s="39"/>
      <c r="K44" s="39"/>
      <c r="L44" s="48"/>
      <c r="M44" s="48"/>
      <c r="N44" s="48"/>
      <c r="O44" s="36"/>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48"/>
      <c r="AU44" s="48"/>
      <c r="AV44" s="48"/>
      <c r="AW44" s="48"/>
      <c r="AX44" s="48"/>
      <c r="AY44" s="48"/>
      <c r="AZ44" s="48"/>
      <c r="BA44" s="48"/>
      <c r="BB44" s="48"/>
      <c r="BC44" s="48"/>
      <c r="BD44" s="48"/>
      <c r="BE44" s="48"/>
      <c r="BF44" s="48"/>
      <c r="BG44" s="48"/>
      <c r="BH44" s="48"/>
      <c r="BI44" s="48"/>
      <c r="BJ44" s="48"/>
      <c r="BK44" s="48"/>
      <c r="BL44" s="48"/>
      <c r="BM44" s="48"/>
      <c r="BN44" s="48"/>
      <c r="BO44" s="48"/>
      <c r="BP44" s="48"/>
      <c r="BQ44" s="48"/>
      <c r="BR44" s="48"/>
      <c r="BS44" s="48"/>
      <c r="BT44" s="48"/>
      <c r="BU44" s="48"/>
      <c r="BV44" s="48"/>
      <c r="BW44" s="48"/>
      <c r="BX44" s="111"/>
    </row>
    <row r="45" spans="1:76" hidden="1">
      <c r="A45" s="37"/>
      <c r="B45" s="37"/>
      <c r="C45" s="37"/>
      <c r="D45" s="37"/>
      <c r="E45" s="37"/>
      <c r="F45" s="37"/>
      <c r="G45" s="39"/>
      <c r="H45" s="39"/>
      <c r="I45" s="39"/>
      <c r="J45" s="39"/>
      <c r="K45" s="39"/>
      <c r="L45" s="48"/>
      <c r="M45" s="48"/>
      <c r="N45" s="48"/>
      <c r="O45" s="36"/>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111"/>
    </row>
    <row r="46" spans="1:76" hidden="1">
      <c r="A46" s="37"/>
      <c r="B46" s="37"/>
      <c r="C46" s="37"/>
      <c r="D46" s="37"/>
      <c r="E46" s="37"/>
      <c r="F46" s="37"/>
      <c r="G46" s="39"/>
      <c r="H46" s="39"/>
      <c r="I46" s="39"/>
      <c r="J46" s="39"/>
      <c r="K46" s="39"/>
      <c r="L46" s="48"/>
      <c r="M46" s="48"/>
      <c r="N46" s="48"/>
      <c r="O46" s="36"/>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48"/>
      <c r="BL46" s="48"/>
      <c r="BM46" s="48"/>
      <c r="BN46" s="48"/>
      <c r="BO46" s="48"/>
      <c r="BP46" s="48"/>
      <c r="BQ46" s="48"/>
      <c r="BR46" s="48"/>
      <c r="BS46" s="48"/>
      <c r="BT46" s="48"/>
      <c r="BU46" s="48"/>
      <c r="BV46" s="48"/>
      <c r="BW46" s="48"/>
      <c r="BX46" s="111"/>
    </row>
    <row r="47" spans="1:76" hidden="1">
      <c r="A47" s="37"/>
      <c r="B47" s="37"/>
      <c r="C47" s="37"/>
      <c r="D47" s="37"/>
      <c r="E47" s="37"/>
      <c r="F47" s="37"/>
      <c r="G47" s="39"/>
      <c r="H47" s="39"/>
      <c r="I47" s="39"/>
      <c r="J47" s="39"/>
      <c r="K47" s="39"/>
      <c r="L47" s="48"/>
      <c r="M47" s="48"/>
      <c r="N47" s="48"/>
      <c r="O47" s="36"/>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48"/>
      <c r="BL47" s="48"/>
      <c r="BM47" s="48"/>
      <c r="BN47" s="48"/>
      <c r="BO47" s="48"/>
      <c r="BP47" s="48"/>
      <c r="BQ47" s="48"/>
      <c r="BR47" s="48"/>
      <c r="BS47" s="48"/>
      <c r="BT47" s="48"/>
      <c r="BU47" s="48"/>
      <c r="BV47" s="48"/>
      <c r="BW47" s="48"/>
      <c r="BX47" s="111"/>
    </row>
    <row r="48" spans="1:76" hidden="1">
      <c r="A48" s="37"/>
      <c r="B48" s="37"/>
      <c r="C48" s="37"/>
      <c r="D48" s="37"/>
      <c r="E48" s="37"/>
      <c r="F48" s="37"/>
      <c r="G48" s="39"/>
      <c r="H48" s="39"/>
      <c r="I48" s="39"/>
      <c r="J48" s="39"/>
      <c r="K48" s="39"/>
      <c r="L48" s="48"/>
      <c r="M48" s="48"/>
      <c r="N48" s="48"/>
      <c r="O48" s="36"/>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48"/>
      <c r="BL48" s="48"/>
      <c r="BM48" s="48"/>
      <c r="BN48" s="48"/>
      <c r="BO48" s="48"/>
      <c r="BP48" s="48"/>
      <c r="BQ48" s="48"/>
      <c r="BR48" s="48"/>
      <c r="BS48" s="48"/>
      <c r="BT48" s="48"/>
      <c r="BU48" s="48"/>
      <c r="BV48" s="48"/>
      <c r="BW48" s="48"/>
      <c r="BX48" s="111"/>
    </row>
    <row r="49" spans="1:76" hidden="1">
      <c r="A49" s="37"/>
      <c r="B49" s="37"/>
      <c r="C49" s="37"/>
      <c r="D49" s="37"/>
      <c r="E49" s="37"/>
      <c r="F49" s="37"/>
      <c r="G49" s="39"/>
      <c r="H49" s="39"/>
      <c r="I49" s="39"/>
      <c r="J49" s="39"/>
      <c r="K49" s="39"/>
      <c r="L49" s="48"/>
      <c r="M49" s="48"/>
      <c r="N49" s="48"/>
      <c r="O49" s="36"/>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48"/>
      <c r="BL49" s="48"/>
      <c r="BM49" s="48"/>
      <c r="BN49" s="48"/>
      <c r="BO49" s="48"/>
      <c r="BP49" s="48"/>
      <c r="BQ49" s="48"/>
      <c r="BR49" s="48"/>
      <c r="BS49" s="48"/>
      <c r="BT49" s="48"/>
      <c r="BU49" s="48"/>
      <c r="BV49" s="48"/>
      <c r="BW49" s="48"/>
      <c r="BX49" s="111"/>
    </row>
    <row r="50" spans="1:76" hidden="1">
      <c r="A50" s="37"/>
      <c r="B50" s="37"/>
      <c r="C50" s="37"/>
      <c r="D50" s="37"/>
      <c r="E50" s="37"/>
      <c r="F50" s="37"/>
      <c r="G50" s="39"/>
      <c r="H50" s="39"/>
      <c r="I50" s="39"/>
      <c r="J50" s="39"/>
      <c r="K50" s="39"/>
      <c r="L50" s="48"/>
      <c r="M50" s="48"/>
      <c r="N50" s="48"/>
      <c r="O50" s="36"/>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48"/>
      <c r="BL50" s="48"/>
      <c r="BM50" s="48"/>
      <c r="BN50" s="48"/>
      <c r="BO50" s="48"/>
      <c r="BP50" s="48"/>
      <c r="BQ50" s="48"/>
      <c r="BR50" s="48"/>
      <c r="BS50" s="48"/>
      <c r="BT50" s="48"/>
      <c r="BU50" s="48"/>
      <c r="BV50" s="48"/>
      <c r="BW50" s="48"/>
      <c r="BX50" s="111"/>
    </row>
    <row r="51" spans="1:76">
      <c r="A51" s="44"/>
      <c r="B51" s="44" t="s">
        <v>1351</v>
      </c>
      <c r="C51" s="44"/>
      <c r="D51" s="44"/>
      <c r="E51" s="44"/>
      <c r="F51" s="44"/>
      <c r="G51" s="45" t="b">
        <f t="shared" ref="G51:N51" si="3">IF(AND(IF(ISTEXT(F398), 0,F398)+IF(ISTEXT(G62), 0,G62)=0,IF(ISTEXT(G398), 0,G398)=0),TRUE,ABS((IF(ISTEXT(F398), 0,F398)+IF(ISTEXT(G62), 0,G62)-IF(ISTEXT(G398), 0,G398))/AVERAGE(ABS(IF(ISTEXT(F398), 0,F398)+IF(ISTEXT(G62), 0,G62)), ABS(IF(ISTEXT(G398), 0,G398)))*100) &lt; 0.5)</f>
        <v>0</v>
      </c>
      <c r="H51" s="45" t="b">
        <f t="shared" si="3"/>
        <v>1</v>
      </c>
      <c r="I51" s="45" t="b">
        <f t="shared" si="3"/>
        <v>1</v>
      </c>
      <c r="J51" s="45" t="b">
        <f t="shared" si="3"/>
        <v>1</v>
      </c>
      <c r="K51" s="45" t="b">
        <f t="shared" si="3"/>
        <v>1</v>
      </c>
      <c r="L51" s="46" t="b">
        <f t="shared" si="3"/>
        <v>1</v>
      </c>
      <c r="M51" s="46" t="b">
        <f t="shared" si="3"/>
        <v>1</v>
      </c>
      <c r="N51" s="46" t="b">
        <f t="shared" si="3"/>
        <v>1</v>
      </c>
      <c r="O51" s="47"/>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c r="BF51" s="46"/>
      <c r="BG51" s="46"/>
      <c r="BH51" s="46"/>
      <c r="BI51" s="46"/>
      <c r="BJ51" s="46"/>
      <c r="BK51" s="46"/>
      <c r="BL51" s="46"/>
      <c r="BM51" s="46"/>
      <c r="BN51" s="46"/>
      <c r="BO51" s="46"/>
      <c r="BP51" s="46"/>
      <c r="BQ51" s="46"/>
      <c r="BR51" s="46"/>
      <c r="BS51" s="46"/>
      <c r="BT51" s="46"/>
      <c r="BU51" s="46"/>
      <c r="BV51" s="46"/>
      <c r="BW51" s="46"/>
      <c r="BX51" s="110"/>
    </row>
    <row r="52" spans="1:76" hidden="1">
      <c r="A52" s="44"/>
      <c r="B52" s="44"/>
      <c r="C52" s="44"/>
      <c r="D52" s="44"/>
      <c r="E52" s="44"/>
      <c r="F52" s="44"/>
      <c r="G52" s="45"/>
      <c r="H52" s="45"/>
      <c r="I52" s="45"/>
      <c r="J52" s="45"/>
      <c r="K52" s="45"/>
      <c r="L52" s="46"/>
      <c r="M52" s="46"/>
      <c r="N52" s="46"/>
      <c r="O52" s="47"/>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46"/>
      <c r="BL52" s="46"/>
      <c r="BM52" s="46"/>
      <c r="BN52" s="46"/>
      <c r="BO52" s="46"/>
      <c r="BP52" s="46"/>
      <c r="BQ52" s="46"/>
      <c r="BR52" s="46"/>
      <c r="BS52" s="46"/>
      <c r="BT52" s="46"/>
      <c r="BU52" s="46"/>
      <c r="BV52" s="46"/>
      <c r="BW52" s="46"/>
      <c r="BX52" s="110"/>
    </row>
    <row r="53" spans="1:76" hidden="1">
      <c r="A53" s="44"/>
      <c r="B53" s="44"/>
      <c r="C53" s="44"/>
      <c r="D53" s="44"/>
      <c r="E53" s="44"/>
      <c r="F53" s="44"/>
      <c r="G53" s="45"/>
      <c r="H53" s="45"/>
      <c r="I53" s="45"/>
      <c r="J53" s="45"/>
      <c r="K53" s="45"/>
      <c r="L53" s="46"/>
      <c r="M53" s="46"/>
      <c r="N53" s="46"/>
      <c r="O53" s="47"/>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c r="BU53" s="46"/>
      <c r="BV53" s="46"/>
      <c r="BW53" s="46"/>
      <c r="BX53" s="110"/>
    </row>
    <row r="54" spans="1:76" hidden="1">
      <c r="A54" s="44"/>
      <c r="B54" s="44"/>
      <c r="C54" s="44"/>
      <c r="D54" s="44"/>
      <c r="E54" s="44"/>
      <c r="F54" s="44"/>
      <c r="G54" s="45"/>
      <c r="H54" s="45"/>
      <c r="I54" s="45"/>
      <c r="J54" s="45"/>
      <c r="K54" s="45"/>
      <c r="L54" s="46"/>
      <c r="M54" s="46"/>
      <c r="N54" s="46"/>
      <c r="O54" s="47"/>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110"/>
    </row>
    <row r="55" spans="1:76" hidden="1">
      <c r="A55" s="44"/>
      <c r="B55" s="44"/>
      <c r="C55" s="44"/>
      <c r="D55" s="44"/>
      <c r="E55" s="44"/>
      <c r="F55" s="44"/>
      <c r="G55" s="45"/>
      <c r="H55" s="45"/>
      <c r="I55" s="45"/>
      <c r="J55" s="45"/>
      <c r="K55" s="45"/>
      <c r="L55" s="46"/>
      <c r="M55" s="46"/>
      <c r="N55" s="46"/>
      <c r="O55" s="47"/>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110"/>
    </row>
    <row r="56" spans="1:76" hidden="1">
      <c r="A56" s="44"/>
      <c r="B56" s="44"/>
      <c r="C56" s="44"/>
      <c r="D56" s="44"/>
      <c r="E56" s="44"/>
      <c r="F56" s="44"/>
      <c r="G56" s="45"/>
      <c r="H56" s="45"/>
      <c r="I56" s="45"/>
      <c r="J56" s="45"/>
      <c r="K56" s="45"/>
      <c r="L56" s="46"/>
      <c r="M56" s="46"/>
      <c r="N56" s="46"/>
      <c r="O56" s="47"/>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c r="BF56" s="46"/>
      <c r="BG56" s="46"/>
      <c r="BH56" s="46"/>
      <c r="BI56" s="46"/>
      <c r="BJ56" s="46"/>
      <c r="BK56" s="46"/>
      <c r="BL56" s="46"/>
      <c r="BM56" s="46"/>
      <c r="BN56" s="46"/>
      <c r="BO56" s="46"/>
      <c r="BP56" s="46"/>
      <c r="BQ56" s="46"/>
      <c r="BR56" s="46"/>
      <c r="BS56" s="46"/>
      <c r="BT56" s="46"/>
      <c r="BU56" s="46"/>
      <c r="BV56" s="46"/>
      <c r="BW56" s="46"/>
      <c r="BX56" s="110"/>
    </row>
    <row r="57" spans="1:76" hidden="1">
      <c r="A57" s="44"/>
      <c r="B57" s="44"/>
      <c r="C57" s="44"/>
      <c r="D57" s="44"/>
      <c r="E57" s="44"/>
      <c r="F57" s="44"/>
      <c r="G57" s="45"/>
      <c r="H57" s="45"/>
      <c r="I57" s="45"/>
      <c r="J57" s="45"/>
      <c r="K57" s="45"/>
      <c r="L57" s="46"/>
      <c r="M57" s="46"/>
      <c r="N57" s="46"/>
      <c r="O57" s="47"/>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110"/>
    </row>
    <row r="58" spans="1:76" hidden="1">
      <c r="A58" s="44"/>
      <c r="B58" s="44"/>
      <c r="C58" s="44"/>
      <c r="D58" s="44"/>
      <c r="E58" s="44"/>
      <c r="F58" s="44"/>
      <c r="G58" s="45"/>
      <c r="H58" s="45"/>
      <c r="I58" s="45"/>
      <c r="J58" s="45"/>
      <c r="K58" s="45"/>
      <c r="L58" s="46"/>
      <c r="M58" s="46"/>
      <c r="N58" s="46"/>
      <c r="O58" s="47"/>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110"/>
    </row>
    <row r="59" spans="1:76" hidden="1">
      <c r="A59" s="44"/>
      <c r="B59" s="44"/>
      <c r="C59" s="44"/>
      <c r="D59" s="44"/>
      <c r="E59" s="44"/>
      <c r="F59" s="44"/>
      <c r="G59" s="45"/>
      <c r="H59" s="45"/>
      <c r="I59" s="45"/>
      <c r="J59" s="45"/>
      <c r="K59" s="45"/>
      <c r="L59" s="46"/>
      <c r="M59" s="46"/>
      <c r="N59" s="46"/>
      <c r="O59" s="47"/>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110"/>
    </row>
    <row r="60" spans="1:76" hidden="1">
      <c r="A60" s="44"/>
      <c r="B60" s="44"/>
      <c r="C60" s="44"/>
      <c r="D60" s="44"/>
      <c r="E60" s="44"/>
      <c r="F60" s="44"/>
      <c r="G60" s="45"/>
      <c r="H60" s="45"/>
      <c r="I60" s="45"/>
      <c r="J60" s="45"/>
      <c r="K60" s="45"/>
      <c r="L60" s="46"/>
      <c r="M60" s="46"/>
      <c r="N60" s="46"/>
      <c r="O60" s="47"/>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110"/>
    </row>
    <row r="61" spans="1:76" hidden="1">
      <c r="A61" s="44"/>
      <c r="B61" s="44"/>
      <c r="C61" s="44"/>
      <c r="D61" s="44"/>
      <c r="E61" s="44"/>
      <c r="F61" s="44"/>
      <c r="G61" s="45"/>
      <c r="H61" s="45"/>
      <c r="I61" s="45"/>
      <c r="J61" s="45"/>
      <c r="K61" s="45"/>
      <c r="L61" s="46"/>
      <c r="M61" s="46"/>
      <c r="N61" s="46"/>
      <c r="O61" s="47"/>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110"/>
    </row>
    <row r="62" spans="1:76">
      <c r="A62" s="37"/>
      <c r="B62" s="37"/>
      <c r="C62" s="37" t="s">
        <v>1352</v>
      </c>
      <c r="D62" s="37"/>
      <c r="E62" s="37"/>
      <c r="F62" s="37"/>
      <c r="G62" s="39">
        <f t="shared" ref="G62:N62" si="4">IF(ISTEXT(G73), 0,G73)+IF(ISTEXT(G545), 0,G545)-IF(ISTEXT(G543), 0,G543)-IF(ISTEXT(G553), 0,G553)-IF(ISTEXT(G554), 0,G554)-IF(ISTEXT(G555), 0,G555)+IF(ISTEXT(G84), 0,G84)+IF(ISTEXT(G95), 0,G95)</f>
        <v>-369</v>
      </c>
      <c r="H62" s="39">
        <f t="shared" si="4"/>
        <v>1712</v>
      </c>
      <c r="I62" s="39">
        <f t="shared" si="4"/>
        <v>-766</v>
      </c>
      <c r="J62" s="39">
        <f t="shared" si="4"/>
        <v>161</v>
      </c>
      <c r="K62" s="39">
        <f t="shared" si="4"/>
        <v>-89</v>
      </c>
      <c r="L62" s="48">
        <f t="shared" si="4"/>
        <v>251</v>
      </c>
      <c r="M62" s="48">
        <f t="shared" si="4"/>
        <v>329</v>
      </c>
      <c r="N62" s="48">
        <f t="shared" si="4"/>
        <v>462</v>
      </c>
      <c r="O62" s="36"/>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48"/>
      <c r="BL62" s="48"/>
      <c r="BM62" s="48"/>
      <c r="BN62" s="48"/>
      <c r="BO62" s="48"/>
      <c r="BP62" s="48"/>
      <c r="BQ62" s="48"/>
      <c r="BR62" s="48"/>
      <c r="BS62" s="48"/>
      <c r="BT62" s="48"/>
      <c r="BU62" s="48"/>
      <c r="BV62" s="48"/>
      <c r="BW62" s="48"/>
      <c r="BX62" s="111"/>
    </row>
    <row r="63" spans="1:76" hidden="1">
      <c r="A63" s="37"/>
      <c r="B63" s="37"/>
      <c r="C63" s="37"/>
      <c r="D63" s="37"/>
      <c r="E63" s="37"/>
      <c r="F63" s="37"/>
      <c r="G63" s="39"/>
      <c r="H63" s="39"/>
      <c r="I63" s="39"/>
      <c r="J63" s="39"/>
      <c r="K63" s="39"/>
      <c r="L63" s="48"/>
      <c r="M63" s="48"/>
      <c r="N63" s="48"/>
      <c r="O63" s="36"/>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48"/>
      <c r="BL63" s="48"/>
      <c r="BM63" s="48"/>
      <c r="BN63" s="48"/>
      <c r="BO63" s="48"/>
      <c r="BP63" s="48"/>
      <c r="BQ63" s="48"/>
      <c r="BR63" s="48"/>
      <c r="BS63" s="48"/>
      <c r="BT63" s="48"/>
      <c r="BU63" s="48"/>
      <c r="BV63" s="48"/>
      <c r="BW63" s="48"/>
      <c r="BX63" s="111"/>
    </row>
    <row r="64" spans="1:76" hidden="1">
      <c r="A64" s="37"/>
      <c r="B64" s="37"/>
      <c r="C64" s="37"/>
      <c r="D64" s="37"/>
      <c r="E64" s="37"/>
      <c r="F64" s="37"/>
      <c r="G64" s="39"/>
      <c r="H64" s="39"/>
      <c r="I64" s="39"/>
      <c r="J64" s="39"/>
      <c r="K64" s="39"/>
      <c r="L64" s="48"/>
      <c r="M64" s="48"/>
      <c r="N64" s="48"/>
      <c r="O64" s="36"/>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48"/>
      <c r="BL64" s="48"/>
      <c r="BM64" s="48"/>
      <c r="BN64" s="48"/>
      <c r="BO64" s="48"/>
      <c r="BP64" s="48"/>
      <c r="BQ64" s="48"/>
      <c r="BR64" s="48"/>
      <c r="BS64" s="48"/>
      <c r="BT64" s="48"/>
      <c r="BU64" s="48"/>
      <c r="BV64" s="48"/>
      <c r="BW64" s="48"/>
      <c r="BX64" s="111"/>
    </row>
    <row r="65" spans="1:76" hidden="1">
      <c r="A65" s="37"/>
      <c r="B65" s="37"/>
      <c r="C65" s="37"/>
      <c r="D65" s="37"/>
      <c r="E65" s="37"/>
      <c r="F65" s="37"/>
      <c r="G65" s="39"/>
      <c r="H65" s="39"/>
      <c r="I65" s="39"/>
      <c r="J65" s="39"/>
      <c r="K65" s="39"/>
      <c r="L65" s="48"/>
      <c r="M65" s="48"/>
      <c r="N65" s="48"/>
      <c r="O65" s="36"/>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48"/>
      <c r="BL65" s="48"/>
      <c r="BM65" s="48"/>
      <c r="BN65" s="48"/>
      <c r="BO65" s="48"/>
      <c r="BP65" s="48"/>
      <c r="BQ65" s="48"/>
      <c r="BR65" s="48"/>
      <c r="BS65" s="48"/>
      <c r="BT65" s="48"/>
      <c r="BU65" s="48"/>
      <c r="BV65" s="48"/>
      <c r="BW65" s="48"/>
      <c r="BX65" s="111"/>
    </row>
    <row r="66" spans="1:76" hidden="1">
      <c r="A66" s="37"/>
      <c r="B66" s="37"/>
      <c r="C66" s="37"/>
      <c r="D66" s="37"/>
      <c r="E66" s="37"/>
      <c r="F66" s="37"/>
      <c r="G66" s="39"/>
      <c r="H66" s="39"/>
      <c r="I66" s="39"/>
      <c r="J66" s="39"/>
      <c r="K66" s="39"/>
      <c r="L66" s="48"/>
      <c r="M66" s="48"/>
      <c r="N66" s="48"/>
      <c r="O66" s="36"/>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48"/>
      <c r="BL66" s="48"/>
      <c r="BM66" s="48"/>
      <c r="BN66" s="48"/>
      <c r="BO66" s="48"/>
      <c r="BP66" s="48"/>
      <c r="BQ66" s="48"/>
      <c r="BR66" s="48"/>
      <c r="BS66" s="48"/>
      <c r="BT66" s="48"/>
      <c r="BU66" s="48"/>
      <c r="BV66" s="48"/>
      <c r="BW66" s="48"/>
      <c r="BX66" s="111"/>
    </row>
    <row r="67" spans="1:76" hidden="1">
      <c r="A67" s="37"/>
      <c r="B67" s="37"/>
      <c r="C67" s="37"/>
      <c r="D67" s="37"/>
      <c r="E67" s="37"/>
      <c r="F67" s="37"/>
      <c r="G67" s="39"/>
      <c r="H67" s="39"/>
      <c r="I67" s="39"/>
      <c r="J67" s="39"/>
      <c r="K67" s="39"/>
      <c r="L67" s="48"/>
      <c r="M67" s="48"/>
      <c r="N67" s="48"/>
      <c r="O67" s="36"/>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48"/>
      <c r="BL67" s="48"/>
      <c r="BM67" s="48"/>
      <c r="BN67" s="48"/>
      <c r="BO67" s="48"/>
      <c r="BP67" s="48"/>
      <c r="BQ67" s="48"/>
      <c r="BR67" s="48"/>
      <c r="BS67" s="48"/>
      <c r="BT67" s="48"/>
      <c r="BU67" s="48"/>
      <c r="BV67" s="48"/>
      <c r="BW67" s="48"/>
      <c r="BX67" s="111"/>
    </row>
    <row r="68" spans="1:76" hidden="1">
      <c r="A68" s="37"/>
      <c r="B68" s="37"/>
      <c r="C68" s="37"/>
      <c r="D68" s="37"/>
      <c r="E68" s="37"/>
      <c r="F68" s="37"/>
      <c r="G68" s="39"/>
      <c r="H68" s="39"/>
      <c r="I68" s="39"/>
      <c r="J68" s="39"/>
      <c r="K68" s="39"/>
      <c r="L68" s="48"/>
      <c r="M68" s="48"/>
      <c r="N68" s="48"/>
      <c r="O68" s="36"/>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48"/>
      <c r="BL68" s="48"/>
      <c r="BM68" s="48"/>
      <c r="BN68" s="48"/>
      <c r="BO68" s="48"/>
      <c r="BP68" s="48"/>
      <c r="BQ68" s="48"/>
      <c r="BR68" s="48"/>
      <c r="BS68" s="48"/>
      <c r="BT68" s="48"/>
      <c r="BU68" s="48"/>
      <c r="BV68" s="48"/>
      <c r="BW68" s="48"/>
      <c r="BX68" s="111"/>
    </row>
    <row r="69" spans="1:76" hidden="1">
      <c r="A69" s="37"/>
      <c r="B69" s="37"/>
      <c r="C69" s="37"/>
      <c r="D69" s="37"/>
      <c r="E69" s="37"/>
      <c r="F69" s="37"/>
      <c r="G69" s="39"/>
      <c r="H69" s="39"/>
      <c r="I69" s="39"/>
      <c r="J69" s="39"/>
      <c r="K69" s="39"/>
      <c r="L69" s="48"/>
      <c r="M69" s="48"/>
      <c r="N69" s="48"/>
      <c r="O69" s="36"/>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48"/>
      <c r="BL69" s="48"/>
      <c r="BM69" s="48"/>
      <c r="BN69" s="48"/>
      <c r="BO69" s="48"/>
      <c r="BP69" s="48"/>
      <c r="BQ69" s="48"/>
      <c r="BR69" s="48"/>
      <c r="BS69" s="48"/>
      <c r="BT69" s="48"/>
      <c r="BU69" s="48"/>
      <c r="BV69" s="48"/>
      <c r="BW69" s="48"/>
      <c r="BX69" s="111"/>
    </row>
    <row r="70" spans="1:76" hidden="1">
      <c r="A70" s="37"/>
      <c r="B70" s="37"/>
      <c r="C70" s="37"/>
      <c r="D70" s="37"/>
      <c r="E70" s="37"/>
      <c r="F70" s="37"/>
      <c r="G70" s="39"/>
      <c r="H70" s="39"/>
      <c r="I70" s="39"/>
      <c r="J70" s="39"/>
      <c r="K70" s="39"/>
      <c r="L70" s="48"/>
      <c r="M70" s="48"/>
      <c r="N70" s="48"/>
      <c r="O70" s="36"/>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c r="BO70" s="48"/>
      <c r="BP70" s="48"/>
      <c r="BQ70" s="48"/>
      <c r="BR70" s="48"/>
      <c r="BS70" s="48"/>
      <c r="BT70" s="48"/>
      <c r="BU70" s="48"/>
      <c r="BV70" s="48"/>
      <c r="BW70" s="48"/>
      <c r="BX70" s="111"/>
    </row>
    <row r="71" spans="1:76" hidden="1">
      <c r="A71" s="37"/>
      <c r="B71" s="37"/>
      <c r="C71" s="37"/>
      <c r="D71" s="37"/>
      <c r="E71" s="37"/>
      <c r="F71" s="37"/>
      <c r="G71" s="39"/>
      <c r="H71" s="39"/>
      <c r="I71" s="39"/>
      <c r="J71" s="39"/>
      <c r="K71" s="39"/>
      <c r="L71" s="48"/>
      <c r="M71" s="48"/>
      <c r="N71" s="48"/>
      <c r="O71" s="36"/>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48"/>
      <c r="BL71" s="48"/>
      <c r="BM71" s="48"/>
      <c r="BN71" s="48"/>
      <c r="BO71" s="48"/>
      <c r="BP71" s="48"/>
      <c r="BQ71" s="48"/>
      <c r="BR71" s="48"/>
      <c r="BS71" s="48"/>
      <c r="BT71" s="48"/>
      <c r="BU71" s="48"/>
      <c r="BV71" s="48"/>
      <c r="BW71" s="48"/>
      <c r="BX71" s="111"/>
    </row>
    <row r="72" spans="1:76" hidden="1">
      <c r="A72" s="37"/>
      <c r="B72" s="37"/>
      <c r="C72" s="37"/>
      <c r="D72" s="37"/>
      <c r="E72" s="37"/>
      <c r="F72" s="37"/>
      <c r="G72" s="39"/>
      <c r="H72" s="39"/>
      <c r="I72" s="39"/>
      <c r="J72" s="39"/>
      <c r="K72" s="39"/>
      <c r="L72" s="48"/>
      <c r="M72" s="48"/>
      <c r="N72" s="48"/>
      <c r="O72" s="36"/>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48"/>
      <c r="BL72" s="48"/>
      <c r="BM72" s="48"/>
      <c r="BN72" s="48"/>
      <c r="BO72" s="48"/>
      <c r="BP72" s="48"/>
      <c r="BQ72" s="48"/>
      <c r="BR72" s="48"/>
      <c r="BS72" s="48"/>
      <c r="BT72" s="48"/>
      <c r="BU72" s="48"/>
      <c r="BV72" s="48"/>
      <c r="BW72" s="48"/>
      <c r="BX72" s="111"/>
    </row>
    <row r="73" spans="1:76">
      <c r="A73" s="37"/>
      <c r="B73" s="37"/>
      <c r="C73" s="37"/>
      <c r="D73" s="37" t="s">
        <v>870</v>
      </c>
      <c r="E73" s="37"/>
      <c r="F73" s="37"/>
      <c r="G73" s="48">
        <f t="shared" ref="G73:N73" si="5">SUM(G74:G83)</f>
        <v>-298</v>
      </c>
      <c r="H73" s="48">
        <f t="shared" si="5"/>
        <v>1285</v>
      </c>
      <c r="I73" s="48">
        <f t="shared" si="5"/>
        <v>-746</v>
      </c>
      <c r="J73" s="48">
        <f t="shared" si="5"/>
        <v>403</v>
      </c>
      <c r="K73" s="48">
        <f t="shared" si="5"/>
        <v>145</v>
      </c>
      <c r="L73" s="48">
        <f t="shared" si="5"/>
        <v>355</v>
      </c>
      <c r="M73" s="48">
        <f t="shared" si="5"/>
        <v>309</v>
      </c>
      <c r="N73" s="48">
        <f t="shared" si="5"/>
        <v>395</v>
      </c>
      <c r="O73" s="36"/>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48"/>
      <c r="BL73" s="48"/>
      <c r="BM73" s="48"/>
      <c r="BN73" s="48"/>
      <c r="BO73" s="48"/>
      <c r="BP73" s="48"/>
      <c r="BQ73" s="48"/>
      <c r="BR73" s="48"/>
      <c r="BS73" s="48"/>
      <c r="BT73" s="48"/>
      <c r="BU73" s="48"/>
      <c r="BV73" s="48"/>
      <c r="BW73" s="48"/>
      <c r="BX73" s="111"/>
    </row>
    <row r="74" spans="1:76" hidden="1">
      <c r="A74" s="37"/>
      <c r="B74" s="37"/>
      <c r="C74" s="37"/>
      <c r="D74" s="37"/>
      <c r="E74" s="37"/>
      <c r="F74" s="37"/>
      <c r="G74" s="39">
        <f t="shared" ref="G74:N74" si="6">IF(ISTEXT(G142), 0,G142)+IF(ISTEXT(G156), 0,G156)-IF(ISTEXT(G157), 0,G157)-IF(ISTEXT(G158), 0,G158)-IF(ISTEXT(G159), 0,G159)-IF(ISTEXT(G160), 0,G160)-IF(ISTEXT(G161), 0,G161)-IF(ISTEXT(G165), 0,G165)-IF(ISTEXT(G166), 0,G166)-IF(ISTEXT(G167), 0,G167)-IF(ISTEXT(G168), 0,G168)-IF(ISTEXT(G169), 0,G169)-IF(ISTEXT(G170), 0,G170)-IF(ISTEXT(G173), 0,G173)-IF(ISTEXT(G174), 0,G174)-IF(ISTEXT(G177), 0,G177)-IF(ISTEXT(G178), 0,G178)-IF(ISTEXT(G179), 0,G179)-IF(ISTEXT(G182), 0,G182)+IF(ISTEXT(G183), 0,G183)-IF(ISTEXT(G186), 0,G186)+IF(ISTEXT(G190), 0,G190)+IF(ISTEXT(G191), 0,G191)+IF(ISTEXT(G198), 0,G198)+IF(ISTEXT(G199), 0,G199)+IF(ISTEXT(G200), 0,G200)+IF(ISTEXT(G201), 0,G201)+IF(ISTEXT(G202), 0,G202)+IF(ISTEXT(G205), 0,G205)+IF(ISTEXT(G206), 0,G206)+IF(ISTEXT(G207), 0,G207)-IF(ISTEXT(G214), 0,G214)-IF(ISTEXT(G215), 0,G215)</f>
        <v>311.85000000000002</v>
      </c>
      <c r="H74" s="39">
        <f t="shared" si="6"/>
        <v>212.28235294117647</v>
      </c>
      <c r="I74" s="39">
        <f t="shared" si="6"/>
        <v>610.75</v>
      </c>
      <c r="J74" s="39">
        <f t="shared" si="6"/>
        <v>610</v>
      </c>
      <c r="K74" s="39">
        <f t="shared" si="6"/>
        <v>189.11940298507463</v>
      </c>
      <c r="L74" s="48">
        <f t="shared" si="6"/>
        <v>254.6703488372093</v>
      </c>
      <c r="M74" s="48">
        <f t="shared" si="6"/>
        <v>173</v>
      </c>
      <c r="N74" s="48">
        <f t="shared" si="6"/>
        <v>375</v>
      </c>
      <c r="O74" s="36"/>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48"/>
      <c r="BL74" s="48"/>
      <c r="BM74" s="48"/>
      <c r="BN74" s="48"/>
      <c r="BO74" s="48"/>
      <c r="BP74" s="48"/>
      <c r="BQ74" s="48"/>
      <c r="BR74" s="48"/>
      <c r="BS74" s="48"/>
      <c r="BT74" s="48"/>
      <c r="BU74" s="48"/>
      <c r="BV74" s="48"/>
      <c r="BW74" s="48"/>
      <c r="BX74" s="111"/>
    </row>
    <row r="75" spans="1:76" hidden="1">
      <c r="A75" s="37"/>
      <c r="B75" s="37"/>
      <c r="C75" s="37"/>
      <c r="D75" s="37"/>
      <c r="E75" s="37"/>
      <c r="F75" s="37"/>
      <c r="G75" s="39">
        <f t="shared" ref="G75:N75" si="7">-IF(ISTEXT(G218), 0,G218)-IF(ISTEXT(G219), 0,G219)-IF(ISTEXT(G222), 0,G222)-IF(ISTEXT(G223), 0,G223)-IF(ISTEXT(G226), 0,G226)-IF(ISTEXT(G227), 0,G227)+IF(ISTEXT(G230), 0,G230)+IF(ISTEXT(G233), 0,G233)-IF(ISTEXT(G234), 0,G234)-IF(ISTEXT(G239), 0,G239)+IF(ISTEXT(G240), 0,G240)+IF(ISTEXT(G241), 0,G241)+IF(ISTEXT(G244), 0,G244)-IF(ISTEXT(G247), 0,G247)</f>
        <v>-609.85</v>
      </c>
      <c r="H75" s="39">
        <f t="shared" si="7"/>
        <v>1072.7176470588236</v>
      </c>
      <c r="I75" s="39">
        <f t="shared" si="7"/>
        <v>-1356.75</v>
      </c>
      <c r="J75" s="39">
        <f t="shared" si="7"/>
        <v>-207</v>
      </c>
      <c r="K75" s="39">
        <f t="shared" si="7"/>
        <v>-44.119402985074629</v>
      </c>
      <c r="L75" s="48">
        <f t="shared" si="7"/>
        <v>100.3296511627907</v>
      </c>
      <c r="M75" s="48">
        <f t="shared" si="7"/>
        <v>136</v>
      </c>
      <c r="N75" s="48">
        <f t="shared" si="7"/>
        <v>20</v>
      </c>
      <c r="O75" s="36"/>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48"/>
      <c r="BL75" s="48"/>
      <c r="BM75" s="48"/>
      <c r="BN75" s="48"/>
      <c r="BO75" s="48"/>
      <c r="BP75" s="48"/>
      <c r="BQ75" s="48"/>
      <c r="BR75" s="48"/>
      <c r="BS75" s="48"/>
      <c r="BT75" s="48"/>
      <c r="BU75" s="48"/>
      <c r="BV75" s="48"/>
      <c r="BW75" s="48"/>
      <c r="BX75" s="111"/>
    </row>
    <row r="76" spans="1:76" hidden="1">
      <c r="A76" s="37"/>
      <c r="B76" s="37"/>
      <c r="C76" s="37"/>
      <c r="D76" s="37"/>
      <c r="E76" s="37"/>
      <c r="F76" s="37"/>
      <c r="G76" s="39"/>
      <c r="H76" s="39"/>
      <c r="I76" s="39"/>
      <c r="J76" s="39"/>
      <c r="K76" s="39"/>
      <c r="L76" s="48"/>
      <c r="M76" s="48"/>
      <c r="N76" s="48"/>
      <c r="O76" s="36"/>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48"/>
      <c r="BL76" s="48"/>
      <c r="BM76" s="48"/>
      <c r="BN76" s="48"/>
      <c r="BO76" s="48"/>
      <c r="BP76" s="48"/>
      <c r="BQ76" s="48"/>
      <c r="BR76" s="48"/>
      <c r="BS76" s="48"/>
      <c r="BT76" s="48"/>
      <c r="BU76" s="48"/>
      <c r="BV76" s="48"/>
      <c r="BW76" s="48"/>
      <c r="BX76" s="111"/>
    </row>
    <row r="77" spans="1:76" hidden="1">
      <c r="A77" s="37"/>
      <c r="B77" s="37"/>
      <c r="C77" s="37"/>
      <c r="D77" s="37"/>
      <c r="E77" s="37"/>
      <c r="F77" s="37"/>
      <c r="G77" s="39"/>
      <c r="H77" s="39"/>
      <c r="I77" s="39"/>
      <c r="J77" s="39"/>
      <c r="K77" s="39"/>
      <c r="L77" s="48"/>
      <c r="M77" s="48"/>
      <c r="N77" s="48"/>
      <c r="O77" s="36"/>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48"/>
      <c r="BL77" s="48"/>
      <c r="BM77" s="48"/>
      <c r="BN77" s="48"/>
      <c r="BO77" s="48"/>
      <c r="BP77" s="48"/>
      <c r="BQ77" s="48"/>
      <c r="BR77" s="48"/>
      <c r="BS77" s="48"/>
      <c r="BT77" s="48"/>
      <c r="BU77" s="48"/>
      <c r="BV77" s="48"/>
      <c r="BW77" s="48"/>
      <c r="BX77" s="111"/>
    </row>
    <row r="78" spans="1:76" hidden="1">
      <c r="A78" s="37"/>
      <c r="B78" s="37"/>
      <c r="C78" s="37"/>
      <c r="D78" s="37"/>
      <c r="E78" s="37"/>
      <c r="F78" s="37"/>
      <c r="G78" s="39"/>
      <c r="H78" s="39"/>
      <c r="I78" s="39"/>
      <c r="J78" s="39"/>
      <c r="K78" s="39"/>
      <c r="L78" s="48"/>
      <c r="M78" s="48"/>
      <c r="N78" s="48"/>
      <c r="O78" s="36"/>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48"/>
      <c r="BL78" s="48"/>
      <c r="BM78" s="48"/>
      <c r="BN78" s="48"/>
      <c r="BO78" s="48"/>
      <c r="BP78" s="48"/>
      <c r="BQ78" s="48"/>
      <c r="BR78" s="48"/>
      <c r="BS78" s="48"/>
      <c r="BT78" s="48"/>
      <c r="BU78" s="48"/>
      <c r="BV78" s="48"/>
      <c r="BW78" s="48"/>
      <c r="BX78" s="111"/>
    </row>
    <row r="79" spans="1:76" hidden="1">
      <c r="A79" s="37"/>
      <c r="B79" s="37"/>
      <c r="C79" s="37"/>
      <c r="D79" s="37"/>
      <c r="E79" s="37"/>
      <c r="F79" s="37"/>
      <c r="G79" s="39"/>
      <c r="H79" s="39"/>
      <c r="I79" s="39"/>
      <c r="J79" s="39"/>
      <c r="K79" s="39"/>
      <c r="L79" s="48"/>
      <c r="M79" s="48"/>
      <c r="N79" s="48"/>
      <c r="O79" s="36"/>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48"/>
      <c r="BL79" s="48"/>
      <c r="BM79" s="48"/>
      <c r="BN79" s="48"/>
      <c r="BO79" s="48"/>
      <c r="BP79" s="48"/>
      <c r="BQ79" s="48"/>
      <c r="BR79" s="48"/>
      <c r="BS79" s="48"/>
      <c r="BT79" s="48"/>
      <c r="BU79" s="48"/>
      <c r="BV79" s="48"/>
      <c r="BW79" s="48"/>
      <c r="BX79" s="111"/>
    </row>
    <row r="80" spans="1:76" hidden="1">
      <c r="A80" s="37"/>
      <c r="B80" s="37"/>
      <c r="C80" s="37"/>
      <c r="D80" s="37"/>
      <c r="E80" s="37"/>
      <c r="F80" s="37"/>
      <c r="G80" s="39"/>
      <c r="H80" s="39"/>
      <c r="I80" s="39"/>
      <c r="J80" s="39"/>
      <c r="K80" s="39"/>
      <c r="L80" s="48"/>
      <c r="M80" s="48"/>
      <c r="N80" s="48"/>
      <c r="O80" s="36"/>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48"/>
      <c r="BL80" s="48"/>
      <c r="BM80" s="48"/>
      <c r="BN80" s="48"/>
      <c r="BO80" s="48"/>
      <c r="BP80" s="48"/>
      <c r="BQ80" s="48"/>
      <c r="BR80" s="48"/>
      <c r="BS80" s="48"/>
      <c r="BT80" s="48"/>
      <c r="BU80" s="48"/>
      <c r="BV80" s="48"/>
      <c r="BW80" s="48"/>
      <c r="BX80" s="111"/>
    </row>
    <row r="81" spans="1:76" hidden="1">
      <c r="A81" s="37"/>
      <c r="B81" s="37"/>
      <c r="C81" s="37"/>
      <c r="D81" s="37"/>
      <c r="E81" s="37"/>
      <c r="F81" s="37"/>
      <c r="G81" s="39"/>
      <c r="H81" s="39"/>
      <c r="I81" s="39"/>
      <c r="J81" s="39"/>
      <c r="K81" s="39"/>
      <c r="L81" s="48"/>
      <c r="M81" s="48"/>
      <c r="N81" s="48"/>
      <c r="O81" s="36"/>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48"/>
      <c r="BL81" s="48"/>
      <c r="BM81" s="48"/>
      <c r="BN81" s="48"/>
      <c r="BO81" s="48"/>
      <c r="BP81" s="48"/>
      <c r="BQ81" s="48"/>
      <c r="BR81" s="48"/>
      <c r="BS81" s="48"/>
      <c r="BT81" s="48"/>
      <c r="BU81" s="48"/>
      <c r="BV81" s="48"/>
      <c r="BW81" s="48"/>
      <c r="BX81" s="111"/>
    </row>
    <row r="82" spans="1:76" hidden="1">
      <c r="A82" s="37"/>
      <c r="B82" s="37"/>
      <c r="C82" s="37"/>
      <c r="D82" s="37"/>
      <c r="E82" s="37"/>
      <c r="F82" s="37"/>
      <c r="G82" s="39"/>
      <c r="H82" s="39"/>
      <c r="I82" s="39"/>
      <c r="J82" s="39"/>
      <c r="K82" s="39"/>
      <c r="L82" s="48"/>
      <c r="M82" s="48"/>
      <c r="N82" s="48"/>
      <c r="O82" s="36"/>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48"/>
      <c r="BL82" s="48"/>
      <c r="BM82" s="48"/>
      <c r="BN82" s="48"/>
      <c r="BO82" s="48"/>
      <c r="BP82" s="48"/>
      <c r="BQ82" s="48"/>
      <c r="BR82" s="48"/>
      <c r="BS82" s="48"/>
      <c r="BT82" s="48"/>
      <c r="BU82" s="48"/>
      <c r="BV82" s="48"/>
      <c r="BW82" s="48"/>
      <c r="BX82" s="111"/>
    </row>
    <row r="83" spans="1:76" hidden="1">
      <c r="A83" s="37"/>
      <c r="B83" s="37"/>
      <c r="C83" s="37"/>
      <c r="D83" s="37"/>
      <c r="E83" s="37"/>
      <c r="F83" s="37"/>
      <c r="G83" s="39"/>
      <c r="H83" s="39"/>
      <c r="I83" s="39"/>
      <c r="J83" s="39"/>
      <c r="K83" s="39"/>
      <c r="L83" s="48"/>
      <c r="M83" s="48"/>
      <c r="N83" s="48"/>
      <c r="O83" s="36"/>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48"/>
      <c r="BL83" s="48"/>
      <c r="BM83" s="48"/>
      <c r="BN83" s="48"/>
      <c r="BO83" s="48"/>
      <c r="BP83" s="48"/>
      <c r="BQ83" s="48"/>
      <c r="BR83" s="48"/>
      <c r="BS83" s="48"/>
      <c r="BT83" s="48"/>
      <c r="BU83" s="48"/>
      <c r="BV83" s="48"/>
      <c r="BW83" s="48"/>
      <c r="BX83" s="111"/>
    </row>
    <row r="84" spans="1:76">
      <c r="A84" s="37"/>
      <c r="B84" s="37"/>
      <c r="C84" s="37"/>
      <c r="D84" s="37" t="s">
        <v>1300</v>
      </c>
      <c r="E84" s="37"/>
      <c r="F84" s="37"/>
      <c r="G84" s="39">
        <f t="shared" ref="G84:N84" si="8">IF(G557="",IF(ISTEXT(G403), 0,G403)-IF(ISTEXT(F403), 0,F403),G557)</f>
        <v>-71</v>
      </c>
      <c r="H84" s="39">
        <f t="shared" si="8"/>
        <v>-875</v>
      </c>
      <c r="I84" s="39">
        <f t="shared" si="8"/>
        <v>-118</v>
      </c>
      <c r="J84" s="39">
        <f t="shared" si="8"/>
        <v>-115</v>
      </c>
      <c r="K84" s="39">
        <f t="shared" si="8"/>
        <v>-131</v>
      </c>
      <c r="L84" s="48">
        <f t="shared" si="8"/>
        <v>10</v>
      </c>
      <c r="M84" s="48">
        <f t="shared" si="8"/>
        <v>140</v>
      </c>
      <c r="N84" s="48">
        <f t="shared" si="8"/>
        <v>79</v>
      </c>
      <c r="O84" s="36"/>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48"/>
      <c r="BL84" s="48"/>
      <c r="BM84" s="48"/>
      <c r="BN84" s="48"/>
      <c r="BO84" s="48"/>
      <c r="BP84" s="48"/>
      <c r="BQ84" s="48"/>
      <c r="BR84" s="48"/>
      <c r="BS84" s="48"/>
      <c r="BT84" s="48"/>
      <c r="BU84" s="48"/>
      <c r="BV84" s="48"/>
      <c r="BW84" s="48"/>
      <c r="BX84" s="111"/>
    </row>
    <row r="85" spans="1:76" hidden="1">
      <c r="A85" s="37"/>
      <c r="B85" s="37"/>
      <c r="C85" s="37"/>
      <c r="D85" s="37"/>
      <c r="E85" s="37"/>
      <c r="F85" s="37"/>
      <c r="G85" s="39"/>
      <c r="H85" s="39"/>
      <c r="I85" s="39"/>
      <c r="J85" s="39"/>
      <c r="K85" s="39"/>
      <c r="L85" s="48"/>
      <c r="M85" s="48"/>
      <c r="N85" s="48"/>
      <c r="O85" s="36"/>
      <c r="P85" s="48"/>
      <c r="Q85" s="48"/>
      <c r="R85" s="48"/>
      <c r="S85" s="48"/>
      <c r="T85" s="48"/>
      <c r="U85" s="48"/>
      <c r="V85" s="48"/>
      <c r="W85" s="48"/>
      <c r="X85" s="48"/>
      <c r="Y85" s="48"/>
      <c r="Z85" s="48"/>
      <c r="AA85" s="48"/>
      <c r="AB85" s="48"/>
      <c r="AC85" s="48"/>
      <c r="AD85" s="48"/>
      <c r="AE85" s="48"/>
      <c r="AF85" s="48"/>
      <c r="AG85" s="48"/>
      <c r="AH85" s="48"/>
      <c r="AI85" s="48"/>
      <c r="AJ85" s="48"/>
      <c r="AK85" s="48"/>
      <c r="AL85" s="48"/>
      <c r="AM85" s="48"/>
      <c r="AN85" s="48"/>
      <c r="AO85" s="48"/>
      <c r="AP85" s="48"/>
      <c r="AQ85" s="48"/>
      <c r="AR85" s="48"/>
      <c r="AS85" s="48"/>
      <c r="AT85" s="48"/>
      <c r="AU85" s="48"/>
      <c r="AV85" s="48"/>
      <c r="AW85" s="48"/>
      <c r="AX85" s="48"/>
      <c r="AY85" s="48"/>
      <c r="AZ85" s="48"/>
      <c r="BA85" s="48"/>
      <c r="BB85" s="48"/>
      <c r="BC85" s="48"/>
      <c r="BD85" s="48"/>
      <c r="BE85" s="48"/>
      <c r="BF85" s="48"/>
      <c r="BG85" s="48"/>
      <c r="BH85" s="48"/>
      <c r="BI85" s="48"/>
      <c r="BJ85" s="48"/>
      <c r="BK85" s="48"/>
      <c r="BL85" s="48"/>
      <c r="BM85" s="48"/>
      <c r="BN85" s="48"/>
      <c r="BO85" s="48"/>
      <c r="BP85" s="48"/>
      <c r="BQ85" s="48"/>
      <c r="BR85" s="48"/>
      <c r="BS85" s="48"/>
      <c r="BT85" s="48"/>
      <c r="BU85" s="48"/>
      <c r="BV85" s="48"/>
      <c r="BW85" s="48"/>
      <c r="BX85" s="111"/>
    </row>
    <row r="86" spans="1:76" hidden="1">
      <c r="A86" s="37"/>
      <c r="B86" s="37"/>
      <c r="C86" s="37"/>
      <c r="D86" s="37"/>
      <c r="E86" s="37"/>
      <c r="F86" s="37"/>
      <c r="G86" s="39"/>
      <c r="H86" s="39"/>
      <c r="I86" s="39"/>
      <c r="J86" s="39"/>
      <c r="K86" s="39"/>
      <c r="L86" s="48"/>
      <c r="M86" s="48"/>
      <c r="N86" s="48"/>
      <c r="O86" s="36"/>
      <c r="P86" s="48"/>
      <c r="Q86" s="48"/>
      <c r="R86" s="48"/>
      <c r="S86" s="48"/>
      <c r="T86" s="48"/>
      <c r="U86" s="48"/>
      <c r="V86" s="48"/>
      <c r="W86" s="48"/>
      <c r="X86" s="48"/>
      <c r="Y86" s="48"/>
      <c r="Z86" s="48"/>
      <c r="AA86" s="48"/>
      <c r="AB86" s="48"/>
      <c r="AC86" s="48"/>
      <c r="AD86" s="48"/>
      <c r="AE86" s="48"/>
      <c r="AF86" s="48"/>
      <c r="AG86" s="48"/>
      <c r="AH86" s="48"/>
      <c r="AI86" s="48"/>
      <c r="AJ86" s="48"/>
      <c r="AK86" s="48"/>
      <c r="AL86" s="48"/>
      <c r="AM86" s="48"/>
      <c r="AN86" s="48"/>
      <c r="AO86" s="48"/>
      <c r="AP86" s="48"/>
      <c r="AQ86" s="48"/>
      <c r="AR86" s="48"/>
      <c r="AS86" s="48"/>
      <c r="AT86" s="48"/>
      <c r="AU86" s="48"/>
      <c r="AV86" s="48"/>
      <c r="AW86" s="48"/>
      <c r="AX86" s="48"/>
      <c r="AY86" s="48"/>
      <c r="AZ86" s="48"/>
      <c r="BA86" s="48"/>
      <c r="BB86" s="48"/>
      <c r="BC86" s="48"/>
      <c r="BD86" s="48"/>
      <c r="BE86" s="48"/>
      <c r="BF86" s="48"/>
      <c r="BG86" s="48"/>
      <c r="BH86" s="48"/>
      <c r="BI86" s="48"/>
      <c r="BJ86" s="48"/>
      <c r="BK86" s="48"/>
      <c r="BL86" s="48"/>
      <c r="BM86" s="48"/>
      <c r="BN86" s="48"/>
      <c r="BO86" s="48"/>
      <c r="BP86" s="48"/>
      <c r="BQ86" s="48"/>
      <c r="BR86" s="48"/>
      <c r="BS86" s="48"/>
      <c r="BT86" s="48"/>
      <c r="BU86" s="48"/>
      <c r="BV86" s="48"/>
      <c r="BW86" s="48"/>
      <c r="BX86" s="111"/>
    </row>
    <row r="87" spans="1:76" hidden="1">
      <c r="A87" s="37"/>
      <c r="B87" s="37"/>
      <c r="C87" s="37"/>
      <c r="D87" s="37"/>
      <c r="E87" s="37"/>
      <c r="F87" s="37"/>
      <c r="G87" s="39"/>
      <c r="H87" s="39"/>
      <c r="I87" s="39"/>
      <c r="J87" s="39"/>
      <c r="K87" s="39"/>
      <c r="L87" s="48"/>
      <c r="M87" s="48"/>
      <c r="N87" s="48"/>
      <c r="O87" s="36"/>
      <c r="P87" s="48"/>
      <c r="Q87" s="48"/>
      <c r="R87" s="48"/>
      <c r="S87" s="48"/>
      <c r="T87" s="48"/>
      <c r="U87" s="48"/>
      <c r="V87" s="48"/>
      <c r="W87" s="48"/>
      <c r="X87" s="48"/>
      <c r="Y87" s="48"/>
      <c r="Z87" s="48"/>
      <c r="AA87" s="48"/>
      <c r="AB87" s="48"/>
      <c r="AC87" s="48"/>
      <c r="AD87" s="48"/>
      <c r="AE87" s="48"/>
      <c r="AF87" s="48"/>
      <c r="AG87" s="48"/>
      <c r="AH87" s="48"/>
      <c r="AI87" s="48"/>
      <c r="AJ87" s="48"/>
      <c r="AK87" s="48"/>
      <c r="AL87" s="48"/>
      <c r="AM87" s="48"/>
      <c r="AN87" s="48"/>
      <c r="AO87" s="48"/>
      <c r="AP87" s="48"/>
      <c r="AQ87" s="48"/>
      <c r="AR87" s="48"/>
      <c r="AS87" s="48"/>
      <c r="AT87" s="48"/>
      <c r="AU87" s="48"/>
      <c r="AV87" s="48"/>
      <c r="AW87" s="48"/>
      <c r="AX87" s="48"/>
      <c r="AY87" s="48"/>
      <c r="AZ87" s="48"/>
      <c r="BA87" s="48"/>
      <c r="BB87" s="48"/>
      <c r="BC87" s="48"/>
      <c r="BD87" s="48"/>
      <c r="BE87" s="48"/>
      <c r="BF87" s="48"/>
      <c r="BG87" s="48"/>
      <c r="BH87" s="48"/>
      <c r="BI87" s="48"/>
      <c r="BJ87" s="48"/>
      <c r="BK87" s="48"/>
      <c r="BL87" s="48"/>
      <c r="BM87" s="48"/>
      <c r="BN87" s="48"/>
      <c r="BO87" s="48"/>
      <c r="BP87" s="48"/>
      <c r="BQ87" s="48"/>
      <c r="BR87" s="48"/>
      <c r="BS87" s="48"/>
      <c r="BT87" s="48"/>
      <c r="BU87" s="48"/>
      <c r="BV87" s="48"/>
      <c r="BW87" s="48"/>
      <c r="BX87" s="111"/>
    </row>
    <row r="88" spans="1:76" hidden="1">
      <c r="A88" s="37"/>
      <c r="B88" s="37"/>
      <c r="C88" s="37"/>
      <c r="D88" s="37"/>
      <c r="E88" s="37"/>
      <c r="F88" s="37"/>
      <c r="G88" s="39"/>
      <c r="H88" s="39"/>
      <c r="I88" s="39"/>
      <c r="J88" s="39"/>
      <c r="K88" s="39"/>
      <c r="L88" s="48"/>
      <c r="M88" s="48"/>
      <c r="N88" s="48"/>
      <c r="O88" s="36"/>
      <c r="P88" s="48"/>
      <c r="Q88" s="48"/>
      <c r="R88" s="48"/>
      <c r="S88" s="48"/>
      <c r="T88" s="48"/>
      <c r="U88" s="48"/>
      <c r="V88" s="48"/>
      <c r="W88" s="48"/>
      <c r="X88" s="48"/>
      <c r="Y88" s="48"/>
      <c r="Z88" s="48"/>
      <c r="AA88" s="48"/>
      <c r="AB88" s="48"/>
      <c r="AC88" s="48"/>
      <c r="AD88" s="48"/>
      <c r="AE88" s="48"/>
      <c r="AF88" s="48"/>
      <c r="AG88" s="48"/>
      <c r="AH88" s="48"/>
      <c r="AI88" s="48"/>
      <c r="AJ88" s="48"/>
      <c r="AK88" s="48"/>
      <c r="AL88" s="48"/>
      <c r="AM88" s="48"/>
      <c r="AN88" s="48"/>
      <c r="AO88" s="48"/>
      <c r="AP88" s="48"/>
      <c r="AQ88" s="48"/>
      <c r="AR88" s="48"/>
      <c r="AS88" s="48"/>
      <c r="AT88" s="48"/>
      <c r="AU88" s="48"/>
      <c r="AV88" s="48"/>
      <c r="AW88" s="48"/>
      <c r="AX88" s="48"/>
      <c r="AY88" s="48"/>
      <c r="AZ88" s="48"/>
      <c r="BA88" s="48"/>
      <c r="BB88" s="48"/>
      <c r="BC88" s="48"/>
      <c r="BD88" s="48"/>
      <c r="BE88" s="48"/>
      <c r="BF88" s="48"/>
      <c r="BG88" s="48"/>
      <c r="BH88" s="48"/>
      <c r="BI88" s="48"/>
      <c r="BJ88" s="48"/>
      <c r="BK88" s="48"/>
      <c r="BL88" s="48"/>
      <c r="BM88" s="48"/>
      <c r="BN88" s="48"/>
      <c r="BO88" s="48"/>
      <c r="BP88" s="48"/>
      <c r="BQ88" s="48"/>
      <c r="BR88" s="48"/>
      <c r="BS88" s="48"/>
      <c r="BT88" s="48"/>
      <c r="BU88" s="48"/>
      <c r="BV88" s="48"/>
      <c r="BW88" s="48"/>
      <c r="BX88" s="111"/>
    </row>
    <row r="89" spans="1:76" hidden="1">
      <c r="A89" s="37"/>
      <c r="B89" s="37"/>
      <c r="C89" s="37"/>
      <c r="D89" s="37"/>
      <c r="E89" s="37"/>
      <c r="F89" s="37"/>
      <c r="G89" s="39"/>
      <c r="H89" s="39"/>
      <c r="I89" s="39"/>
      <c r="J89" s="39"/>
      <c r="K89" s="39"/>
      <c r="L89" s="48"/>
      <c r="M89" s="48"/>
      <c r="N89" s="48"/>
      <c r="O89" s="36"/>
      <c r="P89" s="48"/>
      <c r="Q89" s="48"/>
      <c r="R89" s="48"/>
      <c r="S89" s="48"/>
      <c r="T89" s="48"/>
      <c r="U89" s="48"/>
      <c r="V89" s="48"/>
      <c r="W89" s="48"/>
      <c r="X89" s="48"/>
      <c r="Y89" s="48"/>
      <c r="Z89" s="48"/>
      <c r="AA89" s="48"/>
      <c r="AB89" s="48"/>
      <c r="AC89" s="48"/>
      <c r="AD89" s="48"/>
      <c r="AE89" s="48"/>
      <c r="AF89" s="48"/>
      <c r="AG89" s="48"/>
      <c r="AH89" s="48"/>
      <c r="AI89" s="48"/>
      <c r="AJ89" s="48"/>
      <c r="AK89" s="48"/>
      <c r="AL89" s="48"/>
      <c r="AM89" s="48"/>
      <c r="AN89" s="48"/>
      <c r="AO89" s="48"/>
      <c r="AP89" s="48"/>
      <c r="AQ89" s="48"/>
      <c r="AR89" s="48"/>
      <c r="AS89" s="48"/>
      <c r="AT89" s="48"/>
      <c r="AU89" s="48"/>
      <c r="AV89" s="48"/>
      <c r="AW89" s="48"/>
      <c r="AX89" s="48"/>
      <c r="AY89" s="48"/>
      <c r="AZ89" s="48"/>
      <c r="BA89" s="48"/>
      <c r="BB89" s="48"/>
      <c r="BC89" s="48"/>
      <c r="BD89" s="48"/>
      <c r="BE89" s="48"/>
      <c r="BF89" s="48"/>
      <c r="BG89" s="48"/>
      <c r="BH89" s="48"/>
      <c r="BI89" s="48"/>
      <c r="BJ89" s="48"/>
      <c r="BK89" s="48"/>
      <c r="BL89" s="48"/>
      <c r="BM89" s="48"/>
      <c r="BN89" s="48"/>
      <c r="BO89" s="48"/>
      <c r="BP89" s="48"/>
      <c r="BQ89" s="48"/>
      <c r="BR89" s="48"/>
      <c r="BS89" s="48"/>
      <c r="BT89" s="48"/>
      <c r="BU89" s="48"/>
      <c r="BV89" s="48"/>
      <c r="BW89" s="48"/>
      <c r="BX89" s="111"/>
    </row>
    <row r="90" spans="1:76" hidden="1">
      <c r="A90" s="37"/>
      <c r="B90" s="37"/>
      <c r="C90" s="37"/>
      <c r="D90" s="37"/>
      <c r="E90" s="37"/>
      <c r="F90" s="37"/>
      <c r="G90" s="39"/>
      <c r="H90" s="39"/>
      <c r="I90" s="39"/>
      <c r="J90" s="39"/>
      <c r="K90" s="39"/>
      <c r="L90" s="48"/>
      <c r="M90" s="48"/>
      <c r="N90" s="48"/>
      <c r="O90" s="36"/>
      <c r="P90" s="48"/>
      <c r="Q90" s="48"/>
      <c r="R90" s="48"/>
      <c r="S90" s="48"/>
      <c r="T90" s="48"/>
      <c r="U90" s="48"/>
      <c r="V90" s="48"/>
      <c r="W90" s="48"/>
      <c r="X90" s="48"/>
      <c r="Y90" s="48"/>
      <c r="Z90" s="48"/>
      <c r="AA90" s="48"/>
      <c r="AB90" s="48"/>
      <c r="AC90" s="48"/>
      <c r="AD90" s="48"/>
      <c r="AE90" s="48"/>
      <c r="AF90" s="48"/>
      <c r="AG90" s="48"/>
      <c r="AH90" s="48"/>
      <c r="AI90" s="48"/>
      <c r="AJ90" s="48"/>
      <c r="AK90" s="48"/>
      <c r="AL90" s="48"/>
      <c r="AM90" s="48"/>
      <c r="AN90" s="48"/>
      <c r="AO90" s="48"/>
      <c r="AP90" s="48"/>
      <c r="AQ90" s="48"/>
      <c r="AR90" s="48"/>
      <c r="AS90" s="48"/>
      <c r="AT90" s="48"/>
      <c r="AU90" s="48"/>
      <c r="AV90" s="48"/>
      <c r="AW90" s="48"/>
      <c r="AX90" s="48"/>
      <c r="AY90" s="48"/>
      <c r="AZ90" s="48"/>
      <c r="BA90" s="48"/>
      <c r="BB90" s="48"/>
      <c r="BC90" s="48"/>
      <c r="BD90" s="48"/>
      <c r="BE90" s="48"/>
      <c r="BF90" s="48"/>
      <c r="BG90" s="48"/>
      <c r="BH90" s="48"/>
      <c r="BI90" s="48"/>
      <c r="BJ90" s="48"/>
      <c r="BK90" s="48"/>
      <c r="BL90" s="48"/>
      <c r="BM90" s="48"/>
      <c r="BN90" s="48"/>
      <c r="BO90" s="48"/>
      <c r="BP90" s="48"/>
      <c r="BQ90" s="48"/>
      <c r="BR90" s="48"/>
      <c r="BS90" s="48"/>
      <c r="BT90" s="48"/>
      <c r="BU90" s="48"/>
      <c r="BV90" s="48"/>
      <c r="BW90" s="48"/>
      <c r="BX90" s="111"/>
    </row>
    <row r="91" spans="1:76" hidden="1">
      <c r="A91" s="37"/>
      <c r="B91" s="37"/>
      <c r="C91" s="37"/>
      <c r="D91" s="37"/>
      <c r="E91" s="37"/>
      <c r="F91" s="37"/>
      <c r="G91" s="39"/>
      <c r="H91" s="39"/>
      <c r="I91" s="39"/>
      <c r="J91" s="39"/>
      <c r="K91" s="39"/>
      <c r="L91" s="48"/>
      <c r="M91" s="48"/>
      <c r="N91" s="48"/>
      <c r="O91" s="36"/>
      <c r="P91" s="48"/>
      <c r="Q91" s="48"/>
      <c r="R91" s="48"/>
      <c r="S91" s="48"/>
      <c r="T91" s="48"/>
      <c r="U91" s="48"/>
      <c r="V91" s="48"/>
      <c r="W91" s="48"/>
      <c r="X91" s="48"/>
      <c r="Y91" s="48"/>
      <c r="Z91" s="48"/>
      <c r="AA91" s="48"/>
      <c r="AB91" s="48"/>
      <c r="AC91" s="48"/>
      <c r="AD91" s="48"/>
      <c r="AE91" s="48"/>
      <c r="AF91" s="48"/>
      <c r="AG91" s="48"/>
      <c r="AH91" s="48"/>
      <c r="AI91" s="48"/>
      <c r="AJ91" s="48"/>
      <c r="AK91" s="48"/>
      <c r="AL91" s="48"/>
      <c r="AM91" s="48"/>
      <c r="AN91" s="48"/>
      <c r="AO91" s="48"/>
      <c r="AP91" s="48"/>
      <c r="AQ91" s="48"/>
      <c r="AR91" s="48"/>
      <c r="AS91" s="48"/>
      <c r="AT91" s="48"/>
      <c r="AU91" s="48"/>
      <c r="AV91" s="48"/>
      <c r="AW91" s="48"/>
      <c r="AX91" s="48"/>
      <c r="AY91" s="48"/>
      <c r="AZ91" s="48"/>
      <c r="BA91" s="48"/>
      <c r="BB91" s="48"/>
      <c r="BC91" s="48"/>
      <c r="BD91" s="48"/>
      <c r="BE91" s="48"/>
      <c r="BF91" s="48"/>
      <c r="BG91" s="48"/>
      <c r="BH91" s="48"/>
      <c r="BI91" s="48"/>
      <c r="BJ91" s="48"/>
      <c r="BK91" s="48"/>
      <c r="BL91" s="48"/>
      <c r="BM91" s="48"/>
      <c r="BN91" s="48"/>
      <c r="BO91" s="48"/>
      <c r="BP91" s="48"/>
      <c r="BQ91" s="48"/>
      <c r="BR91" s="48"/>
      <c r="BS91" s="48"/>
      <c r="BT91" s="48"/>
      <c r="BU91" s="48"/>
      <c r="BV91" s="48"/>
      <c r="BW91" s="48"/>
      <c r="BX91" s="111"/>
    </row>
    <row r="92" spans="1:76" hidden="1">
      <c r="A92" s="37"/>
      <c r="B92" s="37"/>
      <c r="C92" s="37"/>
      <c r="D92" s="37"/>
      <c r="E92" s="37"/>
      <c r="F92" s="37"/>
      <c r="G92" s="39"/>
      <c r="H92" s="39"/>
      <c r="I92" s="39"/>
      <c r="J92" s="39"/>
      <c r="K92" s="39"/>
      <c r="L92" s="48"/>
      <c r="M92" s="48"/>
      <c r="N92" s="48"/>
      <c r="O92" s="36"/>
      <c r="P92" s="48"/>
      <c r="Q92" s="48"/>
      <c r="R92" s="48"/>
      <c r="S92" s="48"/>
      <c r="T92" s="48"/>
      <c r="U92" s="48"/>
      <c r="V92" s="48"/>
      <c r="W92" s="48"/>
      <c r="X92" s="48"/>
      <c r="Y92" s="48"/>
      <c r="Z92" s="48"/>
      <c r="AA92" s="48"/>
      <c r="AB92" s="48"/>
      <c r="AC92" s="48"/>
      <c r="AD92" s="48"/>
      <c r="AE92" s="48"/>
      <c r="AF92" s="48"/>
      <c r="AG92" s="48"/>
      <c r="AH92" s="48"/>
      <c r="AI92" s="48"/>
      <c r="AJ92" s="48"/>
      <c r="AK92" s="48"/>
      <c r="AL92" s="48"/>
      <c r="AM92" s="48"/>
      <c r="AN92" s="48"/>
      <c r="AO92" s="48"/>
      <c r="AP92" s="48"/>
      <c r="AQ92" s="48"/>
      <c r="AR92" s="48"/>
      <c r="AS92" s="48"/>
      <c r="AT92" s="48"/>
      <c r="AU92" s="48"/>
      <c r="AV92" s="48"/>
      <c r="AW92" s="48"/>
      <c r="AX92" s="48"/>
      <c r="AY92" s="48"/>
      <c r="AZ92" s="48"/>
      <c r="BA92" s="48"/>
      <c r="BB92" s="48"/>
      <c r="BC92" s="48"/>
      <c r="BD92" s="48"/>
      <c r="BE92" s="48"/>
      <c r="BF92" s="48"/>
      <c r="BG92" s="48"/>
      <c r="BH92" s="48"/>
      <c r="BI92" s="48"/>
      <c r="BJ92" s="48"/>
      <c r="BK92" s="48"/>
      <c r="BL92" s="48"/>
      <c r="BM92" s="48"/>
      <c r="BN92" s="48"/>
      <c r="BO92" s="48"/>
      <c r="BP92" s="48"/>
      <c r="BQ92" s="48"/>
      <c r="BR92" s="48"/>
      <c r="BS92" s="48"/>
      <c r="BT92" s="48"/>
      <c r="BU92" s="48"/>
      <c r="BV92" s="48"/>
      <c r="BW92" s="48"/>
      <c r="BX92" s="111"/>
    </row>
    <row r="93" spans="1:76" hidden="1">
      <c r="A93" s="37"/>
      <c r="B93" s="37"/>
      <c r="C93" s="37"/>
      <c r="D93" s="37"/>
      <c r="E93" s="37"/>
      <c r="F93" s="37"/>
      <c r="G93" s="39"/>
      <c r="H93" s="39"/>
      <c r="I93" s="39"/>
      <c r="J93" s="39"/>
      <c r="K93" s="39"/>
      <c r="L93" s="48"/>
      <c r="M93" s="48"/>
      <c r="N93" s="48"/>
      <c r="O93" s="36"/>
      <c r="P93" s="48"/>
      <c r="Q93" s="48"/>
      <c r="R93" s="48"/>
      <c r="S93" s="48"/>
      <c r="T93" s="48"/>
      <c r="U93" s="48"/>
      <c r="V93" s="48"/>
      <c r="W93" s="48"/>
      <c r="X93" s="48"/>
      <c r="Y93" s="48"/>
      <c r="Z93" s="48"/>
      <c r="AA93" s="48"/>
      <c r="AB93" s="48"/>
      <c r="AC93" s="48"/>
      <c r="AD93" s="48"/>
      <c r="AE93" s="48"/>
      <c r="AF93" s="48"/>
      <c r="AG93" s="48"/>
      <c r="AH93" s="48"/>
      <c r="AI93" s="48"/>
      <c r="AJ93" s="48"/>
      <c r="AK93" s="48"/>
      <c r="AL93" s="48"/>
      <c r="AM93" s="48"/>
      <c r="AN93" s="48"/>
      <c r="AO93" s="48"/>
      <c r="AP93" s="48"/>
      <c r="AQ93" s="48"/>
      <c r="AR93" s="48"/>
      <c r="AS93" s="48"/>
      <c r="AT93" s="48"/>
      <c r="AU93" s="48"/>
      <c r="AV93" s="48"/>
      <c r="AW93" s="48"/>
      <c r="AX93" s="48"/>
      <c r="AY93" s="48"/>
      <c r="AZ93" s="48"/>
      <c r="BA93" s="48"/>
      <c r="BB93" s="48"/>
      <c r="BC93" s="48"/>
      <c r="BD93" s="48"/>
      <c r="BE93" s="48"/>
      <c r="BF93" s="48"/>
      <c r="BG93" s="48"/>
      <c r="BH93" s="48"/>
      <c r="BI93" s="48"/>
      <c r="BJ93" s="48"/>
      <c r="BK93" s="48"/>
      <c r="BL93" s="48"/>
      <c r="BM93" s="48"/>
      <c r="BN93" s="48"/>
      <c r="BO93" s="48"/>
      <c r="BP93" s="48"/>
      <c r="BQ93" s="48"/>
      <c r="BR93" s="48"/>
      <c r="BS93" s="48"/>
      <c r="BT93" s="48"/>
      <c r="BU93" s="48"/>
      <c r="BV93" s="48"/>
      <c r="BW93" s="48"/>
      <c r="BX93" s="111"/>
    </row>
    <row r="94" spans="1:76" hidden="1">
      <c r="A94" s="37"/>
      <c r="B94" s="37"/>
      <c r="C94" s="37"/>
      <c r="D94" s="37"/>
      <c r="E94" s="37"/>
      <c r="F94" s="37"/>
      <c r="G94" s="39"/>
      <c r="H94" s="39"/>
      <c r="I94" s="39"/>
      <c r="J94" s="39"/>
      <c r="K94" s="39"/>
      <c r="L94" s="48"/>
      <c r="M94" s="48"/>
      <c r="N94" s="48"/>
      <c r="O94" s="36"/>
      <c r="P94" s="48"/>
      <c r="Q94" s="48"/>
      <c r="R94" s="48"/>
      <c r="S94" s="48"/>
      <c r="T94" s="48"/>
      <c r="U94" s="48"/>
      <c r="V94" s="48"/>
      <c r="W94" s="48"/>
      <c r="X94" s="48"/>
      <c r="Y94" s="48"/>
      <c r="Z94" s="48"/>
      <c r="AA94" s="48"/>
      <c r="AB94" s="48"/>
      <c r="AC94" s="48"/>
      <c r="AD94" s="48"/>
      <c r="AE94" s="48"/>
      <c r="AF94" s="48"/>
      <c r="AG94" s="48"/>
      <c r="AH94" s="48"/>
      <c r="AI94" s="48"/>
      <c r="AJ94" s="48"/>
      <c r="AK94" s="48"/>
      <c r="AL94" s="48"/>
      <c r="AM94" s="48"/>
      <c r="AN94" s="48"/>
      <c r="AO94" s="48"/>
      <c r="AP94" s="48"/>
      <c r="AQ94" s="48"/>
      <c r="AR94" s="48"/>
      <c r="AS94" s="48"/>
      <c r="AT94" s="48"/>
      <c r="AU94" s="48"/>
      <c r="AV94" s="48"/>
      <c r="AW94" s="48"/>
      <c r="AX94" s="48"/>
      <c r="AY94" s="48"/>
      <c r="AZ94" s="48"/>
      <c r="BA94" s="48"/>
      <c r="BB94" s="48"/>
      <c r="BC94" s="48"/>
      <c r="BD94" s="48"/>
      <c r="BE94" s="48"/>
      <c r="BF94" s="48"/>
      <c r="BG94" s="48"/>
      <c r="BH94" s="48"/>
      <c r="BI94" s="48"/>
      <c r="BJ94" s="48"/>
      <c r="BK94" s="48"/>
      <c r="BL94" s="48"/>
      <c r="BM94" s="48"/>
      <c r="BN94" s="48"/>
      <c r="BO94" s="48"/>
      <c r="BP94" s="48"/>
      <c r="BQ94" s="48"/>
      <c r="BR94" s="48"/>
      <c r="BS94" s="48"/>
      <c r="BT94" s="48"/>
      <c r="BU94" s="48"/>
      <c r="BV94" s="48"/>
      <c r="BW94" s="48"/>
      <c r="BX94" s="111"/>
    </row>
    <row r="95" spans="1:76">
      <c r="A95" s="37"/>
      <c r="B95" s="37"/>
      <c r="C95" s="37"/>
      <c r="D95" s="37" t="s">
        <v>1301</v>
      </c>
      <c r="E95" s="37"/>
      <c r="F95" s="37"/>
      <c r="G95" s="39">
        <f t="shared" ref="G95:N95" si="9">IF(ISTEXT(G331), 0,G331)-IF(ISTEXT(F331), 0,F331)</f>
        <v>0</v>
      </c>
      <c r="H95" s="39">
        <f t="shared" si="9"/>
        <v>0</v>
      </c>
      <c r="I95" s="39">
        <f t="shared" si="9"/>
        <v>0</v>
      </c>
      <c r="J95" s="39">
        <f t="shared" si="9"/>
        <v>0</v>
      </c>
      <c r="K95" s="39">
        <f t="shared" si="9"/>
        <v>0</v>
      </c>
      <c r="L95" s="48">
        <f t="shared" si="9"/>
        <v>0</v>
      </c>
      <c r="M95" s="48">
        <f t="shared" si="9"/>
        <v>0</v>
      </c>
      <c r="N95" s="48">
        <f t="shared" si="9"/>
        <v>0</v>
      </c>
      <c r="O95" s="36"/>
      <c r="P95" s="48"/>
      <c r="Q95" s="48"/>
      <c r="R95" s="48"/>
      <c r="S95" s="48"/>
      <c r="T95" s="48"/>
      <c r="U95" s="48"/>
      <c r="V95" s="48"/>
      <c r="W95" s="48"/>
      <c r="X95" s="48"/>
      <c r="Y95" s="48"/>
      <c r="Z95" s="48"/>
      <c r="AA95" s="48"/>
      <c r="AB95" s="48"/>
      <c r="AC95" s="48"/>
      <c r="AD95" s="48"/>
      <c r="AE95" s="48"/>
      <c r="AF95" s="48"/>
      <c r="AG95" s="48"/>
      <c r="AH95" s="48"/>
      <c r="AI95" s="48"/>
      <c r="AJ95" s="48"/>
      <c r="AK95" s="48"/>
      <c r="AL95" s="48"/>
      <c r="AM95" s="48"/>
      <c r="AN95" s="48"/>
      <c r="AO95" s="48"/>
      <c r="AP95" s="48"/>
      <c r="AQ95" s="48"/>
      <c r="AR95" s="48"/>
      <c r="AS95" s="48"/>
      <c r="AT95" s="48"/>
      <c r="AU95" s="48"/>
      <c r="AV95" s="48"/>
      <c r="AW95" s="48"/>
      <c r="AX95" s="48"/>
      <c r="AY95" s="48"/>
      <c r="AZ95" s="48"/>
      <c r="BA95" s="48"/>
      <c r="BB95" s="48"/>
      <c r="BC95" s="48"/>
      <c r="BD95" s="48"/>
      <c r="BE95" s="48"/>
      <c r="BF95" s="48"/>
      <c r="BG95" s="48"/>
      <c r="BH95" s="48"/>
      <c r="BI95" s="48"/>
      <c r="BJ95" s="48"/>
      <c r="BK95" s="48"/>
      <c r="BL95" s="48"/>
      <c r="BM95" s="48"/>
      <c r="BN95" s="48"/>
      <c r="BO95" s="48"/>
      <c r="BP95" s="48"/>
      <c r="BQ95" s="48"/>
      <c r="BR95" s="48"/>
      <c r="BS95" s="48"/>
      <c r="BT95" s="48"/>
      <c r="BU95" s="48"/>
      <c r="BV95" s="48"/>
      <c r="BW95" s="48"/>
      <c r="BX95" s="111"/>
    </row>
    <row r="96" spans="1:76" hidden="1">
      <c r="A96" s="37"/>
      <c r="B96" s="37"/>
      <c r="C96" s="37"/>
      <c r="D96" s="37"/>
      <c r="E96" s="37"/>
      <c r="F96" s="37"/>
      <c r="G96" s="39"/>
      <c r="H96" s="39"/>
      <c r="I96" s="39"/>
      <c r="J96" s="39"/>
      <c r="K96" s="39"/>
      <c r="L96" s="48"/>
      <c r="M96" s="48"/>
      <c r="N96" s="48"/>
      <c r="O96" s="36"/>
      <c r="P96" s="48"/>
      <c r="Q96" s="48"/>
      <c r="R96" s="48"/>
      <c r="S96" s="48"/>
      <c r="T96" s="48"/>
      <c r="U96" s="48"/>
      <c r="V96" s="48"/>
      <c r="W96" s="48"/>
      <c r="X96" s="48"/>
      <c r="Y96" s="48"/>
      <c r="Z96" s="48"/>
      <c r="AA96" s="48"/>
      <c r="AB96" s="48"/>
      <c r="AC96" s="48"/>
      <c r="AD96" s="48"/>
      <c r="AE96" s="48"/>
      <c r="AF96" s="48"/>
      <c r="AG96" s="48"/>
      <c r="AH96" s="48"/>
      <c r="AI96" s="48"/>
      <c r="AJ96" s="48"/>
      <c r="AK96" s="48"/>
      <c r="AL96" s="48"/>
      <c r="AM96" s="48"/>
      <c r="AN96" s="48"/>
      <c r="AO96" s="48"/>
      <c r="AP96" s="48"/>
      <c r="AQ96" s="48"/>
      <c r="AR96" s="48"/>
      <c r="AS96" s="48"/>
      <c r="AT96" s="48"/>
      <c r="AU96" s="48"/>
      <c r="AV96" s="48"/>
      <c r="AW96" s="48"/>
      <c r="AX96" s="48"/>
      <c r="AY96" s="48"/>
      <c r="AZ96" s="48"/>
      <c r="BA96" s="48"/>
      <c r="BB96" s="48"/>
      <c r="BC96" s="48"/>
      <c r="BD96" s="48"/>
      <c r="BE96" s="48"/>
      <c r="BF96" s="48"/>
      <c r="BG96" s="48"/>
      <c r="BH96" s="48"/>
      <c r="BI96" s="48"/>
      <c r="BJ96" s="48"/>
      <c r="BK96" s="48"/>
      <c r="BL96" s="48"/>
      <c r="BM96" s="48"/>
      <c r="BN96" s="48"/>
      <c r="BO96" s="48"/>
      <c r="BP96" s="48"/>
      <c r="BQ96" s="48"/>
      <c r="BR96" s="48"/>
      <c r="BS96" s="48"/>
      <c r="BT96" s="48"/>
      <c r="BU96" s="48"/>
      <c r="BV96" s="48"/>
      <c r="BW96" s="48"/>
      <c r="BX96" s="111"/>
    </row>
    <row r="97" spans="1:76" hidden="1">
      <c r="A97" s="37"/>
      <c r="B97" s="37"/>
      <c r="C97" s="37"/>
      <c r="D97" s="37"/>
      <c r="E97" s="37"/>
      <c r="F97" s="37"/>
      <c r="G97" s="39"/>
      <c r="H97" s="39"/>
      <c r="I97" s="39"/>
      <c r="J97" s="39"/>
      <c r="K97" s="39"/>
      <c r="L97" s="48"/>
      <c r="M97" s="48"/>
      <c r="N97" s="48"/>
      <c r="O97" s="36"/>
      <c r="P97" s="48"/>
      <c r="Q97" s="48"/>
      <c r="R97" s="48"/>
      <c r="S97" s="48"/>
      <c r="T97" s="48"/>
      <c r="U97" s="48"/>
      <c r="V97" s="48"/>
      <c r="W97" s="48"/>
      <c r="X97" s="48"/>
      <c r="Y97" s="48"/>
      <c r="Z97" s="48"/>
      <c r="AA97" s="48"/>
      <c r="AB97" s="48"/>
      <c r="AC97" s="48"/>
      <c r="AD97" s="48"/>
      <c r="AE97" s="48"/>
      <c r="AF97" s="48"/>
      <c r="AG97" s="48"/>
      <c r="AH97" s="48"/>
      <c r="AI97" s="48"/>
      <c r="AJ97" s="48"/>
      <c r="AK97" s="48"/>
      <c r="AL97" s="48"/>
      <c r="AM97" s="48"/>
      <c r="AN97" s="48"/>
      <c r="AO97" s="48"/>
      <c r="AP97" s="48"/>
      <c r="AQ97" s="48"/>
      <c r="AR97" s="48"/>
      <c r="AS97" s="48"/>
      <c r="AT97" s="48"/>
      <c r="AU97" s="48"/>
      <c r="AV97" s="48"/>
      <c r="AW97" s="48"/>
      <c r="AX97" s="48"/>
      <c r="AY97" s="48"/>
      <c r="AZ97" s="48"/>
      <c r="BA97" s="48"/>
      <c r="BB97" s="48"/>
      <c r="BC97" s="48"/>
      <c r="BD97" s="48"/>
      <c r="BE97" s="48"/>
      <c r="BF97" s="48"/>
      <c r="BG97" s="48"/>
      <c r="BH97" s="48"/>
      <c r="BI97" s="48"/>
      <c r="BJ97" s="48"/>
      <c r="BK97" s="48"/>
      <c r="BL97" s="48"/>
      <c r="BM97" s="48"/>
      <c r="BN97" s="48"/>
      <c r="BO97" s="48"/>
      <c r="BP97" s="48"/>
      <c r="BQ97" s="48"/>
      <c r="BR97" s="48"/>
      <c r="BS97" s="48"/>
      <c r="BT97" s="48"/>
      <c r="BU97" s="48"/>
      <c r="BV97" s="48"/>
      <c r="BW97" s="48"/>
      <c r="BX97" s="111"/>
    </row>
    <row r="98" spans="1:76" hidden="1">
      <c r="A98" s="37"/>
      <c r="B98" s="37"/>
      <c r="C98" s="37"/>
      <c r="D98" s="37"/>
      <c r="E98" s="37"/>
      <c r="F98" s="37"/>
      <c r="G98" s="39"/>
      <c r="H98" s="39"/>
      <c r="I98" s="39"/>
      <c r="J98" s="39"/>
      <c r="K98" s="39"/>
      <c r="L98" s="48"/>
      <c r="M98" s="48"/>
      <c r="N98" s="48"/>
      <c r="O98" s="36"/>
      <c r="P98" s="48"/>
      <c r="Q98" s="48"/>
      <c r="R98" s="48"/>
      <c r="S98" s="48"/>
      <c r="T98" s="48"/>
      <c r="U98" s="48"/>
      <c r="V98" s="48"/>
      <c r="W98" s="48"/>
      <c r="X98" s="48"/>
      <c r="Y98" s="48"/>
      <c r="Z98" s="48"/>
      <c r="AA98" s="48"/>
      <c r="AB98" s="48"/>
      <c r="AC98" s="48"/>
      <c r="AD98" s="48"/>
      <c r="AE98" s="48"/>
      <c r="AF98" s="48"/>
      <c r="AG98" s="48"/>
      <c r="AH98" s="48"/>
      <c r="AI98" s="48"/>
      <c r="AJ98" s="48"/>
      <c r="AK98" s="48"/>
      <c r="AL98" s="48"/>
      <c r="AM98" s="48"/>
      <c r="AN98" s="48"/>
      <c r="AO98" s="48"/>
      <c r="AP98" s="48"/>
      <c r="AQ98" s="48"/>
      <c r="AR98" s="48"/>
      <c r="AS98" s="48"/>
      <c r="AT98" s="48"/>
      <c r="AU98" s="48"/>
      <c r="AV98" s="48"/>
      <c r="AW98" s="48"/>
      <c r="AX98" s="48"/>
      <c r="AY98" s="48"/>
      <c r="AZ98" s="48"/>
      <c r="BA98" s="48"/>
      <c r="BB98" s="48"/>
      <c r="BC98" s="48"/>
      <c r="BD98" s="48"/>
      <c r="BE98" s="48"/>
      <c r="BF98" s="48"/>
      <c r="BG98" s="48"/>
      <c r="BH98" s="48"/>
      <c r="BI98" s="48"/>
      <c r="BJ98" s="48"/>
      <c r="BK98" s="48"/>
      <c r="BL98" s="48"/>
      <c r="BM98" s="48"/>
      <c r="BN98" s="48"/>
      <c r="BO98" s="48"/>
      <c r="BP98" s="48"/>
      <c r="BQ98" s="48"/>
      <c r="BR98" s="48"/>
      <c r="BS98" s="48"/>
      <c r="BT98" s="48"/>
      <c r="BU98" s="48"/>
      <c r="BV98" s="48"/>
      <c r="BW98" s="48"/>
      <c r="BX98" s="111"/>
    </row>
    <row r="99" spans="1:76" hidden="1">
      <c r="A99" s="37"/>
      <c r="B99" s="37"/>
      <c r="C99" s="37"/>
      <c r="D99" s="37"/>
      <c r="E99" s="37"/>
      <c r="F99" s="37"/>
      <c r="G99" s="39"/>
      <c r="H99" s="39"/>
      <c r="I99" s="39"/>
      <c r="J99" s="39"/>
      <c r="K99" s="39"/>
      <c r="L99" s="48"/>
      <c r="M99" s="48"/>
      <c r="N99" s="48"/>
      <c r="O99" s="36"/>
      <c r="P99" s="48"/>
      <c r="Q99" s="48"/>
      <c r="R99" s="48"/>
      <c r="S99" s="48"/>
      <c r="T99" s="48"/>
      <c r="U99" s="48"/>
      <c r="V99" s="48"/>
      <c r="W99" s="48"/>
      <c r="X99" s="48"/>
      <c r="Y99" s="48"/>
      <c r="Z99" s="48"/>
      <c r="AA99" s="48"/>
      <c r="AB99" s="48"/>
      <c r="AC99" s="48"/>
      <c r="AD99" s="48"/>
      <c r="AE99" s="48"/>
      <c r="AF99" s="48"/>
      <c r="AG99" s="48"/>
      <c r="AH99" s="48"/>
      <c r="AI99" s="48"/>
      <c r="AJ99" s="48"/>
      <c r="AK99" s="48"/>
      <c r="AL99" s="48"/>
      <c r="AM99" s="48"/>
      <c r="AN99" s="48"/>
      <c r="AO99" s="48"/>
      <c r="AP99" s="48"/>
      <c r="AQ99" s="48"/>
      <c r="AR99" s="48"/>
      <c r="AS99" s="48"/>
      <c r="AT99" s="48"/>
      <c r="AU99" s="48"/>
      <c r="AV99" s="48"/>
      <c r="AW99" s="48"/>
      <c r="AX99" s="48"/>
      <c r="AY99" s="48"/>
      <c r="AZ99" s="48"/>
      <c r="BA99" s="48"/>
      <c r="BB99" s="48"/>
      <c r="BC99" s="48"/>
      <c r="BD99" s="48"/>
      <c r="BE99" s="48"/>
      <c r="BF99" s="48"/>
      <c r="BG99" s="48"/>
      <c r="BH99" s="48"/>
      <c r="BI99" s="48"/>
      <c r="BJ99" s="48"/>
      <c r="BK99" s="48"/>
      <c r="BL99" s="48"/>
      <c r="BM99" s="48"/>
      <c r="BN99" s="48"/>
      <c r="BO99" s="48"/>
      <c r="BP99" s="48"/>
      <c r="BQ99" s="48"/>
      <c r="BR99" s="48"/>
      <c r="BS99" s="48"/>
      <c r="BT99" s="48"/>
      <c r="BU99" s="48"/>
      <c r="BV99" s="48"/>
      <c r="BW99" s="48"/>
      <c r="BX99" s="111"/>
    </row>
    <row r="100" spans="1:76" hidden="1">
      <c r="A100" s="37"/>
      <c r="B100" s="37"/>
      <c r="C100" s="37"/>
      <c r="D100" s="37"/>
      <c r="E100" s="37"/>
      <c r="F100" s="37"/>
      <c r="G100" s="39"/>
      <c r="H100" s="39"/>
      <c r="I100" s="39"/>
      <c r="J100" s="39"/>
      <c r="K100" s="39"/>
      <c r="L100" s="48"/>
      <c r="M100" s="48"/>
      <c r="N100" s="48"/>
      <c r="O100" s="36"/>
      <c r="P100" s="48"/>
      <c r="Q100" s="48"/>
      <c r="R100" s="48"/>
      <c r="S100" s="48"/>
      <c r="T100" s="48"/>
      <c r="U100" s="48"/>
      <c r="V100" s="48"/>
      <c r="W100" s="48"/>
      <c r="X100" s="48"/>
      <c r="Y100" s="48"/>
      <c r="Z100" s="48"/>
      <c r="AA100" s="48"/>
      <c r="AB100" s="48"/>
      <c r="AC100" s="48"/>
      <c r="AD100" s="48"/>
      <c r="AE100" s="48"/>
      <c r="AF100" s="48"/>
      <c r="AG100" s="48"/>
      <c r="AH100" s="48"/>
      <c r="AI100" s="48"/>
      <c r="AJ100" s="48"/>
      <c r="AK100" s="48"/>
      <c r="AL100" s="48"/>
      <c r="AM100" s="48"/>
      <c r="AN100" s="48"/>
      <c r="AO100" s="48"/>
      <c r="AP100" s="48"/>
      <c r="AQ100" s="48"/>
      <c r="AR100" s="48"/>
      <c r="AS100" s="48"/>
      <c r="AT100" s="48"/>
      <c r="AU100" s="48"/>
      <c r="AV100" s="48"/>
      <c r="AW100" s="48"/>
      <c r="AX100" s="48"/>
      <c r="AY100" s="48"/>
      <c r="AZ100" s="48"/>
      <c r="BA100" s="48"/>
      <c r="BB100" s="48"/>
      <c r="BC100" s="48"/>
      <c r="BD100" s="48"/>
      <c r="BE100" s="48"/>
      <c r="BF100" s="48"/>
      <c r="BG100" s="48"/>
      <c r="BH100" s="48"/>
      <c r="BI100" s="48"/>
      <c r="BJ100" s="48"/>
      <c r="BK100" s="48"/>
      <c r="BL100" s="48"/>
      <c r="BM100" s="48"/>
      <c r="BN100" s="48"/>
      <c r="BO100" s="48"/>
      <c r="BP100" s="48"/>
      <c r="BQ100" s="48"/>
      <c r="BR100" s="48"/>
      <c r="BS100" s="48"/>
      <c r="BT100" s="48"/>
      <c r="BU100" s="48"/>
      <c r="BV100" s="48"/>
      <c r="BW100" s="48"/>
      <c r="BX100" s="111"/>
    </row>
    <row r="101" spans="1:76" hidden="1">
      <c r="A101" s="37"/>
      <c r="B101" s="37"/>
      <c r="C101" s="37"/>
      <c r="D101" s="37"/>
      <c r="E101" s="37"/>
      <c r="F101" s="37"/>
      <c r="G101" s="39"/>
      <c r="H101" s="39"/>
      <c r="I101" s="39"/>
      <c r="J101" s="39"/>
      <c r="K101" s="39"/>
      <c r="L101" s="48"/>
      <c r="M101" s="48"/>
      <c r="N101" s="48"/>
      <c r="O101" s="36"/>
      <c r="P101" s="48"/>
      <c r="Q101" s="48"/>
      <c r="R101" s="48"/>
      <c r="S101" s="48"/>
      <c r="T101" s="48"/>
      <c r="U101" s="48"/>
      <c r="V101" s="48"/>
      <c r="W101" s="48"/>
      <c r="X101" s="48"/>
      <c r="Y101" s="48"/>
      <c r="Z101" s="48"/>
      <c r="AA101" s="48"/>
      <c r="AB101" s="48"/>
      <c r="AC101" s="48"/>
      <c r="AD101" s="48"/>
      <c r="AE101" s="48"/>
      <c r="AF101" s="48"/>
      <c r="AG101" s="48"/>
      <c r="AH101" s="48"/>
      <c r="AI101" s="48"/>
      <c r="AJ101" s="48"/>
      <c r="AK101" s="48"/>
      <c r="AL101" s="48"/>
      <c r="AM101" s="48"/>
      <c r="AN101" s="48"/>
      <c r="AO101" s="48"/>
      <c r="AP101" s="48"/>
      <c r="AQ101" s="48"/>
      <c r="AR101" s="48"/>
      <c r="AS101" s="48"/>
      <c r="AT101" s="48"/>
      <c r="AU101" s="48"/>
      <c r="AV101" s="48"/>
      <c r="AW101" s="48"/>
      <c r="AX101" s="48"/>
      <c r="AY101" s="48"/>
      <c r="AZ101" s="48"/>
      <c r="BA101" s="48"/>
      <c r="BB101" s="48"/>
      <c r="BC101" s="48"/>
      <c r="BD101" s="48"/>
      <c r="BE101" s="48"/>
      <c r="BF101" s="48"/>
      <c r="BG101" s="48"/>
      <c r="BH101" s="48"/>
      <c r="BI101" s="48"/>
      <c r="BJ101" s="48"/>
      <c r="BK101" s="48"/>
      <c r="BL101" s="48"/>
      <c r="BM101" s="48"/>
      <c r="BN101" s="48"/>
      <c r="BO101" s="48"/>
      <c r="BP101" s="48"/>
      <c r="BQ101" s="48"/>
      <c r="BR101" s="48"/>
      <c r="BS101" s="48"/>
      <c r="BT101" s="48"/>
      <c r="BU101" s="48"/>
      <c r="BV101" s="48"/>
      <c r="BW101" s="48"/>
      <c r="BX101" s="111"/>
    </row>
    <row r="102" spans="1:76" hidden="1">
      <c r="A102" s="37"/>
      <c r="B102" s="37"/>
      <c r="C102" s="37"/>
      <c r="D102" s="37"/>
      <c r="E102" s="37"/>
      <c r="F102" s="37"/>
      <c r="G102" s="39"/>
      <c r="H102" s="39"/>
      <c r="I102" s="39"/>
      <c r="J102" s="39"/>
      <c r="K102" s="39"/>
      <c r="L102" s="48"/>
      <c r="M102" s="48"/>
      <c r="N102" s="48"/>
      <c r="O102" s="36"/>
      <c r="P102" s="48"/>
      <c r="Q102" s="48"/>
      <c r="R102" s="48"/>
      <c r="S102" s="48"/>
      <c r="T102" s="48"/>
      <c r="U102" s="48"/>
      <c r="V102" s="48"/>
      <c r="W102" s="48"/>
      <c r="X102" s="48"/>
      <c r="Y102" s="48"/>
      <c r="Z102" s="48"/>
      <c r="AA102" s="48"/>
      <c r="AB102" s="48"/>
      <c r="AC102" s="48"/>
      <c r="AD102" s="48"/>
      <c r="AE102" s="48"/>
      <c r="AF102" s="48"/>
      <c r="AG102" s="48"/>
      <c r="AH102" s="48"/>
      <c r="AI102" s="48"/>
      <c r="AJ102" s="48"/>
      <c r="AK102" s="48"/>
      <c r="AL102" s="48"/>
      <c r="AM102" s="48"/>
      <c r="AN102" s="48"/>
      <c r="AO102" s="48"/>
      <c r="AP102" s="48"/>
      <c r="AQ102" s="48"/>
      <c r="AR102" s="48"/>
      <c r="AS102" s="48"/>
      <c r="AT102" s="48"/>
      <c r="AU102" s="48"/>
      <c r="AV102" s="48"/>
      <c r="AW102" s="48"/>
      <c r="AX102" s="48"/>
      <c r="AY102" s="48"/>
      <c r="AZ102" s="48"/>
      <c r="BA102" s="48"/>
      <c r="BB102" s="48"/>
      <c r="BC102" s="48"/>
      <c r="BD102" s="48"/>
      <c r="BE102" s="48"/>
      <c r="BF102" s="48"/>
      <c r="BG102" s="48"/>
      <c r="BH102" s="48"/>
      <c r="BI102" s="48"/>
      <c r="BJ102" s="48"/>
      <c r="BK102" s="48"/>
      <c r="BL102" s="48"/>
      <c r="BM102" s="48"/>
      <c r="BN102" s="48"/>
      <c r="BO102" s="48"/>
      <c r="BP102" s="48"/>
      <c r="BQ102" s="48"/>
      <c r="BR102" s="48"/>
      <c r="BS102" s="48"/>
      <c r="BT102" s="48"/>
      <c r="BU102" s="48"/>
      <c r="BV102" s="48"/>
      <c r="BW102" s="48"/>
      <c r="BX102" s="111"/>
    </row>
    <row r="103" spans="1:76" hidden="1">
      <c r="A103" s="37"/>
      <c r="B103" s="37"/>
      <c r="C103" s="37"/>
      <c r="D103" s="37"/>
      <c r="E103" s="37"/>
      <c r="F103" s="37"/>
      <c r="G103" s="39"/>
      <c r="H103" s="39"/>
      <c r="I103" s="39"/>
      <c r="J103" s="39"/>
      <c r="K103" s="39"/>
      <c r="L103" s="48"/>
      <c r="M103" s="48"/>
      <c r="N103" s="48"/>
      <c r="O103" s="36"/>
      <c r="P103" s="48"/>
      <c r="Q103" s="48"/>
      <c r="R103" s="48"/>
      <c r="S103" s="48"/>
      <c r="T103" s="48"/>
      <c r="U103" s="48"/>
      <c r="V103" s="48"/>
      <c r="W103" s="48"/>
      <c r="X103" s="48"/>
      <c r="Y103" s="48"/>
      <c r="Z103" s="48"/>
      <c r="AA103" s="48"/>
      <c r="AB103" s="48"/>
      <c r="AC103" s="48"/>
      <c r="AD103" s="48"/>
      <c r="AE103" s="48"/>
      <c r="AF103" s="48"/>
      <c r="AG103" s="48"/>
      <c r="AH103" s="48"/>
      <c r="AI103" s="48"/>
      <c r="AJ103" s="48"/>
      <c r="AK103" s="48"/>
      <c r="AL103" s="48"/>
      <c r="AM103" s="48"/>
      <c r="AN103" s="48"/>
      <c r="AO103" s="48"/>
      <c r="AP103" s="48"/>
      <c r="AQ103" s="48"/>
      <c r="AR103" s="48"/>
      <c r="AS103" s="48"/>
      <c r="AT103" s="48"/>
      <c r="AU103" s="48"/>
      <c r="AV103" s="48"/>
      <c r="AW103" s="48"/>
      <c r="AX103" s="48"/>
      <c r="AY103" s="48"/>
      <c r="AZ103" s="48"/>
      <c r="BA103" s="48"/>
      <c r="BB103" s="48"/>
      <c r="BC103" s="48"/>
      <c r="BD103" s="48"/>
      <c r="BE103" s="48"/>
      <c r="BF103" s="48"/>
      <c r="BG103" s="48"/>
      <c r="BH103" s="48"/>
      <c r="BI103" s="48"/>
      <c r="BJ103" s="48"/>
      <c r="BK103" s="48"/>
      <c r="BL103" s="48"/>
      <c r="BM103" s="48"/>
      <c r="BN103" s="48"/>
      <c r="BO103" s="48"/>
      <c r="BP103" s="48"/>
      <c r="BQ103" s="48"/>
      <c r="BR103" s="48"/>
      <c r="BS103" s="48"/>
      <c r="BT103" s="48"/>
      <c r="BU103" s="48"/>
      <c r="BV103" s="48"/>
      <c r="BW103" s="48"/>
      <c r="BX103" s="111"/>
    </row>
    <row r="104" spans="1:76" hidden="1">
      <c r="A104" s="37"/>
      <c r="B104" s="37"/>
      <c r="C104" s="37"/>
      <c r="D104" s="37"/>
      <c r="E104" s="37"/>
      <c r="F104" s="37"/>
      <c r="G104" s="39"/>
      <c r="H104" s="39"/>
      <c r="I104" s="39"/>
      <c r="J104" s="39"/>
      <c r="K104" s="39"/>
      <c r="L104" s="48"/>
      <c r="M104" s="48"/>
      <c r="N104" s="48"/>
      <c r="O104" s="36"/>
      <c r="P104" s="48"/>
      <c r="Q104" s="48"/>
      <c r="R104" s="48"/>
      <c r="S104" s="48"/>
      <c r="T104" s="48"/>
      <c r="U104" s="48"/>
      <c r="V104" s="48"/>
      <c r="W104" s="48"/>
      <c r="X104" s="48"/>
      <c r="Y104" s="48"/>
      <c r="Z104" s="48"/>
      <c r="AA104" s="48"/>
      <c r="AB104" s="48"/>
      <c r="AC104" s="48"/>
      <c r="AD104" s="48"/>
      <c r="AE104" s="48"/>
      <c r="AF104" s="48"/>
      <c r="AG104" s="48"/>
      <c r="AH104" s="48"/>
      <c r="AI104" s="48"/>
      <c r="AJ104" s="48"/>
      <c r="AK104" s="48"/>
      <c r="AL104" s="48"/>
      <c r="AM104" s="48"/>
      <c r="AN104" s="48"/>
      <c r="AO104" s="48"/>
      <c r="AP104" s="48"/>
      <c r="AQ104" s="48"/>
      <c r="AR104" s="48"/>
      <c r="AS104" s="48"/>
      <c r="AT104" s="48"/>
      <c r="AU104" s="48"/>
      <c r="AV104" s="48"/>
      <c r="AW104" s="48"/>
      <c r="AX104" s="48"/>
      <c r="AY104" s="48"/>
      <c r="AZ104" s="48"/>
      <c r="BA104" s="48"/>
      <c r="BB104" s="48"/>
      <c r="BC104" s="48"/>
      <c r="BD104" s="48"/>
      <c r="BE104" s="48"/>
      <c r="BF104" s="48"/>
      <c r="BG104" s="48"/>
      <c r="BH104" s="48"/>
      <c r="BI104" s="48"/>
      <c r="BJ104" s="48"/>
      <c r="BK104" s="48"/>
      <c r="BL104" s="48"/>
      <c r="BM104" s="48"/>
      <c r="BN104" s="48"/>
      <c r="BO104" s="48"/>
      <c r="BP104" s="48"/>
      <c r="BQ104" s="48"/>
      <c r="BR104" s="48"/>
      <c r="BS104" s="48"/>
      <c r="BT104" s="48"/>
      <c r="BU104" s="48"/>
      <c r="BV104" s="48"/>
      <c r="BW104" s="48"/>
      <c r="BX104" s="111"/>
    </row>
    <row r="105" spans="1:76" hidden="1">
      <c r="A105" s="37"/>
      <c r="B105" s="37"/>
      <c r="C105" s="37"/>
      <c r="D105" s="37"/>
      <c r="E105" s="37"/>
      <c r="F105" s="37"/>
      <c r="G105" s="39"/>
      <c r="H105" s="39"/>
      <c r="I105" s="39"/>
      <c r="J105" s="39"/>
      <c r="K105" s="39"/>
      <c r="L105" s="48"/>
      <c r="M105" s="48"/>
      <c r="N105" s="48"/>
      <c r="O105" s="36"/>
      <c r="P105" s="48"/>
      <c r="Q105" s="48"/>
      <c r="R105" s="48"/>
      <c r="S105" s="48"/>
      <c r="T105" s="48"/>
      <c r="U105" s="48"/>
      <c r="V105" s="48"/>
      <c r="W105" s="48"/>
      <c r="X105" s="48"/>
      <c r="Y105" s="48"/>
      <c r="Z105" s="48"/>
      <c r="AA105" s="48"/>
      <c r="AB105" s="48"/>
      <c r="AC105" s="48"/>
      <c r="AD105" s="48"/>
      <c r="AE105" s="48"/>
      <c r="AF105" s="48"/>
      <c r="AG105" s="48"/>
      <c r="AH105" s="48"/>
      <c r="AI105" s="48"/>
      <c r="AJ105" s="48"/>
      <c r="AK105" s="48"/>
      <c r="AL105" s="48"/>
      <c r="AM105" s="48"/>
      <c r="AN105" s="48"/>
      <c r="AO105" s="48"/>
      <c r="AP105" s="48"/>
      <c r="AQ105" s="48"/>
      <c r="AR105" s="48"/>
      <c r="AS105" s="48"/>
      <c r="AT105" s="48"/>
      <c r="AU105" s="48"/>
      <c r="AV105" s="48"/>
      <c r="AW105" s="48"/>
      <c r="AX105" s="48"/>
      <c r="AY105" s="48"/>
      <c r="AZ105" s="48"/>
      <c r="BA105" s="48"/>
      <c r="BB105" s="48"/>
      <c r="BC105" s="48"/>
      <c r="BD105" s="48"/>
      <c r="BE105" s="48"/>
      <c r="BF105" s="48"/>
      <c r="BG105" s="48"/>
      <c r="BH105" s="48"/>
      <c r="BI105" s="48"/>
      <c r="BJ105" s="48"/>
      <c r="BK105" s="48"/>
      <c r="BL105" s="48"/>
      <c r="BM105" s="48"/>
      <c r="BN105" s="48"/>
      <c r="BO105" s="48"/>
      <c r="BP105" s="48"/>
      <c r="BQ105" s="48"/>
      <c r="BR105" s="48"/>
      <c r="BS105" s="48"/>
      <c r="BT105" s="48"/>
      <c r="BU105" s="48"/>
      <c r="BV105" s="48"/>
      <c r="BW105" s="48"/>
      <c r="BX105" s="111"/>
    </row>
    <row r="106" spans="1:76">
      <c r="A106" s="44"/>
      <c r="B106" s="44" t="s">
        <v>1302</v>
      </c>
      <c r="C106" s="44"/>
      <c r="D106" s="44"/>
      <c r="E106" s="44"/>
      <c r="F106" s="44"/>
      <c r="G106" s="45" t="b">
        <f t="shared" ref="G106:N106" si="10">IF(AND(IF(ISTEXT(F117), 0,F117)+IF(ISTEXT(G128), 0,G128)=0,IF(ISTEXT(G117), 0,G117)=0),TRUE,ABS((IF(ISTEXT(F117), 0,F117)+IF(ISTEXT(G128), 0,G128)-IF(ISTEXT(G117), 0,G117))/AVERAGE(ABS(IF(ISTEXT(F117), 0,F117)+IF(ISTEXT(G128), 0,G128)), ABS(IF(ISTEXT(G117), 0,G117)))*100) &lt; 0.5)</f>
        <v>0</v>
      </c>
      <c r="H106" s="45" t="b">
        <f t="shared" si="10"/>
        <v>1</v>
      </c>
      <c r="I106" s="45" t="b">
        <f t="shared" si="10"/>
        <v>1</v>
      </c>
      <c r="J106" s="45" t="b">
        <f t="shared" si="10"/>
        <v>1</v>
      </c>
      <c r="K106" s="45" t="b">
        <f t="shared" si="10"/>
        <v>1</v>
      </c>
      <c r="L106" s="46" t="b">
        <f t="shared" si="10"/>
        <v>1</v>
      </c>
      <c r="M106" s="46" t="b">
        <f t="shared" si="10"/>
        <v>1</v>
      </c>
      <c r="N106" s="46" t="b">
        <f t="shared" si="10"/>
        <v>1</v>
      </c>
      <c r="O106" s="47"/>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c r="BF106" s="46"/>
      <c r="BG106" s="46"/>
      <c r="BH106" s="46"/>
      <c r="BI106" s="46"/>
      <c r="BJ106" s="46"/>
      <c r="BK106" s="46"/>
      <c r="BL106" s="46"/>
      <c r="BM106" s="46"/>
      <c r="BN106" s="46"/>
      <c r="BO106" s="46"/>
      <c r="BP106" s="46"/>
      <c r="BQ106" s="46"/>
      <c r="BR106" s="46"/>
      <c r="BS106" s="46"/>
      <c r="BT106" s="46"/>
      <c r="BU106" s="46"/>
      <c r="BV106" s="46"/>
      <c r="BW106" s="46"/>
      <c r="BX106" s="110"/>
    </row>
    <row r="107" spans="1:76" hidden="1">
      <c r="A107" s="44"/>
      <c r="B107" s="44"/>
      <c r="C107" s="44"/>
      <c r="D107" s="44"/>
      <c r="E107" s="44"/>
      <c r="F107" s="44"/>
      <c r="G107" s="45"/>
      <c r="H107" s="45"/>
      <c r="I107" s="45"/>
      <c r="J107" s="45"/>
      <c r="K107" s="45"/>
      <c r="L107" s="46"/>
      <c r="M107" s="46"/>
      <c r="N107" s="46"/>
      <c r="O107" s="47"/>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c r="BF107" s="46"/>
      <c r="BG107" s="46"/>
      <c r="BH107" s="46"/>
      <c r="BI107" s="46"/>
      <c r="BJ107" s="46"/>
      <c r="BK107" s="46"/>
      <c r="BL107" s="46"/>
      <c r="BM107" s="46"/>
      <c r="BN107" s="46"/>
      <c r="BO107" s="46"/>
      <c r="BP107" s="46"/>
      <c r="BQ107" s="46"/>
      <c r="BR107" s="46"/>
      <c r="BS107" s="46"/>
      <c r="BT107" s="46"/>
      <c r="BU107" s="46"/>
      <c r="BV107" s="46"/>
      <c r="BW107" s="46"/>
      <c r="BX107" s="110"/>
    </row>
    <row r="108" spans="1:76" hidden="1">
      <c r="A108" s="44"/>
      <c r="B108" s="44"/>
      <c r="C108" s="44"/>
      <c r="D108" s="44"/>
      <c r="E108" s="44"/>
      <c r="F108" s="44"/>
      <c r="G108" s="45"/>
      <c r="H108" s="45"/>
      <c r="I108" s="45"/>
      <c r="J108" s="45"/>
      <c r="K108" s="45"/>
      <c r="L108" s="46"/>
      <c r="M108" s="46"/>
      <c r="N108" s="46"/>
      <c r="O108" s="47"/>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c r="BF108" s="46"/>
      <c r="BG108" s="46"/>
      <c r="BH108" s="46"/>
      <c r="BI108" s="46"/>
      <c r="BJ108" s="46"/>
      <c r="BK108" s="46"/>
      <c r="BL108" s="46"/>
      <c r="BM108" s="46"/>
      <c r="BN108" s="46"/>
      <c r="BO108" s="46"/>
      <c r="BP108" s="46"/>
      <c r="BQ108" s="46"/>
      <c r="BR108" s="46"/>
      <c r="BS108" s="46"/>
      <c r="BT108" s="46"/>
      <c r="BU108" s="46"/>
      <c r="BV108" s="46"/>
      <c r="BW108" s="46"/>
      <c r="BX108" s="110"/>
    </row>
    <row r="109" spans="1:76" hidden="1">
      <c r="A109" s="44"/>
      <c r="B109" s="44"/>
      <c r="C109" s="44"/>
      <c r="D109" s="44"/>
      <c r="E109" s="44"/>
      <c r="F109" s="44"/>
      <c r="G109" s="45"/>
      <c r="H109" s="45"/>
      <c r="I109" s="45"/>
      <c r="J109" s="45"/>
      <c r="K109" s="45"/>
      <c r="L109" s="46"/>
      <c r="M109" s="46"/>
      <c r="N109" s="46"/>
      <c r="O109" s="47"/>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c r="BF109" s="46"/>
      <c r="BG109" s="46"/>
      <c r="BH109" s="46"/>
      <c r="BI109" s="46"/>
      <c r="BJ109" s="46"/>
      <c r="BK109" s="46"/>
      <c r="BL109" s="46"/>
      <c r="BM109" s="46"/>
      <c r="BN109" s="46"/>
      <c r="BO109" s="46"/>
      <c r="BP109" s="46"/>
      <c r="BQ109" s="46"/>
      <c r="BR109" s="46"/>
      <c r="BS109" s="46"/>
      <c r="BT109" s="46"/>
      <c r="BU109" s="46"/>
      <c r="BV109" s="46"/>
      <c r="BW109" s="46"/>
      <c r="BX109" s="110"/>
    </row>
    <row r="110" spans="1:76" hidden="1">
      <c r="A110" s="44"/>
      <c r="B110" s="44"/>
      <c r="C110" s="44"/>
      <c r="D110" s="44"/>
      <c r="E110" s="44"/>
      <c r="F110" s="44"/>
      <c r="G110" s="45"/>
      <c r="H110" s="45"/>
      <c r="I110" s="45"/>
      <c r="J110" s="45"/>
      <c r="K110" s="45"/>
      <c r="L110" s="46"/>
      <c r="M110" s="46"/>
      <c r="N110" s="46"/>
      <c r="O110" s="47"/>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110"/>
    </row>
    <row r="111" spans="1:76" hidden="1">
      <c r="A111" s="44"/>
      <c r="B111" s="44"/>
      <c r="C111" s="44"/>
      <c r="D111" s="44"/>
      <c r="E111" s="44"/>
      <c r="F111" s="44"/>
      <c r="G111" s="45"/>
      <c r="H111" s="45"/>
      <c r="I111" s="45"/>
      <c r="J111" s="45"/>
      <c r="K111" s="45"/>
      <c r="L111" s="46"/>
      <c r="M111" s="46"/>
      <c r="N111" s="46"/>
      <c r="O111" s="47"/>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c r="BF111" s="46"/>
      <c r="BG111" s="46"/>
      <c r="BH111" s="46"/>
      <c r="BI111" s="46"/>
      <c r="BJ111" s="46"/>
      <c r="BK111" s="46"/>
      <c r="BL111" s="46"/>
      <c r="BM111" s="46"/>
      <c r="BN111" s="46"/>
      <c r="BO111" s="46"/>
      <c r="BP111" s="46"/>
      <c r="BQ111" s="46"/>
      <c r="BR111" s="46"/>
      <c r="BS111" s="46"/>
      <c r="BT111" s="46"/>
      <c r="BU111" s="46"/>
      <c r="BV111" s="46"/>
      <c r="BW111" s="46"/>
      <c r="BX111" s="110"/>
    </row>
    <row r="112" spans="1:76" hidden="1">
      <c r="A112" s="44"/>
      <c r="B112" s="44"/>
      <c r="C112" s="44"/>
      <c r="D112" s="44"/>
      <c r="E112" s="44"/>
      <c r="F112" s="44"/>
      <c r="G112" s="45"/>
      <c r="H112" s="45"/>
      <c r="I112" s="45"/>
      <c r="J112" s="45"/>
      <c r="K112" s="45"/>
      <c r="L112" s="46"/>
      <c r="M112" s="46"/>
      <c r="N112" s="46"/>
      <c r="O112" s="47"/>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c r="BF112" s="46"/>
      <c r="BG112" s="46"/>
      <c r="BH112" s="46"/>
      <c r="BI112" s="46"/>
      <c r="BJ112" s="46"/>
      <c r="BK112" s="46"/>
      <c r="BL112" s="46"/>
      <c r="BM112" s="46"/>
      <c r="BN112" s="46"/>
      <c r="BO112" s="46"/>
      <c r="BP112" s="46"/>
      <c r="BQ112" s="46"/>
      <c r="BR112" s="46"/>
      <c r="BS112" s="46"/>
      <c r="BT112" s="46"/>
      <c r="BU112" s="46"/>
      <c r="BV112" s="46"/>
      <c r="BW112" s="46"/>
      <c r="BX112" s="110"/>
    </row>
    <row r="113" spans="1:76" hidden="1">
      <c r="A113" s="44"/>
      <c r="B113" s="44"/>
      <c r="C113" s="44"/>
      <c r="D113" s="44"/>
      <c r="E113" s="44"/>
      <c r="F113" s="44"/>
      <c r="G113" s="45"/>
      <c r="H113" s="45"/>
      <c r="I113" s="45"/>
      <c r="J113" s="45"/>
      <c r="K113" s="45"/>
      <c r="L113" s="46"/>
      <c r="M113" s="46"/>
      <c r="N113" s="46"/>
      <c r="O113" s="47"/>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c r="BF113" s="46"/>
      <c r="BG113" s="46"/>
      <c r="BH113" s="46"/>
      <c r="BI113" s="46"/>
      <c r="BJ113" s="46"/>
      <c r="BK113" s="46"/>
      <c r="BL113" s="46"/>
      <c r="BM113" s="46"/>
      <c r="BN113" s="46"/>
      <c r="BO113" s="46"/>
      <c r="BP113" s="46"/>
      <c r="BQ113" s="46"/>
      <c r="BR113" s="46"/>
      <c r="BS113" s="46"/>
      <c r="BT113" s="46"/>
      <c r="BU113" s="46"/>
      <c r="BV113" s="46"/>
      <c r="BW113" s="46"/>
      <c r="BX113" s="110"/>
    </row>
    <row r="114" spans="1:76" hidden="1">
      <c r="A114" s="44"/>
      <c r="B114" s="44"/>
      <c r="C114" s="44"/>
      <c r="D114" s="44"/>
      <c r="E114" s="44"/>
      <c r="F114" s="44"/>
      <c r="G114" s="45"/>
      <c r="H114" s="45"/>
      <c r="I114" s="45"/>
      <c r="J114" s="45"/>
      <c r="K114" s="45"/>
      <c r="L114" s="46"/>
      <c r="M114" s="46"/>
      <c r="N114" s="46"/>
      <c r="O114" s="47"/>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c r="BF114" s="46"/>
      <c r="BG114" s="46"/>
      <c r="BH114" s="46"/>
      <c r="BI114" s="46"/>
      <c r="BJ114" s="46"/>
      <c r="BK114" s="46"/>
      <c r="BL114" s="46"/>
      <c r="BM114" s="46"/>
      <c r="BN114" s="46"/>
      <c r="BO114" s="46"/>
      <c r="BP114" s="46"/>
      <c r="BQ114" s="46"/>
      <c r="BR114" s="46"/>
      <c r="BS114" s="46"/>
      <c r="BT114" s="46"/>
      <c r="BU114" s="46"/>
      <c r="BV114" s="46"/>
      <c r="BW114" s="46"/>
      <c r="BX114" s="110"/>
    </row>
    <row r="115" spans="1:76" hidden="1">
      <c r="A115" s="44"/>
      <c r="B115" s="44"/>
      <c r="C115" s="44"/>
      <c r="D115" s="44"/>
      <c r="E115" s="44"/>
      <c r="F115" s="44"/>
      <c r="G115" s="45"/>
      <c r="H115" s="45"/>
      <c r="I115" s="45"/>
      <c r="J115" s="45"/>
      <c r="K115" s="45"/>
      <c r="L115" s="46"/>
      <c r="M115" s="46"/>
      <c r="N115" s="46"/>
      <c r="O115" s="47"/>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110"/>
    </row>
    <row r="116" spans="1:76" hidden="1">
      <c r="A116" s="44"/>
      <c r="B116" s="44"/>
      <c r="C116" s="44"/>
      <c r="D116" s="44"/>
      <c r="E116" s="44"/>
      <c r="F116" s="44"/>
      <c r="G116" s="45"/>
      <c r="H116" s="45"/>
      <c r="I116" s="45"/>
      <c r="J116" s="45"/>
      <c r="K116" s="45"/>
      <c r="L116" s="46"/>
      <c r="M116" s="46"/>
      <c r="N116" s="46"/>
      <c r="O116" s="47"/>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c r="BF116" s="46"/>
      <c r="BG116" s="46"/>
      <c r="BH116" s="46"/>
      <c r="BI116" s="46"/>
      <c r="BJ116" s="46"/>
      <c r="BK116" s="46"/>
      <c r="BL116" s="46"/>
      <c r="BM116" s="46"/>
      <c r="BN116" s="46"/>
      <c r="BO116" s="46"/>
      <c r="BP116" s="46"/>
      <c r="BQ116" s="46"/>
      <c r="BR116" s="46"/>
      <c r="BS116" s="46"/>
      <c r="BT116" s="46"/>
      <c r="BU116" s="46"/>
      <c r="BV116" s="46"/>
      <c r="BW116" s="46"/>
      <c r="BX116" s="110"/>
    </row>
    <row r="117" spans="1:76">
      <c r="A117" s="37"/>
      <c r="B117" s="37"/>
      <c r="C117" s="37" t="s">
        <v>53</v>
      </c>
      <c r="D117" s="37"/>
      <c r="E117" s="37"/>
      <c r="F117" s="49">
        <v>205</v>
      </c>
      <c r="G117" s="39">
        <f t="shared" ref="G117:N117" si="11">IF(ISTEXT(G271), 0,G271)+IF(ISTEXT(G272), 0,G272)</f>
        <v>201</v>
      </c>
      <c r="H117" s="39">
        <f t="shared" si="11"/>
        <v>157</v>
      </c>
      <c r="I117" s="39">
        <f t="shared" si="11"/>
        <v>436</v>
      </c>
      <c r="J117" s="39">
        <f t="shared" si="11"/>
        <v>189</v>
      </c>
      <c r="K117" s="39">
        <f t="shared" si="11"/>
        <v>157</v>
      </c>
      <c r="L117" s="48">
        <f t="shared" si="11"/>
        <v>108</v>
      </c>
      <c r="M117" s="48">
        <f t="shared" si="11"/>
        <v>427</v>
      </c>
      <c r="N117" s="48">
        <f t="shared" si="11"/>
        <v>673</v>
      </c>
      <c r="O117" s="36"/>
      <c r="P117" s="48"/>
      <c r="Q117" s="48"/>
      <c r="R117" s="48"/>
      <c r="S117" s="48"/>
      <c r="T117" s="48"/>
      <c r="U117" s="48"/>
      <c r="V117" s="48"/>
      <c r="W117" s="48"/>
      <c r="X117" s="48"/>
      <c r="Y117" s="48"/>
      <c r="Z117" s="48"/>
      <c r="AA117" s="48"/>
      <c r="AB117" s="48"/>
      <c r="AC117" s="48"/>
      <c r="AD117" s="48"/>
      <c r="AE117" s="48"/>
      <c r="AF117" s="48"/>
      <c r="AG117" s="48"/>
      <c r="AH117" s="48"/>
      <c r="AI117" s="48"/>
      <c r="AJ117" s="48"/>
      <c r="AK117" s="48"/>
      <c r="AL117" s="48"/>
      <c r="AM117" s="48"/>
      <c r="AN117" s="48"/>
      <c r="AO117" s="48"/>
      <c r="AP117" s="48"/>
      <c r="AQ117" s="48"/>
      <c r="AR117" s="48"/>
      <c r="AS117" s="48"/>
      <c r="AT117" s="48"/>
      <c r="AU117" s="48"/>
      <c r="AV117" s="48"/>
      <c r="AW117" s="48"/>
      <c r="AX117" s="48"/>
      <c r="AY117" s="48"/>
      <c r="AZ117" s="48"/>
      <c r="BA117" s="48"/>
      <c r="BB117" s="48"/>
      <c r="BC117" s="48"/>
      <c r="BD117" s="48"/>
      <c r="BE117" s="48"/>
      <c r="BF117" s="48"/>
      <c r="BG117" s="48"/>
      <c r="BH117" s="48"/>
      <c r="BI117" s="48"/>
      <c r="BJ117" s="48"/>
      <c r="BK117" s="48"/>
      <c r="BL117" s="48"/>
      <c r="BM117" s="48"/>
      <c r="BN117" s="48"/>
      <c r="BO117" s="48"/>
      <c r="BP117" s="48"/>
      <c r="BQ117" s="48"/>
      <c r="BR117" s="48"/>
      <c r="BS117" s="48"/>
      <c r="BT117" s="48"/>
      <c r="BU117" s="48"/>
      <c r="BV117" s="48"/>
      <c r="BW117" s="48"/>
      <c r="BX117" s="111"/>
    </row>
    <row r="118" spans="1:76" hidden="1">
      <c r="A118" s="37"/>
      <c r="B118" s="37"/>
      <c r="C118" s="37"/>
      <c r="D118" s="37"/>
      <c r="E118" s="37"/>
      <c r="F118" s="37"/>
      <c r="G118" s="39"/>
      <c r="H118" s="39"/>
      <c r="I118" s="39"/>
      <c r="J118" s="39"/>
      <c r="K118" s="39"/>
      <c r="L118" s="48"/>
      <c r="M118" s="48"/>
      <c r="N118" s="48"/>
      <c r="O118" s="36"/>
      <c r="P118" s="48"/>
      <c r="Q118" s="48"/>
      <c r="R118" s="48"/>
      <c r="S118" s="48"/>
      <c r="T118" s="48"/>
      <c r="U118" s="48"/>
      <c r="V118" s="48"/>
      <c r="W118" s="48"/>
      <c r="X118" s="48"/>
      <c r="Y118" s="48"/>
      <c r="Z118" s="48"/>
      <c r="AA118" s="48"/>
      <c r="AB118" s="48"/>
      <c r="AC118" s="48"/>
      <c r="AD118" s="48"/>
      <c r="AE118" s="48"/>
      <c r="AF118" s="48"/>
      <c r="AG118" s="48"/>
      <c r="AH118" s="48"/>
      <c r="AI118" s="48"/>
      <c r="AJ118" s="48"/>
      <c r="AK118" s="48"/>
      <c r="AL118" s="48"/>
      <c r="AM118" s="48"/>
      <c r="AN118" s="48"/>
      <c r="AO118" s="48"/>
      <c r="AP118" s="48"/>
      <c r="AQ118" s="48"/>
      <c r="AR118" s="48"/>
      <c r="AS118" s="48"/>
      <c r="AT118" s="48"/>
      <c r="AU118" s="48"/>
      <c r="AV118" s="48"/>
      <c r="AW118" s="48"/>
      <c r="AX118" s="48"/>
      <c r="AY118" s="48"/>
      <c r="AZ118" s="48"/>
      <c r="BA118" s="48"/>
      <c r="BB118" s="48"/>
      <c r="BC118" s="48"/>
      <c r="BD118" s="48"/>
      <c r="BE118" s="48"/>
      <c r="BF118" s="48"/>
      <c r="BG118" s="48"/>
      <c r="BH118" s="48"/>
      <c r="BI118" s="48"/>
      <c r="BJ118" s="48"/>
      <c r="BK118" s="48"/>
      <c r="BL118" s="48"/>
      <c r="BM118" s="48"/>
      <c r="BN118" s="48"/>
      <c r="BO118" s="48"/>
      <c r="BP118" s="48"/>
      <c r="BQ118" s="48"/>
      <c r="BR118" s="48"/>
      <c r="BS118" s="48"/>
      <c r="BT118" s="48"/>
      <c r="BU118" s="48"/>
      <c r="BV118" s="48"/>
      <c r="BW118" s="48"/>
      <c r="BX118" s="111"/>
    </row>
    <row r="119" spans="1:76" hidden="1">
      <c r="A119" s="37"/>
      <c r="B119" s="37"/>
      <c r="C119" s="37"/>
      <c r="D119" s="37"/>
      <c r="E119" s="37"/>
      <c r="F119" s="37"/>
      <c r="G119" s="39"/>
      <c r="H119" s="39"/>
      <c r="I119" s="39"/>
      <c r="J119" s="39"/>
      <c r="K119" s="39"/>
      <c r="L119" s="48"/>
      <c r="M119" s="48"/>
      <c r="N119" s="48"/>
      <c r="O119" s="36"/>
      <c r="P119" s="48"/>
      <c r="Q119" s="48"/>
      <c r="R119" s="48"/>
      <c r="S119" s="48"/>
      <c r="T119" s="48"/>
      <c r="U119" s="48"/>
      <c r="V119" s="48"/>
      <c r="W119" s="48"/>
      <c r="X119" s="48"/>
      <c r="Y119" s="48"/>
      <c r="Z119" s="48"/>
      <c r="AA119" s="48"/>
      <c r="AB119" s="48"/>
      <c r="AC119" s="48"/>
      <c r="AD119" s="48"/>
      <c r="AE119" s="48"/>
      <c r="AF119" s="48"/>
      <c r="AG119" s="48"/>
      <c r="AH119" s="48"/>
      <c r="AI119" s="48"/>
      <c r="AJ119" s="48"/>
      <c r="AK119" s="48"/>
      <c r="AL119" s="48"/>
      <c r="AM119" s="48"/>
      <c r="AN119" s="48"/>
      <c r="AO119" s="48"/>
      <c r="AP119" s="48"/>
      <c r="AQ119" s="48"/>
      <c r="AR119" s="48"/>
      <c r="AS119" s="48"/>
      <c r="AT119" s="48"/>
      <c r="AU119" s="48"/>
      <c r="AV119" s="48"/>
      <c r="AW119" s="48"/>
      <c r="AX119" s="48"/>
      <c r="AY119" s="48"/>
      <c r="AZ119" s="48"/>
      <c r="BA119" s="48"/>
      <c r="BB119" s="48"/>
      <c r="BC119" s="48"/>
      <c r="BD119" s="48"/>
      <c r="BE119" s="48"/>
      <c r="BF119" s="48"/>
      <c r="BG119" s="48"/>
      <c r="BH119" s="48"/>
      <c r="BI119" s="48"/>
      <c r="BJ119" s="48"/>
      <c r="BK119" s="48"/>
      <c r="BL119" s="48"/>
      <c r="BM119" s="48"/>
      <c r="BN119" s="48"/>
      <c r="BO119" s="48"/>
      <c r="BP119" s="48"/>
      <c r="BQ119" s="48"/>
      <c r="BR119" s="48"/>
      <c r="BS119" s="48"/>
      <c r="BT119" s="48"/>
      <c r="BU119" s="48"/>
      <c r="BV119" s="48"/>
      <c r="BW119" s="48"/>
      <c r="BX119" s="111"/>
    </row>
    <row r="120" spans="1:76" hidden="1">
      <c r="A120" s="37"/>
      <c r="B120" s="37"/>
      <c r="C120" s="37"/>
      <c r="D120" s="37"/>
      <c r="E120" s="37"/>
      <c r="F120" s="37"/>
      <c r="G120" s="39"/>
      <c r="H120" s="39"/>
      <c r="I120" s="39"/>
      <c r="J120" s="39"/>
      <c r="K120" s="39"/>
      <c r="L120" s="48"/>
      <c r="M120" s="48"/>
      <c r="N120" s="48"/>
      <c r="O120" s="36"/>
      <c r="P120" s="48"/>
      <c r="Q120" s="48"/>
      <c r="R120" s="48"/>
      <c r="S120" s="48"/>
      <c r="T120" s="48"/>
      <c r="U120" s="48"/>
      <c r="V120" s="48"/>
      <c r="W120" s="48"/>
      <c r="X120" s="48"/>
      <c r="Y120" s="48"/>
      <c r="Z120" s="48"/>
      <c r="AA120" s="48"/>
      <c r="AB120" s="48"/>
      <c r="AC120" s="48"/>
      <c r="AD120" s="48"/>
      <c r="AE120" s="48"/>
      <c r="AF120" s="48"/>
      <c r="AG120" s="48"/>
      <c r="AH120" s="48"/>
      <c r="AI120" s="48"/>
      <c r="AJ120" s="48"/>
      <c r="AK120" s="48"/>
      <c r="AL120" s="48"/>
      <c r="AM120" s="48"/>
      <c r="AN120" s="48"/>
      <c r="AO120" s="48"/>
      <c r="AP120" s="48"/>
      <c r="AQ120" s="48"/>
      <c r="AR120" s="48"/>
      <c r="AS120" s="48"/>
      <c r="AT120" s="48"/>
      <c r="AU120" s="48"/>
      <c r="AV120" s="48"/>
      <c r="AW120" s="48"/>
      <c r="AX120" s="48"/>
      <c r="AY120" s="48"/>
      <c r="AZ120" s="48"/>
      <c r="BA120" s="48"/>
      <c r="BB120" s="48"/>
      <c r="BC120" s="48"/>
      <c r="BD120" s="48"/>
      <c r="BE120" s="48"/>
      <c r="BF120" s="48"/>
      <c r="BG120" s="48"/>
      <c r="BH120" s="48"/>
      <c r="BI120" s="48"/>
      <c r="BJ120" s="48"/>
      <c r="BK120" s="48"/>
      <c r="BL120" s="48"/>
      <c r="BM120" s="48"/>
      <c r="BN120" s="48"/>
      <c r="BO120" s="48"/>
      <c r="BP120" s="48"/>
      <c r="BQ120" s="48"/>
      <c r="BR120" s="48"/>
      <c r="BS120" s="48"/>
      <c r="BT120" s="48"/>
      <c r="BU120" s="48"/>
      <c r="BV120" s="48"/>
      <c r="BW120" s="48"/>
      <c r="BX120" s="111"/>
    </row>
    <row r="121" spans="1:76" hidden="1">
      <c r="A121" s="37"/>
      <c r="B121" s="37"/>
      <c r="C121" s="37"/>
      <c r="D121" s="37"/>
      <c r="E121" s="37"/>
      <c r="F121" s="37"/>
      <c r="G121" s="39"/>
      <c r="H121" s="39"/>
      <c r="I121" s="39"/>
      <c r="J121" s="39"/>
      <c r="K121" s="39"/>
      <c r="L121" s="48"/>
      <c r="M121" s="48"/>
      <c r="N121" s="48"/>
      <c r="O121" s="36"/>
      <c r="P121" s="48"/>
      <c r="Q121" s="48"/>
      <c r="R121" s="48"/>
      <c r="S121" s="48"/>
      <c r="T121" s="48"/>
      <c r="U121" s="48"/>
      <c r="V121" s="48"/>
      <c r="W121" s="48"/>
      <c r="X121" s="48"/>
      <c r="Y121" s="48"/>
      <c r="Z121" s="48"/>
      <c r="AA121" s="48"/>
      <c r="AB121" s="48"/>
      <c r="AC121" s="48"/>
      <c r="AD121" s="48"/>
      <c r="AE121" s="48"/>
      <c r="AF121" s="48"/>
      <c r="AG121" s="48"/>
      <c r="AH121" s="48"/>
      <c r="AI121" s="48"/>
      <c r="AJ121" s="48"/>
      <c r="AK121" s="48"/>
      <c r="AL121" s="48"/>
      <c r="AM121" s="48"/>
      <c r="AN121" s="48"/>
      <c r="AO121" s="48"/>
      <c r="AP121" s="48"/>
      <c r="AQ121" s="48"/>
      <c r="AR121" s="48"/>
      <c r="AS121" s="48"/>
      <c r="AT121" s="48"/>
      <c r="AU121" s="48"/>
      <c r="AV121" s="48"/>
      <c r="AW121" s="48"/>
      <c r="AX121" s="48"/>
      <c r="AY121" s="48"/>
      <c r="AZ121" s="48"/>
      <c r="BA121" s="48"/>
      <c r="BB121" s="48"/>
      <c r="BC121" s="48"/>
      <c r="BD121" s="48"/>
      <c r="BE121" s="48"/>
      <c r="BF121" s="48"/>
      <c r="BG121" s="48"/>
      <c r="BH121" s="48"/>
      <c r="BI121" s="48"/>
      <c r="BJ121" s="48"/>
      <c r="BK121" s="48"/>
      <c r="BL121" s="48"/>
      <c r="BM121" s="48"/>
      <c r="BN121" s="48"/>
      <c r="BO121" s="48"/>
      <c r="BP121" s="48"/>
      <c r="BQ121" s="48"/>
      <c r="BR121" s="48"/>
      <c r="BS121" s="48"/>
      <c r="BT121" s="48"/>
      <c r="BU121" s="48"/>
      <c r="BV121" s="48"/>
      <c r="BW121" s="48"/>
      <c r="BX121" s="111"/>
    </row>
    <row r="122" spans="1:76" hidden="1">
      <c r="A122" s="37"/>
      <c r="B122" s="37"/>
      <c r="C122" s="37"/>
      <c r="D122" s="37"/>
      <c r="E122" s="37"/>
      <c r="F122" s="37"/>
      <c r="G122" s="39"/>
      <c r="H122" s="39"/>
      <c r="I122" s="39"/>
      <c r="J122" s="39"/>
      <c r="K122" s="39"/>
      <c r="L122" s="48"/>
      <c r="M122" s="48"/>
      <c r="N122" s="48"/>
      <c r="O122" s="36"/>
      <c r="P122" s="48"/>
      <c r="Q122" s="48"/>
      <c r="R122" s="48"/>
      <c r="S122" s="48"/>
      <c r="T122" s="48"/>
      <c r="U122" s="48"/>
      <c r="V122" s="48"/>
      <c r="W122" s="48"/>
      <c r="X122" s="48"/>
      <c r="Y122" s="48"/>
      <c r="Z122" s="48"/>
      <c r="AA122" s="48"/>
      <c r="AB122" s="48"/>
      <c r="AC122" s="48"/>
      <c r="AD122" s="48"/>
      <c r="AE122" s="48"/>
      <c r="AF122" s="48"/>
      <c r="AG122" s="48"/>
      <c r="AH122" s="48"/>
      <c r="AI122" s="48"/>
      <c r="AJ122" s="48"/>
      <c r="AK122" s="48"/>
      <c r="AL122" s="48"/>
      <c r="AM122" s="48"/>
      <c r="AN122" s="48"/>
      <c r="AO122" s="48"/>
      <c r="AP122" s="48"/>
      <c r="AQ122" s="48"/>
      <c r="AR122" s="48"/>
      <c r="AS122" s="48"/>
      <c r="AT122" s="48"/>
      <c r="AU122" s="48"/>
      <c r="AV122" s="48"/>
      <c r="AW122" s="48"/>
      <c r="AX122" s="48"/>
      <c r="AY122" s="48"/>
      <c r="AZ122" s="48"/>
      <c r="BA122" s="48"/>
      <c r="BB122" s="48"/>
      <c r="BC122" s="48"/>
      <c r="BD122" s="48"/>
      <c r="BE122" s="48"/>
      <c r="BF122" s="48"/>
      <c r="BG122" s="48"/>
      <c r="BH122" s="48"/>
      <c r="BI122" s="48"/>
      <c r="BJ122" s="48"/>
      <c r="BK122" s="48"/>
      <c r="BL122" s="48"/>
      <c r="BM122" s="48"/>
      <c r="BN122" s="48"/>
      <c r="BO122" s="48"/>
      <c r="BP122" s="48"/>
      <c r="BQ122" s="48"/>
      <c r="BR122" s="48"/>
      <c r="BS122" s="48"/>
      <c r="BT122" s="48"/>
      <c r="BU122" s="48"/>
      <c r="BV122" s="48"/>
      <c r="BW122" s="48"/>
      <c r="BX122" s="111"/>
    </row>
    <row r="123" spans="1:76" hidden="1">
      <c r="A123" s="37"/>
      <c r="B123" s="37"/>
      <c r="C123" s="37"/>
      <c r="D123" s="37"/>
      <c r="E123" s="37"/>
      <c r="F123" s="37"/>
      <c r="G123" s="39"/>
      <c r="H123" s="39"/>
      <c r="I123" s="39"/>
      <c r="J123" s="39"/>
      <c r="K123" s="39"/>
      <c r="L123" s="48"/>
      <c r="M123" s="48"/>
      <c r="N123" s="48"/>
      <c r="O123" s="36"/>
      <c r="P123" s="48"/>
      <c r="Q123" s="48"/>
      <c r="R123" s="48"/>
      <c r="S123" s="48"/>
      <c r="T123" s="48"/>
      <c r="U123" s="48"/>
      <c r="V123" s="48"/>
      <c r="W123" s="48"/>
      <c r="X123" s="48"/>
      <c r="Y123" s="48"/>
      <c r="Z123" s="48"/>
      <c r="AA123" s="48"/>
      <c r="AB123" s="48"/>
      <c r="AC123" s="48"/>
      <c r="AD123" s="48"/>
      <c r="AE123" s="48"/>
      <c r="AF123" s="48"/>
      <c r="AG123" s="48"/>
      <c r="AH123" s="48"/>
      <c r="AI123" s="48"/>
      <c r="AJ123" s="48"/>
      <c r="AK123" s="48"/>
      <c r="AL123" s="48"/>
      <c r="AM123" s="48"/>
      <c r="AN123" s="48"/>
      <c r="AO123" s="48"/>
      <c r="AP123" s="48"/>
      <c r="AQ123" s="48"/>
      <c r="AR123" s="48"/>
      <c r="AS123" s="48"/>
      <c r="AT123" s="48"/>
      <c r="AU123" s="48"/>
      <c r="AV123" s="48"/>
      <c r="AW123" s="48"/>
      <c r="AX123" s="48"/>
      <c r="AY123" s="48"/>
      <c r="AZ123" s="48"/>
      <c r="BA123" s="48"/>
      <c r="BB123" s="48"/>
      <c r="BC123" s="48"/>
      <c r="BD123" s="48"/>
      <c r="BE123" s="48"/>
      <c r="BF123" s="48"/>
      <c r="BG123" s="48"/>
      <c r="BH123" s="48"/>
      <c r="BI123" s="48"/>
      <c r="BJ123" s="48"/>
      <c r="BK123" s="48"/>
      <c r="BL123" s="48"/>
      <c r="BM123" s="48"/>
      <c r="BN123" s="48"/>
      <c r="BO123" s="48"/>
      <c r="BP123" s="48"/>
      <c r="BQ123" s="48"/>
      <c r="BR123" s="48"/>
      <c r="BS123" s="48"/>
      <c r="BT123" s="48"/>
      <c r="BU123" s="48"/>
      <c r="BV123" s="48"/>
      <c r="BW123" s="48"/>
      <c r="BX123" s="111"/>
    </row>
    <row r="124" spans="1:76" hidden="1">
      <c r="A124" s="37"/>
      <c r="B124" s="37"/>
      <c r="C124" s="37"/>
      <c r="D124" s="37"/>
      <c r="E124" s="37"/>
      <c r="F124" s="37"/>
      <c r="G124" s="39"/>
      <c r="H124" s="39"/>
      <c r="I124" s="39"/>
      <c r="J124" s="39"/>
      <c r="K124" s="39"/>
      <c r="L124" s="48"/>
      <c r="M124" s="48"/>
      <c r="N124" s="48"/>
      <c r="O124" s="36"/>
      <c r="P124" s="48"/>
      <c r="Q124" s="48"/>
      <c r="R124" s="48"/>
      <c r="S124" s="48"/>
      <c r="T124" s="48"/>
      <c r="U124" s="48"/>
      <c r="V124" s="48"/>
      <c r="W124" s="48"/>
      <c r="X124" s="48"/>
      <c r="Y124" s="48"/>
      <c r="Z124" s="48"/>
      <c r="AA124" s="48"/>
      <c r="AB124" s="48"/>
      <c r="AC124" s="48"/>
      <c r="AD124" s="48"/>
      <c r="AE124" s="48"/>
      <c r="AF124" s="48"/>
      <c r="AG124" s="48"/>
      <c r="AH124" s="48"/>
      <c r="AI124" s="48"/>
      <c r="AJ124" s="48"/>
      <c r="AK124" s="48"/>
      <c r="AL124" s="48"/>
      <c r="AM124" s="48"/>
      <c r="AN124" s="48"/>
      <c r="AO124" s="48"/>
      <c r="AP124" s="48"/>
      <c r="AQ124" s="48"/>
      <c r="AR124" s="48"/>
      <c r="AS124" s="48"/>
      <c r="AT124" s="48"/>
      <c r="AU124" s="48"/>
      <c r="AV124" s="48"/>
      <c r="AW124" s="48"/>
      <c r="AX124" s="48"/>
      <c r="AY124" s="48"/>
      <c r="AZ124" s="48"/>
      <c r="BA124" s="48"/>
      <c r="BB124" s="48"/>
      <c r="BC124" s="48"/>
      <c r="BD124" s="48"/>
      <c r="BE124" s="48"/>
      <c r="BF124" s="48"/>
      <c r="BG124" s="48"/>
      <c r="BH124" s="48"/>
      <c r="BI124" s="48"/>
      <c r="BJ124" s="48"/>
      <c r="BK124" s="48"/>
      <c r="BL124" s="48"/>
      <c r="BM124" s="48"/>
      <c r="BN124" s="48"/>
      <c r="BO124" s="48"/>
      <c r="BP124" s="48"/>
      <c r="BQ124" s="48"/>
      <c r="BR124" s="48"/>
      <c r="BS124" s="48"/>
      <c r="BT124" s="48"/>
      <c r="BU124" s="48"/>
      <c r="BV124" s="48"/>
      <c r="BW124" s="48"/>
      <c r="BX124" s="111"/>
    </row>
    <row r="125" spans="1:76" hidden="1">
      <c r="A125" s="37"/>
      <c r="B125" s="37"/>
      <c r="C125" s="37"/>
      <c r="D125" s="37"/>
      <c r="E125" s="37"/>
      <c r="F125" s="37"/>
      <c r="G125" s="39"/>
      <c r="H125" s="39"/>
      <c r="I125" s="39"/>
      <c r="J125" s="39"/>
      <c r="K125" s="39"/>
      <c r="L125" s="48"/>
      <c r="M125" s="48"/>
      <c r="N125" s="48"/>
      <c r="O125" s="36"/>
      <c r="P125" s="48"/>
      <c r="Q125" s="48"/>
      <c r="R125" s="48"/>
      <c r="S125" s="48"/>
      <c r="T125" s="48"/>
      <c r="U125" s="48"/>
      <c r="V125" s="48"/>
      <c r="W125" s="48"/>
      <c r="X125" s="48"/>
      <c r="Y125" s="48"/>
      <c r="Z125" s="48"/>
      <c r="AA125" s="48"/>
      <c r="AB125" s="48"/>
      <c r="AC125" s="48"/>
      <c r="AD125" s="48"/>
      <c r="AE125" s="48"/>
      <c r="AF125" s="48"/>
      <c r="AG125" s="48"/>
      <c r="AH125" s="48"/>
      <c r="AI125" s="48"/>
      <c r="AJ125" s="48"/>
      <c r="AK125" s="48"/>
      <c r="AL125" s="48"/>
      <c r="AM125" s="48"/>
      <c r="AN125" s="48"/>
      <c r="AO125" s="48"/>
      <c r="AP125" s="48"/>
      <c r="AQ125" s="48"/>
      <c r="AR125" s="48"/>
      <c r="AS125" s="48"/>
      <c r="AT125" s="48"/>
      <c r="AU125" s="48"/>
      <c r="AV125" s="48"/>
      <c r="AW125" s="48"/>
      <c r="AX125" s="48"/>
      <c r="AY125" s="48"/>
      <c r="AZ125" s="48"/>
      <c r="BA125" s="48"/>
      <c r="BB125" s="48"/>
      <c r="BC125" s="48"/>
      <c r="BD125" s="48"/>
      <c r="BE125" s="48"/>
      <c r="BF125" s="48"/>
      <c r="BG125" s="48"/>
      <c r="BH125" s="48"/>
      <c r="BI125" s="48"/>
      <c r="BJ125" s="48"/>
      <c r="BK125" s="48"/>
      <c r="BL125" s="48"/>
      <c r="BM125" s="48"/>
      <c r="BN125" s="48"/>
      <c r="BO125" s="48"/>
      <c r="BP125" s="48"/>
      <c r="BQ125" s="48"/>
      <c r="BR125" s="48"/>
      <c r="BS125" s="48"/>
      <c r="BT125" s="48"/>
      <c r="BU125" s="48"/>
      <c r="BV125" s="48"/>
      <c r="BW125" s="48"/>
      <c r="BX125" s="111"/>
    </row>
    <row r="126" spans="1:76" hidden="1">
      <c r="A126" s="37"/>
      <c r="B126" s="37"/>
      <c r="C126" s="37"/>
      <c r="D126" s="37"/>
      <c r="E126" s="37"/>
      <c r="F126" s="37"/>
      <c r="G126" s="39"/>
      <c r="H126" s="39"/>
      <c r="I126" s="39"/>
      <c r="J126" s="39"/>
      <c r="K126" s="39"/>
      <c r="L126" s="48"/>
      <c r="M126" s="48"/>
      <c r="N126" s="48"/>
      <c r="O126" s="36"/>
      <c r="P126" s="48"/>
      <c r="Q126" s="48"/>
      <c r="R126" s="48"/>
      <c r="S126" s="48"/>
      <c r="T126" s="48"/>
      <c r="U126" s="48"/>
      <c r="V126" s="48"/>
      <c r="W126" s="48"/>
      <c r="X126" s="48"/>
      <c r="Y126" s="48"/>
      <c r="Z126" s="48"/>
      <c r="AA126" s="48"/>
      <c r="AB126" s="48"/>
      <c r="AC126" s="48"/>
      <c r="AD126" s="48"/>
      <c r="AE126" s="48"/>
      <c r="AF126" s="48"/>
      <c r="AG126" s="48"/>
      <c r="AH126" s="48"/>
      <c r="AI126" s="48"/>
      <c r="AJ126" s="48"/>
      <c r="AK126" s="48"/>
      <c r="AL126" s="48"/>
      <c r="AM126" s="48"/>
      <c r="AN126" s="48"/>
      <c r="AO126" s="48"/>
      <c r="AP126" s="48"/>
      <c r="AQ126" s="48"/>
      <c r="AR126" s="48"/>
      <c r="AS126" s="48"/>
      <c r="AT126" s="48"/>
      <c r="AU126" s="48"/>
      <c r="AV126" s="48"/>
      <c r="AW126" s="48"/>
      <c r="AX126" s="48"/>
      <c r="AY126" s="48"/>
      <c r="AZ126" s="48"/>
      <c r="BA126" s="48"/>
      <c r="BB126" s="48"/>
      <c r="BC126" s="48"/>
      <c r="BD126" s="48"/>
      <c r="BE126" s="48"/>
      <c r="BF126" s="48"/>
      <c r="BG126" s="48"/>
      <c r="BH126" s="48"/>
      <c r="BI126" s="48"/>
      <c r="BJ126" s="48"/>
      <c r="BK126" s="48"/>
      <c r="BL126" s="48"/>
      <c r="BM126" s="48"/>
      <c r="BN126" s="48"/>
      <c r="BO126" s="48"/>
      <c r="BP126" s="48"/>
      <c r="BQ126" s="48"/>
      <c r="BR126" s="48"/>
      <c r="BS126" s="48"/>
      <c r="BT126" s="48"/>
      <c r="BU126" s="48"/>
      <c r="BV126" s="48"/>
      <c r="BW126" s="48"/>
      <c r="BX126" s="111"/>
    </row>
    <row r="127" spans="1:76" hidden="1">
      <c r="A127" s="37"/>
      <c r="B127" s="37"/>
      <c r="C127" s="37"/>
      <c r="D127" s="37"/>
      <c r="E127" s="37"/>
      <c r="F127" s="37"/>
      <c r="G127" s="39"/>
      <c r="H127" s="39"/>
      <c r="I127" s="39"/>
      <c r="J127" s="39"/>
      <c r="K127" s="39"/>
      <c r="L127" s="48"/>
      <c r="M127" s="48"/>
      <c r="N127" s="48"/>
      <c r="O127" s="36"/>
      <c r="P127" s="48"/>
      <c r="Q127" s="48"/>
      <c r="R127" s="48"/>
      <c r="S127" s="48"/>
      <c r="T127" s="48"/>
      <c r="U127" s="48"/>
      <c r="V127" s="48"/>
      <c r="W127" s="48"/>
      <c r="X127" s="48"/>
      <c r="Y127" s="48"/>
      <c r="Z127" s="48"/>
      <c r="AA127" s="48"/>
      <c r="AB127" s="48"/>
      <c r="AC127" s="48"/>
      <c r="AD127" s="48"/>
      <c r="AE127" s="48"/>
      <c r="AF127" s="48"/>
      <c r="AG127" s="48"/>
      <c r="AH127" s="48"/>
      <c r="AI127" s="48"/>
      <c r="AJ127" s="48"/>
      <c r="AK127" s="48"/>
      <c r="AL127" s="48"/>
      <c r="AM127" s="48"/>
      <c r="AN127" s="48"/>
      <c r="AO127" s="48"/>
      <c r="AP127" s="48"/>
      <c r="AQ127" s="48"/>
      <c r="AR127" s="48"/>
      <c r="AS127" s="48"/>
      <c r="AT127" s="48"/>
      <c r="AU127" s="48"/>
      <c r="AV127" s="48"/>
      <c r="AW127" s="48"/>
      <c r="AX127" s="48"/>
      <c r="AY127" s="48"/>
      <c r="AZ127" s="48"/>
      <c r="BA127" s="48"/>
      <c r="BB127" s="48"/>
      <c r="BC127" s="48"/>
      <c r="BD127" s="48"/>
      <c r="BE127" s="48"/>
      <c r="BF127" s="48"/>
      <c r="BG127" s="48"/>
      <c r="BH127" s="48"/>
      <c r="BI127" s="48"/>
      <c r="BJ127" s="48"/>
      <c r="BK127" s="48"/>
      <c r="BL127" s="48"/>
      <c r="BM127" s="48"/>
      <c r="BN127" s="48"/>
      <c r="BO127" s="48"/>
      <c r="BP127" s="48"/>
      <c r="BQ127" s="48"/>
      <c r="BR127" s="48"/>
      <c r="BS127" s="48"/>
      <c r="BT127" s="48"/>
      <c r="BU127" s="48"/>
      <c r="BV127" s="48"/>
      <c r="BW127" s="48"/>
      <c r="BX127" s="111"/>
    </row>
    <row r="128" spans="1:76">
      <c r="A128" s="37"/>
      <c r="B128" s="37"/>
      <c r="C128" s="37" t="s">
        <v>1697</v>
      </c>
      <c r="D128" s="37"/>
      <c r="E128" s="37"/>
      <c r="F128" s="37"/>
      <c r="G128" s="39">
        <f t="shared" ref="G128:N128" si="12">SUM(G129:G138)</f>
        <v>16</v>
      </c>
      <c r="H128" s="39">
        <f t="shared" si="12"/>
        <v>-44</v>
      </c>
      <c r="I128" s="39">
        <f t="shared" si="12"/>
        <v>279</v>
      </c>
      <c r="J128" s="39">
        <f t="shared" si="12"/>
        <v>-247</v>
      </c>
      <c r="K128" s="39">
        <f t="shared" si="12"/>
        <v>-32</v>
      </c>
      <c r="L128" s="48">
        <f t="shared" si="12"/>
        <v>-49</v>
      </c>
      <c r="M128" s="48">
        <f t="shared" si="12"/>
        <v>319</v>
      </c>
      <c r="N128" s="48">
        <f t="shared" si="12"/>
        <v>246</v>
      </c>
      <c r="O128" s="36"/>
      <c r="P128" s="48"/>
      <c r="Q128" s="48"/>
      <c r="R128" s="48"/>
      <c r="S128" s="48"/>
      <c r="T128" s="48"/>
      <c r="U128" s="48"/>
      <c r="V128" s="48"/>
      <c r="W128" s="48"/>
      <c r="X128" s="48"/>
      <c r="Y128" s="48"/>
      <c r="Z128" s="48"/>
      <c r="AA128" s="48"/>
      <c r="AB128" s="48"/>
      <c r="AC128" s="48"/>
      <c r="AD128" s="48"/>
      <c r="AE128" s="48"/>
      <c r="AF128" s="48"/>
      <c r="AG128" s="48"/>
      <c r="AH128" s="48"/>
      <c r="AI128" s="48"/>
      <c r="AJ128" s="48"/>
      <c r="AK128" s="48"/>
      <c r="AL128" s="48"/>
      <c r="AM128" s="48"/>
      <c r="AN128" s="48"/>
      <c r="AO128" s="48"/>
      <c r="AP128" s="48"/>
      <c r="AQ128" s="48"/>
      <c r="AR128" s="48"/>
      <c r="AS128" s="48"/>
      <c r="AT128" s="48"/>
      <c r="AU128" s="48"/>
      <c r="AV128" s="48"/>
      <c r="AW128" s="48"/>
      <c r="AX128" s="48"/>
      <c r="AY128" s="48"/>
      <c r="AZ128" s="48"/>
      <c r="BA128" s="48"/>
      <c r="BB128" s="48"/>
      <c r="BC128" s="48"/>
      <c r="BD128" s="48"/>
      <c r="BE128" s="48"/>
      <c r="BF128" s="48"/>
      <c r="BG128" s="48"/>
      <c r="BH128" s="48"/>
      <c r="BI128" s="48"/>
      <c r="BJ128" s="48"/>
      <c r="BK128" s="48"/>
      <c r="BL128" s="48"/>
      <c r="BM128" s="48"/>
      <c r="BN128" s="48"/>
      <c r="BO128" s="48"/>
      <c r="BP128" s="48"/>
      <c r="BQ128" s="48"/>
      <c r="BR128" s="48"/>
      <c r="BS128" s="48"/>
      <c r="BT128" s="48"/>
      <c r="BU128" s="48"/>
      <c r="BV128" s="48"/>
      <c r="BW128" s="48"/>
      <c r="BX128" s="111"/>
    </row>
    <row r="129" spans="1:76" hidden="1">
      <c r="A129" s="37"/>
      <c r="B129" s="37"/>
      <c r="C129" s="37"/>
      <c r="D129" s="37"/>
      <c r="E129" s="37"/>
      <c r="F129" s="37"/>
      <c r="G129" s="39">
        <f t="shared" ref="G129:N129" si="13">IF(ISTEXT(G415), 0,G415)+IF(ISTEXT(G417), 0,G417)+IF(ISTEXT(G418), 0,G418)+IF(ISTEXT(G420), 0,G420)+IF(ISTEXT(G421), 0,G421)+IF(ISTEXT(G422), 0,G422)+IF(ISTEXT(G425), 0,G425)+IF(ISTEXT(G426), 0,G426)+IF(ISTEXT(G427), 0,G427)+IF(ISTEXT(G428), 0,G428)+IF(ISTEXT(G429), 0,G429)+IF(ISTEXT(G430), 0,G430)+IF(ISTEXT(G433), 0,G433)+IF(ISTEXT(G434), 0,G434)+IF(ISTEXT(G435), 0,G435)+IF(ISTEXT(G436), 0,G436)+IF(ISTEXT(G437), 0,G437)-IF(ISTEXT(G438), 0,G438)-IF(ISTEXT(G439), 0,G439)-IF(ISTEXT(G481), 0,G481)-IF(ISTEXT(G482), 0,G482)-IF(ISTEXT(G483), 0,G483)-IF(ISTEXT(G491), 0,G491)-IF(ISTEXT(G494), 0,G494)-IF(ISTEXT(G495), 0,G495)-IF(ISTEXT(G444), 0,G444)+IF(ISTEXT(G445), 0,G445)+IF(ISTEXT(G497), 0,G497)-IF(ISTEXT(G511), 0,G511)+IF(ISTEXT(G496), 0,G496)-IF(ISTEXT(G449), 0,G449)-IF(ISTEXT(G451), 0,G451)+IF(ISTEXT(G450), 0,G450)</f>
        <v>-88</v>
      </c>
      <c r="H129" s="39">
        <f t="shared" si="13"/>
        <v>4098</v>
      </c>
      <c r="I129" s="39">
        <f t="shared" si="13"/>
        <v>3684</v>
      </c>
      <c r="J129" s="39">
        <f t="shared" si="13"/>
        <v>322</v>
      </c>
      <c r="K129" s="39">
        <f t="shared" si="13"/>
        <v>260</v>
      </c>
      <c r="L129" s="48">
        <f t="shared" si="13"/>
        <v>593</v>
      </c>
      <c r="M129" s="48">
        <f t="shared" si="13"/>
        <v>1536</v>
      </c>
      <c r="N129" s="48">
        <f t="shared" si="13"/>
        <v>520</v>
      </c>
      <c r="O129" s="36"/>
      <c r="P129" s="48"/>
      <c r="Q129" s="48"/>
      <c r="R129" s="48"/>
      <c r="S129" s="48"/>
      <c r="T129" s="48"/>
      <c r="U129" s="48"/>
      <c r="V129" s="48"/>
      <c r="W129" s="48"/>
      <c r="X129" s="48"/>
      <c r="Y129" s="48"/>
      <c r="Z129" s="48"/>
      <c r="AA129" s="48"/>
      <c r="AB129" s="48"/>
      <c r="AC129" s="48"/>
      <c r="AD129" s="48"/>
      <c r="AE129" s="48"/>
      <c r="AF129" s="48"/>
      <c r="AG129" s="48"/>
      <c r="AH129" s="48"/>
      <c r="AI129" s="48"/>
      <c r="AJ129" s="48"/>
      <c r="AK129" s="48"/>
      <c r="AL129" s="48"/>
      <c r="AM129" s="48"/>
      <c r="AN129" s="48"/>
      <c r="AO129" s="48"/>
      <c r="AP129" s="48"/>
      <c r="AQ129" s="48"/>
      <c r="AR129" s="48"/>
      <c r="AS129" s="48"/>
      <c r="AT129" s="48"/>
      <c r="AU129" s="48"/>
      <c r="AV129" s="48"/>
      <c r="AW129" s="48"/>
      <c r="AX129" s="48"/>
      <c r="AY129" s="48"/>
      <c r="AZ129" s="48"/>
      <c r="BA129" s="48"/>
      <c r="BB129" s="48"/>
      <c r="BC129" s="48"/>
      <c r="BD129" s="48"/>
      <c r="BE129" s="48"/>
      <c r="BF129" s="48"/>
      <c r="BG129" s="48"/>
      <c r="BH129" s="48"/>
      <c r="BI129" s="48"/>
      <c r="BJ129" s="48"/>
      <c r="BK129" s="48"/>
      <c r="BL129" s="48"/>
      <c r="BM129" s="48"/>
      <c r="BN129" s="48"/>
      <c r="BO129" s="48"/>
      <c r="BP129" s="48"/>
      <c r="BQ129" s="48"/>
      <c r="BR129" s="48"/>
      <c r="BS129" s="48"/>
      <c r="BT129" s="48"/>
      <c r="BU129" s="48"/>
      <c r="BV129" s="48"/>
      <c r="BW129" s="48"/>
      <c r="BX129" s="111"/>
    </row>
    <row r="130" spans="1:76" hidden="1">
      <c r="A130" s="37"/>
      <c r="B130" s="37"/>
      <c r="C130" s="37"/>
      <c r="D130" s="37"/>
      <c r="E130" s="37"/>
      <c r="F130" s="37"/>
      <c r="G130" s="39">
        <f t="shared" ref="G130:N130" si="14">+IF(ISTEXT(G453), 0,G453)+IF(ISTEXT(G471), 0,G471)+IF(ISTEXT(G474), 0,G474)+IF(ISTEXT(G454), 0,G454)+IF(ISTEXT(G533), 0,G533)+IF(ISTEXT(G461), 0,G461)+IF(ISTEXT(G464), 0,G464)+IF(ISTEXT(G459), 0,G459)+IF(ISTEXT(G465), 0,G465)+IF(ISTEXT(G462), 0,G462)+IF(ISTEXT(G463), 0,G463)+IF(ISTEXT(G460), 0,G460)+IF(ISTEXT(G480), 0,G480)+IF(ISTEXT(G470), 0,G470)+IF(ISTEXT(G466), 0,G466)+IF(ISTEXT(G467), 0,G467)+IF(ISTEXT(G468), 0,G468)+IF(ISTEXT(G469), 0,G469)+IF(ISTEXT(G523), 0,G523)+IF(ISTEXT(G524), 0,G524)+IF(ISTEXT(G478), 0,G478)+IF(ISTEXT(G477), 0,G477)+IF(ISTEXT(G476), 0,G476)+IF(ISTEXT(G525), 0,G525)+IF(ISTEXT(G526), 0,G526)+IF(ISTEXT(G529), 0,G529)-IF(ISTEXT(G534), 0,G534)+IF(ISTEXT(G490), 0,G490)+IF(ISTEXT(G522), 0,G522)+IF(ISTEXT(G473), 0,G473)+IF(ISTEXT(G535), 0,G535)+IF(ISTEXT(G484), 0,G484)</f>
        <v>-502</v>
      </c>
      <c r="H130" s="39">
        <f t="shared" si="14"/>
        <v>-2317</v>
      </c>
      <c r="I130" s="39">
        <f t="shared" si="14"/>
        <v>-3222</v>
      </c>
      <c r="J130" s="39">
        <f t="shared" si="14"/>
        <v>-559</v>
      </c>
      <c r="K130" s="39">
        <f t="shared" si="14"/>
        <v>-189</v>
      </c>
      <c r="L130" s="48">
        <f t="shared" si="14"/>
        <v>-521</v>
      </c>
      <c r="M130" s="48">
        <f t="shared" si="14"/>
        <v>-1221</v>
      </c>
      <c r="N130" s="48">
        <f t="shared" si="14"/>
        <v>-296</v>
      </c>
      <c r="O130" s="36"/>
      <c r="P130" s="48"/>
      <c r="Q130" s="48"/>
      <c r="R130" s="48"/>
      <c r="S130" s="48"/>
      <c r="T130" s="48"/>
      <c r="U130" s="48"/>
      <c r="V130" s="48"/>
      <c r="W130" s="48"/>
      <c r="X130" s="48"/>
      <c r="Y130" s="48"/>
      <c r="Z130" s="48"/>
      <c r="AA130" s="48"/>
      <c r="AB130" s="48"/>
      <c r="AC130" s="48"/>
      <c r="AD130" s="48"/>
      <c r="AE130" s="48"/>
      <c r="AF130" s="48"/>
      <c r="AG130" s="48"/>
      <c r="AH130" s="48"/>
      <c r="AI130" s="48"/>
      <c r="AJ130" s="48"/>
      <c r="AK130" s="48"/>
      <c r="AL130" s="48"/>
      <c r="AM130" s="48"/>
      <c r="AN130" s="48"/>
      <c r="AO130" s="48"/>
      <c r="AP130" s="48"/>
      <c r="AQ130" s="48"/>
      <c r="AR130" s="48"/>
      <c r="AS130" s="48"/>
      <c r="AT130" s="48"/>
      <c r="AU130" s="48"/>
      <c r="AV130" s="48"/>
      <c r="AW130" s="48"/>
      <c r="AX130" s="48"/>
      <c r="AY130" s="48"/>
      <c r="AZ130" s="48"/>
      <c r="BA130" s="48"/>
      <c r="BB130" s="48"/>
      <c r="BC130" s="48"/>
      <c r="BD130" s="48"/>
      <c r="BE130" s="48"/>
      <c r="BF130" s="48"/>
      <c r="BG130" s="48"/>
      <c r="BH130" s="48"/>
      <c r="BI130" s="48"/>
      <c r="BJ130" s="48"/>
      <c r="BK130" s="48"/>
      <c r="BL130" s="48"/>
      <c r="BM130" s="48"/>
      <c r="BN130" s="48"/>
      <c r="BO130" s="48"/>
      <c r="BP130" s="48"/>
      <c r="BQ130" s="48"/>
      <c r="BR130" s="48"/>
      <c r="BS130" s="48"/>
      <c r="BT130" s="48"/>
      <c r="BU130" s="48"/>
      <c r="BV130" s="48"/>
      <c r="BW130" s="48"/>
      <c r="BX130" s="111"/>
    </row>
    <row r="131" spans="1:76" hidden="1">
      <c r="A131" s="37"/>
      <c r="B131" s="37"/>
      <c r="C131" s="37"/>
      <c r="D131" s="37"/>
      <c r="E131" s="37"/>
      <c r="F131" s="37"/>
      <c r="G131" s="39">
        <f t="shared" ref="G131:N131" si="15">+IF(ISTEXT(G447), 0,G447)+IF(ISTEXT(G479), 0,G479)+IF(ISTEXT(G521), 0,G521)+IF(ISTEXT(G538), 0,G538)+IF(ISTEXT(G489), 0,G489)+IF(ISTEXT(G539), 0,G539)</f>
        <v>531</v>
      </c>
      <c r="H131" s="39">
        <f t="shared" si="15"/>
        <v>-1270</v>
      </c>
      <c r="I131" s="39">
        <f t="shared" si="15"/>
        <v>-210</v>
      </c>
      <c r="J131" s="39">
        <f t="shared" si="15"/>
        <v>-35</v>
      </c>
      <c r="K131" s="39">
        <f t="shared" si="15"/>
        <v>-123</v>
      </c>
      <c r="L131" s="48">
        <f t="shared" si="15"/>
        <v>-206</v>
      </c>
      <c r="M131" s="48">
        <f t="shared" si="15"/>
        <v>8</v>
      </c>
      <c r="N131" s="48">
        <f t="shared" si="15"/>
        <v>8</v>
      </c>
      <c r="O131" s="36"/>
      <c r="P131" s="48"/>
      <c r="Q131" s="48"/>
      <c r="R131" s="48"/>
      <c r="S131" s="48"/>
      <c r="T131" s="48"/>
      <c r="U131" s="48"/>
      <c r="V131" s="48"/>
      <c r="W131" s="48"/>
      <c r="X131" s="48"/>
      <c r="Y131" s="48"/>
      <c r="Z131" s="48"/>
      <c r="AA131" s="48"/>
      <c r="AB131" s="48"/>
      <c r="AC131" s="48"/>
      <c r="AD131" s="48"/>
      <c r="AE131" s="48"/>
      <c r="AF131" s="48"/>
      <c r="AG131" s="48"/>
      <c r="AH131" s="48"/>
      <c r="AI131" s="48"/>
      <c r="AJ131" s="48"/>
      <c r="AK131" s="48"/>
      <c r="AL131" s="48"/>
      <c r="AM131" s="48"/>
      <c r="AN131" s="48"/>
      <c r="AO131" s="48"/>
      <c r="AP131" s="48"/>
      <c r="AQ131" s="48"/>
      <c r="AR131" s="48"/>
      <c r="AS131" s="48"/>
      <c r="AT131" s="48"/>
      <c r="AU131" s="48"/>
      <c r="AV131" s="48"/>
      <c r="AW131" s="48"/>
      <c r="AX131" s="48"/>
      <c r="AY131" s="48"/>
      <c r="AZ131" s="48"/>
      <c r="BA131" s="48"/>
      <c r="BB131" s="48"/>
      <c r="BC131" s="48"/>
      <c r="BD131" s="48"/>
      <c r="BE131" s="48"/>
      <c r="BF131" s="48"/>
      <c r="BG131" s="48"/>
      <c r="BH131" s="48"/>
      <c r="BI131" s="48"/>
      <c r="BJ131" s="48"/>
      <c r="BK131" s="48"/>
      <c r="BL131" s="48"/>
      <c r="BM131" s="48"/>
      <c r="BN131" s="48"/>
      <c r="BO131" s="48"/>
      <c r="BP131" s="48"/>
      <c r="BQ131" s="48"/>
      <c r="BR131" s="48"/>
      <c r="BS131" s="48"/>
      <c r="BT131" s="48"/>
      <c r="BU131" s="48"/>
      <c r="BV131" s="48"/>
      <c r="BW131" s="48"/>
      <c r="BX131" s="111"/>
    </row>
    <row r="132" spans="1:76" hidden="1">
      <c r="A132" s="37"/>
      <c r="B132" s="37"/>
      <c r="C132" s="37"/>
      <c r="D132" s="37"/>
      <c r="E132" s="37"/>
      <c r="F132" s="37"/>
      <c r="G132" s="39">
        <f t="shared" ref="G132:N132" si="16">+IF(ISTEXT(G416), 0,G416)+IF(ISTEXT(G419), 0,G419)+IF(ISTEXT(G431), 0,G431)+IF(ISTEXT(G432), 0,G432)-IF(ISTEXT(G442), 0,G442)-IF(ISTEXT(G443), 0,G443)-IF(ISTEXT(G446), 0,G446)-IF(ISTEXT(G448), 0,G448)-IF(ISTEXT(G452), 0,G452)+IF(ISTEXT(G457), 0,G457)+IF(ISTEXT(G458), 0,G458)-IF(ISTEXT(G485), 0,G485)-IF(ISTEXT(G486), 0,G486)+IF(ISTEXT(G487), 0,G487)+IF(ISTEXT(G488), 0,G488)+IF(ISTEXT(G518), 0,G518)+IF(ISTEXT(G519), 0,G519)+IF(ISTEXT(G520), 0,G520)+IF(ISTEXT(G536), 0,G536)+IF(ISTEXT(G537), 0,G537)+IF(ISTEXT(G540), 0,G540)+IF(ISTEXT(G541), 0,G541)</f>
        <v>75</v>
      </c>
      <c r="H132" s="39">
        <f t="shared" si="16"/>
        <v>-555</v>
      </c>
      <c r="I132" s="39">
        <f t="shared" si="16"/>
        <v>27</v>
      </c>
      <c r="J132" s="39">
        <f t="shared" si="16"/>
        <v>25</v>
      </c>
      <c r="K132" s="39">
        <f t="shared" si="16"/>
        <v>20</v>
      </c>
      <c r="L132" s="48">
        <f t="shared" si="16"/>
        <v>85</v>
      </c>
      <c r="M132" s="48">
        <f t="shared" si="16"/>
        <v>-4</v>
      </c>
      <c r="N132" s="48">
        <f t="shared" si="16"/>
        <v>14</v>
      </c>
      <c r="O132" s="36"/>
      <c r="P132" s="48"/>
      <c r="Q132" s="48"/>
      <c r="R132" s="48"/>
      <c r="S132" s="48"/>
      <c r="T132" s="48"/>
      <c r="U132" s="48"/>
      <c r="V132" s="48"/>
      <c r="W132" s="48"/>
      <c r="X132" s="48"/>
      <c r="Y132" s="48"/>
      <c r="Z132" s="48"/>
      <c r="AA132" s="48"/>
      <c r="AB132" s="48"/>
      <c r="AC132" s="48"/>
      <c r="AD132" s="48"/>
      <c r="AE132" s="48"/>
      <c r="AF132" s="48"/>
      <c r="AG132" s="48"/>
      <c r="AH132" s="48"/>
      <c r="AI132" s="48"/>
      <c r="AJ132" s="48"/>
      <c r="AK132" s="48"/>
      <c r="AL132" s="48"/>
      <c r="AM132" s="48"/>
      <c r="AN132" s="48"/>
      <c r="AO132" s="48"/>
      <c r="AP132" s="48"/>
      <c r="AQ132" s="48"/>
      <c r="AR132" s="48"/>
      <c r="AS132" s="48"/>
      <c r="AT132" s="48"/>
      <c r="AU132" s="48"/>
      <c r="AV132" s="48"/>
      <c r="AW132" s="48"/>
      <c r="AX132" s="48"/>
      <c r="AY132" s="48"/>
      <c r="AZ132" s="48"/>
      <c r="BA132" s="48"/>
      <c r="BB132" s="48"/>
      <c r="BC132" s="48"/>
      <c r="BD132" s="48"/>
      <c r="BE132" s="48"/>
      <c r="BF132" s="48"/>
      <c r="BG132" s="48"/>
      <c r="BH132" s="48"/>
      <c r="BI132" s="48"/>
      <c r="BJ132" s="48"/>
      <c r="BK132" s="48"/>
      <c r="BL132" s="48"/>
      <c r="BM132" s="48"/>
      <c r="BN132" s="48"/>
      <c r="BO132" s="48"/>
      <c r="BP132" s="48"/>
      <c r="BQ132" s="48"/>
      <c r="BR132" s="48"/>
      <c r="BS132" s="48"/>
      <c r="BT132" s="48"/>
      <c r="BU132" s="48"/>
      <c r="BV132" s="48"/>
      <c r="BW132" s="48"/>
      <c r="BX132" s="111"/>
    </row>
    <row r="133" spans="1:76" hidden="1">
      <c r="A133" s="37"/>
      <c r="B133" s="37"/>
      <c r="C133" s="37"/>
      <c r="D133" s="37"/>
      <c r="E133" s="37"/>
      <c r="F133" s="37"/>
      <c r="G133" s="39"/>
      <c r="H133" s="39"/>
      <c r="I133" s="39"/>
      <c r="J133" s="39"/>
      <c r="K133" s="39"/>
      <c r="L133" s="48"/>
      <c r="M133" s="48"/>
      <c r="N133" s="48"/>
      <c r="O133" s="36"/>
      <c r="P133" s="48"/>
      <c r="Q133" s="48"/>
      <c r="R133" s="48"/>
      <c r="S133" s="48"/>
      <c r="T133" s="48"/>
      <c r="U133" s="48"/>
      <c r="V133" s="48"/>
      <c r="W133" s="48"/>
      <c r="X133" s="48"/>
      <c r="Y133" s="48"/>
      <c r="Z133" s="48"/>
      <c r="AA133" s="48"/>
      <c r="AB133" s="48"/>
      <c r="AC133" s="48"/>
      <c r="AD133" s="48"/>
      <c r="AE133" s="48"/>
      <c r="AF133" s="48"/>
      <c r="AG133" s="48"/>
      <c r="AH133" s="48"/>
      <c r="AI133" s="48"/>
      <c r="AJ133" s="48"/>
      <c r="AK133" s="48"/>
      <c r="AL133" s="48"/>
      <c r="AM133" s="48"/>
      <c r="AN133" s="48"/>
      <c r="AO133" s="48"/>
      <c r="AP133" s="48"/>
      <c r="AQ133" s="48"/>
      <c r="AR133" s="48"/>
      <c r="AS133" s="48"/>
      <c r="AT133" s="48"/>
      <c r="AU133" s="48"/>
      <c r="AV133" s="48"/>
      <c r="AW133" s="48"/>
      <c r="AX133" s="48"/>
      <c r="AY133" s="48"/>
      <c r="AZ133" s="48"/>
      <c r="BA133" s="48"/>
      <c r="BB133" s="48"/>
      <c r="BC133" s="48"/>
      <c r="BD133" s="48"/>
      <c r="BE133" s="48"/>
      <c r="BF133" s="48"/>
      <c r="BG133" s="48"/>
      <c r="BH133" s="48"/>
      <c r="BI133" s="48"/>
      <c r="BJ133" s="48"/>
      <c r="BK133" s="48"/>
      <c r="BL133" s="48"/>
      <c r="BM133" s="48"/>
      <c r="BN133" s="48"/>
      <c r="BO133" s="48"/>
      <c r="BP133" s="48"/>
      <c r="BQ133" s="48"/>
      <c r="BR133" s="48"/>
      <c r="BS133" s="48"/>
      <c r="BT133" s="48"/>
      <c r="BU133" s="48"/>
      <c r="BV133" s="48"/>
      <c r="BW133" s="48"/>
      <c r="BX133" s="111"/>
    </row>
    <row r="134" spans="1:76" hidden="1">
      <c r="A134" s="37"/>
      <c r="B134" s="37"/>
      <c r="C134" s="37"/>
      <c r="D134" s="37"/>
      <c r="E134" s="37"/>
      <c r="F134" s="37"/>
      <c r="G134" s="39"/>
      <c r="H134" s="39"/>
      <c r="I134" s="39"/>
      <c r="J134" s="39"/>
      <c r="K134" s="39"/>
      <c r="L134" s="48"/>
      <c r="M134" s="48"/>
      <c r="N134" s="48"/>
      <c r="O134" s="36"/>
      <c r="P134" s="48"/>
      <c r="Q134" s="48"/>
      <c r="R134" s="48"/>
      <c r="S134" s="48"/>
      <c r="T134" s="48"/>
      <c r="U134" s="48"/>
      <c r="V134" s="48"/>
      <c r="W134" s="48"/>
      <c r="X134" s="48"/>
      <c r="Y134" s="48"/>
      <c r="Z134" s="48"/>
      <c r="AA134" s="48"/>
      <c r="AB134" s="48"/>
      <c r="AC134" s="48"/>
      <c r="AD134" s="48"/>
      <c r="AE134" s="48"/>
      <c r="AF134" s="48"/>
      <c r="AG134" s="48"/>
      <c r="AH134" s="48"/>
      <c r="AI134" s="48"/>
      <c r="AJ134" s="48"/>
      <c r="AK134" s="48"/>
      <c r="AL134" s="48"/>
      <c r="AM134" s="48"/>
      <c r="AN134" s="48"/>
      <c r="AO134" s="48"/>
      <c r="AP134" s="48"/>
      <c r="AQ134" s="48"/>
      <c r="AR134" s="48"/>
      <c r="AS134" s="48"/>
      <c r="AT134" s="48"/>
      <c r="AU134" s="48"/>
      <c r="AV134" s="48"/>
      <c r="AW134" s="48"/>
      <c r="AX134" s="48"/>
      <c r="AY134" s="48"/>
      <c r="AZ134" s="48"/>
      <c r="BA134" s="48"/>
      <c r="BB134" s="48"/>
      <c r="BC134" s="48"/>
      <c r="BD134" s="48"/>
      <c r="BE134" s="48"/>
      <c r="BF134" s="48"/>
      <c r="BG134" s="48"/>
      <c r="BH134" s="48"/>
      <c r="BI134" s="48"/>
      <c r="BJ134" s="48"/>
      <c r="BK134" s="48"/>
      <c r="BL134" s="48"/>
      <c r="BM134" s="48"/>
      <c r="BN134" s="48"/>
      <c r="BO134" s="48"/>
      <c r="BP134" s="48"/>
      <c r="BQ134" s="48"/>
      <c r="BR134" s="48"/>
      <c r="BS134" s="48"/>
      <c r="BT134" s="48"/>
      <c r="BU134" s="48"/>
      <c r="BV134" s="48"/>
      <c r="BW134" s="48"/>
      <c r="BX134" s="111"/>
    </row>
    <row r="135" spans="1:76" hidden="1">
      <c r="A135" s="37"/>
      <c r="B135" s="37"/>
      <c r="C135" s="37"/>
      <c r="D135" s="37"/>
      <c r="E135" s="37"/>
      <c r="F135" s="37"/>
      <c r="G135" s="39"/>
      <c r="H135" s="39"/>
      <c r="I135" s="39"/>
      <c r="J135" s="39"/>
      <c r="K135" s="39"/>
      <c r="L135" s="48"/>
      <c r="M135" s="48"/>
      <c r="N135" s="48"/>
      <c r="O135" s="36"/>
      <c r="P135" s="48"/>
      <c r="Q135" s="48"/>
      <c r="R135" s="48"/>
      <c r="S135" s="48"/>
      <c r="T135" s="48"/>
      <c r="U135" s="48"/>
      <c r="V135" s="48"/>
      <c r="W135" s="48"/>
      <c r="X135" s="48"/>
      <c r="Y135" s="48"/>
      <c r="Z135" s="48"/>
      <c r="AA135" s="48"/>
      <c r="AB135" s="48"/>
      <c r="AC135" s="48"/>
      <c r="AD135" s="48"/>
      <c r="AE135" s="48"/>
      <c r="AF135" s="48"/>
      <c r="AG135" s="48"/>
      <c r="AH135" s="48"/>
      <c r="AI135" s="48"/>
      <c r="AJ135" s="48"/>
      <c r="AK135" s="48"/>
      <c r="AL135" s="48"/>
      <c r="AM135" s="48"/>
      <c r="AN135" s="48"/>
      <c r="AO135" s="48"/>
      <c r="AP135" s="48"/>
      <c r="AQ135" s="48"/>
      <c r="AR135" s="48"/>
      <c r="AS135" s="48"/>
      <c r="AT135" s="48"/>
      <c r="AU135" s="48"/>
      <c r="AV135" s="48"/>
      <c r="AW135" s="48"/>
      <c r="AX135" s="48"/>
      <c r="AY135" s="48"/>
      <c r="AZ135" s="48"/>
      <c r="BA135" s="48"/>
      <c r="BB135" s="48"/>
      <c r="BC135" s="48"/>
      <c r="BD135" s="48"/>
      <c r="BE135" s="48"/>
      <c r="BF135" s="48"/>
      <c r="BG135" s="48"/>
      <c r="BH135" s="48"/>
      <c r="BI135" s="48"/>
      <c r="BJ135" s="48"/>
      <c r="BK135" s="48"/>
      <c r="BL135" s="48"/>
      <c r="BM135" s="48"/>
      <c r="BN135" s="48"/>
      <c r="BO135" s="48"/>
      <c r="BP135" s="48"/>
      <c r="BQ135" s="48"/>
      <c r="BR135" s="48"/>
      <c r="BS135" s="48"/>
      <c r="BT135" s="48"/>
      <c r="BU135" s="48"/>
      <c r="BV135" s="48"/>
      <c r="BW135" s="48"/>
      <c r="BX135" s="111"/>
    </row>
    <row r="136" spans="1:76" hidden="1">
      <c r="A136" s="37"/>
      <c r="B136" s="37"/>
      <c r="C136" s="37"/>
      <c r="D136" s="37"/>
      <c r="E136" s="37"/>
      <c r="F136" s="37"/>
      <c r="G136" s="39"/>
      <c r="H136" s="39"/>
      <c r="I136" s="39"/>
      <c r="J136" s="39"/>
      <c r="K136" s="39"/>
      <c r="L136" s="48"/>
      <c r="M136" s="48"/>
      <c r="N136" s="48"/>
      <c r="O136" s="36"/>
      <c r="P136" s="48"/>
      <c r="Q136" s="48"/>
      <c r="R136" s="48"/>
      <c r="S136" s="48"/>
      <c r="T136" s="48"/>
      <c r="U136" s="48"/>
      <c r="V136" s="48"/>
      <c r="W136" s="48"/>
      <c r="X136" s="48"/>
      <c r="Y136" s="48"/>
      <c r="Z136" s="48"/>
      <c r="AA136" s="48"/>
      <c r="AB136" s="48"/>
      <c r="AC136" s="48"/>
      <c r="AD136" s="48"/>
      <c r="AE136" s="48"/>
      <c r="AF136" s="48"/>
      <c r="AG136" s="48"/>
      <c r="AH136" s="48"/>
      <c r="AI136" s="48"/>
      <c r="AJ136" s="48"/>
      <c r="AK136" s="48"/>
      <c r="AL136" s="48"/>
      <c r="AM136" s="48"/>
      <c r="AN136" s="48"/>
      <c r="AO136" s="48"/>
      <c r="AP136" s="48"/>
      <c r="AQ136" s="48"/>
      <c r="AR136" s="48"/>
      <c r="AS136" s="48"/>
      <c r="AT136" s="48"/>
      <c r="AU136" s="48"/>
      <c r="AV136" s="48"/>
      <c r="AW136" s="48"/>
      <c r="AX136" s="48"/>
      <c r="AY136" s="48"/>
      <c r="AZ136" s="48"/>
      <c r="BA136" s="48"/>
      <c r="BB136" s="48"/>
      <c r="BC136" s="48"/>
      <c r="BD136" s="48"/>
      <c r="BE136" s="48"/>
      <c r="BF136" s="48"/>
      <c r="BG136" s="48"/>
      <c r="BH136" s="48"/>
      <c r="BI136" s="48"/>
      <c r="BJ136" s="48"/>
      <c r="BK136" s="48"/>
      <c r="BL136" s="48"/>
      <c r="BM136" s="48"/>
      <c r="BN136" s="48"/>
      <c r="BO136" s="48"/>
      <c r="BP136" s="48"/>
      <c r="BQ136" s="48"/>
      <c r="BR136" s="48"/>
      <c r="BS136" s="48"/>
      <c r="BT136" s="48"/>
      <c r="BU136" s="48"/>
      <c r="BV136" s="48"/>
      <c r="BW136" s="48"/>
      <c r="BX136" s="111"/>
    </row>
    <row r="137" spans="1:76" hidden="1">
      <c r="A137" s="37"/>
      <c r="B137" s="37"/>
      <c r="C137" s="37"/>
      <c r="D137" s="37"/>
      <c r="E137" s="37"/>
      <c r="F137" s="37"/>
      <c r="G137" s="39"/>
      <c r="H137" s="39"/>
      <c r="I137" s="39"/>
      <c r="J137" s="39"/>
      <c r="K137" s="39"/>
      <c r="L137" s="48"/>
      <c r="M137" s="48"/>
      <c r="N137" s="48"/>
      <c r="O137" s="36"/>
      <c r="P137" s="48"/>
      <c r="Q137" s="48"/>
      <c r="R137" s="48"/>
      <c r="S137" s="48"/>
      <c r="T137" s="48"/>
      <c r="U137" s="48"/>
      <c r="V137" s="48"/>
      <c r="W137" s="48"/>
      <c r="X137" s="48"/>
      <c r="Y137" s="48"/>
      <c r="Z137" s="48"/>
      <c r="AA137" s="48"/>
      <c r="AB137" s="48"/>
      <c r="AC137" s="48"/>
      <c r="AD137" s="48"/>
      <c r="AE137" s="48"/>
      <c r="AF137" s="48"/>
      <c r="AG137" s="48"/>
      <c r="AH137" s="48"/>
      <c r="AI137" s="48"/>
      <c r="AJ137" s="48"/>
      <c r="AK137" s="48"/>
      <c r="AL137" s="48"/>
      <c r="AM137" s="48"/>
      <c r="AN137" s="48"/>
      <c r="AO137" s="48"/>
      <c r="AP137" s="48"/>
      <c r="AQ137" s="48"/>
      <c r="AR137" s="48"/>
      <c r="AS137" s="48"/>
      <c r="AT137" s="48"/>
      <c r="AU137" s="48"/>
      <c r="AV137" s="48"/>
      <c r="AW137" s="48"/>
      <c r="AX137" s="48"/>
      <c r="AY137" s="48"/>
      <c r="AZ137" s="48"/>
      <c r="BA137" s="48"/>
      <c r="BB137" s="48"/>
      <c r="BC137" s="48"/>
      <c r="BD137" s="48"/>
      <c r="BE137" s="48"/>
      <c r="BF137" s="48"/>
      <c r="BG137" s="48"/>
      <c r="BH137" s="48"/>
      <c r="BI137" s="48"/>
      <c r="BJ137" s="48"/>
      <c r="BK137" s="48"/>
      <c r="BL137" s="48"/>
      <c r="BM137" s="48"/>
      <c r="BN137" s="48"/>
      <c r="BO137" s="48"/>
      <c r="BP137" s="48"/>
      <c r="BQ137" s="48"/>
      <c r="BR137" s="48"/>
      <c r="BS137" s="48"/>
      <c r="BT137" s="48"/>
      <c r="BU137" s="48"/>
      <c r="BV137" s="48"/>
      <c r="BW137" s="48"/>
      <c r="BX137" s="111"/>
    </row>
    <row r="138" spans="1:76" hidden="1">
      <c r="A138" s="37"/>
      <c r="B138" s="37"/>
      <c r="C138" s="37"/>
      <c r="D138" s="37"/>
      <c r="E138" s="37"/>
      <c r="F138" s="37"/>
      <c r="G138" s="39"/>
      <c r="H138" s="39"/>
      <c r="I138" s="39"/>
      <c r="J138" s="39"/>
      <c r="K138" s="39"/>
      <c r="L138" s="48"/>
      <c r="M138" s="48"/>
      <c r="N138" s="48"/>
      <c r="O138" s="36"/>
      <c r="P138" s="48"/>
      <c r="Q138" s="48"/>
      <c r="R138" s="48"/>
      <c r="S138" s="48"/>
      <c r="T138" s="48"/>
      <c r="U138" s="48"/>
      <c r="V138" s="48"/>
      <c r="W138" s="48"/>
      <c r="X138" s="48"/>
      <c r="Y138" s="48"/>
      <c r="Z138" s="48"/>
      <c r="AA138" s="48"/>
      <c r="AB138" s="48"/>
      <c r="AC138" s="48"/>
      <c r="AD138" s="48"/>
      <c r="AE138" s="48"/>
      <c r="AF138" s="48"/>
      <c r="AG138" s="48"/>
      <c r="AH138" s="48"/>
      <c r="AI138" s="48"/>
      <c r="AJ138" s="48"/>
      <c r="AK138" s="48"/>
      <c r="AL138" s="48"/>
      <c r="AM138" s="48"/>
      <c r="AN138" s="48"/>
      <c r="AO138" s="48"/>
      <c r="AP138" s="48"/>
      <c r="AQ138" s="48"/>
      <c r="AR138" s="48"/>
      <c r="AS138" s="48"/>
      <c r="AT138" s="48"/>
      <c r="AU138" s="48"/>
      <c r="AV138" s="48"/>
      <c r="AW138" s="48"/>
      <c r="AX138" s="48"/>
      <c r="AY138" s="48"/>
      <c r="AZ138" s="48"/>
      <c r="BA138" s="48"/>
      <c r="BB138" s="48"/>
      <c r="BC138" s="48"/>
      <c r="BD138" s="48"/>
      <c r="BE138" s="48"/>
      <c r="BF138" s="48"/>
      <c r="BG138" s="48"/>
      <c r="BH138" s="48"/>
      <c r="BI138" s="48"/>
      <c r="BJ138" s="48"/>
      <c r="BK138" s="48"/>
      <c r="BL138" s="48"/>
      <c r="BM138" s="48"/>
      <c r="BN138" s="48"/>
      <c r="BO138" s="48"/>
      <c r="BP138" s="48"/>
      <c r="BQ138" s="48"/>
      <c r="BR138" s="48"/>
      <c r="BS138" s="48"/>
      <c r="BT138" s="48"/>
      <c r="BU138" s="48"/>
      <c r="BV138" s="48"/>
      <c r="BW138" s="48"/>
      <c r="BX138" s="111"/>
    </row>
    <row r="139" spans="1:76">
      <c r="A139" s="44"/>
      <c r="B139" s="44" t="s">
        <v>224</v>
      </c>
      <c r="C139" s="44"/>
      <c r="D139" s="44"/>
      <c r="E139" s="44"/>
      <c r="F139" s="44"/>
      <c r="G139" s="50">
        <f t="shared" ref="G139:N139" si="17">IF(ISTEXT(G267), 0,G267)</f>
        <v>0.35</v>
      </c>
      <c r="H139" s="50">
        <f t="shared" si="17"/>
        <v>0.39117647058823529</v>
      </c>
      <c r="I139" s="50">
        <f t="shared" si="17"/>
        <v>0.35</v>
      </c>
      <c r="J139" s="50">
        <f t="shared" si="17"/>
        <v>0.35981308411214952</v>
      </c>
      <c r="K139" s="50">
        <f t="shared" si="17"/>
        <v>0.37611940298507457</v>
      </c>
      <c r="L139" s="51">
        <f t="shared" si="17"/>
        <v>0.32965116279069767</v>
      </c>
      <c r="M139" s="51">
        <f t="shared" si="17"/>
        <v>0.35</v>
      </c>
      <c r="N139" s="51">
        <f t="shared" si="17"/>
        <v>0.34756944444444443</v>
      </c>
      <c r="O139" s="47"/>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c r="AW139" s="46"/>
      <c r="AX139" s="46"/>
      <c r="AY139" s="46"/>
      <c r="AZ139" s="46"/>
      <c r="BA139" s="46"/>
      <c r="BB139" s="46"/>
      <c r="BC139" s="46"/>
      <c r="BD139" s="46"/>
      <c r="BE139" s="46"/>
      <c r="BF139" s="46"/>
      <c r="BG139" s="46"/>
      <c r="BH139" s="46"/>
      <c r="BI139" s="46"/>
      <c r="BJ139" s="46"/>
      <c r="BK139" s="46"/>
      <c r="BL139" s="46"/>
      <c r="BM139" s="46"/>
      <c r="BN139" s="46"/>
      <c r="BO139" s="46"/>
      <c r="BP139" s="46"/>
      <c r="BQ139" s="46"/>
      <c r="BR139" s="46"/>
      <c r="BS139" s="46"/>
      <c r="BT139" s="46"/>
      <c r="BU139" s="46"/>
      <c r="BV139" s="46"/>
      <c r="BW139" s="46"/>
      <c r="BX139" s="110"/>
    </row>
    <row r="140" spans="1:76">
      <c r="A140" s="40" t="s">
        <v>225</v>
      </c>
      <c r="B140" s="40"/>
      <c r="C140" s="40"/>
      <c r="D140" s="40"/>
      <c r="E140" s="40"/>
      <c r="F140" s="40"/>
      <c r="G140" s="41"/>
      <c r="H140" s="41"/>
      <c r="I140" s="41"/>
      <c r="J140" s="41"/>
      <c r="K140" s="41"/>
      <c r="L140" s="42"/>
      <c r="M140" s="42"/>
      <c r="N140" s="42"/>
      <c r="O140" s="43"/>
      <c r="P140" s="42"/>
      <c r="Q140" s="42"/>
      <c r="R140" s="42"/>
      <c r="S140" s="42"/>
      <c r="T140" s="42"/>
      <c r="U140" s="42"/>
      <c r="V140" s="42"/>
      <c r="W140" s="42"/>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c r="AW140" s="42"/>
      <c r="AX140" s="42"/>
      <c r="AY140" s="42"/>
      <c r="AZ140" s="42"/>
      <c r="BA140" s="42"/>
      <c r="BB140" s="42"/>
      <c r="BC140" s="42"/>
      <c r="BD140" s="42"/>
      <c r="BE140" s="42"/>
      <c r="BF140" s="42"/>
      <c r="BG140" s="42"/>
      <c r="BH140" s="42"/>
      <c r="BI140" s="42"/>
      <c r="BJ140" s="42"/>
      <c r="BK140" s="42"/>
      <c r="BL140" s="42"/>
      <c r="BM140" s="42"/>
      <c r="BN140" s="42"/>
      <c r="BO140" s="42"/>
      <c r="BP140" s="42"/>
      <c r="BQ140" s="42"/>
      <c r="BR140" s="42"/>
      <c r="BS140" s="42"/>
      <c r="BT140" s="42"/>
      <c r="BU140" s="42"/>
      <c r="BV140" s="42"/>
      <c r="BW140" s="42"/>
      <c r="BX140" s="109"/>
    </row>
    <row r="141" spans="1:76">
      <c r="A141" s="44"/>
      <c r="B141" s="44" t="s">
        <v>732</v>
      </c>
      <c r="C141" s="44"/>
      <c r="D141" s="44"/>
      <c r="E141" s="44"/>
      <c r="F141" s="44"/>
      <c r="G141" s="45"/>
      <c r="H141" s="45"/>
      <c r="I141" s="45"/>
      <c r="J141" s="45"/>
      <c r="K141" s="45"/>
      <c r="L141" s="45"/>
      <c r="M141" s="45"/>
      <c r="N141" s="46"/>
      <c r="O141" s="47"/>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c r="AW141" s="46"/>
      <c r="AX141" s="46"/>
      <c r="AY141" s="46"/>
      <c r="AZ141" s="46"/>
      <c r="BA141" s="46"/>
      <c r="BB141" s="46"/>
      <c r="BC141" s="46"/>
      <c r="BD141" s="46"/>
      <c r="BE141" s="46"/>
      <c r="BF141" s="46"/>
      <c r="BG141" s="46"/>
      <c r="BH141" s="46"/>
      <c r="BI141" s="46"/>
      <c r="BJ141" s="46"/>
      <c r="BK141" s="46"/>
      <c r="BL141" s="46"/>
      <c r="BM141" s="46"/>
      <c r="BN141" s="46"/>
      <c r="BO141" s="46"/>
      <c r="BP141" s="46"/>
      <c r="BQ141" s="46"/>
      <c r="BR141" s="46"/>
      <c r="BS141" s="46"/>
      <c r="BT141" s="46"/>
      <c r="BU141" s="46"/>
      <c r="BV141" s="46"/>
      <c r="BW141" s="46"/>
      <c r="BX141" s="110"/>
    </row>
    <row r="142" spans="1:76">
      <c r="A142" s="52"/>
      <c r="B142" s="52"/>
      <c r="C142" s="52" t="s">
        <v>733</v>
      </c>
      <c r="D142" s="52"/>
      <c r="E142" s="52"/>
      <c r="F142" s="53"/>
      <c r="G142" s="53">
        <f>1550+174+38+1212</f>
        <v>2974</v>
      </c>
      <c r="H142" s="53">
        <f>2983+226+116</f>
        <v>3325</v>
      </c>
      <c r="I142" s="53">
        <f>3391+438</f>
        <v>3829</v>
      </c>
      <c r="J142" s="53">
        <f>3659+686</f>
        <v>4345</v>
      </c>
      <c r="K142" s="53">
        <f>3343+624+740</f>
        <v>4707</v>
      </c>
      <c r="L142" s="53">
        <f>3190+618+780</f>
        <v>4588</v>
      </c>
      <c r="M142" s="53">
        <f>3085+439+255+851</f>
        <v>4630</v>
      </c>
      <c r="N142" s="53">
        <f>3326+640+419+983</f>
        <v>5368</v>
      </c>
      <c r="O142" s="54"/>
      <c r="P142" s="55"/>
      <c r="Q142" s="55"/>
      <c r="R142" s="55"/>
      <c r="S142" s="55"/>
      <c r="T142" s="55"/>
      <c r="U142" s="55"/>
      <c r="V142" s="55"/>
      <c r="W142" s="55"/>
      <c r="X142" s="55"/>
      <c r="Y142" s="55"/>
      <c r="Z142" s="55"/>
      <c r="AA142" s="55"/>
      <c r="AB142" s="55"/>
      <c r="AC142" s="55"/>
      <c r="AD142" s="55"/>
      <c r="AE142" s="55"/>
      <c r="AF142" s="55"/>
      <c r="AG142" s="55"/>
      <c r="AH142" s="55"/>
      <c r="AI142" s="55"/>
      <c r="AJ142" s="55"/>
      <c r="AK142" s="55"/>
      <c r="AL142" s="55"/>
      <c r="AM142" s="55"/>
      <c r="AN142" s="55"/>
      <c r="AO142" s="55"/>
      <c r="AP142" s="55"/>
      <c r="AQ142" s="55"/>
      <c r="AR142" s="55"/>
      <c r="AS142" s="55"/>
      <c r="AT142" s="55"/>
      <c r="AU142" s="55"/>
      <c r="AV142" s="55"/>
      <c r="AW142" s="55"/>
      <c r="AX142" s="55"/>
      <c r="AY142" s="55"/>
      <c r="AZ142" s="55"/>
      <c r="BA142" s="55"/>
      <c r="BB142" s="55"/>
      <c r="BC142" s="55"/>
      <c r="BD142" s="55"/>
      <c r="BE142" s="55"/>
      <c r="BF142" s="55"/>
      <c r="BG142" s="55"/>
      <c r="BH142" s="55"/>
      <c r="BI142" s="55"/>
      <c r="BJ142" s="55"/>
      <c r="BK142" s="55"/>
      <c r="BL142" s="55"/>
      <c r="BM142" s="55"/>
      <c r="BN142" s="55"/>
      <c r="BO142" s="55"/>
      <c r="BP142" s="55"/>
      <c r="BQ142" s="55"/>
      <c r="BR142" s="55"/>
      <c r="BS142" s="55"/>
      <c r="BT142" s="55"/>
      <c r="BU142" s="55"/>
      <c r="BV142" s="55"/>
      <c r="BW142" s="55"/>
      <c r="BX142" s="112"/>
    </row>
    <row r="143" spans="1:76">
      <c r="A143" s="37"/>
      <c r="B143" s="37"/>
      <c r="C143" s="37"/>
      <c r="D143" s="37" t="s">
        <v>734</v>
      </c>
      <c r="E143" s="37"/>
      <c r="F143" s="39"/>
      <c r="G143" s="56"/>
      <c r="H143" s="56"/>
      <c r="I143" s="56"/>
      <c r="J143" s="56"/>
      <c r="K143" s="56"/>
      <c r="L143" s="56"/>
      <c r="M143" s="56"/>
      <c r="N143" s="57"/>
      <c r="O143" s="58"/>
      <c r="P143" s="48"/>
      <c r="Q143" s="48"/>
      <c r="R143" s="48"/>
      <c r="S143" s="48"/>
      <c r="T143" s="48"/>
      <c r="U143" s="48"/>
      <c r="V143" s="48"/>
      <c r="W143" s="48"/>
      <c r="X143" s="48"/>
      <c r="Y143" s="48"/>
      <c r="Z143" s="48"/>
      <c r="AA143" s="48"/>
      <c r="AB143" s="48"/>
      <c r="AC143" s="48"/>
      <c r="AD143" s="48"/>
      <c r="AE143" s="48"/>
      <c r="AF143" s="48"/>
      <c r="AG143" s="48"/>
      <c r="AH143" s="48"/>
      <c r="AI143" s="48"/>
      <c r="AJ143" s="48"/>
      <c r="AK143" s="48"/>
      <c r="AL143" s="48"/>
      <c r="AM143" s="48"/>
      <c r="AN143" s="48"/>
      <c r="AO143" s="48"/>
      <c r="AP143" s="48"/>
      <c r="AQ143" s="48"/>
      <c r="AR143" s="48"/>
      <c r="AS143" s="48"/>
      <c r="AT143" s="48"/>
      <c r="AU143" s="48"/>
      <c r="AV143" s="48"/>
      <c r="AW143" s="48"/>
      <c r="AX143" s="48"/>
      <c r="AY143" s="48"/>
      <c r="AZ143" s="48"/>
      <c r="BA143" s="48"/>
      <c r="BB143" s="48"/>
      <c r="BC143" s="48"/>
      <c r="BD143" s="48"/>
      <c r="BE143" s="48"/>
      <c r="BF143" s="48"/>
      <c r="BG143" s="48"/>
      <c r="BH143" s="48"/>
      <c r="BI143" s="48"/>
      <c r="BJ143" s="48"/>
      <c r="BK143" s="48"/>
      <c r="BL143" s="48"/>
      <c r="BM143" s="48"/>
      <c r="BN143" s="48"/>
      <c r="BO143" s="48"/>
      <c r="BP143" s="48"/>
      <c r="BQ143" s="48"/>
      <c r="BR143" s="48"/>
      <c r="BS143" s="48"/>
      <c r="BT143" s="48"/>
      <c r="BU143" s="48"/>
      <c r="BV143" s="48"/>
      <c r="BW143" s="48"/>
      <c r="BX143" s="111"/>
    </row>
    <row r="144" spans="1:76">
      <c r="A144" s="37"/>
      <c r="B144" s="37"/>
      <c r="C144" s="37"/>
      <c r="D144" s="37"/>
      <c r="E144" s="37" t="s">
        <v>2101</v>
      </c>
      <c r="F144" s="39"/>
      <c r="G144" s="59"/>
      <c r="H144" s="59"/>
      <c r="I144" s="59"/>
      <c r="J144" s="59"/>
      <c r="K144" s="59"/>
      <c r="L144" s="59"/>
      <c r="M144" s="59"/>
      <c r="N144" s="60"/>
      <c r="O144" s="36"/>
      <c r="P144" s="48"/>
      <c r="Q144" s="48"/>
      <c r="R144" s="48"/>
      <c r="S144" s="48"/>
      <c r="T144" s="48"/>
      <c r="U144" s="48"/>
      <c r="V144" s="48"/>
      <c r="W144" s="48"/>
      <c r="X144" s="48"/>
      <c r="Y144" s="48"/>
      <c r="Z144" s="48"/>
      <c r="AA144" s="48"/>
      <c r="AB144" s="48"/>
      <c r="AC144" s="48"/>
      <c r="AD144" s="48"/>
      <c r="AE144" s="48"/>
      <c r="AF144" s="48"/>
      <c r="AG144" s="48"/>
      <c r="AH144" s="48"/>
      <c r="AI144" s="48"/>
      <c r="AJ144" s="48"/>
      <c r="AK144" s="48"/>
      <c r="AL144" s="48"/>
      <c r="AM144" s="48"/>
      <c r="AN144" s="48"/>
      <c r="AO144" s="48"/>
      <c r="AP144" s="48"/>
      <c r="AQ144" s="48"/>
      <c r="AR144" s="48"/>
      <c r="AS144" s="48"/>
      <c r="AT144" s="48"/>
      <c r="AU144" s="48"/>
      <c r="AV144" s="48"/>
      <c r="AW144" s="48"/>
      <c r="AX144" s="48"/>
      <c r="AY144" s="48"/>
      <c r="AZ144" s="48"/>
      <c r="BA144" s="48"/>
      <c r="BB144" s="48"/>
      <c r="BC144" s="48"/>
      <c r="BD144" s="48"/>
      <c r="BE144" s="48"/>
      <c r="BF144" s="48"/>
      <c r="BG144" s="48"/>
      <c r="BH144" s="48"/>
      <c r="BI144" s="48"/>
      <c r="BJ144" s="48"/>
      <c r="BK144" s="48"/>
      <c r="BL144" s="48"/>
      <c r="BM144" s="48"/>
      <c r="BN144" s="48"/>
      <c r="BO144" s="48"/>
      <c r="BP144" s="48"/>
      <c r="BQ144" s="48"/>
      <c r="BR144" s="48"/>
      <c r="BS144" s="48"/>
      <c r="BT144" s="48"/>
      <c r="BU144" s="48"/>
      <c r="BV144" s="48"/>
      <c r="BW144" s="48"/>
      <c r="BX144" s="111"/>
    </row>
    <row r="145" spans="1:76">
      <c r="A145" s="37"/>
      <c r="B145" s="37"/>
      <c r="C145" s="37"/>
      <c r="D145" s="37"/>
      <c r="E145" s="37" t="s">
        <v>2102</v>
      </c>
      <c r="F145" s="39"/>
      <c r="G145" s="59"/>
      <c r="H145" s="59"/>
      <c r="I145" s="59"/>
      <c r="J145" s="59"/>
      <c r="K145" s="59"/>
      <c r="L145" s="59"/>
      <c r="M145" s="59"/>
      <c r="N145" s="60"/>
      <c r="O145" s="36"/>
      <c r="P145" s="48"/>
      <c r="Q145" s="48"/>
      <c r="R145" s="48"/>
      <c r="S145" s="48"/>
      <c r="T145" s="48"/>
      <c r="U145" s="48"/>
      <c r="V145" s="48"/>
      <c r="W145" s="48"/>
      <c r="X145" s="48"/>
      <c r="Y145" s="48"/>
      <c r="Z145" s="48"/>
      <c r="AA145" s="48"/>
      <c r="AB145" s="48"/>
      <c r="AC145" s="48"/>
      <c r="AD145" s="48"/>
      <c r="AE145" s="48"/>
      <c r="AF145" s="48"/>
      <c r="AG145" s="48"/>
      <c r="AH145" s="48"/>
      <c r="AI145" s="48"/>
      <c r="AJ145" s="48"/>
      <c r="AK145" s="48"/>
      <c r="AL145" s="48"/>
      <c r="AM145" s="48"/>
      <c r="AN145" s="48"/>
      <c r="AO145" s="48"/>
      <c r="AP145" s="48"/>
      <c r="AQ145" s="48"/>
      <c r="AR145" s="48"/>
      <c r="AS145" s="48"/>
      <c r="AT145" s="48"/>
      <c r="AU145" s="48"/>
      <c r="AV145" s="48"/>
      <c r="AW145" s="48"/>
      <c r="AX145" s="48"/>
      <c r="AY145" s="48"/>
      <c r="AZ145" s="48"/>
      <c r="BA145" s="48"/>
      <c r="BB145" s="48"/>
      <c r="BC145" s="48"/>
      <c r="BD145" s="48"/>
      <c r="BE145" s="48"/>
      <c r="BF145" s="48"/>
      <c r="BG145" s="48"/>
      <c r="BH145" s="48"/>
      <c r="BI145" s="48"/>
      <c r="BJ145" s="48"/>
      <c r="BK145" s="48"/>
      <c r="BL145" s="48"/>
      <c r="BM145" s="48"/>
      <c r="BN145" s="48"/>
      <c r="BO145" s="48"/>
      <c r="BP145" s="48"/>
      <c r="BQ145" s="48"/>
      <c r="BR145" s="48"/>
      <c r="BS145" s="48"/>
      <c r="BT145" s="48"/>
      <c r="BU145" s="48"/>
      <c r="BV145" s="48"/>
      <c r="BW145" s="48"/>
      <c r="BX145" s="111"/>
    </row>
    <row r="146" spans="1:76">
      <c r="A146" s="37"/>
      <c r="B146" s="37"/>
      <c r="C146" s="37"/>
      <c r="D146" s="37"/>
      <c r="E146" s="37" t="s">
        <v>1814</v>
      </c>
      <c r="F146" s="39"/>
      <c r="G146" s="59"/>
      <c r="H146" s="59"/>
      <c r="I146" s="59"/>
      <c r="J146" s="59"/>
      <c r="K146" s="59"/>
      <c r="L146" s="59"/>
      <c r="M146" s="59"/>
      <c r="N146" s="60"/>
      <c r="O146" s="36"/>
      <c r="P146" s="48"/>
      <c r="Q146" s="48"/>
      <c r="R146" s="48"/>
      <c r="S146" s="48"/>
      <c r="T146" s="48"/>
      <c r="U146" s="48"/>
      <c r="V146" s="48"/>
      <c r="W146" s="48"/>
      <c r="X146" s="48"/>
      <c r="Y146" s="48"/>
      <c r="Z146" s="48"/>
      <c r="AA146" s="48"/>
      <c r="AB146" s="48"/>
      <c r="AC146" s="48"/>
      <c r="AD146" s="48"/>
      <c r="AE146" s="48"/>
      <c r="AF146" s="48"/>
      <c r="AG146" s="48"/>
      <c r="AH146" s="48"/>
      <c r="AI146" s="48"/>
      <c r="AJ146" s="48"/>
      <c r="AK146" s="48"/>
      <c r="AL146" s="48"/>
      <c r="AM146" s="48"/>
      <c r="AN146" s="48"/>
      <c r="AO146" s="48"/>
      <c r="AP146" s="48"/>
      <c r="AQ146" s="48"/>
      <c r="AR146" s="48"/>
      <c r="AS146" s="48"/>
      <c r="AT146" s="48"/>
      <c r="AU146" s="48"/>
      <c r="AV146" s="48"/>
      <c r="AW146" s="48"/>
      <c r="AX146" s="48"/>
      <c r="AY146" s="48"/>
      <c r="AZ146" s="48"/>
      <c r="BA146" s="48"/>
      <c r="BB146" s="48"/>
      <c r="BC146" s="48"/>
      <c r="BD146" s="48"/>
      <c r="BE146" s="48"/>
      <c r="BF146" s="48"/>
      <c r="BG146" s="48"/>
      <c r="BH146" s="48"/>
      <c r="BI146" s="48"/>
      <c r="BJ146" s="48"/>
      <c r="BK146" s="48"/>
      <c r="BL146" s="48"/>
      <c r="BM146" s="48"/>
      <c r="BN146" s="48"/>
      <c r="BO146" s="48"/>
      <c r="BP146" s="48"/>
      <c r="BQ146" s="48"/>
      <c r="BR146" s="48"/>
      <c r="BS146" s="48"/>
      <c r="BT146" s="48"/>
      <c r="BU146" s="48"/>
      <c r="BV146" s="48"/>
      <c r="BW146" s="48"/>
      <c r="BX146" s="111"/>
    </row>
    <row r="147" spans="1:76">
      <c r="A147" s="37"/>
      <c r="B147" s="37"/>
      <c r="C147" s="37"/>
      <c r="D147" s="37"/>
      <c r="E147" s="37" t="s">
        <v>2162</v>
      </c>
      <c r="F147" s="39"/>
      <c r="G147" s="59"/>
      <c r="H147" s="59"/>
      <c r="I147" s="59"/>
      <c r="J147" s="59"/>
      <c r="K147" s="59"/>
      <c r="L147" s="59"/>
      <c r="M147" s="59"/>
      <c r="N147" s="60"/>
      <c r="O147" s="36"/>
      <c r="P147" s="48"/>
      <c r="Q147" s="48"/>
      <c r="R147" s="48"/>
      <c r="S147" s="48"/>
      <c r="T147" s="48"/>
      <c r="U147" s="48"/>
      <c r="V147" s="48"/>
      <c r="W147" s="48"/>
      <c r="X147" s="48"/>
      <c r="Y147" s="48"/>
      <c r="Z147" s="48"/>
      <c r="AA147" s="48"/>
      <c r="AB147" s="48"/>
      <c r="AC147" s="48"/>
      <c r="AD147" s="48"/>
      <c r="AE147" s="48"/>
      <c r="AF147" s="48"/>
      <c r="AG147" s="48"/>
      <c r="AH147" s="48"/>
      <c r="AI147" s="48"/>
      <c r="AJ147" s="48"/>
      <c r="AK147" s="48"/>
      <c r="AL147" s="48"/>
      <c r="AM147" s="48"/>
      <c r="AN147" s="48"/>
      <c r="AO147" s="48"/>
      <c r="AP147" s="48"/>
      <c r="AQ147" s="48"/>
      <c r="AR147" s="48"/>
      <c r="AS147" s="48"/>
      <c r="AT147" s="48"/>
      <c r="AU147" s="48"/>
      <c r="AV147" s="48"/>
      <c r="AW147" s="48"/>
      <c r="AX147" s="48"/>
      <c r="AY147" s="48"/>
      <c r="AZ147" s="48"/>
      <c r="BA147" s="48"/>
      <c r="BB147" s="48"/>
      <c r="BC147" s="48"/>
      <c r="BD147" s="48"/>
      <c r="BE147" s="48"/>
      <c r="BF147" s="48"/>
      <c r="BG147" s="48"/>
      <c r="BH147" s="48"/>
      <c r="BI147" s="48"/>
      <c r="BJ147" s="48"/>
      <c r="BK147" s="48"/>
      <c r="BL147" s="48"/>
      <c r="BM147" s="48"/>
      <c r="BN147" s="48"/>
      <c r="BO147" s="48"/>
      <c r="BP147" s="48"/>
      <c r="BQ147" s="48"/>
      <c r="BR147" s="48"/>
      <c r="BS147" s="48"/>
      <c r="BT147" s="48"/>
      <c r="BU147" s="48"/>
      <c r="BV147" s="48"/>
      <c r="BW147" s="48"/>
      <c r="BX147" s="111"/>
    </row>
    <row r="148" spans="1:76">
      <c r="A148" s="37"/>
      <c r="B148" s="37"/>
      <c r="C148" s="37"/>
      <c r="D148" s="37" t="s">
        <v>1309</v>
      </c>
      <c r="E148" s="37"/>
      <c r="F148" s="39"/>
      <c r="G148" s="59"/>
      <c r="H148" s="59"/>
      <c r="I148" s="59"/>
      <c r="J148" s="59"/>
      <c r="K148" s="59"/>
      <c r="L148" s="59"/>
      <c r="M148" s="59"/>
      <c r="N148" s="60"/>
      <c r="O148" s="36"/>
      <c r="P148" s="48"/>
      <c r="Q148" s="48"/>
      <c r="R148" s="48"/>
      <c r="S148" s="48"/>
      <c r="T148" s="48"/>
      <c r="U148" s="48"/>
      <c r="V148" s="48"/>
      <c r="W148" s="48"/>
      <c r="X148" s="48"/>
      <c r="Y148" s="48"/>
      <c r="Z148" s="48"/>
      <c r="AA148" s="48"/>
      <c r="AB148" s="48"/>
      <c r="AC148" s="48"/>
      <c r="AD148" s="48"/>
      <c r="AE148" s="48"/>
      <c r="AF148" s="48"/>
      <c r="AG148" s="48"/>
      <c r="AH148" s="48"/>
      <c r="AI148" s="48"/>
      <c r="AJ148" s="48"/>
      <c r="AK148" s="48"/>
      <c r="AL148" s="48"/>
      <c r="AM148" s="48"/>
      <c r="AN148" s="48"/>
      <c r="AO148" s="48"/>
      <c r="AP148" s="48"/>
      <c r="AQ148" s="48"/>
      <c r="AR148" s="48"/>
      <c r="AS148" s="48"/>
      <c r="AT148" s="48"/>
      <c r="AU148" s="48"/>
      <c r="AV148" s="48"/>
      <c r="AW148" s="48"/>
      <c r="AX148" s="48"/>
      <c r="AY148" s="48"/>
      <c r="AZ148" s="48"/>
      <c r="BA148" s="48"/>
      <c r="BB148" s="48"/>
      <c r="BC148" s="48"/>
      <c r="BD148" s="48"/>
      <c r="BE148" s="48"/>
      <c r="BF148" s="48"/>
      <c r="BG148" s="48"/>
      <c r="BH148" s="48"/>
      <c r="BI148" s="48"/>
      <c r="BJ148" s="48"/>
      <c r="BK148" s="48"/>
      <c r="BL148" s="48"/>
      <c r="BM148" s="48"/>
      <c r="BN148" s="48"/>
      <c r="BO148" s="48"/>
      <c r="BP148" s="48"/>
      <c r="BQ148" s="48"/>
      <c r="BR148" s="48"/>
      <c r="BS148" s="48"/>
      <c r="BT148" s="48"/>
      <c r="BU148" s="48"/>
      <c r="BV148" s="48"/>
      <c r="BW148" s="48"/>
      <c r="BX148" s="111"/>
    </row>
    <row r="149" spans="1:76">
      <c r="A149" s="37"/>
      <c r="B149" s="37"/>
      <c r="C149" s="37" t="s">
        <v>151</v>
      </c>
      <c r="D149" s="37"/>
      <c r="E149" s="37"/>
      <c r="F149" s="39"/>
      <c r="G149" s="59"/>
      <c r="H149" s="59"/>
      <c r="I149" s="59"/>
      <c r="J149" s="59"/>
      <c r="K149" s="59"/>
      <c r="L149" s="59"/>
      <c r="M149" s="59"/>
      <c r="N149" s="60"/>
      <c r="O149" s="36"/>
      <c r="P149" s="48"/>
      <c r="Q149" s="48"/>
      <c r="R149" s="48"/>
      <c r="S149" s="48"/>
      <c r="T149" s="48"/>
      <c r="U149" s="48"/>
      <c r="V149" s="48"/>
      <c r="W149" s="48"/>
      <c r="X149" s="48"/>
      <c r="Y149" s="48"/>
      <c r="Z149" s="48"/>
      <c r="AA149" s="48"/>
      <c r="AB149" s="48"/>
      <c r="AC149" s="48"/>
      <c r="AD149" s="48"/>
      <c r="AE149" s="48"/>
      <c r="AF149" s="48"/>
      <c r="AG149" s="48"/>
      <c r="AH149" s="48"/>
      <c r="AI149" s="48"/>
      <c r="AJ149" s="48"/>
      <c r="AK149" s="48"/>
      <c r="AL149" s="48"/>
      <c r="AM149" s="48"/>
      <c r="AN149" s="48"/>
      <c r="AO149" s="48"/>
      <c r="AP149" s="48"/>
      <c r="AQ149" s="48"/>
      <c r="AR149" s="48"/>
      <c r="AS149" s="48"/>
      <c r="AT149" s="48"/>
      <c r="AU149" s="48"/>
      <c r="AV149" s="48"/>
      <c r="AW149" s="48"/>
      <c r="AX149" s="48"/>
      <c r="AY149" s="48"/>
      <c r="AZ149" s="48"/>
      <c r="BA149" s="48"/>
      <c r="BB149" s="48"/>
      <c r="BC149" s="48"/>
      <c r="BD149" s="48"/>
      <c r="BE149" s="48"/>
      <c r="BF149" s="48"/>
      <c r="BG149" s="48"/>
      <c r="BH149" s="48"/>
      <c r="BI149" s="48"/>
      <c r="BJ149" s="48"/>
      <c r="BK149" s="48"/>
      <c r="BL149" s="48"/>
      <c r="BM149" s="48"/>
      <c r="BN149" s="48"/>
      <c r="BO149" s="48"/>
      <c r="BP149" s="48"/>
      <c r="BQ149" s="48"/>
      <c r="BR149" s="48"/>
      <c r="BS149" s="48"/>
      <c r="BT149" s="48"/>
      <c r="BU149" s="48"/>
      <c r="BV149" s="48"/>
      <c r="BW149" s="48"/>
      <c r="BX149" s="111"/>
    </row>
    <row r="150" spans="1:76">
      <c r="A150" s="37"/>
      <c r="B150" s="37"/>
      <c r="C150" s="37"/>
      <c r="D150" s="37" t="s">
        <v>152</v>
      </c>
      <c r="E150" s="37"/>
      <c r="F150" s="39"/>
      <c r="G150" s="39" t="str">
        <f t="shared" ref="G150:N150" si="18">IF(AND(OR(ISTEXT(G151), ISBLANK(G151)),OR(ISTEXT(G152), ISBLANK(G152)),TRUE),"", +IF(ISTEXT(G151), 0,G151)+IF(ISTEXT(G152), 0,G152))</f>
        <v/>
      </c>
      <c r="H150" s="39" t="str">
        <f t="shared" si="18"/>
        <v/>
      </c>
      <c r="I150" s="39" t="str">
        <f t="shared" si="18"/>
        <v/>
      </c>
      <c r="J150" s="39" t="str">
        <f t="shared" si="18"/>
        <v/>
      </c>
      <c r="K150" s="39" t="str">
        <f t="shared" si="18"/>
        <v/>
      </c>
      <c r="L150" s="39" t="str">
        <f t="shared" si="18"/>
        <v/>
      </c>
      <c r="M150" s="39" t="str">
        <f t="shared" si="18"/>
        <v/>
      </c>
      <c r="N150" s="48" t="str">
        <f t="shared" si="18"/>
        <v/>
      </c>
      <c r="O150" s="36"/>
      <c r="P150" s="48"/>
      <c r="Q150" s="48"/>
      <c r="R150" s="48"/>
      <c r="S150" s="48"/>
      <c r="T150" s="48"/>
      <c r="U150" s="48"/>
      <c r="V150" s="48"/>
      <c r="W150" s="48"/>
      <c r="X150" s="48"/>
      <c r="Y150" s="48"/>
      <c r="Z150" s="48"/>
      <c r="AA150" s="48"/>
      <c r="AB150" s="48"/>
      <c r="AC150" s="48"/>
      <c r="AD150" s="48"/>
      <c r="AE150" s="48"/>
      <c r="AF150" s="48"/>
      <c r="AG150" s="48"/>
      <c r="AH150" s="48"/>
      <c r="AI150" s="48"/>
      <c r="AJ150" s="48"/>
      <c r="AK150" s="48"/>
      <c r="AL150" s="48"/>
      <c r="AM150" s="48"/>
      <c r="AN150" s="48"/>
      <c r="AO150" s="48"/>
      <c r="AP150" s="48"/>
      <c r="AQ150" s="48"/>
      <c r="AR150" s="48"/>
      <c r="AS150" s="48"/>
      <c r="AT150" s="48"/>
      <c r="AU150" s="48"/>
      <c r="AV150" s="48"/>
      <c r="AW150" s="48"/>
      <c r="AX150" s="48"/>
      <c r="AY150" s="48"/>
      <c r="AZ150" s="48"/>
      <c r="BA150" s="48"/>
      <c r="BB150" s="48"/>
      <c r="BC150" s="48"/>
      <c r="BD150" s="48"/>
      <c r="BE150" s="48"/>
      <c r="BF150" s="48"/>
      <c r="BG150" s="48"/>
      <c r="BH150" s="48"/>
      <c r="BI150" s="48"/>
      <c r="BJ150" s="48"/>
      <c r="BK150" s="48"/>
      <c r="BL150" s="48"/>
      <c r="BM150" s="48"/>
      <c r="BN150" s="48"/>
      <c r="BO150" s="48"/>
      <c r="BP150" s="48"/>
      <c r="BQ150" s="48"/>
      <c r="BR150" s="48"/>
      <c r="BS150" s="48"/>
      <c r="BT150" s="48"/>
      <c r="BU150" s="48"/>
      <c r="BV150" s="48"/>
      <c r="BW150" s="48"/>
      <c r="BX150" s="111"/>
    </row>
    <row r="151" spans="1:76">
      <c r="A151" s="37"/>
      <c r="B151" s="37"/>
      <c r="C151" s="37"/>
      <c r="D151" s="37"/>
      <c r="E151" s="37" t="s">
        <v>153</v>
      </c>
      <c r="F151" s="39"/>
      <c r="G151" s="59"/>
      <c r="H151" s="59"/>
      <c r="I151" s="59"/>
      <c r="J151" s="59"/>
      <c r="K151" s="59"/>
      <c r="L151" s="59"/>
      <c r="M151" s="59"/>
      <c r="N151" s="60"/>
      <c r="O151" s="36"/>
      <c r="P151" s="48"/>
      <c r="Q151" s="48"/>
      <c r="R151" s="48"/>
      <c r="S151" s="48"/>
      <c r="T151" s="48"/>
      <c r="U151" s="48"/>
      <c r="V151" s="48"/>
      <c r="W151" s="48"/>
      <c r="X151" s="48"/>
      <c r="Y151" s="48"/>
      <c r="Z151" s="48"/>
      <c r="AA151" s="48"/>
      <c r="AB151" s="48"/>
      <c r="AC151" s="48"/>
      <c r="AD151" s="48"/>
      <c r="AE151" s="48"/>
      <c r="AF151" s="48"/>
      <c r="AG151" s="48"/>
      <c r="AH151" s="48"/>
      <c r="AI151" s="48"/>
      <c r="AJ151" s="48"/>
      <c r="AK151" s="48"/>
      <c r="AL151" s="48"/>
      <c r="AM151" s="48"/>
      <c r="AN151" s="48"/>
      <c r="AO151" s="48"/>
      <c r="AP151" s="48"/>
      <c r="AQ151" s="48"/>
      <c r="AR151" s="48"/>
      <c r="AS151" s="48"/>
      <c r="AT151" s="48"/>
      <c r="AU151" s="48"/>
      <c r="AV151" s="48"/>
      <c r="AW151" s="48"/>
      <c r="AX151" s="48"/>
      <c r="AY151" s="48"/>
      <c r="AZ151" s="48"/>
      <c r="BA151" s="48"/>
      <c r="BB151" s="48"/>
      <c r="BC151" s="48"/>
      <c r="BD151" s="48"/>
      <c r="BE151" s="48"/>
      <c r="BF151" s="48"/>
      <c r="BG151" s="48"/>
      <c r="BH151" s="48"/>
      <c r="BI151" s="48"/>
      <c r="BJ151" s="48"/>
      <c r="BK151" s="48"/>
      <c r="BL151" s="48"/>
      <c r="BM151" s="48"/>
      <c r="BN151" s="48"/>
      <c r="BO151" s="48"/>
      <c r="BP151" s="48"/>
      <c r="BQ151" s="48"/>
      <c r="BR151" s="48"/>
      <c r="BS151" s="48"/>
      <c r="BT151" s="48"/>
      <c r="BU151" s="48"/>
      <c r="BV151" s="48"/>
      <c r="BW151" s="48"/>
      <c r="BX151" s="111"/>
    </row>
    <row r="152" spans="1:76">
      <c r="A152" s="37"/>
      <c r="B152" s="37"/>
      <c r="C152" s="37"/>
      <c r="D152" s="37"/>
      <c r="E152" s="37" t="s">
        <v>2071</v>
      </c>
      <c r="F152" s="39"/>
      <c r="G152" s="59"/>
      <c r="H152" s="59"/>
      <c r="I152" s="59"/>
      <c r="J152" s="59"/>
      <c r="K152" s="59"/>
      <c r="L152" s="59"/>
      <c r="M152" s="59"/>
      <c r="N152" s="60"/>
      <c r="O152" s="36"/>
      <c r="P152" s="48"/>
      <c r="Q152" s="48"/>
      <c r="R152" s="48"/>
      <c r="S152" s="48"/>
      <c r="T152" s="48"/>
      <c r="U152" s="48"/>
      <c r="V152" s="48"/>
      <c r="W152" s="48"/>
      <c r="X152" s="48"/>
      <c r="Y152" s="48"/>
      <c r="Z152" s="48"/>
      <c r="AA152" s="48"/>
      <c r="AB152" s="48"/>
      <c r="AC152" s="48"/>
      <c r="AD152" s="48"/>
      <c r="AE152" s="48"/>
      <c r="AF152" s="48"/>
      <c r="AG152" s="48"/>
      <c r="AH152" s="48"/>
      <c r="AI152" s="48"/>
      <c r="AJ152" s="48"/>
      <c r="AK152" s="48"/>
      <c r="AL152" s="48"/>
      <c r="AM152" s="48"/>
      <c r="AN152" s="48"/>
      <c r="AO152" s="48"/>
      <c r="AP152" s="48"/>
      <c r="AQ152" s="48"/>
      <c r="AR152" s="48"/>
      <c r="AS152" s="48"/>
      <c r="AT152" s="48"/>
      <c r="AU152" s="48"/>
      <c r="AV152" s="48"/>
      <c r="AW152" s="48"/>
      <c r="AX152" s="48"/>
      <c r="AY152" s="48"/>
      <c r="AZ152" s="48"/>
      <c r="BA152" s="48"/>
      <c r="BB152" s="48"/>
      <c r="BC152" s="48"/>
      <c r="BD152" s="48"/>
      <c r="BE152" s="48"/>
      <c r="BF152" s="48"/>
      <c r="BG152" s="48"/>
      <c r="BH152" s="48"/>
      <c r="BI152" s="48"/>
      <c r="BJ152" s="48"/>
      <c r="BK152" s="48"/>
      <c r="BL152" s="48"/>
      <c r="BM152" s="48"/>
      <c r="BN152" s="48"/>
      <c r="BO152" s="48"/>
      <c r="BP152" s="48"/>
      <c r="BQ152" s="48"/>
      <c r="BR152" s="48"/>
      <c r="BS152" s="48"/>
      <c r="BT152" s="48"/>
      <c r="BU152" s="48"/>
      <c r="BV152" s="48"/>
      <c r="BW152" s="48"/>
      <c r="BX152" s="111"/>
    </row>
    <row r="153" spans="1:76">
      <c r="A153" s="37"/>
      <c r="B153" s="37"/>
      <c r="C153" s="37"/>
      <c r="D153" s="37" t="s">
        <v>2134</v>
      </c>
      <c r="E153" s="37"/>
      <c r="F153" s="39"/>
      <c r="G153" s="59"/>
      <c r="H153" s="59"/>
      <c r="I153" s="59"/>
      <c r="J153" s="59"/>
      <c r="K153" s="59"/>
      <c r="L153" s="59"/>
      <c r="M153" s="59"/>
      <c r="N153" s="60"/>
      <c r="O153" s="36"/>
      <c r="P153" s="48"/>
      <c r="Q153" s="48"/>
      <c r="R153" s="48"/>
      <c r="S153" s="48"/>
      <c r="T153" s="48"/>
      <c r="U153" s="48"/>
      <c r="V153" s="48"/>
      <c r="W153" s="48"/>
      <c r="X153" s="48"/>
      <c r="Y153" s="48"/>
      <c r="Z153" s="48"/>
      <c r="AA153" s="48"/>
      <c r="AB153" s="48"/>
      <c r="AC153" s="48"/>
      <c r="AD153" s="48"/>
      <c r="AE153" s="48"/>
      <c r="AF153" s="48"/>
      <c r="AG153" s="48"/>
      <c r="AH153" s="48"/>
      <c r="AI153" s="48"/>
      <c r="AJ153" s="48"/>
      <c r="AK153" s="48"/>
      <c r="AL153" s="48"/>
      <c r="AM153" s="48"/>
      <c r="AN153" s="48"/>
      <c r="AO153" s="48"/>
      <c r="AP153" s="48"/>
      <c r="AQ153" s="48"/>
      <c r="AR153" s="48"/>
      <c r="AS153" s="48"/>
      <c r="AT153" s="48"/>
      <c r="AU153" s="48"/>
      <c r="AV153" s="48"/>
      <c r="AW153" s="48"/>
      <c r="AX153" s="48"/>
      <c r="AY153" s="48"/>
      <c r="AZ153" s="48"/>
      <c r="BA153" s="48"/>
      <c r="BB153" s="48"/>
      <c r="BC153" s="48"/>
      <c r="BD153" s="48"/>
      <c r="BE153" s="48"/>
      <c r="BF153" s="48"/>
      <c r="BG153" s="48"/>
      <c r="BH153" s="48"/>
      <c r="BI153" s="48"/>
      <c r="BJ153" s="48"/>
      <c r="BK153" s="48"/>
      <c r="BL153" s="48"/>
      <c r="BM153" s="48"/>
      <c r="BN153" s="48"/>
      <c r="BO153" s="48"/>
      <c r="BP153" s="48"/>
      <c r="BQ153" s="48"/>
      <c r="BR153" s="48"/>
      <c r="BS153" s="48"/>
      <c r="BT153" s="48"/>
      <c r="BU153" s="48"/>
      <c r="BV153" s="48"/>
      <c r="BW153" s="48"/>
      <c r="BX153" s="111"/>
    </row>
    <row r="154" spans="1:76">
      <c r="A154" s="37"/>
      <c r="B154" s="37"/>
      <c r="C154" s="37"/>
      <c r="D154" s="37" t="s">
        <v>731</v>
      </c>
      <c r="E154" s="37"/>
      <c r="F154" s="39"/>
      <c r="G154" s="59"/>
      <c r="H154" s="59"/>
      <c r="I154" s="59"/>
      <c r="J154" s="59"/>
      <c r="K154" s="59"/>
      <c r="L154" s="59"/>
      <c r="M154" s="59"/>
      <c r="N154" s="60"/>
      <c r="O154" s="36"/>
      <c r="P154" s="48"/>
      <c r="Q154" s="48"/>
      <c r="R154" s="48"/>
      <c r="S154" s="48"/>
      <c r="T154" s="48"/>
      <c r="U154" s="48"/>
      <c r="V154" s="48"/>
      <c r="W154" s="48"/>
      <c r="X154" s="48"/>
      <c r="Y154" s="48"/>
      <c r="Z154" s="48"/>
      <c r="AA154" s="48"/>
      <c r="AB154" s="48"/>
      <c r="AC154" s="48"/>
      <c r="AD154" s="48"/>
      <c r="AE154" s="48"/>
      <c r="AF154" s="48"/>
      <c r="AG154" s="48"/>
      <c r="AH154" s="48"/>
      <c r="AI154" s="48"/>
      <c r="AJ154" s="48"/>
      <c r="AK154" s="48"/>
      <c r="AL154" s="48"/>
      <c r="AM154" s="48"/>
      <c r="AN154" s="48"/>
      <c r="AO154" s="48"/>
      <c r="AP154" s="48"/>
      <c r="AQ154" s="48"/>
      <c r="AR154" s="48"/>
      <c r="AS154" s="48"/>
      <c r="AT154" s="48"/>
      <c r="AU154" s="48"/>
      <c r="AV154" s="48"/>
      <c r="AW154" s="48"/>
      <c r="AX154" s="48"/>
      <c r="AY154" s="48"/>
      <c r="AZ154" s="48"/>
      <c r="BA154" s="48"/>
      <c r="BB154" s="48"/>
      <c r="BC154" s="48"/>
      <c r="BD154" s="48"/>
      <c r="BE154" s="48"/>
      <c r="BF154" s="48"/>
      <c r="BG154" s="48"/>
      <c r="BH154" s="48"/>
      <c r="BI154" s="48"/>
      <c r="BJ154" s="48"/>
      <c r="BK154" s="48"/>
      <c r="BL154" s="48"/>
      <c r="BM154" s="48"/>
      <c r="BN154" s="48"/>
      <c r="BO154" s="48"/>
      <c r="BP154" s="48"/>
      <c r="BQ154" s="48"/>
      <c r="BR154" s="48"/>
      <c r="BS154" s="48"/>
      <c r="BT154" s="48"/>
      <c r="BU154" s="48"/>
      <c r="BV154" s="48"/>
      <c r="BW154" s="48"/>
      <c r="BX154" s="111"/>
    </row>
    <row r="155" spans="1:76">
      <c r="A155" s="37"/>
      <c r="B155" s="37"/>
      <c r="C155" s="37"/>
      <c r="D155" s="37" t="s">
        <v>695</v>
      </c>
      <c r="E155" s="37"/>
      <c r="F155" s="39"/>
      <c r="G155" s="59"/>
      <c r="H155" s="59"/>
      <c r="I155" s="59"/>
      <c r="J155" s="59"/>
      <c r="K155" s="59"/>
      <c r="L155" s="59"/>
      <c r="M155" s="59"/>
      <c r="N155" s="60"/>
      <c r="O155" s="36"/>
      <c r="P155" s="48"/>
      <c r="Q155" s="48"/>
      <c r="R155" s="48"/>
      <c r="S155" s="48"/>
      <c r="T155" s="48"/>
      <c r="U155" s="48"/>
      <c r="V155" s="48"/>
      <c r="W155" s="48"/>
      <c r="X155" s="48"/>
      <c r="Y155" s="48"/>
      <c r="Z155" s="48"/>
      <c r="AA155" s="48"/>
      <c r="AB155" s="48"/>
      <c r="AC155" s="48"/>
      <c r="AD155" s="48"/>
      <c r="AE155" s="48"/>
      <c r="AF155" s="48"/>
      <c r="AG155" s="48"/>
      <c r="AH155" s="48"/>
      <c r="AI155" s="48"/>
      <c r="AJ155" s="48"/>
      <c r="AK155" s="48"/>
      <c r="AL155" s="48"/>
      <c r="AM155" s="48"/>
      <c r="AN155" s="48"/>
      <c r="AO155" s="48"/>
      <c r="AP155" s="48"/>
      <c r="AQ155" s="48"/>
      <c r="AR155" s="48"/>
      <c r="AS155" s="48"/>
      <c r="AT155" s="48"/>
      <c r="AU155" s="48"/>
      <c r="AV155" s="48"/>
      <c r="AW155" s="48"/>
      <c r="AX155" s="48"/>
      <c r="AY155" s="48"/>
      <c r="AZ155" s="48"/>
      <c r="BA155" s="48"/>
      <c r="BB155" s="48"/>
      <c r="BC155" s="48"/>
      <c r="BD155" s="48"/>
      <c r="BE155" s="48"/>
      <c r="BF155" s="48"/>
      <c r="BG155" s="48"/>
      <c r="BH155" s="48"/>
      <c r="BI155" s="48"/>
      <c r="BJ155" s="48"/>
      <c r="BK155" s="48"/>
      <c r="BL155" s="48"/>
      <c r="BM155" s="48"/>
      <c r="BN155" s="48"/>
      <c r="BO155" s="48"/>
      <c r="BP155" s="48"/>
      <c r="BQ155" s="48"/>
      <c r="BR155" s="48"/>
      <c r="BS155" s="48"/>
      <c r="BT155" s="48"/>
      <c r="BU155" s="48"/>
      <c r="BV155" s="48"/>
      <c r="BW155" s="48"/>
      <c r="BX155" s="111"/>
    </row>
    <row r="156" spans="1:76">
      <c r="A156" s="37"/>
      <c r="B156" s="37"/>
      <c r="C156" s="37" t="s">
        <v>576</v>
      </c>
      <c r="D156" s="37"/>
      <c r="E156" s="37"/>
      <c r="F156" s="39"/>
      <c r="G156" s="59"/>
      <c r="H156" s="59"/>
      <c r="I156" s="59"/>
      <c r="J156" s="59"/>
      <c r="K156" s="59"/>
      <c r="L156" s="59"/>
      <c r="M156" s="59"/>
      <c r="N156" s="60"/>
      <c r="O156" s="36"/>
      <c r="P156" s="48"/>
      <c r="Q156" s="48"/>
      <c r="R156" s="48"/>
      <c r="S156" s="48"/>
      <c r="T156" s="48"/>
      <c r="U156" s="48"/>
      <c r="V156" s="48"/>
      <c r="W156" s="48"/>
      <c r="X156" s="48"/>
      <c r="Y156" s="48"/>
      <c r="Z156" s="48"/>
      <c r="AA156" s="48"/>
      <c r="AB156" s="48"/>
      <c r="AC156" s="48"/>
      <c r="AD156" s="48"/>
      <c r="AE156" s="48"/>
      <c r="AF156" s="48"/>
      <c r="AG156" s="48"/>
      <c r="AH156" s="48"/>
      <c r="AI156" s="48"/>
      <c r="AJ156" s="48"/>
      <c r="AK156" s="48"/>
      <c r="AL156" s="48"/>
      <c r="AM156" s="48"/>
      <c r="AN156" s="48"/>
      <c r="AO156" s="48"/>
      <c r="AP156" s="48"/>
      <c r="AQ156" s="48"/>
      <c r="AR156" s="48"/>
      <c r="AS156" s="48"/>
      <c r="AT156" s="48"/>
      <c r="AU156" s="48"/>
      <c r="AV156" s="48"/>
      <c r="AW156" s="48"/>
      <c r="AX156" s="48"/>
      <c r="AY156" s="48"/>
      <c r="AZ156" s="48"/>
      <c r="BA156" s="48"/>
      <c r="BB156" s="48"/>
      <c r="BC156" s="48"/>
      <c r="BD156" s="48"/>
      <c r="BE156" s="48"/>
      <c r="BF156" s="48"/>
      <c r="BG156" s="48"/>
      <c r="BH156" s="48"/>
      <c r="BI156" s="48"/>
      <c r="BJ156" s="48"/>
      <c r="BK156" s="48"/>
      <c r="BL156" s="48"/>
      <c r="BM156" s="48"/>
      <c r="BN156" s="48"/>
      <c r="BO156" s="48"/>
      <c r="BP156" s="48"/>
      <c r="BQ156" s="48"/>
      <c r="BR156" s="48"/>
      <c r="BS156" s="48"/>
      <c r="BT156" s="48"/>
      <c r="BU156" s="48"/>
      <c r="BV156" s="48"/>
      <c r="BW156" s="48"/>
      <c r="BX156" s="111"/>
    </row>
    <row r="157" spans="1:76">
      <c r="A157" s="37"/>
      <c r="B157" s="37"/>
      <c r="C157" s="37" t="s">
        <v>845</v>
      </c>
      <c r="D157" s="37"/>
      <c r="E157" s="37"/>
      <c r="F157" s="39"/>
      <c r="G157" s="59"/>
      <c r="H157" s="59"/>
      <c r="I157" s="59"/>
      <c r="J157" s="59"/>
      <c r="K157" s="59"/>
      <c r="L157" s="59"/>
      <c r="M157" s="59"/>
      <c r="N157" s="60"/>
      <c r="O157" s="36"/>
      <c r="P157" s="48"/>
      <c r="Q157" s="48"/>
      <c r="R157" s="48"/>
      <c r="S157" s="48"/>
      <c r="T157" s="48"/>
      <c r="U157" s="48"/>
      <c r="V157" s="48"/>
      <c r="W157" s="48"/>
      <c r="X157" s="48"/>
      <c r="Y157" s="48"/>
      <c r="Z157" s="48"/>
      <c r="AA157" s="48"/>
      <c r="AB157" s="48"/>
      <c r="AC157" s="48"/>
      <c r="AD157" s="48"/>
      <c r="AE157" s="48"/>
      <c r="AF157" s="48"/>
      <c r="AG157" s="48"/>
      <c r="AH157" s="48"/>
      <c r="AI157" s="48"/>
      <c r="AJ157" s="48"/>
      <c r="AK157" s="48"/>
      <c r="AL157" s="48"/>
      <c r="AM157" s="48"/>
      <c r="AN157" s="48"/>
      <c r="AO157" s="48"/>
      <c r="AP157" s="48"/>
      <c r="AQ157" s="48"/>
      <c r="AR157" s="48"/>
      <c r="AS157" s="48"/>
      <c r="AT157" s="48"/>
      <c r="AU157" s="48"/>
      <c r="AV157" s="48"/>
      <c r="AW157" s="48"/>
      <c r="AX157" s="48"/>
      <c r="AY157" s="48"/>
      <c r="AZ157" s="48"/>
      <c r="BA157" s="48"/>
      <c r="BB157" s="48"/>
      <c r="BC157" s="48"/>
      <c r="BD157" s="48"/>
      <c r="BE157" s="48"/>
      <c r="BF157" s="48"/>
      <c r="BG157" s="48"/>
      <c r="BH157" s="48"/>
      <c r="BI157" s="48"/>
      <c r="BJ157" s="48"/>
      <c r="BK157" s="48"/>
      <c r="BL157" s="48"/>
      <c r="BM157" s="48"/>
      <c r="BN157" s="48"/>
      <c r="BO157" s="48"/>
      <c r="BP157" s="48"/>
      <c r="BQ157" s="48"/>
      <c r="BR157" s="48"/>
      <c r="BS157" s="48"/>
      <c r="BT157" s="48"/>
      <c r="BU157" s="48"/>
      <c r="BV157" s="48"/>
      <c r="BW157" s="48"/>
      <c r="BX157" s="111"/>
    </row>
    <row r="158" spans="1:76">
      <c r="A158" s="37"/>
      <c r="B158" s="37"/>
      <c r="C158" s="37" t="s">
        <v>846</v>
      </c>
      <c r="D158" s="37"/>
      <c r="E158" s="37"/>
      <c r="F158" s="39"/>
      <c r="G158" s="59"/>
      <c r="H158" s="59"/>
      <c r="I158" s="59"/>
      <c r="J158" s="59"/>
      <c r="K158" s="59"/>
      <c r="L158" s="59"/>
      <c r="M158" s="59"/>
      <c r="N158" s="60"/>
      <c r="O158" s="36"/>
      <c r="P158" s="48"/>
      <c r="Q158" s="48"/>
      <c r="R158" s="48"/>
      <c r="S158" s="48"/>
      <c r="T158" s="48"/>
      <c r="U158" s="48"/>
      <c r="V158" s="48"/>
      <c r="W158" s="48"/>
      <c r="X158" s="48"/>
      <c r="Y158" s="48"/>
      <c r="Z158" s="48"/>
      <c r="AA158" s="48"/>
      <c r="AB158" s="48"/>
      <c r="AC158" s="48"/>
      <c r="AD158" s="48"/>
      <c r="AE158" s="48"/>
      <c r="AF158" s="48"/>
      <c r="AG158" s="48"/>
      <c r="AH158" s="48"/>
      <c r="AI158" s="48"/>
      <c r="AJ158" s="48"/>
      <c r="AK158" s="48"/>
      <c r="AL158" s="48"/>
      <c r="AM158" s="48"/>
      <c r="AN158" s="48"/>
      <c r="AO158" s="48"/>
      <c r="AP158" s="48"/>
      <c r="AQ158" s="48"/>
      <c r="AR158" s="48"/>
      <c r="AS158" s="48"/>
      <c r="AT158" s="48"/>
      <c r="AU158" s="48"/>
      <c r="AV158" s="48"/>
      <c r="AW158" s="48"/>
      <c r="AX158" s="48"/>
      <c r="AY158" s="48"/>
      <c r="AZ158" s="48"/>
      <c r="BA158" s="48"/>
      <c r="BB158" s="48"/>
      <c r="BC158" s="48"/>
      <c r="BD158" s="48"/>
      <c r="BE158" s="48"/>
      <c r="BF158" s="48"/>
      <c r="BG158" s="48"/>
      <c r="BH158" s="48"/>
      <c r="BI158" s="48"/>
      <c r="BJ158" s="48"/>
      <c r="BK158" s="48"/>
      <c r="BL158" s="48"/>
      <c r="BM158" s="48"/>
      <c r="BN158" s="48"/>
      <c r="BO158" s="48"/>
      <c r="BP158" s="48"/>
      <c r="BQ158" s="48"/>
      <c r="BR158" s="48"/>
      <c r="BS158" s="48"/>
      <c r="BT158" s="48"/>
      <c r="BU158" s="48"/>
      <c r="BV158" s="48"/>
      <c r="BW158" s="48"/>
      <c r="BX158" s="111"/>
    </row>
    <row r="159" spans="1:76">
      <c r="A159" s="37"/>
      <c r="B159" s="37"/>
      <c r="C159" s="37" t="s">
        <v>1665</v>
      </c>
      <c r="D159" s="37"/>
      <c r="E159" s="37"/>
      <c r="F159" s="39"/>
      <c r="G159" s="59"/>
      <c r="H159" s="59"/>
      <c r="I159" s="59"/>
      <c r="J159" s="59"/>
      <c r="K159" s="59"/>
      <c r="L159" s="59"/>
      <c r="M159" s="59"/>
      <c r="N159" s="60"/>
      <c r="O159" s="36"/>
      <c r="P159" s="48"/>
      <c r="Q159" s="48"/>
      <c r="R159" s="48"/>
      <c r="S159" s="48"/>
      <c r="T159" s="48"/>
      <c r="U159" s="48"/>
      <c r="V159" s="48"/>
      <c r="W159" s="48"/>
      <c r="X159" s="48"/>
      <c r="Y159" s="48"/>
      <c r="Z159" s="48"/>
      <c r="AA159" s="48"/>
      <c r="AB159" s="48"/>
      <c r="AC159" s="48"/>
      <c r="AD159" s="48"/>
      <c r="AE159" s="48"/>
      <c r="AF159" s="48"/>
      <c r="AG159" s="48"/>
      <c r="AH159" s="48"/>
      <c r="AI159" s="48"/>
      <c r="AJ159" s="48"/>
      <c r="AK159" s="48"/>
      <c r="AL159" s="48"/>
      <c r="AM159" s="48"/>
      <c r="AN159" s="48"/>
      <c r="AO159" s="48"/>
      <c r="AP159" s="48"/>
      <c r="AQ159" s="48"/>
      <c r="AR159" s="48"/>
      <c r="AS159" s="48"/>
      <c r="AT159" s="48"/>
      <c r="AU159" s="48"/>
      <c r="AV159" s="48"/>
      <c r="AW159" s="48"/>
      <c r="AX159" s="48"/>
      <c r="AY159" s="48"/>
      <c r="AZ159" s="48"/>
      <c r="BA159" s="48"/>
      <c r="BB159" s="48"/>
      <c r="BC159" s="48"/>
      <c r="BD159" s="48"/>
      <c r="BE159" s="48"/>
      <c r="BF159" s="48"/>
      <c r="BG159" s="48"/>
      <c r="BH159" s="48"/>
      <c r="BI159" s="48"/>
      <c r="BJ159" s="48"/>
      <c r="BK159" s="48"/>
      <c r="BL159" s="48"/>
      <c r="BM159" s="48"/>
      <c r="BN159" s="48"/>
      <c r="BO159" s="48"/>
      <c r="BP159" s="48"/>
      <c r="BQ159" s="48"/>
      <c r="BR159" s="48"/>
      <c r="BS159" s="48"/>
      <c r="BT159" s="48"/>
      <c r="BU159" s="48"/>
      <c r="BV159" s="48"/>
      <c r="BW159" s="48"/>
      <c r="BX159" s="111"/>
    </row>
    <row r="160" spans="1:76">
      <c r="A160" s="37"/>
      <c r="B160" s="37"/>
      <c r="C160" s="37" t="s">
        <v>841</v>
      </c>
      <c r="D160" s="37"/>
      <c r="E160" s="37"/>
      <c r="F160" s="39"/>
      <c r="G160" s="59">
        <f>1116+69+1019</f>
        <v>2204</v>
      </c>
      <c r="H160" s="59">
        <v>2030</v>
      </c>
      <c r="I160" s="59">
        <v>2313</v>
      </c>
      <c r="J160" s="59">
        <v>2433</v>
      </c>
      <c r="K160" s="59">
        <v>2365</v>
      </c>
      <c r="L160" s="59">
        <v>2350</v>
      </c>
      <c r="M160" s="59">
        <f>2392+340</f>
        <v>2732</v>
      </c>
      <c r="N160" s="60">
        <f>2519+488</f>
        <v>3007</v>
      </c>
      <c r="O160" s="36"/>
      <c r="P160" s="48"/>
      <c r="Q160" s="48"/>
      <c r="R160" s="48"/>
      <c r="S160" s="48"/>
      <c r="T160" s="48"/>
      <c r="U160" s="48"/>
      <c r="V160" s="48"/>
      <c r="W160" s="48"/>
      <c r="X160" s="48"/>
      <c r="Y160" s="48"/>
      <c r="Z160" s="48"/>
      <c r="AA160" s="48"/>
      <c r="AB160" s="48"/>
      <c r="AC160" s="48"/>
      <c r="AD160" s="48"/>
      <c r="AE160" s="48"/>
      <c r="AF160" s="48"/>
      <c r="AG160" s="48"/>
      <c r="AH160" s="48"/>
      <c r="AI160" s="48"/>
      <c r="AJ160" s="48"/>
      <c r="AK160" s="48"/>
      <c r="AL160" s="48"/>
      <c r="AM160" s="48"/>
      <c r="AN160" s="48"/>
      <c r="AO160" s="48"/>
      <c r="AP160" s="48"/>
      <c r="AQ160" s="48"/>
      <c r="AR160" s="48"/>
      <c r="AS160" s="48"/>
      <c r="AT160" s="48"/>
      <c r="AU160" s="48"/>
      <c r="AV160" s="48"/>
      <c r="AW160" s="48"/>
      <c r="AX160" s="48"/>
      <c r="AY160" s="48"/>
      <c r="AZ160" s="48"/>
      <c r="BA160" s="48"/>
      <c r="BB160" s="48"/>
      <c r="BC160" s="48"/>
      <c r="BD160" s="48"/>
      <c r="BE160" s="48"/>
      <c r="BF160" s="48"/>
      <c r="BG160" s="48"/>
      <c r="BH160" s="48"/>
      <c r="BI160" s="48"/>
      <c r="BJ160" s="48"/>
      <c r="BK160" s="48"/>
      <c r="BL160" s="48"/>
      <c r="BM160" s="48"/>
      <c r="BN160" s="48"/>
      <c r="BO160" s="48"/>
      <c r="BP160" s="48"/>
      <c r="BQ160" s="48"/>
      <c r="BR160" s="48"/>
      <c r="BS160" s="48"/>
      <c r="BT160" s="48"/>
      <c r="BU160" s="48"/>
      <c r="BV160" s="48"/>
      <c r="BW160" s="48"/>
      <c r="BX160" s="111"/>
    </row>
    <row r="161" spans="1:76">
      <c r="A161" s="37"/>
      <c r="B161" s="37"/>
      <c r="C161" s="37" t="s">
        <v>466</v>
      </c>
      <c r="D161" s="37"/>
      <c r="E161" s="37"/>
      <c r="F161" s="39"/>
      <c r="G161" s="39">
        <f t="shared" ref="G161:N161" si="19">IF(AND(OR(ISTEXT(G162), ISBLANK(G162)),OR(ISTEXT(G164), ISBLANK(G164)),TRUE),"", +IF(ISTEXT(G162), 0,G162)+IF(ISTEXT(G164), 0,G164))</f>
        <v>66</v>
      </c>
      <c r="H161" s="39">
        <f t="shared" si="19"/>
        <v>210</v>
      </c>
      <c r="I161" s="39">
        <f t="shared" si="19"/>
        <v>220</v>
      </c>
      <c r="J161" s="39">
        <f t="shared" si="19"/>
        <v>403</v>
      </c>
      <c r="K161" s="39">
        <f t="shared" si="19"/>
        <v>411</v>
      </c>
      <c r="L161" s="39">
        <f t="shared" si="19"/>
        <v>426</v>
      </c>
      <c r="M161" s="39">
        <f t="shared" si="19"/>
        <v>200</v>
      </c>
      <c r="N161" s="48">
        <f t="shared" si="19"/>
        <v>331</v>
      </c>
      <c r="O161" s="36"/>
      <c r="P161" s="48"/>
      <c r="Q161" s="48"/>
      <c r="R161" s="48"/>
      <c r="S161" s="48"/>
      <c r="T161" s="48"/>
      <c r="U161" s="48"/>
      <c r="V161" s="48"/>
      <c r="W161" s="48"/>
      <c r="X161" s="48"/>
      <c r="Y161" s="48"/>
      <c r="Z161" s="48"/>
      <c r="AA161" s="48"/>
      <c r="AB161" s="48"/>
      <c r="AC161" s="48"/>
      <c r="AD161" s="48"/>
      <c r="AE161" s="48"/>
      <c r="AF161" s="48"/>
      <c r="AG161" s="48"/>
      <c r="AH161" s="48"/>
      <c r="AI161" s="48"/>
      <c r="AJ161" s="48"/>
      <c r="AK161" s="48"/>
      <c r="AL161" s="48"/>
      <c r="AM161" s="48"/>
      <c r="AN161" s="48"/>
      <c r="AO161" s="48"/>
      <c r="AP161" s="48"/>
      <c r="AQ161" s="48"/>
      <c r="AR161" s="48"/>
      <c r="AS161" s="48"/>
      <c r="AT161" s="48"/>
      <c r="AU161" s="48"/>
      <c r="AV161" s="48"/>
      <c r="AW161" s="48"/>
      <c r="AX161" s="48"/>
      <c r="AY161" s="48"/>
      <c r="AZ161" s="48"/>
      <c r="BA161" s="48"/>
      <c r="BB161" s="48"/>
      <c r="BC161" s="48"/>
      <c r="BD161" s="48"/>
      <c r="BE161" s="48"/>
      <c r="BF161" s="48"/>
      <c r="BG161" s="48"/>
      <c r="BH161" s="48"/>
      <c r="BI161" s="48"/>
      <c r="BJ161" s="48"/>
      <c r="BK161" s="48"/>
      <c r="BL161" s="48"/>
      <c r="BM161" s="48"/>
      <c r="BN161" s="48"/>
      <c r="BO161" s="48"/>
      <c r="BP161" s="48"/>
      <c r="BQ161" s="48"/>
      <c r="BR161" s="48"/>
      <c r="BS161" s="48"/>
      <c r="BT161" s="48"/>
      <c r="BU161" s="48"/>
      <c r="BV161" s="48"/>
      <c r="BW161" s="48"/>
      <c r="BX161" s="111"/>
    </row>
    <row r="162" spans="1:76">
      <c r="A162" s="37"/>
      <c r="B162" s="37"/>
      <c r="C162" s="37"/>
      <c r="D162" s="37" t="s">
        <v>1433</v>
      </c>
      <c r="E162" s="37"/>
      <c r="F162" s="39"/>
      <c r="G162" s="39" t="str">
        <f t="shared" ref="G162:N162" si="20">IF(AND(OR(ISTEXT(G163), ISBLANK(G163)),TRUE),"", +IF(ISTEXT(G163), 0,G163))</f>
        <v/>
      </c>
      <c r="H162" s="39" t="str">
        <f t="shared" si="20"/>
        <v/>
      </c>
      <c r="I162" s="39" t="str">
        <f t="shared" si="20"/>
        <v/>
      </c>
      <c r="J162" s="39" t="str">
        <f t="shared" si="20"/>
        <v/>
      </c>
      <c r="K162" s="39" t="str">
        <f t="shared" si="20"/>
        <v/>
      </c>
      <c r="L162" s="39">
        <f t="shared" si="20"/>
        <v>105</v>
      </c>
      <c r="M162" s="39">
        <f t="shared" si="20"/>
        <v>110</v>
      </c>
      <c r="N162" s="48">
        <f t="shared" si="20"/>
        <v>120</v>
      </c>
      <c r="O162" s="36"/>
      <c r="P162" s="48"/>
      <c r="Q162" s="48"/>
      <c r="R162" s="48"/>
      <c r="S162" s="48"/>
      <c r="T162" s="48"/>
      <c r="U162" s="48"/>
      <c r="V162" s="48"/>
      <c r="W162" s="48"/>
      <c r="X162" s="48"/>
      <c r="Y162" s="48"/>
      <c r="Z162" s="48"/>
      <c r="AA162" s="48"/>
      <c r="AB162" s="48"/>
      <c r="AC162" s="48"/>
      <c r="AD162" s="48"/>
      <c r="AE162" s="48"/>
      <c r="AF162" s="48"/>
      <c r="AG162" s="48"/>
      <c r="AH162" s="48"/>
      <c r="AI162" s="48"/>
      <c r="AJ162" s="48"/>
      <c r="AK162" s="48"/>
      <c r="AL162" s="48"/>
      <c r="AM162" s="48"/>
      <c r="AN162" s="48"/>
      <c r="AO162" s="48"/>
      <c r="AP162" s="48"/>
      <c r="AQ162" s="48"/>
      <c r="AR162" s="48"/>
      <c r="AS162" s="48"/>
      <c r="AT162" s="48"/>
      <c r="AU162" s="48"/>
      <c r="AV162" s="48"/>
      <c r="AW162" s="48"/>
      <c r="AX162" s="48"/>
      <c r="AY162" s="48"/>
      <c r="AZ162" s="48"/>
      <c r="BA162" s="48"/>
      <c r="BB162" s="48"/>
      <c r="BC162" s="48"/>
      <c r="BD162" s="48"/>
      <c r="BE162" s="48"/>
      <c r="BF162" s="48"/>
      <c r="BG162" s="48"/>
      <c r="BH162" s="48"/>
      <c r="BI162" s="48"/>
      <c r="BJ162" s="48"/>
      <c r="BK162" s="48"/>
      <c r="BL162" s="48"/>
      <c r="BM162" s="48"/>
      <c r="BN162" s="48"/>
      <c r="BO162" s="48"/>
      <c r="BP162" s="48"/>
      <c r="BQ162" s="48"/>
      <c r="BR162" s="48"/>
      <c r="BS162" s="48"/>
      <c r="BT162" s="48"/>
      <c r="BU162" s="48"/>
      <c r="BV162" s="48"/>
      <c r="BW162" s="48"/>
      <c r="BX162" s="111"/>
    </row>
    <row r="163" spans="1:76">
      <c r="A163" s="37"/>
      <c r="B163" s="37"/>
      <c r="C163" s="37"/>
      <c r="D163" s="37"/>
      <c r="E163" s="37" t="s">
        <v>1434</v>
      </c>
      <c r="F163" s="61"/>
      <c r="G163" s="59"/>
      <c r="H163" s="59"/>
      <c r="I163" s="59"/>
      <c r="J163" s="59"/>
      <c r="K163" s="59"/>
      <c r="L163" s="59">
        <v>105</v>
      </c>
      <c r="M163" s="59">
        <v>110</v>
      </c>
      <c r="N163" s="60">
        <v>120</v>
      </c>
      <c r="O163" s="58"/>
      <c r="P163" s="48"/>
      <c r="Q163" s="48"/>
      <c r="R163" s="48"/>
      <c r="S163" s="48"/>
      <c r="T163" s="48"/>
      <c r="U163" s="48"/>
      <c r="V163" s="48"/>
      <c r="W163" s="48"/>
      <c r="X163" s="48"/>
      <c r="Y163" s="48"/>
      <c r="Z163" s="48"/>
      <c r="AA163" s="48"/>
      <c r="AB163" s="48"/>
      <c r="AC163" s="48"/>
      <c r="AD163" s="48"/>
      <c r="AE163" s="48"/>
      <c r="AF163" s="48"/>
      <c r="AG163" s="48"/>
      <c r="AH163" s="48"/>
      <c r="AI163" s="48"/>
      <c r="AJ163" s="48"/>
      <c r="AK163" s="48"/>
      <c r="AL163" s="48"/>
      <c r="AM163" s="48"/>
      <c r="AN163" s="48"/>
      <c r="AO163" s="48"/>
      <c r="AP163" s="48"/>
      <c r="AQ163" s="48"/>
      <c r="AR163" s="48"/>
      <c r="AS163" s="48"/>
      <c r="AT163" s="48"/>
      <c r="AU163" s="48"/>
      <c r="AV163" s="48"/>
      <c r="AW163" s="48"/>
      <c r="AX163" s="48"/>
      <c r="AY163" s="48"/>
      <c r="AZ163" s="48"/>
      <c r="BA163" s="48"/>
      <c r="BB163" s="48"/>
      <c r="BC163" s="48"/>
      <c r="BD163" s="48"/>
      <c r="BE163" s="48"/>
      <c r="BF163" s="48"/>
      <c r="BG163" s="48"/>
      <c r="BH163" s="48"/>
      <c r="BI163" s="48"/>
      <c r="BJ163" s="48"/>
      <c r="BK163" s="48"/>
      <c r="BL163" s="48"/>
      <c r="BM163" s="48"/>
      <c r="BN163" s="48"/>
      <c r="BO163" s="48"/>
      <c r="BP163" s="48"/>
      <c r="BQ163" s="48"/>
      <c r="BR163" s="48"/>
      <c r="BS163" s="48"/>
      <c r="BT163" s="48"/>
      <c r="BU163" s="48"/>
      <c r="BV163" s="48"/>
      <c r="BW163" s="48"/>
      <c r="BX163" s="111"/>
    </row>
    <row r="164" spans="1:76">
      <c r="A164" s="37"/>
      <c r="B164" s="37"/>
      <c r="C164" s="37"/>
      <c r="D164" s="37" t="s">
        <v>1435</v>
      </c>
      <c r="E164" s="37"/>
      <c r="F164" s="39"/>
      <c r="G164" s="59">
        <v>66</v>
      </c>
      <c r="H164" s="59">
        <v>210</v>
      </c>
      <c r="I164" s="59">
        <v>220</v>
      </c>
      <c r="J164" s="59">
        <v>403</v>
      </c>
      <c r="K164" s="59">
        <v>411</v>
      </c>
      <c r="L164" s="59">
        <f>426-L163</f>
        <v>321</v>
      </c>
      <c r="M164" s="59">
        <f>200-M163</f>
        <v>90</v>
      </c>
      <c r="N164" s="60">
        <f>331-N163</f>
        <v>211</v>
      </c>
      <c r="O164" s="36"/>
      <c r="P164" s="48"/>
      <c r="Q164" s="48"/>
      <c r="R164" s="48"/>
      <c r="S164" s="48"/>
      <c r="T164" s="48"/>
      <c r="U164" s="48"/>
      <c r="V164" s="48"/>
      <c r="W164" s="48"/>
      <c r="X164" s="48"/>
      <c r="Y164" s="48"/>
      <c r="Z164" s="48"/>
      <c r="AA164" s="48"/>
      <c r="AB164" s="48"/>
      <c r="AC164" s="48"/>
      <c r="AD164" s="48"/>
      <c r="AE164" s="48"/>
      <c r="AF164" s="48"/>
      <c r="AG164" s="48"/>
      <c r="AH164" s="48"/>
      <c r="AI164" s="48"/>
      <c r="AJ164" s="48"/>
      <c r="AK164" s="48"/>
      <c r="AL164" s="48"/>
      <c r="AM164" s="48"/>
      <c r="AN164" s="48"/>
      <c r="AO164" s="48"/>
      <c r="AP164" s="48"/>
      <c r="AQ164" s="48"/>
      <c r="AR164" s="48"/>
      <c r="AS164" s="48"/>
      <c r="AT164" s="48"/>
      <c r="AU164" s="48"/>
      <c r="AV164" s="48"/>
      <c r="AW164" s="48"/>
      <c r="AX164" s="48"/>
      <c r="AY164" s="48"/>
      <c r="AZ164" s="48"/>
      <c r="BA164" s="48"/>
      <c r="BB164" s="48"/>
      <c r="BC164" s="48"/>
      <c r="BD164" s="48"/>
      <c r="BE164" s="48"/>
      <c r="BF164" s="48"/>
      <c r="BG164" s="48"/>
      <c r="BH164" s="48"/>
      <c r="BI164" s="48"/>
      <c r="BJ164" s="48"/>
      <c r="BK164" s="48"/>
      <c r="BL164" s="48"/>
      <c r="BM164" s="48"/>
      <c r="BN164" s="48"/>
      <c r="BO164" s="48"/>
      <c r="BP164" s="48"/>
      <c r="BQ164" s="48"/>
      <c r="BR164" s="48"/>
      <c r="BS164" s="48"/>
      <c r="BT164" s="48"/>
      <c r="BU164" s="48"/>
      <c r="BV164" s="48"/>
      <c r="BW164" s="48"/>
      <c r="BX164" s="111"/>
    </row>
    <row r="165" spans="1:76">
      <c r="A165" s="37"/>
      <c r="B165" s="37"/>
      <c r="C165" s="37" t="s">
        <v>1436</v>
      </c>
      <c r="D165" s="62"/>
      <c r="E165" s="37"/>
      <c r="F165" s="39"/>
      <c r="G165" s="59"/>
      <c r="H165" s="59"/>
      <c r="I165" s="59"/>
      <c r="J165" s="59"/>
      <c r="K165" s="59"/>
      <c r="L165" s="59"/>
      <c r="M165" s="59"/>
      <c r="N165" s="59"/>
      <c r="O165" s="36"/>
      <c r="P165" s="48"/>
      <c r="Q165" s="48"/>
      <c r="R165" s="48"/>
      <c r="S165" s="48"/>
      <c r="T165" s="48"/>
      <c r="U165" s="48"/>
      <c r="V165" s="48"/>
      <c r="W165" s="48"/>
      <c r="X165" s="48"/>
      <c r="Y165" s="48"/>
      <c r="Z165" s="48"/>
      <c r="AA165" s="48"/>
      <c r="AB165" s="48"/>
      <c r="AC165" s="48"/>
      <c r="AD165" s="48"/>
      <c r="AE165" s="48"/>
      <c r="AF165" s="48"/>
      <c r="AG165" s="48"/>
      <c r="AH165" s="48"/>
      <c r="AI165" s="48"/>
      <c r="AJ165" s="48"/>
      <c r="AK165" s="48"/>
      <c r="AL165" s="48"/>
      <c r="AM165" s="48"/>
      <c r="AN165" s="48"/>
      <c r="AO165" s="48"/>
      <c r="AP165" s="48"/>
      <c r="AQ165" s="48"/>
      <c r="AR165" s="48"/>
      <c r="AS165" s="48"/>
      <c r="AT165" s="48"/>
      <c r="AU165" s="48"/>
      <c r="AV165" s="48"/>
      <c r="AW165" s="48"/>
      <c r="AX165" s="48"/>
      <c r="AY165" s="48"/>
      <c r="AZ165" s="48"/>
      <c r="BA165" s="48"/>
      <c r="BB165" s="48"/>
      <c r="BC165" s="48"/>
      <c r="BD165" s="48"/>
      <c r="BE165" s="48"/>
      <c r="BF165" s="48"/>
      <c r="BG165" s="48"/>
      <c r="BH165" s="48"/>
      <c r="BI165" s="48"/>
      <c r="BJ165" s="48"/>
      <c r="BK165" s="48"/>
      <c r="BL165" s="48"/>
      <c r="BM165" s="48"/>
      <c r="BN165" s="48"/>
      <c r="BO165" s="48"/>
      <c r="BP165" s="48"/>
      <c r="BQ165" s="48"/>
      <c r="BR165" s="48"/>
      <c r="BS165" s="48"/>
      <c r="BT165" s="48"/>
      <c r="BU165" s="48"/>
      <c r="BV165" s="48"/>
      <c r="BW165" s="48"/>
      <c r="BX165" s="111"/>
    </row>
    <row r="166" spans="1:76">
      <c r="A166" s="37"/>
      <c r="B166" s="37"/>
      <c r="C166" s="37" t="s">
        <v>1689</v>
      </c>
      <c r="D166" s="37"/>
      <c r="E166" s="37"/>
      <c r="F166" s="39"/>
      <c r="G166" s="59"/>
      <c r="H166" s="59"/>
      <c r="I166" s="59"/>
      <c r="J166" s="59"/>
      <c r="K166" s="59"/>
      <c r="L166" s="59"/>
      <c r="M166" s="59"/>
      <c r="N166" s="60"/>
      <c r="O166" s="36"/>
      <c r="P166" s="48"/>
      <c r="Q166" s="48"/>
      <c r="R166" s="48"/>
      <c r="S166" s="48"/>
      <c r="T166" s="48"/>
      <c r="U166" s="48"/>
      <c r="V166" s="48"/>
      <c r="W166" s="48"/>
      <c r="X166" s="48"/>
      <c r="Y166" s="48"/>
      <c r="Z166" s="48"/>
      <c r="AA166" s="48"/>
      <c r="AB166" s="48"/>
      <c r="AC166" s="48"/>
      <c r="AD166" s="48"/>
      <c r="AE166" s="48"/>
      <c r="AF166" s="48"/>
      <c r="AG166" s="48"/>
      <c r="AH166" s="48"/>
      <c r="AI166" s="48"/>
      <c r="AJ166" s="48"/>
      <c r="AK166" s="48"/>
      <c r="AL166" s="48"/>
      <c r="AM166" s="48"/>
      <c r="AN166" s="48"/>
      <c r="AO166" s="48"/>
      <c r="AP166" s="48"/>
      <c r="AQ166" s="48"/>
      <c r="AR166" s="48"/>
      <c r="AS166" s="48"/>
      <c r="AT166" s="48"/>
      <c r="AU166" s="48"/>
      <c r="AV166" s="48"/>
      <c r="AW166" s="48"/>
      <c r="AX166" s="48"/>
      <c r="AY166" s="48"/>
      <c r="AZ166" s="48"/>
      <c r="BA166" s="48"/>
      <c r="BB166" s="48"/>
      <c r="BC166" s="48"/>
      <c r="BD166" s="48"/>
      <c r="BE166" s="48"/>
      <c r="BF166" s="48"/>
      <c r="BG166" s="48"/>
      <c r="BH166" s="48"/>
      <c r="BI166" s="48"/>
      <c r="BJ166" s="48"/>
      <c r="BK166" s="48"/>
      <c r="BL166" s="48"/>
      <c r="BM166" s="48"/>
      <c r="BN166" s="48"/>
      <c r="BO166" s="48"/>
      <c r="BP166" s="48"/>
      <c r="BQ166" s="48"/>
      <c r="BR166" s="48"/>
      <c r="BS166" s="48"/>
      <c r="BT166" s="48"/>
      <c r="BU166" s="48"/>
      <c r="BV166" s="48"/>
      <c r="BW166" s="48"/>
      <c r="BX166" s="111"/>
    </row>
    <row r="167" spans="1:76">
      <c r="A167" s="37"/>
      <c r="B167" s="37"/>
      <c r="C167" s="37" t="s">
        <v>740</v>
      </c>
      <c r="D167" s="37"/>
      <c r="E167" s="37"/>
      <c r="F167" s="39"/>
      <c r="G167" s="59"/>
      <c r="H167" s="59"/>
      <c r="I167" s="59"/>
      <c r="J167" s="59"/>
      <c r="K167" s="59"/>
      <c r="L167" s="59"/>
      <c r="M167" s="59"/>
      <c r="N167" s="60"/>
      <c r="O167" s="36"/>
      <c r="P167" s="48"/>
      <c r="Q167" s="48"/>
      <c r="R167" s="48"/>
      <c r="S167" s="48"/>
      <c r="T167" s="48"/>
      <c r="U167" s="48"/>
      <c r="V167" s="48"/>
      <c r="W167" s="48"/>
      <c r="X167" s="48"/>
      <c r="Y167" s="48"/>
      <c r="Z167" s="48"/>
      <c r="AA167" s="48"/>
      <c r="AB167" s="48"/>
      <c r="AC167" s="48"/>
      <c r="AD167" s="48"/>
      <c r="AE167" s="48"/>
      <c r="AF167" s="48"/>
      <c r="AG167" s="48"/>
      <c r="AH167" s="48"/>
      <c r="AI167" s="48"/>
      <c r="AJ167" s="48"/>
      <c r="AK167" s="48"/>
      <c r="AL167" s="48"/>
      <c r="AM167" s="48"/>
      <c r="AN167" s="48"/>
      <c r="AO167" s="48"/>
      <c r="AP167" s="48"/>
      <c r="AQ167" s="48"/>
      <c r="AR167" s="48"/>
      <c r="AS167" s="48"/>
      <c r="AT167" s="48"/>
      <c r="AU167" s="48"/>
      <c r="AV167" s="48"/>
      <c r="AW167" s="48"/>
      <c r="AX167" s="48"/>
      <c r="AY167" s="48"/>
      <c r="AZ167" s="48"/>
      <c r="BA167" s="48"/>
      <c r="BB167" s="48"/>
      <c r="BC167" s="48"/>
      <c r="BD167" s="48"/>
      <c r="BE167" s="48"/>
      <c r="BF167" s="48"/>
      <c r="BG167" s="48"/>
      <c r="BH167" s="48"/>
      <c r="BI167" s="48"/>
      <c r="BJ167" s="48"/>
      <c r="BK167" s="48"/>
      <c r="BL167" s="48"/>
      <c r="BM167" s="48"/>
      <c r="BN167" s="48"/>
      <c r="BO167" s="48"/>
      <c r="BP167" s="48"/>
      <c r="BQ167" s="48"/>
      <c r="BR167" s="48"/>
      <c r="BS167" s="48"/>
      <c r="BT167" s="48"/>
      <c r="BU167" s="48"/>
      <c r="BV167" s="48"/>
      <c r="BW167" s="48"/>
      <c r="BX167" s="111"/>
    </row>
    <row r="168" spans="1:76">
      <c r="A168" s="37"/>
      <c r="B168" s="37"/>
      <c r="C168" s="37" t="s">
        <v>741</v>
      </c>
      <c r="D168" s="37"/>
      <c r="E168" s="37"/>
      <c r="F168" s="39"/>
      <c r="G168" s="59"/>
      <c r="H168" s="59"/>
      <c r="I168" s="59"/>
      <c r="J168" s="59"/>
      <c r="K168" s="59"/>
      <c r="L168" s="59"/>
      <c r="M168" s="59"/>
      <c r="N168" s="60"/>
      <c r="O168" s="36"/>
      <c r="P168" s="48"/>
      <c r="Q168" s="48"/>
      <c r="R168" s="48"/>
      <c r="S168" s="48"/>
      <c r="T168" s="48"/>
      <c r="U168" s="48"/>
      <c r="V168" s="48"/>
      <c r="W168" s="48"/>
      <c r="X168" s="48"/>
      <c r="Y168" s="48"/>
      <c r="Z168" s="48"/>
      <c r="AA168" s="48"/>
      <c r="AB168" s="48"/>
      <c r="AC168" s="48"/>
      <c r="AD168" s="48"/>
      <c r="AE168" s="48"/>
      <c r="AF168" s="48"/>
      <c r="AG168" s="48"/>
      <c r="AH168" s="48"/>
      <c r="AI168" s="48"/>
      <c r="AJ168" s="48"/>
      <c r="AK168" s="48"/>
      <c r="AL168" s="48"/>
      <c r="AM168" s="48"/>
      <c r="AN168" s="48"/>
      <c r="AO168" s="48"/>
      <c r="AP168" s="48"/>
      <c r="AQ168" s="48"/>
      <c r="AR168" s="48"/>
      <c r="AS168" s="48"/>
      <c r="AT168" s="48"/>
      <c r="AU168" s="48"/>
      <c r="AV168" s="48"/>
      <c r="AW168" s="48"/>
      <c r="AX168" s="48"/>
      <c r="AY168" s="48"/>
      <c r="AZ168" s="48"/>
      <c r="BA168" s="48"/>
      <c r="BB168" s="48"/>
      <c r="BC168" s="48"/>
      <c r="BD168" s="48"/>
      <c r="BE168" s="48"/>
      <c r="BF168" s="48"/>
      <c r="BG168" s="48"/>
      <c r="BH168" s="48"/>
      <c r="BI168" s="48"/>
      <c r="BJ168" s="48"/>
      <c r="BK168" s="48"/>
      <c r="BL168" s="48"/>
      <c r="BM168" s="48"/>
      <c r="BN168" s="48"/>
      <c r="BO168" s="48"/>
      <c r="BP168" s="48"/>
      <c r="BQ168" s="48"/>
      <c r="BR168" s="48"/>
      <c r="BS168" s="48"/>
      <c r="BT168" s="48"/>
      <c r="BU168" s="48"/>
      <c r="BV168" s="48"/>
      <c r="BW168" s="48"/>
      <c r="BX168" s="111"/>
    </row>
    <row r="169" spans="1:76">
      <c r="A169" s="37"/>
      <c r="B169" s="37"/>
      <c r="C169" s="37" t="s">
        <v>742</v>
      </c>
      <c r="D169" s="37"/>
      <c r="E169" s="37"/>
      <c r="F169" s="39"/>
      <c r="G169" s="59">
        <v>281</v>
      </c>
      <c r="H169" s="59">
        <v>399</v>
      </c>
      <c r="I169" s="59">
        <v>370</v>
      </c>
      <c r="J169" s="59">
        <v>391</v>
      </c>
      <c r="K169" s="59">
        <v>433</v>
      </c>
      <c r="L169" s="59">
        <v>473</v>
      </c>
      <c r="M169" s="59">
        <v>410</v>
      </c>
      <c r="N169" s="60">
        <v>413</v>
      </c>
      <c r="O169" s="36"/>
      <c r="P169" s="48"/>
      <c r="Q169" s="48"/>
      <c r="R169" s="48"/>
      <c r="S169" s="48"/>
      <c r="T169" s="48"/>
      <c r="U169" s="48"/>
      <c r="V169" s="48"/>
      <c r="W169" s="48"/>
      <c r="X169" s="48"/>
      <c r="Y169" s="48"/>
      <c r="Z169" s="48"/>
      <c r="AA169" s="48"/>
      <c r="AB169" s="48"/>
      <c r="AC169" s="48"/>
      <c r="AD169" s="48"/>
      <c r="AE169" s="48"/>
      <c r="AF169" s="48"/>
      <c r="AG169" s="48"/>
      <c r="AH169" s="48"/>
      <c r="AI169" s="48"/>
      <c r="AJ169" s="48"/>
      <c r="AK169" s="48"/>
      <c r="AL169" s="48"/>
      <c r="AM169" s="48"/>
      <c r="AN169" s="48"/>
      <c r="AO169" s="48"/>
      <c r="AP169" s="48"/>
      <c r="AQ169" s="48"/>
      <c r="AR169" s="48"/>
      <c r="AS169" s="48"/>
      <c r="AT169" s="48"/>
      <c r="AU169" s="48"/>
      <c r="AV169" s="48"/>
      <c r="AW169" s="48"/>
      <c r="AX169" s="48"/>
      <c r="AY169" s="48"/>
      <c r="AZ169" s="48"/>
      <c r="BA169" s="48"/>
      <c r="BB169" s="48"/>
      <c r="BC169" s="48"/>
      <c r="BD169" s="48"/>
      <c r="BE169" s="48"/>
      <c r="BF169" s="48"/>
      <c r="BG169" s="48"/>
      <c r="BH169" s="48"/>
      <c r="BI169" s="48"/>
      <c r="BJ169" s="48"/>
      <c r="BK169" s="48"/>
      <c r="BL169" s="48"/>
      <c r="BM169" s="48"/>
      <c r="BN169" s="48"/>
      <c r="BO169" s="48"/>
      <c r="BP169" s="48"/>
      <c r="BQ169" s="48"/>
      <c r="BR169" s="48"/>
      <c r="BS169" s="48"/>
      <c r="BT169" s="48"/>
      <c r="BU169" s="48"/>
      <c r="BV169" s="48"/>
      <c r="BW169" s="48"/>
      <c r="BX169" s="111"/>
    </row>
    <row r="170" spans="1:76">
      <c r="A170" s="37"/>
      <c r="B170" s="37"/>
      <c r="C170" s="37" t="s">
        <v>743</v>
      </c>
      <c r="D170" s="37"/>
      <c r="E170" s="37"/>
      <c r="F170" s="39"/>
      <c r="G170" s="63" t="str">
        <f>IF(AND(OR(ISTEXT(G171), ISBLANK(G171)),OR(ISTEXT(G172), ISBLANK(G172)),TRUE),"", +IF(ISTEXT(G171), 0,G171)+IF(ISTEXT(G172), 0,G172))</f>
        <v/>
      </c>
      <c r="H170" s="63" t="str">
        <f>IF(AND(OR(ISTEXT(H171), ISBLANK(H171)),OR(ISTEXT(H172), ISBLANK(H172)),TRUE),"", +IF(ISTEXT(H171), 0,H171)+IF(ISTEXT(H172), 0,H172))</f>
        <v/>
      </c>
      <c r="I170" s="63">
        <v>82</v>
      </c>
      <c r="J170" s="63">
        <f>90</f>
        <v>90</v>
      </c>
      <c r="K170" s="63">
        <f>93-K174</f>
        <v>81</v>
      </c>
      <c r="L170" s="39"/>
      <c r="M170" s="39" t="str">
        <f>IF(AND(OR(ISTEXT(M171), ISBLANK(M171)),OR(ISTEXT(M172), ISBLANK(M172)),TRUE),"", +IF(ISTEXT(M171), 0,M171)+IF(ISTEXT(M172), 0,M172))</f>
        <v/>
      </c>
      <c r="N170" s="39" t="str">
        <f>IF(AND(OR(ISTEXT(N171), ISBLANK(N171)),OR(ISTEXT(N172), ISBLANK(N172)),TRUE),"", +IF(ISTEXT(N171), 0,N171)+IF(ISTEXT(N172), 0,N172))</f>
        <v/>
      </c>
      <c r="O170" s="36"/>
      <c r="P170" s="48"/>
      <c r="Q170" s="48"/>
      <c r="R170" s="48"/>
      <c r="S170" s="48"/>
      <c r="T170" s="48"/>
      <c r="U170" s="48"/>
      <c r="V170" s="48"/>
      <c r="W170" s="48"/>
      <c r="X170" s="48"/>
      <c r="Y170" s="48"/>
      <c r="Z170" s="48"/>
      <c r="AA170" s="48"/>
      <c r="AB170" s="48"/>
      <c r="AC170" s="48"/>
      <c r="AD170" s="48"/>
      <c r="AE170" s="48"/>
      <c r="AF170" s="48"/>
      <c r="AG170" s="48"/>
      <c r="AH170" s="48"/>
      <c r="AI170" s="48"/>
      <c r="AJ170" s="48"/>
      <c r="AK170" s="48"/>
      <c r="AL170" s="48"/>
      <c r="AM170" s="48"/>
      <c r="AN170" s="48"/>
      <c r="AO170" s="48"/>
      <c r="AP170" s="48"/>
      <c r="AQ170" s="48"/>
      <c r="AR170" s="48"/>
      <c r="AS170" s="48"/>
      <c r="AT170" s="48"/>
      <c r="AU170" s="48"/>
      <c r="AV170" s="48"/>
      <c r="AW170" s="48"/>
      <c r="AX170" s="48"/>
      <c r="AY170" s="48"/>
      <c r="AZ170" s="48"/>
      <c r="BA170" s="48"/>
      <c r="BB170" s="48"/>
      <c r="BC170" s="48"/>
      <c r="BD170" s="48"/>
      <c r="BE170" s="48"/>
      <c r="BF170" s="48"/>
      <c r="BG170" s="48"/>
      <c r="BH170" s="48"/>
      <c r="BI170" s="48"/>
      <c r="BJ170" s="48"/>
      <c r="BK170" s="48"/>
      <c r="BL170" s="48"/>
      <c r="BM170" s="48"/>
      <c r="BN170" s="48"/>
      <c r="BO170" s="48"/>
      <c r="BP170" s="48"/>
      <c r="BQ170" s="48"/>
      <c r="BR170" s="48"/>
      <c r="BS170" s="48"/>
      <c r="BT170" s="48"/>
      <c r="BU170" s="48"/>
      <c r="BV170" s="48"/>
      <c r="BW170" s="48"/>
      <c r="BX170" s="111"/>
    </row>
    <row r="171" spans="1:76">
      <c r="A171" s="37"/>
      <c r="B171" s="37"/>
      <c r="C171" s="37"/>
      <c r="D171" s="37" t="s">
        <v>2130</v>
      </c>
      <c r="E171" s="37"/>
      <c r="F171" s="39"/>
      <c r="G171" s="59"/>
      <c r="H171" s="59"/>
      <c r="I171" s="59"/>
      <c r="J171" s="59"/>
      <c r="K171" s="59"/>
      <c r="L171" s="59"/>
      <c r="M171" s="59"/>
      <c r="N171" s="60"/>
      <c r="O171" s="36"/>
      <c r="P171" s="48"/>
      <c r="Q171" s="48"/>
      <c r="R171" s="48"/>
      <c r="S171" s="48"/>
      <c r="T171" s="48"/>
      <c r="U171" s="48"/>
      <c r="V171" s="48"/>
      <c r="W171" s="48"/>
      <c r="X171" s="48"/>
      <c r="Y171" s="48"/>
      <c r="Z171" s="48"/>
      <c r="AA171" s="48"/>
      <c r="AB171" s="48"/>
      <c r="AC171" s="48"/>
      <c r="AD171" s="48"/>
      <c r="AE171" s="48"/>
      <c r="AF171" s="48"/>
      <c r="AG171" s="48"/>
      <c r="AH171" s="48"/>
      <c r="AI171" s="48"/>
      <c r="AJ171" s="48"/>
      <c r="AK171" s="48"/>
      <c r="AL171" s="48"/>
      <c r="AM171" s="48"/>
      <c r="AN171" s="48"/>
      <c r="AO171" s="48"/>
      <c r="AP171" s="48"/>
      <c r="AQ171" s="48"/>
      <c r="AR171" s="48"/>
      <c r="AS171" s="48"/>
      <c r="AT171" s="48"/>
      <c r="AU171" s="48"/>
      <c r="AV171" s="48"/>
      <c r="AW171" s="48"/>
      <c r="AX171" s="48"/>
      <c r="AY171" s="48"/>
      <c r="AZ171" s="48"/>
      <c r="BA171" s="48"/>
      <c r="BB171" s="48"/>
      <c r="BC171" s="48"/>
      <c r="BD171" s="48"/>
      <c r="BE171" s="48"/>
      <c r="BF171" s="48"/>
      <c r="BG171" s="48"/>
      <c r="BH171" s="48"/>
      <c r="BI171" s="48"/>
      <c r="BJ171" s="48"/>
      <c r="BK171" s="48"/>
      <c r="BL171" s="48"/>
      <c r="BM171" s="48"/>
      <c r="BN171" s="48"/>
      <c r="BO171" s="48"/>
      <c r="BP171" s="48"/>
      <c r="BQ171" s="48"/>
      <c r="BR171" s="48"/>
      <c r="BS171" s="48"/>
      <c r="BT171" s="48"/>
      <c r="BU171" s="48"/>
      <c r="BV171" s="48"/>
      <c r="BW171" s="48"/>
      <c r="BX171" s="111"/>
    </row>
    <row r="172" spans="1:76">
      <c r="A172" s="37"/>
      <c r="B172" s="37"/>
      <c r="C172" s="37"/>
      <c r="D172" s="37" t="s">
        <v>2297</v>
      </c>
      <c r="E172" s="37"/>
      <c r="F172" s="39"/>
      <c r="G172" s="59"/>
      <c r="H172" s="59"/>
      <c r="I172" s="59"/>
      <c r="J172" s="59"/>
      <c r="K172" s="59"/>
      <c r="L172" s="59"/>
      <c r="M172" s="59"/>
      <c r="N172" s="60"/>
      <c r="O172" s="36"/>
      <c r="P172" s="48"/>
      <c r="Q172" s="48"/>
      <c r="R172" s="48"/>
      <c r="S172" s="48"/>
      <c r="T172" s="48"/>
      <c r="U172" s="48"/>
      <c r="V172" s="48"/>
      <c r="W172" s="48"/>
      <c r="X172" s="48"/>
      <c r="Y172" s="48"/>
      <c r="Z172" s="48"/>
      <c r="AA172" s="48"/>
      <c r="AB172" s="48"/>
      <c r="AC172" s="48"/>
      <c r="AD172" s="48"/>
      <c r="AE172" s="48"/>
      <c r="AF172" s="48"/>
      <c r="AG172" s="48"/>
      <c r="AH172" s="48"/>
      <c r="AI172" s="48"/>
      <c r="AJ172" s="48"/>
      <c r="AK172" s="48"/>
      <c r="AL172" s="48"/>
      <c r="AM172" s="48"/>
      <c r="AN172" s="48"/>
      <c r="AO172" s="48"/>
      <c r="AP172" s="48"/>
      <c r="AQ172" s="48"/>
      <c r="AR172" s="48"/>
      <c r="AS172" s="48"/>
      <c r="AT172" s="48"/>
      <c r="AU172" s="48"/>
      <c r="AV172" s="48"/>
      <c r="AW172" s="48"/>
      <c r="AX172" s="48"/>
      <c r="AY172" s="48"/>
      <c r="AZ172" s="48"/>
      <c r="BA172" s="48"/>
      <c r="BB172" s="48"/>
      <c r="BC172" s="48"/>
      <c r="BD172" s="48"/>
      <c r="BE172" s="48"/>
      <c r="BF172" s="48"/>
      <c r="BG172" s="48"/>
      <c r="BH172" s="48"/>
      <c r="BI172" s="48"/>
      <c r="BJ172" s="48"/>
      <c r="BK172" s="48"/>
      <c r="BL172" s="48"/>
      <c r="BM172" s="48"/>
      <c r="BN172" s="48"/>
      <c r="BO172" s="48"/>
      <c r="BP172" s="48"/>
      <c r="BQ172" s="48"/>
      <c r="BR172" s="48"/>
      <c r="BS172" s="48"/>
      <c r="BT172" s="48"/>
      <c r="BU172" s="48"/>
      <c r="BV172" s="48"/>
      <c r="BW172" s="48"/>
      <c r="BX172" s="111"/>
    </row>
    <row r="173" spans="1:76">
      <c r="A173" s="37"/>
      <c r="B173" s="37"/>
      <c r="C173" s="37" t="s">
        <v>2180</v>
      </c>
      <c r="D173" s="37"/>
      <c r="E173" s="37"/>
      <c r="F173" s="39"/>
      <c r="G173" s="59"/>
      <c r="H173" s="59"/>
      <c r="I173" s="59"/>
      <c r="J173" s="59"/>
      <c r="K173" s="59"/>
      <c r="L173" s="59"/>
      <c r="M173" s="59"/>
      <c r="N173" s="60"/>
      <c r="O173" s="36"/>
      <c r="P173" s="48"/>
      <c r="Q173" s="48"/>
      <c r="R173" s="48"/>
      <c r="S173" s="48"/>
      <c r="T173" s="48"/>
      <c r="U173" s="48"/>
      <c r="V173" s="48"/>
      <c r="W173" s="48"/>
      <c r="X173" s="48"/>
      <c r="Y173" s="48"/>
      <c r="Z173" s="48"/>
      <c r="AA173" s="48"/>
      <c r="AB173" s="48"/>
      <c r="AC173" s="48"/>
      <c r="AD173" s="48"/>
      <c r="AE173" s="48"/>
      <c r="AF173" s="48"/>
      <c r="AG173" s="48"/>
      <c r="AH173" s="48"/>
      <c r="AI173" s="48"/>
      <c r="AJ173" s="48"/>
      <c r="AK173" s="48"/>
      <c r="AL173" s="48"/>
      <c r="AM173" s="48"/>
      <c r="AN173" s="48"/>
      <c r="AO173" s="48"/>
      <c r="AP173" s="48"/>
      <c r="AQ173" s="48"/>
      <c r="AR173" s="48"/>
      <c r="AS173" s="48"/>
      <c r="AT173" s="48"/>
      <c r="AU173" s="48"/>
      <c r="AV173" s="48"/>
      <c r="AW173" s="48"/>
      <c r="AX173" s="48"/>
      <c r="AY173" s="48"/>
      <c r="AZ173" s="48"/>
      <c r="BA173" s="48"/>
      <c r="BB173" s="48"/>
      <c r="BC173" s="48"/>
      <c r="BD173" s="48"/>
      <c r="BE173" s="48"/>
      <c r="BF173" s="48"/>
      <c r="BG173" s="48"/>
      <c r="BH173" s="48"/>
      <c r="BI173" s="48"/>
      <c r="BJ173" s="48"/>
      <c r="BK173" s="48"/>
      <c r="BL173" s="48"/>
      <c r="BM173" s="48"/>
      <c r="BN173" s="48"/>
      <c r="BO173" s="48"/>
      <c r="BP173" s="48"/>
      <c r="BQ173" s="48"/>
      <c r="BR173" s="48"/>
      <c r="BS173" s="48"/>
      <c r="BT173" s="48"/>
      <c r="BU173" s="48"/>
      <c r="BV173" s="48"/>
      <c r="BW173" s="48"/>
      <c r="BX173" s="111"/>
    </row>
    <row r="174" spans="1:76">
      <c r="A174" s="37"/>
      <c r="B174" s="37"/>
      <c r="C174" s="37" t="s">
        <v>1291</v>
      </c>
      <c r="D174" s="37"/>
      <c r="E174" s="37"/>
      <c r="F174" s="39"/>
      <c r="G174" s="64" t="str">
        <f>IF(AND(OR(ISTEXT(G175), ISBLANK(G175)),OR(ISTEXT(G176), ISBLANK(G176)),TRUE),"", +IF(ISTEXT(G175), 0,G175)+IF(ISTEXT(G176), 0,G176))</f>
        <v/>
      </c>
      <c r="H174" s="64" t="str">
        <f>IF(AND(OR(ISTEXT(H175), ISBLANK(H175)),OR(ISTEXT(H176), ISBLANK(H176)),TRUE),"", +IF(ISTEXT(H175), 0,H175)+IF(ISTEXT(H176), 0,H176))</f>
        <v/>
      </c>
      <c r="I174" s="64" t="str">
        <f>IF(AND(OR(ISTEXT(I175), ISBLANK(I175)),OR(ISTEXT(I176), ISBLANK(I176)),TRUE),"", +IF(ISTEXT(I175), 0,I175)+IF(ISTEXT(I176), 0,I176))</f>
        <v/>
      </c>
      <c r="J174" s="64" t="str">
        <f>IF(AND(OR(ISTEXT(J175), ISBLANK(J175)),OR(ISTEXT(J176), ISBLANK(J176)),TRUE),"", +IF(ISTEXT(J175), 0,J175)+IF(ISTEXT(J176), 0,J176))</f>
        <v/>
      </c>
      <c r="K174" s="63">
        <v>12</v>
      </c>
      <c r="L174" s="63">
        <v>15</v>
      </c>
      <c r="M174" s="63">
        <v>19</v>
      </c>
      <c r="N174" s="65">
        <v>18</v>
      </c>
      <c r="O174" s="58"/>
      <c r="P174" s="48"/>
      <c r="Q174" s="48"/>
      <c r="R174" s="48"/>
      <c r="S174" s="48"/>
      <c r="T174" s="48"/>
      <c r="U174" s="48"/>
      <c r="V174" s="48"/>
      <c r="W174" s="48"/>
      <c r="X174" s="48"/>
      <c r="Y174" s="48"/>
      <c r="Z174" s="48"/>
      <c r="AA174" s="48"/>
      <c r="AB174" s="48"/>
      <c r="AC174" s="48"/>
      <c r="AD174" s="48"/>
      <c r="AE174" s="48"/>
      <c r="AF174" s="48"/>
      <c r="AG174" s="48"/>
      <c r="AH174" s="48"/>
      <c r="AI174" s="48"/>
      <c r="AJ174" s="48"/>
      <c r="AK174" s="48"/>
      <c r="AL174" s="48"/>
      <c r="AM174" s="48"/>
      <c r="AN174" s="48"/>
      <c r="AO174" s="48"/>
      <c r="AP174" s="48"/>
      <c r="AQ174" s="48"/>
      <c r="AR174" s="48"/>
      <c r="AS174" s="48"/>
      <c r="AT174" s="48"/>
      <c r="AU174" s="48"/>
      <c r="AV174" s="48"/>
      <c r="AW174" s="48"/>
      <c r="AX174" s="48"/>
      <c r="AY174" s="48"/>
      <c r="AZ174" s="48"/>
      <c r="BA174" s="48"/>
      <c r="BB174" s="48"/>
      <c r="BC174" s="48"/>
      <c r="BD174" s="48"/>
      <c r="BE174" s="48"/>
      <c r="BF174" s="48"/>
      <c r="BG174" s="48"/>
      <c r="BH174" s="48"/>
      <c r="BI174" s="48"/>
      <c r="BJ174" s="48"/>
      <c r="BK174" s="48"/>
      <c r="BL174" s="48"/>
      <c r="BM174" s="48"/>
      <c r="BN174" s="48"/>
      <c r="BO174" s="48"/>
      <c r="BP174" s="48"/>
      <c r="BQ174" s="48"/>
      <c r="BR174" s="48"/>
      <c r="BS174" s="48"/>
      <c r="BT174" s="48"/>
      <c r="BU174" s="48"/>
      <c r="BV174" s="48"/>
      <c r="BW174" s="48"/>
      <c r="BX174" s="111"/>
    </row>
    <row r="175" spans="1:76">
      <c r="A175" s="37"/>
      <c r="B175" s="37"/>
      <c r="C175" s="37"/>
      <c r="D175" s="37" t="s">
        <v>1633</v>
      </c>
      <c r="E175" s="37"/>
      <c r="F175" s="39"/>
      <c r="G175" s="59"/>
      <c r="H175" s="59"/>
      <c r="I175" s="59"/>
      <c r="J175" s="59"/>
      <c r="K175" s="59"/>
      <c r="L175" s="59"/>
      <c r="M175" s="59"/>
      <c r="N175" s="60"/>
      <c r="O175" s="36"/>
      <c r="P175" s="48"/>
      <c r="Q175" s="48"/>
      <c r="R175" s="48"/>
      <c r="S175" s="48"/>
      <c r="T175" s="48"/>
      <c r="U175" s="48"/>
      <c r="V175" s="48"/>
      <c r="W175" s="48"/>
      <c r="X175" s="48"/>
      <c r="Y175" s="48"/>
      <c r="Z175" s="48"/>
      <c r="AA175" s="48"/>
      <c r="AB175" s="48"/>
      <c r="AC175" s="48"/>
      <c r="AD175" s="48"/>
      <c r="AE175" s="48"/>
      <c r="AF175" s="48"/>
      <c r="AG175" s="48"/>
      <c r="AH175" s="48"/>
      <c r="AI175" s="48"/>
      <c r="AJ175" s="48"/>
      <c r="AK175" s="48"/>
      <c r="AL175" s="48"/>
      <c r="AM175" s="48"/>
      <c r="AN175" s="48"/>
      <c r="AO175" s="48"/>
      <c r="AP175" s="48"/>
      <c r="AQ175" s="48"/>
      <c r="AR175" s="48"/>
      <c r="AS175" s="48"/>
      <c r="AT175" s="48"/>
      <c r="AU175" s="48"/>
      <c r="AV175" s="48"/>
      <c r="AW175" s="48"/>
      <c r="AX175" s="48"/>
      <c r="AY175" s="48"/>
      <c r="AZ175" s="48"/>
      <c r="BA175" s="48"/>
      <c r="BB175" s="48"/>
      <c r="BC175" s="48"/>
      <c r="BD175" s="48"/>
      <c r="BE175" s="48"/>
      <c r="BF175" s="48"/>
      <c r="BG175" s="48"/>
      <c r="BH175" s="48"/>
      <c r="BI175" s="48"/>
      <c r="BJ175" s="48"/>
      <c r="BK175" s="48"/>
      <c r="BL175" s="48"/>
      <c r="BM175" s="48"/>
      <c r="BN175" s="48"/>
      <c r="BO175" s="48"/>
      <c r="BP175" s="48"/>
      <c r="BQ175" s="48"/>
      <c r="BR175" s="48"/>
      <c r="BS175" s="48"/>
      <c r="BT175" s="48"/>
      <c r="BU175" s="48"/>
      <c r="BV175" s="48"/>
      <c r="BW175" s="48"/>
      <c r="BX175" s="111"/>
    </row>
    <row r="176" spans="1:76">
      <c r="A176" s="37"/>
      <c r="B176" s="37"/>
      <c r="C176" s="37"/>
      <c r="D176" s="37" t="s">
        <v>2036</v>
      </c>
      <c r="E176" s="37"/>
      <c r="F176" s="39"/>
      <c r="G176" s="59"/>
      <c r="H176" s="59"/>
      <c r="I176" s="59"/>
      <c r="J176" s="59"/>
      <c r="K176" s="59"/>
      <c r="L176" s="59"/>
      <c r="M176" s="59"/>
      <c r="N176" s="60"/>
      <c r="O176" s="36"/>
      <c r="P176" s="48"/>
      <c r="Q176" s="48"/>
      <c r="R176" s="48"/>
      <c r="S176" s="48"/>
      <c r="T176" s="48"/>
      <c r="U176" s="48"/>
      <c r="V176" s="48"/>
      <c r="W176" s="48"/>
      <c r="X176" s="48"/>
      <c r="Y176" s="48"/>
      <c r="Z176" s="48"/>
      <c r="AA176" s="48"/>
      <c r="AB176" s="48"/>
      <c r="AC176" s="48"/>
      <c r="AD176" s="48"/>
      <c r="AE176" s="48"/>
      <c r="AF176" s="48"/>
      <c r="AG176" s="48"/>
      <c r="AH176" s="48"/>
      <c r="AI176" s="48"/>
      <c r="AJ176" s="48"/>
      <c r="AK176" s="48"/>
      <c r="AL176" s="48"/>
      <c r="AM176" s="48"/>
      <c r="AN176" s="48"/>
      <c r="AO176" s="48"/>
      <c r="AP176" s="48"/>
      <c r="AQ176" s="48"/>
      <c r="AR176" s="48"/>
      <c r="AS176" s="48"/>
      <c r="AT176" s="48"/>
      <c r="AU176" s="48"/>
      <c r="AV176" s="48"/>
      <c r="AW176" s="48"/>
      <c r="AX176" s="48"/>
      <c r="AY176" s="48"/>
      <c r="AZ176" s="48"/>
      <c r="BA176" s="48"/>
      <c r="BB176" s="48"/>
      <c r="BC176" s="48"/>
      <c r="BD176" s="48"/>
      <c r="BE176" s="48"/>
      <c r="BF176" s="48"/>
      <c r="BG176" s="48"/>
      <c r="BH176" s="48"/>
      <c r="BI176" s="48"/>
      <c r="BJ176" s="48"/>
      <c r="BK176" s="48"/>
      <c r="BL176" s="48"/>
      <c r="BM176" s="48"/>
      <c r="BN176" s="48"/>
      <c r="BO176" s="48"/>
      <c r="BP176" s="48"/>
      <c r="BQ176" s="48"/>
      <c r="BR176" s="48"/>
      <c r="BS176" s="48"/>
      <c r="BT176" s="48"/>
      <c r="BU176" s="48"/>
      <c r="BV176" s="48"/>
      <c r="BW176" s="48"/>
      <c r="BX176" s="111"/>
    </row>
    <row r="177" spans="1:76">
      <c r="A177" s="37"/>
      <c r="B177" s="37"/>
      <c r="C177" s="37" t="s">
        <v>1711</v>
      </c>
      <c r="D177" s="37"/>
      <c r="E177" s="37"/>
      <c r="F177" s="39"/>
      <c r="G177" s="59"/>
      <c r="H177" s="59"/>
      <c r="I177" s="59"/>
      <c r="J177" s="59"/>
      <c r="K177" s="59"/>
      <c r="L177" s="59"/>
      <c r="M177" s="59"/>
      <c r="N177" s="60"/>
      <c r="O177" s="36"/>
      <c r="P177" s="48"/>
      <c r="Q177" s="48"/>
      <c r="R177" s="48"/>
      <c r="S177" s="48"/>
      <c r="T177" s="48"/>
      <c r="U177" s="48"/>
      <c r="V177" s="48"/>
      <c r="W177" s="48"/>
      <c r="X177" s="48"/>
      <c r="Y177" s="48"/>
      <c r="Z177" s="48"/>
      <c r="AA177" s="48"/>
      <c r="AB177" s="48"/>
      <c r="AC177" s="48"/>
      <c r="AD177" s="48"/>
      <c r="AE177" s="48"/>
      <c r="AF177" s="48"/>
      <c r="AG177" s="48"/>
      <c r="AH177" s="48"/>
      <c r="AI177" s="48"/>
      <c r="AJ177" s="48"/>
      <c r="AK177" s="48"/>
      <c r="AL177" s="48"/>
      <c r="AM177" s="48"/>
      <c r="AN177" s="48"/>
      <c r="AO177" s="48"/>
      <c r="AP177" s="48"/>
      <c r="AQ177" s="48"/>
      <c r="AR177" s="48"/>
      <c r="AS177" s="48"/>
      <c r="AT177" s="48"/>
      <c r="AU177" s="48"/>
      <c r="AV177" s="48"/>
      <c r="AW177" s="48"/>
      <c r="AX177" s="48"/>
      <c r="AY177" s="48"/>
      <c r="AZ177" s="48"/>
      <c r="BA177" s="48"/>
      <c r="BB177" s="48"/>
      <c r="BC177" s="48"/>
      <c r="BD177" s="48"/>
      <c r="BE177" s="48"/>
      <c r="BF177" s="48"/>
      <c r="BG177" s="48"/>
      <c r="BH177" s="48"/>
      <c r="BI177" s="48"/>
      <c r="BJ177" s="48"/>
      <c r="BK177" s="48"/>
      <c r="BL177" s="48"/>
      <c r="BM177" s="48"/>
      <c r="BN177" s="48"/>
      <c r="BO177" s="48"/>
      <c r="BP177" s="48"/>
      <c r="BQ177" s="48"/>
      <c r="BR177" s="48"/>
      <c r="BS177" s="48"/>
      <c r="BT177" s="48"/>
      <c r="BU177" s="48"/>
      <c r="BV177" s="48"/>
      <c r="BW177" s="48"/>
      <c r="BX177" s="111"/>
    </row>
    <row r="178" spans="1:76">
      <c r="A178" s="37"/>
      <c r="B178" s="37"/>
      <c r="C178" s="37" t="s">
        <v>221</v>
      </c>
      <c r="D178" s="37"/>
      <c r="E178" s="37"/>
      <c r="F178" s="39"/>
      <c r="G178" s="59"/>
      <c r="H178" s="59"/>
      <c r="I178" s="59"/>
      <c r="J178" s="59"/>
      <c r="K178" s="59"/>
      <c r="L178" s="59"/>
      <c r="M178" s="59"/>
      <c r="N178" s="60"/>
      <c r="O178" s="36"/>
      <c r="P178" s="48"/>
      <c r="Q178" s="48"/>
      <c r="R178" s="48"/>
      <c r="S178" s="48"/>
      <c r="T178" s="48"/>
      <c r="U178" s="48"/>
      <c r="V178" s="48"/>
      <c r="W178" s="48"/>
      <c r="X178" s="48"/>
      <c r="Y178" s="48"/>
      <c r="Z178" s="48"/>
      <c r="AA178" s="48"/>
      <c r="AB178" s="48"/>
      <c r="AC178" s="48"/>
      <c r="AD178" s="48"/>
      <c r="AE178" s="48"/>
      <c r="AF178" s="48"/>
      <c r="AG178" s="48"/>
      <c r="AH178" s="48"/>
      <c r="AI178" s="48"/>
      <c r="AJ178" s="48"/>
      <c r="AK178" s="48"/>
      <c r="AL178" s="48"/>
      <c r="AM178" s="48"/>
      <c r="AN178" s="48"/>
      <c r="AO178" s="48"/>
      <c r="AP178" s="48"/>
      <c r="AQ178" s="48"/>
      <c r="AR178" s="48"/>
      <c r="AS178" s="48"/>
      <c r="AT178" s="48"/>
      <c r="AU178" s="48"/>
      <c r="AV178" s="48"/>
      <c r="AW178" s="48"/>
      <c r="AX178" s="48"/>
      <c r="AY178" s="48"/>
      <c r="AZ178" s="48"/>
      <c r="BA178" s="48"/>
      <c r="BB178" s="48"/>
      <c r="BC178" s="48"/>
      <c r="BD178" s="48"/>
      <c r="BE178" s="48"/>
      <c r="BF178" s="48"/>
      <c r="BG178" s="48"/>
      <c r="BH178" s="48"/>
      <c r="BI178" s="48"/>
      <c r="BJ178" s="48"/>
      <c r="BK178" s="48"/>
      <c r="BL178" s="48"/>
      <c r="BM178" s="48"/>
      <c r="BN178" s="48"/>
      <c r="BO178" s="48"/>
      <c r="BP178" s="48"/>
      <c r="BQ178" s="48"/>
      <c r="BR178" s="48"/>
      <c r="BS178" s="48"/>
      <c r="BT178" s="48"/>
      <c r="BU178" s="48"/>
      <c r="BV178" s="48"/>
      <c r="BW178" s="48"/>
      <c r="BX178" s="111"/>
    </row>
    <row r="179" spans="1:76">
      <c r="A179" s="37"/>
      <c r="B179" s="37"/>
      <c r="C179" s="37" t="s">
        <v>877</v>
      </c>
      <c r="D179" s="37"/>
      <c r="E179" s="37"/>
      <c r="F179" s="39"/>
      <c r="G179" s="61" t="str">
        <f t="shared" ref="G179:N179" si="21">IF(AND(OR(ISTEXT(G180), ISBLANK(G180)),OR(ISTEXT(G181), ISBLANK(G181)),TRUE),"", +IF(ISTEXT(G180), 0,G180)-IF(ISTEXT(G181), 0,G181))</f>
        <v/>
      </c>
      <c r="H179" s="61" t="str">
        <f t="shared" si="21"/>
        <v/>
      </c>
      <c r="I179" s="61" t="str">
        <f t="shared" si="21"/>
        <v/>
      </c>
      <c r="J179" s="61" t="str">
        <f t="shared" si="21"/>
        <v/>
      </c>
      <c r="K179" s="39" t="str">
        <f t="shared" si="21"/>
        <v/>
      </c>
      <c r="L179" s="61" t="str">
        <f t="shared" si="21"/>
        <v/>
      </c>
      <c r="M179" s="61" t="str">
        <f t="shared" si="21"/>
        <v/>
      </c>
      <c r="N179" s="66" t="str">
        <f t="shared" si="21"/>
        <v/>
      </c>
      <c r="O179" s="36"/>
      <c r="P179" s="48"/>
      <c r="Q179" s="48"/>
      <c r="R179" s="48"/>
      <c r="S179" s="48"/>
      <c r="T179" s="48"/>
      <c r="U179" s="48"/>
      <c r="V179" s="48"/>
      <c r="W179" s="48"/>
      <c r="X179" s="48"/>
      <c r="Y179" s="48"/>
      <c r="Z179" s="48"/>
      <c r="AA179" s="48"/>
      <c r="AB179" s="48"/>
      <c r="AC179" s="48"/>
      <c r="AD179" s="48"/>
      <c r="AE179" s="48"/>
      <c r="AF179" s="48"/>
      <c r="AG179" s="48"/>
      <c r="AH179" s="48"/>
      <c r="AI179" s="48"/>
      <c r="AJ179" s="48"/>
      <c r="AK179" s="48"/>
      <c r="AL179" s="48"/>
      <c r="AM179" s="48"/>
      <c r="AN179" s="48"/>
      <c r="AO179" s="48"/>
      <c r="AP179" s="48"/>
      <c r="AQ179" s="48"/>
      <c r="AR179" s="48"/>
      <c r="AS179" s="48"/>
      <c r="AT179" s="48"/>
      <c r="AU179" s="48"/>
      <c r="AV179" s="48"/>
      <c r="AW179" s="48"/>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111"/>
    </row>
    <row r="180" spans="1:76">
      <c r="A180" s="37"/>
      <c r="B180" s="37"/>
      <c r="C180" s="37"/>
      <c r="D180" s="37" t="s">
        <v>1165</v>
      </c>
      <c r="E180" s="37"/>
      <c r="F180" s="39"/>
      <c r="G180" s="59"/>
      <c r="H180" s="59"/>
      <c r="I180" s="59"/>
      <c r="J180" s="59"/>
      <c r="K180" s="59"/>
      <c r="L180" s="59"/>
      <c r="M180" s="59"/>
      <c r="N180" s="60"/>
      <c r="O180" s="58"/>
      <c r="P180" s="48"/>
      <c r="Q180" s="48"/>
      <c r="R180" s="48"/>
      <c r="S180" s="48"/>
      <c r="T180" s="48"/>
      <c r="U180" s="48"/>
      <c r="V180" s="48"/>
      <c r="W180" s="48"/>
      <c r="X180" s="48"/>
      <c r="Y180" s="48"/>
      <c r="Z180" s="48"/>
      <c r="AA180" s="48"/>
      <c r="AB180" s="48"/>
      <c r="AC180" s="48"/>
      <c r="AD180" s="48"/>
      <c r="AE180" s="48"/>
      <c r="AF180" s="48"/>
      <c r="AG180" s="48"/>
      <c r="AH180" s="48"/>
      <c r="AI180" s="48"/>
      <c r="AJ180" s="48"/>
      <c r="AK180" s="48"/>
      <c r="AL180" s="48"/>
      <c r="AM180" s="48"/>
      <c r="AN180" s="48"/>
      <c r="AO180" s="48"/>
      <c r="AP180" s="48"/>
      <c r="AQ180" s="48"/>
      <c r="AR180" s="48"/>
      <c r="AS180" s="48"/>
      <c r="AT180" s="48"/>
      <c r="AU180" s="48"/>
      <c r="AV180" s="48"/>
      <c r="AW180" s="48"/>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111"/>
    </row>
    <row r="181" spans="1:76">
      <c r="A181" s="37"/>
      <c r="B181" s="37"/>
      <c r="C181" s="37"/>
      <c r="D181" s="37" t="s">
        <v>1166</v>
      </c>
      <c r="E181" s="37"/>
      <c r="F181" s="39"/>
      <c r="G181" s="59"/>
      <c r="H181" s="59"/>
      <c r="I181" s="59"/>
      <c r="J181" s="59"/>
      <c r="K181" s="59"/>
      <c r="L181" s="59"/>
      <c r="M181" s="59"/>
      <c r="N181" s="60"/>
      <c r="O181" s="58"/>
      <c r="P181" s="48"/>
      <c r="Q181" s="48"/>
      <c r="R181" s="48"/>
      <c r="S181" s="48"/>
      <c r="T181" s="48"/>
      <c r="U181" s="48"/>
      <c r="V181" s="48"/>
      <c r="W181" s="48"/>
      <c r="X181" s="48"/>
      <c r="Y181" s="48"/>
      <c r="Z181" s="48"/>
      <c r="AA181" s="48"/>
      <c r="AB181" s="48"/>
      <c r="AC181" s="48"/>
      <c r="AD181" s="48"/>
      <c r="AE181" s="48"/>
      <c r="AF181" s="48"/>
      <c r="AG181" s="48"/>
      <c r="AH181" s="48"/>
      <c r="AI181" s="48"/>
      <c r="AJ181" s="48"/>
      <c r="AK181" s="48"/>
      <c r="AL181" s="48"/>
      <c r="AM181" s="48"/>
      <c r="AN181" s="48"/>
      <c r="AO181" s="48"/>
      <c r="AP181" s="48"/>
      <c r="AQ181" s="48"/>
      <c r="AR181" s="48"/>
      <c r="AS181" s="48"/>
      <c r="AT181" s="48"/>
      <c r="AU181" s="48"/>
      <c r="AV181" s="48"/>
      <c r="AW181" s="48"/>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111"/>
    </row>
    <row r="182" spans="1:76">
      <c r="A182" s="37"/>
      <c r="B182" s="37"/>
      <c r="C182" s="37" t="s">
        <v>387</v>
      </c>
      <c r="D182" s="37"/>
      <c r="E182" s="37"/>
      <c r="F182" s="39"/>
      <c r="G182" s="59"/>
      <c r="H182" s="59">
        <v>-23</v>
      </c>
      <c r="I182" s="59">
        <f>-50+13</f>
        <v>-37</v>
      </c>
      <c r="J182" s="59"/>
      <c r="K182" s="59">
        <f>740+11+17+3</f>
        <v>771</v>
      </c>
      <c r="L182" s="59">
        <f>780-16</f>
        <v>764</v>
      </c>
      <c r="M182" s="59">
        <f>851-15-9-1</f>
        <v>826</v>
      </c>
      <c r="N182" s="60">
        <f>983-14</f>
        <v>969</v>
      </c>
      <c r="O182" s="36"/>
      <c r="P182" s="48"/>
      <c r="Q182" s="48"/>
      <c r="R182" s="48"/>
      <c r="S182" s="48"/>
      <c r="T182" s="48"/>
      <c r="U182" s="48"/>
      <c r="V182" s="48"/>
      <c r="W182" s="48"/>
      <c r="X182" s="48"/>
      <c r="Y182" s="48"/>
      <c r="Z182" s="48"/>
      <c r="AA182" s="48"/>
      <c r="AB182" s="48"/>
      <c r="AC182" s="48"/>
      <c r="AD182" s="48"/>
      <c r="AE182" s="48"/>
      <c r="AF182" s="48"/>
      <c r="AG182" s="48"/>
      <c r="AH182" s="48"/>
      <c r="AI182" s="48"/>
      <c r="AJ182" s="48"/>
      <c r="AK182" s="48"/>
      <c r="AL182" s="48"/>
      <c r="AM182" s="48"/>
      <c r="AN182" s="48"/>
      <c r="AO182" s="48"/>
      <c r="AP182" s="48"/>
      <c r="AQ182" s="48"/>
      <c r="AR182" s="48"/>
      <c r="AS182" s="48"/>
      <c r="AT182" s="48"/>
      <c r="AU182" s="48"/>
      <c r="AV182" s="48"/>
      <c r="AW182" s="48"/>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111"/>
    </row>
    <row r="183" spans="1:76">
      <c r="A183" s="37"/>
      <c r="B183" s="37"/>
      <c r="C183" s="37" t="s">
        <v>2302</v>
      </c>
      <c r="D183" s="37"/>
      <c r="E183" s="37"/>
      <c r="F183" s="39"/>
      <c r="G183" s="39">
        <f t="shared" ref="G183:N183" si="22">IF(AND(OR(ISTEXT(G184), ISBLANK(G184)),OR(ISTEXT(G185), ISBLANK(G185)),TRUE),"", +IF(ISTEXT(G184), 0,G184)+IF(ISTEXT(G185), 0,G185))</f>
        <v>19</v>
      </c>
      <c r="H183" s="39">
        <f t="shared" si="22"/>
        <v>26</v>
      </c>
      <c r="I183" s="39">
        <f t="shared" si="22"/>
        <v>16</v>
      </c>
      <c r="J183" s="39">
        <f t="shared" si="22"/>
        <v>19</v>
      </c>
      <c r="K183" s="39">
        <f t="shared" si="22"/>
        <v>11</v>
      </c>
      <c r="L183" s="39">
        <f t="shared" si="22"/>
        <v>2</v>
      </c>
      <c r="M183" s="39">
        <f t="shared" si="22"/>
        <v>5</v>
      </c>
      <c r="N183" s="48">
        <f t="shared" si="22"/>
        <v>3</v>
      </c>
      <c r="O183" s="36"/>
      <c r="P183" s="48"/>
      <c r="Q183" s="48"/>
      <c r="R183" s="48"/>
      <c r="S183" s="48"/>
      <c r="T183" s="48"/>
      <c r="U183" s="48"/>
      <c r="V183" s="48"/>
      <c r="W183" s="48"/>
      <c r="X183" s="48"/>
      <c r="Y183" s="48"/>
      <c r="Z183" s="48"/>
      <c r="AA183" s="48"/>
      <c r="AB183" s="48"/>
      <c r="AC183" s="48"/>
      <c r="AD183" s="48"/>
      <c r="AE183" s="48"/>
      <c r="AF183" s="48"/>
      <c r="AG183" s="48"/>
      <c r="AH183" s="48"/>
      <c r="AI183" s="48"/>
      <c r="AJ183" s="48"/>
      <c r="AK183" s="48"/>
      <c r="AL183" s="48"/>
      <c r="AM183" s="48"/>
      <c r="AN183" s="48"/>
      <c r="AO183" s="48"/>
      <c r="AP183" s="48"/>
      <c r="AQ183" s="48"/>
      <c r="AR183" s="48"/>
      <c r="AS183" s="48"/>
      <c r="AT183" s="48"/>
      <c r="AU183" s="48"/>
      <c r="AV183" s="48"/>
      <c r="AW183" s="48"/>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111"/>
    </row>
    <row r="184" spans="1:76">
      <c r="A184" s="37"/>
      <c r="B184" s="37"/>
      <c r="C184" s="37"/>
      <c r="D184" s="37" t="s">
        <v>578</v>
      </c>
      <c r="E184" s="37"/>
      <c r="F184" s="39"/>
      <c r="G184" s="59">
        <v>19</v>
      </c>
      <c r="H184" s="59">
        <v>26</v>
      </c>
      <c r="I184" s="59">
        <v>16</v>
      </c>
      <c r="J184" s="59">
        <v>19</v>
      </c>
      <c r="K184" s="59">
        <v>11</v>
      </c>
      <c r="L184" s="59">
        <v>2</v>
      </c>
      <c r="M184" s="59">
        <v>5</v>
      </c>
      <c r="N184" s="60">
        <v>3</v>
      </c>
      <c r="O184" s="36"/>
      <c r="P184" s="48"/>
      <c r="Q184" s="48"/>
      <c r="R184" s="48"/>
      <c r="S184" s="48"/>
      <c r="T184" s="48"/>
      <c r="U184" s="48"/>
      <c r="V184" s="48"/>
      <c r="W184" s="48"/>
      <c r="X184" s="48"/>
      <c r="Y184" s="48"/>
      <c r="Z184" s="48"/>
      <c r="AA184" s="48"/>
      <c r="AB184" s="48"/>
      <c r="AC184" s="48"/>
      <c r="AD184" s="48"/>
      <c r="AE184" s="48"/>
      <c r="AF184" s="48"/>
      <c r="AG184" s="48"/>
      <c r="AH184" s="48"/>
      <c r="AI184" s="48"/>
      <c r="AJ184" s="48"/>
      <c r="AK184" s="48"/>
      <c r="AL184" s="48"/>
      <c r="AM184" s="48"/>
      <c r="AN184" s="48"/>
      <c r="AO184" s="48"/>
      <c r="AP184" s="48"/>
      <c r="AQ184" s="48"/>
      <c r="AR184" s="48"/>
      <c r="AS184" s="48"/>
      <c r="AT184" s="48"/>
      <c r="AU184" s="48"/>
      <c r="AV184" s="48"/>
      <c r="AW184" s="48"/>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111"/>
    </row>
    <row r="185" spans="1:76">
      <c r="A185" s="37"/>
      <c r="B185" s="37"/>
      <c r="C185" s="37"/>
      <c r="D185" s="37" t="s">
        <v>2303</v>
      </c>
      <c r="E185" s="37"/>
      <c r="F185" s="39"/>
      <c r="G185" s="59"/>
      <c r="H185" s="59"/>
      <c r="I185" s="59"/>
      <c r="J185" s="59"/>
      <c r="K185" s="59"/>
      <c r="L185" s="59"/>
      <c r="M185" s="59"/>
      <c r="N185" s="60"/>
      <c r="O185" s="36"/>
      <c r="P185" s="48"/>
      <c r="Q185" s="48"/>
      <c r="R185" s="48"/>
      <c r="S185" s="48"/>
      <c r="T185" s="48"/>
      <c r="U185" s="48"/>
      <c r="V185" s="48"/>
      <c r="W185" s="48"/>
      <c r="X185" s="48"/>
      <c r="Y185" s="48"/>
      <c r="Z185" s="48"/>
      <c r="AA185" s="48"/>
      <c r="AB185" s="48"/>
      <c r="AC185" s="48"/>
      <c r="AD185" s="48"/>
      <c r="AE185" s="48"/>
      <c r="AF185" s="48"/>
      <c r="AG185" s="48"/>
      <c r="AH185" s="48"/>
      <c r="AI185" s="48"/>
      <c r="AJ185" s="48"/>
      <c r="AK185" s="48"/>
      <c r="AL185" s="48"/>
      <c r="AM185" s="48"/>
      <c r="AN185" s="48"/>
      <c r="AO185" s="48"/>
      <c r="AP185" s="48"/>
      <c r="AQ185" s="48"/>
      <c r="AR185" s="48"/>
      <c r="AS185" s="48"/>
      <c r="AT185" s="48"/>
      <c r="AU185" s="48"/>
      <c r="AV185" s="48"/>
      <c r="AW185" s="48"/>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111"/>
    </row>
    <row r="186" spans="1:76">
      <c r="A186" s="37"/>
      <c r="B186" s="37"/>
      <c r="C186" s="37" t="s">
        <v>577</v>
      </c>
      <c r="D186" s="37"/>
      <c r="E186" s="37"/>
      <c r="F186" s="39"/>
      <c r="G186" s="39">
        <f t="shared" ref="G186:N186" si="23">IF(AND(OR(ISTEXT(G187), ISBLANK(G187)),OR(ISTEXT(G188), ISBLANK(G188)),OR(ISTEXT(G189), ISBLANK(G189)),TRUE),"", +IF(ISTEXT(G187), 0,G187)-IF(ISTEXT(G188), 0,G188)+IF(ISTEXT(G189), 0,G189))</f>
        <v>113</v>
      </c>
      <c r="H186" s="39">
        <f t="shared" si="23"/>
        <v>473</v>
      </c>
      <c r="I186" s="39">
        <f t="shared" si="23"/>
        <v>500</v>
      </c>
      <c r="J186" s="39">
        <f t="shared" si="23"/>
        <v>439</v>
      </c>
      <c r="K186" s="39">
        <f t="shared" si="23"/>
        <v>378</v>
      </c>
      <c r="L186" s="39">
        <f t="shared" si="23"/>
        <v>325</v>
      </c>
      <c r="M186" s="39">
        <f t="shared" si="23"/>
        <v>287</v>
      </c>
      <c r="N186" s="48">
        <f t="shared" si="23"/>
        <v>257</v>
      </c>
      <c r="O186" s="36"/>
      <c r="P186" s="48"/>
      <c r="Q186" s="48"/>
      <c r="R186" s="48"/>
      <c r="S186" s="48"/>
      <c r="T186" s="48"/>
      <c r="U186" s="48"/>
      <c r="V186" s="48"/>
      <c r="W186" s="48"/>
      <c r="X186" s="48"/>
      <c r="Y186" s="48"/>
      <c r="Z186" s="48"/>
      <c r="AA186" s="48"/>
      <c r="AB186" s="48"/>
      <c r="AC186" s="48"/>
      <c r="AD186" s="48"/>
      <c r="AE186" s="48"/>
      <c r="AF186" s="48"/>
      <c r="AG186" s="48"/>
      <c r="AH186" s="48"/>
      <c r="AI186" s="48"/>
      <c r="AJ186" s="48"/>
      <c r="AK186" s="48"/>
      <c r="AL186" s="48"/>
      <c r="AM186" s="48"/>
      <c r="AN186" s="48"/>
      <c r="AO186" s="48"/>
      <c r="AP186" s="48"/>
      <c r="AQ186" s="48"/>
      <c r="AR186" s="48"/>
      <c r="AS186" s="48"/>
      <c r="AT186" s="48"/>
      <c r="AU186" s="48"/>
      <c r="AV186" s="48"/>
      <c r="AW186" s="48"/>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111"/>
    </row>
    <row r="187" spans="1:76">
      <c r="A187" s="37"/>
      <c r="B187" s="37"/>
      <c r="C187" s="37"/>
      <c r="D187" s="37" t="s">
        <v>1192</v>
      </c>
      <c r="E187" s="37"/>
      <c r="F187" s="39"/>
      <c r="G187" s="59">
        <f>94+G184+G188</f>
        <v>152</v>
      </c>
      <c r="H187" s="59">
        <f>447+H184+H188</f>
        <v>492</v>
      </c>
      <c r="I187" s="59">
        <f>484+I184+I188</f>
        <v>509</v>
      </c>
      <c r="J187" s="59">
        <f>420+J184+J188</f>
        <v>443</v>
      </c>
      <c r="K187" s="59">
        <f>367+K184+K188</f>
        <v>386</v>
      </c>
      <c r="L187" s="59">
        <f>323+L184+L188</f>
        <v>332</v>
      </c>
      <c r="M187" s="59">
        <f>282+M184+M188</f>
        <v>302</v>
      </c>
      <c r="N187" s="60">
        <f>254+N184+N188</f>
        <v>276</v>
      </c>
      <c r="O187" s="36"/>
      <c r="P187" s="48"/>
      <c r="Q187" s="48"/>
      <c r="R187" s="48"/>
      <c r="S187" s="48"/>
      <c r="T187" s="48"/>
      <c r="U187" s="48"/>
      <c r="V187" s="48"/>
      <c r="W187" s="48"/>
      <c r="X187" s="48"/>
      <c r="Y187" s="48"/>
      <c r="Z187" s="48"/>
      <c r="AA187" s="48"/>
      <c r="AB187" s="48"/>
      <c r="AC187" s="48"/>
      <c r="AD187" s="48"/>
      <c r="AE187" s="48"/>
      <c r="AF187" s="48"/>
      <c r="AG187" s="48"/>
      <c r="AH187" s="48"/>
      <c r="AI187" s="48"/>
      <c r="AJ187" s="48"/>
      <c r="AK187" s="48"/>
      <c r="AL187" s="48"/>
      <c r="AM187" s="48"/>
      <c r="AN187" s="48"/>
      <c r="AO187" s="48"/>
      <c r="AP187" s="48"/>
      <c r="AQ187" s="48"/>
      <c r="AR187" s="48"/>
      <c r="AS187" s="48"/>
      <c r="AT187" s="48"/>
      <c r="AU187" s="48"/>
      <c r="AV187" s="48"/>
      <c r="AW187" s="48"/>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111"/>
    </row>
    <row r="188" spans="1:76">
      <c r="A188" s="37"/>
      <c r="B188" s="37"/>
      <c r="C188" s="37"/>
      <c r="D188" s="37" t="s">
        <v>1193</v>
      </c>
      <c r="E188" s="37"/>
      <c r="F188" s="39"/>
      <c r="G188" s="59">
        <f>4+35</f>
        <v>39</v>
      </c>
      <c r="H188" s="59">
        <f>4+15</f>
        <v>19</v>
      </c>
      <c r="I188" s="59">
        <f>8+1</f>
        <v>9</v>
      </c>
      <c r="J188" s="59">
        <f>3+1</f>
        <v>4</v>
      </c>
      <c r="K188" s="59">
        <f>7+1</f>
        <v>8</v>
      </c>
      <c r="L188" s="59">
        <f>6+1</f>
        <v>7</v>
      </c>
      <c r="M188" s="59">
        <f>14+1</f>
        <v>15</v>
      </c>
      <c r="N188" s="60">
        <f>18+1</f>
        <v>19</v>
      </c>
      <c r="O188" s="58"/>
      <c r="P188" s="48"/>
      <c r="Q188" s="48"/>
      <c r="R188" s="48"/>
      <c r="S188" s="48"/>
      <c r="T188" s="48"/>
      <c r="U188" s="48"/>
      <c r="V188" s="48"/>
      <c r="W188" s="48"/>
      <c r="X188" s="48"/>
      <c r="Y188" s="48"/>
      <c r="Z188" s="48"/>
      <c r="AA188" s="48"/>
      <c r="AB188" s="48"/>
      <c r="AC188" s="48"/>
      <c r="AD188" s="48"/>
      <c r="AE188" s="48"/>
      <c r="AF188" s="48"/>
      <c r="AG188" s="48"/>
      <c r="AH188" s="48"/>
      <c r="AI188" s="48"/>
      <c r="AJ188" s="48"/>
      <c r="AK188" s="48"/>
      <c r="AL188" s="48"/>
      <c r="AM188" s="48"/>
      <c r="AN188" s="48"/>
      <c r="AO188" s="48"/>
      <c r="AP188" s="48"/>
      <c r="AQ188" s="48"/>
      <c r="AR188" s="48"/>
      <c r="AS188" s="48"/>
      <c r="AT188" s="48"/>
      <c r="AU188" s="48"/>
      <c r="AV188" s="48"/>
      <c r="AW188" s="48"/>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111"/>
    </row>
    <row r="189" spans="1:76">
      <c r="A189" s="37"/>
      <c r="B189" s="37"/>
      <c r="C189" s="37"/>
      <c r="D189" s="37" t="s">
        <v>2301</v>
      </c>
      <c r="E189" s="37"/>
      <c r="F189" s="39"/>
      <c r="G189" s="59"/>
      <c r="H189" s="59"/>
      <c r="I189" s="59"/>
      <c r="J189" s="59"/>
      <c r="K189" s="59"/>
      <c r="L189" s="59"/>
      <c r="M189" s="59"/>
      <c r="N189" s="60"/>
      <c r="O189" s="36"/>
      <c r="P189" s="48"/>
      <c r="Q189" s="48"/>
      <c r="R189" s="48"/>
      <c r="S189" s="48"/>
      <c r="T189" s="48"/>
      <c r="U189" s="48"/>
      <c r="V189" s="48"/>
      <c r="W189" s="48"/>
      <c r="X189" s="48"/>
      <c r="Y189" s="48"/>
      <c r="Z189" s="48"/>
      <c r="AA189" s="48"/>
      <c r="AB189" s="48"/>
      <c r="AC189" s="48"/>
      <c r="AD189" s="48"/>
      <c r="AE189" s="48"/>
      <c r="AF189" s="48"/>
      <c r="AG189" s="48"/>
      <c r="AH189" s="48"/>
      <c r="AI189" s="48"/>
      <c r="AJ189" s="48"/>
      <c r="AK189" s="48"/>
      <c r="AL189" s="48"/>
      <c r="AM189" s="48"/>
      <c r="AN189" s="48"/>
      <c r="AO189" s="48"/>
      <c r="AP189" s="48"/>
      <c r="AQ189" s="48"/>
      <c r="AR189" s="48"/>
      <c r="AS189" s="48"/>
      <c r="AT189" s="48"/>
      <c r="AU189" s="48"/>
      <c r="AV189" s="48"/>
      <c r="AW189" s="48"/>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111"/>
    </row>
    <row r="190" spans="1:76">
      <c r="A190" s="37"/>
      <c r="B190" s="37"/>
      <c r="C190" s="37" t="s">
        <v>222</v>
      </c>
      <c r="D190" s="37"/>
      <c r="E190" s="37"/>
      <c r="F190" s="39"/>
      <c r="G190" s="59"/>
      <c r="H190" s="59"/>
      <c r="I190" s="59"/>
      <c r="J190" s="59"/>
      <c r="K190" s="59">
        <f>-5-19</f>
        <v>-24</v>
      </c>
      <c r="L190" s="59">
        <v>6</v>
      </c>
      <c r="M190" s="59"/>
      <c r="N190" s="59"/>
      <c r="O190" s="58"/>
      <c r="P190" s="48"/>
      <c r="Q190" s="48"/>
      <c r="R190" s="48"/>
      <c r="S190" s="48"/>
      <c r="T190" s="48"/>
      <c r="U190" s="48"/>
      <c r="V190" s="48"/>
      <c r="W190" s="48"/>
      <c r="X190" s="48"/>
      <c r="Y190" s="48"/>
      <c r="Z190" s="48"/>
      <c r="AA190" s="48"/>
      <c r="AB190" s="48"/>
      <c r="AC190" s="48"/>
      <c r="AD190" s="48"/>
      <c r="AE190" s="48"/>
      <c r="AF190" s="48"/>
      <c r="AG190" s="48"/>
      <c r="AH190" s="48"/>
      <c r="AI190" s="48"/>
      <c r="AJ190" s="48"/>
      <c r="AK190" s="48"/>
      <c r="AL190" s="48"/>
      <c r="AM190" s="48"/>
      <c r="AN190" s="48"/>
      <c r="AO190" s="48"/>
      <c r="AP190" s="48"/>
      <c r="AQ190" s="48"/>
      <c r="AR190" s="48"/>
      <c r="AS190" s="48"/>
      <c r="AT190" s="48"/>
      <c r="AU190" s="48"/>
      <c r="AV190" s="48"/>
      <c r="AW190" s="48"/>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111"/>
    </row>
    <row r="191" spans="1:76">
      <c r="A191" s="37"/>
      <c r="B191" s="37"/>
      <c r="C191" s="37" t="s">
        <v>18</v>
      </c>
      <c r="D191" s="37"/>
      <c r="E191" s="37"/>
      <c r="F191" s="39"/>
      <c r="G191" s="39" t="str">
        <f t="shared" ref="G191:N191" si="24">IF(AND(OR(ISTEXT(G192), ISBLANK(G192)),OR(ISTEXT(G193), ISBLANK(G193)),OR(ISTEXT(G194), ISBLANK(G194)),OR(ISTEXT(G195), ISBLANK(G195)),OR(ISTEXT(G196), ISBLANK(G196)),OR(ISTEXT(G197), ISBLANK(G197)),TRUE),"", +IF(ISTEXT(G192), 0,G192)+IF(ISTEXT(G193), 0,G193)-IF(ISTEXT(G194), 0,G194)-IF(ISTEXT(G195), 0,G195)-IF(ISTEXT(G196), 0,G196)+IF(ISTEXT(G197), 0,G197))</f>
        <v/>
      </c>
      <c r="H191" s="39" t="str">
        <f t="shared" si="24"/>
        <v/>
      </c>
      <c r="I191" s="39" t="str">
        <f t="shared" si="24"/>
        <v/>
      </c>
      <c r="J191" s="39" t="str">
        <f t="shared" si="24"/>
        <v/>
      </c>
      <c r="K191" s="39" t="str">
        <f t="shared" si="24"/>
        <v/>
      </c>
      <c r="L191" s="39" t="str">
        <f t="shared" si="24"/>
        <v/>
      </c>
      <c r="M191" s="39" t="str">
        <f t="shared" si="24"/>
        <v/>
      </c>
      <c r="N191" s="48" t="str">
        <f t="shared" si="24"/>
        <v/>
      </c>
      <c r="O191" s="36"/>
      <c r="P191" s="48"/>
      <c r="Q191" s="48"/>
      <c r="R191" s="48"/>
      <c r="S191" s="48"/>
      <c r="T191" s="48"/>
      <c r="U191" s="48"/>
      <c r="V191" s="48"/>
      <c r="W191" s="48"/>
      <c r="X191" s="48"/>
      <c r="Y191" s="48"/>
      <c r="Z191" s="48"/>
      <c r="AA191" s="48"/>
      <c r="AB191" s="48"/>
      <c r="AC191" s="48"/>
      <c r="AD191" s="48"/>
      <c r="AE191" s="48"/>
      <c r="AF191" s="48"/>
      <c r="AG191" s="48"/>
      <c r="AH191" s="48"/>
      <c r="AI191" s="48"/>
      <c r="AJ191" s="48"/>
      <c r="AK191" s="48"/>
      <c r="AL191" s="48"/>
      <c r="AM191" s="48"/>
      <c r="AN191" s="48"/>
      <c r="AO191" s="48"/>
      <c r="AP191" s="48"/>
      <c r="AQ191" s="48"/>
      <c r="AR191" s="48"/>
      <c r="AS191" s="48"/>
      <c r="AT191" s="48"/>
      <c r="AU191" s="48"/>
      <c r="AV191" s="48"/>
      <c r="AW191" s="48"/>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111"/>
    </row>
    <row r="192" spans="1:76">
      <c r="A192" s="37"/>
      <c r="B192" s="37"/>
      <c r="C192" s="37"/>
      <c r="D192" s="37" t="s">
        <v>1308</v>
      </c>
      <c r="E192" s="37"/>
      <c r="F192" s="39"/>
      <c r="G192" s="59"/>
      <c r="H192" s="59"/>
      <c r="I192" s="59"/>
      <c r="J192" s="59"/>
      <c r="K192" s="59"/>
      <c r="L192" s="59"/>
      <c r="M192" s="59"/>
      <c r="N192" s="60"/>
      <c r="O192" s="58"/>
      <c r="P192" s="48"/>
      <c r="Q192" s="48"/>
      <c r="R192" s="48"/>
      <c r="S192" s="48"/>
      <c r="T192" s="48"/>
      <c r="U192" s="48"/>
      <c r="V192" s="48"/>
      <c r="W192" s="48"/>
      <c r="X192" s="48"/>
      <c r="Y192" s="48"/>
      <c r="Z192" s="48"/>
      <c r="AA192" s="48"/>
      <c r="AB192" s="48"/>
      <c r="AC192" s="48"/>
      <c r="AD192" s="48"/>
      <c r="AE192" s="48"/>
      <c r="AF192" s="48"/>
      <c r="AG192" s="48"/>
      <c r="AH192" s="48"/>
      <c r="AI192" s="48"/>
      <c r="AJ192" s="48"/>
      <c r="AK192" s="48"/>
      <c r="AL192" s="48"/>
      <c r="AM192" s="48"/>
      <c r="AN192" s="48"/>
      <c r="AO192" s="48"/>
      <c r="AP192" s="48"/>
      <c r="AQ192" s="48"/>
      <c r="AR192" s="48"/>
      <c r="AS192" s="48"/>
      <c r="AT192" s="48"/>
      <c r="AU192" s="48"/>
      <c r="AV192" s="48"/>
      <c r="AW192" s="48"/>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111"/>
    </row>
    <row r="193" spans="1:76">
      <c r="A193" s="37"/>
      <c r="B193" s="37"/>
      <c r="C193" s="37"/>
      <c r="D193" s="37" t="s">
        <v>440</v>
      </c>
      <c r="E193" s="37"/>
      <c r="F193" s="39"/>
      <c r="G193" s="59"/>
      <c r="H193" s="59"/>
      <c r="I193" s="59"/>
      <c r="J193" s="59"/>
      <c r="K193" s="59"/>
      <c r="L193" s="59"/>
      <c r="M193" s="59"/>
      <c r="N193" s="60"/>
      <c r="O193" s="36"/>
      <c r="P193" s="48"/>
      <c r="Q193" s="48"/>
      <c r="R193" s="48"/>
      <c r="S193" s="48"/>
      <c r="T193" s="48"/>
      <c r="U193" s="48"/>
      <c r="V193" s="48"/>
      <c r="W193" s="48"/>
      <c r="X193" s="48"/>
      <c r="Y193" s="48"/>
      <c r="Z193" s="48"/>
      <c r="AA193" s="48"/>
      <c r="AB193" s="48"/>
      <c r="AC193" s="48"/>
      <c r="AD193" s="48"/>
      <c r="AE193" s="48"/>
      <c r="AF193" s="48"/>
      <c r="AG193" s="48"/>
      <c r="AH193" s="48"/>
      <c r="AI193" s="48"/>
      <c r="AJ193" s="48"/>
      <c r="AK193" s="48"/>
      <c r="AL193" s="48"/>
      <c r="AM193" s="48"/>
      <c r="AN193" s="48"/>
      <c r="AO193" s="48"/>
      <c r="AP193" s="48"/>
      <c r="AQ193" s="48"/>
      <c r="AR193" s="48"/>
      <c r="AS193" s="48"/>
      <c r="AT193" s="48"/>
      <c r="AU193" s="48"/>
      <c r="AV193" s="48"/>
      <c r="AW193" s="48"/>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111"/>
    </row>
    <row r="194" spans="1:76">
      <c r="A194" s="37"/>
      <c r="B194" s="37"/>
      <c r="C194" s="37"/>
      <c r="D194" s="37" t="s">
        <v>469</v>
      </c>
      <c r="E194" s="37"/>
      <c r="F194" s="39"/>
      <c r="G194" s="59"/>
      <c r="H194" s="59"/>
      <c r="I194" s="59"/>
      <c r="J194" s="59"/>
      <c r="K194" s="59"/>
      <c r="L194" s="59"/>
      <c r="M194" s="59"/>
      <c r="N194" s="60"/>
      <c r="O194" s="36"/>
      <c r="P194" s="48"/>
      <c r="Q194" s="48"/>
      <c r="R194" s="48"/>
      <c r="S194" s="48"/>
      <c r="T194" s="48"/>
      <c r="U194" s="48"/>
      <c r="V194" s="48"/>
      <c r="W194" s="48"/>
      <c r="X194" s="48"/>
      <c r="Y194" s="48"/>
      <c r="Z194" s="48"/>
      <c r="AA194" s="48"/>
      <c r="AB194" s="48"/>
      <c r="AC194" s="48"/>
      <c r="AD194" s="48"/>
      <c r="AE194" s="48"/>
      <c r="AF194" s="48"/>
      <c r="AG194" s="48"/>
      <c r="AH194" s="48"/>
      <c r="AI194" s="48"/>
      <c r="AJ194" s="48"/>
      <c r="AK194" s="48"/>
      <c r="AL194" s="48"/>
      <c r="AM194" s="48"/>
      <c r="AN194" s="48"/>
      <c r="AO194" s="48"/>
      <c r="AP194" s="48"/>
      <c r="AQ194" s="48"/>
      <c r="AR194" s="48"/>
      <c r="AS194" s="48"/>
      <c r="AT194" s="48"/>
      <c r="AU194" s="48"/>
      <c r="AV194" s="48"/>
      <c r="AW194" s="48"/>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111"/>
    </row>
    <row r="195" spans="1:76">
      <c r="A195" s="37"/>
      <c r="B195" s="37"/>
      <c r="C195" s="37"/>
      <c r="D195" s="37" t="s">
        <v>1470</v>
      </c>
      <c r="E195" s="37"/>
      <c r="F195" s="39"/>
      <c r="G195" s="59"/>
      <c r="H195" s="59"/>
      <c r="I195" s="59"/>
      <c r="J195" s="59"/>
      <c r="K195" s="59"/>
      <c r="L195" s="59"/>
      <c r="M195" s="59"/>
      <c r="N195" s="60"/>
      <c r="O195" s="36"/>
      <c r="P195" s="48"/>
      <c r="Q195" s="48"/>
      <c r="R195" s="48"/>
      <c r="S195" s="48"/>
      <c r="T195" s="48"/>
      <c r="U195" s="48"/>
      <c r="V195" s="48"/>
      <c r="W195" s="48"/>
      <c r="X195" s="48"/>
      <c r="Y195" s="48"/>
      <c r="Z195" s="48"/>
      <c r="AA195" s="48"/>
      <c r="AB195" s="48"/>
      <c r="AC195" s="48"/>
      <c r="AD195" s="48"/>
      <c r="AE195" s="48"/>
      <c r="AF195" s="48"/>
      <c r="AG195" s="48"/>
      <c r="AH195" s="48"/>
      <c r="AI195" s="48"/>
      <c r="AJ195" s="48"/>
      <c r="AK195" s="48"/>
      <c r="AL195" s="48"/>
      <c r="AM195" s="48"/>
      <c r="AN195" s="48"/>
      <c r="AO195" s="48"/>
      <c r="AP195" s="48"/>
      <c r="AQ195" s="48"/>
      <c r="AR195" s="48"/>
      <c r="AS195" s="48"/>
      <c r="AT195" s="48"/>
      <c r="AU195" s="48"/>
      <c r="AV195" s="48"/>
      <c r="AW195" s="48"/>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111"/>
    </row>
    <row r="196" spans="1:76">
      <c r="A196" s="37"/>
      <c r="B196" s="37"/>
      <c r="C196" s="37"/>
      <c r="D196" s="37" t="s">
        <v>206</v>
      </c>
      <c r="E196" s="37"/>
      <c r="F196" s="39"/>
      <c r="G196" s="59"/>
      <c r="H196" s="59"/>
      <c r="I196" s="59"/>
      <c r="J196" s="59"/>
      <c r="K196" s="59"/>
      <c r="L196" s="59"/>
      <c r="M196" s="59"/>
      <c r="N196" s="60"/>
      <c r="O196" s="36"/>
      <c r="P196" s="48"/>
      <c r="Q196" s="48"/>
      <c r="R196" s="48"/>
      <c r="S196" s="48"/>
      <c r="T196" s="48"/>
      <c r="U196" s="48"/>
      <c r="V196" s="48"/>
      <c r="W196" s="48"/>
      <c r="X196" s="48"/>
      <c r="Y196" s="48"/>
      <c r="Z196" s="48"/>
      <c r="AA196" s="48"/>
      <c r="AB196" s="48"/>
      <c r="AC196" s="48"/>
      <c r="AD196" s="48"/>
      <c r="AE196" s="48"/>
      <c r="AF196" s="48"/>
      <c r="AG196" s="48"/>
      <c r="AH196" s="48"/>
      <c r="AI196" s="48"/>
      <c r="AJ196" s="48"/>
      <c r="AK196" s="48"/>
      <c r="AL196" s="48"/>
      <c r="AM196" s="48"/>
      <c r="AN196" s="48"/>
      <c r="AO196" s="48"/>
      <c r="AP196" s="48"/>
      <c r="AQ196" s="48"/>
      <c r="AR196" s="48"/>
      <c r="AS196" s="48"/>
      <c r="AT196" s="48"/>
      <c r="AU196" s="48"/>
      <c r="AV196" s="48"/>
      <c r="AW196" s="48"/>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111"/>
    </row>
    <row r="197" spans="1:76">
      <c r="A197" s="37"/>
      <c r="B197" s="37"/>
      <c r="C197" s="37"/>
      <c r="D197" s="37" t="s">
        <v>2079</v>
      </c>
      <c r="E197" s="37"/>
      <c r="F197" s="39"/>
      <c r="G197" s="59"/>
      <c r="H197" s="59"/>
      <c r="I197" s="59"/>
      <c r="J197" s="59"/>
      <c r="K197" s="59"/>
      <c r="L197" s="59"/>
      <c r="M197" s="59"/>
      <c r="N197" s="60"/>
      <c r="O197" s="36"/>
      <c r="P197" s="48"/>
      <c r="Q197" s="48"/>
      <c r="R197" s="48"/>
      <c r="S197" s="48"/>
      <c r="T197" s="48"/>
      <c r="U197" s="48"/>
      <c r="V197" s="48"/>
      <c r="W197" s="48"/>
      <c r="X197" s="48"/>
      <c r="Y197" s="48"/>
      <c r="Z197" s="48"/>
      <c r="AA197" s="48"/>
      <c r="AB197" s="48"/>
      <c r="AC197" s="48"/>
      <c r="AD197" s="48"/>
      <c r="AE197" s="48"/>
      <c r="AF197" s="48"/>
      <c r="AG197" s="48"/>
      <c r="AH197" s="48"/>
      <c r="AI197" s="48"/>
      <c r="AJ197" s="48"/>
      <c r="AK197" s="48"/>
      <c r="AL197" s="48"/>
      <c r="AM197" s="48"/>
      <c r="AN197" s="48"/>
      <c r="AO197" s="48"/>
      <c r="AP197" s="48"/>
      <c r="AQ197" s="48"/>
      <c r="AR197" s="48"/>
      <c r="AS197" s="48"/>
      <c r="AT197" s="48"/>
      <c r="AU197" s="48"/>
      <c r="AV197" s="48"/>
      <c r="AW197" s="48"/>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111"/>
    </row>
    <row r="198" spans="1:76">
      <c r="A198" s="37"/>
      <c r="B198" s="37"/>
      <c r="C198" s="37" t="s">
        <v>1505</v>
      </c>
      <c r="D198" s="37"/>
      <c r="E198" s="37"/>
      <c r="F198" s="39"/>
      <c r="G198" s="59"/>
      <c r="H198" s="59"/>
      <c r="I198" s="59"/>
      <c r="J198" s="59"/>
      <c r="K198" s="59"/>
      <c r="L198" s="59">
        <v>8</v>
      </c>
      <c r="M198" s="59">
        <v>12</v>
      </c>
      <c r="N198" s="60">
        <v>32</v>
      </c>
      <c r="O198" s="36"/>
      <c r="P198" s="48"/>
      <c r="Q198" s="48"/>
      <c r="R198" s="48"/>
      <c r="S198" s="48"/>
      <c r="T198" s="48"/>
      <c r="U198" s="48"/>
      <c r="V198" s="48"/>
      <c r="W198" s="48"/>
      <c r="X198" s="48"/>
      <c r="Y198" s="48"/>
      <c r="Z198" s="48"/>
      <c r="AA198" s="48"/>
      <c r="AB198" s="48"/>
      <c r="AC198" s="48"/>
      <c r="AD198" s="48"/>
      <c r="AE198" s="48"/>
      <c r="AF198" s="48"/>
      <c r="AG198" s="48"/>
      <c r="AH198" s="48"/>
      <c r="AI198" s="48"/>
      <c r="AJ198" s="48"/>
      <c r="AK198" s="48"/>
      <c r="AL198" s="48"/>
      <c r="AM198" s="48"/>
      <c r="AN198" s="48"/>
      <c r="AO198" s="48"/>
      <c r="AP198" s="48"/>
      <c r="AQ198" s="48"/>
      <c r="AR198" s="48"/>
      <c r="AS198" s="48"/>
      <c r="AT198" s="48"/>
      <c r="AU198" s="48"/>
      <c r="AV198" s="48"/>
      <c r="AW198" s="48"/>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111"/>
    </row>
    <row r="199" spans="1:76">
      <c r="A199" s="37"/>
      <c r="B199" s="37"/>
      <c r="C199" s="37" t="s">
        <v>402</v>
      </c>
      <c r="D199" s="37"/>
      <c r="E199" s="37"/>
      <c r="F199" s="39"/>
      <c r="G199" s="59"/>
      <c r="H199" s="59"/>
      <c r="I199" s="59"/>
      <c r="J199" s="59"/>
      <c r="K199" s="59"/>
      <c r="L199" s="59"/>
      <c r="M199" s="59"/>
      <c r="N199" s="60"/>
      <c r="O199" s="36"/>
      <c r="P199" s="48"/>
      <c r="Q199" s="48"/>
      <c r="R199" s="48"/>
      <c r="S199" s="48"/>
      <c r="T199" s="48"/>
      <c r="U199" s="48"/>
      <c r="V199" s="48"/>
      <c r="W199" s="48"/>
      <c r="X199" s="48"/>
      <c r="Y199" s="48"/>
      <c r="Z199" s="48"/>
      <c r="AA199" s="48"/>
      <c r="AB199" s="48"/>
      <c r="AC199" s="48"/>
      <c r="AD199" s="48"/>
      <c r="AE199" s="48"/>
      <c r="AF199" s="48"/>
      <c r="AG199" s="48"/>
      <c r="AH199" s="48"/>
      <c r="AI199" s="48"/>
      <c r="AJ199" s="48"/>
      <c r="AK199" s="48"/>
      <c r="AL199" s="48"/>
      <c r="AM199" s="48"/>
      <c r="AN199" s="48"/>
      <c r="AO199" s="48"/>
      <c r="AP199" s="48"/>
      <c r="AQ199" s="48"/>
      <c r="AR199" s="48"/>
      <c r="AS199" s="48"/>
      <c r="AT199" s="48"/>
      <c r="AU199" s="48"/>
      <c r="AV199" s="48"/>
      <c r="AW199" s="48"/>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111"/>
    </row>
    <row r="200" spans="1:76">
      <c r="A200" s="37"/>
      <c r="B200" s="37"/>
      <c r="C200" s="37" t="s">
        <v>1675</v>
      </c>
      <c r="D200" s="37"/>
      <c r="E200" s="37"/>
      <c r="F200" s="39"/>
      <c r="G200" s="59"/>
      <c r="H200" s="59"/>
      <c r="I200" s="59"/>
      <c r="J200" s="59"/>
      <c r="K200" s="59"/>
      <c r="L200" s="59"/>
      <c r="M200" s="59"/>
      <c r="N200" s="60"/>
      <c r="O200" s="36"/>
      <c r="P200" s="48"/>
      <c r="Q200" s="48"/>
      <c r="R200" s="48"/>
      <c r="S200" s="48"/>
      <c r="T200" s="48"/>
      <c r="U200" s="48"/>
      <c r="V200" s="48"/>
      <c r="W200" s="48"/>
      <c r="X200" s="48"/>
      <c r="Y200" s="48"/>
      <c r="Z200" s="48"/>
      <c r="AA200" s="48"/>
      <c r="AB200" s="48"/>
      <c r="AC200" s="48"/>
      <c r="AD200" s="48"/>
      <c r="AE200" s="48"/>
      <c r="AF200" s="48"/>
      <c r="AG200" s="48"/>
      <c r="AH200" s="48"/>
      <c r="AI200" s="48"/>
      <c r="AJ200" s="48"/>
      <c r="AK200" s="48"/>
      <c r="AL200" s="48"/>
      <c r="AM200" s="48"/>
      <c r="AN200" s="48"/>
      <c r="AO200" s="48"/>
      <c r="AP200" s="48"/>
      <c r="AQ200" s="48"/>
      <c r="AR200" s="48"/>
      <c r="AS200" s="48"/>
      <c r="AT200" s="48"/>
      <c r="AU200" s="48"/>
      <c r="AV200" s="48"/>
      <c r="AW200" s="48"/>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111"/>
    </row>
    <row r="201" spans="1:76">
      <c r="A201" s="37"/>
      <c r="B201" s="37"/>
      <c r="C201" s="37" t="s">
        <v>597</v>
      </c>
      <c r="D201" s="37"/>
      <c r="E201" s="37"/>
      <c r="F201" s="39"/>
      <c r="G201" s="59">
        <v>432</v>
      </c>
      <c r="H201" s="59">
        <v>55</v>
      </c>
      <c r="I201" s="59">
        <v>191</v>
      </c>
      <c r="J201" s="59">
        <v>2</v>
      </c>
      <c r="K201" s="59">
        <f>-57</f>
        <v>-57</v>
      </c>
      <c r="L201" s="59">
        <v>3</v>
      </c>
      <c r="M201" s="59"/>
      <c r="N201" s="59">
        <v>-33</v>
      </c>
      <c r="O201" s="36"/>
      <c r="P201" s="48"/>
      <c r="Q201" s="48"/>
      <c r="R201" s="48"/>
      <c r="S201" s="48"/>
      <c r="T201" s="48"/>
      <c r="U201" s="48"/>
      <c r="V201" s="48"/>
      <c r="W201" s="48"/>
      <c r="X201" s="48"/>
      <c r="Y201" s="48"/>
      <c r="Z201" s="48"/>
      <c r="AA201" s="48"/>
      <c r="AB201" s="48"/>
      <c r="AC201" s="48"/>
      <c r="AD201" s="48"/>
      <c r="AE201" s="48"/>
      <c r="AF201" s="48"/>
      <c r="AG201" s="48"/>
      <c r="AH201" s="48"/>
      <c r="AI201" s="48"/>
      <c r="AJ201" s="48"/>
      <c r="AK201" s="48"/>
      <c r="AL201" s="48"/>
      <c r="AM201" s="48"/>
      <c r="AN201" s="48"/>
      <c r="AO201" s="48"/>
      <c r="AP201" s="48"/>
      <c r="AQ201" s="48"/>
      <c r="AR201" s="48"/>
      <c r="AS201" s="48"/>
      <c r="AT201" s="48"/>
      <c r="AU201" s="48"/>
      <c r="AV201" s="48"/>
      <c r="AW201" s="48"/>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111"/>
    </row>
    <row r="202" spans="1:76">
      <c r="A202" s="37"/>
      <c r="B202" s="37"/>
      <c r="C202" s="37" t="s">
        <v>1701</v>
      </c>
      <c r="D202" s="37"/>
      <c r="E202" s="37"/>
      <c r="F202" s="39"/>
      <c r="G202" s="39" t="str">
        <f t="shared" ref="G202:N202" si="25">IF(AND(OR(ISTEXT(G203), ISBLANK(G203)),OR(ISTEXT(G204), ISBLANK(G204)),TRUE),"", +IF(ISTEXT(G203), 0,G203)-IF(ISTEXT(G204), 0,G204))</f>
        <v/>
      </c>
      <c r="H202" s="39" t="str">
        <f t="shared" si="25"/>
        <v/>
      </c>
      <c r="I202" s="39" t="str">
        <f t="shared" si="25"/>
        <v/>
      </c>
      <c r="J202" s="39" t="str">
        <f t="shared" si="25"/>
        <v/>
      </c>
      <c r="K202" s="39" t="str">
        <f t="shared" si="25"/>
        <v/>
      </c>
      <c r="L202" s="39" t="str">
        <f t="shared" si="25"/>
        <v/>
      </c>
      <c r="M202" s="39" t="str">
        <f t="shared" si="25"/>
        <v/>
      </c>
      <c r="N202" s="48" t="str">
        <f t="shared" si="25"/>
        <v/>
      </c>
      <c r="O202" s="36"/>
      <c r="P202" s="48"/>
      <c r="Q202" s="48"/>
      <c r="R202" s="48"/>
      <c r="S202" s="48"/>
      <c r="T202" s="48"/>
      <c r="U202" s="48"/>
      <c r="V202" s="48"/>
      <c r="W202" s="48"/>
      <c r="X202" s="48"/>
      <c r="Y202" s="48"/>
      <c r="Z202" s="48"/>
      <c r="AA202" s="48"/>
      <c r="AB202" s="48"/>
      <c r="AC202" s="48"/>
      <c r="AD202" s="48"/>
      <c r="AE202" s="48"/>
      <c r="AF202" s="48"/>
      <c r="AG202" s="48"/>
      <c r="AH202" s="48"/>
      <c r="AI202" s="48"/>
      <c r="AJ202" s="48"/>
      <c r="AK202" s="48"/>
      <c r="AL202" s="48"/>
      <c r="AM202" s="48"/>
      <c r="AN202" s="48"/>
      <c r="AO202" s="48"/>
      <c r="AP202" s="48"/>
      <c r="AQ202" s="48"/>
      <c r="AR202" s="48"/>
      <c r="AS202" s="48"/>
      <c r="AT202" s="48"/>
      <c r="AU202" s="48"/>
      <c r="AV202" s="48"/>
      <c r="AW202" s="48"/>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111"/>
    </row>
    <row r="203" spans="1:76">
      <c r="A203" s="37"/>
      <c r="B203" s="62"/>
      <c r="C203" s="37"/>
      <c r="D203" s="37" t="s">
        <v>608</v>
      </c>
      <c r="E203" s="37"/>
      <c r="F203" s="39"/>
      <c r="G203" s="59"/>
      <c r="H203" s="59"/>
      <c r="I203" s="59"/>
      <c r="J203" s="59"/>
      <c r="K203" s="59"/>
      <c r="L203" s="59"/>
      <c r="M203" s="59"/>
      <c r="N203" s="59"/>
      <c r="O203" s="36"/>
      <c r="P203" s="48"/>
      <c r="Q203" s="48"/>
      <c r="R203" s="48"/>
      <c r="S203" s="48"/>
      <c r="T203" s="48"/>
      <c r="U203" s="48"/>
      <c r="V203" s="48"/>
      <c r="W203" s="48"/>
      <c r="X203" s="48"/>
      <c r="Y203" s="48"/>
      <c r="Z203" s="48"/>
      <c r="AA203" s="48"/>
      <c r="AB203" s="48"/>
      <c r="AC203" s="48"/>
      <c r="AD203" s="48"/>
      <c r="AE203" s="48"/>
      <c r="AF203" s="48"/>
      <c r="AG203" s="48"/>
      <c r="AH203" s="48"/>
      <c r="AI203" s="48"/>
      <c r="AJ203" s="48"/>
      <c r="AK203" s="48"/>
      <c r="AL203" s="48"/>
      <c r="AM203" s="48"/>
      <c r="AN203" s="48"/>
      <c r="AO203" s="48"/>
      <c r="AP203" s="48"/>
      <c r="AQ203" s="48"/>
      <c r="AR203" s="48"/>
      <c r="AS203" s="48"/>
      <c r="AT203" s="48"/>
      <c r="AU203" s="48"/>
      <c r="AV203" s="48"/>
      <c r="AW203" s="48"/>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111"/>
    </row>
    <row r="204" spans="1:76">
      <c r="A204" s="37"/>
      <c r="B204" s="37"/>
      <c r="C204" s="37"/>
      <c r="D204" s="37" t="s">
        <v>2081</v>
      </c>
      <c r="E204" s="37"/>
      <c r="F204" s="39"/>
      <c r="G204" s="60"/>
      <c r="H204" s="60"/>
      <c r="I204" s="60"/>
      <c r="J204" s="60"/>
      <c r="K204" s="60"/>
      <c r="L204" s="60"/>
      <c r="M204" s="60"/>
      <c r="N204" s="60"/>
      <c r="O204" s="36"/>
      <c r="P204" s="48"/>
      <c r="Q204" s="48"/>
      <c r="R204" s="48"/>
      <c r="S204" s="48"/>
      <c r="T204" s="48"/>
      <c r="U204" s="48"/>
      <c r="V204" s="48"/>
      <c r="W204" s="48"/>
      <c r="X204" s="48"/>
      <c r="Y204" s="48"/>
      <c r="Z204" s="48"/>
      <c r="AA204" s="48"/>
      <c r="AB204" s="48"/>
      <c r="AC204" s="48"/>
      <c r="AD204" s="48"/>
      <c r="AE204" s="48"/>
      <c r="AF204" s="48"/>
      <c r="AG204" s="48"/>
      <c r="AH204" s="48"/>
      <c r="AI204" s="48"/>
      <c r="AJ204" s="48"/>
      <c r="AK204" s="48"/>
      <c r="AL204" s="48"/>
      <c r="AM204" s="48"/>
      <c r="AN204" s="48"/>
      <c r="AO204" s="48"/>
      <c r="AP204" s="48"/>
      <c r="AQ204" s="48"/>
      <c r="AR204" s="48"/>
      <c r="AS204" s="48"/>
      <c r="AT204" s="48"/>
      <c r="AU204" s="48"/>
      <c r="AV204" s="48"/>
      <c r="AW204" s="48"/>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111"/>
    </row>
    <row r="205" spans="1:76">
      <c r="A205" s="37"/>
      <c r="B205" s="37"/>
      <c r="C205" s="37" t="s">
        <v>1599</v>
      </c>
      <c r="D205" s="37"/>
      <c r="E205" s="37"/>
      <c r="F205" s="39"/>
      <c r="G205" s="59"/>
      <c r="H205" s="59"/>
      <c r="I205" s="59"/>
      <c r="J205" s="59"/>
      <c r="K205" s="59"/>
      <c r="L205" s="59"/>
      <c r="M205" s="59"/>
      <c r="N205" s="60"/>
      <c r="O205" s="36"/>
      <c r="P205" s="48"/>
      <c r="Q205" s="48"/>
      <c r="R205" s="48"/>
      <c r="S205" s="48"/>
      <c r="T205" s="48"/>
      <c r="U205" s="48"/>
      <c r="V205" s="48"/>
      <c r="W205" s="48"/>
      <c r="X205" s="48"/>
      <c r="Y205" s="48"/>
      <c r="Z205" s="48"/>
      <c r="AA205" s="48"/>
      <c r="AB205" s="48"/>
      <c r="AC205" s="48"/>
      <c r="AD205" s="48"/>
      <c r="AE205" s="48"/>
      <c r="AF205" s="48"/>
      <c r="AG205" s="48"/>
      <c r="AH205" s="48"/>
      <c r="AI205" s="48"/>
      <c r="AJ205" s="48"/>
      <c r="AK205" s="48"/>
      <c r="AL205" s="48"/>
      <c r="AM205" s="48"/>
      <c r="AN205" s="48"/>
      <c r="AO205" s="48"/>
      <c r="AP205" s="48"/>
      <c r="AQ205" s="48"/>
      <c r="AR205" s="48"/>
      <c r="AS205" s="48"/>
      <c r="AT205" s="48"/>
      <c r="AU205" s="48"/>
      <c r="AV205" s="48"/>
      <c r="AW205" s="48"/>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111"/>
    </row>
    <row r="206" spans="1:76">
      <c r="A206" s="37"/>
      <c r="B206" s="37"/>
      <c r="C206" s="37" t="s">
        <v>1628</v>
      </c>
      <c r="D206" s="37"/>
      <c r="E206" s="37"/>
      <c r="F206" s="39"/>
      <c r="G206" s="59"/>
      <c r="H206" s="59"/>
      <c r="I206" s="59"/>
      <c r="J206" s="59"/>
      <c r="K206" s="59"/>
      <c r="L206" s="59"/>
      <c r="M206" s="59"/>
      <c r="N206" s="60"/>
      <c r="O206" s="58"/>
      <c r="P206" s="48"/>
      <c r="Q206" s="48"/>
      <c r="R206" s="48"/>
      <c r="S206" s="48"/>
      <c r="T206" s="48"/>
      <c r="U206" s="48"/>
      <c r="V206" s="48"/>
      <c r="W206" s="48"/>
      <c r="X206" s="48"/>
      <c r="Y206" s="48"/>
      <c r="Z206" s="48"/>
      <c r="AA206" s="48"/>
      <c r="AB206" s="48"/>
      <c r="AC206" s="48"/>
      <c r="AD206" s="48"/>
      <c r="AE206" s="48"/>
      <c r="AF206" s="48"/>
      <c r="AG206" s="48"/>
      <c r="AH206" s="48"/>
      <c r="AI206" s="48"/>
      <c r="AJ206" s="48"/>
      <c r="AK206" s="48"/>
      <c r="AL206" s="48"/>
      <c r="AM206" s="48"/>
      <c r="AN206" s="48"/>
      <c r="AO206" s="48"/>
      <c r="AP206" s="48"/>
      <c r="AQ206" s="48"/>
      <c r="AR206" s="48"/>
      <c r="AS206" s="48"/>
      <c r="AT206" s="48"/>
      <c r="AU206" s="48"/>
      <c r="AV206" s="48"/>
      <c r="AW206" s="48"/>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111"/>
    </row>
    <row r="207" spans="1:76">
      <c r="A207" s="37"/>
      <c r="B207" s="37"/>
      <c r="C207" s="62" t="s">
        <v>239</v>
      </c>
      <c r="D207" s="37"/>
      <c r="E207" s="37"/>
      <c r="F207" s="39"/>
      <c r="G207" s="39" t="str">
        <f t="shared" ref="G207:L207" si="26">IF(AND(OR(ISTEXT(G208), ISBLANK(G208)),OR(ISTEXT(G211), ISBLANK(G211)),TRUE),"", +IF(ISTEXT(G208), 0,G208)+IF(ISTEXT(G211), 0,G211))</f>
        <v/>
      </c>
      <c r="H207" s="39" t="str">
        <f t="shared" si="26"/>
        <v/>
      </c>
      <c r="I207" s="39" t="str">
        <f t="shared" si="26"/>
        <v/>
      </c>
      <c r="J207" s="39" t="str">
        <f t="shared" si="26"/>
        <v/>
      </c>
      <c r="K207" s="39" t="str">
        <f t="shared" si="26"/>
        <v/>
      </c>
      <c r="L207" s="39" t="str">
        <f t="shared" si="26"/>
        <v/>
      </c>
      <c r="M207" s="63"/>
      <c r="N207" s="63"/>
      <c r="O207" s="58"/>
      <c r="P207" s="48"/>
      <c r="Q207" s="48"/>
      <c r="R207" s="48"/>
      <c r="S207" s="48"/>
      <c r="T207" s="48"/>
      <c r="U207" s="48"/>
      <c r="V207" s="48"/>
      <c r="W207" s="48"/>
      <c r="X207" s="48"/>
      <c r="Y207" s="48"/>
      <c r="Z207" s="48"/>
      <c r="AA207" s="48"/>
      <c r="AB207" s="48"/>
      <c r="AC207" s="48"/>
      <c r="AD207" s="48"/>
      <c r="AE207" s="48"/>
      <c r="AF207" s="48"/>
      <c r="AG207" s="48"/>
      <c r="AH207" s="48"/>
      <c r="AI207" s="48"/>
      <c r="AJ207" s="48"/>
      <c r="AK207" s="48"/>
      <c r="AL207" s="48"/>
      <c r="AM207" s="48"/>
      <c r="AN207" s="48"/>
      <c r="AO207" s="48"/>
      <c r="AP207" s="48"/>
      <c r="AQ207" s="48"/>
      <c r="AR207" s="48"/>
      <c r="AS207" s="48"/>
      <c r="AT207" s="48"/>
      <c r="AU207" s="48"/>
      <c r="AV207" s="48"/>
      <c r="AW207" s="48"/>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111"/>
    </row>
    <row r="208" spans="1:76">
      <c r="A208" s="37"/>
      <c r="B208" s="37"/>
      <c r="C208" s="37"/>
      <c r="D208" s="37" t="s">
        <v>1607</v>
      </c>
      <c r="E208" s="37"/>
      <c r="F208" s="39"/>
      <c r="G208" s="39" t="str">
        <f t="shared" ref="G208:N208" si="27">IF(AND(OR(ISTEXT(G209), ISBLANK(G209)),OR(ISTEXT(G210), ISBLANK(G210)),TRUE),"", +IF(ISTEXT(G209), 0,G209)+IF(ISTEXT(G210), 0,G210))</f>
        <v/>
      </c>
      <c r="H208" s="39" t="str">
        <f t="shared" si="27"/>
        <v/>
      </c>
      <c r="I208" s="39" t="str">
        <f t="shared" si="27"/>
        <v/>
      </c>
      <c r="J208" s="39" t="str">
        <f t="shared" si="27"/>
        <v/>
      </c>
      <c r="K208" s="39" t="str">
        <f t="shared" si="27"/>
        <v/>
      </c>
      <c r="L208" s="39" t="str">
        <f t="shared" si="27"/>
        <v/>
      </c>
      <c r="M208" s="39" t="str">
        <f t="shared" si="27"/>
        <v/>
      </c>
      <c r="N208" s="48" t="str">
        <f t="shared" si="27"/>
        <v/>
      </c>
      <c r="O208" s="36"/>
      <c r="P208" s="48"/>
      <c r="Q208" s="48"/>
      <c r="R208" s="48"/>
      <c r="S208" s="48"/>
      <c r="T208" s="48"/>
      <c r="U208" s="48"/>
      <c r="V208" s="48"/>
      <c r="W208" s="48"/>
      <c r="X208" s="48"/>
      <c r="Y208" s="48"/>
      <c r="Z208" s="48"/>
      <c r="AA208" s="48"/>
      <c r="AB208" s="48"/>
      <c r="AC208" s="48"/>
      <c r="AD208" s="48"/>
      <c r="AE208" s="48"/>
      <c r="AF208" s="48"/>
      <c r="AG208" s="48"/>
      <c r="AH208" s="48"/>
      <c r="AI208" s="48"/>
      <c r="AJ208" s="48"/>
      <c r="AK208" s="48"/>
      <c r="AL208" s="48"/>
      <c r="AM208" s="48"/>
      <c r="AN208" s="48"/>
      <c r="AO208" s="48"/>
      <c r="AP208" s="48"/>
      <c r="AQ208" s="48"/>
      <c r="AR208" s="48"/>
      <c r="AS208" s="48"/>
      <c r="AT208" s="48"/>
      <c r="AU208" s="48"/>
      <c r="AV208" s="48"/>
      <c r="AW208" s="48"/>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111"/>
    </row>
    <row r="209" spans="1:76">
      <c r="A209" s="37"/>
      <c r="B209" s="37"/>
      <c r="C209" s="37"/>
      <c r="D209" s="37"/>
      <c r="E209" s="37" t="s">
        <v>2145</v>
      </c>
      <c r="F209" s="39"/>
      <c r="G209" s="59"/>
      <c r="H209" s="59"/>
      <c r="I209" s="59"/>
      <c r="J209" s="59"/>
      <c r="K209" s="59"/>
      <c r="L209" s="59"/>
      <c r="M209" s="59"/>
      <c r="N209" s="60"/>
      <c r="O209" s="36"/>
      <c r="P209" s="48"/>
      <c r="Q209" s="48"/>
      <c r="R209" s="48"/>
      <c r="S209" s="48"/>
      <c r="T209" s="48"/>
      <c r="U209" s="48"/>
      <c r="V209" s="48"/>
      <c r="W209" s="48"/>
      <c r="X209" s="48"/>
      <c r="Y209" s="48"/>
      <c r="Z209" s="48"/>
      <c r="AA209" s="48"/>
      <c r="AB209" s="48"/>
      <c r="AC209" s="48"/>
      <c r="AD209" s="48"/>
      <c r="AE209" s="48"/>
      <c r="AF209" s="48"/>
      <c r="AG209" s="48"/>
      <c r="AH209" s="48"/>
      <c r="AI209" s="48"/>
      <c r="AJ209" s="48"/>
      <c r="AK209" s="48"/>
      <c r="AL209" s="48"/>
      <c r="AM209" s="48"/>
      <c r="AN209" s="48"/>
      <c r="AO209" s="48"/>
      <c r="AP209" s="48"/>
      <c r="AQ209" s="48"/>
      <c r="AR209" s="48"/>
      <c r="AS209" s="48"/>
      <c r="AT209" s="48"/>
      <c r="AU209" s="48"/>
      <c r="AV209" s="48"/>
      <c r="AW209" s="48"/>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111"/>
    </row>
    <row r="210" spans="1:76">
      <c r="A210" s="37"/>
      <c r="B210" s="37"/>
      <c r="C210" s="37"/>
      <c r="D210" s="37"/>
      <c r="E210" s="37" t="s">
        <v>726</v>
      </c>
      <c r="F210" s="39"/>
      <c r="G210" s="59"/>
      <c r="H210" s="59"/>
      <c r="I210" s="59"/>
      <c r="J210" s="59"/>
      <c r="K210" s="59"/>
      <c r="L210" s="59"/>
      <c r="M210" s="59"/>
      <c r="N210" s="60"/>
      <c r="O210" s="36"/>
      <c r="P210" s="48"/>
      <c r="Q210" s="48"/>
      <c r="R210" s="48"/>
      <c r="S210" s="48"/>
      <c r="T210" s="48"/>
      <c r="U210" s="48"/>
      <c r="V210" s="48"/>
      <c r="W210" s="48"/>
      <c r="X210" s="48"/>
      <c r="Y210" s="48"/>
      <c r="Z210" s="48"/>
      <c r="AA210" s="48"/>
      <c r="AB210" s="48"/>
      <c r="AC210" s="48"/>
      <c r="AD210" s="48"/>
      <c r="AE210" s="48"/>
      <c r="AF210" s="48"/>
      <c r="AG210" s="48"/>
      <c r="AH210" s="48"/>
      <c r="AI210" s="48"/>
      <c r="AJ210" s="48"/>
      <c r="AK210" s="48"/>
      <c r="AL210" s="48"/>
      <c r="AM210" s="48"/>
      <c r="AN210" s="48"/>
      <c r="AO210" s="48"/>
      <c r="AP210" s="48"/>
      <c r="AQ210" s="48"/>
      <c r="AR210" s="48"/>
      <c r="AS210" s="48"/>
      <c r="AT210" s="48"/>
      <c r="AU210" s="48"/>
      <c r="AV210" s="48"/>
      <c r="AW210" s="48"/>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111"/>
    </row>
    <row r="211" spans="1:76">
      <c r="A211" s="37"/>
      <c r="B211" s="37"/>
      <c r="C211" s="37"/>
      <c r="D211" s="37" t="s">
        <v>727</v>
      </c>
      <c r="E211" s="37"/>
      <c r="F211" s="39"/>
      <c r="G211" s="39" t="str">
        <f t="shared" ref="G211:N211" si="28">IF(AND(OR(ISTEXT(G212), ISBLANK(G212)),OR(ISTEXT(G213), ISBLANK(G213)),TRUE),"", +IF(ISTEXT(G212), 0,G212)+IF(ISTEXT(G213), 0,G213))</f>
        <v/>
      </c>
      <c r="H211" s="39" t="str">
        <f t="shared" si="28"/>
        <v/>
      </c>
      <c r="I211" s="39" t="str">
        <f t="shared" si="28"/>
        <v/>
      </c>
      <c r="J211" s="39" t="str">
        <f t="shared" si="28"/>
        <v/>
      </c>
      <c r="K211" s="39" t="str">
        <f t="shared" si="28"/>
        <v/>
      </c>
      <c r="L211" s="39" t="str">
        <f t="shared" si="28"/>
        <v/>
      </c>
      <c r="M211" s="39" t="str">
        <f t="shared" si="28"/>
        <v/>
      </c>
      <c r="N211" s="48" t="str">
        <f t="shared" si="28"/>
        <v/>
      </c>
      <c r="O211" s="36"/>
      <c r="P211" s="48"/>
      <c r="Q211" s="48"/>
      <c r="R211" s="48"/>
      <c r="S211" s="48"/>
      <c r="T211" s="48"/>
      <c r="U211" s="48"/>
      <c r="V211" s="48"/>
      <c r="W211" s="48"/>
      <c r="X211" s="48"/>
      <c r="Y211" s="48"/>
      <c r="Z211" s="48"/>
      <c r="AA211" s="48"/>
      <c r="AB211" s="48"/>
      <c r="AC211" s="48"/>
      <c r="AD211" s="48"/>
      <c r="AE211" s="48"/>
      <c r="AF211" s="48"/>
      <c r="AG211" s="48"/>
      <c r="AH211" s="48"/>
      <c r="AI211" s="48"/>
      <c r="AJ211" s="48"/>
      <c r="AK211" s="48"/>
      <c r="AL211" s="48"/>
      <c r="AM211" s="48"/>
      <c r="AN211" s="48"/>
      <c r="AO211" s="48"/>
      <c r="AP211" s="48"/>
      <c r="AQ211" s="48"/>
      <c r="AR211" s="48"/>
      <c r="AS211" s="48"/>
      <c r="AT211" s="48"/>
      <c r="AU211" s="48"/>
      <c r="AV211" s="48"/>
      <c r="AW211" s="48"/>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111"/>
    </row>
    <row r="212" spans="1:76">
      <c r="A212" s="37"/>
      <c r="B212" s="37"/>
      <c r="C212" s="37"/>
      <c r="D212" s="37"/>
      <c r="E212" s="37" t="s">
        <v>1758</v>
      </c>
      <c r="F212" s="39"/>
      <c r="G212" s="59"/>
      <c r="H212" s="59"/>
      <c r="I212" s="59"/>
      <c r="J212" s="59"/>
      <c r="K212" s="59"/>
      <c r="L212" s="59"/>
      <c r="M212" s="59"/>
      <c r="N212" s="60"/>
      <c r="O212" s="36"/>
      <c r="P212" s="48"/>
      <c r="Q212" s="48"/>
      <c r="R212" s="48"/>
      <c r="S212" s="48"/>
      <c r="T212" s="48"/>
      <c r="U212" s="48"/>
      <c r="V212" s="48"/>
      <c r="W212" s="48"/>
      <c r="X212" s="48"/>
      <c r="Y212" s="48"/>
      <c r="Z212" s="48"/>
      <c r="AA212" s="48"/>
      <c r="AB212" s="48"/>
      <c r="AC212" s="48"/>
      <c r="AD212" s="48"/>
      <c r="AE212" s="48"/>
      <c r="AF212" s="48"/>
      <c r="AG212" s="48"/>
      <c r="AH212" s="48"/>
      <c r="AI212" s="48"/>
      <c r="AJ212" s="48"/>
      <c r="AK212" s="48"/>
      <c r="AL212" s="48"/>
      <c r="AM212" s="48"/>
      <c r="AN212" s="48"/>
      <c r="AO212" s="48"/>
      <c r="AP212" s="48"/>
      <c r="AQ212" s="48"/>
      <c r="AR212" s="48"/>
      <c r="AS212" s="48"/>
      <c r="AT212" s="48"/>
      <c r="AU212" s="48"/>
      <c r="AV212" s="48"/>
      <c r="AW212" s="48"/>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111"/>
    </row>
    <row r="213" spans="1:76">
      <c r="A213" s="37"/>
      <c r="B213" s="37"/>
      <c r="C213" s="37"/>
      <c r="D213" s="37"/>
      <c r="E213" s="37" t="s">
        <v>546</v>
      </c>
      <c r="F213" s="39"/>
      <c r="G213" s="59"/>
      <c r="H213" s="59"/>
      <c r="I213" s="59"/>
      <c r="J213" s="59"/>
      <c r="K213" s="59"/>
      <c r="L213" s="59"/>
      <c r="M213" s="59"/>
      <c r="N213" s="60"/>
      <c r="O213" s="36"/>
      <c r="P213" s="48"/>
      <c r="Q213" s="48"/>
      <c r="R213" s="48"/>
      <c r="S213" s="48"/>
      <c r="T213" s="48"/>
      <c r="U213" s="48"/>
      <c r="V213" s="48"/>
      <c r="W213" s="48"/>
      <c r="X213" s="48"/>
      <c r="Y213" s="48"/>
      <c r="Z213" s="48"/>
      <c r="AA213" s="48"/>
      <c r="AB213" s="48"/>
      <c r="AC213" s="48"/>
      <c r="AD213" s="48"/>
      <c r="AE213" s="48"/>
      <c r="AF213" s="48"/>
      <c r="AG213" s="48"/>
      <c r="AH213" s="48"/>
      <c r="AI213" s="48"/>
      <c r="AJ213" s="48"/>
      <c r="AK213" s="48"/>
      <c r="AL213" s="48"/>
      <c r="AM213" s="48"/>
      <c r="AN213" s="48"/>
      <c r="AO213" s="48"/>
      <c r="AP213" s="48"/>
      <c r="AQ213" s="48"/>
      <c r="AR213" s="48"/>
      <c r="AS213" s="48"/>
      <c r="AT213" s="48"/>
      <c r="AU213" s="48"/>
      <c r="AV213" s="48"/>
      <c r="AW213" s="48"/>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111"/>
    </row>
    <row r="214" spans="1:76">
      <c r="A214" s="37"/>
      <c r="B214" s="37"/>
      <c r="C214" s="37" t="s">
        <v>2128</v>
      </c>
      <c r="D214" s="37"/>
      <c r="E214" s="37"/>
      <c r="F214" s="39"/>
      <c r="G214" s="59"/>
      <c r="H214" s="59"/>
      <c r="I214" s="59"/>
      <c r="J214" s="59"/>
      <c r="K214" s="59"/>
      <c r="L214" s="59"/>
      <c r="M214" s="59"/>
      <c r="N214" s="60"/>
      <c r="O214" s="58"/>
      <c r="P214" s="48"/>
      <c r="Q214" s="48"/>
      <c r="R214" s="48"/>
      <c r="S214" s="48"/>
      <c r="T214" s="48"/>
      <c r="U214" s="48"/>
      <c r="V214" s="48"/>
      <c r="W214" s="48"/>
      <c r="X214" s="48"/>
      <c r="Y214" s="48"/>
      <c r="Z214" s="48"/>
      <c r="AA214" s="48"/>
      <c r="AB214" s="48"/>
      <c r="AC214" s="48"/>
      <c r="AD214" s="48"/>
      <c r="AE214" s="48"/>
      <c r="AF214" s="48"/>
      <c r="AG214" s="48"/>
      <c r="AH214" s="48"/>
      <c r="AI214" s="48"/>
      <c r="AJ214" s="48"/>
      <c r="AK214" s="48"/>
      <c r="AL214" s="48"/>
      <c r="AM214" s="48"/>
      <c r="AN214" s="48"/>
      <c r="AO214" s="48"/>
      <c r="AP214" s="48"/>
      <c r="AQ214" s="48"/>
      <c r="AR214" s="48"/>
      <c r="AS214" s="48"/>
      <c r="AT214" s="48"/>
      <c r="AU214" s="48"/>
      <c r="AV214" s="48"/>
      <c r="AW214" s="48"/>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111"/>
    </row>
    <row r="215" spans="1:76">
      <c r="A215" s="37"/>
      <c r="B215" s="37"/>
      <c r="C215" s="37" t="s">
        <v>1448</v>
      </c>
      <c r="D215" s="37"/>
      <c r="E215" s="37"/>
      <c r="F215" s="39"/>
      <c r="G215" s="39">
        <f t="shared" ref="G215:N215" si="29">IF(AND(OR(ISTEXT(G216), ISBLANK(G216)),OR(ISTEXT(G217), ISBLANK(G217)),TRUE),"", +IF(ISTEXT(G216), 0,G216)-IF(ISTEXT(G217), 0,G217))</f>
        <v>449.15</v>
      </c>
      <c r="H215" s="39">
        <f t="shared" si="29"/>
        <v>104.71764705882353</v>
      </c>
      <c r="I215" s="39">
        <f t="shared" si="29"/>
        <v>-22.75</v>
      </c>
      <c r="J215" s="39" t="str">
        <f t="shared" si="29"/>
        <v/>
      </c>
      <c r="K215" s="39">
        <f t="shared" si="29"/>
        <v>-3.1194029850746272</v>
      </c>
      <c r="L215" s="61">
        <f t="shared" si="29"/>
        <v>-0.67034883720930227</v>
      </c>
      <c r="M215" s="61" t="str">
        <f t="shared" si="29"/>
        <v/>
      </c>
      <c r="N215" s="66" t="str">
        <f t="shared" si="29"/>
        <v/>
      </c>
      <c r="O215" s="36"/>
      <c r="P215" s="48"/>
      <c r="Q215" s="48"/>
      <c r="R215" s="48"/>
      <c r="S215" s="48"/>
      <c r="T215" s="48"/>
      <c r="U215" s="48"/>
      <c r="V215" s="48"/>
      <c r="W215" s="48"/>
      <c r="X215" s="48"/>
      <c r="Y215" s="48"/>
      <c r="Z215" s="48"/>
      <c r="AA215" s="48"/>
      <c r="AB215" s="48"/>
      <c r="AC215" s="48"/>
      <c r="AD215" s="48"/>
      <c r="AE215" s="48"/>
      <c r="AF215" s="48"/>
      <c r="AG215" s="48"/>
      <c r="AH215" s="48"/>
      <c r="AI215" s="48"/>
      <c r="AJ215" s="48"/>
      <c r="AK215" s="48"/>
      <c r="AL215" s="48"/>
      <c r="AM215" s="48"/>
      <c r="AN215" s="48"/>
      <c r="AO215" s="48"/>
      <c r="AP215" s="48"/>
      <c r="AQ215" s="48"/>
      <c r="AR215" s="48"/>
      <c r="AS215" s="48"/>
      <c r="AT215" s="48"/>
      <c r="AU215" s="48"/>
      <c r="AV215" s="48"/>
      <c r="AW215" s="48"/>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111"/>
    </row>
    <row r="216" spans="1:76">
      <c r="A216" s="37"/>
      <c r="B216" s="62"/>
      <c r="C216" s="37"/>
      <c r="D216" s="37" t="s">
        <v>2166</v>
      </c>
      <c r="E216" s="37"/>
      <c r="F216" s="39"/>
      <c r="G216" s="59">
        <v>691</v>
      </c>
      <c r="H216" s="59">
        <v>172</v>
      </c>
      <c r="I216" s="59">
        <f>-32-8+5</f>
        <v>-35</v>
      </c>
      <c r="J216" s="59"/>
      <c r="K216" s="59">
        <f>15-20</f>
        <v>-5</v>
      </c>
      <c r="L216" s="59">
        <v>-1</v>
      </c>
      <c r="M216" s="59"/>
      <c r="N216" s="60"/>
      <c r="O216" s="58"/>
      <c r="P216" s="48"/>
      <c r="Q216" s="48"/>
      <c r="R216" s="48"/>
      <c r="S216" s="48"/>
      <c r="T216" s="48"/>
      <c r="U216" s="48"/>
      <c r="V216" s="48"/>
      <c r="W216" s="48"/>
      <c r="X216" s="48"/>
      <c r="Y216" s="48"/>
      <c r="Z216" s="48"/>
      <c r="AA216" s="48"/>
      <c r="AB216" s="48"/>
      <c r="AC216" s="48"/>
      <c r="AD216" s="48"/>
      <c r="AE216" s="48"/>
      <c r="AF216" s="48"/>
      <c r="AG216" s="48"/>
      <c r="AH216" s="48"/>
      <c r="AI216" s="48"/>
      <c r="AJ216" s="48"/>
      <c r="AK216" s="48"/>
      <c r="AL216" s="48"/>
      <c r="AM216" s="48"/>
      <c r="AN216" s="48"/>
      <c r="AO216" s="48"/>
      <c r="AP216" s="48"/>
      <c r="AQ216" s="48"/>
      <c r="AR216" s="48"/>
      <c r="AS216" s="48"/>
      <c r="AT216" s="48"/>
      <c r="AU216" s="48"/>
      <c r="AV216" s="48"/>
      <c r="AW216" s="48"/>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111"/>
    </row>
    <row r="217" spans="1:76">
      <c r="A217" s="37"/>
      <c r="B217" s="37"/>
      <c r="C217" s="37"/>
      <c r="D217" s="37" t="s">
        <v>2179</v>
      </c>
      <c r="E217" s="37"/>
      <c r="F217" s="39"/>
      <c r="G217" s="60">
        <f>G216*G267</f>
        <v>241.85</v>
      </c>
      <c r="H217" s="60">
        <f>H216*H267</f>
        <v>67.28235294117647</v>
      </c>
      <c r="I217" s="60">
        <f>I216*I267</f>
        <v>-12.25</v>
      </c>
      <c r="J217" s="60"/>
      <c r="K217" s="60">
        <f>+K216*K267</f>
        <v>-1.8805970149253728</v>
      </c>
      <c r="L217" s="60">
        <f>+L216*L267</f>
        <v>-0.32965116279069767</v>
      </c>
      <c r="M217" s="60"/>
      <c r="N217" s="60"/>
      <c r="O217" s="36"/>
      <c r="P217" s="48"/>
      <c r="Q217" s="48"/>
      <c r="R217" s="48"/>
      <c r="S217" s="48"/>
      <c r="T217" s="48"/>
      <c r="U217" s="48"/>
      <c r="V217" s="48"/>
      <c r="W217" s="48"/>
      <c r="X217" s="48"/>
      <c r="Y217" s="48"/>
      <c r="Z217" s="48"/>
      <c r="AA217" s="48"/>
      <c r="AB217" s="48"/>
      <c r="AC217" s="48"/>
      <c r="AD217" s="48"/>
      <c r="AE217" s="48"/>
      <c r="AF217" s="48"/>
      <c r="AG217" s="48"/>
      <c r="AH217" s="48"/>
      <c r="AI217" s="48"/>
      <c r="AJ217" s="48"/>
      <c r="AK217" s="48"/>
      <c r="AL217" s="48"/>
      <c r="AM217" s="48"/>
      <c r="AN217" s="48"/>
      <c r="AO217" s="48"/>
      <c r="AP217" s="48"/>
      <c r="AQ217" s="48"/>
      <c r="AR217" s="48"/>
      <c r="AS217" s="48"/>
      <c r="AT217" s="48"/>
      <c r="AU217" s="48"/>
      <c r="AV217" s="48"/>
      <c r="AW217" s="48"/>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111"/>
    </row>
    <row r="218" spans="1:76">
      <c r="A218" s="37"/>
      <c r="B218" s="37"/>
      <c r="C218" s="37" t="s">
        <v>1229</v>
      </c>
      <c r="D218" s="37"/>
      <c r="E218" s="37"/>
      <c r="F218" s="39"/>
      <c r="G218" s="59"/>
      <c r="H218" s="59"/>
      <c r="I218" s="59"/>
      <c r="J218" s="59"/>
      <c r="K218" s="59"/>
      <c r="L218" s="59"/>
      <c r="M218" s="59"/>
      <c r="N218" s="60"/>
      <c r="O218" s="36"/>
      <c r="P218" s="48"/>
      <c r="Q218" s="48"/>
      <c r="R218" s="48"/>
      <c r="S218" s="48"/>
      <c r="T218" s="48"/>
      <c r="U218" s="48"/>
      <c r="V218" s="48"/>
      <c r="W218" s="48"/>
      <c r="X218" s="48"/>
      <c r="Y218" s="48"/>
      <c r="Z218" s="48"/>
      <c r="AA218" s="48"/>
      <c r="AB218" s="48"/>
      <c r="AC218" s="48"/>
      <c r="AD218" s="48"/>
      <c r="AE218" s="48"/>
      <c r="AF218" s="48"/>
      <c r="AG218" s="48"/>
      <c r="AH218" s="48"/>
      <c r="AI218" s="48"/>
      <c r="AJ218" s="48"/>
      <c r="AK218" s="48"/>
      <c r="AL218" s="48"/>
      <c r="AM218" s="48"/>
      <c r="AN218" s="48"/>
      <c r="AO218" s="48"/>
      <c r="AP218" s="48"/>
      <c r="AQ218" s="48"/>
      <c r="AR218" s="48"/>
      <c r="AS218" s="48"/>
      <c r="AT218" s="48"/>
      <c r="AU218" s="48"/>
      <c r="AV218" s="48"/>
      <c r="AW218" s="48"/>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111"/>
    </row>
    <row r="219" spans="1:76">
      <c r="A219" s="37"/>
      <c r="B219" s="37"/>
      <c r="C219" s="37" t="s">
        <v>1383</v>
      </c>
      <c r="D219" s="37"/>
      <c r="E219" s="37"/>
      <c r="F219" s="39"/>
      <c r="G219" s="39" t="str">
        <f t="shared" ref="G219:N219" si="30">IF(AND(OR(ISTEXT(G220), ISBLANK(G220)),OR(ISTEXT(G221), ISBLANK(G221)),TRUE),"", +IF(ISTEXT(G220), 0,G220)-IF(ISTEXT(G221), 0,G221))</f>
        <v/>
      </c>
      <c r="H219" s="39" t="str">
        <f t="shared" si="30"/>
        <v/>
      </c>
      <c r="I219" s="39">
        <f t="shared" si="30"/>
        <v>48.75</v>
      </c>
      <c r="J219" s="39" t="str">
        <f t="shared" si="30"/>
        <v/>
      </c>
      <c r="K219" s="39" t="str">
        <f t="shared" si="30"/>
        <v/>
      </c>
      <c r="L219" s="39" t="str">
        <f t="shared" si="30"/>
        <v/>
      </c>
      <c r="M219" s="39">
        <f t="shared" si="30"/>
        <v>0.65</v>
      </c>
      <c r="N219" s="48">
        <f t="shared" si="30"/>
        <v>-24.139930555555559</v>
      </c>
      <c r="O219" s="36"/>
      <c r="P219" s="48"/>
      <c r="Q219" s="48"/>
      <c r="R219" s="48"/>
      <c r="S219" s="48"/>
      <c r="T219" s="48"/>
      <c r="U219" s="48"/>
      <c r="V219" s="48"/>
      <c r="W219" s="48"/>
      <c r="X219" s="48"/>
      <c r="Y219" s="48"/>
      <c r="Z219" s="48"/>
      <c r="AA219" s="48"/>
      <c r="AB219" s="48"/>
      <c r="AC219" s="48"/>
      <c r="AD219" s="48"/>
      <c r="AE219" s="48"/>
      <c r="AF219" s="48"/>
      <c r="AG219" s="48"/>
      <c r="AH219" s="48"/>
      <c r="AI219" s="48"/>
      <c r="AJ219" s="48"/>
      <c r="AK219" s="48"/>
      <c r="AL219" s="48"/>
      <c r="AM219" s="48"/>
      <c r="AN219" s="48"/>
      <c r="AO219" s="48"/>
      <c r="AP219" s="48"/>
      <c r="AQ219" s="48"/>
      <c r="AR219" s="48"/>
      <c r="AS219" s="48"/>
      <c r="AT219" s="48"/>
      <c r="AU219" s="48"/>
      <c r="AV219" s="48"/>
      <c r="AW219" s="48"/>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111"/>
    </row>
    <row r="220" spans="1:76">
      <c r="A220" s="37"/>
      <c r="B220" s="37"/>
      <c r="C220" s="37"/>
      <c r="D220" s="37" t="s">
        <v>23</v>
      </c>
      <c r="E220" s="37"/>
      <c r="F220" s="39"/>
      <c r="G220" s="59"/>
      <c r="H220" s="59"/>
      <c r="I220" s="59">
        <v>75</v>
      </c>
      <c r="J220" s="59"/>
      <c r="K220" s="59"/>
      <c r="L220" s="59"/>
      <c r="M220" s="59">
        <f>13-12</f>
        <v>1</v>
      </c>
      <c r="N220" s="59">
        <v>-37</v>
      </c>
      <c r="O220" s="36"/>
      <c r="P220" s="48"/>
      <c r="Q220" s="48"/>
      <c r="R220" s="48"/>
      <c r="S220" s="48"/>
      <c r="T220" s="48"/>
      <c r="U220" s="48"/>
      <c r="V220" s="48"/>
      <c r="W220" s="48"/>
      <c r="X220" s="48"/>
      <c r="Y220" s="48"/>
      <c r="Z220" s="48"/>
      <c r="AA220" s="48"/>
      <c r="AB220" s="48"/>
      <c r="AC220" s="48"/>
      <c r="AD220" s="48"/>
      <c r="AE220" s="48"/>
      <c r="AF220" s="48"/>
      <c r="AG220" s="48"/>
      <c r="AH220" s="48"/>
      <c r="AI220" s="48"/>
      <c r="AJ220" s="48"/>
      <c r="AK220" s="48"/>
      <c r="AL220" s="48"/>
      <c r="AM220" s="48"/>
      <c r="AN220" s="48"/>
      <c r="AO220" s="48"/>
      <c r="AP220" s="48"/>
      <c r="AQ220" s="48"/>
      <c r="AR220" s="48"/>
      <c r="AS220" s="48"/>
      <c r="AT220" s="48"/>
      <c r="AU220" s="48"/>
      <c r="AV220" s="48"/>
      <c r="AW220" s="48"/>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111"/>
    </row>
    <row r="221" spans="1:76">
      <c r="A221" s="37"/>
      <c r="B221" s="37"/>
      <c r="C221" s="37"/>
      <c r="D221" s="37" t="s">
        <v>1207</v>
      </c>
      <c r="E221" s="37"/>
      <c r="F221" s="39"/>
      <c r="G221" s="59"/>
      <c r="H221" s="59"/>
      <c r="I221" s="59">
        <f>+I220*I267</f>
        <v>26.25</v>
      </c>
      <c r="J221" s="59"/>
      <c r="K221" s="59"/>
      <c r="L221" s="59"/>
      <c r="M221" s="59">
        <f>+M220*M267</f>
        <v>0.35</v>
      </c>
      <c r="N221" s="59">
        <f>N220*N267</f>
        <v>-12.860069444444443</v>
      </c>
      <c r="O221" s="36"/>
      <c r="P221" s="48"/>
      <c r="Q221" s="48"/>
      <c r="R221" s="48"/>
      <c r="S221" s="48"/>
      <c r="T221" s="48"/>
      <c r="U221" s="48"/>
      <c r="V221" s="48"/>
      <c r="W221" s="48"/>
      <c r="X221" s="48"/>
      <c r="Y221" s="48"/>
      <c r="Z221" s="48"/>
      <c r="AA221" s="48"/>
      <c r="AB221" s="48"/>
      <c r="AC221" s="48"/>
      <c r="AD221" s="48"/>
      <c r="AE221" s="48"/>
      <c r="AF221" s="48"/>
      <c r="AG221" s="48"/>
      <c r="AH221" s="48"/>
      <c r="AI221" s="48"/>
      <c r="AJ221" s="48"/>
      <c r="AK221" s="48"/>
      <c r="AL221" s="48"/>
      <c r="AM221" s="48"/>
      <c r="AN221" s="48"/>
      <c r="AO221" s="48"/>
      <c r="AP221" s="48"/>
      <c r="AQ221" s="48"/>
      <c r="AR221" s="48"/>
      <c r="AS221" s="48"/>
      <c r="AT221" s="48"/>
      <c r="AU221" s="48"/>
      <c r="AV221" s="48"/>
      <c r="AW221" s="48"/>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111"/>
    </row>
    <row r="222" spans="1:76">
      <c r="A222" s="37"/>
      <c r="B222" s="37"/>
      <c r="C222" s="37" t="s">
        <v>1208</v>
      </c>
      <c r="D222" s="37"/>
      <c r="E222" s="37"/>
      <c r="F222" s="39"/>
      <c r="G222" s="59"/>
      <c r="H222" s="59"/>
      <c r="I222" s="59"/>
      <c r="J222" s="59"/>
      <c r="K222" s="59"/>
      <c r="L222" s="59"/>
      <c r="M222" s="59"/>
      <c r="N222" s="60"/>
      <c r="O222" s="36"/>
      <c r="P222" s="48"/>
      <c r="Q222" s="48"/>
      <c r="R222" s="48"/>
      <c r="S222" s="48"/>
      <c r="T222" s="48"/>
      <c r="U222" s="48"/>
      <c r="V222" s="48"/>
      <c r="W222" s="48"/>
      <c r="X222" s="48"/>
      <c r="Y222" s="48"/>
      <c r="Z222" s="48"/>
      <c r="AA222" s="48"/>
      <c r="AB222" s="48"/>
      <c r="AC222" s="48"/>
      <c r="AD222" s="48"/>
      <c r="AE222" s="48"/>
      <c r="AF222" s="48"/>
      <c r="AG222" s="48"/>
      <c r="AH222" s="48"/>
      <c r="AI222" s="48"/>
      <c r="AJ222" s="48"/>
      <c r="AK222" s="48"/>
      <c r="AL222" s="48"/>
      <c r="AM222" s="48"/>
      <c r="AN222" s="48"/>
      <c r="AO222" s="48"/>
      <c r="AP222" s="48"/>
      <c r="AQ222" s="48"/>
      <c r="AR222" s="48"/>
      <c r="AS222" s="48"/>
      <c r="AT222" s="48"/>
      <c r="AU222" s="48"/>
      <c r="AV222" s="48"/>
      <c r="AW222" s="48"/>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111"/>
    </row>
    <row r="223" spans="1:76">
      <c r="A223" s="37"/>
      <c r="B223" s="37"/>
      <c r="C223" s="37" t="s">
        <v>1619</v>
      </c>
      <c r="D223" s="37"/>
      <c r="E223" s="37"/>
      <c r="F223" s="39"/>
      <c r="G223" s="39" t="str">
        <f t="shared" ref="G223:N223" si="31">IF(AND(OR(ISTEXT(G224), ISBLANK(G224)),OR(ISTEXT(G225), ISBLANK(G225)),TRUE),"", +IF(ISTEXT(G224), 0,G224)-IF(ISTEXT(G225), 0,G225))</f>
        <v/>
      </c>
      <c r="H223" s="39" t="str">
        <f t="shared" si="31"/>
        <v/>
      </c>
      <c r="I223" s="39" t="str">
        <f t="shared" si="31"/>
        <v/>
      </c>
      <c r="J223" s="39" t="str">
        <f t="shared" si="31"/>
        <v/>
      </c>
      <c r="K223" s="39" t="str">
        <f t="shared" si="31"/>
        <v/>
      </c>
      <c r="L223" s="39" t="str">
        <f t="shared" si="31"/>
        <v/>
      </c>
      <c r="M223" s="39" t="str">
        <f t="shared" si="31"/>
        <v/>
      </c>
      <c r="N223" s="48" t="str">
        <f t="shared" si="31"/>
        <v/>
      </c>
      <c r="O223" s="36"/>
      <c r="P223" s="48"/>
      <c r="Q223" s="48"/>
      <c r="R223" s="48"/>
      <c r="S223" s="48"/>
      <c r="T223" s="48"/>
      <c r="U223" s="48"/>
      <c r="V223" s="48"/>
      <c r="W223" s="48"/>
      <c r="X223" s="48"/>
      <c r="Y223" s="48"/>
      <c r="Z223" s="48"/>
      <c r="AA223" s="48"/>
      <c r="AB223" s="48"/>
      <c r="AC223" s="48"/>
      <c r="AD223" s="48"/>
      <c r="AE223" s="48"/>
      <c r="AF223" s="48"/>
      <c r="AG223" s="48"/>
      <c r="AH223" s="48"/>
      <c r="AI223" s="48"/>
      <c r="AJ223" s="48"/>
      <c r="AK223" s="48"/>
      <c r="AL223" s="48"/>
      <c r="AM223" s="48"/>
      <c r="AN223" s="48"/>
      <c r="AO223" s="48"/>
      <c r="AP223" s="48"/>
      <c r="AQ223" s="48"/>
      <c r="AR223" s="48"/>
      <c r="AS223" s="48"/>
      <c r="AT223" s="48"/>
      <c r="AU223" s="48"/>
      <c r="AV223" s="48"/>
      <c r="AW223" s="48"/>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111"/>
    </row>
    <row r="224" spans="1:76">
      <c r="A224" s="37"/>
      <c r="B224" s="37"/>
      <c r="C224" s="37"/>
      <c r="D224" s="37" t="s">
        <v>1186</v>
      </c>
      <c r="E224" s="37"/>
      <c r="F224" s="39"/>
      <c r="G224" s="59"/>
      <c r="H224" s="59"/>
      <c r="I224" s="59"/>
      <c r="J224" s="59"/>
      <c r="K224" s="59"/>
      <c r="L224" s="59"/>
      <c r="M224" s="59"/>
      <c r="N224" s="60"/>
      <c r="O224" s="36"/>
      <c r="P224" s="48"/>
      <c r="Q224" s="48"/>
      <c r="R224" s="48"/>
      <c r="S224" s="48"/>
      <c r="T224" s="48"/>
      <c r="U224" s="48"/>
      <c r="V224" s="48"/>
      <c r="W224" s="48"/>
      <c r="X224" s="48"/>
      <c r="Y224" s="48"/>
      <c r="Z224" s="48"/>
      <c r="AA224" s="48"/>
      <c r="AB224" s="48"/>
      <c r="AC224" s="48"/>
      <c r="AD224" s="48"/>
      <c r="AE224" s="48"/>
      <c r="AF224" s="48"/>
      <c r="AG224" s="48"/>
      <c r="AH224" s="48"/>
      <c r="AI224" s="48"/>
      <c r="AJ224" s="48"/>
      <c r="AK224" s="48"/>
      <c r="AL224" s="48"/>
      <c r="AM224" s="48"/>
      <c r="AN224" s="48"/>
      <c r="AO224" s="48"/>
      <c r="AP224" s="48"/>
      <c r="AQ224" s="48"/>
      <c r="AR224" s="48"/>
      <c r="AS224" s="48"/>
      <c r="AT224" s="48"/>
      <c r="AU224" s="48"/>
      <c r="AV224" s="48"/>
      <c r="AW224" s="48"/>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111"/>
    </row>
    <row r="225" spans="1:76">
      <c r="A225" s="37"/>
      <c r="B225" s="37"/>
      <c r="C225" s="37"/>
      <c r="D225" s="37" t="s">
        <v>1187</v>
      </c>
      <c r="E225" s="37"/>
      <c r="F225" s="39"/>
      <c r="G225" s="59"/>
      <c r="H225" s="59"/>
      <c r="I225" s="59"/>
      <c r="J225" s="59"/>
      <c r="K225" s="59"/>
      <c r="L225" s="59"/>
      <c r="M225" s="59"/>
      <c r="N225" s="60"/>
      <c r="O225" s="36"/>
      <c r="P225" s="48"/>
      <c r="Q225" s="48"/>
      <c r="R225" s="48"/>
      <c r="S225" s="48"/>
      <c r="T225" s="48"/>
      <c r="U225" s="48"/>
      <c r="V225" s="48"/>
      <c r="W225" s="48"/>
      <c r="X225" s="48"/>
      <c r="Y225" s="48"/>
      <c r="Z225" s="48"/>
      <c r="AA225" s="48"/>
      <c r="AB225" s="48"/>
      <c r="AC225" s="48"/>
      <c r="AD225" s="48"/>
      <c r="AE225" s="48"/>
      <c r="AF225" s="48"/>
      <c r="AG225" s="48"/>
      <c r="AH225" s="48"/>
      <c r="AI225" s="48"/>
      <c r="AJ225" s="48"/>
      <c r="AK225" s="48"/>
      <c r="AL225" s="48"/>
      <c r="AM225" s="48"/>
      <c r="AN225" s="48"/>
      <c r="AO225" s="48"/>
      <c r="AP225" s="48"/>
      <c r="AQ225" s="48"/>
      <c r="AR225" s="48"/>
      <c r="AS225" s="48"/>
      <c r="AT225" s="48"/>
      <c r="AU225" s="48"/>
      <c r="AV225" s="48"/>
      <c r="AW225" s="48"/>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111"/>
    </row>
    <row r="226" spans="1:76">
      <c r="A226" s="37"/>
      <c r="B226" s="37"/>
      <c r="C226" s="37" t="s">
        <v>1188</v>
      </c>
      <c r="D226" s="37"/>
      <c r="E226" s="37"/>
      <c r="F226" s="39"/>
      <c r="G226" s="59"/>
      <c r="H226" s="59"/>
      <c r="I226" s="59"/>
      <c r="J226" s="59"/>
      <c r="K226" s="59"/>
      <c r="L226" s="59"/>
      <c r="M226" s="59"/>
      <c r="N226" s="60"/>
      <c r="O226" s="36"/>
      <c r="P226" s="48"/>
      <c r="Q226" s="48"/>
      <c r="R226" s="48"/>
      <c r="S226" s="48"/>
      <c r="T226" s="48"/>
      <c r="U226" s="48"/>
      <c r="V226" s="48"/>
      <c r="W226" s="48"/>
      <c r="X226" s="48"/>
      <c r="Y226" s="48"/>
      <c r="Z226" s="48"/>
      <c r="AA226" s="48"/>
      <c r="AB226" s="48"/>
      <c r="AC226" s="48"/>
      <c r="AD226" s="48"/>
      <c r="AE226" s="48"/>
      <c r="AF226" s="48"/>
      <c r="AG226" s="48"/>
      <c r="AH226" s="48"/>
      <c r="AI226" s="48"/>
      <c r="AJ226" s="48"/>
      <c r="AK226" s="48"/>
      <c r="AL226" s="48"/>
      <c r="AM226" s="48"/>
      <c r="AN226" s="48"/>
      <c r="AO226" s="48"/>
      <c r="AP226" s="48"/>
      <c r="AQ226" s="48"/>
      <c r="AR226" s="48"/>
      <c r="AS226" s="48"/>
      <c r="AT226" s="48"/>
      <c r="AU226" s="48"/>
      <c r="AV226" s="48"/>
      <c r="AW226" s="48"/>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111"/>
    </row>
    <row r="227" spans="1:76">
      <c r="A227" s="37"/>
      <c r="B227" s="37"/>
      <c r="C227" s="37" t="s">
        <v>1189</v>
      </c>
      <c r="D227" s="37"/>
      <c r="E227" s="37"/>
      <c r="F227" s="39"/>
      <c r="G227" s="39" t="str">
        <f t="shared" ref="G227:N227" si="32">IF(AND(OR(ISTEXT(G228), ISBLANK(G228)),OR(ISTEXT(G229), ISBLANK(G229)),TRUE),"", +IF(ISTEXT(G228), 0,G228)-IF(ISTEXT(G229), 0,G229))</f>
        <v/>
      </c>
      <c r="H227" s="39" t="str">
        <f t="shared" si="32"/>
        <v/>
      </c>
      <c r="I227" s="39" t="str">
        <f t="shared" si="32"/>
        <v/>
      </c>
      <c r="J227" s="39" t="str">
        <f t="shared" si="32"/>
        <v/>
      </c>
      <c r="K227" s="39" t="str">
        <f t="shared" si="32"/>
        <v/>
      </c>
      <c r="L227" s="39" t="str">
        <f t="shared" si="32"/>
        <v/>
      </c>
      <c r="M227" s="39" t="str">
        <f t="shared" si="32"/>
        <v/>
      </c>
      <c r="N227" s="48" t="str">
        <f t="shared" si="32"/>
        <v/>
      </c>
      <c r="O227" s="36"/>
      <c r="P227" s="48"/>
      <c r="Q227" s="48"/>
      <c r="R227" s="48"/>
      <c r="S227" s="48"/>
      <c r="T227" s="48"/>
      <c r="U227" s="48"/>
      <c r="V227" s="48"/>
      <c r="W227" s="48"/>
      <c r="X227" s="48"/>
      <c r="Y227" s="48"/>
      <c r="Z227" s="48"/>
      <c r="AA227" s="48"/>
      <c r="AB227" s="48"/>
      <c r="AC227" s="48"/>
      <c r="AD227" s="48"/>
      <c r="AE227" s="48"/>
      <c r="AF227" s="48"/>
      <c r="AG227" s="48"/>
      <c r="AH227" s="48"/>
      <c r="AI227" s="48"/>
      <c r="AJ227" s="48"/>
      <c r="AK227" s="48"/>
      <c r="AL227" s="48"/>
      <c r="AM227" s="48"/>
      <c r="AN227" s="48"/>
      <c r="AO227" s="48"/>
      <c r="AP227" s="48"/>
      <c r="AQ227" s="48"/>
      <c r="AR227" s="48"/>
      <c r="AS227" s="48"/>
      <c r="AT227" s="48"/>
      <c r="AU227" s="48"/>
      <c r="AV227" s="48"/>
      <c r="AW227" s="48"/>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111"/>
    </row>
    <row r="228" spans="1:76">
      <c r="A228" s="37"/>
      <c r="B228" s="37"/>
      <c r="C228" s="37"/>
      <c r="D228" s="37" t="s">
        <v>2112</v>
      </c>
      <c r="E228" s="37"/>
      <c r="F228" s="39"/>
      <c r="G228" s="59"/>
      <c r="H228" s="59"/>
      <c r="I228" s="59"/>
      <c r="J228" s="59"/>
      <c r="K228" s="59"/>
      <c r="L228" s="59"/>
      <c r="M228" s="59"/>
      <c r="N228" s="60"/>
      <c r="O228" s="36"/>
      <c r="P228" s="48"/>
      <c r="Q228" s="48"/>
      <c r="R228" s="48"/>
      <c r="S228" s="48"/>
      <c r="T228" s="48"/>
      <c r="U228" s="48"/>
      <c r="V228" s="48"/>
      <c r="W228" s="48"/>
      <c r="X228" s="48"/>
      <c r="Y228" s="48"/>
      <c r="Z228" s="48"/>
      <c r="AA228" s="48"/>
      <c r="AB228" s="48"/>
      <c r="AC228" s="48"/>
      <c r="AD228" s="48"/>
      <c r="AE228" s="48"/>
      <c r="AF228" s="48"/>
      <c r="AG228" s="48"/>
      <c r="AH228" s="48"/>
      <c r="AI228" s="48"/>
      <c r="AJ228" s="48"/>
      <c r="AK228" s="48"/>
      <c r="AL228" s="48"/>
      <c r="AM228" s="48"/>
      <c r="AN228" s="48"/>
      <c r="AO228" s="48"/>
      <c r="AP228" s="48"/>
      <c r="AQ228" s="48"/>
      <c r="AR228" s="48"/>
      <c r="AS228" s="48"/>
      <c r="AT228" s="48"/>
      <c r="AU228" s="48"/>
      <c r="AV228" s="48"/>
      <c r="AW228" s="48"/>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111"/>
    </row>
    <row r="229" spans="1:76">
      <c r="A229" s="37"/>
      <c r="B229" s="37"/>
      <c r="C229" s="37"/>
      <c r="D229" s="37" t="s">
        <v>149</v>
      </c>
      <c r="E229" s="37"/>
      <c r="F229" s="39"/>
      <c r="G229" s="59"/>
      <c r="H229" s="59"/>
      <c r="I229" s="59"/>
      <c r="J229" s="59"/>
      <c r="K229" s="59"/>
      <c r="L229" s="59"/>
      <c r="M229" s="59"/>
      <c r="N229" s="60"/>
      <c r="O229" s="36"/>
      <c r="P229" s="48"/>
      <c r="Q229" s="48"/>
      <c r="R229" s="48"/>
      <c r="S229" s="48"/>
      <c r="T229" s="48"/>
      <c r="U229" s="48"/>
      <c r="V229" s="48"/>
      <c r="W229" s="48"/>
      <c r="X229" s="48"/>
      <c r="Y229" s="48"/>
      <c r="Z229" s="48"/>
      <c r="AA229" s="48"/>
      <c r="AB229" s="48"/>
      <c r="AC229" s="48"/>
      <c r="AD229" s="48"/>
      <c r="AE229" s="48"/>
      <c r="AF229" s="48"/>
      <c r="AG229" s="48"/>
      <c r="AH229" s="48"/>
      <c r="AI229" s="48"/>
      <c r="AJ229" s="48"/>
      <c r="AK229" s="48"/>
      <c r="AL229" s="48"/>
      <c r="AM229" s="48"/>
      <c r="AN229" s="48"/>
      <c r="AO229" s="48"/>
      <c r="AP229" s="48"/>
      <c r="AQ229" s="48"/>
      <c r="AR229" s="48"/>
      <c r="AS229" s="48"/>
      <c r="AT229" s="48"/>
      <c r="AU229" s="48"/>
      <c r="AV229" s="48"/>
      <c r="AW229" s="48"/>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111"/>
    </row>
    <row r="230" spans="1:76">
      <c r="A230" s="37"/>
      <c r="B230" s="37"/>
      <c r="C230" s="37" t="s">
        <v>1603</v>
      </c>
      <c r="D230" s="37"/>
      <c r="E230" s="37"/>
      <c r="F230" s="39"/>
      <c r="G230" s="61"/>
      <c r="H230" s="61"/>
      <c r="I230" s="61"/>
      <c r="J230" s="61"/>
      <c r="K230" s="61"/>
      <c r="L230" s="61"/>
      <c r="M230" s="61"/>
      <c r="N230" s="61"/>
      <c r="O230" s="36"/>
      <c r="P230" s="48"/>
      <c r="Q230" s="48"/>
      <c r="R230" s="48"/>
      <c r="S230" s="48"/>
      <c r="T230" s="48"/>
      <c r="U230" s="48"/>
      <c r="V230" s="48"/>
      <c r="W230" s="48"/>
      <c r="X230" s="48"/>
      <c r="Y230" s="48"/>
      <c r="Z230" s="48"/>
      <c r="AA230" s="48"/>
      <c r="AB230" s="48"/>
      <c r="AC230" s="48"/>
      <c r="AD230" s="48"/>
      <c r="AE230" s="48"/>
      <c r="AF230" s="48"/>
      <c r="AG230" s="48"/>
      <c r="AH230" s="48"/>
      <c r="AI230" s="48"/>
      <c r="AJ230" s="48"/>
      <c r="AK230" s="48"/>
      <c r="AL230" s="48"/>
      <c r="AM230" s="48"/>
      <c r="AN230" s="48"/>
      <c r="AO230" s="48"/>
      <c r="AP230" s="48"/>
      <c r="AQ230" s="48"/>
      <c r="AR230" s="48"/>
      <c r="AS230" s="48"/>
      <c r="AT230" s="48"/>
      <c r="AU230" s="48"/>
      <c r="AV230" s="48"/>
      <c r="AW230" s="48"/>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111"/>
    </row>
    <row r="231" spans="1:76">
      <c r="A231" s="37"/>
      <c r="B231" s="37"/>
      <c r="C231" s="37"/>
      <c r="D231" s="37" t="s">
        <v>1604</v>
      </c>
      <c r="E231" s="37"/>
      <c r="F231" s="39"/>
      <c r="G231" s="59"/>
      <c r="H231" s="59"/>
      <c r="I231" s="59"/>
      <c r="J231" s="59"/>
      <c r="K231" s="59"/>
      <c r="L231" s="59"/>
      <c r="M231" s="59"/>
      <c r="N231" s="60"/>
      <c r="O231" s="36"/>
      <c r="P231" s="48"/>
      <c r="Q231" s="48"/>
      <c r="R231" s="48"/>
      <c r="S231" s="48"/>
      <c r="T231" s="48"/>
      <c r="U231" s="48"/>
      <c r="V231" s="48"/>
      <c r="W231" s="48"/>
      <c r="X231" s="48"/>
      <c r="Y231" s="48"/>
      <c r="Z231" s="48"/>
      <c r="AA231" s="48"/>
      <c r="AB231" s="48"/>
      <c r="AC231" s="48"/>
      <c r="AD231" s="48"/>
      <c r="AE231" s="48"/>
      <c r="AF231" s="48"/>
      <c r="AG231" s="48"/>
      <c r="AH231" s="48"/>
      <c r="AI231" s="48"/>
      <c r="AJ231" s="48"/>
      <c r="AK231" s="48"/>
      <c r="AL231" s="48"/>
      <c r="AM231" s="48"/>
      <c r="AN231" s="48"/>
      <c r="AO231" s="48"/>
      <c r="AP231" s="48"/>
      <c r="AQ231" s="48"/>
      <c r="AR231" s="48"/>
      <c r="AS231" s="48"/>
      <c r="AT231" s="48"/>
      <c r="AU231" s="48"/>
      <c r="AV231" s="48"/>
      <c r="AW231" s="48"/>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111"/>
    </row>
    <row r="232" spans="1:76">
      <c r="A232" s="37"/>
      <c r="B232" s="37"/>
      <c r="C232" s="37"/>
      <c r="D232" s="37" t="s">
        <v>1164</v>
      </c>
      <c r="E232" s="37"/>
      <c r="F232" s="39"/>
      <c r="G232" s="59"/>
      <c r="H232" s="59"/>
      <c r="I232" s="59"/>
      <c r="J232" s="59"/>
      <c r="K232" s="59"/>
      <c r="L232" s="59"/>
      <c r="M232" s="59"/>
      <c r="N232" s="60"/>
      <c r="O232" s="36"/>
      <c r="P232" s="48"/>
      <c r="Q232" s="48"/>
      <c r="R232" s="48"/>
      <c r="S232" s="48"/>
      <c r="T232" s="48"/>
      <c r="U232" s="48"/>
      <c r="V232" s="48"/>
      <c r="W232" s="48"/>
      <c r="X232" s="48"/>
      <c r="Y232" s="48"/>
      <c r="Z232" s="48"/>
      <c r="AA232" s="48"/>
      <c r="AB232" s="48"/>
      <c r="AC232" s="48"/>
      <c r="AD232" s="48"/>
      <c r="AE232" s="48"/>
      <c r="AF232" s="48"/>
      <c r="AG232" s="48"/>
      <c r="AH232" s="48"/>
      <c r="AI232" s="48"/>
      <c r="AJ232" s="48"/>
      <c r="AK232" s="48"/>
      <c r="AL232" s="48"/>
      <c r="AM232" s="48"/>
      <c r="AN232" s="48"/>
      <c r="AO232" s="48"/>
      <c r="AP232" s="48"/>
      <c r="AQ232" s="48"/>
      <c r="AR232" s="48"/>
      <c r="AS232" s="48"/>
      <c r="AT232" s="48"/>
      <c r="AU232" s="48"/>
      <c r="AV232" s="48"/>
      <c r="AW232" s="48"/>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111"/>
    </row>
    <row r="233" spans="1:76">
      <c r="A233" s="37"/>
      <c r="B233" s="37"/>
      <c r="C233" s="37" t="s">
        <v>1598</v>
      </c>
      <c r="D233" s="37"/>
      <c r="E233" s="37"/>
      <c r="F233" s="39"/>
      <c r="G233" s="59">
        <v>-172</v>
      </c>
      <c r="H233" s="59">
        <v>0</v>
      </c>
      <c r="I233" s="59">
        <v>-15</v>
      </c>
      <c r="J233" s="59"/>
      <c r="K233" s="59"/>
      <c r="L233" s="59"/>
      <c r="M233" s="59"/>
      <c r="N233" s="59"/>
      <c r="O233" s="58"/>
      <c r="P233" s="48"/>
      <c r="Q233" s="48"/>
      <c r="R233" s="48"/>
      <c r="S233" s="48"/>
      <c r="T233" s="48"/>
      <c r="U233" s="48"/>
      <c r="V233" s="48"/>
      <c r="W233" s="48"/>
      <c r="X233" s="48"/>
      <c r="Y233" s="48"/>
      <c r="Z233" s="48"/>
      <c r="AA233" s="48"/>
      <c r="AB233" s="48"/>
      <c r="AC233" s="48"/>
      <c r="AD233" s="48"/>
      <c r="AE233" s="48"/>
      <c r="AF233" s="48"/>
      <c r="AG233" s="48"/>
      <c r="AH233" s="48"/>
      <c r="AI233" s="48"/>
      <c r="AJ233" s="48"/>
      <c r="AK233" s="48"/>
      <c r="AL233" s="48"/>
      <c r="AM233" s="48"/>
      <c r="AN233" s="48"/>
      <c r="AO233" s="48"/>
      <c r="AP233" s="48"/>
      <c r="AQ233" s="48"/>
      <c r="AR233" s="48"/>
      <c r="AS233" s="48"/>
      <c r="AT233" s="48"/>
      <c r="AU233" s="48"/>
      <c r="AV233" s="48"/>
      <c r="AW233" s="48"/>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111"/>
    </row>
    <row r="234" spans="1:76">
      <c r="A234" s="52"/>
      <c r="B234" s="52"/>
      <c r="C234" s="52" t="s">
        <v>1660</v>
      </c>
      <c r="D234" s="52"/>
      <c r="E234" s="52"/>
      <c r="F234" s="53"/>
      <c r="G234" s="53">
        <f t="shared" ref="G234:N234" si="33">IF(AND(OR(ISTEXT(G235), ISBLANK(G235)),OR(ISTEXT(G236), ISBLANK(G236)),TRUE),"", +IF(ISTEXT(G235), 0,G235)+IF(ISTEXT(G236), 0,G236))</f>
        <v>400.85</v>
      </c>
      <c r="H234" s="53">
        <f t="shared" si="33"/>
        <v>-21.71764705882353</v>
      </c>
      <c r="I234" s="53">
        <f t="shared" si="33"/>
        <v>1101.2</v>
      </c>
      <c r="J234" s="53">
        <f t="shared" si="33"/>
        <v>202.07943925233644</v>
      </c>
      <c r="K234" s="53">
        <f t="shared" si="33"/>
        <v>41.119402985074629</v>
      </c>
      <c r="L234" s="53">
        <f t="shared" si="33"/>
        <v>1.6703488372093034</v>
      </c>
      <c r="M234" s="53">
        <f t="shared" si="33"/>
        <v>-112.65</v>
      </c>
      <c r="N234" s="55">
        <f t="shared" si="33"/>
        <v>30.139930555555559</v>
      </c>
      <c r="O234" s="54"/>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5"/>
      <c r="AU234" s="55"/>
      <c r="AV234" s="55"/>
      <c r="AW234" s="55"/>
      <c r="AX234" s="55"/>
      <c r="AY234" s="55"/>
      <c r="AZ234" s="55"/>
      <c r="BA234" s="55"/>
      <c r="BB234" s="55"/>
      <c r="BC234" s="55"/>
      <c r="BD234" s="55"/>
      <c r="BE234" s="55"/>
      <c r="BF234" s="55"/>
      <c r="BG234" s="55"/>
      <c r="BH234" s="55"/>
      <c r="BI234" s="55"/>
      <c r="BJ234" s="55"/>
      <c r="BK234" s="55"/>
      <c r="BL234" s="55"/>
      <c r="BM234" s="55"/>
      <c r="BN234" s="55"/>
      <c r="BO234" s="55"/>
      <c r="BP234" s="55"/>
      <c r="BQ234" s="55"/>
      <c r="BR234" s="55"/>
      <c r="BS234" s="55"/>
      <c r="BT234" s="55"/>
      <c r="BU234" s="55"/>
      <c r="BV234" s="55"/>
      <c r="BW234" s="55"/>
      <c r="BX234" s="112"/>
    </row>
    <row r="235" spans="1:76">
      <c r="A235" s="37"/>
      <c r="B235" s="37"/>
      <c r="C235" s="37"/>
      <c r="D235" s="37" t="s">
        <v>1661</v>
      </c>
      <c r="E235" s="37"/>
      <c r="F235" s="39"/>
      <c r="G235" s="59">
        <f>273+G217</f>
        <v>514.85</v>
      </c>
      <c r="H235" s="59">
        <f>83+H217</f>
        <v>150.28235294117647</v>
      </c>
      <c r="I235" s="59">
        <f>173+I217+I221-I243</f>
        <v>198.2</v>
      </c>
      <c r="J235" s="59">
        <f>175-J243</f>
        <v>176.07943925233644</v>
      </c>
      <c r="K235" s="59">
        <f>135+K217</f>
        <v>133.11940298507463</v>
      </c>
      <c r="L235" s="59">
        <f>52+L217</f>
        <v>51.670348837209303</v>
      </c>
      <c r="M235" s="59">
        <f>53+M221</f>
        <v>53.35</v>
      </c>
      <c r="N235" s="60">
        <f>12+N221</f>
        <v>-0.86006944444444322</v>
      </c>
      <c r="O235" s="36"/>
      <c r="P235" s="48"/>
      <c r="Q235" s="48"/>
      <c r="R235" s="48"/>
      <c r="S235" s="48"/>
      <c r="T235" s="48"/>
      <c r="U235" s="48"/>
      <c r="V235" s="48"/>
      <c r="W235" s="48"/>
      <c r="X235" s="48"/>
      <c r="Y235" s="48"/>
      <c r="Z235" s="48"/>
      <c r="AA235" s="48"/>
      <c r="AB235" s="48"/>
      <c r="AC235" s="48"/>
      <c r="AD235" s="48"/>
      <c r="AE235" s="48"/>
      <c r="AF235" s="48"/>
      <c r="AG235" s="48"/>
      <c r="AH235" s="48"/>
      <c r="AI235" s="48"/>
      <c r="AJ235" s="48"/>
      <c r="AK235" s="48"/>
      <c r="AL235" s="48"/>
      <c r="AM235" s="48"/>
      <c r="AN235" s="48"/>
      <c r="AO235" s="48"/>
      <c r="AP235" s="48"/>
      <c r="AQ235" s="48"/>
      <c r="AR235" s="48"/>
      <c r="AS235" s="48"/>
      <c r="AT235" s="48"/>
      <c r="AU235" s="48"/>
      <c r="AV235" s="48"/>
      <c r="AW235" s="48"/>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111"/>
    </row>
    <row r="236" spans="1:76">
      <c r="A236" s="37"/>
      <c r="B236" s="37"/>
      <c r="C236" s="37"/>
      <c r="D236" s="37" t="s">
        <v>610</v>
      </c>
      <c r="E236" s="37"/>
      <c r="F236" s="39"/>
      <c r="G236" s="39">
        <f t="shared" ref="G236:N236" si="34">IF(AND(OR(ISTEXT(G237), ISBLANK(G237)),OR(ISTEXT(G238), ISBLANK(G238)),TRUE),"", +IF(ISTEXT(G237), 0,G237)+IF(ISTEXT(G238), 0,G238))</f>
        <v>-114</v>
      </c>
      <c r="H236" s="39">
        <f t="shared" si="34"/>
        <v>-172</v>
      </c>
      <c r="I236" s="39">
        <f t="shared" si="34"/>
        <v>903</v>
      </c>
      <c r="J236" s="39">
        <f t="shared" si="34"/>
        <v>26</v>
      </c>
      <c r="K236" s="39">
        <f t="shared" si="34"/>
        <v>-92</v>
      </c>
      <c r="L236" s="39">
        <f t="shared" si="34"/>
        <v>-50</v>
      </c>
      <c r="M236" s="39">
        <f t="shared" si="34"/>
        <v>-166</v>
      </c>
      <c r="N236" s="48">
        <f t="shared" si="34"/>
        <v>31</v>
      </c>
      <c r="O236" s="36"/>
      <c r="P236" s="48"/>
      <c r="Q236" s="48"/>
      <c r="R236" s="48"/>
      <c r="S236" s="48"/>
      <c r="T236" s="48"/>
      <c r="U236" s="48"/>
      <c r="V236" s="48"/>
      <c r="W236" s="48"/>
      <c r="X236" s="48"/>
      <c r="Y236" s="48"/>
      <c r="Z236" s="48"/>
      <c r="AA236" s="48"/>
      <c r="AB236" s="48"/>
      <c r="AC236" s="48"/>
      <c r="AD236" s="48"/>
      <c r="AE236" s="48"/>
      <c r="AF236" s="48"/>
      <c r="AG236" s="48"/>
      <c r="AH236" s="48"/>
      <c r="AI236" s="48"/>
      <c r="AJ236" s="48"/>
      <c r="AK236" s="48"/>
      <c r="AL236" s="48"/>
      <c r="AM236" s="48"/>
      <c r="AN236" s="48"/>
      <c r="AO236" s="48"/>
      <c r="AP236" s="48"/>
      <c r="AQ236" s="48"/>
      <c r="AR236" s="48"/>
      <c r="AS236" s="48"/>
      <c r="AT236" s="48"/>
      <c r="AU236" s="48"/>
      <c r="AV236" s="48"/>
      <c r="AW236" s="48"/>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111"/>
    </row>
    <row r="237" spans="1:76">
      <c r="A237" s="37"/>
      <c r="B237" s="37"/>
      <c r="C237" s="37"/>
      <c r="D237" s="37"/>
      <c r="E237" s="37" t="s">
        <v>88</v>
      </c>
      <c r="F237" s="39"/>
      <c r="G237" s="59"/>
      <c r="H237" s="59"/>
      <c r="I237" s="59"/>
      <c r="J237" s="59"/>
      <c r="K237" s="59"/>
      <c r="L237" s="59"/>
      <c r="M237" s="59"/>
      <c r="N237" s="60"/>
      <c r="O237" s="36"/>
      <c r="P237" s="48"/>
      <c r="Q237" s="48"/>
      <c r="R237" s="48"/>
      <c r="S237" s="48"/>
      <c r="T237" s="48"/>
      <c r="U237" s="48"/>
      <c r="V237" s="48"/>
      <c r="W237" s="48"/>
      <c r="X237" s="48"/>
      <c r="Y237" s="48"/>
      <c r="Z237" s="48"/>
      <c r="AA237" s="48"/>
      <c r="AB237" s="48"/>
      <c r="AC237" s="48"/>
      <c r="AD237" s="48"/>
      <c r="AE237" s="48"/>
      <c r="AF237" s="48"/>
      <c r="AG237" s="48"/>
      <c r="AH237" s="48"/>
      <c r="AI237" s="48"/>
      <c r="AJ237" s="48"/>
      <c r="AK237" s="48"/>
      <c r="AL237" s="48"/>
      <c r="AM237" s="48"/>
      <c r="AN237" s="48"/>
      <c r="AO237" s="48"/>
      <c r="AP237" s="48"/>
      <c r="AQ237" s="48"/>
      <c r="AR237" s="48"/>
      <c r="AS237" s="48"/>
      <c r="AT237" s="48"/>
      <c r="AU237" s="48"/>
      <c r="AV237" s="48"/>
      <c r="AW237" s="48"/>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111"/>
    </row>
    <row r="238" spans="1:76">
      <c r="A238" s="37"/>
      <c r="B238" s="37"/>
      <c r="C238" s="37"/>
      <c r="D238" s="37"/>
      <c r="E238" s="37" t="s">
        <v>90</v>
      </c>
      <c r="F238" s="39"/>
      <c r="G238" s="59">
        <v>-114</v>
      </c>
      <c r="H238" s="59">
        <v>-172</v>
      </c>
      <c r="I238" s="59">
        <v>903</v>
      </c>
      <c r="J238" s="59">
        <v>26</v>
      </c>
      <c r="K238" s="59">
        <v>-92</v>
      </c>
      <c r="L238" s="59">
        <v>-50</v>
      </c>
      <c r="M238" s="59">
        <v>-166</v>
      </c>
      <c r="N238" s="60">
        <v>31</v>
      </c>
      <c r="O238" s="36"/>
      <c r="P238" s="48"/>
      <c r="Q238" s="48"/>
      <c r="R238" s="48"/>
      <c r="S238" s="48"/>
      <c r="T238" s="48"/>
      <c r="U238" s="48"/>
      <c r="V238" s="48"/>
      <c r="W238" s="48"/>
      <c r="X238" s="48"/>
      <c r="Y238" s="48"/>
      <c r="Z238" s="48"/>
      <c r="AA238" s="48"/>
      <c r="AB238" s="48"/>
      <c r="AC238" s="48"/>
      <c r="AD238" s="48"/>
      <c r="AE238" s="48"/>
      <c r="AF238" s="48"/>
      <c r="AG238" s="48"/>
      <c r="AH238" s="48"/>
      <c r="AI238" s="48"/>
      <c r="AJ238" s="48"/>
      <c r="AK238" s="48"/>
      <c r="AL238" s="48"/>
      <c r="AM238" s="48"/>
      <c r="AN238" s="48"/>
      <c r="AO238" s="48"/>
      <c r="AP238" s="48"/>
      <c r="AQ238" s="48"/>
      <c r="AR238" s="48"/>
      <c r="AS238" s="48"/>
      <c r="AT238" s="48"/>
      <c r="AU238" s="48"/>
      <c r="AV238" s="48"/>
      <c r="AW238" s="48"/>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111"/>
    </row>
    <row r="239" spans="1:76">
      <c r="A239" s="37"/>
      <c r="B239" s="37"/>
      <c r="C239" s="37" t="s">
        <v>1339</v>
      </c>
      <c r="D239" s="37"/>
      <c r="E239" s="37"/>
      <c r="F239" s="39"/>
      <c r="G239" s="59">
        <v>9</v>
      </c>
      <c r="H239" s="59">
        <v>14</v>
      </c>
      <c r="I239" s="59">
        <v>95</v>
      </c>
      <c r="J239" s="59">
        <v>8</v>
      </c>
      <c r="K239" s="59">
        <v>3</v>
      </c>
      <c r="L239" s="59">
        <v>2</v>
      </c>
      <c r="M239" s="59">
        <v>-3</v>
      </c>
      <c r="N239" s="60">
        <v>0</v>
      </c>
      <c r="O239" s="36"/>
      <c r="P239" s="48"/>
      <c r="Q239" s="48"/>
      <c r="R239" s="48"/>
      <c r="S239" s="48"/>
      <c r="T239" s="48"/>
      <c r="U239" s="48"/>
      <c r="V239" s="48"/>
      <c r="W239" s="48"/>
      <c r="X239" s="48"/>
      <c r="Y239" s="48"/>
      <c r="Z239" s="48"/>
      <c r="AA239" s="48"/>
      <c r="AB239" s="48"/>
      <c r="AC239" s="48"/>
      <c r="AD239" s="48"/>
      <c r="AE239" s="48"/>
      <c r="AF239" s="48"/>
      <c r="AG239" s="48"/>
      <c r="AH239" s="48"/>
      <c r="AI239" s="48"/>
      <c r="AJ239" s="48"/>
      <c r="AK239" s="48"/>
      <c r="AL239" s="48"/>
      <c r="AM239" s="48"/>
      <c r="AN239" s="48"/>
      <c r="AO239" s="48"/>
      <c r="AP239" s="48"/>
      <c r="AQ239" s="48"/>
      <c r="AR239" s="48"/>
      <c r="AS239" s="48"/>
      <c r="AT239" s="48"/>
      <c r="AU239" s="48"/>
      <c r="AV239" s="48"/>
      <c r="AW239" s="48"/>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111"/>
    </row>
    <row r="240" spans="1:76">
      <c r="A240" s="37"/>
      <c r="B240" s="37"/>
      <c r="C240" s="37" t="s">
        <v>745</v>
      </c>
      <c r="D240" s="37"/>
      <c r="E240" s="37"/>
      <c r="F240" s="39"/>
      <c r="G240" s="59">
        <v>-11</v>
      </c>
      <c r="H240" s="59">
        <v>0</v>
      </c>
      <c r="I240" s="59"/>
      <c r="J240" s="59"/>
      <c r="K240" s="59"/>
      <c r="L240" s="59"/>
      <c r="M240" s="59"/>
      <c r="N240" s="59"/>
      <c r="O240" s="36"/>
      <c r="P240" s="48"/>
      <c r="Q240" s="48"/>
      <c r="R240" s="48"/>
      <c r="S240" s="48"/>
      <c r="T240" s="48"/>
      <c r="U240" s="48"/>
      <c r="V240" s="48"/>
      <c r="W240" s="48"/>
      <c r="X240" s="48"/>
      <c r="Y240" s="48"/>
      <c r="Z240" s="48"/>
      <c r="AA240" s="48"/>
      <c r="AB240" s="48"/>
      <c r="AC240" s="48"/>
      <c r="AD240" s="48"/>
      <c r="AE240" s="48"/>
      <c r="AF240" s="48"/>
      <c r="AG240" s="48"/>
      <c r="AH240" s="48"/>
      <c r="AI240" s="48"/>
      <c r="AJ240" s="48"/>
      <c r="AK240" s="48"/>
      <c r="AL240" s="48"/>
      <c r="AM240" s="48"/>
      <c r="AN240" s="48"/>
      <c r="AO240" s="48"/>
      <c r="AP240" s="48"/>
      <c r="AQ240" s="48"/>
      <c r="AR240" s="48"/>
      <c r="AS240" s="48"/>
      <c r="AT240" s="48"/>
      <c r="AU240" s="48"/>
      <c r="AV240" s="48"/>
      <c r="AW240" s="48"/>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111"/>
    </row>
    <row r="241" spans="1:76">
      <c r="A241" s="37"/>
      <c r="B241" s="37"/>
      <c r="C241" s="37" t="s">
        <v>1357</v>
      </c>
      <c r="D241" s="37"/>
      <c r="E241" s="37"/>
      <c r="F241" s="39"/>
      <c r="G241" s="39">
        <f t="shared" ref="G241:N241" si="35">IF(AND(OR(ISTEXT(G242), ISBLANK(G242)),OR(ISTEXT(G243), ISBLANK(G243)),TRUE),"", +IF(ISTEXT(G242), 0,G242)-IF(ISTEXT(G243), 0,G243))</f>
        <v>-42</v>
      </c>
      <c r="H241" s="39" t="str">
        <f t="shared" si="35"/>
        <v/>
      </c>
      <c r="I241" s="39">
        <f t="shared" si="35"/>
        <v>-20.8</v>
      </c>
      <c r="J241" s="39">
        <f t="shared" si="35"/>
        <v>-1.9205607476635516</v>
      </c>
      <c r="K241" s="39" t="str">
        <f t="shared" si="35"/>
        <v/>
      </c>
      <c r="L241" s="39" t="str">
        <f t="shared" si="35"/>
        <v/>
      </c>
      <c r="M241" s="39" t="str">
        <f t="shared" si="35"/>
        <v/>
      </c>
      <c r="N241" s="39" t="str">
        <f t="shared" si="35"/>
        <v/>
      </c>
      <c r="O241" s="58"/>
      <c r="P241" s="48"/>
      <c r="Q241" s="48"/>
      <c r="R241" s="48"/>
      <c r="S241" s="48"/>
      <c r="T241" s="48"/>
      <c r="U241" s="48"/>
      <c r="V241" s="48"/>
      <c r="W241" s="48"/>
      <c r="X241" s="48"/>
      <c r="Y241" s="48"/>
      <c r="Z241" s="48"/>
      <c r="AA241" s="48"/>
      <c r="AB241" s="48"/>
      <c r="AC241" s="48"/>
      <c r="AD241" s="48"/>
      <c r="AE241" s="48"/>
      <c r="AF241" s="48"/>
      <c r="AG241" s="48"/>
      <c r="AH241" s="48"/>
      <c r="AI241" s="48"/>
      <c r="AJ241" s="48"/>
      <c r="AK241" s="48"/>
      <c r="AL241" s="48"/>
      <c r="AM241" s="48"/>
      <c r="AN241" s="48"/>
      <c r="AO241" s="48"/>
      <c r="AP241" s="48"/>
      <c r="AQ241" s="48"/>
      <c r="AR241" s="48"/>
      <c r="AS241" s="48"/>
      <c r="AT241" s="48"/>
      <c r="AU241" s="48"/>
      <c r="AV241" s="48"/>
      <c r="AW241" s="48"/>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111"/>
    </row>
    <row r="242" spans="1:76">
      <c r="A242" s="37"/>
      <c r="B242" s="37"/>
      <c r="C242" s="37"/>
      <c r="D242" s="37" t="s">
        <v>1358</v>
      </c>
      <c r="E242" s="37"/>
      <c r="F242" s="39"/>
      <c r="G242" s="59">
        <v>-78</v>
      </c>
      <c r="H242" s="59"/>
      <c r="I242" s="59">
        <v>-32</v>
      </c>
      <c r="J242" s="59">
        <v>-3</v>
      </c>
      <c r="K242" s="59"/>
      <c r="L242" s="59"/>
      <c r="M242" s="59"/>
      <c r="N242" s="59"/>
      <c r="O242" s="36"/>
      <c r="P242" s="48"/>
      <c r="Q242" s="48"/>
      <c r="R242" s="48"/>
      <c r="S242" s="48"/>
      <c r="T242" s="48"/>
      <c r="U242" s="48"/>
      <c r="V242" s="48"/>
      <c r="W242" s="48"/>
      <c r="X242" s="48"/>
      <c r="Y242" s="48"/>
      <c r="Z242" s="48"/>
      <c r="AA242" s="48"/>
      <c r="AB242" s="48"/>
      <c r="AC242" s="48"/>
      <c r="AD242" s="48"/>
      <c r="AE242" s="48"/>
      <c r="AF242" s="48"/>
      <c r="AG242" s="48"/>
      <c r="AH242" s="48"/>
      <c r="AI242" s="48"/>
      <c r="AJ242" s="48"/>
      <c r="AK242" s="48"/>
      <c r="AL242" s="48"/>
      <c r="AM242" s="48"/>
      <c r="AN242" s="48"/>
      <c r="AO242" s="48"/>
      <c r="AP242" s="48"/>
      <c r="AQ242" s="48"/>
      <c r="AR242" s="48"/>
      <c r="AS242" s="48"/>
      <c r="AT242" s="48"/>
      <c r="AU242" s="48"/>
      <c r="AV242" s="48"/>
      <c r="AW242" s="48"/>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111"/>
    </row>
    <row r="243" spans="1:76">
      <c r="A243" s="37"/>
      <c r="B243" s="37"/>
      <c r="C243" s="37"/>
      <c r="D243" s="37" t="s">
        <v>1359</v>
      </c>
      <c r="E243" s="37"/>
      <c r="F243" s="39"/>
      <c r="G243" s="59">
        <f>+G242+42</f>
        <v>-36</v>
      </c>
      <c r="H243" s="59"/>
      <c r="I243" s="59">
        <f>I242*I267</f>
        <v>-11.2</v>
      </c>
      <c r="J243" s="59">
        <f>J242*J267</f>
        <v>-1.0794392523364484</v>
      </c>
      <c r="K243" s="59"/>
      <c r="L243" s="59"/>
      <c r="M243" s="59"/>
      <c r="N243" s="59"/>
      <c r="O243" s="36"/>
      <c r="P243" s="48"/>
      <c r="Q243" s="48"/>
      <c r="R243" s="48"/>
      <c r="S243" s="48"/>
      <c r="T243" s="48"/>
      <c r="U243" s="48"/>
      <c r="V243" s="48"/>
      <c r="W243" s="48"/>
      <c r="X243" s="48"/>
      <c r="Y243" s="48"/>
      <c r="Z243" s="48"/>
      <c r="AA243" s="48"/>
      <c r="AB243" s="48"/>
      <c r="AC243" s="48"/>
      <c r="AD243" s="48"/>
      <c r="AE243" s="48"/>
      <c r="AF243" s="48"/>
      <c r="AG243" s="48"/>
      <c r="AH243" s="48"/>
      <c r="AI243" s="48"/>
      <c r="AJ243" s="48"/>
      <c r="AK243" s="48"/>
      <c r="AL243" s="48"/>
      <c r="AM243" s="48"/>
      <c r="AN243" s="48"/>
      <c r="AO243" s="48"/>
      <c r="AP243" s="48"/>
      <c r="AQ243" s="48"/>
      <c r="AR243" s="48"/>
      <c r="AS243" s="48"/>
      <c r="AT243" s="48"/>
      <c r="AU243" s="48"/>
      <c r="AV243" s="48"/>
      <c r="AW243" s="48"/>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111"/>
    </row>
    <row r="244" spans="1:76">
      <c r="A244" s="37"/>
      <c r="B244" s="37"/>
      <c r="C244" s="37" t="s">
        <v>177</v>
      </c>
      <c r="D244" s="37"/>
      <c r="E244" s="37"/>
      <c r="F244" s="39"/>
      <c r="G244" s="39">
        <v>25</v>
      </c>
      <c r="H244" s="39">
        <f t="shared" ref="H244:N244" si="36">IF(AND(OR(ISTEXT(H245), ISBLANK(H245)),OR(ISTEXT(H246), ISBLANK(H246)),TRUE),"", +IF(ISTEXT(H245), 0,H245)-IF(ISTEXT(H246), 0,H246))</f>
        <v>1082</v>
      </c>
      <c r="I244" s="39">
        <f t="shared" si="36"/>
        <v>-71</v>
      </c>
      <c r="J244" s="39">
        <f t="shared" si="36"/>
        <v>5</v>
      </c>
      <c r="K244" s="39">
        <f t="shared" si="36"/>
        <v>0</v>
      </c>
      <c r="L244" s="39">
        <f t="shared" si="36"/>
        <v>104</v>
      </c>
      <c r="M244" s="39">
        <f t="shared" si="36"/>
        <v>21</v>
      </c>
      <c r="N244" s="48">
        <f t="shared" si="36"/>
        <v>26</v>
      </c>
      <c r="O244" s="36"/>
      <c r="P244" s="48"/>
      <c r="Q244" s="48"/>
      <c r="R244" s="48"/>
      <c r="S244" s="48"/>
      <c r="T244" s="48"/>
      <c r="U244" s="48"/>
      <c r="V244" s="48"/>
      <c r="W244" s="48"/>
      <c r="X244" s="48"/>
      <c r="Y244" s="48"/>
      <c r="Z244" s="48"/>
      <c r="AA244" s="48"/>
      <c r="AB244" s="48"/>
      <c r="AC244" s="48"/>
      <c r="AD244" s="48"/>
      <c r="AE244" s="48"/>
      <c r="AF244" s="48"/>
      <c r="AG244" s="48"/>
      <c r="AH244" s="48"/>
      <c r="AI244" s="48"/>
      <c r="AJ244" s="48"/>
      <c r="AK244" s="48"/>
      <c r="AL244" s="48"/>
      <c r="AM244" s="48"/>
      <c r="AN244" s="48"/>
      <c r="AO244" s="48"/>
      <c r="AP244" s="48"/>
      <c r="AQ244" s="48"/>
      <c r="AR244" s="48"/>
      <c r="AS244" s="48"/>
      <c r="AT244" s="48"/>
      <c r="AU244" s="48"/>
      <c r="AV244" s="48"/>
      <c r="AW244" s="48"/>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111"/>
    </row>
    <row r="245" spans="1:76">
      <c r="A245" s="37"/>
      <c r="B245" s="37"/>
      <c r="C245" s="37"/>
      <c r="D245" s="37" t="s">
        <v>454</v>
      </c>
      <c r="E245" s="37"/>
      <c r="F245" s="39"/>
      <c r="G245" s="59">
        <f>25/(1-G267)</f>
        <v>38.46153846153846</v>
      </c>
      <c r="H245" s="59">
        <f>-80+1162+H246</f>
        <v>1672</v>
      </c>
      <c r="I245" s="59">
        <f>-71+I246</f>
        <v>54</v>
      </c>
      <c r="J245" s="59">
        <f>5+J246</f>
        <v>7</v>
      </c>
      <c r="K245" s="59">
        <v>0</v>
      </c>
      <c r="L245" s="59">
        <f>-5+109+L246</f>
        <v>2</v>
      </c>
      <c r="M245" s="59">
        <f>-2+206-183+M246</f>
        <v>125.05</v>
      </c>
      <c r="N245" s="59">
        <f>26+N246</f>
        <v>16</v>
      </c>
      <c r="O245" s="58"/>
      <c r="P245" s="48"/>
      <c r="Q245" s="48"/>
      <c r="R245" s="48"/>
      <c r="S245" s="48"/>
      <c r="T245" s="48"/>
      <c r="U245" s="48"/>
      <c r="V245" s="48"/>
      <c r="W245" s="48"/>
      <c r="X245" s="48"/>
      <c r="Y245" s="48"/>
      <c r="Z245" s="48"/>
      <c r="AA245" s="48"/>
      <c r="AB245" s="48"/>
      <c r="AC245" s="48"/>
      <c r="AD245" s="48"/>
      <c r="AE245" s="48"/>
      <c r="AF245" s="48"/>
      <c r="AG245" s="48"/>
      <c r="AH245" s="48"/>
      <c r="AI245" s="48"/>
      <c r="AJ245" s="48"/>
      <c r="AK245" s="48"/>
      <c r="AL245" s="48"/>
      <c r="AM245" s="48"/>
      <c r="AN245" s="48"/>
      <c r="AO245" s="48"/>
      <c r="AP245" s="48"/>
      <c r="AQ245" s="48"/>
      <c r="AR245" s="48"/>
      <c r="AS245" s="48"/>
      <c r="AT245" s="48"/>
      <c r="AU245" s="48"/>
      <c r="AV245" s="48"/>
      <c r="AW245" s="48"/>
      <c r="AX245" s="48"/>
      <c r="AY245" s="48"/>
      <c r="AZ245" s="48"/>
      <c r="BA245" s="48"/>
      <c r="BB245" s="48"/>
      <c r="BC245" s="48"/>
      <c r="BD245" s="48"/>
      <c r="BE245" s="48"/>
      <c r="BF245" s="48"/>
      <c r="BG245" s="48"/>
      <c r="BH245" s="48"/>
      <c r="BI245" s="48"/>
      <c r="BJ245" s="48"/>
      <c r="BK245" s="48"/>
      <c r="BL245" s="48"/>
      <c r="BM245" s="48"/>
      <c r="BN245" s="48"/>
      <c r="BO245" s="48"/>
      <c r="BP245" s="48"/>
      <c r="BQ245" s="48"/>
      <c r="BR245" s="48"/>
      <c r="BS245" s="48"/>
      <c r="BT245" s="48"/>
      <c r="BU245" s="48"/>
      <c r="BV245" s="48"/>
      <c r="BW245" s="48"/>
      <c r="BX245" s="111"/>
    </row>
    <row r="246" spans="1:76">
      <c r="A246" s="37"/>
      <c r="B246" s="37"/>
      <c r="C246" s="37"/>
      <c r="D246" s="37" t="s">
        <v>871</v>
      </c>
      <c r="E246" s="37"/>
      <c r="F246" s="39"/>
      <c r="G246" s="59">
        <f>G245*G267</f>
        <v>13.46153846153846</v>
      </c>
      <c r="H246" s="59">
        <f>-31+621</f>
        <v>590</v>
      </c>
      <c r="I246" s="59">
        <v>125</v>
      </c>
      <c r="J246" s="59">
        <v>2</v>
      </c>
      <c r="K246" s="59">
        <v>0</v>
      </c>
      <c r="L246" s="59">
        <f>2-104</f>
        <v>-102</v>
      </c>
      <c r="M246" s="59">
        <f>0+40+(183*M267)</f>
        <v>104.05</v>
      </c>
      <c r="N246" s="60">
        <v>-10</v>
      </c>
      <c r="O246" s="58"/>
      <c r="P246" s="48"/>
      <c r="Q246" s="48"/>
      <c r="R246" s="48"/>
      <c r="S246" s="48"/>
      <c r="T246" s="48"/>
      <c r="U246" s="48"/>
      <c r="V246" s="48"/>
      <c r="W246" s="48"/>
      <c r="X246" s="48"/>
      <c r="Y246" s="48"/>
      <c r="Z246" s="48"/>
      <c r="AA246" s="48"/>
      <c r="AB246" s="48"/>
      <c r="AC246" s="48"/>
      <c r="AD246" s="48"/>
      <c r="AE246" s="48"/>
      <c r="AF246" s="48"/>
      <c r="AG246" s="48"/>
      <c r="AH246" s="48"/>
      <c r="AI246" s="48"/>
      <c r="AJ246" s="48"/>
      <c r="AK246" s="48"/>
      <c r="AL246" s="48"/>
      <c r="AM246" s="48"/>
      <c r="AN246" s="48"/>
      <c r="AO246" s="48"/>
      <c r="AP246" s="48"/>
      <c r="AQ246" s="48"/>
      <c r="AR246" s="48"/>
      <c r="AS246" s="48"/>
      <c r="AT246" s="48"/>
      <c r="AU246" s="48"/>
      <c r="AV246" s="48"/>
      <c r="AW246" s="48"/>
      <c r="AX246" s="48"/>
      <c r="AY246" s="48"/>
      <c r="AZ246" s="48"/>
      <c r="BA246" s="48"/>
      <c r="BB246" s="48"/>
      <c r="BC246" s="48"/>
      <c r="BD246" s="48"/>
      <c r="BE246" s="48"/>
      <c r="BF246" s="48"/>
      <c r="BG246" s="48"/>
      <c r="BH246" s="48"/>
      <c r="BI246" s="48"/>
      <c r="BJ246" s="48"/>
      <c r="BK246" s="48"/>
      <c r="BL246" s="48"/>
      <c r="BM246" s="48"/>
      <c r="BN246" s="48"/>
      <c r="BO246" s="48"/>
      <c r="BP246" s="48"/>
      <c r="BQ246" s="48"/>
      <c r="BR246" s="48"/>
      <c r="BS246" s="48"/>
      <c r="BT246" s="48"/>
      <c r="BU246" s="48"/>
      <c r="BV246" s="48"/>
      <c r="BW246" s="48"/>
      <c r="BX246" s="111"/>
    </row>
    <row r="247" spans="1:76">
      <c r="A247" s="37"/>
      <c r="B247" s="37"/>
      <c r="C247" s="37" t="s">
        <v>2107</v>
      </c>
      <c r="D247" s="37"/>
      <c r="E247" s="37"/>
      <c r="F247" s="39"/>
      <c r="G247" s="59">
        <v>0</v>
      </c>
      <c r="H247" s="59">
        <v>17</v>
      </c>
      <c r="I247" s="59">
        <v>5</v>
      </c>
      <c r="J247" s="59">
        <v>0</v>
      </c>
      <c r="K247" s="59"/>
      <c r="L247" s="59"/>
      <c r="M247" s="59"/>
      <c r="N247" s="59"/>
      <c r="O247" s="36"/>
      <c r="P247" s="48"/>
      <c r="Q247" s="48"/>
      <c r="R247" s="48"/>
      <c r="S247" s="48"/>
      <c r="T247" s="48"/>
      <c r="U247" s="48"/>
      <c r="V247" s="48"/>
      <c r="W247" s="48"/>
      <c r="X247" s="48"/>
      <c r="Y247" s="48"/>
      <c r="Z247" s="48"/>
      <c r="AA247" s="48"/>
      <c r="AB247" s="48"/>
      <c r="AC247" s="48"/>
      <c r="AD247" s="48"/>
      <c r="AE247" s="48"/>
      <c r="AF247" s="48"/>
      <c r="AG247" s="48"/>
      <c r="AH247" s="48"/>
      <c r="AI247" s="48"/>
      <c r="AJ247" s="48"/>
      <c r="AK247" s="48"/>
      <c r="AL247" s="48"/>
      <c r="AM247" s="48"/>
      <c r="AN247" s="48"/>
      <c r="AO247" s="48"/>
      <c r="AP247" s="48"/>
      <c r="AQ247" s="48"/>
      <c r="AR247" s="48"/>
      <c r="AS247" s="48"/>
      <c r="AT247" s="48"/>
      <c r="AU247" s="48"/>
      <c r="AV247" s="48"/>
      <c r="AW247" s="48"/>
      <c r="AX247" s="48"/>
      <c r="AY247" s="48"/>
      <c r="AZ247" s="48"/>
      <c r="BA247" s="48"/>
      <c r="BB247" s="48"/>
      <c r="BC247" s="48"/>
      <c r="BD247" s="48"/>
      <c r="BE247" s="48"/>
      <c r="BF247" s="48"/>
      <c r="BG247" s="48"/>
      <c r="BH247" s="48"/>
      <c r="BI247" s="48"/>
      <c r="BJ247" s="48"/>
      <c r="BK247" s="48"/>
      <c r="BL247" s="48"/>
      <c r="BM247" s="48"/>
      <c r="BN247" s="48"/>
      <c r="BO247" s="48"/>
      <c r="BP247" s="48"/>
      <c r="BQ247" s="48"/>
      <c r="BR247" s="48"/>
      <c r="BS247" s="48"/>
      <c r="BT247" s="48"/>
      <c r="BU247" s="48"/>
      <c r="BV247" s="48"/>
      <c r="BW247" s="48"/>
      <c r="BX247" s="111"/>
    </row>
    <row r="248" spans="1:76">
      <c r="A248" s="37"/>
      <c r="B248" s="37"/>
      <c r="C248" s="37" t="s">
        <v>2108</v>
      </c>
      <c r="D248" s="37"/>
      <c r="E248" s="37"/>
      <c r="F248" s="39"/>
      <c r="G248" s="59"/>
      <c r="H248" s="59"/>
      <c r="I248" s="59"/>
      <c r="J248" s="59"/>
      <c r="K248" s="59"/>
      <c r="L248" s="59"/>
      <c r="M248" s="59"/>
      <c r="N248" s="60"/>
      <c r="O248" s="36"/>
      <c r="P248" s="48"/>
      <c r="Q248" s="48"/>
      <c r="R248" s="48"/>
      <c r="S248" s="48"/>
      <c r="T248" s="48"/>
      <c r="U248" s="48"/>
      <c r="V248" s="48"/>
      <c r="W248" s="48"/>
      <c r="X248" s="48"/>
      <c r="Y248" s="48"/>
      <c r="Z248" s="48"/>
      <c r="AA248" s="48"/>
      <c r="AB248" s="48"/>
      <c r="AC248" s="48"/>
      <c r="AD248" s="48"/>
      <c r="AE248" s="48"/>
      <c r="AF248" s="48"/>
      <c r="AG248" s="48"/>
      <c r="AH248" s="48"/>
      <c r="AI248" s="48"/>
      <c r="AJ248" s="48"/>
      <c r="AK248" s="48"/>
      <c r="AL248" s="48"/>
      <c r="AM248" s="48"/>
      <c r="AN248" s="48"/>
      <c r="AO248" s="48"/>
      <c r="AP248" s="48"/>
      <c r="AQ248" s="48"/>
      <c r="AR248" s="48"/>
      <c r="AS248" s="48"/>
      <c r="AT248" s="48"/>
      <c r="AU248" s="48"/>
      <c r="AV248" s="48"/>
      <c r="AW248" s="48"/>
      <c r="AX248" s="48"/>
      <c r="AY248" s="48"/>
      <c r="AZ248" s="48"/>
      <c r="BA248" s="48"/>
      <c r="BB248" s="48"/>
      <c r="BC248" s="48"/>
      <c r="BD248" s="48"/>
      <c r="BE248" s="48"/>
      <c r="BF248" s="48"/>
      <c r="BG248" s="48"/>
      <c r="BH248" s="48"/>
      <c r="BI248" s="48"/>
      <c r="BJ248" s="48"/>
      <c r="BK248" s="48"/>
      <c r="BL248" s="48"/>
      <c r="BM248" s="48"/>
      <c r="BN248" s="48"/>
      <c r="BO248" s="48"/>
      <c r="BP248" s="48"/>
      <c r="BQ248" s="48"/>
      <c r="BR248" s="48"/>
      <c r="BS248" s="48"/>
      <c r="BT248" s="48"/>
      <c r="BU248" s="48"/>
      <c r="BV248" s="48"/>
      <c r="BW248" s="48"/>
      <c r="BX248" s="111"/>
    </row>
    <row r="249" spans="1:76">
      <c r="A249" s="37"/>
      <c r="B249" s="37"/>
      <c r="C249" s="37" t="s">
        <v>1169</v>
      </c>
      <c r="D249" s="37"/>
      <c r="E249" s="37"/>
      <c r="F249" s="39"/>
      <c r="G249" s="39" t="str">
        <f t="shared" ref="G249:N249" si="37">IF(AND(OR(ISTEXT(G250), ISBLANK(G250)),OR(ISTEXT(G251), ISBLANK(G251)),OR(ISTEXT(G252), ISBLANK(G252)),TRUE),"", +IF(ISTEXT(G250), 0,G250)+IF(ISTEXT(G251), 0,G251)+IF(ISTEXT(G252), 0,G252))</f>
        <v/>
      </c>
      <c r="H249" s="39" t="str">
        <f t="shared" si="37"/>
        <v/>
      </c>
      <c r="I249" s="39" t="str">
        <f t="shared" si="37"/>
        <v/>
      </c>
      <c r="J249" s="39" t="str">
        <f t="shared" si="37"/>
        <v/>
      </c>
      <c r="K249" s="39" t="str">
        <f t="shared" si="37"/>
        <v/>
      </c>
      <c r="L249" s="39" t="str">
        <f t="shared" si="37"/>
        <v/>
      </c>
      <c r="M249" s="39" t="str">
        <f t="shared" si="37"/>
        <v/>
      </c>
      <c r="N249" s="48" t="str">
        <f t="shared" si="37"/>
        <v/>
      </c>
      <c r="O249" s="36"/>
      <c r="P249" s="48"/>
      <c r="Q249" s="48"/>
      <c r="R249" s="48"/>
      <c r="S249" s="48"/>
      <c r="T249" s="48"/>
      <c r="U249" s="48"/>
      <c r="V249" s="48"/>
      <c r="W249" s="48"/>
      <c r="X249" s="48"/>
      <c r="Y249" s="48"/>
      <c r="Z249" s="48"/>
      <c r="AA249" s="48"/>
      <c r="AB249" s="48"/>
      <c r="AC249" s="48"/>
      <c r="AD249" s="48"/>
      <c r="AE249" s="48"/>
      <c r="AF249" s="48"/>
      <c r="AG249" s="48"/>
      <c r="AH249" s="48"/>
      <c r="AI249" s="48"/>
      <c r="AJ249" s="48"/>
      <c r="AK249" s="48"/>
      <c r="AL249" s="48"/>
      <c r="AM249" s="48"/>
      <c r="AN249" s="48"/>
      <c r="AO249" s="48"/>
      <c r="AP249" s="48"/>
      <c r="AQ249" s="48"/>
      <c r="AR249" s="48"/>
      <c r="AS249" s="48"/>
      <c r="AT249" s="48"/>
      <c r="AU249" s="48"/>
      <c r="AV249" s="48"/>
      <c r="AW249" s="48"/>
      <c r="AX249" s="48"/>
      <c r="AY249" s="48"/>
      <c r="AZ249" s="48"/>
      <c r="BA249" s="48"/>
      <c r="BB249" s="48"/>
      <c r="BC249" s="48"/>
      <c r="BD249" s="48"/>
      <c r="BE249" s="48"/>
      <c r="BF249" s="48"/>
      <c r="BG249" s="48"/>
      <c r="BH249" s="48"/>
      <c r="BI249" s="48"/>
      <c r="BJ249" s="48"/>
      <c r="BK249" s="48"/>
      <c r="BL249" s="48"/>
      <c r="BM249" s="48"/>
      <c r="BN249" s="48"/>
      <c r="BO249" s="48"/>
      <c r="BP249" s="48"/>
      <c r="BQ249" s="48"/>
      <c r="BR249" s="48"/>
      <c r="BS249" s="48"/>
      <c r="BT249" s="48"/>
      <c r="BU249" s="48"/>
      <c r="BV249" s="48"/>
      <c r="BW249" s="48"/>
      <c r="BX249" s="111"/>
    </row>
    <row r="250" spans="1:76">
      <c r="A250" s="37"/>
      <c r="B250" s="37"/>
      <c r="C250" s="37"/>
      <c r="D250" s="37" t="s">
        <v>581</v>
      </c>
      <c r="E250" s="37"/>
      <c r="F250" s="39"/>
      <c r="G250" s="59"/>
      <c r="H250" s="59"/>
      <c r="I250" s="59"/>
      <c r="J250" s="59"/>
      <c r="K250" s="59"/>
      <c r="L250" s="59"/>
      <c r="M250" s="59"/>
      <c r="N250" s="60"/>
      <c r="O250" s="36"/>
      <c r="P250" s="48"/>
      <c r="Q250" s="48"/>
      <c r="R250" s="48"/>
      <c r="S250" s="48"/>
      <c r="T250" s="48"/>
      <c r="U250" s="48"/>
      <c r="V250" s="48"/>
      <c r="W250" s="48"/>
      <c r="X250" s="48"/>
      <c r="Y250" s="48"/>
      <c r="Z250" s="48"/>
      <c r="AA250" s="48"/>
      <c r="AB250" s="48"/>
      <c r="AC250" s="48"/>
      <c r="AD250" s="48"/>
      <c r="AE250" s="48"/>
      <c r="AF250" s="48"/>
      <c r="AG250" s="48"/>
      <c r="AH250" s="48"/>
      <c r="AI250" s="48"/>
      <c r="AJ250" s="48"/>
      <c r="AK250" s="48"/>
      <c r="AL250" s="48"/>
      <c r="AM250" s="48"/>
      <c r="AN250" s="48"/>
      <c r="AO250" s="48"/>
      <c r="AP250" s="48"/>
      <c r="AQ250" s="48"/>
      <c r="AR250" s="48"/>
      <c r="AS250" s="48"/>
      <c r="AT250" s="48"/>
      <c r="AU250" s="48"/>
      <c r="AV250" s="48"/>
      <c r="AW250" s="48"/>
      <c r="AX250" s="48"/>
      <c r="AY250" s="48"/>
      <c r="AZ250" s="48"/>
      <c r="BA250" s="48"/>
      <c r="BB250" s="48"/>
      <c r="BC250" s="48"/>
      <c r="BD250" s="48"/>
      <c r="BE250" s="48"/>
      <c r="BF250" s="48"/>
      <c r="BG250" s="48"/>
      <c r="BH250" s="48"/>
      <c r="BI250" s="48"/>
      <c r="BJ250" s="48"/>
      <c r="BK250" s="48"/>
      <c r="BL250" s="48"/>
      <c r="BM250" s="48"/>
      <c r="BN250" s="48"/>
      <c r="BO250" s="48"/>
      <c r="BP250" s="48"/>
      <c r="BQ250" s="48"/>
      <c r="BR250" s="48"/>
      <c r="BS250" s="48"/>
      <c r="BT250" s="48"/>
      <c r="BU250" s="48"/>
      <c r="BV250" s="48"/>
      <c r="BW250" s="48"/>
      <c r="BX250" s="111"/>
    </row>
    <row r="251" spans="1:76">
      <c r="A251" s="37"/>
      <c r="B251" s="37"/>
      <c r="C251" s="37"/>
      <c r="D251" s="37" t="s">
        <v>1153</v>
      </c>
      <c r="E251" s="37"/>
      <c r="F251" s="39"/>
      <c r="G251" s="59"/>
      <c r="H251" s="59"/>
      <c r="I251" s="59"/>
      <c r="J251" s="59"/>
      <c r="K251" s="59"/>
      <c r="L251" s="59"/>
      <c r="M251" s="59"/>
      <c r="N251" s="60"/>
      <c r="O251" s="36"/>
      <c r="P251" s="48"/>
      <c r="Q251" s="48"/>
      <c r="R251" s="48"/>
      <c r="S251" s="48"/>
      <c r="T251" s="48"/>
      <c r="U251" s="48"/>
      <c r="V251" s="48"/>
      <c r="W251" s="48"/>
      <c r="X251" s="48"/>
      <c r="Y251" s="48"/>
      <c r="Z251" s="48"/>
      <c r="AA251" s="48"/>
      <c r="AB251" s="48"/>
      <c r="AC251" s="48"/>
      <c r="AD251" s="48"/>
      <c r="AE251" s="48"/>
      <c r="AF251" s="48"/>
      <c r="AG251" s="48"/>
      <c r="AH251" s="48"/>
      <c r="AI251" s="48"/>
      <c r="AJ251" s="48"/>
      <c r="AK251" s="48"/>
      <c r="AL251" s="48"/>
      <c r="AM251" s="48"/>
      <c r="AN251" s="48"/>
      <c r="AO251" s="48"/>
      <c r="AP251" s="48"/>
      <c r="AQ251" s="48"/>
      <c r="AR251" s="48"/>
      <c r="AS251" s="48"/>
      <c r="AT251" s="48"/>
      <c r="AU251" s="48"/>
      <c r="AV251" s="48"/>
      <c r="AW251" s="48"/>
      <c r="AX251" s="48"/>
      <c r="AY251" s="48"/>
      <c r="AZ251" s="48"/>
      <c r="BA251" s="48"/>
      <c r="BB251" s="48"/>
      <c r="BC251" s="48"/>
      <c r="BD251" s="48"/>
      <c r="BE251" s="48"/>
      <c r="BF251" s="48"/>
      <c r="BG251" s="48"/>
      <c r="BH251" s="48"/>
      <c r="BI251" s="48"/>
      <c r="BJ251" s="48"/>
      <c r="BK251" s="48"/>
      <c r="BL251" s="48"/>
      <c r="BM251" s="48"/>
      <c r="BN251" s="48"/>
      <c r="BO251" s="48"/>
      <c r="BP251" s="48"/>
      <c r="BQ251" s="48"/>
      <c r="BR251" s="48"/>
      <c r="BS251" s="48"/>
      <c r="BT251" s="48"/>
      <c r="BU251" s="48"/>
      <c r="BV251" s="48"/>
      <c r="BW251" s="48"/>
      <c r="BX251" s="111"/>
    </row>
    <row r="252" spans="1:76">
      <c r="A252" s="37"/>
      <c r="B252" s="37"/>
      <c r="C252" s="37"/>
      <c r="D252" s="37" t="s">
        <v>1468</v>
      </c>
      <c r="E252" s="37"/>
      <c r="F252" s="39"/>
      <c r="G252" s="59"/>
      <c r="H252" s="59"/>
      <c r="I252" s="59"/>
      <c r="J252" s="59"/>
      <c r="K252" s="59"/>
      <c r="L252" s="59"/>
      <c r="M252" s="59"/>
      <c r="N252" s="59"/>
      <c r="O252" s="58"/>
      <c r="P252" s="48"/>
      <c r="Q252" s="48"/>
      <c r="R252" s="48"/>
      <c r="S252" s="48"/>
      <c r="T252" s="48"/>
      <c r="U252" s="48"/>
      <c r="V252" s="48"/>
      <c r="W252" s="48"/>
      <c r="X252" s="48"/>
      <c r="Y252" s="48"/>
      <c r="Z252" s="48"/>
      <c r="AA252" s="48"/>
      <c r="AB252" s="48"/>
      <c r="AC252" s="48"/>
      <c r="AD252" s="48"/>
      <c r="AE252" s="48"/>
      <c r="AF252" s="48"/>
      <c r="AG252" s="48"/>
      <c r="AH252" s="48"/>
      <c r="AI252" s="48"/>
      <c r="AJ252" s="48"/>
      <c r="AK252" s="48"/>
      <c r="AL252" s="48"/>
      <c r="AM252" s="48"/>
      <c r="AN252" s="48"/>
      <c r="AO252" s="48"/>
      <c r="AP252" s="48"/>
      <c r="AQ252" s="48"/>
      <c r="AR252" s="48"/>
      <c r="AS252" s="48"/>
      <c r="AT252" s="48"/>
      <c r="AU252" s="48"/>
      <c r="AV252" s="48"/>
      <c r="AW252" s="48"/>
      <c r="AX252" s="48"/>
      <c r="AY252" s="48"/>
      <c r="AZ252" s="48"/>
      <c r="BA252" s="48"/>
      <c r="BB252" s="48"/>
      <c r="BC252" s="48"/>
      <c r="BD252" s="48"/>
      <c r="BE252" s="48"/>
      <c r="BF252" s="48"/>
      <c r="BG252" s="48"/>
      <c r="BH252" s="48"/>
      <c r="BI252" s="48"/>
      <c r="BJ252" s="48"/>
      <c r="BK252" s="48"/>
      <c r="BL252" s="48"/>
      <c r="BM252" s="48"/>
      <c r="BN252" s="48"/>
      <c r="BO252" s="48"/>
      <c r="BP252" s="48"/>
      <c r="BQ252" s="48"/>
      <c r="BR252" s="48"/>
      <c r="BS252" s="48"/>
      <c r="BT252" s="48"/>
      <c r="BU252" s="48"/>
      <c r="BV252" s="48"/>
      <c r="BW252" s="48"/>
      <c r="BX252" s="111"/>
    </row>
    <row r="253" spans="1:76">
      <c r="A253" s="37"/>
      <c r="B253" s="37"/>
      <c r="C253" s="37" t="s">
        <v>1453</v>
      </c>
      <c r="D253" s="37"/>
      <c r="E253" s="37"/>
      <c r="F253" s="39"/>
      <c r="G253" s="59"/>
      <c r="H253" s="59"/>
      <c r="I253" s="59"/>
      <c r="J253" s="59"/>
      <c r="K253" s="59"/>
      <c r="L253" s="59"/>
      <c r="M253" s="59"/>
      <c r="N253" s="60"/>
      <c r="O253" s="36"/>
      <c r="P253" s="48"/>
      <c r="Q253" s="48"/>
      <c r="R253" s="48"/>
      <c r="S253" s="48"/>
      <c r="T253" s="48"/>
      <c r="U253" s="48"/>
      <c r="V253" s="48"/>
      <c r="W253" s="48"/>
      <c r="X253" s="48"/>
      <c r="Y253" s="48"/>
      <c r="Z253" s="48"/>
      <c r="AA253" s="48"/>
      <c r="AB253" s="48"/>
      <c r="AC253" s="48"/>
      <c r="AD253" s="48"/>
      <c r="AE253" s="48"/>
      <c r="AF253" s="48"/>
      <c r="AG253" s="48"/>
      <c r="AH253" s="48"/>
      <c r="AI253" s="48"/>
      <c r="AJ253" s="48"/>
      <c r="AK253" s="48"/>
      <c r="AL253" s="48"/>
      <c r="AM253" s="48"/>
      <c r="AN253" s="48"/>
      <c r="AO253" s="48"/>
      <c r="AP253" s="48"/>
      <c r="AQ253" s="48"/>
      <c r="AR253" s="48"/>
      <c r="AS253" s="48"/>
      <c r="AT253" s="48"/>
      <c r="AU253" s="48"/>
      <c r="AV253" s="48"/>
      <c r="AW253" s="48"/>
      <c r="AX253" s="48"/>
      <c r="AY253" s="48"/>
      <c r="AZ253" s="48"/>
      <c r="BA253" s="48"/>
      <c r="BB253" s="48"/>
      <c r="BC253" s="48"/>
      <c r="BD253" s="48"/>
      <c r="BE253" s="48"/>
      <c r="BF253" s="48"/>
      <c r="BG253" s="48"/>
      <c r="BH253" s="48"/>
      <c r="BI253" s="48"/>
      <c r="BJ253" s="48"/>
      <c r="BK253" s="48"/>
      <c r="BL253" s="48"/>
      <c r="BM253" s="48"/>
      <c r="BN253" s="48"/>
      <c r="BO253" s="48"/>
      <c r="BP253" s="48"/>
      <c r="BQ253" s="48"/>
      <c r="BR253" s="48"/>
      <c r="BS253" s="48"/>
      <c r="BT253" s="48"/>
      <c r="BU253" s="48"/>
      <c r="BV253" s="48"/>
      <c r="BW253" s="48"/>
      <c r="BX253" s="111"/>
    </row>
    <row r="254" spans="1:76">
      <c r="A254" s="67"/>
      <c r="B254" s="67"/>
      <c r="C254" s="67" t="s">
        <v>1667</v>
      </c>
      <c r="D254" s="67"/>
      <c r="E254" s="67"/>
      <c r="F254" s="39"/>
      <c r="G254" s="59"/>
      <c r="H254" s="59"/>
      <c r="I254" s="59"/>
      <c r="J254" s="59"/>
      <c r="K254" s="59"/>
      <c r="L254" s="59"/>
      <c r="M254" s="59"/>
      <c r="N254" s="60"/>
      <c r="O254" s="68"/>
      <c r="P254" s="69"/>
      <c r="Q254" s="69"/>
      <c r="R254" s="69"/>
      <c r="S254" s="69"/>
      <c r="T254" s="69"/>
      <c r="U254" s="69"/>
      <c r="V254" s="69"/>
      <c r="W254" s="69"/>
      <c r="X254" s="69"/>
      <c r="Y254" s="69"/>
      <c r="Z254" s="69"/>
      <c r="AA254" s="69"/>
      <c r="AB254" s="69"/>
      <c r="AC254" s="69"/>
      <c r="AD254" s="69"/>
      <c r="AE254" s="69"/>
      <c r="AF254" s="69"/>
      <c r="AG254" s="69"/>
      <c r="AH254" s="69"/>
      <c r="AI254" s="69"/>
      <c r="AJ254" s="69"/>
      <c r="AK254" s="69"/>
      <c r="AL254" s="69"/>
      <c r="AM254" s="69"/>
      <c r="AN254" s="69"/>
      <c r="AO254" s="69"/>
      <c r="AP254" s="69"/>
      <c r="AQ254" s="69"/>
      <c r="AR254" s="69"/>
      <c r="AS254" s="69"/>
      <c r="AT254" s="69"/>
      <c r="AU254" s="69"/>
      <c r="AV254" s="69"/>
      <c r="AW254" s="69"/>
      <c r="AX254" s="69"/>
      <c r="AY254" s="69"/>
      <c r="AZ254" s="69"/>
      <c r="BA254" s="69"/>
      <c r="BB254" s="69"/>
      <c r="BC254" s="69"/>
      <c r="BD254" s="69"/>
      <c r="BE254" s="69"/>
      <c r="BF254" s="69"/>
      <c r="BG254" s="69"/>
      <c r="BH254" s="69"/>
      <c r="BI254" s="69"/>
      <c r="BJ254" s="69"/>
      <c r="BK254" s="69"/>
      <c r="BL254" s="69"/>
      <c r="BM254" s="69"/>
      <c r="BN254" s="69"/>
      <c r="BO254" s="69"/>
      <c r="BP254" s="69"/>
      <c r="BQ254" s="69"/>
      <c r="BR254" s="69"/>
      <c r="BS254" s="69"/>
      <c r="BT254" s="69"/>
      <c r="BU254" s="69"/>
      <c r="BV254" s="69"/>
      <c r="BW254" s="69"/>
      <c r="BX254" s="113"/>
    </row>
    <row r="255" spans="1:76">
      <c r="A255" s="37"/>
      <c r="B255" s="37"/>
      <c r="C255" s="37" t="s">
        <v>47</v>
      </c>
      <c r="D255" s="37"/>
      <c r="E255" s="37"/>
      <c r="F255" s="39"/>
      <c r="G255" s="59"/>
      <c r="H255" s="59"/>
      <c r="I255" s="59"/>
      <c r="J255" s="59"/>
      <c r="K255" s="59"/>
      <c r="L255" s="59"/>
      <c r="M255" s="59"/>
      <c r="N255" s="60"/>
      <c r="O255" s="36"/>
      <c r="P255" s="48"/>
      <c r="Q255" s="48"/>
      <c r="R255" s="48"/>
      <c r="S255" s="48"/>
      <c r="T255" s="48"/>
      <c r="U255" s="48"/>
      <c r="V255" s="48"/>
      <c r="W255" s="48"/>
      <c r="X255" s="48"/>
      <c r="Y255" s="48"/>
      <c r="Z255" s="48"/>
      <c r="AA255" s="48"/>
      <c r="AB255" s="48"/>
      <c r="AC255" s="48"/>
      <c r="AD255" s="48"/>
      <c r="AE255" s="48"/>
      <c r="AF255" s="48"/>
      <c r="AG255" s="48"/>
      <c r="AH255" s="48"/>
      <c r="AI255" s="48"/>
      <c r="AJ255" s="48"/>
      <c r="AK255" s="48"/>
      <c r="AL255" s="48"/>
      <c r="AM255" s="48"/>
      <c r="AN255" s="48"/>
      <c r="AO255" s="48"/>
      <c r="AP255" s="48"/>
      <c r="AQ255" s="48"/>
      <c r="AR255" s="48"/>
      <c r="AS255" s="48"/>
      <c r="AT255" s="48"/>
      <c r="AU255" s="48"/>
      <c r="AV255" s="48"/>
      <c r="AW255" s="48"/>
      <c r="AX255" s="48"/>
      <c r="AY255" s="48"/>
      <c r="AZ255" s="48"/>
      <c r="BA255" s="48"/>
      <c r="BB255" s="48"/>
      <c r="BC255" s="48"/>
      <c r="BD255" s="48"/>
      <c r="BE255" s="48"/>
      <c r="BF255" s="48"/>
      <c r="BG255" s="48"/>
      <c r="BH255" s="48"/>
      <c r="BI255" s="48"/>
      <c r="BJ255" s="48"/>
      <c r="BK255" s="48"/>
      <c r="BL255" s="48"/>
      <c r="BM255" s="48"/>
      <c r="BN255" s="48"/>
      <c r="BO255" s="48"/>
      <c r="BP255" s="48"/>
      <c r="BQ255" s="48"/>
      <c r="BR255" s="48"/>
      <c r="BS255" s="48"/>
      <c r="BT255" s="48"/>
      <c r="BU255" s="48"/>
      <c r="BV255" s="48"/>
      <c r="BW255" s="48"/>
      <c r="BX255" s="111"/>
    </row>
    <row r="256" spans="1:76">
      <c r="A256" s="52"/>
      <c r="B256" s="52"/>
      <c r="C256" s="52" t="s">
        <v>48</v>
      </c>
      <c r="D256" s="52"/>
      <c r="E256" s="52"/>
      <c r="F256" s="53"/>
      <c r="G256" s="53">
        <v>126.65388</v>
      </c>
      <c r="H256" s="53">
        <v>175.57413500000001</v>
      </c>
      <c r="I256" s="53">
        <v>189.271522</v>
      </c>
      <c r="J256" s="53">
        <v>194.48544799999999</v>
      </c>
      <c r="K256" s="53">
        <v>197.718872</v>
      </c>
      <c r="L256" s="53">
        <v>199.579542</v>
      </c>
      <c r="M256" s="53">
        <v>201.81212600000001</v>
      </c>
      <c r="N256" s="53">
        <v>208.73079999999999</v>
      </c>
      <c r="O256" s="54"/>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112"/>
    </row>
    <row r="257" spans="1:76">
      <c r="A257" s="37"/>
      <c r="B257" s="37"/>
      <c r="C257" s="37" t="s">
        <v>2287</v>
      </c>
      <c r="D257" s="37"/>
      <c r="E257" s="37"/>
      <c r="F257" s="39"/>
      <c r="G257" s="59"/>
      <c r="H257" s="59"/>
      <c r="I257" s="59"/>
      <c r="J257" s="59"/>
      <c r="K257" s="59"/>
      <c r="L257" s="59"/>
      <c r="M257" s="59"/>
      <c r="N257" s="60"/>
      <c r="O257" s="36"/>
      <c r="P257" s="48"/>
      <c r="Q257" s="48"/>
      <c r="R257" s="48"/>
      <c r="S257" s="48"/>
      <c r="T257" s="48"/>
      <c r="U257" s="48"/>
      <c r="V257" s="48"/>
      <c r="W257" s="48"/>
      <c r="X257" s="48"/>
      <c r="Y257" s="48"/>
      <c r="Z257" s="48"/>
      <c r="AA257" s="48"/>
      <c r="AB257" s="48"/>
      <c r="AC257" s="48"/>
      <c r="AD257" s="48"/>
      <c r="AE257" s="48"/>
      <c r="AF257" s="48"/>
      <c r="AG257" s="48"/>
      <c r="AH257" s="48"/>
      <c r="AI257" s="48"/>
      <c r="AJ257" s="48"/>
      <c r="AK257" s="48"/>
      <c r="AL257" s="48"/>
      <c r="AM257" s="48"/>
      <c r="AN257" s="48"/>
      <c r="AO257" s="48"/>
      <c r="AP257" s="48"/>
      <c r="AQ257" s="48"/>
      <c r="AR257" s="48"/>
      <c r="AS257" s="48"/>
      <c r="AT257" s="48"/>
      <c r="AU257" s="48"/>
      <c r="AV257" s="48"/>
      <c r="AW257" s="48"/>
      <c r="AX257" s="48"/>
      <c r="AY257" s="48"/>
      <c r="AZ257" s="48"/>
      <c r="BA257" s="48"/>
      <c r="BB257" s="48"/>
      <c r="BC257" s="48"/>
      <c r="BD257" s="48"/>
      <c r="BE257" s="48"/>
      <c r="BF257" s="48"/>
      <c r="BG257" s="48"/>
      <c r="BH257" s="48"/>
      <c r="BI257" s="48"/>
      <c r="BJ257" s="48"/>
      <c r="BK257" s="48"/>
      <c r="BL257" s="48"/>
      <c r="BM257" s="48"/>
      <c r="BN257" s="48"/>
      <c r="BO257" s="48"/>
      <c r="BP257" s="48"/>
      <c r="BQ257" s="48"/>
      <c r="BR257" s="48"/>
      <c r="BS257" s="48"/>
      <c r="BT257" s="48"/>
      <c r="BU257" s="48"/>
      <c r="BV257" s="48"/>
      <c r="BW257" s="48"/>
      <c r="BX257" s="111"/>
    </row>
    <row r="258" spans="1:76">
      <c r="A258" s="37"/>
      <c r="B258" s="37"/>
      <c r="C258" s="37" t="s">
        <v>95</v>
      </c>
      <c r="D258" s="37"/>
      <c r="E258" s="37"/>
      <c r="F258" s="39"/>
      <c r="G258" s="59"/>
      <c r="H258" s="59"/>
      <c r="I258" s="59"/>
      <c r="J258" s="59"/>
      <c r="K258" s="59"/>
      <c r="L258" s="59"/>
      <c r="M258" s="59"/>
      <c r="N258" s="60"/>
      <c r="O258" s="36"/>
      <c r="P258" s="48"/>
      <c r="Q258" s="48"/>
      <c r="R258" s="48"/>
      <c r="S258" s="48"/>
      <c r="T258" s="48"/>
      <c r="U258" s="48"/>
      <c r="V258" s="48"/>
      <c r="W258" s="48"/>
      <c r="X258" s="48"/>
      <c r="Y258" s="48"/>
      <c r="Z258" s="48"/>
      <c r="AA258" s="48"/>
      <c r="AB258" s="48"/>
      <c r="AC258" s="48"/>
      <c r="AD258" s="48"/>
      <c r="AE258" s="48"/>
      <c r="AF258" s="48"/>
      <c r="AG258" s="48"/>
      <c r="AH258" s="48"/>
      <c r="AI258" s="48"/>
      <c r="AJ258" s="48"/>
      <c r="AK258" s="48"/>
      <c r="AL258" s="48"/>
      <c r="AM258" s="48"/>
      <c r="AN258" s="48"/>
      <c r="AO258" s="48"/>
      <c r="AP258" s="48"/>
      <c r="AQ258" s="48"/>
      <c r="AR258" s="48"/>
      <c r="AS258" s="48"/>
      <c r="AT258" s="48"/>
      <c r="AU258" s="48"/>
      <c r="AV258" s="48"/>
      <c r="AW258" s="48"/>
      <c r="AX258" s="48"/>
      <c r="AY258" s="48"/>
      <c r="AZ258" s="48"/>
      <c r="BA258" s="48"/>
      <c r="BB258" s="48"/>
      <c r="BC258" s="48"/>
      <c r="BD258" s="48"/>
      <c r="BE258" s="48"/>
      <c r="BF258" s="48"/>
      <c r="BG258" s="48"/>
      <c r="BH258" s="48"/>
      <c r="BI258" s="48"/>
      <c r="BJ258" s="48"/>
      <c r="BK258" s="48"/>
      <c r="BL258" s="48"/>
      <c r="BM258" s="48"/>
      <c r="BN258" s="48"/>
      <c r="BO258" s="48"/>
      <c r="BP258" s="48"/>
      <c r="BQ258" s="48"/>
      <c r="BR258" s="48"/>
      <c r="BS258" s="48"/>
      <c r="BT258" s="48"/>
      <c r="BU258" s="48"/>
      <c r="BV258" s="48"/>
      <c r="BW258" s="48"/>
      <c r="BX258" s="111"/>
    </row>
    <row r="259" spans="1:76">
      <c r="A259" s="52"/>
      <c r="B259" s="52"/>
      <c r="C259" s="52" t="s">
        <v>96</v>
      </c>
      <c r="D259" s="52"/>
      <c r="E259" s="52"/>
      <c r="F259" s="53"/>
      <c r="G259" s="53">
        <v>126</v>
      </c>
      <c r="H259" s="53">
        <v>194</v>
      </c>
      <c r="I259" s="53">
        <v>189</v>
      </c>
      <c r="J259" s="53">
        <v>205</v>
      </c>
      <c r="K259" s="53">
        <f>206</f>
        <v>206</v>
      </c>
      <c r="L259" s="53">
        <f>205</f>
        <v>205</v>
      </c>
      <c r="M259" s="53">
        <f>207</f>
        <v>207</v>
      </c>
      <c r="N259" s="55">
        <f>215</f>
        <v>215</v>
      </c>
      <c r="O259" s="54"/>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112"/>
    </row>
    <row r="260" spans="1:76">
      <c r="A260" s="37"/>
      <c r="B260" s="37"/>
      <c r="C260" s="37" t="s">
        <v>1835</v>
      </c>
      <c r="D260" s="37"/>
      <c r="E260" s="37"/>
      <c r="F260" s="39"/>
      <c r="G260" s="59"/>
      <c r="H260" s="59"/>
      <c r="I260" s="59"/>
      <c r="J260" s="59"/>
      <c r="K260" s="59"/>
      <c r="L260" s="59"/>
      <c r="M260" s="59"/>
      <c r="N260" s="60"/>
      <c r="O260" s="36"/>
      <c r="P260" s="48"/>
      <c r="Q260" s="48"/>
      <c r="R260" s="48"/>
      <c r="S260" s="48"/>
      <c r="T260" s="48"/>
      <c r="U260" s="48"/>
      <c r="V260" s="48"/>
      <c r="W260" s="48"/>
      <c r="X260" s="48"/>
      <c r="Y260" s="48"/>
      <c r="Z260" s="48"/>
      <c r="AA260" s="48"/>
      <c r="AB260" s="48"/>
      <c r="AC260" s="48"/>
      <c r="AD260" s="48"/>
      <c r="AE260" s="48"/>
      <c r="AF260" s="48"/>
      <c r="AG260" s="48"/>
      <c r="AH260" s="48"/>
      <c r="AI260" s="48"/>
      <c r="AJ260" s="48"/>
      <c r="AK260" s="48"/>
      <c r="AL260" s="48"/>
      <c r="AM260" s="48"/>
      <c r="AN260" s="48"/>
      <c r="AO260" s="48"/>
      <c r="AP260" s="48"/>
      <c r="AQ260" s="48"/>
      <c r="AR260" s="48"/>
      <c r="AS260" s="48"/>
      <c r="AT260" s="48"/>
      <c r="AU260" s="48"/>
      <c r="AV260" s="48"/>
      <c r="AW260" s="48"/>
      <c r="AX260" s="48"/>
      <c r="AY260" s="48"/>
      <c r="AZ260" s="48"/>
      <c r="BA260" s="48"/>
      <c r="BB260" s="48"/>
      <c r="BC260" s="48"/>
      <c r="BD260" s="48"/>
      <c r="BE260" s="48"/>
      <c r="BF260" s="48"/>
      <c r="BG260" s="48"/>
      <c r="BH260" s="48"/>
      <c r="BI260" s="48"/>
      <c r="BJ260" s="48"/>
      <c r="BK260" s="48"/>
      <c r="BL260" s="48"/>
      <c r="BM260" s="48"/>
      <c r="BN260" s="48"/>
      <c r="BO260" s="48"/>
      <c r="BP260" s="48"/>
      <c r="BQ260" s="48"/>
      <c r="BR260" s="48"/>
      <c r="BS260" s="48"/>
      <c r="BT260" s="48"/>
      <c r="BU260" s="48"/>
      <c r="BV260" s="48"/>
      <c r="BW260" s="48"/>
      <c r="BX260" s="111"/>
    </row>
    <row r="261" spans="1:76">
      <c r="A261" s="52"/>
      <c r="B261" s="52"/>
      <c r="C261" s="52" t="s">
        <v>1795</v>
      </c>
      <c r="D261" s="52"/>
      <c r="E261" s="52"/>
      <c r="F261" s="53"/>
      <c r="G261" s="53">
        <v>126</v>
      </c>
      <c r="H261" s="53">
        <v>192</v>
      </c>
      <c r="I261" s="53">
        <v>189</v>
      </c>
      <c r="J261" s="53">
        <v>202</v>
      </c>
      <c r="K261" s="53">
        <f>201</f>
        <v>201</v>
      </c>
      <c r="L261" s="53">
        <f>201</f>
        <v>201</v>
      </c>
      <c r="M261" s="53">
        <f>203</f>
        <v>203</v>
      </c>
      <c r="N261" s="53">
        <f>207</f>
        <v>207</v>
      </c>
      <c r="O261" s="70"/>
      <c r="P261" s="55"/>
      <c r="Q261" s="55"/>
      <c r="R261" s="55"/>
      <c r="S261" s="55"/>
      <c r="T261" s="55"/>
      <c r="U261" s="55"/>
      <c r="V261" s="55"/>
      <c r="W261" s="55"/>
      <c r="X261" s="55"/>
      <c r="Y261" s="55"/>
      <c r="Z261" s="55"/>
      <c r="AA261" s="55"/>
      <c r="AB261" s="55"/>
      <c r="AC261" s="55"/>
      <c r="AD261" s="55"/>
      <c r="AE261" s="55"/>
      <c r="AF261" s="55"/>
      <c r="AG261" s="55"/>
      <c r="AH261" s="55"/>
      <c r="AI261" s="55"/>
      <c r="AJ261" s="55"/>
      <c r="AK261" s="55"/>
      <c r="AL261" s="55"/>
      <c r="AM261" s="55"/>
      <c r="AN261" s="55"/>
      <c r="AO261" s="55"/>
      <c r="AP261" s="55"/>
      <c r="AQ261" s="55"/>
      <c r="AR261" s="55"/>
      <c r="AS261" s="55"/>
      <c r="AT261" s="55"/>
      <c r="AU261" s="55"/>
      <c r="AV261" s="55"/>
      <c r="AW261" s="55"/>
      <c r="AX261" s="55"/>
      <c r="AY261" s="55"/>
      <c r="AZ261" s="55"/>
      <c r="BA261" s="55"/>
      <c r="BB261" s="55"/>
      <c r="BC261" s="55"/>
      <c r="BD261" s="55"/>
      <c r="BE261" s="55"/>
      <c r="BF261" s="55"/>
      <c r="BG261" s="55"/>
      <c r="BH261" s="55"/>
      <c r="BI261" s="55"/>
      <c r="BJ261" s="55"/>
      <c r="BK261" s="55"/>
      <c r="BL261" s="55"/>
      <c r="BM261" s="55"/>
      <c r="BN261" s="55"/>
      <c r="BO261" s="55"/>
      <c r="BP261" s="55"/>
      <c r="BQ261" s="55"/>
      <c r="BR261" s="55"/>
      <c r="BS261" s="55"/>
      <c r="BT261" s="55"/>
      <c r="BU261" s="55"/>
      <c r="BV261" s="55"/>
      <c r="BW261" s="55"/>
      <c r="BX261" s="112"/>
    </row>
    <row r="262" spans="1:76">
      <c r="A262" s="37"/>
      <c r="B262" s="37"/>
      <c r="C262" s="37" t="s">
        <v>1796</v>
      </c>
      <c r="D262" s="37"/>
      <c r="E262" s="37"/>
      <c r="F262" s="37"/>
      <c r="G262" s="59"/>
      <c r="H262" s="59"/>
      <c r="I262" s="59"/>
      <c r="J262" s="59"/>
      <c r="K262" s="59"/>
      <c r="L262" s="59"/>
      <c r="M262" s="59"/>
      <c r="N262" s="60"/>
      <c r="O262" s="36"/>
      <c r="P262" s="48"/>
      <c r="Q262" s="48"/>
      <c r="R262" s="48"/>
      <c r="S262" s="48"/>
      <c r="T262" s="48"/>
      <c r="U262" s="48"/>
      <c r="V262" s="48"/>
      <c r="W262" s="48"/>
      <c r="X262" s="48"/>
      <c r="Y262" s="48"/>
      <c r="Z262" s="48"/>
      <c r="AA262" s="48"/>
      <c r="AB262" s="48"/>
      <c r="AC262" s="48"/>
      <c r="AD262" s="48"/>
      <c r="AE262" s="48"/>
      <c r="AF262" s="48"/>
      <c r="AG262" s="48"/>
      <c r="AH262" s="48"/>
      <c r="AI262" s="48"/>
      <c r="AJ262" s="48"/>
      <c r="AK262" s="48"/>
      <c r="AL262" s="48"/>
      <c r="AM262" s="48"/>
      <c r="AN262" s="48"/>
      <c r="AO262" s="48"/>
      <c r="AP262" s="48"/>
      <c r="AQ262" s="48"/>
      <c r="AR262" s="48"/>
      <c r="AS262" s="48"/>
      <c r="AT262" s="48"/>
      <c r="AU262" s="48"/>
      <c r="AV262" s="48"/>
      <c r="AW262" s="48"/>
      <c r="AX262" s="48"/>
      <c r="AY262" s="48"/>
      <c r="AZ262" s="48"/>
      <c r="BA262" s="48"/>
      <c r="BB262" s="48"/>
      <c r="BC262" s="48"/>
      <c r="BD262" s="48"/>
      <c r="BE262" s="48"/>
      <c r="BF262" s="48"/>
      <c r="BG262" s="48"/>
      <c r="BH262" s="48"/>
      <c r="BI262" s="48"/>
      <c r="BJ262" s="48"/>
      <c r="BK262" s="48"/>
      <c r="BL262" s="48"/>
      <c r="BM262" s="48"/>
      <c r="BN262" s="48"/>
      <c r="BO262" s="48"/>
      <c r="BP262" s="48"/>
      <c r="BQ262" s="48"/>
      <c r="BR262" s="48"/>
      <c r="BS262" s="48"/>
      <c r="BT262" s="48"/>
      <c r="BU262" s="48"/>
      <c r="BV262" s="48"/>
      <c r="BW262" s="48"/>
      <c r="BX262" s="111"/>
    </row>
    <row r="263" spans="1:76">
      <c r="A263" s="37"/>
      <c r="B263" s="37"/>
      <c r="C263" s="37" t="s">
        <v>867</v>
      </c>
      <c r="D263" s="37"/>
      <c r="E263" s="37"/>
      <c r="F263" s="37"/>
      <c r="G263" s="59"/>
      <c r="H263" s="59"/>
      <c r="I263" s="59"/>
      <c r="J263" s="59"/>
      <c r="K263" s="59"/>
      <c r="L263" s="59"/>
      <c r="M263" s="59"/>
      <c r="N263" s="60"/>
      <c r="O263" s="36"/>
      <c r="P263" s="48"/>
      <c r="Q263" s="48"/>
      <c r="R263" s="48"/>
      <c r="S263" s="48"/>
      <c r="T263" s="48"/>
      <c r="U263" s="48"/>
      <c r="V263" s="48"/>
      <c r="W263" s="48"/>
      <c r="X263" s="48"/>
      <c r="Y263" s="48"/>
      <c r="Z263" s="48"/>
      <c r="AA263" s="48"/>
      <c r="AB263" s="48"/>
      <c r="AC263" s="48"/>
      <c r="AD263" s="48"/>
      <c r="AE263" s="48"/>
      <c r="AF263" s="48"/>
      <c r="AG263" s="48"/>
      <c r="AH263" s="48"/>
      <c r="AI263" s="48"/>
      <c r="AJ263" s="48"/>
      <c r="AK263" s="48"/>
      <c r="AL263" s="48"/>
      <c r="AM263" s="48"/>
      <c r="AN263" s="48"/>
      <c r="AO263" s="48"/>
      <c r="AP263" s="48"/>
      <c r="AQ263" s="48"/>
      <c r="AR263" s="48"/>
      <c r="AS263" s="48"/>
      <c r="AT263" s="48"/>
      <c r="AU263" s="48"/>
      <c r="AV263" s="48"/>
      <c r="AW263" s="48"/>
      <c r="AX263" s="48"/>
      <c r="AY263" s="48"/>
      <c r="AZ263" s="48"/>
      <c r="BA263" s="48"/>
      <c r="BB263" s="48"/>
      <c r="BC263" s="48"/>
      <c r="BD263" s="48"/>
      <c r="BE263" s="48"/>
      <c r="BF263" s="48"/>
      <c r="BG263" s="48"/>
      <c r="BH263" s="48"/>
      <c r="BI263" s="48"/>
      <c r="BJ263" s="48"/>
      <c r="BK263" s="48"/>
      <c r="BL263" s="48"/>
      <c r="BM263" s="48"/>
      <c r="BN263" s="48"/>
      <c r="BO263" s="48"/>
      <c r="BP263" s="48"/>
      <c r="BQ263" s="48"/>
      <c r="BR263" s="48"/>
      <c r="BS263" s="48"/>
      <c r="BT263" s="48"/>
      <c r="BU263" s="48"/>
      <c r="BV263" s="48"/>
      <c r="BW263" s="48"/>
      <c r="BX263" s="111"/>
    </row>
    <row r="264" spans="1:76">
      <c r="A264" s="67"/>
      <c r="B264" s="67"/>
      <c r="C264" s="67" t="s">
        <v>868</v>
      </c>
      <c r="D264" s="67"/>
      <c r="E264" s="67"/>
      <c r="F264" s="67"/>
      <c r="G264" s="59"/>
      <c r="H264" s="59"/>
      <c r="I264" s="59"/>
      <c r="J264" s="59"/>
      <c r="K264" s="59"/>
      <c r="L264" s="59"/>
      <c r="M264" s="59"/>
      <c r="N264" s="60"/>
      <c r="O264" s="68"/>
      <c r="P264" s="69"/>
      <c r="Q264" s="69"/>
      <c r="R264" s="69"/>
      <c r="S264" s="69"/>
      <c r="T264" s="69"/>
      <c r="U264" s="69"/>
      <c r="V264" s="69"/>
      <c r="W264" s="69"/>
      <c r="X264" s="69"/>
      <c r="Y264" s="69"/>
      <c r="Z264" s="69"/>
      <c r="AA264" s="69"/>
      <c r="AB264" s="69"/>
      <c r="AC264" s="69"/>
      <c r="AD264" s="69"/>
      <c r="AE264" s="69"/>
      <c r="AF264" s="69"/>
      <c r="AG264" s="69"/>
      <c r="AH264" s="69"/>
      <c r="AI264" s="69"/>
      <c r="AJ264" s="69"/>
      <c r="AK264" s="69"/>
      <c r="AL264" s="69"/>
      <c r="AM264" s="69"/>
      <c r="AN264" s="69"/>
      <c r="AO264" s="69"/>
      <c r="AP264" s="69"/>
      <c r="AQ264" s="69"/>
      <c r="AR264" s="69"/>
      <c r="AS264" s="69"/>
      <c r="AT264" s="69"/>
      <c r="AU264" s="69"/>
      <c r="AV264" s="69"/>
      <c r="AW264" s="69"/>
      <c r="AX264" s="69"/>
      <c r="AY264" s="69"/>
      <c r="AZ264" s="69"/>
      <c r="BA264" s="69"/>
      <c r="BB264" s="69"/>
      <c r="BC264" s="69"/>
      <c r="BD264" s="69"/>
      <c r="BE264" s="69"/>
      <c r="BF264" s="69"/>
      <c r="BG264" s="69"/>
      <c r="BH264" s="69"/>
      <c r="BI264" s="69"/>
      <c r="BJ264" s="69"/>
      <c r="BK264" s="69"/>
      <c r="BL264" s="69"/>
      <c r="BM264" s="69"/>
      <c r="BN264" s="69"/>
      <c r="BO264" s="69"/>
      <c r="BP264" s="69"/>
      <c r="BQ264" s="69"/>
      <c r="BR264" s="69"/>
      <c r="BS264" s="69"/>
      <c r="BT264" s="69"/>
      <c r="BU264" s="69"/>
      <c r="BV264" s="69"/>
      <c r="BW264" s="69"/>
      <c r="BX264" s="113"/>
    </row>
    <row r="265" spans="1:76">
      <c r="A265" s="67"/>
      <c r="B265" s="67"/>
      <c r="C265" s="67" t="s">
        <v>1712</v>
      </c>
      <c r="D265" s="67"/>
      <c r="E265" s="67"/>
      <c r="F265" s="67"/>
      <c r="G265" s="59"/>
      <c r="H265" s="59"/>
      <c r="I265" s="59"/>
      <c r="J265" s="59"/>
      <c r="K265" s="59"/>
      <c r="L265" s="59"/>
      <c r="M265" s="59"/>
      <c r="N265" s="60"/>
      <c r="O265" s="68"/>
      <c r="P265" s="69"/>
      <c r="Q265" s="69"/>
      <c r="R265" s="69"/>
      <c r="S265" s="69"/>
      <c r="T265" s="69"/>
      <c r="U265" s="69"/>
      <c r="V265" s="69"/>
      <c r="W265" s="69"/>
      <c r="X265" s="69"/>
      <c r="Y265" s="69"/>
      <c r="Z265" s="69"/>
      <c r="AA265" s="69"/>
      <c r="AB265" s="69"/>
      <c r="AC265" s="69"/>
      <c r="AD265" s="69"/>
      <c r="AE265" s="69"/>
      <c r="AF265" s="69"/>
      <c r="AG265" s="69"/>
      <c r="AH265" s="69"/>
      <c r="AI265" s="69"/>
      <c r="AJ265" s="69"/>
      <c r="AK265" s="69"/>
      <c r="AL265" s="69"/>
      <c r="AM265" s="69"/>
      <c r="AN265" s="69"/>
      <c r="AO265" s="69"/>
      <c r="AP265" s="69"/>
      <c r="AQ265" s="69"/>
      <c r="AR265" s="69"/>
      <c r="AS265" s="69"/>
      <c r="AT265" s="69"/>
      <c r="AU265" s="69"/>
      <c r="AV265" s="69"/>
      <c r="AW265" s="69"/>
      <c r="AX265" s="69"/>
      <c r="AY265" s="69"/>
      <c r="AZ265" s="69"/>
      <c r="BA265" s="69"/>
      <c r="BB265" s="69"/>
      <c r="BC265" s="69"/>
      <c r="BD265" s="69"/>
      <c r="BE265" s="69"/>
      <c r="BF265" s="69"/>
      <c r="BG265" s="69"/>
      <c r="BH265" s="69"/>
      <c r="BI265" s="69"/>
      <c r="BJ265" s="69"/>
      <c r="BK265" s="69"/>
      <c r="BL265" s="69"/>
      <c r="BM265" s="69"/>
      <c r="BN265" s="69"/>
      <c r="BO265" s="69"/>
      <c r="BP265" s="69"/>
      <c r="BQ265" s="69"/>
      <c r="BR265" s="69"/>
      <c r="BS265" s="69"/>
      <c r="BT265" s="69"/>
      <c r="BU265" s="69"/>
      <c r="BV265" s="69"/>
      <c r="BW265" s="69"/>
      <c r="BX265" s="113"/>
    </row>
    <row r="266" spans="1:76">
      <c r="A266" s="71"/>
      <c r="B266" s="71"/>
      <c r="C266" s="71" t="s">
        <v>85</v>
      </c>
      <c r="D266" s="71"/>
      <c r="E266" s="71"/>
      <c r="F266" s="71"/>
      <c r="G266" s="59"/>
      <c r="H266" s="59"/>
      <c r="I266" s="59"/>
      <c r="J266" s="59"/>
      <c r="K266" s="59"/>
      <c r="L266" s="59"/>
      <c r="M266" s="59"/>
      <c r="N266" s="60"/>
      <c r="O266" s="22"/>
      <c r="P266" s="72"/>
      <c r="Q266" s="72"/>
      <c r="R266" s="72"/>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72"/>
      <c r="BA266" s="72"/>
      <c r="BB266" s="72"/>
      <c r="BC266" s="72"/>
      <c r="BD266" s="72"/>
      <c r="BE266" s="72"/>
      <c r="BF266" s="72"/>
      <c r="BG266" s="72"/>
      <c r="BH266" s="72"/>
      <c r="BI266" s="72"/>
      <c r="BJ266" s="72"/>
      <c r="BK266" s="72"/>
      <c r="BL266" s="72"/>
      <c r="BM266" s="72"/>
      <c r="BN266" s="72"/>
      <c r="BO266" s="72"/>
      <c r="BP266" s="72"/>
      <c r="BQ266" s="72"/>
      <c r="BR266" s="72"/>
      <c r="BS266" s="72"/>
      <c r="BT266" s="72"/>
      <c r="BU266" s="72"/>
      <c r="BV266" s="72"/>
      <c r="BW266" s="72"/>
      <c r="BX266" s="114"/>
    </row>
    <row r="267" spans="1:76">
      <c r="A267" s="73"/>
      <c r="B267" s="73"/>
      <c r="C267" s="73" t="s">
        <v>2224</v>
      </c>
      <c r="D267" s="73"/>
      <c r="E267" s="73"/>
      <c r="F267" s="73"/>
      <c r="G267" s="74">
        <f>+G773</f>
        <v>0.35</v>
      </c>
      <c r="H267" s="75">
        <f>+H768</f>
        <v>0.39117647058823529</v>
      </c>
      <c r="I267" s="75">
        <f>+I773</f>
        <v>0.35</v>
      </c>
      <c r="J267" s="75">
        <f>+J768</f>
        <v>0.35981308411214952</v>
      </c>
      <c r="K267" s="75">
        <f>+K768</f>
        <v>0.37611940298507457</v>
      </c>
      <c r="L267" s="75">
        <f>+L768</f>
        <v>0.32965116279069767</v>
      </c>
      <c r="M267" s="75">
        <f>+M768</f>
        <v>0.35</v>
      </c>
      <c r="N267" s="76">
        <f>+N768</f>
        <v>0.34756944444444443</v>
      </c>
      <c r="O267" s="77"/>
      <c r="P267" s="78"/>
      <c r="Q267" s="78"/>
      <c r="R267" s="78"/>
      <c r="S267" s="78"/>
      <c r="T267" s="78"/>
      <c r="U267" s="78"/>
      <c r="V267" s="78"/>
      <c r="W267" s="78"/>
      <c r="X267" s="78"/>
      <c r="Y267" s="78"/>
      <c r="Z267" s="78"/>
      <c r="AA267" s="78"/>
      <c r="AB267" s="78"/>
      <c r="AC267" s="78"/>
      <c r="AD267" s="78"/>
      <c r="AE267" s="78"/>
      <c r="AF267" s="78"/>
      <c r="AG267" s="78"/>
      <c r="AH267" s="78"/>
      <c r="AI267" s="78"/>
      <c r="AJ267" s="78"/>
      <c r="AK267" s="78"/>
      <c r="AL267" s="78"/>
      <c r="AM267" s="78"/>
      <c r="AN267" s="78"/>
      <c r="AO267" s="78"/>
      <c r="AP267" s="78"/>
      <c r="AQ267" s="78"/>
      <c r="AR267" s="78"/>
      <c r="AS267" s="78"/>
      <c r="AT267" s="78"/>
      <c r="AU267" s="78"/>
      <c r="AV267" s="78"/>
      <c r="AW267" s="78"/>
      <c r="AX267" s="78"/>
      <c r="AY267" s="78"/>
      <c r="AZ267" s="78"/>
      <c r="BA267" s="78"/>
      <c r="BB267" s="78"/>
      <c r="BC267" s="78"/>
      <c r="BD267" s="78"/>
      <c r="BE267" s="78"/>
      <c r="BF267" s="78"/>
      <c r="BG267" s="78"/>
      <c r="BH267" s="78"/>
      <c r="BI267" s="78"/>
      <c r="BJ267" s="78"/>
      <c r="BK267" s="78"/>
      <c r="BL267" s="78"/>
      <c r="BM267" s="78"/>
      <c r="BN267" s="78"/>
      <c r="BO267" s="78"/>
      <c r="BP267" s="78"/>
      <c r="BQ267" s="78"/>
      <c r="BR267" s="78"/>
      <c r="BS267" s="78"/>
      <c r="BT267" s="78"/>
      <c r="BU267" s="78"/>
      <c r="BV267" s="78"/>
      <c r="BW267" s="78"/>
      <c r="BX267" s="115"/>
    </row>
    <row r="268" spans="1:76">
      <c r="A268" s="67"/>
      <c r="B268" s="67"/>
      <c r="C268" s="67" t="s">
        <v>2225</v>
      </c>
      <c r="D268" s="67"/>
      <c r="E268" s="67"/>
      <c r="F268" s="39"/>
      <c r="G268" s="61">
        <v>0</v>
      </c>
      <c r="H268" s="61">
        <v>1.71</v>
      </c>
      <c r="I268" s="61">
        <v>0.6</v>
      </c>
      <c r="J268" s="61">
        <v>0.69</v>
      </c>
      <c r="K268" s="61">
        <v>0.8</v>
      </c>
      <c r="L268" s="61">
        <v>0.84</v>
      </c>
      <c r="M268" s="61">
        <v>0.84</v>
      </c>
      <c r="N268" s="61">
        <v>0.84</v>
      </c>
      <c r="O268" s="79"/>
      <c r="P268" s="69"/>
      <c r="Q268" s="69"/>
      <c r="R268" s="69"/>
      <c r="S268" s="69"/>
      <c r="T268" s="69"/>
      <c r="U268" s="69"/>
      <c r="V268" s="69"/>
      <c r="W268" s="69"/>
      <c r="X268" s="69"/>
      <c r="Y268" s="69"/>
      <c r="Z268" s="69"/>
      <c r="AA268" s="69"/>
      <c r="AB268" s="69"/>
      <c r="AC268" s="69"/>
      <c r="AD268" s="69"/>
      <c r="AE268" s="69"/>
      <c r="AF268" s="69"/>
      <c r="AG268" s="69"/>
      <c r="AH268" s="69"/>
      <c r="AI268" s="69"/>
      <c r="AJ268" s="69"/>
      <c r="AK268" s="69"/>
      <c r="AL268" s="69"/>
      <c r="AM268" s="69"/>
      <c r="AN268" s="69"/>
      <c r="AO268" s="69"/>
      <c r="AP268" s="69"/>
      <c r="AQ268" s="69"/>
      <c r="AR268" s="69"/>
      <c r="AS268" s="69"/>
      <c r="AT268" s="69"/>
      <c r="AU268" s="69"/>
      <c r="AV268" s="69"/>
      <c r="AW268" s="69"/>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69"/>
      <c r="BX268" s="113"/>
    </row>
    <row r="269" spans="1:76">
      <c r="A269" s="44"/>
      <c r="B269" s="44" t="s">
        <v>2226</v>
      </c>
      <c r="C269" s="44"/>
      <c r="D269" s="44"/>
      <c r="E269" s="44"/>
      <c r="F269" s="45"/>
      <c r="G269" s="45"/>
      <c r="H269" s="45"/>
      <c r="I269" s="45"/>
      <c r="J269" s="45"/>
      <c r="K269" s="45"/>
      <c r="L269" s="45"/>
      <c r="M269" s="45"/>
      <c r="N269" s="46"/>
      <c r="O269" s="47"/>
      <c r="P269" s="46"/>
      <c r="Q269" s="46"/>
      <c r="R269" s="46"/>
      <c r="S269" s="46"/>
      <c r="T269" s="46"/>
      <c r="U269" s="46"/>
      <c r="V269" s="46"/>
      <c r="W269" s="46"/>
      <c r="X269" s="46"/>
      <c r="Y269" s="46"/>
      <c r="Z269" s="46"/>
      <c r="AA269" s="46"/>
      <c r="AB269" s="46"/>
      <c r="AC269" s="46"/>
      <c r="AD269" s="46"/>
      <c r="AE269" s="46"/>
      <c r="AF269" s="46"/>
      <c r="AG269" s="46"/>
      <c r="AH269" s="46"/>
      <c r="AI269" s="46"/>
      <c r="AJ269" s="46"/>
      <c r="AK269" s="46"/>
      <c r="AL269" s="46"/>
      <c r="AM269" s="46"/>
      <c r="AN269" s="46"/>
      <c r="AO269" s="46"/>
      <c r="AP269" s="46"/>
      <c r="AQ269" s="46"/>
      <c r="AR269" s="46"/>
      <c r="AS269" s="46"/>
      <c r="AT269" s="46"/>
      <c r="AU269" s="46"/>
      <c r="AV269" s="46"/>
      <c r="AW269" s="46"/>
      <c r="AX269" s="46"/>
      <c r="AY269" s="46"/>
      <c r="AZ269" s="46"/>
      <c r="BA269" s="46"/>
      <c r="BB269" s="46"/>
      <c r="BC269" s="46"/>
      <c r="BD269" s="46"/>
      <c r="BE269" s="46"/>
      <c r="BF269" s="46"/>
      <c r="BG269" s="46"/>
      <c r="BH269" s="46"/>
      <c r="BI269" s="46"/>
      <c r="BJ269" s="46"/>
      <c r="BK269" s="46"/>
      <c r="BL269" s="46"/>
      <c r="BM269" s="46"/>
      <c r="BN269" s="46"/>
      <c r="BO269" s="46"/>
      <c r="BP269" s="46"/>
      <c r="BQ269" s="46"/>
      <c r="BR269" s="46"/>
      <c r="BS269" s="46"/>
      <c r="BT269" s="46"/>
      <c r="BU269" s="46"/>
      <c r="BV269" s="46"/>
      <c r="BW269" s="46"/>
      <c r="BX269" s="110"/>
    </row>
    <row r="270" spans="1:76">
      <c r="A270" s="37"/>
      <c r="B270" s="37"/>
      <c r="C270" s="37" t="s">
        <v>1674</v>
      </c>
      <c r="D270" s="37"/>
      <c r="E270" s="37"/>
      <c r="F270" s="39"/>
      <c r="G270" s="39"/>
      <c r="H270" s="39"/>
      <c r="I270" s="39"/>
      <c r="J270" s="39"/>
      <c r="K270" s="39"/>
      <c r="L270" s="39"/>
      <c r="M270" s="39"/>
      <c r="N270" s="48"/>
      <c r="O270" s="36"/>
      <c r="P270" s="48"/>
      <c r="Q270" s="48"/>
      <c r="R270" s="48"/>
      <c r="S270" s="48"/>
      <c r="T270" s="48"/>
      <c r="U270" s="48"/>
      <c r="V270" s="48"/>
      <c r="W270" s="48"/>
      <c r="X270" s="48"/>
      <c r="Y270" s="48"/>
      <c r="Z270" s="48"/>
      <c r="AA270" s="48"/>
      <c r="AB270" s="48"/>
      <c r="AC270" s="48"/>
      <c r="AD270" s="48"/>
      <c r="AE270" s="48"/>
      <c r="AF270" s="48"/>
      <c r="AG270" s="48"/>
      <c r="AH270" s="48"/>
      <c r="AI270" s="48"/>
      <c r="AJ270" s="48"/>
      <c r="AK270" s="48"/>
      <c r="AL270" s="48"/>
      <c r="AM270" s="48"/>
      <c r="AN270" s="48"/>
      <c r="AO270" s="48"/>
      <c r="AP270" s="48"/>
      <c r="AQ270" s="48"/>
      <c r="AR270" s="48"/>
      <c r="AS270" s="48"/>
      <c r="AT270" s="48"/>
      <c r="AU270" s="48"/>
      <c r="AV270" s="48"/>
      <c r="AW270" s="48"/>
      <c r="AX270" s="48"/>
      <c r="AY270" s="48"/>
      <c r="AZ270" s="48"/>
      <c r="BA270" s="48"/>
      <c r="BB270" s="48"/>
      <c r="BC270" s="48"/>
      <c r="BD270" s="48"/>
      <c r="BE270" s="48"/>
      <c r="BF270" s="48"/>
      <c r="BG270" s="48"/>
      <c r="BH270" s="48"/>
      <c r="BI270" s="48"/>
      <c r="BJ270" s="48"/>
      <c r="BK270" s="48"/>
      <c r="BL270" s="48"/>
      <c r="BM270" s="48"/>
      <c r="BN270" s="48"/>
      <c r="BO270" s="48"/>
      <c r="BP270" s="48"/>
      <c r="BQ270" s="48"/>
      <c r="BR270" s="48"/>
      <c r="BS270" s="48"/>
      <c r="BT270" s="48"/>
      <c r="BU270" s="48"/>
      <c r="BV270" s="48"/>
      <c r="BW270" s="48"/>
      <c r="BX270" s="111"/>
    </row>
    <row r="271" spans="1:76">
      <c r="A271" s="37"/>
      <c r="B271" s="37"/>
      <c r="C271" s="37"/>
      <c r="D271" s="37" t="s">
        <v>2227</v>
      </c>
      <c r="E271" s="37"/>
      <c r="F271" s="39"/>
      <c r="G271" s="59">
        <v>201</v>
      </c>
      <c r="H271" s="59">
        <v>157</v>
      </c>
      <c r="I271" s="59">
        <v>436</v>
      </c>
      <c r="J271" s="59">
        <v>189</v>
      </c>
      <c r="K271" s="59">
        <v>157</v>
      </c>
      <c r="L271" s="59">
        <v>108</v>
      </c>
      <c r="M271" s="59">
        <v>427</v>
      </c>
      <c r="N271" s="60">
        <v>326</v>
      </c>
      <c r="O271" s="36"/>
      <c r="P271" s="48"/>
      <c r="Q271" s="48"/>
      <c r="R271" s="48"/>
      <c r="S271" s="48"/>
      <c r="T271" s="48"/>
      <c r="U271" s="48"/>
      <c r="V271" s="48"/>
      <c r="W271" s="48"/>
      <c r="X271" s="48"/>
      <c r="Y271" s="48"/>
      <c r="Z271" s="48"/>
      <c r="AA271" s="48"/>
      <c r="AB271" s="48"/>
      <c r="AC271" s="48"/>
      <c r="AD271" s="48"/>
      <c r="AE271" s="48"/>
      <c r="AF271" s="48"/>
      <c r="AG271" s="48"/>
      <c r="AH271" s="48"/>
      <c r="AI271" s="48"/>
      <c r="AJ271" s="48"/>
      <c r="AK271" s="48"/>
      <c r="AL271" s="48"/>
      <c r="AM271" s="48"/>
      <c r="AN271" s="48"/>
      <c r="AO271" s="48"/>
      <c r="AP271" s="48"/>
      <c r="AQ271" s="48"/>
      <c r="AR271" s="48"/>
      <c r="AS271" s="48"/>
      <c r="AT271" s="48"/>
      <c r="AU271" s="48"/>
      <c r="AV271" s="48"/>
      <c r="AW271" s="48"/>
      <c r="AX271" s="48"/>
      <c r="AY271" s="48"/>
      <c r="AZ271" s="48"/>
      <c r="BA271" s="48"/>
      <c r="BB271" s="48"/>
      <c r="BC271" s="48"/>
      <c r="BD271" s="48"/>
      <c r="BE271" s="48"/>
      <c r="BF271" s="48"/>
      <c r="BG271" s="48"/>
      <c r="BH271" s="48"/>
      <c r="BI271" s="48"/>
      <c r="BJ271" s="48"/>
      <c r="BK271" s="48"/>
      <c r="BL271" s="48"/>
      <c r="BM271" s="48"/>
      <c r="BN271" s="48"/>
      <c r="BO271" s="48"/>
      <c r="BP271" s="48"/>
      <c r="BQ271" s="48"/>
      <c r="BR271" s="48"/>
      <c r="BS271" s="48"/>
      <c r="BT271" s="48"/>
      <c r="BU271" s="48"/>
      <c r="BV271" s="48"/>
      <c r="BW271" s="48"/>
      <c r="BX271" s="111"/>
    </row>
    <row r="272" spans="1:76">
      <c r="A272" s="37"/>
      <c r="B272" s="37"/>
      <c r="C272" s="37"/>
      <c r="D272" s="37" t="s">
        <v>2228</v>
      </c>
      <c r="E272" s="37"/>
      <c r="F272" s="39"/>
      <c r="G272" s="59"/>
      <c r="H272" s="59"/>
      <c r="I272" s="59"/>
      <c r="J272" s="59"/>
      <c r="K272" s="59"/>
      <c r="L272" s="59"/>
      <c r="M272" s="59"/>
      <c r="N272" s="60">
        <v>347</v>
      </c>
      <c r="O272" s="36"/>
      <c r="P272" s="48"/>
      <c r="Q272" s="48"/>
      <c r="R272" s="48"/>
      <c r="S272" s="48"/>
      <c r="T272" s="48"/>
      <c r="U272" s="48"/>
      <c r="V272" s="48"/>
      <c r="W272" s="48"/>
      <c r="X272" s="48"/>
      <c r="Y272" s="48"/>
      <c r="Z272" s="48"/>
      <c r="AA272" s="48"/>
      <c r="AB272" s="48"/>
      <c r="AC272" s="48"/>
      <c r="AD272" s="48"/>
      <c r="AE272" s="48"/>
      <c r="AF272" s="48"/>
      <c r="AG272" s="48"/>
      <c r="AH272" s="48"/>
      <c r="AI272" s="48"/>
      <c r="AJ272" s="48"/>
      <c r="AK272" s="48"/>
      <c r="AL272" s="48"/>
      <c r="AM272" s="48"/>
      <c r="AN272" s="48"/>
      <c r="AO272" s="48"/>
      <c r="AP272" s="48"/>
      <c r="AQ272" s="48"/>
      <c r="AR272" s="48"/>
      <c r="AS272" s="48"/>
      <c r="AT272" s="48"/>
      <c r="AU272" s="48"/>
      <c r="AV272" s="48"/>
      <c r="AW272" s="48"/>
      <c r="AX272" s="48"/>
      <c r="AY272" s="48"/>
      <c r="AZ272" s="48"/>
      <c r="BA272" s="48"/>
      <c r="BB272" s="48"/>
      <c r="BC272" s="48"/>
      <c r="BD272" s="48"/>
      <c r="BE272" s="48"/>
      <c r="BF272" s="48"/>
      <c r="BG272" s="48"/>
      <c r="BH272" s="48"/>
      <c r="BI272" s="48"/>
      <c r="BJ272" s="48"/>
      <c r="BK272" s="48"/>
      <c r="BL272" s="48"/>
      <c r="BM272" s="48"/>
      <c r="BN272" s="48"/>
      <c r="BO272" s="48"/>
      <c r="BP272" s="48"/>
      <c r="BQ272" s="48"/>
      <c r="BR272" s="48"/>
      <c r="BS272" s="48"/>
      <c r="BT272" s="48"/>
      <c r="BU272" s="48"/>
      <c r="BV272" s="48"/>
      <c r="BW272" s="48"/>
      <c r="BX272" s="111"/>
    </row>
    <row r="273" spans="1:76">
      <c r="A273" s="52"/>
      <c r="B273" s="52"/>
      <c r="C273" s="52"/>
      <c r="D273" s="52" t="s">
        <v>2229</v>
      </c>
      <c r="E273" s="52"/>
      <c r="F273" s="53"/>
      <c r="G273" s="53">
        <f t="shared" ref="G273:N273" si="38">IF(AND(OR(ISTEXT(G274), ISBLANK(G274)),OR(ISTEXT(G277), ISBLANK(G277)),TRUE),"", +IF(ISTEXT(G274), 0,G274)+IF(ISTEXT(G277), 0,G277))</f>
        <v>424</v>
      </c>
      <c r="H273" s="53">
        <f t="shared" si="38"/>
        <v>484</v>
      </c>
      <c r="I273" s="53">
        <f t="shared" si="38"/>
        <v>468</v>
      </c>
      <c r="J273" s="53">
        <f t="shared" si="38"/>
        <v>538</v>
      </c>
      <c r="K273" s="53">
        <f t="shared" si="38"/>
        <v>432</v>
      </c>
      <c r="L273" s="53">
        <f t="shared" si="38"/>
        <v>398</v>
      </c>
      <c r="M273" s="53">
        <f t="shared" si="38"/>
        <v>381</v>
      </c>
      <c r="N273" s="55">
        <f t="shared" si="38"/>
        <v>482</v>
      </c>
      <c r="O273" s="54"/>
      <c r="P273" s="55"/>
      <c r="Q273" s="55"/>
      <c r="R273" s="55"/>
      <c r="S273" s="55"/>
      <c r="T273" s="55"/>
      <c r="U273" s="55"/>
      <c r="V273" s="55"/>
      <c r="W273" s="55"/>
      <c r="X273" s="55"/>
      <c r="Y273" s="55"/>
      <c r="Z273" s="55"/>
      <c r="AA273" s="55"/>
      <c r="AB273" s="55"/>
      <c r="AC273" s="55"/>
      <c r="AD273" s="55"/>
      <c r="AE273" s="55"/>
      <c r="AF273" s="55"/>
      <c r="AG273" s="55"/>
      <c r="AH273" s="55"/>
      <c r="AI273" s="55"/>
      <c r="AJ273" s="55"/>
      <c r="AK273" s="55"/>
      <c r="AL273" s="55"/>
      <c r="AM273" s="55"/>
      <c r="AN273" s="55"/>
      <c r="AO273" s="55"/>
      <c r="AP273" s="55"/>
      <c r="AQ273" s="55"/>
      <c r="AR273" s="55"/>
      <c r="AS273" s="55"/>
      <c r="AT273" s="55"/>
      <c r="AU273" s="55"/>
      <c r="AV273" s="55"/>
      <c r="AW273" s="55"/>
      <c r="AX273" s="55"/>
      <c r="AY273" s="55"/>
      <c r="AZ273" s="55"/>
      <c r="BA273" s="55"/>
      <c r="BB273" s="55"/>
      <c r="BC273" s="55"/>
      <c r="BD273" s="55"/>
      <c r="BE273" s="55"/>
      <c r="BF273" s="55"/>
      <c r="BG273" s="55"/>
      <c r="BH273" s="55"/>
      <c r="BI273" s="55"/>
      <c r="BJ273" s="55"/>
      <c r="BK273" s="55"/>
      <c r="BL273" s="55"/>
      <c r="BM273" s="55"/>
      <c r="BN273" s="55"/>
      <c r="BO273" s="55"/>
      <c r="BP273" s="55"/>
      <c r="BQ273" s="55"/>
      <c r="BR273" s="55"/>
      <c r="BS273" s="55"/>
      <c r="BT273" s="55"/>
      <c r="BU273" s="55"/>
      <c r="BV273" s="55"/>
      <c r="BW273" s="55"/>
      <c r="BX273" s="112"/>
    </row>
    <row r="274" spans="1:76">
      <c r="A274" s="37"/>
      <c r="B274" s="37"/>
      <c r="C274" s="37"/>
      <c r="D274" s="37"/>
      <c r="E274" s="37" t="s">
        <v>738</v>
      </c>
      <c r="F274" s="39"/>
      <c r="G274" s="39">
        <f t="shared" ref="G274:N274" si="39">IF(AND(OR(ISTEXT(G275), ISBLANK(G275)),OR(ISTEXT(G276), ISBLANK(G276)),TRUE),"", +IF(ISTEXT(G275), 0,G275)-IF(ISTEXT(G276), 0,G276))</f>
        <v>424</v>
      </c>
      <c r="H274" s="39">
        <f t="shared" si="39"/>
        <v>484</v>
      </c>
      <c r="I274" s="39">
        <f t="shared" si="39"/>
        <v>468</v>
      </c>
      <c r="J274" s="39">
        <f t="shared" si="39"/>
        <v>538</v>
      </c>
      <c r="K274" s="39">
        <f t="shared" si="39"/>
        <v>432</v>
      </c>
      <c r="L274" s="39">
        <f t="shared" si="39"/>
        <v>398</v>
      </c>
      <c r="M274" s="39">
        <f t="shared" si="39"/>
        <v>381</v>
      </c>
      <c r="N274" s="48">
        <f t="shared" si="39"/>
        <v>482</v>
      </c>
      <c r="O274" s="36"/>
      <c r="P274" s="48"/>
      <c r="Q274" s="48"/>
      <c r="R274" s="48"/>
      <c r="S274" s="48"/>
      <c r="T274" s="48"/>
      <c r="U274" s="48"/>
      <c r="V274" s="48"/>
      <c r="W274" s="48"/>
      <c r="X274" s="48"/>
      <c r="Y274" s="48"/>
      <c r="Z274" s="48"/>
      <c r="AA274" s="48"/>
      <c r="AB274" s="48"/>
      <c r="AC274" s="48"/>
      <c r="AD274" s="48"/>
      <c r="AE274" s="48"/>
      <c r="AF274" s="48"/>
      <c r="AG274" s="48"/>
      <c r="AH274" s="48"/>
      <c r="AI274" s="48"/>
      <c r="AJ274" s="48"/>
      <c r="AK274" s="48"/>
      <c r="AL274" s="48"/>
      <c r="AM274" s="48"/>
      <c r="AN274" s="48"/>
      <c r="AO274" s="48"/>
      <c r="AP274" s="48"/>
      <c r="AQ274" s="48"/>
      <c r="AR274" s="48"/>
      <c r="AS274" s="48"/>
      <c r="AT274" s="48"/>
      <c r="AU274" s="48"/>
      <c r="AV274" s="48"/>
      <c r="AW274" s="48"/>
      <c r="AX274" s="48"/>
      <c r="AY274" s="48"/>
      <c r="AZ274" s="48"/>
      <c r="BA274" s="48"/>
      <c r="BB274" s="48"/>
      <c r="BC274" s="48"/>
      <c r="BD274" s="48"/>
      <c r="BE274" s="48"/>
      <c r="BF274" s="48"/>
      <c r="BG274" s="48"/>
      <c r="BH274" s="48"/>
      <c r="BI274" s="48"/>
      <c r="BJ274" s="48"/>
      <c r="BK274" s="48"/>
      <c r="BL274" s="48"/>
      <c r="BM274" s="48"/>
      <c r="BN274" s="48"/>
      <c r="BO274" s="48"/>
      <c r="BP274" s="48"/>
      <c r="BQ274" s="48"/>
      <c r="BR274" s="48"/>
      <c r="BS274" s="48"/>
      <c r="BT274" s="48"/>
      <c r="BU274" s="48"/>
      <c r="BV274" s="48"/>
      <c r="BW274" s="48"/>
      <c r="BX274" s="111"/>
    </row>
    <row r="275" spans="1:76">
      <c r="A275" s="37"/>
      <c r="B275" s="37"/>
      <c r="C275" s="37"/>
      <c r="D275" s="37"/>
      <c r="E275" s="37"/>
      <c r="F275" s="39" t="s">
        <v>248</v>
      </c>
      <c r="G275" s="59">
        <f>424+G276</f>
        <v>536</v>
      </c>
      <c r="H275" s="59">
        <f>484+H276</f>
        <v>539</v>
      </c>
      <c r="I275" s="59">
        <f>468+I276</f>
        <v>530</v>
      </c>
      <c r="J275" s="59">
        <f>538+J276</f>
        <v>583</v>
      </c>
      <c r="K275" s="59">
        <f>432+K276</f>
        <v>480</v>
      </c>
      <c r="L275" s="59">
        <f>398+L276</f>
        <v>443</v>
      </c>
      <c r="M275" s="59">
        <f>381+M276</f>
        <v>434</v>
      </c>
      <c r="N275" s="60">
        <f>482+N276</f>
        <v>540</v>
      </c>
      <c r="O275" s="36"/>
      <c r="P275" s="48"/>
      <c r="Q275" s="48"/>
      <c r="R275" s="48"/>
      <c r="S275" s="48"/>
      <c r="T275" s="48"/>
      <c r="U275" s="48"/>
      <c r="V275" s="48"/>
      <c r="W275" s="48"/>
      <c r="X275" s="48"/>
      <c r="Y275" s="48"/>
      <c r="Z275" s="48"/>
      <c r="AA275" s="48"/>
      <c r="AB275" s="48"/>
      <c r="AC275" s="48"/>
      <c r="AD275" s="48"/>
      <c r="AE275" s="48"/>
      <c r="AF275" s="48"/>
      <c r="AG275" s="48"/>
      <c r="AH275" s="48"/>
      <c r="AI275" s="48"/>
      <c r="AJ275" s="48"/>
      <c r="AK275" s="48"/>
      <c r="AL275" s="48"/>
      <c r="AM275" s="48"/>
      <c r="AN275" s="48"/>
      <c r="AO275" s="48"/>
      <c r="AP275" s="48"/>
      <c r="AQ275" s="48"/>
      <c r="AR275" s="48"/>
      <c r="AS275" s="48"/>
      <c r="AT275" s="48"/>
      <c r="AU275" s="48"/>
      <c r="AV275" s="48"/>
      <c r="AW275" s="48"/>
      <c r="AX275" s="48"/>
      <c r="AY275" s="48"/>
      <c r="AZ275" s="48"/>
      <c r="BA275" s="48"/>
      <c r="BB275" s="48"/>
      <c r="BC275" s="48"/>
      <c r="BD275" s="48"/>
      <c r="BE275" s="48"/>
      <c r="BF275" s="48"/>
      <c r="BG275" s="48"/>
      <c r="BH275" s="48"/>
      <c r="BI275" s="48"/>
      <c r="BJ275" s="48"/>
      <c r="BK275" s="48"/>
      <c r="BL275" s="48"/>
      <c r="BM275" s="48"/>
      <c r="BN275" s="48"/>
      <c r="BO275" s="48"/>
      <c r="BP275" s="48"/>
      <c r="BQ275" s="48"/>
      <c r="BR275" s="48"/>
      <c r="BS275" s="48"/>
      <c r="BT275" s="48"/>
      <c r="BU275" s="48"/>
      <c r="BV275" s="48"/>
      <c r="BW275" s="48"/>
      <c r="BX275" s="111"/>
    </row>
    <row r="276" spans="1:76">
      <c r="A276" s="37"/>
      <c r="B276" s="37"/>
      <c r="C276" s="37"/>
      <c r="D276" s="37"/>
      <c r="E276" s="37"/>
      <c r="F276" s="39" t="s">
        <v>1920</v>
      </c>
      <c r="G276" s="59">
        <v>112</v>
      </c>
      <c r="H276" s="59">
        <v>55</v>
      </c>
      <c r="I276" s="59">
        <v>62</v>
      </c>
      <c r="J276" s="59">
        <v>45</v>
      </c>
      <c r="K276" s="59">
        <v>48</v>
      </c>
      <c r="L276" s="59">
        <v>45</v>
      </c>
      <c r="M276" s="59">
        <v>53</v>
      </c>
      <c r="N276" s="60">
        <v>58</v>
      </c>
      <c r="O276" s="36"/>
      <c r="P276" s="48"/>
      <c r="Q276" s="48"/>
      <c r="R276" s="48"/>
      <c r="S276" s="48"/>
      <c r="T276" s="48"/>
      <c r="U276" s="48"/>
      <c r="V276" s="48"/>
      <c r="W276" s="48"/>
      <c r="X276" s="48"/>
      <c r="Y276" s="48"/>
      <c r="Z276" s="48"/>
      <c r="AA276" s="48"/>
      <c r="AB276" s="48"/>
      <c r="AC276" s="48"/>
      <c r="AD276" s="48"/>
      <c r="AE276" s="48"/>
      <c r="AF276" s="48"/>
      <c r="AG276" s="48"/>
      <c r="AH276" s="48"/>
      <c r="AI276" s="48"/>
      <c r="AJ276" s="48"/>
      <c r="AK276" s="48"/>
      <c r="AL276" s="48"/>
      <c r="AM276" s="48"/>
      <c r="AN276" s="48"/>
      <c r="AO276" s="48"/>
      <c r="AP276" s="48"/>
      <c r="AQ276" s="48"/>
      <c r="AR276" s="48"/>
      <c r="AS276" s="48"/>
      <c r="AT276" s="48"/>
      <c r="AU276" s="48"/>
      <c r="AV276" s="48"/>
      <c r="AW276" s="48"/>
      <c r="AX276" s="48"/>
      <c r="AY276" s="48"/>
      <c r="AZ276" s="48"/>
      <c r="BA276" s="48"/>
      <c r="BB276" s="48"/>
      <c r="BC276" s="48"/>
      <c r="BD276" s="48"/>
      <c r="BE276" s="48"/>
      <c r="BF276" s="48"/>
      <c r="BG276" s="48"/>
      <c r="BH276" s="48"/>
      <c r="BI276" s="48"/>
      <c r="BJ276" s="48"/>
      <c r="BK276" s="48"/>
      <c r="BL276" s="48"/>
      <c r="BM276" s="48"/>
      <c r="BN276" s="48"/>
      <c r="BO276" s="48"/>
      <c r="BP276" s="48"/>
      <c r="BQ276" s="48"/>
      <c r="BR276" s="48"/>
      <c r="BS276" s="48"/>
      <c r="BT276" s="48"/>
      <c r="BU276" s="48"/>
      <c r="BV276" s="48"/>
      <c r="BW276" s="48"/>
      <c r="BX276" s="111"/>
    </row>
    <row r="277" spans="1:76">
      <c r="A277" s="37"/>
      <c r="B277" s="37"/>
      <c r="C277" s="37"/>
      <c r="D277" s="37"/>
      <c r="E277" s="37" t="s">
        <v>1921</v>
      </c>
      <c r="F277" s="39"/>
      <c r="G277" s="39" t="str">
        <f t="shared" ref="G277:N277" si="40">IF(AND(OR(ISTEXT(G278), ISBLANK(G278)),OR(ISTEXT(G279), ISBLANK(G279)),TRUE),"", +IF(ISTEXT(G278), 0,G278)-IF(ISTEXT(G279), 0,G279))</f>
        <v/>
      </c>
      <c r="H277" s="39" t="str">
        <f t="shared" si="40"/>
        <v/>
      </c>
      <c r="I277" s="39" t="str">
        <f t="shared" si="40"/>
        <v/>
      </c>
      <c r="J277" s="39" t="str">
        <f t="shared" si="40"/>
        <v/>
      </c>
      <c r="K277" s="39" t="str">
        <f t="shared" si="40"/>
        <v/>
      </c>
      <c r="L277" s="39" t="str">
        <f t="shared" si="40"/>
        <v/>
      </c>
      <c r="M277" s="39" t="str">
        <f t="shared" si="40"/>
        <v/>
      </c>
      <c r="N277" s="48" t="str">
        <f t="shared" si="40"/>
        <v/>
      </c>
      <c r="O277" s="36"/>
      <c r="P277" s="48"/>
      <c r="Q277" s="48"/>
      <c r="R277" s="48"/>
      <c r="S277" s="48"/>
      <c r="T277" s="48"/>
      <c r="U277" s="48"/>
      <c r="V277" s="48"/>
      <c r="W277" s="48"/>
      <c r="X277" s="48"/>
      <c r="Y277" s="48"/>
      <c r="Z277" s="48"/>
      <c r="AA277" s="48"/>
      <c r="AB277" s="48"/>
      <c r="AC277" s="48"/>
      <c r="AD277" s="48"/>
      <c r="AE277" s="48"/>
      <c r="AF277" s="48"/>
      <c r="AG277" s="48"/>
      <c r="AH277" s="48"/>
      <c r="AI277" s="48"/>
      <c r="AJ277" s="48"/>
      <c r="AK277" s="48"/>
      <c r="AL277" s="48"/>
      <c r="AM277" s="48"/>
      <c r="AN277" s="48"/>
      <c r="AO277" s="48"/>
      <c r="AP277" s="48"/>
      <c r="AQ277" s="48"/>
      <c r="AR277" s="48"/>
      <c r="AS277" s="48"/>
      <c r="AT277" s="48"/>
      <c r="AU277" s="48"/>
      <c r="AV277" s="48"/>
      <c r="AW277" s="48"/>
      <c r="AX277" s="48"/>
      <c r="AY277" s="48"/>
      <c r="AZ277" s="48"/>
      <c r="BA277" s="48"/>
      <c r="BB277" s="48"/>
      <c r="BC277" s="48"/>
      <c r="BD277" s="48"/>
      <c r="BE277" s="48"/>
      <c r="BF277" s="48"/>
      <c r="BG277" s="48"/>
      <c r="BH277" s="48"/>
      <c r="BI277" s="48"/>
      <c r="BJ277" s="48"/>
      <c r="BK277" s="48"/>
      <c r="BL277" s="48"/>
      <c r="BM277" s="48"/>
      <c r="BN277" s="48"/>
      <c r="BO277" s="48"/>
      <c r="BP277" s="48"/>
      <c r="BQ277" s="48"/>
      <c r="BR277" s="48"/>
      <c r="BS277" s="48"/>
      <c r="BT277" s="48"/>
      <c r="BU277" s="48"/>
      <c r="BV277" s="48"/>
      <c r="BW277" s="48"/>
      <c r="BX277" s="111"/>
    </row>
    <row r="278" spans="1:76">
      <c r="A278" s="37"/>
      <c r="B278" s="37"/>
      <c r="C278" s="37"/>
      <c r="D278" s="37"/>
      <c r="E278" s="37"/>
      <c r="F278" s="39" t="s">
        <v>704</v>
      </c>
      <c r="G278" s="59"/>
      <c r="H278" s="59"/>
      <c r="I278" s="59"/>
      <c r="J278" s="59"/>
      <c r="K278" s="59"/>
      <c r="L278" s="59"/>
      <c r="M278" s="59"/>
      <c r="N278" s="60"/>
      <c r="O278" s="36"/>
      <c r="P278" s="48"/>
      <c r="Q278" s="48"/>
      <c r="R278" s="48"/>
      <c r="S278" s="48"/>
      <c r="T278" s="48"/>
      <c r="U278" s="48"/>
      <c r="V278" s="48"/>
      <c r="W278" s="48"/>
      <c r="X278" s="48"/>
      <c r="Y278" s="48"/>
      <c r="Z278" s="48"/>
      <c r="AA278" s="48"/>
      <c r="AB278" s="48"/>
      <c r="AC278" s="48"/>
      <c r="AD278" s="48"/>
      <c r="AE278" s="48"/>
      <c r="AF278" s="48"/>
      <c r="AG278" s="48"/>
      <c r="AH278" s="48"/>
      <c r="AI278" s="48"/>
      <c r="AJ278" s="48"/>
      <c r="AK278" s="48"/>
      <c r="AL278" s="48"/>
      <c r="AM278" s="48"/>
      <c r="AN278" s="48"/>
      <c r="AO278" s="48"/>
      <c r="AP278" s="48"/>
      <c r="AQ278" s="48"/>
      <c r="AR278" s="48"/>
      <c r="AS278" s="48"/>
      <c r="AT278" s="48"/>
      <c r="AU278" s="48"/>
      <c r="AV278" s="48"/>
      <c r="AW278" s="48"/>
      <c r="AX278" s="48"/>
      <c r="AY278" s="48"/>
      <c r="AZ278" s="48"/>
      <c r="BA278" s="48"/>
      <c r="BB278" s="48"/>
      <c r="BC278" s="48"/>
      <c r="BD278" s="48"/>
      <c r="BE278" s="48"/>
      <c r="BF278" s="48"/>
      <c r="BG278" s="48"/>
      <c r="BH278" s="48"/>
      <c r="BI278" s="48"/>
      <c r="BJ278" s="48"/>
      <c r="BK278" s="48"/>
      <c r="BL278" s="48"/>
      <c r="BM278" s="48"/>
      <c r="BN278" s="48"/>
      <c r="BO278" s="48"/>
      <c r="BP278" s="48"/>
      <c r="BQ278" s="48"/>
      <c r="BR278" s="48"/>
      <c r="BS278" s="48"/>
      <c r="BT278" s="48"/>
      <c r="BU278" s="48"/>
      <c r="BV278" s="48"/>
      <c r="BW278" s="48"/>
      <c r="BX278" s="111"/>
    </row>
    <row r="279" spans="1:76">
      <c r="A279" s="37"/>
      <c r="B279" s="37"/>
      <c r="C279" s="37"/>
      <c r="D279" s="37"/>
      <c r="E279" s="37"/>
      <c r="F279" s="39" t="s">
        <v>0</v>
      </c>
      <c r="G279" s="59"/>
      <c r="H279" s="59"/>
      <c r="I279" s="59"/>
      <c r="J279" s="59"/>
      <c r="K279" s="59"/>
      <c r="L279" s="59"/>
      <c r="M279" s="59"/>
      <c r="N279" s="60"/>
      <c r="O279" s="36"/>
      <c r="P279" s="48"/>
      <c r="Q279" s="48"/>
      <c r="R279" s="48"/>
      <c r="S279" s="48"/>
      <c r="T279" s="48"/>
      <c r="U279" s="48"/>
      <c r="V279" s="48"/>
      <c r="W279" s="48"/>
      <c r="X279" s="48"/>
      <c r="Y279" s="48"/>
      <c r="Z279" s="48"/>
      <c r="AA279" s="48"/>
      <c r="AB279" s="48"/>
      <c r="AC279" s="48"/>
      <c r="AD279" s="48"/>
      <c r="AE279" s="48"/>
      <c r="AF279" s="48"/>
      <c r="AG279" s="48"/>
      <c r="AH279" s="48"/>
      <c r="AI279" s="48"/>
      <c r="AJ279" s="48"/>
      <c r="AK279" s="48"/>
      <c r="AL279" s="48"/>
      <c r="AM279" s="48"/>
      <c r="AN279" s="48"/>
      <c r="AO279" s="48"/>
      <c r="AP279" s="48"/>
      <c r="AQ279" s="48"/>
      <c r="AR279" s="48"/>
      <c r="AS279" s="48"/>
      <c r="AT279" s="48"/>
      <c r="AU279" s="48"/>
      <c r="AV279" s="48"/>
      <c r="AW279" s="48"/>
      <c r="AX279" s="48"/>
      <c r="AY279" s="48"/>
      <c r="AZ279" s="48"/>
      <c r="BA279" s="48"/>
      <c r="BB279" s="48"/>
      <c r="BC279" s="48"/>
      <c r="BD279" s="48"/>
      <c r="BE279" s="48"/>
      <c r="BF279" s="48"/>
      <c r="BG279" s="48"/>
      <c r="BH279" s="48"/>
      <c r="BI279" s="48"/>
      <c r="BJ279" s="48"/>
      <c r="BK279" s="48"/>
      <c r="BL279" s="48"/>
      <c r="BM279" s="48"/>
      <c r="BN279" s="48"/>
      <c r="BO279" s="48"/>
      <c r="BP279" s="48"/>
      <c r="BQ279" s="48"/>
      <c r="BR279" s="48"/>
      <c r="BS279" s="48"/>
      <c r="BT279" s="48"/>
      <c r="BU279" s="48"/>
      <c r="BV279" s="48"/>
      <c r="BW279" s="48"/>
      <c r="BX279" s="111"/>
    </row>
    <row r="280" spans="1:76">
      <c r="A280" s="37"/>
      <c r="B280" s="37"/>
      <c r="C280" s="37"/>
      <c r="D280" s="37" t="s">
        <v>218</v>
      </c>
      <c r="E280" s="37"/>
      <c r="F280" s="39"/>
      <c r="G280" s="39" t="str">
        <f t="shared" ref="G280:N280" si="41">IF(AND(OR(ISTEXT(G281), ISBLANK(G281)),OR(ISTEXT(G282), ISBLANK(G282)),TRUE),"", +IF(ISTEXT(G281), 0,G281)+IF(ISTEXT(G282), 0,G282))</f>
        <v/>
      </c>
      <c r="H280" s="39" t="str">
        <f t="shared" si="41"/>
        <v/>
      </c>
      <c r="I280" s="39" t="str">
        <f t="shared" si="41"/>
        <v/>
      </c>
      <c r="J280" s="39" t="str">
        <f t="shared" si="41"/>
        <v/>
      </c>
      <c r="K280" s="39" t="str">
        <f t="shared" si="41"/>
        <v/>
      </c>
      <c r="L280" s="39" t="str">
        <f t="shared" si="41"/>
        <v/>
      </c>
      <c r="M280" s="39" t="str">
        <f t="shared" si="41"/>
        <v/>
      </c>
      <c r="N280" s="48" t="str">
        <f t="shared" si="41"/>
        <v/>
      </c>
      <c r="O280" s="36"/>
      <c r="P280" s="48"/>
      <c r="Q280" s="48"/>
      <c r="R280" s="48"/>
      <c r="S280" s="48"/>
      <c r="T280" s="48"/>
      <c r="U280" s="48"/>
      <c r="V280" s="48"/>
      <c r="W280" s="48"/>
      <c r="X280" s="48"/>
      <c r="Y280" s="48"/>
      <c r="Z280" s="48"/>
      <c r="AA280" s="48"/>
      <c r="AB280" s="48"/>
      <c r="AC280" s="48"/>
      <c r="AD280" s="48"/>
      <c r="AE280" s="48"/>
      <c r="AF280" s="48"/>
      <c r="AG280" s="48"/>
      <c r="AH280" s="48"/>
      <c r="AI280" s="48"/>
      <c r="AJ280" s="48"/>
      <c r="AK280" s="48"/>
      <c r="AL280" s="48"/>
      <c r="AM280" s="48"/>
      <c r="AN280" s="48"/>
      <c r="AO280" s="48"/>
      <c r="AP280" s="48"/>
      <c r="AQ280" s="48"/>
      <c r="AR280" s="48"/>
      <c r="AS280" s="48"/>
      <c r="AT280" s="48"/>
      <c r="AU280" s="48"/>
      <c r="AV280" s="48"/>
      <c r="AW280" s="48"/>
      <c r="AX280" s="48"/>
      <c r="AY280" s="48"/>
      <c r="AZ280" s="48"/>
      <c r="BA280" s="48"/>
      <c r="BB280" s="48"/>
      <c r="BC280" s="48"/>
      <c r="BD280" s="48"/>
      <c r="BE280" s="48"/>
      <c r="BF280" s="48"/>
      <c r="BG280" s="48"/>
      <c r="BH280" s="48"/>
      <c r="BI280" s="48"/>
      <c r="BJ280" s="48"/>
      <c r="BK280" s="48"/>
      <c r="BL280" s="48"/>
      <c r="BM280" s="48"/>
      <c r="BN280" s="48"/>
      <c r="BO280" s="48"/>
      <c r="BP280" s="48"/>
      <c r="BQ280" s="48"/>
      <c r="BR280" s="48"/>
      <c r="BS280" s="48"/>
      <c r="BT280" s="48"/>
      <c r="BU280" s="48"/>
      <c r="BV280" s="48"/>
      <c r="BW280" s="48"/>
      <c r="BX280" s="111"/>
    </row>
    <row r="281" spans="1:76">
      <c r="A281" s="37"/>
      <c r="B281" s="37"/>
      <c r="C281" s="37"/>
      <c r="D281" s="37"/>
      <c r="E281" s="37" t="s">
        <v>457</v>
      </c>
      <c r="F281" s="39"/>
      <c r="G281" s="59"/>
      <c r="H281" s="59"/>
      <c r="I281" s="59"/>
      <c r="J281" s="59"/>
      <c r="K281" s="59"/>
      <c r="L281" s="59"/>
      <c r="M281" s="59"/>
      <c r="N281" s="60"/>
      <c r="O281" s="36"/>
      <c r="P281" s="48"/>
      <c r="Q281" s="48"/>
      <c r="R281" s="48"/>
      <c r="S281" s="48"/>
      <c r="T281" s="48"/>
      <c r="U281" s="48"/>
      <c r="V281" s="48"/>
      <c r="W281" s="48"/>
      <c r="X281" s="48"/>
      <c r="Y281" s="48"/>
      <c r="Z281" s="48"/>
      <c r="AA281" s="48"/>
      <c r="AB281" s="48"/>
      <c r="AC281" s="48"/>
      <c r="AD281" s="48"/>
      <c r="AE281" s="48"/>
      <c r="AF281" s="48"/>
      <c r="AG281" s="48"/>
      <c r="AH281" s="48"/>
      <c r="AI281" s="48"/>
      <c r="AJ281" s="48"/>
      <c r="AK281" s="48"/>
      <c r="AL281" s="48"/>
      <c r="AM281" s="48"/>
      <c r="AN281" s="48"/>
      <c r="AO281" s="48"/>
      <c r="AP281" s="48"/>
      <c r="AQ281" s="48"/>
      <c r="AR281" s="48"/>
      <c r="AS281" s="48"/>
      <c r="AT281" s="48"/>
      <c r="AU281" s="48"/>
      <c r="AV281" s="48"/>
      <c r="AW281" s="48"/>
      <c r="AX281" s="48"/>
      <c r="AY281" s="48"/>
      <c r="AZ281" s="48"/>
      <c r="BA281" s="48"/>
      <c r="BB281" s="48"/>
      <c r="BC281" s="48"/>
      <c r="BD281" s="48"/>
      <c r="BE281" s="48"/>
      <c r="BF281" s="48"/>
      <c r="BG281" s="48"/>
      <c r="BH281" s="48"/>
      <c r="BI281" s="48"/>
      <c r="BJ281" s="48"/>
      <c r="BK281" s="48"/>
      <c r="BL281" s="48"/>
      <c r="BM281" s="48"/>
      <c r="BN281" s="48"/>
      <c r="BO281" s="48"/>
      <c r="BP281" s="48"/>
      <c r="BQ281" s="48"/>
      <c r="BR281" s="48"/>
      <c r="BS281" s="48"/>
      <c r="BT281" s="48"/>
      <c r="BU281" s="48"/>
      <c r="BV281" s="48"/>
      <c r="BW281" s="48"/>
      <c r="BX281" s="111"/>
    </row>
    <row r="282" spans="1:76">
      <c r="A282" s="37"/>
      <c r="B282" s="37"/>
      <c r="C282" s="37"/>
      <c r="D282" s="37"/>
      <c r="E282" s="37" t="s">
        <v>458</v>
      </c>
      <c r="F282" s="39"/>
      <c r="G282" s="59"/>
      <c r="H282" s="59"/>
      <c r="I282" s="59"/>
      <c r="J282" s="59"/>
      <c r="K282" s="59"/>
      <c r="L282" s="59"/>
      <c r="M282" s="59"/>
      <c r="N282" s="60"/>
      <c r="O282" s="36"/>
      <c r="P282" s="48"/>
      <c r="Q282" s="48"/>
      <c r="R282" s="48"/>
      <c r="S282" s="48"/>
      <c r="T282" s="48"/>
      <c r="U282" s="48"/>
      <c r="V282" s="48"/>
      <c r="W282" s="48"/>
      <c r="X282" s="48"/>
      <c r="Y282" s="48"/>
      <c r="Z282" s="48"/>
      <c r="AA282" s="48"/>
      <c r="AB282" s="48"/>
      <c r="AC282" s="48"/>
      <c r="AD282" s="48"/>
      <c r="AE282" s="48"/>
      <c r="AF282" s="48"/>
      <c r="AG282" s="48"/>
      <c r="AH282" s="48"/>
      <c r="AI282" s="48"/>
      <c r="AJ282" s="48"/>
      <c r="AK282" s="48"/>
      <c r="AL282" s="48"/>
      <c r="AM282" s="48"/>
      <c r="AN282" s="48"/>
      <c r="AO282" s="48"/>
      <c r="AP282" s="48"/>
      <c r="AQ282" s="48"/>
      <c r="AR282" s="48"/>
      <c r="AS282" s="48"/>
      <c r="AT282" s="48"/>
      <c r="AU282" s="48"/>
      <c r="AV282" s="48"/>
      <c r="AW282" s="48"/>
      <c r="AX282" s="48"/>
      <c r="AY282" s="48"/>
      <c r="AZ282" s="48"/>
      <c r="BA282" s="48"/>
      <c r="BB282" s="48"/>
      <c r="BC282" s="48"/>
      <c r="BD282" s="48"/>
      <c r="BE282" s="48"/>
      <c r="BF282" s="48"/>
      <c r="BG282" s="48"/>
      <c r="BH282" s="48"/>
      <c r="BI282" s="48"/>
      <c r="BJ282" s="48"/>
      <c r="BK282" s="48"/>
      <c r="BL282" s="48"/>
      <c r="BM282" s="48"/>
      <c r="BN282" s="48"/>
      <c r="BO282" s="48"/>
      <c r="BP282" s="48"/>
      <c r="BQ282" s="48"/>
      <c r="BR282" s="48"/>
      <c r="BS282" s="48"/>
      <c r="BT282" s="48"/>
      <c r="BU282" s="48"/>
      <c r="BV282" s="48"/>
      <c r="BW282" s="48"/>
      <c r="BX282" s="111"/>
    </row>
    <row r="283" spans="1:76">
      <c r="A283" s="37"/>
      <c r="B283" s="37"/>
      <c r="C283" s="37"/>
      <c r="D283" s="37" t="s">
        <v>1338</v>
      </c>
      <c r="E283" s="37"/>
      <c r="F283" s="39"/>
      <c r="G283" s="39">
        <f t="shared" ref="G283:N283" si="42">IF(AND(OR(ISTEXT(G284), ISBLANK(G284)),OR(ISTEXT(G285), ISBLANK(G285)),TRUE),"", +IF(ISTEXT(G284), 0,G284)+IF(ISTEXT(G285), 0,G285))</f>
        <v>281</v>
      </c>
      <c r="H283" s="39" t="str">
        <f t="shared" si="42"/>
        <v/>
      </c>
      <c r="I283" s="39" t="str">
        <f t="shared" si="42"/>
        <v/>
      </c>
      <c r="J283" s="39" t="str">
        <f t="shared" si="42"/>
        <v/>
      </c>
      <c r="K283" s="39">
        <f t="shared" si="42"/>
        <v>190</v>
      </c>
      <c r="L283" s="39">
        <f t="shared" si="42"/>
        <v>157</v>
      </c>
      <c r="M283" s="39">
        <f t="shared" si="42"/>
        <v>275</v>
      </c>
      <c r="N283" s="48">
        <f t="shared" si="42"/>
        <v>295</v>
      </c>
      <c r="O283" s="36"/>
      <c r="P283" s="48"/>
      <c r="Q283" s="48"/>
      <c r="R283" s="48"/>
      <c r="S283" s="48"/>
      <c r="T283" s="48"/>
      <c r="U283" s="48"/>
      <c r="V283" s="48"/>
      <c r="W283" s="48"/>
      <c r="X283" s="48"/>
      <c r="Y283" s="48"/>
      <c r="Z283" s="48"/>
      <c r="AA283" s="48"/>
      <c r="AB283" s="48"/>
      <c r="AC283" s="48"/>
      <c r="AD283" s="48"/>
      <c r="AE283" s="48"/>
      <c r="AF283" s="48"/>
      <c r="AG283" s="48"/>
      <c r="AH283" s="48"/>
      <c r="AI283" s="48"/>
      <c r="AJ283" s="48"/>
      <c r="AK283" s="48"/>
      <c r="AL283" s="48"/>
      <c r="AM283" s="48"/>
      <c r="AN283" s="48"/>
      <c r="AO283" s="48"/>
      <c r="AP283" s="48"/>
      <c r="AQ283" s="48"/>
      <c r="AR283" s="48"/>
      <c r="AS283" s="48"/>
      <c r="AT283" s="48"/>
      <c r="AU283" s="48"/>
      <c r="AV283" s="48"/>
      <c r="AW283" s="48"/>
      <c r="AX283" s="48"/>
      <c r="AY283" s="48"/>
      <c r="AZ283" s="48"/>
      <c r="BA283" s="48"/>
      <c r="BB283" s="48"/>
      <c r="BC283" s="48"/>
      <c r="BD283" s="48"/>
      <c r="BE283" s="48"/>
      <c r="BF283" s="48"/>
      <c r="BG283" s="48"/>
      <c r="BH283" s="48"/>
      <c r="BI283" s="48"/>
      <c r="BJ283" s="48"/>
      <c r="BK283" s="48"/>
      <c r="BL283" s="48"/>
      <c r="BM283" s="48"/>
      <c r="BN283" s="48"/>
      <c r="BO283" s="48"/>
      <c r="BP283" s="48"/>
      <c r="BQ283" s="48"/>
      <c r="BR283" s="48"/>
      <c r="BS283" s="48"/>
      <c r="BT283" s="48"/>
      <c r="BU283" s="48"/>
      <c r="BV283" s="48"/>
      <c r="BW283" s="48"/>
      <c r="BX283" s="111"/>
    </row>
    <row r="284" spans="1:76">
      <c r="A284" s="37"/>
      <c r="B284" s="37"/>
      <c r="C284" s="37"/>
      <c r="D284" s="37"/>
      <c r="E284" s="37" t="s">
        <v>609</v>
      </c>
      <c r="F284" s="39"/>
      <c r="G284" s="59"/>
      <c r="H284" s="59"/>
      <c r="I284" s="59"/>
      <c r="J284" s="59"/>
      <c r="K284" s="59"/>
      <c r="L284" s="59"/>
      <c r="M284" s="59"/>
      <c r="N284" s="60"/>
      <c r="O284" s="36"/>
      <c r="P284" s="48"/>
      <c r="Q284" s="48"/>
      <c r="R284" s="48"/>
      <c r="S284" s="48"/>
      <c r="T284" s="48"/>
      <c r="U284" s="48"/>
      <c r="V284" s="48"/>
      <c r="W284" s="48"/>
      <c r="X284" s="48"/>
      <c r="Y284" s="48"/>
      <c r="Z284" s="48"/>
      <c r="AA284" s="48"/>
      <c r="AB284" s="48"/>
      <c r="AC284" s="48"/>
      <c r="AD284" s="48"/>
      <c r="AE284" s="48"/>
      <c r="AF284" s="48"/>
      <c r="AG284" s="48"/>
      <c r="AH284" s="48"/>
      <c r="AI284" s="48"/>
      <c r="AJ284" s="48"/>
      <c r="AK284" s="48"/>
      <c r="AL284" s="48"/>
      <c r="AM284" s="48"/>
      <c r="AN284" s="48"/>
      <c r="AO284" s="48"/>
      <c r="AP284" s="48"/>
      <c r="AQ284" s="48"/>
      <c r="AR284" s="48"/>
      <c r="AS284" s="48"/>
      <c r="AT284" s="48"/>
      <c r="AU284" s="48"/>
      <c r="AV284" s="48"/>
      <c r="AW284" s="48"/>
      <c r="AX284" s="48"/>
      <c r="AY284" s="48"/>
      <c r="AZ284" s="48"/>
      <c r="BA284" s="48"/>
      <c r="BB284" s="48"/>
      <c r="BC284" s="48"/>
      <c r="BD284" s="48"/>
      <c r="BE284" s="48"/>
      <c r="BF284" s="48"/>
      <c r="BG284" s="48"/>
      <c r="BH284" s="48"/>
      <c r="BI284" s="48"/>
      <c r="BJ284" s="48"/>
      <c r="BK284" s="48"/>
      <c r="BL284" s="48"/>
      <c r="BM284" s="48"/>
      <c r="BN284" s="48"/>
      <c r="BO284" s="48"/>
      <c r="BP284" s="48"/>
      <c r="BQ284" s="48"/>
      <c r="BR284" s="48"/>
      <c r="BS284" s="48"/>
      <c r="BT284" s="48"/>
      <c r="BU284" s="48"/>
      <c r="BV284" s="48"/>
      <c r="BW284" s="48"/>
      <c r="BX284" s="111"/>
    </row>
    <row r="285" spans="1:76">
      <c r="A285" s="37"/>
      <c r="B285" s="37"/>
      <c r="C285" s="37"/>
      <c r="D285" s="37"/>
      <c r="E285" s="37" t="s">
        <v>1597</v>
      </c>
      <c r="F285" s="39"/>
      <c r="G285" s="59">
        <v>281</v>
      </c>
      <c r="H285" s="59"/>
      <c r="I285" s="59"/>
      <c r="J285" s="59"/>
      <c r="K285" s="59">
        <v>190</v>
      </c>
      <c r="L285" s="59">
        <v>157</v>
      </c>
      <c r="M285" s="59">
        <v>275</v>
      </c>
      <c r="N285" s="59">
        <v>295</v>
      </c>
      <c r="O285" s="58"/>
      <c r="P285" s="48"/>
      <c r="Q285" s="48"/>
      <c r="R285" s="48"/>
      <c r="S285" s="48"/>
      <c r="T285" s="48"/>
      <c r="U285" s="48"/>
      <c r="V285" s="48"/>
      <c r="W285" s="48"/>
      <c r="X285" s="48"/>
      <c r="Y285" s="48"/>
      <c r="Z285" s="48"/>
      <c r="AA285" s="48"/>
      <c r="AB285" s="48"/>
      <c r="AC285" s="48"/>
      <c r="AD285" s="48"/>
      <c r="AE285" s="48"/>
      <c r="AF285" s="48"/>
      <c r="AG285" s="48"/>
      <c r="AH285" s="48"/>
      <c r="AI285" s="48"/>
      <c r="AJ285" s="48"/>
      <c r="AK285" s="48"/>
      <c r="AL285" s="48"/>
      <c r="AM285" s="48"/>
      <c r="AN285" s="48"/>
      <c r="AO285" s="48"/>
      <c r="AP285" s="48"/>
      <c r="AQ285" s="48"/>
      <c r="AR285" s="48"/>
      <c r="AS285" s="48"/>
      <c r="AT285" s="48"/>
      <c r="AU285" s="48"/>
      <c r="AV285" s="48"/>
      <c r="AW285" s="48"/>
      <c r="AX285" s="48"/>
      <c r="AY285" s="48"/>
      <c r="AZ285" s="48"/>
      <c r="BA285" s="48"/>
      <c r="BB285" s="48"/>
      <c r="BC285" s="48"/>
      <c r="BD285" s="48"/>
      <c r="BE285" s="48"/>
      <c r="BF285" s="48"/>
      <c r="BG285" s="48"/>
      <c r="BH285" s="48"/>
      <c r="BI285" s="48"/>
      <c r="BJ285" s="48"/>
      <c r="BK285" s="48"/>
      <c r="BL285" s="48"/>
      <c r="BM285" s="48"/>
      <c r="BN285" s="48"/>
      <c r="BO285" s="48"/>
      <c r="BP285" s="48"/>
      <c r="BQ285" s="48"/>
      <c r="BR285" s="48"/>
      <c r="BS285" s="48"/>
      <c r="BT285" s="48"/>
      <c r="BU285" s="48"/>
      <c r="BV285" s="48"/>
      <c r="BW285" s="48"/>
      <c r="BX285" s="111"/>
    </row>
    <row r="286" spans="1:76">
      <c r="A286" s="37"/>
      <c r="B286" s="37"/>
      <c r="C286" s="37"/>
      <c r="D286" s="37" t="s">
        <v>1464</v>
      </c>
      <c r="E286" s="37"/>
      <c r="F286" s="39"/>
      <c r="G286" s="39" t="str">
        <f t="shared" ref="G286:N286" si="43">IF(AND(OR(ISTEXT(G287), ISBLANK(G287)),OR(ISTEXT(G288), ISBLANK(G288)),TRUE),"", +IF(ISTEXT(G287), 0,G287)+IF(ISTEXT(G288), 0,G288))</f>
        <v/>
      </c>
      <c r="H286" s="39" t="str">
        <f t="shared" si="43"/>
        <v/>
      </c>
      <c r="I286" s="39" t="str">
        <f t="shared" si="43"/>
        <v/>
      </c>
      <c r="J286" s="39" t="str">
        <f t="shared" si="43"/>
        <v/>
      </c>
      <c r="K286" s="39" t="str">
        <f t="shared" si="43"/>
        <v/>
      </c>
      <c r="L286" s="39" t="str">
        <f t="shared" si="43"/>
        <v/>
      </c>
      <c r="M286" s="39" t="str">
        <f t="shared" si="43"/>
        <v/>
      </c>
      <c r="N286" s="48" t="str">
        <f t="shared" si="43"/>
        <v/>
      </c>
      <c r="O286" s="36"/>
      <c r="P286" s="48"/>
      <c r="Q286" s="48"/>
      <c r="R286" s="48"/>
      <c r="S286" s="48"/>
      <c r="T286" s="48"/>
      <c r="U286" s="48"/>
      <c r="V286" s="48"/>
      <c r="W286" s="48"/>
      <c r="X286" s="48"/>
      <c r="Y286" s="48"/>
      <c r="Z286" s="48"/>
      <c r="AA286" s="48"/>
      <c r="AB286" s="48"/>
      <c r="AC286" s="48"/>
      <c r="AD286" s="48"/>
      <c r="AE286" s="48"/>
      <c r="AF286" s="48"/>
      <c r="AG286" s="48"/>
      <c r="AH286" s="48"/>
      <c r="AI286" s="48"/>
      <c r="AJ286" s="48"/>
      <c r="AK286" s="48"/>
      <c r="AL286" s="48"/>
      <c r="AM286" s="48"/>
      <c r="AN286" s="48"/>
      <c r="AO286" s="48"/>
      <c r="AP286" s="48"/>
      <c r="AQ286" s="48"/>
      <c r="AR286" s="48"/>
      <c r="AS286" s="48"/>
      <c r="AT286" s="48"/>
      <c r="AU286" s="48"/>
      <c r="AV286" s="48"/>
      <c r="AW286" s="48"/>
      <c r="AX286" s="48"/>
      <c r="AY286" s="48"/>
      <c r="AZ286" s="48"/>
      <c r="BA286" s="48"/>
      <c r="BB286" s="48"/>
      <c r="BC286" s="48"/>
      <c r="BD286" s="48"/>
      <c r="BE286" s="48"/>
      <c r="BF286" s="48"/>
      <c r="BG286" s="48"/>
      <c r="BH286" s="48"/>
      <c r="BI286" s="48"/>
      <c r="BJ286" s="48"/>
      <c r="BK286" s="48"/>
      <c r="BL286" s="48"/>
      <c r="BM286" s="48"/>
      <c r="BN286" s="48"/>
      <c r="BO286" s="48"/>
      <c r="BP286" s="48"/>
      <c r="BQ286" s="48"/>
      <c r="BR286" s="48"/>
      <c r="BS286" s="48"/>
      <c r="BT286" s="48"/>
      <c r="BU286" s="48"/>
      <c r="BV286" s="48"/>
      <c r="BW286" s="48"/>
      <c r="BX286" s="111"/>
    </row>
    <row r="287" spans="1:76">
      <c r="A287" s="37"/>
      <c r="B287" s="37"/>
      <c r="C287" s="37"/>
      <c r="D287" s="37"/>
      <c r="E287" s="37" t="s">
        <v>1465</v>
      </c>
      <c r="F287" s="39"/>
      <c r="G287" s="59"/>
      <c r="H287" s="59"/>
      <c r="I287" s="59"/>
      <c r="J287" s="59"/>
      <c r="K287" s="59"/>
      <c r="L287" s="59"/>
      <c r="M287" s="59"/>
      <c r="N287" s="60"/>
      <c r="O287" s="36"/>
      <c r="P287" s="48"/>
      <c r="Q287" s="48"/>
      <c r="R287" s="48"/>
      <c r="S287" s="48"/>
      <c r="T287" s="48"/>
      <c r="U287" s="48"/>
      <c r="V287" s="48"/>
      <c r="W287" s="48"/>
      <c r="X287" s="48"/>
      <c r="Y287" s="48"/>
      <c r="Z287" s="48"/>
      <c r="AA287" s="48"/>
      <c r="AB287" s="48"/>
      <c r="AC287" s="48"/>
      <c r="AD287" s="48"/>
      <c r="AE287" s="48"/>
      <c r="AF287" s="48"/>
      <c r="AG287" s="48"/>
      <c r="AH287" s="48"/>
      <c r="AI287" s="48"/>
      <c r="AJ287" s="48"/>
      <c r="AK287" s="48"/>
      <c r="AL287" s="48"/>
      <c r="AM287" s="48"/>
      <c r="AN287" s="48"/>
      <c r="AO287" s="48"/>
      <c r="AP287" s="48"/>
      <c r="AQ287" s="48"/>
      <c r="AR287" s="48"/>
      <c r="AS287" s="48"/>
      <c r="AT287" s="48"/>
      <c r="AU287" s="48"/>
      <c r="AV287" s="48"/>
      <c r="AW287" s="48"/>
      <c r="AX287" s="48"/>
      <c r="AY287" s="48"/>
      <c r="AZ287" s="48"/>
      <c r="BA287" s="48"/>
      <c r="BB287" s="48"/>
      <c r="BC287" s="48"/>
      <c r="BD287" s="48"/>
      <c r="BE287" s="48"/>
      <c r="BF287" s="48"/>
      <c r="BG287" s="48"/>
      <c r="BH287" s="48"/>
      <c r="BI287" s="48"/>
      <c r="BJ287" s="48"/>
      <c r="BK287" s="48"/>
      <c r="BL287" s="48"/>
      <c r="BM287" s="48"/>
      <c r="BN287" s="48"/>
      <c r="BO287" s="48"/>
      <c r="BP287" s="48"/>
      <c r="BQ287" s="48"/>
      <c r="BR287" s="48"/>
      <c r="BS287" s="48"/>
      <c r="BT287" s="48"/>
      <c r="BU287" s="48"/>
      <c r="BV287" s="48"/>
      <c r="BW287" s="48"/>
      <c r="BX287" s="111"/>
    </row>
    <row r="288" spans="1:76">
      <c r="A288" s="37"/>
      <c r="B288" s="37"/>
      <c r="C288" s="37"/>
      <c r="D288" s="37"/>
      <c r="E288" s="37" t="s">
        <v>26</v>
      </c>
      <c r="F288" s="39"/>
      <c r="G288" s="59"/>
      <c r="H288" s="59"/>
      <c r="I288" s="59"/>
      <c r="J288" s="59"/>
      <c r="K288" s="59"/>
      <c r="L288" s="59"/>
      <c r="M288" s="59"/>
      <c r="N288" s="60"/>
      <c r="O288" s="36"/>
      <c r="P288" s="48"/>
      <c r="Q288" s="48"/>
      <c r="R288" s="48"/>
      <c r="S288" s="48"/>
      <c r="T288" s="48"/>
      <c r="U288" s="48"/>
      <c r="V288" s="48"/>
      <c r="W288" s="48"/>
      <c r="X288" s="48"/>
      <c r="Y288" s="48"/>
      <c r="Z288" s="48"/>
      <c r="AA288" s="48"/>
      <c r="AB288" s="48"/>
      <c r="AC288" s="48"/>
      <c r="AD288" s="48"/>
      <c r="AE288" s="48"/>
      <c r="AF288" s="48"/>
      <c r="AG288" s="48"/>
      <c r="AH288" s="48"/>
      <c r="AI288" s="48"/>
      <c r="AJ288" s="48"/>
      <c r="AK288" s="48"/>
      <c r="AL288" s="48"/>
      <c r="AM288" s="48"/>
      <c r="AN288" s="48"/>
      <c r="AO288" s="48"/>
      <c r="AP288" s="48"/>
      <c r="AQ288" s="48"/>
      <c r="AR288" s="48"/>
      <c r="AS288" s="48"/>
      <c r="AT288" s="48"/>
      <c r="AU288" s="48"/>
      <c r="AV288" s="48"/>
      <c r="AW288" s="48"/>
      <c r="AX288" s="48"/>
      <c r="AY288" s="48"/>
      <c r="AZ288" s="48"/>
      <c r="BA288" s="48"/>
      <c r="BB288" s="48"/>
      <c r="BC288" s="48"/>
      <c r="BD288" s="48"/>
      <c r="BE288" s="48"/>
      <c r="BF288" s="48"/>
      <c r="BG288" s="48"/>
      <c r="BH288" s="48"/>
      <c r="BI288" s="48"/>
      <c r="BJ288" s="48"/>
      <c r="BK288" s="48"/>
      <c r="BL288" s="48"/>
      <c r="BM288" s="48"/>
      <c r="BN288" s="48"/>
      <c r="BO288" s="48"/>
      <c r="BP288" s="48"/>
      <c r="BQ288" s="48"/>
      <c r="BR288" s="48"/>
      <c r="BS288" s="48"/>
      <c r="BT288" s="48"/>
      <c r="BU288" s="48"/>
      <c r="BV288" s="48"/>
      <c r="BW288" s="48"/>
      <c r="BX288" s="111"/>
    </row>
    <row r="289" spans="1:76">
      <c r="A289" s="37"/>
      <c r="B289" s="37"/>
      <c r="C289" s="37"/>
      <c r="D289" s="37" t="s">
        <v>1199</v>
      </c>
      <c r="E289" s="37"/>
      <c r="F289" s="39"/>
      <c r="G289" s="39" t="str">
        <f t="shared" ref="G289:N289" si="44">IF(AND(OR(ISTEXT(G290), ISBLANK(G290)),OR(ISTEXT(G291), ISBLANK(G291)),TRUE),"", +IF(ISTEXT(G290), 0,G290)+IF(ISTEXT(G291), 0,G291))</f>
        <v/>
      </c>
      <c r="H289" s="39" t="str">
        <f t="shared" si="44"/>
        <v/>
      </c>
      <c r="I289" s="39" t="str">
        <f t="shared" si="44"/>
        <v/>
      </c>
      <c r="J289" s="39" t="str">
        <f t="shared" si="44"/>
        <v/>
      </c>
      <c r="K289" s="39" t="str">
        <f t="shared" si="44"/>
        <v/>
      </c>
      <c r="L289" s="39" t="str">
        <f t="shared" si="44"/>
        <v/>
      </c>
      <c r="M289" s="39" t="str">
        <f t="shared" si="44"/>
        <v/>
      </c>
      <c r="N289" s="48" t="str">
        <f t="shared" si="44"/>
        <v/>
      </c>
      <c r="O289" s="36"/>
      <c r="P289" s="48"/>
      <c r="Q289" s="48"/>
      <c r="R289" s="48"/>
      <c r="S289" s="48"/>
      <c r="T289" s="48"/>
      <c r="U289" s="48"/>
      <c r="V289" s="48"/>
      <c r="W289" s="48"/>
      <c r="X289" s="48"/>
      <c r="Y289" s="48"/>
      <c r="Z289" s="48"/>
      <c r="AA289" s="48"/>
      <c r="AB289" s="48"/>
      <c r="AC289" s="48"/>
      <c r="AD289" s="48"/>
      <c r="AE289" s="48"/>
      <c r="AF289" s="48"/>
      <c r="AG289" s="48"/>
      <c r="AH289" s="48"/>
      <c r="AI289" s="48"/>
      <c r="AJ289" s="48"/>
      <c r="AK289" s="48"/>
      <c r="AL289" s="48"/>
      <c r="AM289" s="48"/>
      <c r="AN289" s="48"/>
      <c r="AO289" s="48"/>
      <c r="AP289" s="48"/>
      <c r="AQ289" s="48"/>
      <c r="AR289" s="48"/>
      <c r="AS289" s="48"/>
      <c r="AT289" s="48"/>
      <c r="AU289" s="48"/>
      <c r="AV289" s="48"/>
      <c r="AW289" s="48"/>
      <c r="AX289" s="48"/>
      <c r="AY289" s="48"/>
      <c r="AZ289" s="48"/>
      <c r="BA289" s="48"/>
      <c r="BB289" s="48"/>
      <c r="BC289" s="48"/>
      <c r="BD289" s="48"/>
      <c r="BE289" s="48"/>
      <c r="BF289" s="48"/>
      <c r="BG289" s="48"/>
      <c r="BH289" s="48"/>
      <c r="BI289" s="48"/>
      <c r="BJ289" s="48"/>
      <c r="BK289" s="48"/>
      <c r="BL289" s="48"/>
      <c r="BM289" s="48"/>
      <c r="BN289" s="48"/>
      <c r="BO289" s="48"/>
      <c r="BP289" s="48"/>
      <c r="BQ289" s="48"/>
      <c r="BR289" s="48"/>
      <c r="BS289" s="48"/>
      <c r="BT289" s="48"/>
      <c r="BU289" s="48"/>
      <c r="BV289" s="48"/>
      <c r="BW289" s="48"/>
      <c r="BX289" s="111"/>
    </row>
    <row r="290" spans="1:76">
      <c r="A290" s="37"/>
      <c r="B290" s="37"/>
      <c r="C290" s="37"/>
      <c r="D290" s="37"/>
      <c r="E290" s="37" t="s">
        <v>1303</v>
      </c>
      <c r="F290" s="39"/>
      <c r="G290" s="59"/>
      <c r="H290" s="59"/>
      <c r="I290" s="59"/>
      <c r="J290" s="59"/>
      <c r="K290" s="59"/>
      <c r="L290" s="59"/>
      <c r="M290" s="59"/>
      <c r="N290" s="60"/>
      <c r="O290" s="36"/>
      <c r="P290" s="48"/>
      <c r="Q290" s="48"/>
      <c r="R290" s="48"/>
      <c r="S290" s="48"/>
      <c r="T290" s="48"/>
      <c r="U290" s="48"/>
      <c r="V290" s="48"/>
      <c r="W290" s="48"/>
      <c r="X290" s="48"/>
      <c r="Y290" s="48"/>
      <c r="Z290" s="48"/>
      <c r="AA290" s="48"/>
      <c r="AB290" s="48"/>
      <c r="AC290" s="48"/>
      <c r="AD290" s="48"/>
      <c r="AE290" s="48"/>
      <c r="AF290" s="48"/>
      <c r="AG290" s="48"/>
      <c r="AH290" s="48"/>
      <c r="AI290" s="48"/>
      <c r="AJ290" s="48"/>
      <c r="AK290" s="48"/>
      <c r="AL290" s="48"/>
      <c r="AM290" s="48"/>
      <c r="AN290" s="48"/>
      <c r="AO290" s="48"/>
      <c r="AP290" s="48"/>
      <c r="AQ290" s="48"/>
      <c r="AR290" s="48"/>
      <c r="AS290" s="48"/>
      <c r="AT290" s="48"/>
      <c r="AU290" s="48"/>
      <c r="AV290" s="48"/>
      <c r="AW290" s="48"/>
      <c r="AX290" s="48"/>
      <c r="AY290" s="48"/>
      <c r="AZ290" s="48"/>
      <c r="BA290" s="48"/>
      <c r="BB290" s="48"/>
      <c r="BC290" s="48"/>
      <c r="BD290" s="48"/>
      <c r="BE290" s="48"/>
      <c r="BF290" s="48"/>
      <c r="BG290" s="48"/>
      <c r="BH290" s="48"/>
      <c r="BI290" s="48"/>
      <c r="BJ290" s="48"/>
      <c r="BK290" s="48"/>
      <c r="BL290" s="48"/>
      <c r="BM290" s="48"/>
      <c r="BN290" s="48"/>
      <c r="BO290" s="48"/>
      <c r="BP290" s="48"/>
      <c r="BQ290" s="48"/>
      <c r="BR290" s="48"/>
      <c r="BS290" s="48"/>
      <c r="BT290" s="48"/>
      <c r="BU290" s="48"/>
      <c r="BV290" s="48"/>
      <c r="BW290" s="48"/>
      <c r="BX290" s="111"/>
    </row>
    <row r="291" spans="1:76">
      <c r="A291" s="37"/>
      <c r="B291" s="37"/>
      <c r="C291" s="37"/>
      <c r="D291" s="37"/>
      <c r="E291" s="37" t="s">
        <v>1475</v>
      </c>
      <c r="F291" s="39"/>
      <c r="G291" s="59"/>
      <c r="H291" s="59"/>
      <c r="I291" s="59"/>
      <c r="J291" s="59"/>
      <c r="K291" s="59"/>
      <c r="L291" s="59"/>
      <c r="M291" s="59"/>
      <c r="N291" s="59"/>
      <c r="O291" s="58"/>
      <c r="P291" s="48"/>
      <c r="Q291" s="48"/>
      <c r="R291" s="48"/>
      <c r="S291" s="48"/>
      <c r="T291" s="48"/>
      <c r="U291" s="48"/>
      <c r="V291" s="48"/>
      <c r="W291" s="48"/>
      <c r="X291" s="48"/>
      <c r="Y291" s="48"/>
      <c r="Z291" s="48"/>
      <c r="AA291" s="48"/>
      <c r="AB291" s="48"/>
      <c r="AC291" s="48"/>
      <c r="AD291" s="48"/>
      <c r="AE291" s="48"/>
      <c r="AF291" s="48"/>
      <c r="AG291" s="48"/>
      <c r="AH291" s="48"/>
      <c r="AI291" s="48"/>
      <c r="AJ291" s="48"/>
      <c r="AK291" s="48"/>
      <c r="AL291" s="48"/>
      <c r="AM291" s="48"/>
      <c r="AN291" s="48"/>
      <c r="AO291" s="48"/>
      <c r="AP291" s="48"/>
      <c r="AQ291" s="48"/>
      <c r="AR291" s="48"/>
      <c r="AS291" s="48"/>
      <c r="AT291" s="48"/>
      <c r="AU291" s="48"/>
      <c r="AV291" s="48"/>
      <c r="AW291" s="48"/>
      <c r="AX291" s="48"/>
      <c r="AY291" s="48"/>
      <c r="AZ291" s="48"/>
      <c r="BA291" s="48"/>
      <c r="BB291" s="48"/>
      <c r="BC291" s="48"/>
      <c r="BD291" s="48"/>
      <c r="BE291" s="48"/>
      <c r="BF291" s="48"/>
      <c r="BG291" s="48"/>
      <c r="BH291" s="48"/>
      <c r="BI291" s="48"/>
      <c r="BJ291" s="48"/>
      <c r="BK291" s="48"/>
      <c r="BL291" s="48"/>
      <c r="BM291" s="48"/>
      <c r="BN291" s="48"/>
      <c r="BO291" s="48"/>
      <c r="BP291" s="48"/>
      <c r="BQ291" s="48"/>
      <c r="BR291" s="48"/>
      <c r="BS291" s="48"/>
      <c r="BT291" s="48"/>
      <c r="BU291" s="48"/>
      <c r="BV291" s="48"/>
      <c r="BW291" s="48"/>
      <c r="BX291" s="111"/>
    </row>
    <row r="292" spans="1:76">
      <c r="A292" s="37"/>
      <c r="B292" s="37"/>
      <c r="C292" s="37"/>
      <c r="D292" s="37" t="s">
        <v>1476</v>
      </c>
      <c r="E292" s="37"/>
      <c r="F292" s="39"/>
      <c r="G292" s="39">
        <f t="shared" ref="G292:N292" si="45">IF(AND(OR(ISTEXT(G293), ISBLANK(G293)),OR(ISTEXT(G294), ISBLANK(G294)),TRUE),"", +IF(ISTEXT(G293), 0,G293)+IF(ISTEXT(G294), 0,G294))</f>
        <v>105</v>
      </c>
      <c r="H292" s="39">
        <f t="shared" si="45"/>
        <v>75</v>
      </c>
      <c r="I292" s="39">
        <f t="shared" si="45"/>
        <v>92</v>
      </c>
      <c r="J292" s="39">
        <f t="shared" si="45"/>
        <v>120</v>
      </c>
      <c r="K292" s="39">
        <f t="shared" si="45"/>
        <v>89</v>
      </c>
      <c r="L292" s="39">
        <f t="shared" si="45"/>
        <v>108</v>
      </c>
      <c r="M292" s="39">
        <f t="shared" si="45"/>
        <v>104</v>
      </c>
      <c r="N292" s="48">
        <f t="shared" si="45"/>
        <v>157</v>
      </c>
      <c r="O292" s="36"/>
      <c r="P292" s="48"/>
      <c r="Q292" s="48"/>
      <c r="R292" s="48"/>
      <c r="S292" s="48"/>
      <c r="T292" s="48"/>
      <c r="U292" s="48"/>
      <c r="V292" s="48"/>
      <c r="W292" s="48"/>
      <c r="X292" s="48"/>
      <c r="Y292" s="48"/>
      <c r="Z292" s="48"/>
      <c r="AA292" s="48"/>
      <c r="AB292" s="48"/>
      <c r="AC292" s="48"/>
      <c r="AD292" s="48"/>
      <c r="AE292" s="48"/>
      <c r="AF292" s="48"/>
      <c r="AG292" s="48"/>
      <c r="AH292" s="48"/>
      <c r="AI292" s="48"/>
      <c r="AJ292" s="48"/>
      <c r="AK292" s="48"/>
      <c r="AL292" s="48"/>
      <c r="AM292" s="48"/>
      <c r="AN292" s="48"/>
      <c r="AO292" s="48"/>
      <c r="AP292" s="48"/>
      <c r="AQ292" s="48"/>
      <c r="AR292" s="48"/>
      <c r="AS292" s="48"/>
      <c r="AT292" s="48"/>
      <c r="AU292" s="48"/>
      <c r="AV292" s="48"/>
      <c r="AW292" s="48"/>
      <c r="AX292" s="48"/>
      <c r="AY292" s="48"/>
      <c r="AZ292" s="48"/>
      <c r="BA292" s="48"/>
      <c r="BB292" s="48"/>
      <c r="BC292" s="48"/>
      <c r="BD292" s="48"/>
      <c r="BE292" s="48"/>
      <c r="BF292" s="48"/>
      <c r="BG292" s="48"/>
      <c r="BH292" s="48"/>
      <c r="BI292" s="48"/>
      <c r="BJ292" s="48"/>
      <c r="BK292" s="48"/>
      <c r="BL292" s="48"/>
      <c r="BM292" s="48"/>
      <c r="BN292" s="48"/>
      <c r="BO292" s="48"/>
      <c r="BP292" s="48"/>
      <c r="BQ292" s="48"/>
      <c r="BR292" s="48"/>
      <c r="BS292" s="48"/>
      <c r="BT292" s="48"/>
      <c r="BU292" s="48"/>
      <c r="BV292" s="48"/>
      <c r="BW292" s="48"/>
      <c r="BX292" s="111"/>
    </row>
    <row r="293" spans="1:76">
      <c r="A293" s="37"/>
      <c r="B293" s="37"/>
      <c r="C293" s="37"/>
      <c r="D293" s="37"/>
      <c r="E293" s="37" t="s">
        <v>720</v>
      </c>
      <c r="F293" s="39"/>
      <c r="G293" s="59">
        <v>105</v>
      </c>
      <c r="H293" s="59">
        <v>75</v>
      </c>
      <c r="I293" s="59">
        <v>92</v>
      </c>
      <c r="J293" s="59">
        <v>120</v>
      </c>
      <c r="K293" s="59">
        <v>89</v>
      </c>
      <c r="L293" s="59">
        <v>108</v>
      </c>
      <c r="M293" s="59">
        <v>104</v>
      </c>
      <c r="N293" s="59">
        <v>157</v>
      </c>
      <c r="O293" s="36"/>
      <c r="P293" s="48"/>
      <c r="Q293" s="48"/>
      <c r="R293" s="48"/>
      <c r="S293" s="48"/>
      <c r="T293" s="48"/>
      <c r="U293" s="48"/>
      <c r="V293" s="48"/>
      <c r="W293" s="48"/>
      <c r="X293" s="48"/>
      <c r="Y293" s="48"/>
      <c r="Z293" s="48"/>
      <c r="AA293" s="48"/>
      <c r="AB293" s="48"/>
      <c r="AC293" s="48"/>
      <c r="AD293" s="48"/>
      <c r="AE293" s="48"/>
      <c r="AF293" s="48"/>
      <c r="AG293" s="48"/>
      <c r="AH293" s="48"/>
      <c r="AI293" s="48"/>
      <c r="AJ293" s="48"/>
      <c r="AK293" s="48"/>
      <c r="AL293" s="48"/>
      <c r="AM293" s="48"/>
      <c r="AN293" s="48"/>
      <c r="AO293" s="48"/>
      <c r="AP293" s="48"/>
      <c r="AQ293" s="48"/>
      <c r="AR293" s="48"/>
      <c r="AS293" s="48"/>
      <c r="AT293" s="48"/>
      <c r="AU293" s="48"/>
      <c r="AV293" s="48"/>
      <c r="AW293" s="48"/>
      <c r="AX293" s="48"/>
      <c r="AY293" s="48"/>
      <c r="AZ293" s="48"/>
      <c r="BA293" s="48"/>
      <c r="BB293" s="48"/>
      <c r="BC293" s="48"/>
      <c r="BD293" s="48"/>
      <c r="BE293" s="48"/>
      <c r="BF293" s="48"/>
      <c r="BG293" s="48"/>
      <c r="BH293" s="48"/>
      <c r="BI293" s="48"/>
      <c r="BJ293" s="48"/>
      <c r="BK293" s="48"/>
      <c r="BL293" s="48"/>
      <c r="BM293" s="48"/>
      <c r="BN293" s="48"/>
      <c r="BO293" s="48"/>
      <c r="BP293" s="48"/>
      <c r="BQ293" s="48"/>
      <c r="BR293" s="48"/>
      <c r="BS293" s="48"/>
      <c r="BT293" s="48"/>
      <c r="BU293" s="48"/>
      <c r="BV293" s="48"/>
      <c r="BW293" s="48"/>
      <c r="BX293" s="111"/>
    </row>
    <row r="294" spans="1:76">
      <c r="A294" s="37"/>
      <c r="B294" s="37"/>
      <c r="C294" s="37"/>
      <c r="D294" s="37"/>
      <c r="E294" s="37" t="s">
        <v>2295</v>
      </c>
      <c r="F294" s="39"/>
      <c r="G294" s="59"/>
      <c r="H294" s="59"/>
      <c r="I294" s="59"/>
      <c r="J294" s="59"/>
      <c r="K294" s="59"/>
      <c r="L294" s="59"/>
      <c r="M294" s="59"/>
      <c r="N294" s="60"/>
      <c r="O294" s="36"/>
      <c r="P294" s="48"/>
      <c r="Q294" s="48"/>
      <c r="R294" s="48"/>
      <c r="S294" s="48"/>
      <c r="T294" s="48"/>
      <c r="U294" s="48"/>
      <c r="V294" s="48"/>
      <c r="W294" s="48"/>
      <c r="X294" s="48"/>
      <c r="Y294" s="48"/>
      <c r="Z294" s="48"/>
      <c r="AA294" s="48"/>
      <c r="AB294" s="48"/>
      <c r="AC294" s="48"/>
      <c r="AD294" s="48"/>
      <c r="AE294" s="48"/>
      <c r="AF294" s="48"/>
      <c r="AG294" s="48"/>
      <c r="AH294" s="48"/>
      <c r="AI294" s="48"/>
      <c r="AJ294" s="48"/>
      <c r="AK294" s="48"/>
      <c r="AL294" s="48"/>
      <c r="AM294" s="48"/>
      <c r="AN294" s="48"/>
      <c r="AO294" s="48"/>
      <c r="AP294" s="48"/>
      <c r="AQ294" s="48"/>
      <c r="AR294" s="48"/>
      <c r="AS294" s="48"/>
      <c r="AT294" s="48"/>
      <c r="AU294" s="48"/>
      <c r="AV294" s="48"/>
      <c r="AW294" s="48"/>
      <c r="AX294" s="48"/>
      <c r="AY294" s="48"/>
      <c r="AZ294" s="48"/>
      <c r="BA294" s="48"/>
      <c r="BB294" s="48"/>
      <c r="BC294" s="48"/>
      <c r="BD294" s="48"/>
      <c r="BE294" s="48"/>
      <c r="BF294" s="48"/>
      <c r="BG294" s="48"/>
      <c r="BH294" s="48"/>
      <c r="BI294" s="48"/>
      <c r="BJ294" s="48"/>
      <c r="BK294" s="48"/>
      <c r="BL294" s="48"/>
      <c r="BM294" s="48"/>
      <c r="BN294" s="48"/>
      <c r="BO294" s="48"/>
      <c r="BP294" s="48"/>
      <c r="BQ294" s="48"/>
      <c r="BR294" s="48"/>
      <c r="BS294" s="48"/>
      <c r="BT294" s="48"/>
      <c r="BU294" s="48"/>
      <c r="BV294" s="48"/>
      <c r="BW294" s="48"/>
      <c r="BX294" s="111"/>
    </row>
    <row r="295" spans="1:76">
      <c r="A295" s="37"/>
      <c r="B295" s="37"/>
      <c r="C295" s="37"/>
      <c r="D295" s="37" t="s">
        <v>1706</v>
      </c>
      <c r="E295" s="37"/>
      <c r="F295" s="39"/>
      <c r="G295" s="39" t="str">
        <f t="shared" ref="G295:N295" si="46">IF(AND(OR(ISTEXT(G296), ISBLANK(G296)),OR(ISTEXT(G297), ISBLANK(G297)),OR(ISTEXT(G298), ISBLANK(G298)),TRUE),"", +IF(ISTEXT(G296), 0,G296)+IF(ISTEXT(G297), 0,G297)+IF(ISTEXT(G298), 0,G298))</f>
        <v/>
      </c>
      <c r="H295" s="39" t="str">
        <f t="shared" si="46"/>
        <v/>
      </c>
      <c r="I295" s="39" t="str">
        <f t="shared" si="46"/>
        <v/>
      </c>
      <c r="J295" s="39" t="str">
        <f t="shared" si="46"/>
        <v/>
      </c>
      <c r="K295" s="39" t="str">
        <f t="shared" si="46"/>
        <v/>
      </c>
      <c r="L295" s="39" t="str">
        <f t="shared" si="46"/>
        <v/>
      </c>
      <c r="M295" s="39" t="str">
        <f t="shared" si="46"/>
        <v/>
      </c>
      <c r="N295" s="48" t="str">
        <f t="shared" si="46"/>
        <v/>
      </c>
      <c r="O295" s="36"/>
      <c r="P295" s="48"/>
      <c r="Q295" s="48"/>
      <c r="R295" s="48"/>
      <c r="S295" s="48"/>
      <c r="T295" s="48"/>
      <c r="U295" s="48"/>
      <c r="V295" s="48"/>
      <c r="W295" s="48"/>
      <c r="X295" s="48"/>
      <c r="Y295" s="48"/>
      <c r="Z295" s="48"/>
      <c r="AA295" s="48"/>
      <c r="AB295" s="48"/>
      <c r="AC295" s="48"/>
      <c r="AD295" s="48"/>
      <c r="AE295" s="48"/>
      <c r="AF295" s="48"/>
      <c r="AG295" s="48"/>
      <c r="AH295" s="48"/>
      <c r="AI295" s="48"/>
      <c r="AJ295" s="48"/>
      <c r="AK295" s="48"/>
      <c r="AL295" s="48"/>
      <c r="AM295" s="48"/>
      <c r="AN295" s="48"/>
      <c r="AO295" s="48"/>
      <c r="AP295" s="48"/>
      <c r="AQ295" s="48"/>
      <c r="AR295" s="48"/>
      <c r="AS295" s="48"/>
      <c r="AT295" s="48"/>
      <c r="AU295" s="48"/>
      <c r="AV295" s="48"/>
      <c r="AW295" s="48"/>
      <c r="AX295" s="48"/>
      <c r="AY295" s="48"/>
      <c r="AZ295" s="48"/>
      <c r="BA295" s="48"/>
      <c r="BB295" s="48"/>
      <c r="BC295" s="48"/>
      <c r="BD295" s="48"/>
      <c r="BE295" s="48"/>
      <c r="BF295" s="48"/>
      <c r="BG295" s="48"/>
      <c r="BH295" s="48"/>
      <c r="BI295" s="48"/>
      <c r="BJ295" s="48"/>
      <c r="BK295" s="48"/>
      <c r="BL295" s="48"/>
      <c r="BM295" s="48"/>
      <c r="BN295" s="48"/>
      <c r="BO295" s="48"/>
      <c r="BP295" s="48"/>
      <c r="BQ295" s="48"/>
      <c r="BR295" s="48"/>
      <c r="BS295" s="48"/>
      <c r="BT295" s="48"/>
      <c r="BU295" s="48"/>
      <c r="BV295" s="48"/>
      <c r="BW295" s="48"/>
      <c r="BX295" s="111"/>
    </row>
    <row r="296" spans="1:76">
      <c r="A296" s="37"/>
      <c r="B296" s="37"/>
      <c r="C296" s="37"/>
      <c r="D296" s="37"/>
      <c r="E296" s="37" t="s">
        <v>1332</v>
      </c>
      <c r="F296" s="39"/>
      <c r="G296" s="59"/>
      <c r="H296" s="59"/>
      <c r="I296" s="59"/>
      <c r="J296" s="59"/>
      <c r="K296" s="59"/>
      <c r="L296" s="59"/>
      <c r="M296" s="59"/>
      <c r="N296" s="60"/>
      <c r="O296" s="36"/>
      <c r="P296" s="48"/>
      <c r="Q296" s="48"/>
      <c r="R296" s="48"/>
      <c r="S296" s="48"/>
      <c r="T296" s="48"/>
      <c r="U296" s="48"/>
      <c r="V296" s="48"/>
      <c r="W296" s="48"/>
      <c r="X296" s="48"/>
      <c r="Y296" s="48"/>
      <c r="Z296" s="48"/>
      <c r="AA296" s="48"/>
      <c r="AB296" s="48"/>
      <c r="AC296" s="48"/>
      <c r="AD296" s="48"/>
      <c r="AE296" s="48"/>
      <c r="AF296" s="48"/>
      <c r="AG296" s="48"/>
      <c r="AH296" s="48"/>
      <c r="AI296" s="48"/>
      <c r="AJ296" s="48"/>
      <c r="AK296" s="48"/>
      <c r="AL296" s="48"/>
      <c r="AM296" s="48"/>
      <c r="AN296" s="48"/>
      <c r="AO296" s="48"/>
      <c r="AP296" s="48"/>
      <c r="AQ296" s="48"/>
      <c r="AR296" s="48"/>
      <c r="AS296" s="48"/>
      <c r="AT296" s="48"/>
      <c r="AU296" s="48"/>
      <c r="AV296" s="48"/>
      <c r="AW296" s="48"/>
      <c r="AX296" s="48"/>
      <c r="AY296" s="48"/>
      <c r="AZ296" s="48"/>
      <c r="BA296" s="48"/>
      <c r="BB296" s="48"/>
      <c r="BC296" s="48"/>
      <c r="BD296" s="48"/>
      <c r="BE296" s="48"/>
      <c r="BF296" s="48"/>
      <c r="BG296" s="48"/>
      <c r="BH296" s="48"/>
      <c r="BI296" s="48"/>
      <c r="BJ296" s="48"/>
      <c r="BK296" s="48"/>
      <c r="BL296" s="48"/>
      <c r="BM296" s="48"/>
      <c r="BN296" s="48"/>
      <c r="BO296" s="48"/>
      <c r="BP296" s="48"/>
      <c r="BQ296" s="48"/>
      <c r="BR296" s="48"/>
      <c r="BS296" s="48"/>
      <c r="BT296" s="48"/>
      <c r="BU296" s="48"/>
      <c r="BV296" s="48"/>
      <c r="BW296" s="48"/>
      <c r="BX296" s="111"/>
    </row>
    <row r="297" spans="1:76">
      <c r="A297" s="37"/>
      <c r="B297" s="37"/>
      <c r="C297" s="37"/>
      <c r="D297" s="37"/>
      <c r="E297" s="37" t="s">
        <v>1685</v>
      </c>
      <c r="F297" s="39"/>
      <c r="G297" s="59"/>
      <c r="H297" s="59"/>
      <c r="I297" s="59"/>
      <c r="J297" s="59"/>
      <c r="K297" s="59"/>
      <c r="L297" s="59"/>
      <c r="M297" s="59"/>
      <c r="N297" s="60"/>
      <c r="O297" s="36"/>
      <c r="P297" s="48"/>
      <c r="Q297" s="48"/>
      <c r="R297" s="48"/>
      <c r="S297" s="48"/>
      <c r="T297" s="48"/>
      <c r="U297" s="48"/>
      <c r="V297" s="48"/>
      <c r="W297" s="48"/>
      <c r="X297" s="48"/>
      <c r="Y297" s="48"/>
      <c r="Z297" s="48"/>
      <c r="AA297" s="48"/>
      <c r="AB297" s="48"/>
      <c r="AC297" s="48"/>
      <c r="AD297" s="48"/>
      <c r="AE297" s="48"/>
      <c r="AF297" s="48"/>
      <c r="AG297" s="48"/>
      <c r="AH297" s="48"/>
      <c r="AI297" s="48"/>
      <c r="AJ297" s="48"/>
      <c r="AK297" s="48"/>
      <c r="AL297" s="48"/>
      <c r="AM297" s="48"/>
      <c r="AN297" s="48"/>
      <c r="AO297" s="48"/>
      <c r="AP297" s="48"/>
      <c r="AQ297" s="48"/>
      <c r="AR297" s="48"/>
      <c r="AS297" s="48"/>
      <c r="AT297" s="48"/>
      <c r="AU297" s="48"/>
      <c r="AV297" s="48"/>
      <c r="AW297" s="48"/>
      <c r="AX297" s="48"/>
      <c r="AY297" s="48"/>
      <c r="AZ297" s="48"/>
      <c r="BA297" s="48"/>
      <c r="BB297" s="48"/>
      <c r="BC297" s="48"/>
      <c r="BD297" s="48"/>
      <c r="BE297" s="48"/>
      <c r="BF297" s="48"/>
      <c r="BG297" s="48"/>
      <c r="BH297" s="48"/>
      <c r="BI297" s="48"/>
      <c r="BJ297" s="48"/>
      <c r="BK297" s="48"/>
      <c r="BL297" s="48"/>
      <c r="BM297" s="48"/>
      <c r="BN297" s="48"/>
      <c r="BO297" s="48"/>
      <c r="BP297" s="48"/>
      <c r="BQ297" s="48"/>
      <c r="BR297" s="48"/>
      <c r="BS297" s="48"/>
      <c r="BT297" s="48"/>
      <c r="BU297" s="48"/>
      <c r="BV297" s="48"/>
      <c r="BW297" s="48"/>
      <c r="BX297" s="111"/>
    </row>
    <row r="298" spans="1:76">
      <c r="A298" s="37"/>
      <c r="B298" s="37"/>
      <c r="C298" s="37"/>
      <c r="D298" s="37"/>
      <c r="E298" s="37" t="s">
        <v>1686</v>
      </c>
      <c r="F298" s="39"/>
      <c r="G298" s="59"/>
      <c r="H298" s="59"/>
      <c r="I298" s="59"/>
      <c r="J298" s="59"/>
      <c r="K298" s="59"/>
      <c r="L298" s="59"/>
      <c r="M298" s="59"/>
      <c r="N298" s="60"/>
      <c r="O298" s="36"/>
      <c r="P298" s="48"/>
      <c r="Q298" s="48"/>
      <c r="R298" s="48"/>
      <c r="S298" s="48"/>
      <c r="T298" s="48"/>
      <c r="U298" s="48"/>
      <c r="V298" s="48"/>
      <c r="W298" s="48"/>
      <c r="X298" s="48"/>
      <c r="Y298" s="48"/>
      <c r="Z298" s="48"/>
      <c r="AA298" s="48"/>
      <c r="AB298" s="48"/>
      <c r="AC298" s="48"/>
      <c r="AD298" s="48"/>
      <c r="AE298" s="48"/>
      <c r="AF298" s="48"/>
      <c r="AG298" s="48"/>
      <c r="AH298" s="48"/>
      <c r="AI298" s="48"/>
      <c r="AJ298" s="48"/>
      <c r="AK298" s="48"/>
      <c r="AL298" s="48"/>
      <c r="AM298" s="48"/>
      <c r="AN298" s="48"/>
      <c r="AO298" s="48"/>
      <c r="AP298" s="48"/>
      <c r="AQ298" s="48"/>
      <c r="AR298" s="48"/>
      <c r="AS298" s="48"/>
      <c r="AT298" s="48"/>
      <c r="AU298" s="48"/>
      <c r="AV298" s="48"/>
      <c r="AW298" s="48"/>
      <c r="AX298" s="48"/>
      <c r="AY298" s="48"/>
      <c r="AZ298" s="48"/>
      <c r="BA298" s="48"/>
      <c r="BB298" s="48"/>
      <c r="BC298" s="48"/>
      <c r="BD298" s="48"/>
      <c r="BE298" s="48"/>
      <c r="BF298" s="48"/>
      <c r="BG298" s="48"/>
      <c r="BH298" s="48"/>
      <c r="BI298" s="48"/>
      <c r="BJ298" s="48"/>
      <c r="BK298" s="48"/>
      <c r="BL298" s="48"/>
      <c r="BM298" s="48"/>
      <c r="BN298" s="48"/>
      <c r="BO298" s="48"/>
      <c r="BP298" s="48"/>
      <c r="BQ298" s="48"/>
      <c r="BR298" s="48"/>
      <c r="BS298" s="48"/>
      <c r="BT298" s="48"/>
      <c r="BU298" s="48"/>
      <c r="BV298" s="48"/>
      <c r="BW298" s="48"/>
      <c r="BX298" s="111"/>
    </row>
    <row r="299" spans="1:76">
      <c r="A299" s="52"/>
      <c r="B299" s="52"/>
      <c r="C299" s="52"/>
      <c r="D299" s="52" t="s">
        <v>1323</v>
      </c>
      <c r="E299" s="52"/>
      <c r="F299" s="53"/>
      <c r="G299" s="80">
        <v>63</v>
      </c>
      <c r="H299" s="80">
        <v>58</v>
      </c>
      <c r="I299" s="80">
        <v>167</v>
      </c>
      <c r="J299" s="80">
        <v>238</v>
      </c>
      <c r="K299" s="53">
        <f>IF(AND(OR(ISTEXT(K300), ISBLANK(K300)),OR(ISTEXT(K301), ISBLANK(K301)),OR(ISTEXT(K302), ISBLANK(K302)),OR(ISTEXT(K303), ISBLANK(K303)),OR(ISTEXT(K304), ISBLANK(K304)),OR(ISTEXT(K305), ISBLANK(K305)),TRUE),"", +IF(ISTEXT(K300), 0,K300)+IF(ISTEXT(K301), 0,K301)+IF(ISTEXT(K302), 0,K302)+IF(ISTEXT(K303), 0,K303)+IF(ISTEXT(K304), 0,K304)+IF(ISTEXT(K305), 0,K305))</f>
        <v>219</v>
      </c>
      <c r="L299" s="53">
        <f>IF(AND(OR(ISTEXT(L300), ISBLANK(L300)),OR(ISTEXT(L301), ISBLANK(L301)),OR(ISTEXT(L302), ISBLANK(L302)),OR(ISTEXT(L303), ISBLANK(L303)),OR(ISTEXT(L304), ISBLANK(L304)),OR(ISTEXT(L305), ISBLANK(L305)),TRUE),"", +IF(ISTEXT(L300), 0,L300)+IF(ISTEXT(L301), 0,L301)+IF(ISTEXT(L302), 0,L302)+IF(ISTEXT(L303), 0,L303)+IF(ISTEXT(L304), 0,L304)+IF(ISTEXT(L305), 0,L305))</f>
        <v>214</v>
      </c>
      <c r="M299" s="53">
        <f>IF(AND(OR(ISTEXT(M300), ISBLANK(M300)),OR(ISTEXT(M301), ISBLANK(M301)),OR(ISTEXT(M302), ISBLANK(M302)),OR(ISTEXT(M303), ISBLANK(M303)),OR(ISTEXT(M304), ISBLANK(M304)),OR(ISTEXT(M305), ISBLANK(M305)),TRUE),"", +IF(ISTEXT(M300), 0,M300)+IF(ISTEXT(M301), 0,M301)+IF(ISTEXT(M302), 0,M302)+IF(ISTEXT(M303), 0,M303)+IF(ISTEXT(M304), 0,M304)+IF(ISTEXT(M305), 0,M305))</f>
        <v>232</v>
      </c>
      <c r="N299" s="55">
        <f>IF(AND(OR(ISTEXT(N300), ISBLANK(N300)),OR(ISTEXT(N301), ISBLANK(N301)),OR(ISTEXT(N302), ISBLANK(N302)),OR(ISTEXT(N303), ISBLANK(N303)),OR(ISTEXT(N304), ISBLANK(N304)),OR(ISTEXT(N305), ISBLANK(N305)),TRUE),"", +IF(ISTEXT(N300), 0,N300)+IF(ISTEXT(N301), 0,N301)+IF(ISTEXT(N302), 0,N302)+IF(ISTEXT(N303), 0,N303)+IF(ISTEXT(N304), 0,N304)+IF(ISTEXT(N305), 0,N305))</f>
        <v>371</v>
      </c>
      <c r="O299" s="54"/>
      <c r="P299" s="55"/>
      <c r="Q299" s="55"/>
      <c r="R299" s="55"/>
      <c r="S299" s="55"/>
      <c r="T299" s="55"/>
      <c r="U299" s="55"/>
      <c r="V299" s="55"/>
      <c r="W299" s="55"/>
      <c r="X299" s="55"/>
      <c r="Y299" s="55"/>
      <c r="Z299" s="55"/>
      <c r="AA299" s="55"/>
      <c r="AB299" s="55"/>
      <c r="AC299" s="55"/>
      <c r="AD299" s="55"/>
      <c r="AE299" s="55"/>
      <c r="AF299" s="55"/>
      <c r="AG299" s="55"/>
      <c r="AH299" s="55"/>
      <c r="AI299" s="55"/>
      <c r="AJ299" s="55"/>
      <c r="AK299" s="55"/>
      <c r="AL299" s="55"/>
      <c r="AM299" s="55"/>
      <c r="AN299" s="55"/>
      <c r="AO299" s="55"/>
      <c r="AP299" s="55"/>
      <c r="AQ299" s="55"/>
      <c r="AR299" s="55"/>
      <c r="AS299" s="55"/>
      <c r="AT299" s="55"/>
      <c r="AU299" s="55"/>
      <c r="AV299" s="55"/>
      <c r="AW299" s="55"/>
      <c r="AX299" s="55"/>
      <c r="AY299" s="55"/>
      <c r="AZ299" s="55"/>
      <c r="BA299" s="55"/>
      <c r="BB299" s="55"/>
      <c r="BC299" s="55"/>
      <c r="BD299" s="55"/>
      <c r="BE299" s="55"/>
      <c r="BF299" s="55"/>
      <c r="BG299" s="55"/>
      <c r="BH299" s="55"/>
      <c r="BI299" s="55"/>
      <c r="BJ299" s="55"/>
      <c r="BK299" s="55"/>
      <c r="BL299" s="55"/>
      <c r="BM299" s="55"/>
      <c r="BN299" s="55"/>
      <c r="BO299" s="55"/>
      <c r="BP299" s="55"/>
      <c r="BQ299" s="55"/>
      <c r="BR299" s="55"/>
      <c r="BS299" s="55"/>
      <c r="BT299" s="55"/>
      <c r="BU299" s="55"/>
      <c r="BV299" s="55"/>
      <c r="BW299" s="55"/>
      <c r="BX299" s="112"/>
    </row>
    <row r="300" spans="1:76">
      <c r="A300" s="37"/>
      <c r="B300" s="37"/>
      <c r="C300" s="37"/>
      <c r="D300" s="37"/>
      <c r="E300" s="37" t="s">
        <v>2294</v>
      </c>
      <c r="F300" s="39"/>
      <c r="G300" s="59"/>
      <c r="H300" s="59"/>
      <c r="I300" s="59"/>
      <c r="J300" s="59"/>
      <c r="K300" s="59"/>
      <c r="L300" s="59"/>
      <c r="M300" s="59"/>
      <c r="N300" s="60"/>
      <c r="O300" s="36"/>
      <c r="P300" s="48"/>
      <c r="Q300" s="48"/>
      <c r="R300" s="48"/>
      <c r="S300" s="48"/>
      <c r="T300" s="48"/>
      <c r="U300" s="48"/>
      <c r="V300" s="48"/>
      <c r="W300" s="48"/>
      <c r="X300" s="48"/>
      <c r="Y300" s="48"/>
      <c r="Z300" s="48"/>
      <c r="AA300" s="48"/>
      <c r="AB300" s="48"/>
      <c r="AC300" s="48"/>
      <c r="AD300" s="48"/>
      <c r="AE300" s="48"/>
      <c r="AF300" s="48"/>
      <c r="AG300" s="48"/>
      <c r="AH300" s="48"/>
      <c r="AI300" s="48"/>
      <c r="AJ300" s="48"/>
      <c r="AK300" s="48"/>
      <c r="AL300" s="48"/>
      <c r="AM300" s="48"/>
      <c r="AN300" s="48"/>
      <c r="AO300" s="48"/>
      <c r="AP300" s="48"/>
      <c r="AQ300" s="48"/>
      <c r="AR300" s="48"/>
      <c r="AS300" s="48"/>
      <c r="AT300" s="48"/>
      <c r="AU300" s="48"/>
      <c r="AV300" s="48"/>
      <c r="AW300" s="48"/>
      <c r="AX300" s="48"/>
      <c r="AY300" s="48"/>
      <c r="AZ300" s="48"/>
      <c r="BA300" s="48"/>
      <c r="BB300" s="48"/>
      <c r="BC300" s="48"/>
      <c r="BD300" s="48"/>
      <c r="BE300" s="48"/>
      <c r="BF300" s="48"/>
      <c r="BG300" s="48"/>
      <c r="BH300" s="48"/>
      <c r="BI300" s="48"/>
      <c r="BJ300" s="48"/>
      <c r="BK300" s="48"/>
      <c r="BL300" s="48"/>
      <c r="BM300" s="48"/>
      <c r="BN300" s="48"/>
      <c r="BO300" s="48"/>
      <c r="BP300" s="48"/>
      <c r="BQ300" s="48"/>
      <c r="BR300" s="48"/>
      <c r="BS300" s="48"/>
      <c r="BT300" s="48"/>
      <c r="BU300" s="48"/>
      <c r="BV300" s="48"/>
      <c r="BW300" s="48"/>
      <c r="BX300" s="111"/>
    </row>
    <row r="301" spans="1:76">
      <c r="A301" s="37"/>
      <c r="B301" s="37"/>
      <c r="C301" s="37"/>
      <c r="D301" s="37"/>
      <c r="E301" s="37" t="s">
        <v>1324</v>
      </c>
      <c r="F301" s="39"/>
      <c r="G301" s="59"/>
      <c r="H301" s="59"/>
      <c r="I301" s="59"/>
      <c r="J301" s="59"/>
      <c r="K301" s="59"/>
      <c r="L301" s="59"/>
      <c r="M301" s="59"/>
      <c r="N301" s="60"/>
      <c r="O301" s="36"/>
      <c r="P301" s="48"/>
      <c r="Q301" s="48"/>
      <c r="R301" s="48"/>
      <c r="S301" s="48"/>
      <c r="T301" s="48"/>
      <c r="U301" s="48"/>
      <c r="V301" s="48"/>
      <c r="W301" s="48"/>
      <c r="X301" s="48"/>
      <c r="Y301" s="48"/>
      <c r="Z301" s="48"/>
      <c r="AA301" s="48"/>
      <c r="AB301" s="48"/>
      <c r="AC301" s="48"/>
      <c r="AD301" s="48"/>
      <c r="AE301" s="48"/>
      <c r="AF301" s="48"/>
      <c r="AG301" s="48"/>
      <c r="AH301" s="48"/>
      <c r="AI301" s="48"/>
      <c r="AJ301" s="48"/>
      <c r="AK301" s="48"/>
      <c r="AL301" s="48"/>
      <c r="AM301" s="48"/>
      <c r="AN301" s="48"/>
      <c r="AO301" s="48"/>
      <c r="AP301" s="48"/>
      <c r="AQ301" s="48"/>
      <c r="AR301" s="48"/>
      <c r="AS301" s="48"/>
      <c r="AT301" s="48"/>
      <c r="AU301" s="48"/>
      <c r="AV301" s="48"/>
      <c r="AW301" s="48"/>
      <c r="AX301" s="48"/>
      <c r="AY301" s="48"/>
      <c r="AZ301" s="48"/>
      <c r="BA301" s="48"/>
      <c r="BB301" s="48"/>
      <c r="BC301" s="48"/>
      <c r="BD301" s="48"/>
      <c r="BE301" s="48"/>
      <c r="BF301" s="48"/>
      <c r="BG301" s="48"/>
      <c r="BH301" s="48"/>
      <c r="BI301" s="48"/>
      <c r="BJ301" s="48"/>
      <c r="BK301" s="48"/>
      <c r="BL301" s="48"/>
      <c r="BM301" s="48"/>
      <c r="BN301" s="48"/>
      <c r="BO301" s="48"/>
      <c r="BP301" s="48"/>
      <c r="BQ301" s="48"/>
      <c r="BR301" s="48"/>
      <c r="BS301" s="48"/>
      <c r="BT301" s="48"/>
      <c r="BU301" s="48"/>
      <c r="BV301" s="48"/>
      <c r="BW301" s="48"/>
      <c r="BX301" s="111"/>
    </row>
    <row r="302" spans="1:76">
      <c r="A302" s="37"/>
      <c r="B302" s="37"/>
      <c r="C302" s="37"/>
      <c r="D302" s="37"/>
      <c r="E302" s="37" t="s">
        <v>1297</v>
      </c>
      <c r="F302" s="39"/>
      <c r="G302" s="59"/>
      <c r="H302" s="59"/>
      <c r="I302" s="59"/>
      <c r="J302" s="59"/>
      <c r="K302" s="59">
        <f>219-K305</f>
        <v>73</v>
      </c>
      <c r="L302" s="59">
        <f>214-L305</f>
        <v>77</v>
      </c>
      <c r="M302" s="59">
        <f>232-M305</f>
        <v>70</v>
      </c>
      <c r="N302" s="59">
        <f>371-N305</f>
        <v>76</v>
      </c>
      <c r="O302" s="36"/>
      <c r="P302" s="48"/>
      <c r="Q302" s="48"/>
      <c r="R302" s="48"/>
      <c r="S302" s="48"/>
      <c r="T302" s="48"/>
      <c r="U302" s="48"/>
      <c r="V302" s="48"/>
      <c r="W302" s="48"/>
      <c r="X302" s="48"/>
      <c r="Y302" s="48"/>
      <c r="Z302" s="48"/>
      <c r="AA302" s="48"/>
      <c r="AB302" s="48"/>
      <c r="AC302" s="48"/>
      <c r="AD302" s="48"/>
      <c r="AE302" s="48"/>
      <c r="AF302" s="48"/>
      <c r="AG302" s="48"/>
      <c r="AH302" s="48"/>
      <c r="AI302" s="48"/>
      <c r="AJ302" s="48"/>
      <c r="AK302" s="48"/>
      <c r="AL302" s="48"/>
      <c r="AM302" s="48"/>
      <c r="AN302" s="48"/>
      <c r="AO302" s="48"/>
      <c r="AP302" s="48"/>
      <c r="AQ302" s="48"/>
      <c r="AR302" s="48"/>
      <c r="AS302" s="48"/>
      <c r="AT302" s="48"/>
      <c r="AU302" s="48"/>
      <c r="AV302" s="48"/>
      <c r="AW302" s="48"/>
      <c r="AX302" s="48"/>
      <c r="AY302" s="48"/>
      <c r="AZ302" s="48"/>
      <c r="BA302" s="48"/>
      <c r="BB302" s="48"/>
      <c r="BC302" s="48"/>
      <c r="BD302" s="48"/>
      <c r="BE302" s="48"/>
      <c r="BF302" s="48"/>
      <c r="BG302" s="48"/>
      <c r="BH302" s="48"/>
      <c r="BI302" s="48"/>
      <c r="BJ302" s="48"/>
      <c r="BK302" s="48"/>
      <c r="BL302" s="48"/>
      <c r="BM302" s="48"/>
      <c r="BN302" s="48"/>
      <c r="BO302" s="48"/>
      <c r="BP302" s="48"/>
      <c r="BQ302" s="48"/>
      <c r="BR302" s="48"/>
      <c r="BS302" s="48"/>
      <c r="BT302" s="48"/>
      <c r="BU302" s="48"/>
      <c r="BV302" s="48"/>
      <c r="BW302" s="48"/>
      <c r="BX302" s="111"/>
    </row>
    <row r="303" spans="1:76">
      <c r="A303" s="37"/>
      <c r="B303" s="37"/>
      <c r="C303" s="37"/>
      <c r="D303" s="37"/>
      <c r="E303" s="37" t="s">
        <v>1664</v>
      </c>
      <c r="F303" s="39"/>
      <c r="G303" s="59"/>
      <c r="H303" s="59"/>
      <c r="I303" s="59"/>
      <c r="J303" s="59"/>
      <c r="K303" s="59"/>
      <c r="L303" s="59"/>
      <c r="M303" s="59"/>
      <c r="N303" s="60"/>
      <c r="O303" s="36"/>
      <c r="P303" s="48"/>
      <c r="Q303" s="48"/>
      <c r="R303" s="48"/>
      <c r="S303" s="48"/>
      <c r="T303" s="48"/>
      <c r="U303" s="48"/>
      <c r="V303" s="48"/>
      <c r="W303" s="48"/>
      <c r="X303" s="48"/>
      <c r="Y303" s="48"/>
      <c r="Z303" s="48"/>
      <c r="AA303" s="48"/>
      <c r="AB303" s="48"/>
      <c r="AC303" s="48"/>
      <c r="AD303" s="48"/>
      <c r="AE303" s="48"/>
      <c r="AF303" s="48"/>
      <c r="AG303" s="48"/>
      <c r="AH303" s="48"/>
      <c r="AI303" s="48"/>
      <c r="AJ303" s="48"/>
      <c r="AK303" s="48"/>
      <c r="AL303" s="48"/>
      <c r="AM303" s="48"/>
      <c r="AN303" s="48"/>
      <c r="AO303" s="48"/>
      <c r="AP303" s="48"/>
      <c r="AQ303" s="48"/>
      <c r="AR303" s="48"/>
      <c r="AS303" s="48"/>
      <c r="AT303" s="48"/>
      <c r="AU303" s="48"/>
      <c r="AV303" s="48"/>
      <c r="AW303" s="48"/>
      <c r="AX303" s="48"/>
      <c r="AY303" s="48"/>
      <c r="AZ303" s="48"/>
      <c r="BA303" s="48"/>
      <c r="BB303" s="48"/>
      <c r="BC303" s="48"/>
      <c r="BD303" s="48"/>
      <c r="BE303" s="48"/>
      <c r="BF303" s="48"/>
      <c r="BG303" s="48"/>
      <c r="BH303" s="48"/>
      <c r="BI303" s="48"/>
      <c r="BJ303" s="48"/>
      <c r="BK303" s="48"/>
      <c r="BL303" s="48"/>
      <c r="BM303" s="48"/>
      <c r="BN303" s="48"/>
      <c r="BO303" s="48"/>
      <c r="BP303" s="48"/>
      <c r="BQ303" s="48"/>
      <c r="BR303" s="48"/>
      <c r="BS303" s="48"/>
      <c r="BT303" s="48"/>
      <c r="BU303" s="48"/>
      <c r="BV303" s="48"/>
      <c r="BW303" s="48"/>
      <c r="BX303" s="111"/>
    </row>
    <row r="304" spans="1:76">
      <c r="A304" s="37"/>
      <c r="B304" s="37"/>
      <c r="C304" s="37"/>
      <c r="D304" s="37"/>
      <c r="E304" s="37" t="s">
        <v>235</v>
      </c>
      <c r="F304" s="39"/>
      <c r="G304" s="59"/>
      <c r="H304" s="59"/>
      <c r="I304" s="59"/>
      <c r="J304" s="59"/>
      <c r="K304" s="59"/>
      <c r="L304" s="59"/>
      <c r="M304" s="59"/>
      <c r="N304" s="60"/>
      <c r="O304" s="36"/>
      <c r="P304" s="48"/>
      <c r="Q304" s="48"/>
      <c r="R304" s="48"/>
      <c r="S304" s="48"/>
      <c r="T304" s="48"/>
      <c r="U304" s="48"/>
      <c r="V304" s="48"/>
      <c r="W304" s="48"/>
      <c r="X304" s="48"/>
      <c r="Y304" s="48"/>
      <c r="Z304" s="48"/>
      <c r="AA304" s="48"/>
      <c r="AB304" s="48"/>
      <c r="AC304" s="48"/>
      <c r="AD304" s="48"/>
      <c r="AE304" s="48"/>
      <c r="AF304" s="48"/>
      <c r="AG304" s="48"/>
      <c r="AH304" s="48"/>
      <c r="AI304" s="48"/>
      <c r="AJ304" s="48"/>
      <c r="AK304" s="48"/>
      <c r="AL304" s="48"/>
      <c r="AM304" s="48"/>
      <c r="AN304" s="48"/>
      <c r="AO304" s="48"/>
      <c r="AP304" s="48"/>
      <c r="AQ304" s="48"/>
      <c r="AR304" s="48"/>
      <c r="AS304" s="48"/>
      <c r="AT304" s="48"/>
      <c r="AU304" s="48"/>
      <c r="AV304" s="48"/>
      <c r="AW304" s="48"/>
      <c r="AX304" s="48"/>
      <c r="AY304" s="48"/>
      <c r="AZ304" s="48"/>
      <c r="BA304" s="48"/>
      <c r="BB304" s="48"/>
      <c r="BC304" s="48"/>
      <c r="BD304" s="48"/>
      <c r="BE304" s="48"/>
      <c r="BF304" s="48"/>
      <c r="BG304" s="48"/>
      <c r="BH304" s="48"/>
      <c r="BI304" s="48"/>
      <c r="BJ304" s="48"/>
      <c r="BK304" s="48"/>
      <c r="BL304" s="48"/>
      <c r="BM304" s="48"/>
      <c r="BN304" s="48"/>
      <c r="BO304" s="48"/>
      <c r="BP304" s="48"/>
      <c r="BQ304" s="48"/>
      <c r="BR304" s="48"/>
      <c r="BS304" s="48"/>
      <c r="BT304" s="48"/>
      <c r="BU304" s="48"/>
      <c r="BV304" s="48"/>
      <c r="BW304" s="48"/>
      <c r="BX304" s="111"/>
    </row>
    <row r="305" spans="1:76">
      <c r="A305" s="37"/>
      <c r="B305" s="37"/>
      <c r="C305" s="37"/>
      <c r="D305" s="37"/>
      <c r="E305" s="37" t="s">
        <v>236</v>
      </c>
      <c r="F305" s="39"/>
      <c r="G305" s="59"/>
      <c r="H305" s="59"/>
      <c r="I305" s="59"/>
      <c r="J305" s="59"/>
      <c r="K305" s="59">
        <v>146</v>
      </c>
      <c r="L305" s="59">
        <v>137</v>
      </c>
      <c r="M305" s="59">
        <f>162+0</f>
        <v>162</v>
      </c>
      <c r="N305" s="59">
        <f>187+108</f>
        <v>295</v>
      </c>
      <c r="O305" s="36"/>
      <c r="P305" s="48"/>
      <c r="Q305" s="48"/>
      <c r="R305" s="48"/>
      <c r="S305" s="48"/>
      <c r="T305" s="48"/>
      <c r="U305" s="48"/>
      <c r="V305" s="48"/>
      <c r="W305" s="48"/>
      <c r="X305" s="48"/>
      <c r="Y305" s="48"/>
      <c r="Z305" s="48"/>
      <c r="AA305" s="48"/>
      <c r="AB305" s="48"/>
      <c r="AC305" s="48"/>
      <c r="AD305" s="48"/>
      <c r="AE305" s="48"/>
      <c r="AF305" s="48"/>
      <c r="AG305" s="48"/>
      <c r="AH305" s="48"/>
      <c r="AI305" s="48"/>
      <c r="AJ305" s="48"/>
      <c r="AK305" s="48"/>
      <c r="AL305" s="48"/>
      <c r="AM305" s="48"/>
      <c r="AN305" s="48"/>
      <c r="AO305" s="48"/>
      <c r="AP305" s="48"/>
      <c r="AQ305" s="48"/>
      <c r="AR305" s="48"/>
      <c r="AS305" s="48"/>
      <c r="AT305" s="48"/>
      <c r="AU305" s="48"/>
      <c r="AV305" s="48"/>
      <c r="AW305" s="48"/>
      <c r="AX305" s="48"/>
      <c r="AY305" s="48"/>
      <c r="AZ305" s="48"/>
      <c r="BA305" s="48"/>
      <c r="BB305" s="48"/>
      <c r="BC305" s="48"/>
      <c r="BD305" s="48"/>
      <c r="BE305" s="48"/>
      <c r="BF305" s="48"/>
      <c r="BG305" s="48"/>
      <c r="BH305" s="48"/>
      <c r="BI305" s="48"/>
      <c r="BJ305" s="48"/>
      <c r="BK305" s="48"/>
      <c r="BL305" s="48"/>
      <c r="BM305" s="48"/>
      <c r="BN305" s="48"/>
      <c r="BO305" s="48"/>
      <c r="BP305" s="48"/>
      <c r="BQ305" s="48"/>
      <c r="BR305" s="48"/>
      <c r="BS305" s="48"/>
      <c r="BT305" s="48"/>
      <c r="BU305" s="48"/>
      <c r="BV305" s="48"/>
      <c r="BW305" s="48"/>
      <c r="BX305" s="111"/>
    </row>
    <row r="306" spans="1:76">
      <c r="A306" s="37"/>
      <c r="B306" s="37"/>
      <c r="C306" s="37"/>
      <c r="D306" s="37" t="s">
        <v>2158</v>
      </c>
      <c r="E306" s="37"/>
      <c r="F306" s="39"/>
      <c r="G306" s="39">
        <f t="shared" ref="G306:N306" si="47">IF(AND(OR(ISTEXT(G307), ISBLANK(G307)),OR(ISTEXT(G312), ISBLANK(G312)),TRUE),"", +IF(ISTEXT(G307), 0,G307)-IF(ISTEXT(G312), 0,G312))</f>
        <v>4832</v>
      </c>
      <c r="H306" s="39">
        <f t="shared" si="47"/>
        <v>7877</v>
      </c>
      <c r="I306" s="39">
        <f t="shared" si="47"/>
        <v>7787</v>
      </c>
      <c r="J306" s="39">
        <f t="shared" si="47"/>
        <v>7889</v>
      </c>
      <c r="K306" s="39">
        <f t="shared" si="47"/>
        <v>7835</v>
      </c>
      <c r="L306" s="39">
        <f t="shared" si="47"/>
        <v>6911</v>
      </c>
      <c r="M306" s="39">
        <f t="shared" si="47"/>
        <v>7106</v>
      </c>
      <c r="N306" s="48">
        <f t="shared" si="47"/>
        <v>6997</v>
      </c>
      <c r="O306" s="36"/>
      <c r="P306" s="48"/>
      <c r="Q306" s="48"/>
      <c r="R306" s="48"/>
      <c r="S306" s="48"/>
      <c r="T306" s="48"/>
      <c r="U306" s="48"/>
      <c r="V306" s="48"/>
      <c r="W306" s="48"/>
      <c r="X306" s="48"/>
      <c r="Y306" s="48"/>
      <c r="Z306" s="48"/>
      <c r="AA306" s="48"/>
      <c r="AB306" s="48"/>
      <c r="AC306" s="48"/>
      <c r="AD306" s="48"/>
      <c r="AE306" s="48"/>
      <c r="AF306" s="48"/>
      <c r="AG306" s="48"/>
      <c r="AH306" s="48"/>
      <c r="AI306" s="48"/>
      <c r="AJ306" s="48"/>
      <c r="AK306" s="48"/>
      <c r="AL306" s="48"/>
      <c r="AM306" s="48"/>
      <c r="AN306" s="48"/>
      <c r="AO306" s="48"/>
      <c r="AP306" s="48"/>
      <c r="AQ306" s="48"/>
      <c r="AR306" s="48"/>
      <c r="AS306" s="48"/>
      <c r="AT306" s="48"/>
      <c r="AU306" s="48"/>
      <c r="AV306" s="48"/>
      <c r="AW306" s="48"/>
      <c r="AX306" s="48"/>
      <c r="AY306" s="48"/>
      <c r="AZ306" s="48"/>
      <c r="BA306" s="48"/>
      <c r="BB306" s="48"/>
      <c r="BC306" s="48"/>
      <c r="BD306" s="48"/>
      <c r="BE306" s="48"/>
      <c r="BF306" s="48"/>
      <c r="BG306" s="48"/>
      <c r="BH306" s="48"/>
      <c r="BI306" s="48"/>
      <c r="BJ306" s="48"/>
      <c r="BK306" s="48"/>
      <c r="BL306" s="48"/>
      <c r="BM306" s="48"/>
      <c r="BN306" s="48"/>
      <c r="BO306" s="48"/>
      <c r="BP306" s="48"/>
      <c r="BQ306" s="48"/>
      <c r="BR306" s="48"/>
      <c r="BS306" s="48"/>
      <c r="BT306" s="48"/>
      <c r="BU306" s="48"/>
      <c r="BV306" s="48"/>
      <c r="BW306" s="48"/>
      <c r="BX306" s="111"/>
    </row>
    <row r="307" spans="1:76">
      <c r="A307" s="37"/>
      <c r="B307" s="37"/>
      <c r="C307" s="37"/>
      <c r="D307" s="37"/>
      <c r="E307" s="37" t="s">
        <v>1502</v>
      </c>
      <c r="F307" s="39"/>
      <c r="G307" s="39">
        <f t="shared" ref="G307:N307" si="48">IF(AND(OR(ISTEXT(G308), ISBLANK(G308)),OR(ISTEXT(G309), ISBLANK(G309)),OR(ISTEXT(G310), ISBLANK(G310)),OR(ISTEXT(G311), ISBLANK(G311)),TRUE),"", +IF(ISTEXT(G308), 0,G308)+IF(ISTEXT(G309), 0,G309)+IF(ISTEXT(G310), 0,G310)+IF(ISTEXT(G311), 0,G311))</f>
        <v>5609</v>
      </c>
      <c r="H307" s="39">
        <f t="shared" si="48"/>
        <v>8776</v>
      </c>
      <c r="I307" s="39">
        <f t="shared" si="48"/>
        <v>8920</v>
      </c>
      <c r="J307" s="39">
        <f t="shared" si="48"/>
        <v>9376</v>
      </c>
      <c r="K307" s="39">
        <f t="shared" si="48"/>
        <v>9675</v>
      </c>
      <c r="L307" s="39">
        <f t="shared" si="48"/>
        <v>8999</v>
      </c>
      <c r="M307" s="39">
        <f t="shared" si="48"/>
        <v>9686</v>
      </c>
      <c r="N307" s="48">
        <f t="shared" si="48"/>
        <v>9971</v>
      </c>
      <c r="O307" s="36"/>
      <c r="P307" s="48"/>
      <c r="Q307" s="48"/>
      <c r="R307" s="48"/>
      <c r="S307" s="48"/>
      <c r="T307" s="48"/>
      <c r="U307" s="48"/>
      <c r="V307" s="48"/>
      <c r="W307" s="48"/>
      <c r="X307" s="48"/>
      <c r="Y307" s="48"/>
      <c r="Z307" s="48"/>
      <c r="AA307" s="48"/>
      <c r="AB307" s="48"/>
      <c r="AC307" s="48"/>
      <c r="AD307" s="48"/>
      <c r="AE307" s="48"/>
      <c r="AF307" s="48"/>
      <c r="AG307" s="48"/>
      <c r="AH307" s="48"/>
      <c r="AI307" s="48"/>
      <c r="AJ307" s="48"/>
      <c r="AK307" s="48"/>
      <c r="AL307" s="48"/>
      <c r="AM307" s="48"/>
      <c r="AN307" s="48"/>
      <c r="AO307" s="48"/>
      <c r="AP307" s="48"/>
      <c r="AQ307" s="48"/>
      <c r="AR307" s="48"/>
      <c r="AS307" s="48"/>
      <c r="AT307" s="48"/>
      <c r="AU307" s="48"/>
      <c r="AV307" s="48"/>
      <c r="AW307" s="48"/>
      <c r="AX307" s="48"/>
      <c r="AY307" s="48"/>
      <c r="AZ307" s="48"/>
      <c r="BA307" s="48"/>
      <c r="BB307" s="48"/>
      <c r="BC307" s="48"/>
      <c r="BD307" s="48"/>
      <c r="BE307" s="48"/>
      <c r="BF307" s="48"/>
      <c r="BG307" s="48"/>
      <c r="BH307" s="48"/>
      <c r="BI307" s="48"/>
      <c r="BJ307" s="48"/>
      <c r="BK307" s="48"/>
      <c r="BL307" s="48"/>
      <c r="BM307" s="48"/>
      <c r="BN307" s="48"/>
      <c r="BO307" s="48"/>
      <c r="BP307" s="48"/>
      <c r="BQ307" s="48"/>
      <c r="BR307" s="48"/>
      <c r="BS307" s="48"/>
      <c r="BT307" s="48"/>
      <c r="BU307" s="48"/>
      <c r="BV307" s="48"/>
      <c r="BW307" s="48"/>
      <c r="BX307" s="111"/>
    </row>
    <row r="308" spans="1:76">
      <c r="A308" s="37"/>
      <c r="B308" s="37"/>
      <c r="C308" s="37"/>
      <c r="D308" s="37"/>
      <c r="E308" s="37"/>
      <c r="F308" s="39" t="s">
        <v>1471</v>
      </c>
      <c r="G308" s="59">
        <v>2823</v>
      </c>
      <c r="H308" s="59">
        <v>6068</v>
      </c>
      <c r="I308" s="59">
        <v>6066</v>
      </c>
      <c r="J308" s="59">
        <v>6265</v>
      </c>
      <c r="K308" s="59">
        <v>6434</v>
      </c>
      <c r="L308" s="59">
        <v>5849</v>
      </c>
      <c r="M308" s="59">
        <v>6193</v>
      </c>
      <c r="N308" s="59">
        <v>6350</v>
      </c>
      <c r="O308" s="36"/>
      <c r="P308" s="48"/>
      <c r="Q308" s="48"/>
      <c r="R308" s="48"/>
      <c r="S308" s="48"/>
      <c r="T308" s="48"/>
      <c r="U308" s="48"/>
      <c r="V308" s="48"/>
      <c r="W308" s="48"/>
      <c r="X308" s="48"/>
      <c r="Y308" s="48"/>
      <c r="Z308" s="48"/>
      <c r="AA308" s="48"/>
      <c r="AB308" s="48"/>
      <c r="AC308" s="48"/>
      <c r="AD308" s="48"/>
      <c r="AE308" s="48"/>
      <c r="AF308" s="48"/>
      <c r="AG308" s="48"/>
      <c r="AH308" s="48"/>
      <c r="AI308" s="48"/>
      <c r="AJ308" s="48"/>
      <c r="AK308" s="48"/>
      <c r="AL308" s="48"/>
      <c r="AM308" s="48"/>
      <c r="AN308" s="48"/>
      <c r="AO308" s="48"/>
      <c r="AP308" s="48"/>
      <c r="AQ308" s="48"/>
      <c r="AR308" s="48"/>
      <c r="AS308" s="48"/>
      <c r="AT308" s="48"/>
      <c r="AU308" s="48"/>
      <c r="AV308" s="48"/>
      <c r="AW308" s="48"/>
      <c r="AX308" s="48"/>
      <c r="AY308" s="48"/>
      <c r="AZ308" s="48"/>
      <c r="BA308" s="48"/>
      <c r="BB308" s="48"/>
      <c r="BC308" s="48"/>
      <c r="BD308" s="48"/>
      <c r="BE308" s="48"/>
      <c r="BF308" s="48"/>
      <c r="BG308" s="48"/>
      <c r="BH308" s="48"/>
      <c r="BI308" s="48"/>
      <c r="BJ308" s="48"/>
      <c r="BK308" s="48"/>
      <c r="BL308" s="48"/>
      <c r="BM308" s="48"/>
      <c r="BN308" s="48"/>
      <c r="BO308" s="48"/>
      <c r="BP308" s="48"/>
      <c r="BQ308" s="48"/>
      <c r="BR308" s="48"/>
      <c r="BS308" s="48"/>
      <c r="BT308" s="48"/>
      <c r="BU308" s="48"/>
      <c r="BV308" s="48"/>
      <c r="BW308" s="48"/>
      <c r="BX308" s="111"/>
    </row>
    <row r="309" spans="1:76">
      <c r="A309" s="37"/>
      <c r="B309" s="37"/>
      <c r="C309" s="37"/>
      <c r="D309" s="37"/>
      <c r="E309" s="37"/>
      <c r="F309" s="39" t="s">
        <v>1503</v>
      </c>
      <c r="G309" s="59">
        <v>1009</v>
      </c>
      <c r="H309" s="59">
        <v>1249</v>
      </c>
      <c r="I309" s="59">
        <v>1345</v>
      </c>
      <c r="J309" s="59">
        <v>1603</v>
      </c>
      <c r="K309" s="59">
        <v>1727</v>
      </c>
      <c r="L309" s="59">
        <v>1735</v>
      </c>
      <c r="M309" s="59">
        <v>1942</v>
      </c>
      <c r="N309" s="59">
        <v>2095</v>
      </c>
      <c r="O309" s="36"/>
      <c r="P309" s="48"/>
      <c r="Q309" s="48"/>
      <c r="R309" s="48"/>
      <c r="S309" s="48"/>
      <c r="T309" s="48"/>
      <c r="U309" s="48"/>
      <c r="V309" s="48"/>
      <c r="W309" s="48"/>
      <c r="X309" s="48"/>
      <c r="Y309" s="48"/>
      <c r="Z309" s="48"/>
      <c r="AA309" s="48"/>
      <c r="AB309" s="48"/>
      <c r="AC309" s="48"/>
      <c r="AD309" s="48"/>
      <c r="AE309" s="48"/>
      <c r="AF309" s="48"/>
      <c r="AG309" s="48"/>
      <c r="AH309" s="48"/>
      <c r="AI309" s="48"/>
      <c r="AJ309" s="48"/>
      <c r="AK309" s="48"/>
      <c r="AL309" s="48"/>
      <c r="AM309" s="48"/>
      <c r="AN309" s="48"/>
      <c r="AO309" s="48"/>
      <c r="AP309" s="48"/>
      <c r="AQ309" s="48"/>
      <c r="AR309" s="48"/>
      <c r="AS309" s="48"/>
      <c r="AT309" s="48"/>
      <c r="AU309" s="48"/>
      <c r="AV309" s="48"/>
      <c r="AW309" s="48"/>
      <c r="AX309" s="48"/>
      <c r="AY309" s="48"/>
      <c r="AZ309" s="48"/>
      <c r="BA309" s="48"/>
      <c r="BB309" s="48"/>
      <c r="BC309" s="48"/>
      <c r="BD309" s="48"/>
      <c r="BE309" s="48"/>
      <c r="BF309" s="48"/>
      <c r="BG309" s="48"/>
      <c r="BH309" s="48"/>
      <c r="BI309" s="48"/>
      <c r="BJ309" s="48"/>
      <c r="BK309" s="48"/>
      <c r="BL309" s="48"/>
      <c r="BM309" s="48"/>
      <c r="BN309" s="48"/>
      <c r="BO309" s="48"/>
      <c r="BP309" s="48"/>
      <c r="BQ309" s="48"/>
      <c r="BR309" s="48"/>
      <c r="BS309" s="48"/>
      <c r="BT309" s="48"/>
      <c r="BU309" s="48"/>
      <c r="BV309" s="48"/>
      <c r="BW309" s="48"/>
      <c r="BX309" s="111"/>
    </row>
    <row r="310" spans="1:76">
      <c r="A310" s="37"/>
      <c r="B310" s="37"/>
      <c r="C310" s="37"/>
      <c r="D310" s="37"/>
      <c r="E310" s="37"/>
      <c r="F310" s="39" t="s">
        <v>1472</v>
      </c>
      <c r="G310" s="59">
        <v>1178</v>
      </c>
      <c r="H310" s="59">
        <v>1269</v>
      </c>
      <c r="I310" s="59">
        <v>1416</v>
      </c>
      <c r="J310" s="59">
        <v>1395</v>
      </c>
      <c r="K310" s="59">
        <v>1354</v>
      </c>
      <c r="L310" s="59">
        <v>1256</v>
      </c>
      <c r="M310" s="59">
        <v>1334</v>
      </c>
      <c r="N310" s="59">
        <v>1337</v>
      </c>
      <c r="O310" s="36"/>
      <c r="P310" s="48"/>
      <c r="Q310" s="48"/>
      <c r="R310" s="48"/>
      <c r="S310" s="48"/>
      <c r="T310" s="48"/>
      <c r="U310" s="48"/>
      <c r="V310" s="48"/>
      <c r="W310" s="48"/>
      <c r="X310" s="48"/>
      <c r="Y310" s="48"/>
      <c r="Z310" s="48"/>
      <c r="AA310" s="48"/>
      <c r="AB310" s="48"/>
      <c r="AC310" s="48"/>
      <c r="AD310" s="48"/>
      <c r="AE310" s="48"/>
      <c r="AF310" s="48"/>
      <c r="AG310" s="48"/>
      <c r="AH310" s="48"/>
      <c r="AI310" s="48"/>
      <c r="AJ310" s="48"/>
      <c r="AK310" s="48"/>
      <c r="AL310" s="48"/>
      <c r="AM310" s="48"/>
      <c r="AN310" s="48"/>
      <c r="AO310" s="48"/>
      <c r="AP310" s="48"/>
      <c r="AQ310" s="48"/>
      <c r="AR310" s="48"/>
      <c r="AS310" s="48"/>
      <c r="AT310" s="48"/>
      <c r="AU310" s="48"/>
      <c r="AV310" s="48"/>
      <c r="AW310" s="48"/>
      <c r="AX310" s="48"/>
      <c r="AY310" s="48"/>
      <c r="AZ310" s="48"/>
      <c r="BA310" s="48"/>
      <c r="BB310" s="48"/>
      <c r="BC310" s="48"/>
      <c r="BD310" s="48"/>
      <c r="BE310" s="48"/>
      <c r="BF310" s="48"/>
      <c r="BG310" s="48"/>
      <c r="BH310" s="48"/>
      <c r="BI310" s="48"/>
      <c r="BJ310" s="48"/>
      <c r="BK310" s="48"/>
      <c r="BL310" s="48"/>
      <c r="BM310" s="48"/>
      <c r="BN310" s="48"/>
      <c r="BO310" s="48"/>
      <c r="BP310" s="48"/>
      <c r="BQ310" s="48"/>
      <c r="BR310" s="48"/>
      <c r="BS310" s="48"/>
      <c r="BT310" s="48"/>
      <c r="BU310" s="48"/>
      <c r="BV310" s="48"/>
      <c r="BW310" s="48"/>
      <c r="BX310" s="111"/>
    </row>
    <row r="311" spans="1:76">
      <c r="A311" s="37"/>
      <c r="B311" s="37"/>
      <c r="C311" s="37"/>
      <c r="D311" s="37"/>
      <c r="E311" s="37"/>
      <c r="F311" s="39" t="s">
        <v>1726</v>
      </c>
      <c r="G311" s="59">
        <v>599</v>
      </c>
      <c r="H311" s="59">
        <v>190</v>
      </c>
      <c r="I311" s="59">
        <v>93</v>
      </c>
      <c r="J311" s="59">
        <v>113</v>
      </c>
      <c r="K311" s="59">
        <v>160</v>
      </c>
      <c r="L311" s="59">
        <v>159</v>
      </c>
      <c r="M311" s="59">
        <v>217</v>
      </c>
      <c r="N311" s="59">
        <v>189</v>
      </c>
      <c r="O311" s="36"/>
      <c r="P311" s="48"/>
      <c r="Q311" s="48"/>
      <c r="R311" s="48"/>
      <c r="S311" s="48"/>
      <c r="T311" s="48"/>
      <c r="U311" s="48"/>
      <c r="V311" s="48"/>
      <c r="W311" s="48"/>
      <c r="X311" s="48"/>
      <c r="Y311" s="48"/>
      <c r="Z311" s="48"/>
      <c r="AA311" s="48"/>
      <c r="AB311" s="48"/>
      <c r="AC311" s="48"/>
      <c r="AD311" s="48"/>
      <c r="AE311" s="48"/>
      <c r="AF311" s="48"/>
      <c r="AG311" s="48"/>
      <c r="AH311" s="48"/>
      <c r="AI311" s="48"/>
      <c r="AJ311" s="48"/>
      <c r="AK311" s="48"/>
      <c r="AL311" s="48"/>
      <c r="AM311" s="48"/>
      <c r="AN311" s="48"/>
      <c r="AO311" s="48"/>
      <c r="AP311" s="48"/>
      <c r="AQ311" s="48"/>
      <c r="AR311" s="48"/>
      <c r="AS311" s="48"/>
      <c r="AT311" s="48"/>
      <c r="AU311" s="48"/>
      <c r="AV311" s="48"/>
      <c r="AW311" s="48"/>
      <c r="AX311" s="48"/>
      <c r="AY311" s="48"/>
      <c r="AZ311" s="48"/>
      <c r="BA311" s="48"/>
      <c r="BB311" s="48"/>
      <c r="BC311" s="48"/>
      <c r="BD311" s="48"/>
      <c r="BE311" s="48"/>
      <c r="BF311" s="48"/>
      <c r="BG311" s="48"/>
      <c r="BH311" s="48"/>
      <c r="BI311" s="48"/>
      <c r="BJ311" s="48"/>
      <c r="BK311" s="48"/>
      <c r="BL311" s="48"/>
      <c r="BM311" s="48"/>
      <c r="BN311" s="48"/>
      <c r="BO311" s="48"/>
      <c r="BP311" s="48"/>
      <c r="BQ311" s="48"/>
      <c r="BR311" s="48"/>
      <c r="BS311" s="48"/>
      <c r="BT311" s="48"/>
      <c r="BU311" s="48"/>
      <c r="BV311" s="48"/>
      <c r="BW311" s="48"/>
      <c r="BX311" s="111"/>
    </row>
    <row r="312" spans="1:76">
      <c r="A312" s="37"/>
      <c r="B312" s="37"/>
      <c r="C312" s="37"/>
      <c r="D312" s="37"/>
      <c r="E312" s="37" t="s">
        <v>1600</v>
      </c>
      <c r="F312" s="39"/>
      <c r="G312" s="59">
        <v>777</v>
      </c>
      <c r="H312" s="59">
        <v>899</v>
      </c>
      <c r="I312" s="59">
        <v>1133</v>
      </c>
      <c r="J312" s="59">
        <v>1487</v>
      </c>
      <c r="K312" s="59">
        <v>1840</v>
      </c>
      <c r="L312" s="59">
        <v>2088</v>
      </c>
      <c r="M312" s="59">
        <v>2580</v>
      </c>
      <c r="N312" s="59">
        <v>2974</v>
      </c>
      <c r="O312" s="36"/>
      <c r="P312" s="48"/>
      <c r="Q312" s="48"/>
      <c r="R312" s="48"/>
      <c r="S312" s="48"/>
      <c r="T312" s="48"/>
      <c r="U312" s="48"/>
      <c r="V312" s="48"/>
      <c r="W312" s="48"/>
      <c r="X312" s="48"/>
      <c r="Y312" s="48"/>
      <c r="Z312" s="48"/>
      <c r="AA312" s="48"/>
      <c r="AB312" s="48"/>
      <c r="AC312" s="48"/>
      <c r="AD312" s="48"/>
      <c r="AE312" s="48"/>
      <c r="AF312" s="48"/>
      <c r="AG312" s="48"/>
      <c r="AH312" s="48"/>
      <c r="AI312" s="48"/>
      <c r="AJ312" s="48"/>
      <c r="AK312" s="48"/>
      <c r="AL312" s="48"/>
      <c r="AM312" s="48"/>
      <c r="AN312" s="48"/>
      <c r="AO312" s="48"/>
      <c r="AP312" s="48"/>
      <c r="AQ312" s="48"/>
      <c r="AR312" s="48"/>
      <c r="AS312" s="48"/>
      <c r="AT312" s="48"/>
      <c r="AU312" s="48"/>
      <c r="AV312" s="48"/>
      <c r="AW312" s="48"/>
      <c r="AX312" s="48"/>
      <c r="AY312" s="48"/>
      <c r="AZ312" s="48"/>
      <c r="BA312" s="48"/>
      <c r="BB312" s="48"/>
      <c r="BC312" s="48"/>
      <c r="BD312" s="48"/>
      <c r="BE312" s="48"/>
      <c r="BF312" s="48"/>
      <c r="BG312" s="48"/>
      <c r="BH312" s="48"/>
      <c r="BI312" s="48"/>
      <c r="BJ312" s="48"/>
      <c r="BK312" s="48"/>
      <c r="BL312" s="48"/>
      <c r="BM312" s="48"/>
      <c r="BN312" s="48"/>
      <c r="BO312" s="48"/>
      <c r="BP312" s="48"/>
      <c r="BQ312" s="48"/>
      <c r="BR312" s="48"/>
      <c r="BS312" s="48"/>
      <c r="BT312" s="48"/>
      <c r="BU312" s="48"/>
      <c r="BV312" s="48"/>
      <c r="BW312" s="48"/>
      <c r="BX312" s="111"/>
    </row>
    <row r="313" spans="1:76">
      <c r="A313" s="37"/>
      <c r="B313" s="37"/>
      <c r="C313" s="37"/>
      <c r="D313" s="37" t="s">
        <v>2141</v>
      </c>
      <c r="E313" s="37"/>
      <c r="F313" s="39"/>
      <c r="G313" s="39">
        <f>IF(AND(OR(ISTEXT(G314), ISBLANK(G314)),OR(ISTEXT(G315), ISBLANK(G315)),TRUE),"", +IF(ISTEXT(G314), 0,G314)-IF(ISTEXT(G315), 0,G315))</f>
        <v>1257</v>
      </c>
      <c r="H313" s="39">
        <f>IF(AND(OR(ISTEXT(H314), ISBLANK(H314)),OR(ISTEXT(H315), ISBLANK(H315)),TRUE),"", +IF(ISTEXT(H314), 0,H314)-IF(ISTEXT(H315), 0,H315))</f>
        <v>2714</v>
      </c>
      <c r="I313" s="39">
        <f>IF(AND(OR(ISTEXT(I314), ISBLANK(I314)),OR(ISTEXT(I315), ISBLANK(I315)),TRUE),"", +IF(ISTEXT(I314), 0,I314)-IF(ISTEXT(I315), 0,I315))</f>
        <v>2872</v>
      </c>
      <c r="J313" s="39">
        <f>IF(AND(OR(ISTEXT(J314), ISBLANK(J314)),OR(ISTEXT(J315), ISBLANK(J315)),TRUE),"", +IF(ISTEXT(J314), 0,J314)-IF(ISTEXT(J315), 0,J315))</f>
        <v>2512</v>
      </c>
      <c r="K313" s="39">
        <f>IF(AND(OR(ISTEXT(K314), ISBLANK(K314)),OR(ISTEXT(K315), ISBLANK(K315)),TRUE),"", +IF(ISTEXT(K314), 0,K314)-IF(ISTEXT(K315), 0,K315))</f>
        <v>2466</v>
      </c>
      <c r="L313" s="63">
        <v>2200</v>
      </c>
      <c r="M313" s="63">
        <v>2110</v>
      </c>
      <c r="N313" s="65">
        <v>2157</v>
      </c>
      <c r="O313" s="36"/>
      <c r="P313" s="48"/>
      <c r="Q313" s="48"/>
      <c r="R313" s="48"/>
      <c r="S313" s="48"/>
      <c r="T313" s="48"/>
      <c r="U313" s="48"/>
      <c r="V313" s="48"/>
      <c r="W313" s="48"/>
      <c r="X313" s="48"/>
      <c r="Y313" s="48"/>
      <c r="Z313" s="48"/>
      <c r="AA313" s="48"/>
      <c r="AB313" s="48"/>
      <c r="AC313" s="48"/>
      <c r="AD313" s="48"/>
      <c r="AE313" s="48"/>
      <c r="AF313" s="48"/>
      <c r="AG313" s="48"/>
      <c r="AH313" s="48"/>
      <c r="AI313" s="48"/>
      <c r="AJ313" s="48"/>
      <c r="AK313" s="48"/>
      <c r="AL313" s="48"/>
      <c r="AM313" s="48"/>
      <c r="AN313" s="48"/>
      <c r="AO313" s="48"/>
      <c r="AP313" s="48"/>
      <c r="AQ313" s="48"/>
      <c r="AR313" s="48"/>
      <c r="AS313" s="48"/>
      <c r="AT313" s="48"/>
      <c r="AU313" s="48"/>
      <c r="AV313" s="48"/>
      <c r="AW313" s="48"/>
      <c r="AX313" s="48"/>
      <c r="AY313" s="48"/>
      <c r="AZ313" s="48"/>
      <c r="BA313" s="48"/>
      <c r="BB313" s="48"/>
      <c r="BC313" s="48"/>
      <c r="BD313" s="48"/>
      <c r="BE313" s="48"/>
      <c r="BF313" s="48"/>
      <c r="BG313" s="48"/>
      <c r="BH313" s="48"/>
      <c r="BI313" s="48"/>
      <c r="BJ313" s="48"/>
      <c r="BK313" s="48"/>
      <c r="BL313" s="48"/>
      <c r="BM313" s="48"/>
      <c r="BN313" s="48"/>
      <c r="BO313" s="48"/>
      <c r="BP313" s="48"/>
      <c r="BQ313" s="48"/>
      <c r="BR313" s="48"/>
      <c r="BS313" s="48"/>
      <c r="BT313" s="48"/>
      <c r="BU313" s="48"/>
      <c r="BV313" s="48"/>
      <c r="BW313" s="48"/>
      <c r="BX313" s="111"/>
    </row>
    <row r="314" spans="1:76">
      <c r="A314" s="37"/>
      <c r="B314" s="37"/>
      <c r="C314" s="37"/>
      <c r="D314" s="37"/>
      <c r="E314" s="37" t="s">
        <v>1601</v>
      </c>
      <c r="F314" s="39"/>
      <c r="G314" s="59">
        <f>1257+G315</f>
        <v>1357</v>
      </c>
      <c r="H314" s="59">
        <f>2714+H315</f>
        <v>2799</v>
      </c>
      <c r="I314" s="59">
        <f>2872+I315</f>
        <v>3026</v>
      </c>
      <c r="J314" s="59">
        <v>2761</v>
      </c>
      <c r="K314" s="59">
        <f>2466+K315</f>
        <v>2737</v>
      </c>
      <c r="L314" s="59"/>
      <c r="M314" s="59"/>
      <c r="N314" s="59"/>
      <c r="O314" s="36"/>
      <c r="P314" s="48"/>
      <c r="Q314" s="48"/>
      <c r="R314" s="48"/>
      <c r="S314" s="48"/>
      <c r="T314" s="48"/>
      <c r="U314" s="48"/>
      <c r="V314" s="48"/>
      <c r="W314" s="48"/>
      <c r="X314" s="48"/>
      <c r="Y314" s="48"/>
      <c r="Z314" s="48"/>
      <c r="AA314" s="48"/>
      <c r="AB314" s="48"/>
      <c r="AC314" s="48"/>
      <c r="AD314" s="48"/>
      <c r="AE314" s="48"/>
      <c r="AF314" s="48"/>
      <c r="AG314" s="48"/>
      <c r="AH314" s="48"/>
      <c r="AI314" s="48"/>
      <c r="AJ314" s="48"/>
      <c r="AK314" s="48"/>
      <c r="AL314" s="48"/>
      <c r="AM314" s="48"/>
      <c r="AN314" s="48"/>
      <c r="AO314" s="48"/>
      <c r="AP314" s="48"/>
      <c r="AQ314" s="48"/>
      <c r="AR314" s="48"/>
      <c r="AS314" s="48"/>
      <c r="AT314" s="48"/>
      <c r="AU314" s="48"/>
      <c r="AV314" s="48"/>
      <c r="AW314" s="48"/>
      <c r="AX314" s="48"/>
      <c r="AY314" s="48"/>
      <c r="AZ314" s="48"/>
      <c r="BA314" s="48"/>
      <c r="BB314" s="48"/>
      <c r="BC314" s="48"/>
      <c r="BD314" s="48"/>
      <c r="BE314" s="48"/>
      <c r="BF314" s="48"/>
      <c r="BG314" s="48"/>
      <c r="BH314" s="48"/>
      <c r="BI314" s="48"/>
      <c r="BJ314" s="48"/>
      <c r="BK314" s="48"/>
      <c r="BL314" s="48"/>
      <c r="BM314" s="48"/>
      <c r="BN314" s="48"/>
      <c r="BO314" s="48"/>
      <c r="BP314" s="48"/>
      <c r="BQ314" s="48"/>
      <c r="BR314" s="48"/>
      <c r="BS314" s="48"/>
      <c r="BT314" s="48"/>
      <c r="BU314" s="48"/>
      <c r="BV314" s="48"/>
      <c r="BW314" s="48"/>
      <c r="BX314" s="111"/>
    </row>
    <row r="315" spans="1:76">
      <c r="A315" s="37"/>
      <c r="B315" s="37"/>
      <c r="C315" s="37"/>
      <c r="D315" s="37"/>
      <c r="E315" s="37" t="s">
        <v>441</v>
      </c>
      <c r="F315" s="39"/>
      <c r="G315" s="59">
        <v>100</v>
      </c>
      <c r="H315" s="59">
        <v>85</v>
      </c>
      <c r="I315" s="59">
        <v>154</v>
      </c>
      <c r="J315" s="59">
        <v>249</v>
      </c>
      <c r="K315" s="59">
        <f>338-67</f>
        <v>271</v>
      </c>
      <c r="L315" s="59"/>
      <c r="M315" s="59"/>
      <c r="N315" s="59"/>
      <c r="O315" s="36"/>
      <c r="P315" s="48"/>
      <c r="Q315" s="48"/>
      <c r="R315" s="48"/>
      <c r="S315" s="48"/>
      <c r="T315" s="48"/>
      <c r="U315" s="48"/>
      <c r="V315" s="48"/>
      <c r="W315" s="48"/>
      <c r="X315" s="48"/>
      <c r="Y315" s="48"/>
      <c r="Z315" s="48"/>
      <c r="AA315" s="48"/>
      <c r="AB315" s="48"/>
      <c r="AC315" s="48"/>
      <c r="AD315" s="48"/>
      <c r="AE315" s="48"/>
      <c r="AF315" s="48"/>
      <c r="AG315" s="48"/>
      <c r="AH315" s="48"/>
      <c r="AI315" s="48"/>
      <c r="AJ315" s="48"/>
      <c r="AK315" s="48"/>
      <c r="AL315" s="48"/>
      <c r="AM315" s="48"/>
      <c r="AN315" s="48"/>
      <c r="AO315" s="48"/>
      <c r="AP315" s="48"/>
      <c r="AQ315" s="48"/>
      <c r="AR315" s="48"/>
      <c r="AS315" s="48"/>
      <c r="AT315" s="48"/>
      <c r="AU315" s="48"/>
      <c r="AV315" s="48"/>
      <c r="AW315" s="48"/>
      <c r="AX315" s="48"/>
      <c r="AY315" s="48"/>
      <c r="AZ315" s="48"/>
      <c r="BA315" s="48"/>
      <c r="BB315" s="48"/>
      <c r="BC315" s="48"/>
      <c r="BD315" s="48"/>
      <c r="BE315" s="48"/>
      <c r="BF315" s="48"/>
      <c r="BG315" s="48"/>
      <c r="BH315" s="48"/>
      <c r="BI315" s="48"/>
      <c r="BJ315" s="48"/>
      <c r="BK315" s="48"/>
      <c r="BL315" s="48"/>
      <c r="BM315" s="48"/>
      <c r="BN315" s="48"/>
      <c r="BO315" s="48"/>
      <c r="BP315" s="48"/>
      <c r="BQ315" s="48"/>
      <c r="BR315" s="48"/>
      <c r="BS315" s="48"/>
      <c r="BT315" s="48"/>
      <c r="BU315" s="48"/>
      <c r="BV315" s="48"/>
      <c r="BW315" s="48"/>
      <c r="BX315" s="111"/>
    </row>
    <row r="316" spans="1:76">
      <c r="A316" s="37"/>
      <c r="B316" s="37"/>
      <c r="C316" s="37"/>
      <c r="D316" s="37" t="s">
        <v>219</v>
      </c>
      <c r="E316" s="37"/>
      <c r="F316" s="39"/>
      <c r="G316" s="39" t="str">
        <f t="shared" ref="G316:N316" si="49">IF(AND(OR(ISTEXT(G317), ISBLANK(G317)),OR(ISTEXT(G318), ISBLANK(G318)),TRUE),"", +IF(ISTEXT(G317), 0,G317)+IF(ISTEXT(G318), 0,G318))</f>
        <v/>
      </c>
      <c r="H316" s="39" t="str">
        <f t="shared" si="49"/>
        <v/>
      </c>
      <c r="I316" s="39" t="str">
        <f t="shared" si="49"/>
        <v/>
      </c>
      <c r="J316" s="39">
        <f t="shared" si="49"/>
        <v>369</v>
      </c>
      <c r="K316" s="39">
        <f t="shared" si="49"/>
        <v>359</v>
      </c>
      <c r="L316" s="39">
        <f t="shared" si="49"/>
        <v>370</v>
      </c>
      <c r="M316" s="39">
        <f t="shared" si="49"/>
        <v>378</v>
      </c>
      <c r="N316" s="48">
        <f t="shared" si="49"/>
        <v>387</v>
      </c>
      <c r="O316" s="36"/>
      <c r="P316" s="48"/>
      <c r="Q316" s="48"/>
      <c r="R316" s="48"/>
      <c r="S316" s="48"/>
      <c r="T316" s="48"/>
      <c r="U316" s="48"/>
      <c r="V316" s="48"/>
      <c r="W316" s="48"/>
      <c r="X316" s="48"/>
      <c r="Y316" s="48"/>
      <c r="Z316" s="48"/>
      <c r="AA316" s="48"/>
      <c r="AB316" s="48"/>
      <c r="AC316" s="48"/>
      <c r="AD316" s="48"/>
      <c r="AE316" s="48"/>
      <c r="AF316" s="48"/>
      <c r="AG316" s="48"/>
      <c r="AH316" s="48"/>
      <c r="AI316" s="48"/>
      <c r="AJ316" s="48"/>
      <c r="AK316" s="48"/>
      <c r="AL316" s="48"/>
      <c r="AM316" s="48"/>
      <c r="AN316" s="48"/>
      <c r="AO316" s="48"/>
      <c r="AP316" s="48"/>
      <c r="AQ316" s="48"/>
      <c r="AR316" s="48"/>
      <c r="AS316" s="48"/>
      <c r="AT316" s="48"/>
      <c r="AU316" s="48"/>
      <c r="AV316" s="48"/>
      <c r="AW316" s="48"/>
      <c r="AX316" s="48"/>
      <c r="AY316" s="48"/>
      <c r="AZ316" s="48"/>
      <c r="BA316" s="48"/>
      <c r="BB316" s="48"/>
      <c r="BC316" s="48"/>
      <c r="BD316" s="48"/>
      <c r="BE316" s="48"/>
      <c r="BF316" s="48"/>
      <c r="BG316" s="48"/>
      <c r="BH316" s="48"/>
      <c r="BI316" s="48"/>
      <c r="BJ316" s="48"/>
      <c r="BK316" s="48"/>
      <c r="BL316" s="48"/>
      <c r="BM316" s="48"/>
      <c r="BN316" s="48"/>
      <c r="BO316" s="48"/>
      <c r="BP316" s="48"/>
      <c r="BQ316" s="48"/>
      <c r="BR316" s="48"/>
      <c r="BS316" s="48"/>
      <c r="BT316" s="48"/>
      <c r="BU316" s="48"/>
      <c r="BV316" s="48"/>
      <c r="BW316" s="48"/>
      <c r="BX316" s="111"/>
    </row>
    <row r="317" spans="1:76">
      <c r="A317" s="37"/>
      <c r="B317" s="37"/>
      <c r="C317" s="37"/>
      <c r="D317" s="37"/>
      <c r="E317" s="37" t="s">
        <v>220</v>
      </c>
      <c r="F317" s="39"/>
      <c r="G317" s="59"/>
      <c r="H317" s="59"/>
      <c r="I317" s="59"/>
      <c r="J317" s="59">
        <f>2881-J313-J318</f>
        <v>143</v>
      </c>
      <c r="K317" s="59">
        <f>359-K318</f>
        <v>133</v>
      </c>
      <c r="L317" s="59">
        <f>370-L318</f>
        <v>144</v>
      </c>
      <c r="M317" s="59">
        <f>378-M318</f>
        <v>152</v>
      </c>
      <c r="N317" s="60">
        <f>387-N318</f>
        <v>155</v>
      </c>
      <c r="O317" s="36"/>
      <c r="P317" s="48"/>
      <c r="Q317" s="48"/>
      <c r="R317" s="48"/>
      <c r="S317" s="48"/>
      <c r="T317" s="48"/>
      <c r="U317" s="48"/>
      <c r="V317" s="48"/>
      <c r="W317" s="48"/>
      <c r="X317" s="48"/>
      <c r="Y317" s="48"/>
      <c r="Z317" s="48"/>
      <c r="AA317" s="48"/>
      <c r="AB317" s="48"/>
      <c r="AC317" s="48"/>
      <c r="AD317" s="48"/>
      <c r="AE317" s="48"/>
      <c r="AF317" s="48"/>
      <c r="AG317" s="48"/>
      <c r="AH317" s="48"/>
      <c r="AI317" s="48"/>
      <c r="AJ317" s="48"/>
      <c r="AK317" s="48"/>
      <c r="AL317" s="48"/>
      <c r="AM317" s="48"/>
      <c r="AN317" s="48"/>
      <c r="AO317" s="48"/>
      <c r="AP317" s="48"/>
      <c r="AQ317" s="48"/>
      <c r="AR317" s="48"/>
      <c r="AS317" s="48"/>
      <c r="AT317" s="48"/>
      <c r="AU317" s="48"/>
      <c r="AV317" s="48"/>
      <c r="AW317" s="48"/>
      <c r="AX317" s="48"/>
      <c r="AY317" s="48"/>
      <c r="AZ317" s="48"/>
      <c r="BA317" s="48"/>
      <c r="BB317" s="48"/>
      <c r="BC317" s="48"/>
      <c r="BD317" s="48"/>
      <c r="BE317" s="48"/>
      <c r="BF317" s="48"/>
      <c r="BG317" s="48"/>
      <c r="BH317" s="48"/>
      <c r="BI317" s="48"/>
      <c r="BJ317" s="48"/>
      <c r="BK317" s="48"/>
      <c r="BL317" s="48"/>
      <c r="BM317" s="48"/>
      <c r="BN317" s="48"/>
      <c r="BO317" s="48"/>
      <c r="BP317" s="48"/>
      <c r="BQ317" s="48"/>
      <c r="BR317" s="48"/>
      <c r="BS317" s="48"/>
      <c r="BT317" s="48"/>
      <c r="BU317" s="48"/>
      <c r="BV317" s="48"/>
      <c r="BW317" s="48"/>
      <c r="BX317" s="111"/>
    </row>
    <row r="318" spans="1:76">
      <c r="A318" s="37"/>
      <c r="B318" s="37"/>
      <c r="C318" s="37"/>
      <c r="D318" s="37"/>
      <c r="E318" s="37" t="s">
        <v>1298</v>
      </c>
      <c r="F318" s="39"/>
      <c r="G318" s="59"/>
      <c r="H318" s="59"/>
      <c r="I318" s="59"/>
      <c r="J318" s="59">
        <v>226</v>
      </c>
      <c r="K318" s="59">
        <v>226</v>
      </c>
      <c r="L318" s="59">
        <v>226</v>
      </c>
      <c r="M318" s="59">
        <v>226</v>
      </c>
      <c r="N318" s="60">
        <v>232</v>
      </c>
      <c r="O318" s="36"/>
      <c r="P318" s="48"/>
      <c r="Q318" s="48"/>
      <c r="R318" s="48"/>
      <c r="S318" s="48"/>
      <c r="T318" s="48"/>
      <c r="U318" s="48"/>
      <c r="V318" s="48"/>
      <c r="W318" s="48"/>
      <c r="X318" s="48"/>
      <c r="Y318" s="48"/>
      <c r="Z318" s="48"/>
      <c r="AA318" s="48"/>
      <c r="AB318" s="48"/>
      <c r="AC318" s="48"/>
      <c r="AD318" s="48"/>
      <c r="AE318" s="48"/>
      <c r="AF318" s="48"/>
      <c r="AG318" s="48"/>
      <c r="AH318" s="48"/>
      <c r="AI318" s="48"/>
      <c r="AJ318" s="48"/>
      <c r="AK318" s="48"/>
      <c r="AL318" s="48"/>
      <c r="AM318" s="48"/>
      <c r="AN318" s="48"/>
      <c r="AO318" s="48"/>
      <c r="AP318" s="48"/>
      <c r="AQ318" s="48"/>
      <c r="AR318" s="48"/>
      <c r="AS318" s="48"/>
      <c r="AT318" s="48"/>
      <c r="AU318" s="48"/>
      <c r="AV318" s="48"/>
      <c r="AW318" s="48"/>
      <c r="AX318" s="48"/>
      <c r="AY318" s="48"/>
      <c r="AZ318" s="48"/>
      <c r="BA318" s="48"/>
      <c r="BB318" s="48"/>
      <c r="BC318" s="48"/>
      <c r="BD318" s="48"/>
      <c r="BE318" s="48"/>
      <c r="BF318" s="48"/>
      <c r="BG318" s="48"/>
      <c r="BH318" s="48"/>
      <c r="BI318" s="48"/>
      <c r="BJ318" s="48"/>
      <c r="BK318" s="48"/>
      <c r="BL318" s="48"/>
      <c r="BM318" s="48"/>
      <c r="BN318" s="48"/>
      <c r="BO318" s="48"/>
      <c r="BP318" s="48"/>
      <c r="BQ318" s="48"/>
      <c r="BR318" s="48"/>
      <c r="BS318" s="48"/>
      <c r="BT318" s="48"/>
      <c r="BU318" s="48"/>
      <c r="BV318" s="48"/>
      <c r="BW318" s="48"/>
      <c r="BX318" s="111"/>
    </row>
    <row r="319" spans="1:76">
      <c r="A319" s="37"/>
      <c r="B319" s="37"/>
      <c r="C319" s="37"/>
      <c r="D319" s="37" t="s">
        <v>1591</v>
      </c>
      <c r="E319" s="37"/>
      <c r="F319" s="39"/>
      <c r="G319" s="64">
        <v>368</v>
      </c>
      <c r="H319" s="64">
        <v>379</v>
      </c>
      <c r="I319" s="64">
        <v>442</v>
      </c>
      <c r="J319" s="64">
        <v>412</v>
      </c>
      <c r="K319" s="64">
        <v>400</v>
      </c>
      <c r="L319" s="64">
        <v>434</v>
      </c>
      <c r="M319" s="64">
        <v>415</v>
      </c>
      <c r="N319" s="81">
        <v>453</v>
      </c>
      <c r="O319" s="36"/>
      <c r="P319" s="48"/>
      <c r="Q319" s="48"/>
      <c r="R319" s="48"/>
      <c r="S319" s="48"/>
      <c r="T319" s="48"/>
      <c r="U319" s="48"/>
      <c r="V319" s="48"/>
      <c r="W319" s="48"/>
      <c r="X319" s="48"/>
      <c r="Y319" s="48"/>
      <c r="Z319" s="48"/>
      <c r="AA319" s="48"/>
      <c r="AB319" s="48"/>
      <c r="AC319" s="48"/>
      <c r="AD319" s="48"/>
      <c r="AE319" s="48"/>
      <c r="AF319" s="48"/>
      <c r="AG319" s="48"/>
      <c r="AH319" s="48"/>
      <c r="AI319" s="48"/>
      <c r="AJ319" s="48"/>
      <c r="AK319" s="48"/>
      <c r="AL319" s="48"/>
      <c r="AM319" s="48"/>
      <c r="AN319" s="48"/>
      <c r="AO319" s="48"/>
      <c r="AP319" s="48"/>
      <c r="AQ319" s="48"/>
      <c r="AR319" s="48"/>
      <c r="AS319" s="48"/>
      <c r="AT319" s="48"/>
      <c r="AU319" s="48"/>
      <c r="AV319" s="48"/>
      <c r="AW319" s="48"/>
      <c r="AX319" s="48"/>
      <c r="AY319" s="48"/>
      <c r="AZ319" s="48"/>
      <c r="BA319" s="48"/>
      <c r="BB319" s="48"/>
      <c r="BC319" s="48"/>
      <c r="BD319" s="48"/>
      <c r="BE319" s="48"/>
      <c r="BF319" s="48"/>
      <c r="BG319" s="48"/>
      <c r="BH319" s="48"/>
      <c r="BI319" s="48"/>
      <c r="BJ319" s="48"/>
      <c r="BK319" s="48"/>
      <c r="BL319" s="48"/>
      <c r="BM319" s="48"/>
      <c r="BN319" s="48"/>
      <c r="BO319" s="48"/>
      <c r="BP319" s="48"/>
      <c r="BQ319" s="48"/>
      <c r="BR319" s="48"/>
      <c r="BS319" s="48"/>
      <c r="BT319" s="48"/>
      <c r="BU319" s="48"/>
      <c r="BV319" s="48"/>
      <c r="BW319" s="48"/>
      <c r="BX319" s="111"/>
    </row>
    <row r="320" spans="1:76">
      <c r="A320" s="37"/>
      <c r="B320" s="37"/>
      <c r="C320" s="37"/>
      <c r="D320" s="37"/>
      <c r="E320" s="37" t="s">
        <v>1592</v>
      </c>
      <c r="F320" s="39"/>
      <c r="G320" s="59"/>
      <c r="H320" s="59"/>
      <c r="I320" s="59"/>
      <c r="J320" s="59"/>
      <c r="K320" s="59"/>
      <c r="L320" s="59"/>
      <c r="M320" s="59"/>
      <c r="N320" s="60"/>
      <c r="O320" s="36"/>
      <c r="P320" s="48"/>
      <c r="Q320" s="48"/>
      <c r="R320" s="48"/>
      <c r="S320" s="48"/>
      <c r="T320" s="48"/>
      <c r="U320" s="48"/>
      <c r="V320" s="48"/>
      <c r="W320" s="48"/>
      <c r="X320" s="48"/>
      <c r="Y320" s="48"/>
      <c r="Z320" s="48"/>
      <c r="AA320" s="48"/>
      <c r="AB320" s="48"/>
      <c r="AC320" s="48"/>
      <c r="AD320" s="48"/>
      <c r="AE320" s="48"/>
      <c r="AF320" s="48"/>
      <c r="AG320" s="48"/>
      <c r="AH320" s="48"/>
      <c r="AI320" s="48"/>
      <c r="AJ320" s="48"/>
      <c r="AK320" s="48"/>
      <c r="AL320" s="48"/>
      <c r="AM320" s="48"/>
      <c r="AN320" s="48"/>
      <c r="AO320" s="48"/>
      <c r="AP320" s="48"/>
      <c r="AQ320" s="48"/>
      <c r="AR320" s="48"/>
      <c r="AS320" s="48"/>
      <c r="AT320" s="48"/>
      <c r="AU320" s="48"/>
      <c r="AV320" s="48"/>
      <c r="AW320" s="48"/>
      <c r="AX320" s="48"/>
      <c r="AY320" s="48"/>
      <c r="AZ320" s="48"/>
      <c r="BA320" s="48"/>
      <c r="BB320" s="48"/>
      <c r="BC320" s="48"/>
      <c r="BD320" s="48"/>
      <c r="BE320" s="48"/>
      <c r="BF320" s="48"/>
      <c r="BG320" s="48"/>
      <c r="BH320" s="48"/>
      <c r="BI320" s="48"/>
      <c r="BJ320" s="48"/>
      <c r="BK320" s="48"/>
      <c r="BL320" s="48"/>
      <c r="BM320" s="48"/>
      <c r="BN320" s="48"/>
      <c r="BO320" s="48"/>
      <c r="BP320" s="48"/>
      <c r="BQ320" s="48"/>
      <c r="BR320" s="48"/>
      <c r="BS320" s="48"/>
      <c r="BT320" s="48"/>
      <c r="BU320" s="48"/>
      <c r="BV320" s="48"/>
      <c r="BW320" s="48"/>
      <c r="BX320" s="111"/>
    </row>
    <row r="321" spans="1:76">
      <c r="A321" s="37"/>
      <c r="B321" s="37"/>
      <c r="C321" s="37"/>
      <c r="D321" s="37"/>
      <c r="E321" s="37" t="s">
        <v>1865</v>
      </c>
      <c r="F321" s="39"/>
      <c r="G321" s="59"/>
      <c r="H321" s="59"/>
      <c r="I321" s="59"/>
      <c r="J321" s="59"/>
      <c r="K321" s="59"/>
      <c r="L321" s="59"/>
      <c r="M321" s="59"/>
      <c r="N321" s="60"/>
      <c r="O321" s="36"/>
      <c r="P321" s="48"/>
      <c r="Q321" s="48"/>
      <c r="R321" s="48"/>
      <c r="S321" s="48"/>
      <c r="T321" s="48"/>
      <c r="U321" s="48"/>
      <c r="V321" s="48"/>
      <c r="W321" s="48"/>
      <c r="X321" s="48"/>
      <c r="Y321" s="48"/>
      <c r="Z321" s="48"/>
      <c r="AA321" s="48"/>
      <c r="AB321" s="48"/>
      <c r="AC321" s="48"/>
      <c r="AD321" s="48"/>
      <c r="AE321" s="48"/>
      <c r="AF321" s="48"/>
      <c r="AG321" s="48"/>
      <c r="AH321" s="48"/>
      <c r="AI321" s="48"/>
      <c r="AJ321" s="48"/>
      <c r="AK321" s="48"/>
      <c r="AL321" s="48"/>
      <c r="AM321" s="48"/>
      <c r="AN321" s="48"/>
      <c r="AO321" s="48"/>
      <c r="AP321" s="48"/>
      <c r="AQ321" s="48"/>
      <c r="AR321" s="48"/>
      <c r="AS321" s="48"/>
      <c r="AT321" s="48"/>
      <c r="AU321" s="48"/>
      <c r="AV321" s="48"/>
      <c r="AW321" s="48"/>
      <c r="AX321" s="48"/>
      <c r="AY321" s="48"/>
      <c r="AZ321" s="48"/>
      <c r="BA321" s="48"/>
      <c r="BB321" s="48"/>
      <c r="BC321" s="48"/>
      <c r="BD321" s="48"/>
      <c r="BE321" s="48"/>
      <c r="BF321" s="48"/>
      <c r="BG321" s="48"/>
      <c r="BH321" s="48"/>
      <c r="BI321" s="48"/>
      <c r="BJ321" s="48"/>
      <c r="BK321" s="48"/>
      <c r="BL321" s="48"/>
      <c r="BM321" s="48"/>
      <c r="BN321" s="48"/>
      <c r="BO321" s="48"/>
      <c r="BP321" s="48"/>
      <c r="BQ321" s="48"/>
      <c r="BR321" s="48"/>
      <c r="BS321" s="48"/>
      <c r="BT321" s="48"/>
      <c r="BU321" s="48"/>
      <c r="BV321" s="48"/>
      <c r="BW321" s="48"/>
      <c r="BX321" s="111"/>
    </row>
    <row r="322" spans="1:76">
      <c r="A322" s="37"/>
      <c r="B322" s="37"/>
      <c r="C322" s="37"/>
      <c r="D322" s="37" t="s">
        <v>468</v>
      </c>
      <c r="E322" s="37"/>
      <c r="F322" s="39"/>
      <c r="G322" s="39" t="str">
        <f t="shared" ref="G322:N322" si="50">IF(AND(OR(ISTEXT(G323), ISBLANK(G323)),OR(ISTEXT(G324), ISBLANK(G324)),OR(ISTEXT(G325), ISBLANK(G325)),TRUE),"", +IF(ISTEXT(G323), 0,G323)+IF(ISTEXT(G324), 0,G324)+IF(ISTEXT(G325), 0,G325))</f>
        <v/>
      </c>
      <c r="H322" s="39" t="str">
        <f t="shared" si="50"/>
        <v/>
      </c>
      <c r="I322" s="39" t="str">
        <f t="shared" si="50"/>
        <v/>
      </c>
      <c r="J322" s="39" t="str">
        <f t="shared" si="50"/>
        <v/>
      </c>
      <c r="K322" s="39" t="str">
        <f t="shared" si="50"/>
        <v/>
      </c>
      <c r="L322" s="39" t="str">
        <f t="shared" si="50"/>
        <v/>
      </c>
      <c r="M322" s="39" t="str">
        <f t="shared" si="50"/>
        <v/>
      </c>
      <c r="N322" s="48" t="str">
        <f t="shared" si="50"/>
        <v/>
      </c>
      <c r="O322" s="36"/>
      <c r="P322" s="48"/>
      <c r="Q322" s="48"/>
      <c r="R322" s="48"/>
      <c r="S322" s="48"/>
      <c r="T322" s="48"/>
      <c r="U322" s="48"/>
      <c r="V322" s="48"/>
      <c r="W322" s="48"/>
      <c r="X322" s="48"/>
      <c r="Y322" s="48"/>
      <c r="Z322" s="48"/>
      <c r="AA322" s="48"/>
      <c r="AB322" s="48"/>
      <c r="AC322" s="48"/>
      <c r="AD322" s="48"/>
      <c r="AE322" s="48"/>
      <c r="AF322" s="48"/>
      <c r="AG322" s="48"/>
      <c r="AH322" s="48"/>
      <c r="AI322" s="48"/>
      <c r="AJ322" s="48"/>
      <c r="AK322" s="48"/>
      <c r="AL322" s="48"/>
      <c r="AM322" s="48"/>
      <c r="AN322" s="48"/>
      <c r="AO322" s="48"/>
      <c r="AP322" s="48"/>
      <c r="AQ322" s="48"/>
      <c r="AR322" s="48"/>
      <c r="AS322" s="48"/>
      <c r="AT322" s="48"/>
      <c r="AU322" s="48"/>
      <c r="AV322" s="48"/>
      <c r="AW322" s="48"/>
      <c r="AX322" s="48"/>
      <c r="AY322" s="48"/>
      <c r="AZ322" s="48"/>
      <c r="BA322" s="48"/>
      <c r="BB322" s="48"/>
      <c r="BC322" s="48"/>
      <c r="BD322" s="48"/>
      <c r="BE322" s="48"/>
      <c r="BF322" s="48"/>
      <c r="BG322" s="48"/>
      <c r="BH322" s="48"/>
      <c r="BI322" s="48"/>
      <c r="BJ322" s="48"/>
      <c r="BK322" s="48"/>
      <c r="BL322" s="48"/>
      <c r="BM322" s="48"/>
      <c r="BN322" s="48"/>
      <c r="BO322" s="48"/>
      <c r="BP322" s="48"/>
      <c r="BQ322" s="48"/>
      <c r="BR322" s="48"/>
      <c r="BS322" s="48"/>
      <c r="BT322" s="48"/>
      <c r="BU322" s="48"/>
      <c r="BV322" s="48"/>
      <c r="BW322" s="48"/>
      <c r="BX322" s="111"/>
    </row>
    <row r="323" spans="1:76">
      <c r="A323" s="37"/>
      <c r="B323" s="37"/>
      <c r="C323" s="37"/>
      <c r="D323" s="37"/>
      <c r="E323" s="37" t="s">
        <v>884</v>
      </c>
      <c r="F323" s="39"/>
      <c r="G323" s="59"/>
      <c r="H323" s="59"/>
      <c r="I323" s="59"/>
      <c r="J323" s="59"/>
      <c r="K323" s="59"/>
      <c r="L323" s="59"/>
      <c r="M323" s="59"/>
      <c r="N323" s="60"/>
      <c r="O323" s="36"/>
      <c r="P323" s="48"/>
      <c r="Q323" s="48"/>
      <c r="R323" s="48"/>
      <c r="S323" s="48"/>
      <c r="T323" s="48"/>
      <c r="U323" s="48"/>
      <c r="V323" s="48"/>
      <c r="W323" s="48"/>
      <c r="X323" s="48"/>
      <c r="Y323" s="48"/>
      <c r="Z323" s="48"/>
      <c r="AA323" s="48"/>
      <c r="AB323" s="48"/>
      <c r="AC323" s="48"/>
      <c r="AD323" s="48"/>
      <c r="AE323" s="48"/>
      <c r="AF323" s="48"/>
      <c r="AG323" s="48"/>
      <c r="AH323" s="48"/>
      <c r="AI323" s="48"/>
      <c r="AJ323" s="48"/>
      <c r="AK323" s="48"/>
      <c r="AL323" s="48"/>
      <c r="AM323" s="48"/>
      <c r="AN323" s="48"/>
      <c r="AO323" s="48"/>
      <c r="AP323" s="48"/>
      <c r="AQ323" s="48"/>
      <c r="AR323" s="48"/>
      <c r="AS323" s="48"/>
      <c r="AT323" s="48"/>
      <c r="AU323" s="48"/>
      <c r="AV323" s="48"/>
      <c r="AW323" s="48"/>
      <c r="AX323" s="48"/>
      <c r="AY323" s="48"/>
      <c r="AZ323" s="48"/>
      <c r="BA323" s="48"/>
      <c r="BB323" s="48"/>
      <c r="BC323" s="48"/>
      <c r="BD323" s="48"/>
      <c r="BE323" s="48"/>
      <c r="BF323" s="48"/>
      <c r="BG323" s="48"/>
      <c r="BH323" s="48"/>
      <c r="BI323" s="48"/>
      <c r="BJ323" s="48"/>
      <c r="BK323" s="48"/>
      <c r="BL323" s="48"/>
      <c r="BM323" s="48"/>
      <c r="BN323" s="48"/>
      <c r="BO323" s="48"/>
      <c r="BP323" s="48"/>
      <c r="BQ323" s="48"/>
      <c r="BR323" s="48"/>
      <c r="BS323" s="48"/>
      <c r="BT323" s="48"/>
      <c r="BU323" s="48"/>
      <c r="BV323" s="48"/>
      <c r="BW323" s="48"/>
      <c r="BX323" s="111"/>
    </row>
    <row r="324" spans="1:76">
      <c r="A324" s="37"/>
      <c r="B324" s="37"/>
      <c r="C324" s="37"/>
      <c r="D324" s="37"/>
      <c r="E324" s="37" t="s">
        <v>885</v>
      </c>
      <c r="F324" s="39"/>
      <c r="G324" s="59"/>
      <c r="H324" s="59"/>
      <c r="I324" s="59"/>
      <c r="J324" s="59"/>
      <c r="K324" s="59"/>
      <c r="L324" s="59"/>
      <c r="M324" s="59"/>
      <c r="N324" s="60"/>
      <c r="O324" s="36"/>
      <c r="P324" s="48"/>
      <c r="Q324" s="48"/>
      <c r="R324" s="48"/>
      <c r="S324" s="48"/>
      <c r="T324" s="48"/>
      <c r="U324" s="48"/>
      <c r="V324" s="48"/>
      <c r="W324" s="48"/>
      <c r="X324" s="48"/>
      <c r="Y324" s="48"/>
      <c r="Z324" s="48"/>
      <c r="AA324" s="48"/>
      <c r="AB324" s="48"/>
      <c r="AC324" s="48"/>
      <c r="AD324" s="48"/>
      <c r="AE324" s="48"/>
      <c r="AF324" s="48"/>
      <c r="AG324" s="48"/>
      <c r="AH324" s="48"/>
      <c r="AI324" s="48"/>
      <c r="AJ324" s="48"/>
      <c r="AK324" s="48"/>
      <c r="AL324" s="48"/>
      <c r="AM324" s="48"/>
      <c r="AN324" s="48"/>
      <c r="AO324" s="48"/>
      <c r="AP324" s="48"/>
      <c r="AQ324" s="48"/>
      <c r="AR324" s="48"/>
      <c r="AS324" s="48"/>
      <c r="AT324" s="48"/>
      <c r="AU324" s="48"/>
      <c r="AV324" s="48"/>
      <c r="AW324" s="48"/>
      <c r="AX324" s="48"/>
      <c r="AY324" s="48"/>
      <c r="AZ324" s="48"/>
      <c r="BA324" s="48"/>
      <c r="BB324" s="48"/>
      <c r="BC324" s="48"/>
      <c r="BD324" s="48"/>
      <c r="BE324" s="48"/>
      <c r="BF324" s="48"/>
      <c r="BG324" s="48"/>
      <c r="BH324" s="48"/>
      <c r="BI324" s="48"/>
      <c r="BJ324" s="48"/>
      <c r="BK324" s="48"/>
      <c r="BL324" s="48"/>
      <c r="BM324" s="48"/>
      <c r="BN324" s="48"/>
      <c r="BO324" s="48"/>
      <c r="BP324" s="48"/>
      <c r="BQ324" s="48"/>
      <c r="BR324" s="48"/>
      <c r="BS324" s="48"/>
      <c r="BT324" s="48"/>
      <c r="BU324" s="48"/>
      <c r="BV324" s="48"/>
      <c r="BW324" s="48"/>
      <c r="BX324" s="111"/>
    </row>
    <row r="325" spans="1:76">
      <c r="A325" s="37"/>
      <c r="B325" s="37"/>
      <c r="C325" s="37"/>
      <c r="D325" s="37"/>
      <c r="E325" s="37" t="s">
        <v>1634</v>
      </c>
      <c r="F325" s="39"/>
      <c r="G325" s="59"/>
      <c r="H325" s="59"/>
      <c r="I325" s="59"/>
      <c r="J325" s="59"/>
      <c r="K325" s="59"/>
      <c r="L325" s="59"/>
      <c r="M325" s="59"/>
      <c r="N325" s="60"/>
      <c r="O325" s="36"/>
      <c r="P325" s="48"/>
      <c r="Q325" s="48"/>
      <c r="R325" s="48"/>
      <c r="S325" s="48"/>
      <c r="T325" s="48"/>
      <c r="U325" s="48"/>
      <c r="V325" s="48"/>
      <c r="W325" s="48"/>
      <c r="X325" s="48"/>
      <c r="Y325" s="48"/>
      <c r="Z325" s="48"/>
      <c r="AA325" s="48"/>
      <c r="AB325" s="48"/>
      <c r="AC325" s="48"/>
      <c r="AD325" s="48"/>
      <c r="AE325" s="48"/>
      <c r="AF325" s="48"/>
      <c r="AG325" s="48"/>
      <c r="AH325" s="48"/>
      <c r="AI325" s="48"/>
      <c r="AJ325" s="48"/>
      <c r="AK325" s="48"/>
      <c r="AL325" s="48"/>
      <c r="AM325" s="48"/>
      <c r="AN325" s="48"/>
      <c r="AO325" s="48"/>
      <c r="AP325" s="48"/>
      <c r="AQ325" s="48"/>
      <c r="AR325" s="48"/>
      <c r="AS325" s="48"/>
      <c r="AT325" s="48"/>
      <c r="AU325" s="48"/>
      <c r="AV325" s="48"/>
      <c r="AW325" s="48"/>
      <c r="AX325" s="48"/>
      <c r="AY325" s="48"/>
      <c r="AZ325" s="48"/>
      <c r="BA325" s="48"/>
      <c r="BB325" s="48"/>
      <c r="BC325" s="48"/>
      <c r="BD325" s="48"/>
      <c r="BE325" s="48"/>
      <c r="BF325" s="48"/>
      <c r="BG325" s="48"/>
      <c r="BH325" s="48"/>
      <c r="BI325" s="48"/>
      <c r="BJ325" s="48"/>
      <c r="BK325" s="48"/>
      <c r="BL325" s="48"/>
      <c r="BM325" s="48"/>
      <c r="BN325" s="48"/>
      <c r="BO325" s="48"/>
      <c r="BP325" s="48"/>
      <c r="BQ325" s="48"/>
      <c r="BR325" s="48"/>
      <c r="BS325" s="48"/>
      <c r="BT325" s="48"/>
      <c r="BU325" s="48"/>
      <c r="BV325" s="48"/>
      <c r="BW325" s="48"/>
      <c r="BX325" s="111"/>
    </row>
    <row r="326" spans="1:76">
      <c r="A326" s="37"/>
      <c r="B326" s="37"/>
      <c r="C326" s="37"/>
      <c r="D326" s="37" t="s">
        <v>2237</v>
      </c>
      <c r="E326" s="37"/>
      <c r="F326" s="39"/>
      <c r="G326" s="59"/>
      <c r="H326" s="59"/>
      <c r="I326" s="59"/>
      <c r="J326" s="59"/>
      <c r="K326" s="59"/>
      <c r="L326" s="59"/>
      <c r="M326" s="59"/>
      <c r="N326" s="60"/>
      <c r="O326" s="36"/>
      <c r="P326" s="48"/>
      <c r="Q326" s="48"/>
      <c r="R326" s="48"/>
      <c r="S326" s="48"/>
      <c r="T326" s="48"/>
      <c r="U326" s="48"/>
      <c r="V326" s="48"/>
      <c r="W326" s="48"/>
      <c r="X326" s="48"/>
      <c r="Y326" s="48"/>
      <c r="Z326" s="48"/>
      <c r="AA326" s="48"/>
      <c r="AB326" s="48"/>
      <c r="AC326" s="48"/>
      <c r="AD326" s="48"/>
      <c r="AE326" s="48"/>
      <c r="AF326" s="48"/>
      <c r="AG326" s="48"/>
      <c r="AH326" s="48"/>
      <c r="AI326" s="48"/>
      <c r="AJ326" s="48"/>
      <c r="AK326" s="48"/>
      <c r="AL326" s="48"/>
      <c r="AM326" s="48"/>
      <c r="AN326" s="48"/>
      <c r="AO326" s="48"/>
      <c r="AP326" s="48"/>
      <c r="AQ326" s="48"/>
      <c r="AR326" s="48"/>
      <c r="AS326" s="48"/>
      <c r="AT326" s="48"/>
      <c r="AU326" s="48"/>
      <c r="AV326" s="48"/>
      <c r="AW326" s="48"/>
      <c r="AX326" s="48"/>
      <c r="AY326" s="48"/>
      <c r="AZ326" s="48"/>
      <c r="BA326" s="48"/>
      <c r="BB326" s="48"/>
      <c r="BC326" s="48"/>
      <c r="BD326" s="48"/>
      <c r="BE326" s="48"/>
      <c r="BF326" s="48"/>
      <c r="BG326" s="48"/>
      <c r="BH326" s="48"/>
      <c r="BI326" s="48"/>
      <c r="BJ326" s="48"/>
      <c r="BK326" s="48"/>
      <c r="BL326" s="48"/>
      <c r="BM326" s="48"/>
      <c r="BN326" s="48"/>
      <c r="BO326" s="48"/>
      <c r="BP326" s="48"/>
      <c r="BQ326" s="48"/>
      <c r="BR326" s="48"/>
      <c r="BS326" s="48"/>
      <c r="BT326" s="48"/>
      <c r="BU326" s="48"/>
      <c r="BV326" s="48"/>
      <c r="BW326" s="48"/>
      <c r="BX326" s="111"/>
    </row>
    <row r="327" spans="1:76">
      <c r="A327" s="37"/>
      <c r="B327" s="37"/>
      <c r="C327" s="37"/>
      <c r="D327" s="37" t="s">
        <v>2238</v>
      </c>
      <c r="E327" s="37"/>
      <c r="F327" s="39"/>
      <c r="G327" s="39" t="str">
        <f t="shared" ref="G327:N327" si="51">IF(AND(OR(ISTEXT(G328), ISBLANK(G328)),OR(ISTEXT(G329), ISBLANK(G329)),TRUE),"", +IF(ISTEXT(G328), 0,G328)+IF(ISTEXT(G329), 0,G329))</f>
        <v/>
      </c>
      <c r="H327" s="39" t="str">
        <f t="shared" si="51"/>
        <v/>
      </c>
      <c r="I327" s="39" t="str">
        <f t="shared" si="51"/>
        <v/>
      </c>
      <c r="J327" s="39" t="str">
        <f t="shared" si="51"/>
        <v/>
      </c>
      <c r="K327" s="39" t="str">
        <f t="shared" si="51"/>
        <v/>
      </c>
      <c r="L327" s="39" t="str">
        <f t="shared" si="51"/>
        <v/>
      </c>
      <c r="M327" s="39" t="str">
        <f t="shared" si="51"/>
        <v/>
      </c>
      <c r="N327" s="48" t="str">
        <f t="shared" si="51"/>
        <v/>
      </c>
      <c r="O327" s="36"/>
      <c r="P327" s="48"/>
      <c r="Q327" s="48"/>
      <c r="R327" s="48"/>
      <c r="S327" s="48"/>
      <c r="T327" s="48"/>
      <c r="U327" s="48"/>
      <c r="V327" s="48"/>
      <c r="W327" s="48"/>
      <c r="X327" s="48"/>
      <c r="Y327" s="48"/>
      <c r="Z327" s="48"/>
      <c r="AA327" s="48"/>
      <c r="AB327" s="48"/>
      <c r="AC327" s="48"/>
      <c r="AD327" s="48"/>
      <c r="AE327" s="48"/>
      <c r="AF327" s="48"/>
      <c r="AG327" s="48"/>
      <c r="AH327" s="48"/>
      <c r="AI327" s="48"/>
      <c r="AJ327" s="48"/>
      <c r="AK327" s="48"/>
      <c r="AL327" s="48"/>
      <c r="AM327" s="48"/>
      <c r="AN327" s="48"/>
      <c r="AO327" s="48"/>
      <c r="AP327" s="48"/>
      <c r="AQ327" s="48"/>
      <c r="AR327" s="48"/>
      <c r="AS327" s="48"/>
      <c r="AT327" s="48"/>
      <c r="AU327" s="48"/>
      <c r="AV327" s="48"/>
      <c r="AW327" s="48"/>
      <c r="AX327" s="48"/>
      <c r="AY327" s="48"/>
      <c r="AZ327" s="48"/>
      <c r="BA327" s="48"/>
      <c r="BB327" s="48"/>
      <c r="BC327" s="48"/>
      <c r="BD327" s="48"/>
      <c r="BE327" s="48"/>
      <c r="BF327" s="48"/>
      <c r="BG327" s="48"/>
      <c r="BH327" s="48"/>
      <c r="BI327" s="48"/>
      <c r="BJ327" s="48"/>
      <c r="BK327" s="48"/>
      <c r="BL327" s="48"/>
      <c r="BM327" s="48"/>
      <c r="BN327" s="48"/>
      <c r="BO327" s="48"/>
      <c r="BP327" s="48"/>
      <c r="BQ327" s="48"/>
      <c r="BR327" s="48"/>
      <c r="BS327" s="48"/>
      <c r="BT327" s="48"/>
      <c r="BU327" s="48"/>
      <c r="BV327" s="48"/>
      <c r="BW327" s="48"/>
      <c r="BX327" s="111"/>
    </row>
    <row r="328" spans="1:76">
      <c r="A328" s="37"/>
      <c r="B328" s="37"/>
      <c r="C328" s="37"/>
      <c r="D328" s="37"/>
      <c r="E328" s="37" t="s">
        <v>2239</v>
      </c>
      <c r="F328" s="39"/>
      <c r="G328" s="59"/>
      <c r="H328" s="59"/>
      <c r="I328" s="59"/>
      <c r="J328" s="59"/>
      <c r="K328" s="59"/>
      <c r="L328" s="59"/>
      <c r="M328" s="59"/>
      <c r="N328" s="60"/>
      <c r="O328" s="36"/>
      <c r="P328" s="48"/>
      <c r="Q328" s="48"/>
      <c r="R328" s="48"/>
      <c r="S328" s="48"/>
      <c r="T328" s="48"/>
      <c r="U328" s="48"/>
      <c r="V328" s="48"/>
      <c r="W328" s="48"/>
      <c r="X328" s="48"/>
      <c r="Y328" s="48"/>
      <c r="Z328" s="48"/>
      <c r="AA328" s="48"/>
      <c r="AB328" s="48"/>
      <c r="AC328" s="48"/>
      <c r="AD328" s="48"/>
      <c r="AE328" s="48"/>
      <c r="AF328" s="48"/>
      <c r="AG328" s="48"/>
      <c r="AH328" s="48"/>
      <c r="AI328" s="48"/>
      <c r="AJ328" s="48"/>
      <c r="AK328" s="48"/>
      <c r="AL328" s="48"/>
      <c r="AM328" s="48"/>
      <c r="AN328" s="48"/>
      <c r="AO328" s="48"/>
      <c r="AP328" s="48"/>
      <c r="AQ328" s="48"/>
      <c r="AR328" s="48"/>
      <c r="AS328" s="48"/>
      <c r="AT328" s="48"/>
      <c r="AU328" s="48"/>
      <c r="AV328" s="48"/>
      <c r="AW328" s="48"/>
      <c r="AX328" s="48"/>
      <c r="AY328" s="48"/>
      <c r="AZ328" s="48"/>
      <c r="BA328" s="48"/>
      <c r="BB328" s="48"/>
      <c r="BC328" s="48"/>
      <c r="BD328" s="48"/>
      <c r="BE328" s="48"/>
      <c r="BF328" s="48"/>
      <c r="BG328" s="48"/>
      <c r="BH328" s="48"/>
      <c r="BI328" s="48"/>
      <c r="BJ328" s="48"/>
      <c r="BK328" s="48"/>
      <c r="BL328" s="48"/>
      <c r="BM328" s="48"/>
      <c r="BN328" s="48"/>
      <c r="BO328" s="48"/>
      <c r="BP328" s="48"/>
      <c r="BQ328" s="48"/>
      <c r="BR328" s="48"/>
      <c r="BS328" s="48"/>
      <c r="BT328" s="48"/>
      <c r="BU328" s="48"/>
      <c r="BV328" s="48"/>
      <c r="BW328" s="48"/>
      <c r="BX328" s="111"/>
    </row>
    <row r="329" spans="1:76">
      <c r="A329" s="37"/>
      <c r="B329" s="37"/>
      <c r="C329" s="37"/>
      <c r="D329" s="37"/>
      <c r="E329" s="37" t="s">
        <v>2240</v>
      </c>
      <c r="F329" s="39"/>
      <c r="G329" s="59"/>
      <c r="H329" s="59"/>
      <c r="I329" s="59"/>
      <c r="J329" s="59"/>
      <c r="K329" s="59"/>
      <c r="L329" s="59"/>
      <c r="M329" s="59"/>
      <c r="N329" s="60"/>
      <c r="O329" s="36"/>
      <c r="P329" s="48"/>
      <c r="Q329" s="48"/>
      <c r="R329" s="48"/>
      <c r="S329" s="48"/>
      <c r="T329" s="48"/>
      <c r="U329" s="48"/>
      <c r="V329" s="48"/>
      <c r="W329" s="48"/>
      <c r="X329" s="48"/>
      <c r="Y329" s="48"/>
      <c r="Z329" s="48"/>
      <c r="AA329" s="48"/>
      <c r="AB329" s="48"/>
      <c r="AC329" s="48"/>
      <c r="AD329" s="48"/>
      <c r="AE329" s="48"/>
      <c r="AF329" s="48"/>
      <c r="AG329" s="48"/>
      <c r="AH329" s="48"/>
      <c r="AI329" s="48"/>
      <c r="AJ329" s="48"/>
      <c r="AK329" s="48"/>
      <c r="AL329" s="48"/>
      <c r="AM329" s="48"/>
      <c r="AN329" s="48"/>
      <c r="AO329" s="48"/>
      <c r="AP329" s="48"/>
      <c r="AQ329" s="48"/>
      <c r="AR329" s="48"/>
      <c r="AS329" s="48"/>
      <c r="AT329" s="48"/>
      <c r="AU329" s="48"/>
      <c r="AV329" s="48"/>
      <c r="AW329" s="48"/>
      <c r="AX329" s="48"/>
      <c r="AY329" s="48"/>
      <c r="AZ329" s="48"/>
      <c r="BA329" s="48"/>
      <c r="BB329" s="48"/>
      <c r="BC329" s="48"/>
      <c r="BD329" s="48"/>
      <c r="BE329" s="48"/>
      <c r="BF329" s="48"/>
      <c r="BG329" s="48"/>
      <c r="BH329" s="48"/>
      <c r="BI329" s="48"/>
      <c r="BJ329" s="48"/>
      <c r="BK329" s="48"/>
      <c r="BL329" s="48"/>
      <c r="BM329" s="48"/>
      <c r="BN329" s="48"/>
      <c r="BO329" s="48"/>
      <c r="BP329" s="48"/>
      <c r="BQ329" s="48"/>
      <c r="BR329" s="48"/>
      <c r="BS329" s="48"/>
      <c r="BT329" s="48"/>
      <c r="BU329" s="48"/>
      <c r="BV329" s="48"/>
      <c r="BW329" s="48"/>
      <c r="BX329" s="111"/>
    </row>
    <row r="330" spans="1:76">
      <c r="A330" s="37"/>
      <c r="B330" s="37"/>
      <c r="C330" s="37"/>
      <c r="D330" s="37" t="s">
        <v>780</v>
      </c>
      <c r="E330" s="37"/>
      <c r="F330" s="39"/>
      <c r="G330" s="59"/>
      <c r="H330" s="59"/>
      <c r="I330" s="59"/>
      <c r="J330" s="59"/>
      <c r="K330" s="59"/>
      <c r="L330" s="59"/>
      <c r="M330" s="59"/>
      <c r="N330" s="60"/>
      <c r="O330" s="36"/>
      <c r="P330" s="48"/>
      <c r="Q330" s="48"/>
      <c r="R330" s="48"/>
      <c r="S330" s="48"/>
      <c r="T330" s="48"/>
      <c r="U330" s="48"/>
      <c r="V330" s="48"/>
      <c r="W330" s="48"/>
      <c r="X330" s="48"/>
      <c r="Y330" s="48"/>
      <c r="Z330" s="48"/>
      <c r="AA330" s="48"/>
      <c r="AB330" s="48"/>
      <c r="AC330" s="48"/>
      <c r="AD330" s="48"/>
      <c r="AE330" s="48"/>
      <c r="AF330" s="48"/>
      <c r="AG330" s="48"/>
      <c r="AH330" s="48"/>
      <c r="AI330" s="48"/>
      <c r="AJ330" s="48"/>
      <c r="AK330" s="48"/>
      <c r="AL330" s="48"/>
      <c r="AM330" s="48"/>
      <c r="AN330" s="48"/>
      <c r="AO330" s="48"/>
      <c r="AP330" s="48"/>
      <c r="AQ330" s="48"/>
      <c r="AR330" s="48"/>
      <c r="AS330" s="48"/>
      <c r="AT330" s="48"/>
      <c r="AU330" s="48"/>
      <c r="AV330" s="48"/>
      <c r="AW330" s="48"/>
      <c r="AX330" s="48"/>
      <c r="AY330" s="48"/>
      <c r="AZ330" s="48"/>
      <c r="BA330" s="48"/>
      <c r="BB330" s="48"/>
      <c r="BC330" s="48"/>
      <c r="BD330" s="48"/>
      <c r="BE330" s="48"/>
      <c r="BF330" s="48"/>
      <c r="BG330" s="48"/>
      <c r="BH330" s="48"/>
      <c r="BI330" s="48"/>
      <c r="BJ330" s="48"/>
      <c r="BK330" s="48"/>
      <c r="BL330" s="48"/>
      <c r="BM330" s="48"/>
      <c r="BN330" s="48"/>
      <c r="BO330" s="48"/>
      <c r="BP330" s="48"/>
      <c r="BQ330" s="48"/>
      <c r="BR330" s="48"/>
      <c r="BS330" s="48"/>
      <c r="BT330" s="48"/>
      <c r="BU330" s="48"/>
      <c r="BV330" s="48"/>
      <c r="BW330" s="48"/>
      <c r="BX330" s="111"/>
    </row>
    <row r="331" spans="1:76">
      <c r="A331" s="37"/>
      <c r="B331" s="37"/>
      <c r="C331" s="37"/>
      <c r="D331" s="37" t="s">
        <v>1477</v>
      </c>
      <c r="E331" s="37"/>
      <c r="F331" s="39"/>
      <c r="G331" s="39" t="str">
        <f t="shared" ref="G331:N331" si="52">IF(AND(OR(ISTEXT(G332), ISBLANK(G332)),TRUE),"", +IF(ISTEXT(G332), 0,G332))</f>
        <v/>
      </c>
      <c r="H331" s="39" t="str">
        <f t="shared" si="52"/>
        <v/>
      </c>
      <c r="I331" s="39" t="str">
        <f t="shared" si="52"/>
        <v/>
      </c>
      <c r="J331" s="39" t="str">
        <f t="shared" si="52"/>
        <v/>
      </c>
      <c r="K331" s="39" t="str">
        <f t="shared" si="52"/>
        <v/>
      </c>
      <c r="L331" s="39" t="str">
        <f t="shared" si="52"/>
        <v/>
      </c>
      <c r="M331" s="39" t="str">
        <f t="shared" si="52"/>
        <v/>
      </c>
      <c r="N331" s="48" t="str">
        <f t="shared" si="52"/>
        <v/>
      </c>
      <c r="O331" s="36"/>
      <c r="P331" s="48"/>
      <c r="Q331" s="48"/>
      <c r="R331" s="48"/>
      <c r="S331" s="48"/>
      <c r="T331" s="48"/>
      <c r="U331" s="48"/>
      <c r="V331" s="48"/>
      <c r="W331" s="48"/>
      <c r="X331" s="48"/>
      <c r="Y331" s="48"/>
      <c r="Z331" s="48"/>
      <c r="AA331" s="48"/>
      <c r="AB331" s="48"/>
      <c r="AC331" s="48"/>
      <c r="AD331" s="48"/>
      <c r="AE331" s="48"/>
      <c r="AF331" s="48"/>
      <c r="AG331" s="48"/>
      <c r="AH331" s="48"/>
      <c r="AI331" s="48"/>
      <c r="AJ331" s="48"/>
      <c r="AK331" s="48"/>
      <c r="AL331" s="48"/>
      <c r="AM331" s="48"/>
      <c r="AN331" s="48"/>
      <c r="AO331" s="48"/>
      <c r="AP331" s="48"/>
      <c r="AQ331" s="48"/>
      <c r="AR331" s="48"/>
      <c r="AS331" s="48"/>
      <c r="AT331" s="48"/>
      <c r="AU331" s="48"/>
      <c r="AV331" s="48"/>
      <c r="AW331" s="48"/>
      <c r="AX331" s="48"/>
      <c r="AY331" s="48"/>
      <c r="AZ331" s="48"/>
      <c r="BA331" s="48"/>
      <c r="BB331" s="48"/>
      <c r="BC331" s="48"/>
      <c r="BD331" s="48"/>
      <c r="BE331" s="48"/>
      <c r="BF331" s="48"/>
      <c r="BG331" s="48"/>
      <c r="BH331" s="48"/>
      <c r="BI331" s="48"/>
      <c r="BJ331" s="48"/>
      <c r="BK331" s="48"/>
      <c r="BL331" s="48"/>
      <c r="BM331" s="48"/>
      <c r="BN331" s="48"/>
      <c r="BO331" s="48"/>
      <c r="BP331" s="48"/>
      <c r="BQ331" s="48"/>
      <c r="BR331" s="48"/>
      <c r="BS331" s="48"/>
      <c r="BT331" s="48"/>
      <c r="BU331" s="48"/>
      <c r="BV331" s="48"/>
      <c r="BW331" s="48"/>
      <c r="BX331" s="111"/>
    </row>
    <row r="332" spans="1:76">
      <c r="A332" s="37"/>
      <c r="B332" s="37"/>
      <c r="C332" s="37"/>
      <c r="D332" s="37"/>
      <c r="E332" s="37" t="s">
        <v>579</v>
      </c>
      <c r="F332" s="39"/>
      <c r="G332" s="59"/>
      <c r="H332" s="59"/>
      <c r="I332" s="59"/>
      <c r="J332" s="59"/>
      <c r="K332" s="59"/>
      <c r="L332" s="59"/>
      <c r="M332" s="59"/>
      <c r="N332" s="60"/>
      <c r="O332" s="36"/>
      <c r="P332" s="48"/>
      <c r="Q332" s="48"/>
      <c r="R332" s="48"/>
      <c r="S332" s="48"/>
      <c r="T332" s="48"/>
      <c r="U332" s="48"/>
      <c r="V332" s="48"/>
      <c r="W332" s="48"/>
      <c r="X332" s="48"/>
      <c r="Y332" s="48"/>
      <c r="Z332" s="48"/>
      <c r="AA332" s="48"/>
      <c r="AB332" s="48"/>
      <c r="AC332" s="48"/>
      <c r="AD332" s="48"/>
      <c r="AE332" s="48"/>
      <c r="AF332" s="48"/>
      <c r="AG332" s="48"/>
      <c r="AH332" s="48"/>
      <c r="AI332" s="48"/>
      <c r="AJ332" s="48"/>
      <c r="AK332" s="48"/>
      <c r="AL332" s="48"/>
      <c r="AM332" s="48"/>
      <c r="AN332" s="48"/>
      <c r="AO332" s="48"/>
      <c r="AP332" s="48"/>
      <c r="AQ332" s="48"/>
      <c r="AR332" s="48"/>
      <c r="AS332" s="48"/>
      <c r="AT332" s="48"/>
      <c r="AU332" s="48"/>
      <c r="AV332" s="48"/>
      <c r="AW332" s="48"/>
      <c r="AX332" s="48"/>
      <c r="AY332" s="48"/>
      <c r="AZ332" s="48"/>
      <c r="BA332" s="48"/>
      <c r="BB332" s="48"/>
      <c r="BC332" s="48"/>
      <c r="BD332" s="48"/>
      <c r="BE332" s="48"/>
      <c r="BF332" s="48"/>
      <c r="BG332" s="48"/>
      <c r="BH332" s="48"/>
      <c r="BI332" s="48"/>
      <c r="BJ332" s="48"/>
      <c r="BK332" s="48"/>
      <c r="BL332" s="48"/>
      <c r="BM332" s="48"/>
      <c r="BN332" s="48"/>
      <c r="BO332" s="48"/>
      <c r="BP332" s="48"/>
      <c r="BQ332" s="48"/>
      <c r="BR332" s="48"/>
      <c r="BS332" s="48"/>
      <c r="BT332" s="48"/>
      <c r="BU332" s="48"/>
      <c r="BV332" s="48"/>
      <c r="BW332" s="48"/>
      <c r="BX332" s="111"/>
    </row>
    <row r="333" spans="1:76">
      <c r="A333" s="37"/>
      <c r="B333" s="37"/>
      <c r="C333" s="37"/>
      <c r="D333" s="37" t="s">
        <v>1356</v>
      </c>
      <c r="E333" s="37"/>
      <c r="F333" s="39"/>
      <c r="G333" s="39">
        <f t="shared" ref="G333:N333" si="53">IF(AND(OR(ISTEXT(G334), ISBLANK(G334)),OR(ISTEXT(G335), ISBLANK(G335)),TRUE),"", +IF(ISTEXT(G334), 0,G334)+IF(ISTEXT(G335), 0,G335))</f>
        <v>450</v>
      </c>
      <c r="H333" s="39">
        <f t="shared" si="53"/>
        <v>570</v>
      </c>
      <c r="I333" s="39">
        <f t="shared" si="53"/>
        <v>557</v>
      </c>
      <c r="J333" s="39">
        <f t="shared" si="53"/>
        <v>430</v>
      </c>
      <c r="K333" s="39">
        <f t="shared" si="53"/>
        <v>314</v>
      </c>
      <c r="L333" s="39">
        <f t="shared" si="53"/>
        <v>451</v>
      </c>
      <c r="M333" s="39">
        <f t="shared" si="53"/>
        <v>429</v>
      </c>
      <c r="N333" s="48">
        <f t="shared" si="53"/>
        <v>326</v>
      </c>
      <c r="O333" s="36"/>
      <c r="P333" s="48"/>
      <c r="Q333" s="48"/>
      <c r="R333" s="48"/>
      <c r="S333" s="48"/>
      <c r="T333" s="48"/>
      <c r="U333" s="48"/>
      <c r="V333" s="48"/>
      <c r="W333" s="48"/>
      <c r="X333" s="48"/>
      <c r="Y333" s="48"/>
      <c r="Z333" s="48"/>
      <c r="AA333" s="48"/>
      <c r="AB333" s="48"/>
      <c r="AC333" s="48"/>
      <c r="AD333" s="48"/>
      <c r="AE333" s="48"/>
      <c r="AF333" s="48"/>
      <c r="AG333" s="48"/>
      <c r="AH333" s="48"/>
      <c r="AI333" s="48"/>
      <c r="AJ333" s="48"/>
      <c r="AK333" s="48"/>
      <c r="AL333" s="48"/>
      <c r="AM333" s="48"/>
      <c r="AN333" s="48"/>
      <c r="AO333" s="48"/>
      <c r="AP333" s="48"/>
      <c r="AQ333" s="48"/>
      <c r="AR333" s="48"/>
      <c r="AS333" s="48"/>
      <c r="AT333" s="48"/>
      <c r="AU333" s="48"/>
      <c r="AV333" s="48"/>
      <c r="AW333" s="48"/>
      <c r="AX333" s="48"/>
      <c r="AY333" s="48"/>
      <c r="AZ333" s="48"/>
      <c r="BA333" s="48"/>
      <c r="BB333" s="48"/>
      <c r="BC333" s="48"/>
      <c r="BD333" s="48"/>
      <c r="BE333" s="48"/>
      <c r="BF333" s="48"/>
      <c r="BG333" s="48"/>
      <c r="BH333" s="48"/>
      <c r="BI333" s="48"/>
      <c r="BJ333" s="48"/>
      <c r="BK333" s="48"/>
      <c r="BL333" s="48"/>
      <c r="BM333" s="48"/>
      <c r="BN333" s="48"/>
      <c r="BO333" s="48"/>
      <c r="BP333" s="48"/>
      <c r="BQ333" s="48"/>
      <c r="BR333" s="48"/>
      <c r="BS333" s="48"/>
      <c r="BT333" s="48"/>
      <c r="BU333" s="48"/>
      <c r="BV333" s="48"/>
      <c r="BW333" s="48"/>
      <c r="BX333" s="111"/>
    </row>
    <row r="334" spans="1:76">
      <c r="A334" s="37"/>
      <c r="B334" s="37"/>
      <c r="C334" s="37"/>
      <c r="D334" s="37"/>
      <c r="E334" s="37" t="s">
        <v>2135</v>
      </c>
      <c r="F334" s="39"/>
      <c r="G334" s="59"/>
      <c r="H334" s="59"/>
      <c r="I334" s="59"/>
      <c r="J334" s="59"/>
      <c r="K334" s="59"/>
      <c r="L334" s="59">
        <v>108</v>
      </c>
      <c r="M334" s="59">
        <v>81</v>
      </c>
      <c r="N334" s="60"/>
      <c r="O334" s="36"/>
      <c r="P334" s="48"/>
      <c r="Q334" s="48"/>
      <c r="R334" s="48"/>
      <c r="S334" s="48"/>
      <c r="T334" s="48"/>
      <c r="U334" s="48"/>
      <c r="V334" s="48"/>
      <c r="W334" s="48"/>
      <c r="X334" s="48"/>
      <c r="Y334" s="48"/>
      <c r="Z334" s="48"/>
      <c r="AA334" s="48"/>
      <c r="AB334" s="48"/>
      <c r="AC334" s="48"/>
      <c r="AD334" s="48"/>
      <c r="AE334" s="48"/>
      <c r="AF334" s="48"/>
      <c r="AG334" s="48"/>
      <c r="AH334" s="48"/>
      <c r="AI334" s="48"/>
      <c r="AJ334" s="48"/>
      <c r="AK334" s="48"/>
      <c r="AL334" s="48"/>
      <c r="AM334" s="48"/>
      <c r="AN334" s="48"/>
      <c r="AO334" s="48"/>
      <c r="AP334" s="48"/>
      <c r="AQ334" s="48"/>
      <c r="AR334" s="48"/>
      <c r="AS334" s="48"/>
      <c r="AT334" s="48"/>
      <c r="AU334" s="48"/>
      <c r="AV334" s="48"/>
      <c r="AW334" s="48"/>
      <c r="AX334" s="48"/>
      <c r="AY334" s="48"/>
      <c r="AZ334" s="48"/>
      <c r="BA334" s="48"/>
      <c r="BB334" s="48"/>
      <c r="BC334" s="48"/>
      <c r="BD334" s="48"/>
      <c r="BE334" s="48"/>
      <c r="BF334" s="48"/>
      <c r="BG334" s="48"/>
      <c r="BH334" s="48"/>
      <c r="BI334" s="48"/>
      <c r="BJ334" s="48"/>
      <c r="BK334" s="48"/>
      <c r="BL334" s="48"/>
      <c r="BM334" s="48"/>
      <c r="BN334" s="48"/>
      <c r="BO334" s="48"/>
      <c r="BP334" s="48"/>
      <c r="BQ334" s="48"/>
      <c r="BR334" s="48"/>
      <c r="BS334" s="48"/>
      <c r="BT334" s="48"/>
      <c r="BU334" s="48"/>
      <c r="BV334" s="48"/>
      <c r="BW334" s="48"/>
      <c r="BX334" s="111"/>
    </row>
    <row r="335" spans="1:76">
      <c r="A335" s="37"/>
      <c r="B335" s="37"/>
      <c r="C335" s="37"/>
      <c r="D335" s="37"/>
      <c r="E335" s="37" t="s">
        <v>2136</v>
      </c>
      <c r="F335" s="39"/>
      <c r="G335" s="59">
        <f>731-G283</f>
        <v>450</v>
      </c>
      <c r="H335" s="59">
        <v>570</v>
      </c>
      <c r="I335" s="59">
        <v>557</v>
      </c>
      <c r="J335" s="59">
        <v>430</v>
      </c>
      <c r="K335" s="59">
        <f>504-K285</f>
        <v>314</v>
      </c>
      <c r="L335" s="59">
        <f>500-L285</f>
        <v>343</v>
      </c>
      <c r="M335" s="59">
        <f>623-M285</f>
        <v>348</v>
      </c>
      <c r="N335" s="60">
        <f>621-N285</f>
        <v>326</v>
      </c>
      <c r="O335" s="36"/>
      <c r="P335" s="48"/>
      <c r="Q335" s="48"/>
      <c r="R335" s="48"/>
      <c r="S335" s="48"/>
      <c r="T335" s="48"/>
      <c r="U335" s="48"/>
      <c r="V335" s="48"/>
      <c r="W335" s="48"/>
      <c r="X335" s="48"/>
      <c r="Y335" s="48"/>
      <c r="Z335" s="48"/>
      <c r="AA335" s="48"/>
      <c r="AB335" s="48"/>
      <c r="AC335" s="48"/>
      <c r="AD335" s="48"/>
      <c r="AE335" s="48"/>
      <c r="AF335" s="48"/>
      <c r="AG335" s="48"/>
      <c r="AH335" s="48"/>
      <c r="AI335" s="48"/>
      <c r="AJ335" s="48"/>
      <c r="AK335" s="48"/>
      <c r="AL335" s="48"/>
      <c r="AM335" s="48"/>
      <c r="AN335" s="48"/>
      <c r="AO335" s="48"/>
      <c r="AP335" s="48"/>
      <c r="AQ335" s="48"/>
      <c r="AR335" s="48"/>
      <c r="AS335" s="48"/>
      <c r="AT335" s="48"/>
      <c r="AU335" s="48"/>
      <c r="AV335" s="48"/>
      <c r="AW335" s="48"/>
      <c r="AX335" s="48"/>
      <c r="AY335" s="48"/>
      <c r="AZ335" s="48"/>
      <c r="BA335" s="48"/>
      <c r="BB335" s="48"/>
      <c r="BC335" s="48"/>
      <c r="BD335" s="48"/>
      <c r="BE335" s="48"/>
      <c r="BF335" s="48"/>
      <c r="BG335" s="48"/>
      <c r="BH335" s="48"/>
      <c r="BI335" s="48"/>
      <c r="BJ335" s="48"/>
      <c r="BK335" s="48"/>
      <c r="BL335" s="48"/>
      <c r="BM335" s="48"/>
      <c r="BN335" s="48"/>
      <c r="BO335" s="48"/>
      <c r="BP335" s="48"/>
      <c r="BQ335" s="48"/>
      <c r="BR335" s="48"/>
      <c r="BS335" s="48"/>
      <c r="BT335" s="48"/>
      <c r="BU335" s="48"/>
      <c r="BV335" s="48"/>
      <c r="BW335" s="48"/>
      <c r="BX335" s="111"/>
    </row>
    <row r="336" spans="1:76">
      <c r="A336" s="37"/>
      <c r="B336" s="37"/>
      <c r="C336" s="37"/>
      <c r="D336" s="37" t="s">
        <v>405</v>
      </c>
      <c r="E336" s="37"/>
      <c r="F336" s="39"/>
      <c r="G336" s="39" t="str">
        <f t="shared" ref="G336:N336" si="54">IF(AND(OR(ISTEXT(G337), ISBLANK(G337)),OR(ISTEXT(G338), ISBLANK(G338)),TRUE),"", +IF(ISTEXT(G337), 0,G337)+IF(ISTEXT(G338), 0,G338))</f>
        <v/>
      </c>
      <c r="H336" s="39" t="str">
        <f t="shared" si="54"/>
        <v/>
      </c>
      <c r="I336" s="39" t="str">
        <f t="shared" si="54"/>
        <v/>
      </c>
      <c r="J336" s="39" t="str">
        <f t="shared" si="54"/>
        <v/>
      </c>
      <c r="K336" s="39" t="str">
        <f t="shared" si="54"/>
        <v/>
      </c>
      <c r="L336" s="39" t="str">
        <f t="shared" si="54"/>
        <v/>
      </c>
      <c r="M336" s="39" t="str">
        <f t="shared" si="54"/>
        <v/>
      </c>
      <c r="N336" s="48" t="str">
        <f t="shared" si="54"/>
        <v/>
      </c>
      <c r="O336" s="36"/>
      <c r="P336" s="48"/>
      <c r="Q336" s="48"/>
      <c r="R336" s="48"/>
      <c r="S336" s="48"/>
      <c r="T336" s="48"/>
      <c r="U336" s="48"/>
      <c r="V336" s="48"/>
      <c r="W336" s="48"/>
      <c r="X336" s="48"/>
      <c r="Y336" s="48"/>
      <c r="Z336" s="48"/>
      <c r="AA336" s="48"/>
      <c r="AB336" s="48"/>
      <c r="AC336" s="48"/>
      <c r="AD336" s="48"/>
      <c r="AE336" s="48"/>
      <c r="AF336" s="48"/>
      <c r="AG336" s="48"/>
      <c r="AH336" s="48"/>
      <c r="AI336" s="48"/>
      <c r="AJ336" s="48"/>
      <c r="AK336" s="48"/>
      <c r="AL336" s="48"/>
      <c r="AM336" s="48"/>
      <c r="AN336" s="48"/>
      <c r="AO336" s="48"/>
      <c r="AP336" s="48"/>
      <c r="AQ336" s="48"/>
      <c r="AR336" s="48"/>
      <c r="AS336" s="48"/>
      <c r="AT336" s="48"/>
      <c r="AU336" s="48"/>
      <c r="AV336" s="48"/>
      <c r="AW336" s="48"/>
      <c r="AX336" s="48"/>
      <c r="AY336" s="48"/>
      <c r="AZ336" s="48"/>
      <c r="BA336" s="48"/>
      <c r="BB336" s="48"/>
      <c r="BC336" s="48"/>
      <c r="BD336" s="48"/>
      <c r="BE336" s="48"/>
      <c r="BF336" s="48"/>
      <c r="BG336" s="48"/>
      <c r="BH336" s="48"/>
      <c r="BI336" s="48"/>
      <c r="BJ336" s="48"/>
      <c r="BK336" s="48"/>
      <c r="BL336" s="48"/>
      <c r="BM336" s="48"/>
      <c r="BN336" s="48"/>
      <c r="BO336" s="48"/>
      <c r="BP336" s="48"/>
      <c r="BQ336" s="48"/>
      <c r="BR336" s="48"/>
      <c r="BS336" s="48"/>
      <c r="BT336" s="48"/>
      <c r="BU336" s="48"/>
      <c r="BV336" s="48"/>
      <c r="BW336" s="48"/>
      <c r="BX336" s="111"/>
    </row>
    <row r="337" spans="1:76">
      <c r="A337" s="37"/>
      <c r="B337" s="37"/>
      <c r="C337" s="37"/>
      <c r="D337" s="37"/>
      <c r="E337" s="37" t="s">
        <v>406</v>
      </c>
      <c r="F337" s="39"/>
      <c r="G337" s="59"/>
      <c r="H337" s="59"/>
      <c r="I337" s="59"/>
      <c r="J337" s="59"/>
      <c r="K337" s="59"/>
      <c r="L337" s="59"/>
      <c r="M337" s="59"/>
      <c r="N337" s="60"/>
      <c r="O337" s="36"/>
      <c r="P337" s="48"/>
      <c r="Q337" s="48"/>
      <c r="R337" s="48"/>
      <c r="S337" s="48"/>
      <c r="T337" s="48"/>
      <c r="U337" s="48"/>
      <c r="V337" s="48"/>
      <c r="W337" s="48"/>
      <c r="X337" s="48"/>
      <c r="Y337" s="48"/>
      <c r="Z337" s="48"/>
      <c r="AA337" s="48"/>
      <c r="AB337" s="48"/>
      <c r="AC337" s="48"/>
      <c r="AD337" s="48"/>
      <c r="AE337" s="48"/>
      <c r="AF337" s="48"/>
      <c r="AG337" s="48"/>
      <c r="AH337" s="48"/>
      <c r="AI337" s="48"/>
      <c r="AJ337" s="48"/>
      <c r="AK337" s="48"/>
      <c r="AL337" s="48"/>
      <c r="AM337" s="48"/>
      <c r="AN337" s="48"/>
      <c r="AO337" s="48"/>
      <c r="AP337" s="48"/>
      <c r="AQ337" s="48"/>
      <c r="AR337" s="48"/>
      <c r="AS337" s="48"/>
      <c r="AT337" s="48"/>
      <c r="AU337" s="48"/>
      <c r="AV337" s="48"/>
      <c r="AW337" s="48"/>
      <c r="AX337" s="48"/>
      <c r="AY337" s="48"/>
      <c r="AZ337" s="48"/>
      <c r="BA337" s="48"/>
      <c r="BB337" s="48"/>
      <c r="BC337" s="48"/>
      <c r="BD337" s="48"/>
      <c r="BE337" s="48"/>
      <c r="BF337" s="48"/>
      <c r="BG337" s="48"/>
      <c r="BH337" s="48"/>
      <c r="BI337" s="48"/>
      <c r="BJ337" s="48"/>
      <c r="BK337" s="48"/>
      <c r="BL337" s="48"/>
      <c r="BM337" s="48"/>
      <c r="BN337" s="48"/>
      <c r="BO337" s="48"/>
      <c r="BP337" s="48"/>
      <c r="BQ337" s="48"/>
      <c r="BR337" s="48"/>
      <c r="BS337" s="48"/>
      <c r="BT337" s="48"/>
      <c r="BU337" s="48"/>
      <c r="BV337" s="48"/>
      <c r="BW337" s="48"/>
      <c r="BX337" s="111"/>
    </row>
    <row r="338" spans="1:76">
      <c r="A338" s="37"/>
      <c r="B338" s="37"/>
      <c r="C338" s="37"/>
      <c r="D338" s="37"/>
      <c r="E338" s="37" t="s">
        <v>51</v>
      </c>
      <c r="F338" s="39"/>
      <c r="G338" s="59"/>
      <c r="H338" s="59"/>
      <c r="I338" s="59"/>
      <c r="J338" s="59"/>
      <c r="K338" s="59"/>
      <c r="L338" s="59"/>
      <c r="M338" s="59"/>
      <c r="N338" s="60"/>
      <c r="O338" s="36"/>
      <c r="P338" s="48"/>
      <c r="Q338" s="48"/>
      <c r="R338" s="48"/>
      <c r="S338" s="48"/>
      <c r="T338" s="48"/>
      <c r="U338" s="48"/>
      <c r="V338" s="48"/>
      <c r="W338" s="48"/>
      <c r="X338" s="48"/>
      <c r="Y338" s="48"/>
      <c r="Z338" s="48"/>
      <c r="AA338" s="48"/>
      <c r="AB338" s="48"/>
      <c r="AC338" s="48"/>
      <c r="AD338" s="48"/>
      <c r="AE338" s="48"/>
      <c r="AF338" s="48"/>
      <c r="AG338" s="48"/>
      <c r="AH338" s="48"/>
      <c r="AI338" s="48"/>
      <c r="AJ338" s="48"/>
      <c r="AK338" s="48"/>
      <c r="AL338" s="48"/>
      <c r="AM338" s="48"/>
      <c r="AN338" s="48"/>
      <c r="AO338" s="48"/>
      <c r="AP338" s="48"/>
      <c r="AQ338" s="48"/>
      <c r="AR338" s="48"/>
      <c r="AS338" s="48"/>
      <c r="AT338" s="48"/>
      <c r="AU338" s="48"/>
      <c r="AV338" s="48"/>
      <c r="AW338" s="48"/>
      <c r="AX338" s="48"/>
      <c r="AY338" s="48"/>
      <c r="AZ338" s="48"/>
      <c r="BA338" s="48"/>
      <c r="BB338" s="48"/>
      <c r="BC338" s="48"/>
      <c r="BD338" s="48"/>
      <c r="BE338" s="48"/>
      <c r="BF338" s="48"/>
      <c r="BG338" s="48"/>
      <c r="BH338" s="48"/>
      <c r="BI338" s="48"/>
      <c r="BJ338" s="48"/>
      <c r="BK338" s="48"/>
      <c r="BL338" s="48"/>
      <c r="BM338" s="48"/>
      <c r="BN338" s="48"/>
      <c r="BO338" s="48"/>
      <c r="BP338" s="48"/>
      <c r="BQ338" s="48"/>
      <c r="BR338" s="48"/>
      <c r="BS338" s="48"/>
      <c r="BT338" s="48"/>
      <c r="BU338" s="48"/>
      <c r="BV338" s="48"/>
      <c r="BW338" s="48"/>
      <c r="BX338" s="111"/>
    </row>
    <row r="339" spans="1:76">
      <c r="A339" s="37"/>
      <c r="B339" s="37"/>
      <c r="C339" s="37"/>
      <c r="D339" s="37" t="s">
        <v>1321</v>
      </c>
      <c r="E339" s="37"/>
      <c r="F339" s="39"/>
      <c r="G339" s="59">
        <f>471+73</f>
        <v>544</v>
      </c>
      <c r="H339" s="59">
        <v>1103</v>
      </c>
      <c r="I339" s="59">
        <v>104</v>
      </c>
      <c r="J339" s="59"/>
      <c r="K339" s="59"/>
      <c r="L339" s="59">
        <v>839</v>
      </c>
      <c r="M339" s="59"/>
      <c r="N339" s="59"/>
      <c r="O339" s="36"/>
      <c r="P339" s="48"/>
      <c r="Q339" s="48"/>
      <c r="R339" s="48"/>
      <c r="S339" s="48"/>
      <c r="T339" s="48"/>
      <c r="U339" s="48"/>
      <c r="V339" s="48"/>
      <c r="W339" s="48"/>
      <c r="X339" s="48"/>
      <c r="Y339" s="48"/>
      <c r="Z339" s="48"/>
      <c r="AA339" s="48"/>
      <c r="AB339" s="48"/>
      <c r="AC339" s="48"/>
      <c r="AD339" s="48"/>
      <c r="AE339" s="48"/>
      <c r="AF339" s="48"/>
      <c r="AG339" s="48"/>
      <c r="AH339" s="48"/>
      <c r="AI339" s="48"/>
      <c r="AJ339" s="48"/>
      <c r="AK339" s="48"/>
      <c r="AL339" s="48"/>
      <c r="AM339" s="48"/>
      <c r="AN339" s="48"/>
      <c r="AO339" s="48"/>
      <c r="AP339" s="48"/>
      <c r="AQ339" s="48"/>
      <c r="AR339" s="48"/>
      <c r="AS339" s="48"/>
      <c r="AT339" s="48"/>
      <c r="AU339" s="48"/>
      <c r="AV339" s="48"/>
      <c r="AW339" s="48"/>
      <c r="AX339" s="48"/>
      <c r="AY339" s="48"/>
      <c r="AZ339" s="48"/>
      <c r="BA339" s="48"/>
      <c r="BB339" s="48"/>
      <c r="BC339" s="48"/>
      <c r="BD339" s="48"/>
      <c r="BE339" s="48"/>
      <c r="BF339" s="48"/>
      <c r="BG339" s="48"/>
      <c r="BH339" s="48"/>
      <c r="BI339" s="48"/>
      <c r="BJ339" s="48"/>
      <c r="BK339" s="48"/>
      <c r="BL339" s="48"/>
      <c r="BM339" s="48"/>
      <c r="BN339" s="48"/>
      <c r="BO339" s="48"/>
      <c r="BP339" s="48"/>
      <c r="BQ339" s="48"/>
      <c r="BR339" s="48"/>
      <c r="BS339" s="48"/>
      <c r="BT339" s="48"/>
      <c r="BU339" s="48"/>
      <c r="BV339" s="48"/>
      <c r="BW339" s="48"/>
      <c r="BX339" s="111"/>
    </row>
    <row r="340" spans="1:76">
      <c r="A340" s="37"/>
      <c r="B340" s="37"/>
      <c r="C340" s="37" t="s">
        <v>1350</v>
      </c>
      <c r="D340" s="37"/>
      <c r="E340" s="37"/>
      <c r="F340" s="39"/>
      <c r="G340" s="39"/>
      <c r="H340" s="39"/>
      <c r="I340" s="39"/>
      <c r="J340" s="39"/>
      <c r="K340" s="39"/>
      <c r="L340" s="39"/>
      <c r="M340" s="39"/>
      <c r="N340" s="48"/>
      <c r="O340" s="36"/>
      <c r="P340" s="48"/>
      <c r="Q340" s="48"/>
      <c r="R340" s="48"/>
      <c r="S340" s="48"/>
      <c r="T340" s="48"/>
      <c r="U340" s="48"/>
      <c r="V340" s="48"/>
      <c r="W340" s="48"/>
      <c r="X340" s="48"/>
      <c r="Y340" s="48"/>
      <c r="Z340" s="48"/>
      <c r="AA340" s="48"/>
      <c r="AB340" s="48"/>
      <c r="AC340" s="48"/>
      <c r="AD340" s="48"/>
      <c r="AE340" s="48"/>
      <c r="AF340" s="48"/>
      <c r="AG340" s="48"/>
      <c r="AH340" s="48"/>
      <c r="AI340" s="48"/>
      <c r="AJ340" s="48"/>
      <c r="AK340" s="48"/>
      <c r="AL340" s="48"/>
      <c r="AM340" s="48"/>
      <c r="AN340" s="48"/>
      <c r="AO340" s="48"/>
      <c r="AP340" s="48"/>
      <c r="AQ340" s="48"/>
      <c r="AR340" s="48"/>
      <c r="AS340" s="48"/>
      <c r="AT340" s="48"/>
      <c r="AU340" s="48"/>
      <c r="AV340" s="48"/>
      <c r="AW340" s="48"/>
      <c r="AX340" s="48"/>
      <c r="AY340" s="48"/>
      <c r="AZ340" s="48"/>
      <c r="BA340" s="48"/>
      <c r="BB340" s="48"/>
      <c r="BC340" s="48"/>
      <c r="BD340" s="48"/>
      <c r="BE340" s="48"/>
      <c r="BF340" s="48"/>
      <c r="BG340" s="48"/>
      <c r="BH340" s="48"/>
      <c r="BI340" s="48"/>
      <c r="BJ340" s="48"/>
      <c r="BK340" s="48"/>
      <c r="BL340" s="48"/>
      <c r="BM340" s="48"/>
      <c r="BN340" s="48"/>
      <c r="BO340" s="48"/>
      <c r="BP340" s="48"/>
      <c r="BQ340" s="48"/>
      <c r="BR340" s="48"/>
      <c r="BS340" s="48"/>
      <c r="BT340" s="48"/>
      <c r="BU340" s="48"/>
      <c r="BV340" s="48"/>
      <c r="BW340" s="48"/>
      <c r="BX340" s="111"/>
    </row>
    <row r="341" spans="1:76">
      <c r="A341" s="52"/>
      <c r="B341" s="52"/>
      <c r="C341" s="52"/>
      <c r="D341" s="52" t="s">
        <v>1417</v>
      </c>
      <c r="E341" s="52"/>
      <c r="F341" s="53"/>
      <c r="G341" s="53">
        <f t="shared" ref="G341:N341" si="55">IF(AND(OR(ISTEXT(G342), ISBLANK(G342)),OR(ISTEXT(G345), ISBLANK(G345)),TRUE),"", +IF(ISTEXT(G342), 0,G342)+IF(ISTEXT(G345), 0,G345))</f>
        <v>273</v>
      </c>
      <c r="H341" s="53">
        <f t="shared" si="55"/>
        <v>169</v>
      </c>
      <c r="I341" s="53">
        <f t="shared" si="55"/>
        <v>205</v>
      </c>
      <c r="J341" s="53">
        <f t="shared" si="55"/>
        <v>186</v>
      </c>
      <c r="K341" s="53">
        <f t="shared" si="55"/>
        <v>225</v>
      </c>
      <c r="L341" s="53">
        <f t="shared" si="55"/>
        <v>171</v>
      </c>
      <c r="M341" s="53">
        <f t="shared" si="55"/>
        <v>171</v>
      </c>
      <c r="N341" s="55">
        <f t="shared" si="55"/>
        <v>200</v>
      </c>
      <c r="O341" s="54"/>
      <c r="P341" s="55"/>
      <c r="Q341" s="55"/>
      <c r="R341" s="55"/>
      <c r="S341" s="55"/>
      <c r="T341" s="55"/>
      <c r="U341" s="55"/>
      <c r="V341" s="55"/>
      <c r="W341" s="55"/>
      <c r="X341" s="55"/>
      <c r="Y341" s="55"/>
      <c r="Z341" s="55"/>
      <c r="AA341" s="55"/>
      <c r="AB341" s="55"/>
      <c r="AC341" s="55"/>
      <c r="AD341" s="55"/>
      <c r="AE341" s="55"/>
      <c r="AF341" s="55"/>
      <c r="AG341" s="55"/>
      <c r="AH341" s="55"/>
      <c r="AI341" s="55"/>
      <c r="AJ341" s="55"/>
      <c r="AK341" s="55"/>
      <c r="AL341" s="55"/>
      <c r="AM341" s="55"/>
      <c r="AN341" s="55"/>
      <c r="AO341" s="55"/>
      <c r="AP341" s="55"/>
      <c r="AQ341" s="55"/>
      <c r="AR341" s="55"/>
      <c r="AS341" s="55"/>
      <c r="AT341" s="55"/>
      <c r="AU341" s="55"/>
      <c r="AV341" s="55"/>
      <c r="AW341" s="55"/>
      <c r="AX341" s="55"/>
      <c r="AY341" s="55"/>
      <c r="AZ341" s="55"/>
      <c r="BA341" s="55"/>
      <c r="BB341" s="55"/>
      <c r="BC341" s="55"/>
      <c r="BD341" s="55"/>
      <c r="BE341" s="55"/>
      <c r="BF341" s="55"/>
      <c r="BG341" s="55"/>
      <c r="BH341" s="55"/>
      <c r="BI341" s="55"/>
      <c r="BJ341" s="55"/>
      <c r="BK341" s="55"/>
      <c r="BL341" s="55"/>
      <c r="BM341" s="55"/>
      <c r="BN341" s="55"/>
      <c r="BO341" s="55"/>
      <c r="BP341" s="55"/>
      <c r="BQ341" s="55"/>
      <c r="BR341" s="55"/>
      <c r="BS341" s="55"/>
      <c r="BT341" s="55"/>
      <c r="BU341" s="55"/>
      <c r="BV341" s="55"/>
      <c r="BW341" s="55"/>
      <c r="BX341" s="112"/>
    </row>
    <row r="342" spans="1:76">
      <c r="A342" s="37"/>
      <c r="B342" s="37"/>
      <c r="C342" s="37"/>
      <c r="D342" s="37"/>
      <c r="E342" s="37" t="s">
        <v>399</v>
      </c>
      <c r="F342" s="39"/>
      <c r="G342" s="39">
        <f t="shared" ref="G342:N342" si="56">IF(AND(OR(ISTEXT(G343), ISBLANK(G343)),OR(ISTEXT(G344), ISBLANK(G344)),TRUE),"", +IF(ISTEXT(G343), 0,G343)+IF(ISTEXT(G344), 0,G344))</f>
        <v>273</v>
      </c>
      <c r="H342" s="39">
        <f t="shared" si="56"/>
        <v>169</v>
      </c>
      <c r="I342" s="39">
        <f t="shared" si="56"/>
        <v>205</v>
      </c>
      <c r="J342" s="39">
        <f t="shared" si="56"/>
        <v>186</v>
      </c>
      <c r="K342" s="39">
        <f t="shared" si="56"/>
        <v>225</v>
      </c>
      <c r="L342" s="39">
        <f t="shared" si="56"/>
        <v>171</v>
      </c>
      <c r="M342" s="39">
        <f t="shared" si="56"/>
        <v>171</v>
      </c>
      <c r="N342" s="48">
        <f t="shared" si="56"/>
        <v>200</v>
      </c>
      <c r="O342" s="36"/>
      <c r="P342" s="48"/>
      <c r="Q342" s="48"/>
      <c r="R342" s="48"/>
      <c r="S342" s="48"/>
      <c r="T342" s="48"/>
      <c r="U342" s="48"/>
      <c r="V342" s="48"/>
      <c r="W342" s="48"/>
      <c r="X342" s="48"/>
      <c r="Y342" s="48"/>
      <c r="Z342" s="48"/>
      <c r="AA342" s="48"/>
      <c r="AB342" s="48"/>
      <c r="AC342" s="48"/>
      <c r="AD342" s="48"/>
      <c r="AE342" s="48"/>
      <c r="AF342" s="48"/>
      <c r="AG342" s="48"/>
      <c r="AH342" s="48"/>
      <c r="AI342" s="48"/>
      <c r="AJ342" s="48"/>
      <c r="AK342" s="48"/>
      <c r="AL342" s="48"/>
      <c r="AM342" s="48"/>
      <c r="AN342" s="48"/>
      <c r="AO342" s="48"/>
      <c r="AP342" s="48"/>
      <c r="AQ342" s="48"/>
      <c r="AR342" s="48"/>
      <c r="AS342" s="48"/>
      <c r="AT342" s="48"/>
      <c r="AU342" s="48"/>
      <c r="AV342" s="48"/>
      <c r="AW342" s="48"/>
      <c r="AX342" s="48"/>
      <c r="AY342" s="48"/>
      <c r="AZ342" s="48"/>
      <c r="BA342" s="48"/>
      <c r="BB342" s="48"/>
      <c r="BC342" s="48"/>
      <c r="BD342" s="48"/>
      <c r="BE342" s="48"/>
      <c r="BF342" s="48"/>
      <c r="BG342" s="48"/>
      <c r="BH342" s="48"/>
      <c r="BI342" s="48"/>
      <c r="BJ342" s="48"/>
      <c r="BK342" s="48"/>
      <c r="BL342" s="48"/>
      <c r="BM342" s="48"/>
      <c r="BN342" s="48"/>
      <c r="BO342" s="48"/>
      <c r="BP342" s="48"/>
      <c r="BQ342" s="48"/>
      <c r="BR342" s="48"/>
      <c r="BS342" s="48"/>
      <c r="BT342" s="48"/>
      <c r="BU342" s="48"/>
      <c r="BV342" s="48"/>
      <c r="BW342" s="48"/>
      <c r="BX342" s="111"/>
    </row>
    <row r="343" spans="1:76">
      <c r="A343" s="37"/>
      <c r="B343" s="37"/>
      <c r="C343" s="37"/>
      <c r="D343" s="37"/>
      <c r="E343" s="37"/>
      <c r="F343" s="39" t="s">
        <v>400</v>
      </c>
      <c r="G343" s="59">
        <v>273</v>
      </c>
      <c r="H343" s="59">
        <v>169</v>
      </c>
      <c r="I343" s="59">
        <v>205</v>
      </c>
      <c r="J343" s="59">
        <v>186</v>
      </c>
      <c r="K343" s="59">
        <v>225</v>
      </c>
      <c r="L343" s="59">
        <v>171</v>
      </c>
      <c r="M343" s="59">
        <v>171</v>
      </c>
      <c r="N343" s="60">
        <v>200</v>
      </c>
      <c r="O343" s="36"/>
      <c r="P343" s="48"/>
      <c r="Q343" s="48"/>
      <c r="R343" s="48"/>
      <c r="S343" s="48"/>
      <c r="T343" s="48"/>
      <c r="U343" s="48"/>
      <c r="V343" s="48"/>
      <c r="W343" s="48"/>
      <c r="X343" s="48"/>
      <c r="Y343" s="48"/>
      <c r="Z343" s="48"/>
      <c r="AA343" s="48"/>
      <c r="AB343" s="48"/>
      <c r="AC343" s="48"/>
      <c r="AD343" s="48"/>
      <c r="AE343" s="48"/>
      <c r="AF343" s="48"/>
      <c r="AG343" s="48"/>
      <c r="AH343" s="48"/>
      <c r="AI343" s="48"/>
      <c r="AJ343" s="48"/>
      <c r="AK343" s="48"/>
      <c r="AL343" s="48"/>
      <c r="AM343" s="48"/>
      <c r="AN343" s="48"/>
      <c r="AO343" s="48"/>
      <c r="AP343" s="48"/>
      <c r="AQ343" s="48"/>
      <c r="AR343" s="48"/>
      <c r="AS343" s="48"/>
      <c r="AT343" s="48"/>
      <c r="AU343" s="48"/>
      <c r="AV343" s="48"/>
      <c r="AW343" s="48"/>
      <c r="AX343" s="48"/>
      <c r="AY343" s="48"/>
      <c r="AZ343" s="48"/>
      <c r="BA343" s="48"/>
      <c r="BB343" s="48"/>
      <c r="BC343" s="48"/>
      <c r="BD343" s="48"/>
      <c r="BE343" s="48"/>
      <c r="BF343" s="48"/>
      <c r="BG343" s="48"/>
      <c r="BH343" s="48"/>
      <c r="BI343" s="48"/>
      <c r="BJ343" s="48"/>
      <c r="BK343" s="48"/>
      <c r="BL343" s="48"/>
      <c r="BM343" s="48"/>
      <c r="BN343" s="48"/>
      <c r="BO343" s="48"/>
      <c r="BP343" s="48"/>
      <c r="BQ343" s="48"/>
      <c r="BR343" s="48"/>
      <c r="BS343" s="48"/>
      <c r="BT343" s="48"/>
      <c r="BU343" s="48"/>
      <c r="BV343" s="48"/>
      <c r="BW343" s="48"/>
      <c r="BX343" s="111"/>
    </row>
    <row r="344" spans="1:76">
      <c r="A344" s="37"/>
      <c r="B344" s="37"/>
      <c r="C344" s="37"/>
      <c r="D344" s="37"/>
      <c r="E344" s="37"/>
      <c r="F344" s="39" t="s">
        <v>401</v>
      </c>
      <c r="G344" s="59"/>
      <c r="H344" s="59"/>
      <c r="I344" s="59"/>
      <c r="J344" s="59"/>
      <c r="K344" s="59"/>
      <c r="L344" s="59"/>
      <c r="M344" s="59"/>
      <c r="N344" s="60"/>
      <c r="O344" s="36"/>
      <c r="P344" s="48"/>
      <c r="Q344" s="48"/>
      <c r="R344" s="48"/>
      <c r="S344" s="48"/>
      <c r="T344" s="48"/>
      <c r="U344" s="48"/>
      <c r="V344" s="48"/>
      <c r="W344" s="48"/>
      <c r="X344" s="48"/>
      <c r="Y344" s="48"/>
      <c r="Z344" s="48"/>
      <c r="AA344" s="48"/>
      <c r="AB344" s="48"/>
      <c r="AC344" s="48"/>
      <c r="AD344" s="48"/>
      <c r="AE344" s="48"/>
      <c r="AF344" s="48"/>
      <c r="AG344" s="48"/>
      <c r="AH344" s="48"/>
      <c r="AI344" s="48"/>
      <c r="AJ344" s="48"/>
      <c r="AK344" s="48"/>
      <c r="AL344" s="48"/>
      <c r="AM344" s="48"/>
      <c r="AN344" s="48"/>
      <c r="AO344" s="48"/>
      <c r="AP344" s="48"/>
      <c r="AQ344" s="48"/>
      <c r="AR344" s="48"/>
      <c r="AS344" s="48"/>
      <c r="AT344" s="48"/>
      <c r="AU344" s="48"/>
      <c r="AV344" s="48"/>
      <c r="AW344" s="48"/>
      <c r="AX344" s="48"/>
      <c r="AY344" s="48"/>
      <c r="AZ344" s="48"/>
      <c r="BA344" s="48"/>
      <c r="BB344" s="48"/>
      <c r="BC344" s="48"/>
      <c r="BD344" s="48"/>
      <c r="BE344" s="48"/>
      <c r="BF344" s="48"/>
      <c r="BG344" s="48"/>
      <c r="BH344" s="48"/>
      <c r="BI344" s="48"/>
      <c r="BJ344" s="48"/>
      <c r="BK344" s="48"/>
      <c r="BL344" s="48"/>
      <c r="BM344" s="48"/>
      <c r="BN344" s="48"/>
      <c r="BO344" s="48"/>
      <c r="BP344" s="48"/>
      <c r="BQ344" s="48"/>
      <c r="BR344" s="48"/>
      <c r="BS344" s="48"/>
      <c r="BT344" s="48"/>
      <c r="BU344" s="48"/>
      <c r="BV344" s="48"/>
      <c r="BW344" s="48"/>
      <c r="BX344" s="111"/>
    </row>
    <row r="345" spans="1:76">
      <c r="A345" s="37"/>
      <c r="B345" s="37"/>
      <c r="C345" s="37"/>
      <c r="D345" s="37"/>
      <c r="E345" s="37" t="s">
        <v>186</v>
      </c>
      <c r="F345" s="39"/>
      <c r="G345" s="39" t="str">
        <f t="shared" ref="G345:N345" si="57">IF(AND(OR(ISTEXT(G346), ISBLANK(G346)),OR(ISTEXT(G347), ISBLANK(G347)),TRUE),"", +IF(ISTEXT(G346), 0,G346)+IF(ISTEXT(G347), 0,G347))</f>
        <v/>
      </c>
      <c r="H345" s="39" t="str">
        <f t="shared" si="57"/>
        <v/>
      </c>
      <c r="I345" s="39" t="str">
        <f t="shared" si="57"/>
        <v/>
      </c>
      <c r="J345" s="39" t="str">
        <f t="shared" si="57"/>
        <v/>
      </c>
      <c r="K345" s="39" t="str">
        <f t="shared" si="57"/>
        <v/>
      </c>
      <c r="L345" s="39" t="str">
        <f t="shared" si="57"/>
        <v/>
      </c>
      <c r="M345" s="39" t="str">
        <f t="shared" si="57"/>
        <v/>
      </c>
      <c r="N345" s="48" t="str">
        <f t="shared" si="57"/>
        <v/>
      </c>
      <c r="O345" s="36"/>
      <c r="P345" s="48"/>
      <c r="Q345" s="48"/>
      <c r="R345" s="48"/>
      <c r="S345" s="48"/>
      <c r="T345" s="48"/>
      <c r="U345" s="48"/>
      <c r="V345" s="48"/>
      <c r="W345" s="48"/>
      <c r="X345" s="48"/>
      <c r="Y345" s="48"/>
      <c r="Z345" s="48"/>
      <c r="AA345" s="48"/>
      <c r="AB345" s="48"/>
      <c r="AC345" s="48"/>
      <c r="AD345" s="48"/>
      <c r="AE345" s="48"/>
      <c r="AF345" s="48"/>
      <c r="AG345" s="48"/>
      <c r="AH345" s="48"/>
      <c r="AI345" s="48"/>
      <c r="AJ345" s="48"/>
      <c r="AK345" s="48"/>
      <c r="AL345" s="48"/>
      <c r="AM345" s="48"/>
      <c r="AN345" s="48"/>
      <c r="AO345" s="48"/>
      <c r="AP345" s="48"/>
      <c r="AQ345" s="48"/>
      <c r="AR345" s="48"/>
      <c r="AS345" s="48"/>
      <c r="AT345" s="48"/>
      <c r="AU345" s="48"/>
      <c r="AV345" s="48"/>
      <c r="AW345" s="48"/>
      <c r="AX345" s="48"/>
      <c r="AY345" s="48"/>
      <c r="AZ345" s="48"/>
      <c r="BA345" s="48"/>
      <c r="BB345" s="48"/>
      <c r="BC345" s="48"/>
      <c r="BD345" s="48"/>
      <c r="BE345" s="48"/>
      <c r="BF345" s="48"/>
      <c r="BG345" s="48"/>
      <c r="BH345" s="48"/>
      <c r="BI345" s="48"/>
      <c r="BJ345" s="48"/>
      <c r="BK345" s="48"/>
      <c r="BL345" s="48"/>
      <c r="BM345" s="48"/>
      <c r="BN345" s="48"/>
      <c r="BO345" s="48"/>
      <c r="BP345" s="48"/>
      <c r="BQ345" s="48"/>
      <c r="BR345" s="48"/>
      <c r="BS345" s="48"/>
      <c r="BT345" s="48"/>
      <c r="BU345" s="48"/>
      <c r="BV345" s="48"/>
      <c r="BW345" s="48"/>
      <c r="BX345" s="111"/>
    </row>
    <row r="346" spans="1:76">
      <c r="A346" s="37"/>
      <c r="B346" s="37"/>
      <c r="C346" s="37"/>
      <c r="D346" s="37"/>
      <c r="E346" s="37"/>
      <c r="F346" s="39" t="s">
        <v>187</v>
      </c>
      <c r="G346" s="59"/>
      <c r="H346" s="59"/>
      <c r="I346" s="59"/>
      <c r="J346" s="59"/>
      <c r="K346" s="59"/>
      <c r="L346" s="59"/>
      <c r="M346" s="59"/>
      <c r="N346" s="60"/>
      <c r="O346" s="36"/>
      <c r="P346" s="48"/>
      <c r="Q346" s="48"/>
      <c r="R346" s="48"/>
      <c r="S346" s="48"/>
      <c r="T346" s="48"/>
      <c r="U346" s="48"/>
      <c r="V346" s="48"/>
      <c r="W346" s="48"/>
      <c r="X346" s="48"/>
      <c r="Y346" s="48"/>
      <c r="Z346" s="48"/>
      <c r="AA346" s="48"/>
      <c r="AB346" s="48"/>
      <c r="AC346" s="48"/>
      <c r="AD346" s="48"/>
      <c r="AE346" s="48"/>
      <c r="AF346" s="48"/>
      <c r="AG346" s="48"/>
      <c r="AH346" s="48"/>
      <c r="AI346" s="48"/>
      <c r="AJ346" s="48"/>
      <c r="AK346" s="48"/>
      <c r="AL346" s="48"/>
      <c r="AM346" s="48"/>
      <c r="AN346" s="48"/>
      <c r="AO346" s="48"/>
      <c r="AP346" s="48"/>
      <c r="AQ346" s="48"/>
      <c r="AR346" s="48"/>
      <c r="AS346" s="48"/>
      <c r="AT346" s="48"/>
      <c r="AU346" s="48"/>
      <c r="AV346" s="48"/>
      <c r="AW346" s="48"/>
      <c r="AX346" s="48"/>
      <c r="AY346" s="48"/>
      <c r="AZ346" s="48"/>
      <c r="BA346" s="48"/>
      <c r="BB346" s="48"/>
      <c r="BC346" s="48"/>
      <c r="BD346" s="48"/>
      <c r="BE346" s="48"/>
      <c r="BF346" s="48"/>
      <c r="BG346" s="48"/>
      <c r="BH346" s="48"/>
      <c r="BI346" s="48"/>
      <c r="BJ346" s="48"/>
      <c r="BK346" s="48"/>
      <c r="BL346" s="48"/>
      <c r="BM346" s="48"/>
      <c r="BN346" s="48"/>
      <c r="BO346" s="48"/>
      <c r="BP346" s="48"/>
      <c r="BQ346" s="48"/>
      <c r="BR346" s="48"/>
      <c r="BS346" s="48"/>
      <c r="BT346" s="48"/>
      <c r="BU346" s="48"/>
      <c r="BV346" s="48"/>
      <c r="BW346" s="48"/>
      <c r="BX346" s="111"/>
    </row>
    <row r="347" spans="1:76">
      <c r="A347" s="37"/>
      <c r="B347" s="37"/>
      <c r="C347" s="37"/>
      <c r="D347" s="37"/>
      <c r="E347" s="37"/>
      <c r="F347" s="39" t="s">
        <v>188</v>
      </c>
      <c r="G347" s="59"/>
      <c r="H347" s="59"/>
      <c r="I347" s="59"/>
      <c r="J347" s="59"/>
      <c r="K347" s="59"/>
      <c r="L347" s="59"/>
      <c r="M347" s="59"/>
      <c r="N347" s="60"/>
      <c r="O347" s="36"/>
      <c r="P347" s="48"/>
      <c r="Q347" s="48"/>
      <c r="R347" s="48"/>
      <c r="S347" s="48"/>
      <c r="T347" s="48"/>
      <c r="U347" s="48"/>
      <c r="V347" s="48"/>
      <c r="W347" s="48"/>
      <c r="X347" s="48"/>
      <c r="Y347" s="48"/>
      <c r="Z347" s="48"/>
      <c r="AA347" s="48"/>
      <c r="AB347" s="48"/>
      <c r="AC347" s="48"/>
      <c r="AD347" s="48"/>
      <c r="AE347" s="48"/>
      <c r="AF347" s="48"/>
      <c r="AG347" s="48"/>
      <c r="AH347" s="48"/>
      <c r="AI347" s="48"/>
      <c r="AJ347" s="48"/>
      <c r="AK347" s="48"/>
      <c r="AL347" s="48"/>
      <c r="AM347" s="48"/>
      <c r="AN347" s="48"/>
      <c r="AO347" s="48"/>
      <c r="AP347" s="48"/>
      <c r="AQ347" s="48"/>
      <c r="AR347" s="48"/>
      <c r="AS347" s="48"/>
      <c r="AT347" s="48"/>
      <c r="AU347" s="48"/>
      <c r="AV347" s="48"/>
      <c r="AW347" s="48"/>
      <c r="AX347" s="48"/>
      <c r="AY347" s="48"/>
      <c r="AZ347" s="48"/>
      <c r="BA347" s="48"/>
      <c r="BB347" s="48"/>
      <c r="BC347" s="48"/>
      <c r="BD347" s="48"/>
      <c r="BE347" s="48"/>
      <c r="BF347" s="48"/>
      <c r="BG347" s="48"/>
      <c r="BH347" s="48"/>
      <c r="BI347" s="48"/>
      <c r="BJ347" s="48"/>
      <c r="BK347" s="48"/>
      <c r="BL347" s="48"/>
      <c r="BM347" s="48"/>
      <c r="BN347" s="48"/>
      <c r="BO347" s="48"/>
      <c r="BP347" s="48"/>
      <c r="BQ347" s="48"/>
      <c r="BR347" s="48"/>
      <c r="BS347" s="48"/>
      <c r="BT347" s="48"/>
      <c r="BU347" s="48"/>
      <c r="BV347" s="48"/>
      <c r="BW347" s="48"/>
      <c r="BX347" s="111"/>
    </row>
    <row r="348" spans="1:76">
      <c r="A348" s="37"/>
      <c r="B348" s="37"/>
      <c r="C348" s="37"/>
      <c r="D348" s="37" t="s">
        <v>1640</v>
      </c>
      <c r="E348" s="37"/>
      <c r="F348" s="39"/>
      <c r="G348" s="59"/>
      <c r="H348" s="59"/>
      <c r="I348" s="59"/>
      <c r="J348" s="59"/>
      <c r="K348" s="59">
        <v>40</v>
      </c>
      <c r="L348" s="59">
        <v>170</v>
      </c>
      <c r="M348" s="59">
        <v>172</v>
      </c>
      <c r="N348" s="60">
        <v>176</v>
      </c>
      <c r="O348" s="58"/>
      <c r="P348" s="48"/>
      <c r="Q348" s="48"/>
      <c r="R348" s="48"/>
      <c r="S348" s="48"/>
      <c r="T348" s="48"/>
      <c r="U348" s="48"/>
      <c r="V348" s="48"/>
      <c r="W348" s="48"/>
      <c r="X348" s="48"/>
      <c r="Y348" s="48"/>
      <c r="Z348" s="48"/>
      <c r="AA348" s="48"/>
      <c r="AB348" s="48"/>
      <c r="AC348" s="48"/>
      <c r="AD348" s="48"/>
      <c r="AE348" s="48"/>
      <c r="AF348" s="48"/>
      <c r="AG348" s="48"/>
      <c r="AH348" s="48"/>
      <c r="AI348" s="48"/>
      <c r="AJ348" s="48"/>
      <c r="AK348" s="48"/>
      <c r="AL348" s="48"/>
      <c r="AM348" s="48"/>
      <c r="AN348" s="48"/>
      <c r="AO348" s="48"/>
      <c r="AP348" s="48"/>
      <c r="AQ348" s="48"/>
      <c r="AR348" s="48"/>
      <c r="AS348" s="48"/>
      <c r="AT348" s="48"/>
      <c r="AU348" s="48"/>
      <c r="AV348" s="48"/>
      <c r="AW348" s="48"/>
      <c r="AX348" s="48"/>
      <c r="AY348" s="48"/>
      <c r="AZ348" s="48"/>
      <c r="BA348" s="48"/>
      <c r="BB348" s="48"/>
      <c r="BC348" s="48"/>
      <c r="BD348" s="48"/>
      <c r="BE348" s="48"/>
      <c r="BF348" s="48"/>
      <c r="BG348" s="48"/>
      <c r="BH348" s="48"/>
      <c r="BI348" s="48"/>
      <c r="BJ348" s="48"/>
      <c r="BK348" s="48"/>
      <c r="BL348" s="48"/>
      <c r="BM348" s="48"/>
      <c r="BN348" s="48"/>
      <c r="BO348" s="48"/>
      <c r="BP348" s="48"/>
      <c r="BQ348" s="48"/>
      <c r="BR348" s="48"/>
      <c r="BS348" s="48"/>
      <c r="BT348" s="48"/>
      <c r="BU348" s="48"/>
      <c r="BV348" s="48"/>
      <c r="BW348" s="48"/>
      <c r="BX348" s="111"/>
    </row>
    <row r="349" spans="1:76">
      <c r="A349" s="37"/>
      <c r="B349" s="37"/>
      <c r="C349" s="37"/>
      <c r="D349" s="37" t="s">
        <v>1641</v>
      </c>
      <c r="E349" s="37"/>
      <c r="F349" s="39"/>
      <c r="G349" s="59">
        <v>898</v>
      </c>
      <c r="H349" s="59">
        <v>687</v>
      </c>
      <c r="I349" s="59">
        <v>988</v>
      </c>
      <c r="J349" s="59">
        <v>585</v>
      </c>
      <c r="K349" s="59">
        <v>310</v>
      </c>
      <c r="L349" s="59">
        <v>870</v>
      </c>
      <c r="M349" s="59">
        <v>233</v>
      </c>
      <c r="N349" s="60">
        <v>619</v>
      </c>
      <c r="O349" s="36"/>
      <c r="P349" s="48"/>
      <c r="Q349" s="48"/>
      <c r="R349" s="48"/>
      <c r="S349" s="48"/>
      <c r="T349" s="48"/>
      <c r="U349" s="48"/>
      <c r="V349" s="48"/>
      <c r="W349" s="48"/>
      <c r="X349" s="48"/>
      <c r="Y349" s="48"/>
      <c r="Z349" s="48"/>
      <c r="AA349" s="48"/>
      <c r="AB349" s="48"/>
      <c r="AC349" s="48"/>
      <c r="AD349" s="48"/>
      <c r="AE349" s="48"/>
      <c r="AF349" s="48"/>
      <c r="AG349" s="48"/>
      <c r="AH349" s="48"/>
      <c r="AI349" s="48"/>
      <c r="AJ349" s="48"/>
      <c r="AK349" s="48"/>
      <c r="AL349" s="48"/>
      <c r="AM349" s="48"/>
      <c r="AN349" s="48"/>
      <c r="AO349" s="48"/>
      <c r="AP349" s="48"/>
      <c r="AQ349" s="48"/>
      <c r="AR349" s="48"/>
      <c r="AS349" s="48"/>
      <c r="AT349" s="48"/>
      <c r="AU349" s="48"/>
      <c r="AV349" s="48"/>
      <c r="AW349" s="48"/>
      <c r="AX349" s="48"/>
      <c r="AY349" s="48"/>
      <c r="AZ349" s="48"/>
      <c r="BA349" s="48"/>
      <c r="BB349" s="48"/>
      <c r="BC349" s="48"/>
      <c r="BD349" s="48"/>
      <c r="BE349" s="48"/>
      <c r="BF349" s="48"/>
      <c r="BG349" s="48"/>
      <c r="BH349" s="48"/>
      <c r="BI349" s="48"/>
      <c r="BJ349" s="48"/>
      <c r="BK349" s="48"/>
      <c r="BL349" s="48"/>
      <c r="BM349" s="48"/>
      <c r="BN349" s="48"/>
      <c r="BO349" s="48"/>
      <c r="BP349" s="48"/>
      <c r="BQ349" s="48"/>
      <c r="BR349" s="48"/>
      <c r="BS349" s="48"/>
      <c r="BT349" s="48"/>
      <c r="BU349" s="48"/>
      <c r="BV349" s="48"/>
      <c r="BW349" s="48"/>
      <c r="BX349" s="111"/>
    </row>
    <row r="350" spans="1:76">
      <c r="A350" s="37"/>
      <c r="B350" s="37"/>
      <c r="C350" s="37"/>
      <c r="D350" s="37" t="s">
        <v>1341</v>
      </c>
      <c r="E350" s="37"/>
      <c r="F350" s="39"/>
      <c r="G350" s="39" t="str">
        <f t="shared" ref="G350:N350" si="58">IF(AND(OR(ISTEXT(G351), ISBLANK(G351)),OR(ISTEXT(G352), ISBLANK(G352)),OR(ISTEXT(G353), ISBLANK(G353)),OR(ISTEXT(G354), ISBLANK(G354)),TRUE),"", +IF(ISTEXT(G351), 0,G351)+IF(ISTEXT(G352), 0,G352)+IF(ISTEXT(G353), 0,G353)+IF(ISTEXT(G354), 0,G354))</f>
        <v/>
      </c>
      <c r="H350" s="39" t="str">
        <f t="shared" si="58"/>
        <v/>
      </c>
      <c r="I350" s="39" t="str">
        <f t="shared" si="58"/>
        <v/>
      </c>
      <c r="J350" s="39" t="str">
        <f t="shared" si="58"/>
        <v/>
      </c>
      <c r="K350" s="39" t="str">
        <f t="shared" si="58"/>
        <v/>
      </c>
      <c r="L350" s="39" t="str">
        <f t="shared" si="58"/>
        <v/>
      </c>
      <c r="M350" s="39" t="str">
        <f t="shared" si="58"/>
        <v/>
      </c>
      <c r="N350" s="48" t="str">
        <f t="shared" si="58"/>
        <v/>
      </c>
      <c r="O350" s="36"/>
      <c r="P350" s="48"/>
      <c r="Q350" s="48"/>
      <c r="R350" s="48"/>
      <c r="S350" s="48"/>
      <c r="T350" s="48"/>
      <c r="U350" s="48"/>
      <c r="V350" s="48"/>
      <c r="W350" s="48"/>
      <c r="X350" s="48"/>
      <c r="Y350" s="48"/>
      <c r="Z350" s="48"/>
      <c r="AA350" s="48"/>
      <c r="AB350" s="48"/>
      <c r="AC350" s="48"/>
      <c r="AD350" s="48"/>
      <c r="AE350" s="48"/>
      <c r="AF350" s="48"/>
      <c r="AG350" s="48"/>
      <c r="AH350" s="48"/>
      <c r="AI350" s="48"/>
      <c r="AJ350" s="48"/>
      <c r="AK350" s="48"/>
      <c r="AL350" s="48"/>
      <c r="AM350" s="48"/>
      <c r="AN350" s="48"/>
      <c r="AO350" s="48"/>
      <c r="AP350" s="48"/>
      <c r="AQ350" s="48"/>
      <c r="AR350" s="48"/>
      <c r="AS350" s="48"/>
      <c r="AT350" s="48"/>
      <c r="AU350" s="48"/>
      <c r="AV350" s="48"/>
      <c r="AW350" s="48"/>
      <c r="AX350" s="48"/>
      <c r="AY350" s="48"/>
      <c r="AZ350" s="48"/>
      <c r="BA350" s="48"/>
      <c r="BB350" s="48"/>
      <c r="BC350" s="48"/>
      <c r="BD350" s="48"/>
      <c r="BE350" s="48"/>
      <c r="BF350" s="48"/>
      <c r="BG350" s="48"/>
      <c r="BH350" s="48"/>
      <c r="BI350" s="48"/>
      <c r="BJ350" s="48"/>
      <c r="BK350" s="48"/>
      <c r="BL350" s="48"/>
      <c r="BM350" s="48"/>
      <c r="BN350" s="48"/>
      <c r="BO350" s="48"/>
      <c r="BP350" s="48"/>
      <c r="BQ350" s="48"/>
      <c r="BR350" s="48"/>
      <c r="BS350" s="48"/>
      <c r="BT350" s="48"/>
      <c r="BU350" s="48"/>
      <c r="BV350" s="48"/>
      <c r="BW350" s="48"/>
      <c r="BX350" s="111"/>
    </row>
    <row r="351" spans="1:76">
      <c r="A351" s="37"/>
      <c r="B351" s="37"/>
      <c r="C351" s="37"/>
      <c r="D351" s="37"/>
      <c r="E351" s="37" t="s">
        <v>1342</v>
      </c>
      <c r="F351" s="39"/>
      <c r="G351" s="59"/>
      <c r="H351" s="59"/>
      <c r="I351" s="59"/>
      <c r="J351" s="59"/>
      <c r="K351" s="59"/>
      <c r="L351" s="59"/>
      <c r="M351" s="59"/>
      <c r="N351" s="60"/>
      <c r="O351" s="36"/>
      <c r="P351" s="48"/>
      <c r="Q351" s="48"/>
      <c r="R351" s="48"/>
      <c r="S351" s="48"/>
      <c r="T351" s="48"/>
      <c r="U351" s="48"/>
      <c r="V351" s="48"/>
      <c r="W351" s="48"/>
      <c r="X351" s="48"/>
      <c r="Y351" s="48"/>
      <c r="Z351" s="48"/>
      <c r="AA351" s="48"/>
      <c r="AB351" s="48"/>
      <c r="AC351" s="48"/>
      <c r="AD351" s="48"/>
      <c r="AE351" s="48"/>
      <c r="AF351" s="48"/>
      <c r="AG351" s="48"/>
      <c r="AH351" s="48"/>
      <c r="AI351" s="48"/>
      <c r="AJ351" s="48"/>
      <c r="AK351" s="48"/>
      <c r="AL351" s="48"/>
      <c r="AM351" s="48"/>
      <c r="AN351" s="48"/>
      <c r="AO351" s="48"/>
      <c r="AP351" s="48"/>
      <c r="AQ351" s="48"/>
      <c r="AR351" s="48"/>
      <c r="AS351" s="48"/>
      <c r="AT351" s="48"/>
      <c r="AU351" s="48"/>
      <c r="AV351" s="48"/>
      <c r="AW351" s="48"/>
      <c r="AX351" s="48"/>
      <c r="AY351" s="48"/>
      <c r="AZ351" s="48"/>
      <c r="BA351" s="48"/>
      <c r="BB351" s="48"/>
      <c r="BC351" s="48"/>
      <c r="BD351" s="48"/>
      <c r="BE351" s="48"/>
      <c r="BF351" s="48"/>
      <c r="BG351" s="48"/>
      <c r="BH351" s="48"/>
      <c r="BI351" s="48"/>
      <c r="BJ351" s="48"/>
      <c r="BK351" s="48"/>
      <c r="BL351" s="48"/>
      <c r="BM351" s="48"/>
      <c r="BN351" s="48"/>
      <c r="BO351" s="48"/>
      <c r="BP351" s="48"/>
      <c r="BQ351" s="48"/>
      <c r="BR351" s="48"/>
      <c r="BS351" s="48"/>
      <c r="BT351" s="48"/>
      <c r="BU351" s="48"/>
      <c r="BV351" s="48"/>
      <c r="BW351" s="48"/>
      <c r="BX351" s="111"/>
    </row>
    <row r="352" spans="1:76">
      <c r="A352" s="37"/>
      <c r="B352" s="37"/>
      <c r="C352" s="37"/>
      <c r="D352" s="37"/>
      <c r="E352" s="37" t="s">
        <v>204</v>
      </c>
      <c r="F352" s="39"/>
      <c r="G352" s="59"/>
      <c r="H352" s="59"/>
      <c r="I352" s="59"/>
      <c r="J352" s="59"/>
      <c r="K352" s="59"/>
      <c r="L352" s="59"/>
      <c r="M352" s="59"/>
      <c r="N352" s="60"/>
      <c r="O352" s="36"/>
      <c r="P352" s="48"/>
      <c r="Q352" s="48"/>
      <c r="R352" s="48"/>
      <c r="S352" s="48"/>
      <c r="T352" s="48"/>
      <c r="U352" s="48"/>
      <c r="V352" s="48"/>
      <c r="W352" s="48"/>
      <c r="X352" s="48"/>
      <c r="Y352" s="48"/>
      <c r="Z352" s="48"/>
      <c r="AA352" s="48"/>
      <c r="AB352" s="48"/>
      <c r="AC352" s="48"/>
      <c r="AD352" s="48"/>
      <c r="AE352" s="48"/>
      <c r="AF352" s="48"/>
      <c r="AG352" s="48"/>
      <c r="AH352" s="48"/>
      <c r="AI352" s="48"/>
      <c r="AJ352" s="48"/>
      <c r="AK352" s="48"/>
      <c r="AL352" s="48"/>
      <c r="AM352" s="48"/>
      <c r="AN352" s="48"/>
      <c r="AO352" s="48"/>
      <c r="AP352" s="48"/>
      <c r="AQ352" s="48"/>
      <c r="AR352" s="48"/>
      <c r="AS352" s="48"/>
      <c r="AT352" s="48"/>
      <c r="AU352" s="48"/>
      <c r="AV352" s="48"/>
      <c r="AW352" s="48"/>
      <c r="AX352" s="48"/>
      <c r="AY352" s="48"/>
      <c r="AZ352" s="48"/>
      <c r="BA352" s="48"/>
      <c r="BB352" s="48"/>
      <c r="BC352" s="48"/>
      <c r="BD352" s="48"/>
      <c r="BE352" s="48"/>
      <c r="BF352" s="48"/>
      <c r="BG352" s="48"/>
      <c r="BH352" s="48"/>
      <c r="BI352" s="48"/>
      <c r="BJ352" s="48"/>
      <c r="BK352" s="48"/>
      <c r="BL352" s="48"/>
      <c r="BM352" s="48"/>
      <c r="BN352" s="48"/>
      <c r="BO352" s="48"/>
      <c r="BP352" s="48"/>
      <c r="BQ352" s="48"/>
      <c r="BR352" s="48"/>
      <c r="BS352" s="48"/>
      <c r="BT352" s="48"/>
      <c r="BU352" s="48"/>
      <c r="BV352" s="48"/>
      <c r="BW352" s="48"/>
      <c r="BX352" s="111"/>
    </row>
    <row r="353" spans="1:76">
      <c r="A353" s="37"/>
      <c r="B353" s="37"/>
      <c r="C353" s="37"/>
      <c r="D353" s="37"/>
      <c r="E353" s="37" t="s">
        <v>1500</v>
      </c>
      <c r="F353" s="39"/>
      <c r="G353" s="59"/>
      <c r="H353" s="59"/>
      <c r="I353" s="59"/>
      <c r="J353" s="59"/>
      <c r="K353" s="59"/>
      <c r="L353" s="59"/>
      <c r="M353" s="59"/>
      <c r="N353" s="60"/>
      <c r="O353" s="36"/>
      <c r="P353" s="48"/>
      <c r="Q353" s="48"/>
      <c r="R353" s="48"/>
      <c r="S353" s="48"/>
      <c r="T353" s="48"/>
      <c r="U353" s="48"/>
      <c r="V353" s="48"/>
      <c r="W353" s="48"/>
      <c r="X353" s="48"/>
      <c r="Y353" s="48"/>
      <c r="Z353" s="48"/>
      <c r="AA353" s="48"/>
      <c r="AB353" s="48"/>
      <c r="AC353" s="48"/>
      <c r="AD353" s="48"/>
      <c r="AE353" s="48"/>
      <c r="AF353" s="48"/>
      <c r="AG353" s="48"/>
      <c r="AH353" s="48"/>
      <c r="AI353" s="48"/>
      <c r="AJ353" s="48"/>
      <c r="AK353" s="48"/>
      <c r="AL353" s="48"/>
      <c r="AM353" s="48"/>
      <c r="AN353" s="48"/>
      <c r="AO353" s="48"/>
      <c r="AP353" s="48"/>
      <c r="AQ353" s="48"/>
      <c r="AR353" s="48"/>
      <c r="AS353" s="48"/>
      <c r="AT353" s="48"/>
      <c r="AU353" s="48"/>
      <c r="AV353" s="48"/>
      <c r="AW353" s="48"/>
      <c r="AX353" s="48"/>
      <c r="AY353" s="48"/>
      <c r="AZ353" s="48"/>
      <c r="BA353" s="48"/>
      <c r="BB353" s="48"/>
      <c r="BC353" s="48"/>
      <c r="BD353" s="48"/>
      <c r="BE353" s="48"/>
      <c r="BF353" s="48"/>
      <c r="BG353" s="48"/>
      <c r="BH353" s="48"/>
      <c r="BI353" s="48"/>
      <c r="BJ353" s="48"/>
      <c r="BK353" s="48"/>
      <c r="BL353" s="48"/>
      <c r="BM353" s="48"/>
      <c r="BN353" s="48"/>
      <c r="BO353" s="48"/>
      <c r="BP353" s="48"/>
      <c r="BQ353" s="48"/>
      <c r="BR353" s="48"/>
      <c r="BS353" s="48"/>
      <c r="BT353" s="48"/>
      <c r="BU353" s="48"/>
      <c r="BV353" s="48"/>
      <c r="BW353" s="48"/>
      <c r="BX353" s="111"/>
    </row>
    <row r="354" spans="1:76">
      <c r="A354" s="37"/>
      <c r="B354" s="37"/>
      <c r="C354" s="37"/>
      <c r="D354" s="37"/>
      <c r="E354" s="37" t="s">
        <v>1304</v>
      </c>
      <c r="F354" s="39"/>
      <c r="G354" s="59"/>
      <c r="H354" s="59"/>
      <c r="I354" s="59"/>
      <c r="J354" s="59"/>
      <c r="K354" s="59"/>
      <c r="L354" s="59"/>
      <c r="M354" s="59"/>
      <c r="N354" s="60"/>
      <c r="O354" s="36"/>
      <c r="P354" s="48"/>
      <c r="Q354" s="48"/>
      <c r="R354" s="48"/>
      <c r="S354" s="48"/>
      <c r="T354" s="48"/>
      <c r="U354" s="48"/>
      <c r="V354" s="48"/>
      <c r="W354" s="48"/>
      <c r="X354" s="48"/>
      <c r="Y354" s="48"/>
      <c r="Z354" s="48"/>
      <c r="AA354" s="48"/>
      <c r="AB354" s="48"/>
      <c r="AC354" s="48"/>
      <c r="AD354" s="48"/>
      <c r="AE354" s="48"/>
      <c r="AF354" s="48"/>
      <c r="AG354" s="48"/>
      <c r="AH354" s="48"/>
      <c r="AI354" s="48"/>
      <c r="AJ354" s="48"/>
      <c r="AK354" s="48"/>
      <c r="AL354" s="48"/>
      <c r="AM354" s="48"/>
      <c r="AN354" s="48"/>
      <c r="AO354" s="48"/>
      <c r="AP354" s="48"/>
      <c r="AQ354" s="48"/>
      <c r="AR354" s="48"/>
      <c r="AS354" s="48"/>
      <c r="AT354" s="48"/>
      <c r="AU354" s="48"/>
      <c r="AV354" s="48"/>
      <c r="AW354" s="48"/>
      <c r="AX354" s="48"/>
      <c r="AY354" s="48"/>
      <c r="AZ354" s="48"/>
      <c r="BA354" s="48"/>
      <c r="BB354" s="48"/>
      <c r="BC354" s="48"/>
      <c r="BD354" s="48"/>
      <c r="BE354" s="48"/>
      <c r="BF354" s="48"/>
      <c r="BG354" s="48"/>
      <c r="BH354" s="48"/>
      <c r="BI354" s="48"/>
      <c r="BJ354" s="48"/>
      <c r="BK354" s="48"/>
      <c r="BL354" s="48"/>
      <c r="BM354" s="48"/>
      <c r="BN354" s="48"/>
      <c r="BO354" s="48"/>
      <c r="BP354" s="48"/>
      <c r="BQ354" s="48"/>
      <c r="BR354" s="48"/>
      <c r="BS354" s="48"/>
      <c r="BT354" s="48"/>
      <c r="BU354" s="48"/>
      <c r="BV354" s="48"/>
      <c r="BW354" s="48"/>
      <c r="BX354" s="111"/>
    </row>
    <row r="355" spans="1:76">
      <c r="A355" s="37"/>
      <c r="B355" s="37"/>
      <c r="C355" s="37"/>
      <c r="D355" s="37" t="s">
        <v>1438</v>
      </c>
      <c r="E355" s="37"/>
      <c r="F355" s="39"/>
      <c r="G355" s="39" t="str">
        <f t="shared" ref="G355:N355" si="59">IF(AND(OR(ISTEXT(G356), ISBLANK(G356)),OR(ISTEXT(G357), ISBLANK(G357)),OR(ISTEXT(G358), ISBLANK(G358)),TRUE),"", +IF(ISTEXT(G356), 0,G356)+IF(ISTEXT(G357), 0,G357)+IF(ISTEXT(G358), 0,G358))</f>
        <v/>
      </c>
      <c r="H355" s="39" t="str">
        <f t="shared" si="59"/>
        <v/>
      </c>
      <c r="I355" s="39" t="str">
        <f t="shared" si="59"/>
        <v/>
      </c>
      <c r="J355" s="39" t="str">
        <f t="shared" si="59"/>
        <v/>
      </c>
      <c r="K355" s="39" t="str">
        <f t="shared" si="59"/>
        <v/>
      </c>
      <c r="L355" s="39" t="str">
        <f t="shared" si="59"/>
        <v/>
      </c>
      <c r="M355" s="39" t="str">
        <f t="shared" si="59"/>
        <v/>
      </c>
      <c r="N355" s="48" t="str">
        <f t="shared" si="59"/>
        <v/>
      </c>
      <c r="O355" s="36"/>
      <c r="P355" s="48"/>
      <c r="Q355" s="48"/>
      <c r="R355" s="48"/>
      <c r="S355" s="48"/>
      <c r="T355" s="48"/>
      <c r="U355" s="48"/>
      <c r="V355" s="48"/>
      <c r="W355" s="48"/>
      <c r="X355" s="48"/>
      <c r="Y355" s="48"/>
      <c r="Z355" s="48"/>
      <c r="AA355" s="48"/>
      <c r="AB355" s="48"/>
      <c r="AC355" s="48"/>
      <c r="AD355" s="48"/>
      <c r="AE355" s="48"/>
      <c r="AF355" s="48"/>
      <c r="AG355" s="48"/>
      <c r="AH355" s="48"/>
      <c r="AI355" s="48"/>
      <c r="AJ355" s="48"/>
      <c r="AK355" s="48"/>
      <c r="AL355" s="48"/>
      <c r="AM355" s="48"/>
      <c r="AN355" s="48"/>
      <c r="AO355" s="48"/>
      <c r="AP355" s="48"/>
      <c r="AQ355" s="48"/>
      <c r="AR355" s="48"/>
      <c r="AS355" s="48"/>
      <c r="AT355" s="48"/>
      <c r="AU355" s="48"/>
      <c r="AV355" s="48"/>
      <c r="AW355" s="48"/>
      <c r="AX355" s="48"/>
      <c r="AY355" s="48"/>
      <c r="AZ355" s="48"/>
      <c r="BA355" s="48"/>
      <c r="BB355" s="48"/>
      <c r="BC355" s="48"/>
      <c r="BD355" s="48"/>
      <c r="BE355" s="48"/>
      <c r="BF355" s="48"/>
      <c r="BG355" s="48"/>
      <c r="BH355" s="48"/>
      <c r="BI355" s="48"/>
      <c r="BJ355" s="48"/>
      <c r="BK355" s="48"/>
      <c r="BL355" s="48"/>
      <c r="BM355" s="48"/>
      <c r="BN355" s="48"/>
      <c r="BO355" s="48"/>
      <c r="BP355" s="48"/>
      <c r="BQ355" s="48"/>
      <c r="BR355" s="48"/>
      <c r="BS355" s="48"/>
      <c r="BT355" s="48"/>
      <c r="BU355" s="48"/>
      <c r="BV355" s="48"/>
      <c r="BW355" s="48"/>
      <c r="BX355" s="111"/>
    </row>
    <row r="356" spans="1:76">
      <c r="A356" s="37"/>
      <c r="B356" s="37"/>
      <c r="C356" s="37"/>
      <c r="D356" s="37"/>
      <c r="E356" s="37" t="s">
        <v>455</v>
      </c>
      <c r="F356" s="39"/>
      <c r="G356" s="59"/>
      <c r="H356" s="59"/>
      <c r="I356" s="59"/>
      <c r="J356" s="59"/>
      <c r="K356" s="59"/>
      <c r="L356" s="59"/>
      <c r="M356" s="59"/>
      <c r="N356" s="60"/>
      <c r="O356" s="36"/>
      <c r="P356" s="48"/>
      <c r="Q356" s="48"/>
      <c r="R356" s="48"/>
      <c r="S356" s="48"/>
      <c r="T356" s="48"/>
      <c r="U356" s="48"/>
      <c r="V356" s="48"/>
      <c r="W356" s="48"/>
      <c r="X356" s="48"/>
      <c r="Y356" s="48"/>
      <c r="Z356" s="48"/>
      <c r="AA356" s="48"/>
      <c r="AB356" s="48"/>
      <c r="AC356" s="48"/>
      <c r="AD356" s="48"/>
      <c r="AE356" s="48"/>
      <c r="AF356" s="48"/>
      <c r="AG356" s="48"/>
      <c r="AH356" s="48"/>
      <c r="AI356" s="48"/>
      <c r="AJ356" s="48"/>
      <c r="AK356" s="48"/>
      <c r="AL356" s="48"/>
      <c r="AM356" s="48"/>
      <c r="AN356" s="48"/>
      <c r="AO356" s="48"/>
      <c r="AP356" s="48"/>
      <c r="AQ356" s="48"/>
      <c r="AR356" s="48"/>
      <c r="AS356" s="48"/>
      <c r="AT356" s="48"/>
      <c r="AU356" s="48"/>
      <c r="AV356" s="48"/>
      <c r="AW356" s="48"/>
      <c r="AX356" s="48"/>
      <c r="AY356" s="48"/>
      <c r="AZ356" s="48"/>
      <c r="BA356" s="48"/>
      <c r="BB356" s="48"/>
      <c r="BC356" s="48"/>
      <c r="BD356" s="48"/>
      <c r="BE356" s="48"/>
      <c r="BF356" s="48"/>
      <c r="BG356" s="48"/>
      <c r="BH356" s="48"/>
      <c r="BI356" s="48"/>
      <c r="BJ356" s="48"/>
      <c r="BK356" s="48"/>
      <c r="BL356" s="48"/>
      <c r="BM356" s="48"/>
      <c r="BN356" s="48"/>
      <c r="BO356" s="48"/>
      <c r="BP356" s="48"/>
      <c r="BQ356" s="48"/>
      <c r="BR356" s="48"/>
      <c r="BS356" s="48"/>
      <c r="BT356" s="48"/>
      <c r="BU356" s="48"/>
      <c r="BV356" s="48"/>
      <c r="BW356" s="48"/>
      <c r="BX356" s="111"/>
    </row>
    <row r="357" spans="1:76">
      <c r="A357" s="37"/>
      <c r="B357" s="37"/>
      <c r="C357" s="37"/>
      <c r="D357" s="37"/>
      <c r="E357" s="37" t="s">
        <v>1714</v>
      </c>
      <c r="F357" s="39"/>
      <c r="G357" s="59"/>
      <c r="H357" s="59"/>
      <c r="I357" s="59"/>
      <c r="J357" s="59"/>
      <c r="K357" s="59"/>
      <c r="L357" s="59"/>
      <c r="M357" s="59"/>
      <c r="N357" s="60"/>
      <c r="O357" s="36"/>
      <c r="P357" s="48"/>
      <c r="Q357" s="48"/>
      <c r="R357" s="48"/>
      <c r="S357" s="48"/>
      <c r="T357" s="48"/>
      <c r="U357" s="48"/>
      <c r="V357" s="48"/>
      <c r="W357" s="48"/>
      <c r="X357" s="48"/>
      <c r="Y357" s="48"/>
      <c r="Z357" s="48"/>
      <c r="AA357" s="48"/>
      <c r="AB357" s="48"/>
      <c r="AC357" s="48"/>
      <c r="AD357" s="48"/>
      <c r="AE357" s="48"/>
      <c r="AF357" s="48"/>
      <c r="AG357" s="48"/>
      <c r="AH357" s="48"/>
      <c r="AI357" s="48"/>
      <c r="AJ357" s="48"/>
      <c r="AK357" s="48"/>
      <c r="AL357" s="48"/>
      <c r="AM357" s="48"/>
      <c r="AN357" s="48"/>
      <c r="AO357" s="48"/>
      <c r="AP357" s="48"/>
      <c r="AQ357" s="48"/>
      <c r="AR357" s="48"/>
      <c r="AS357" s="48"/>
      <c r="AT357" s="48"/>
      <c r="AU357" s="48"/>
      <c r="AV357" s="48"/>
      <c r="AW357" s="48"/>
      <c r="AX357" s="48"/>
      <c r="AY357" s="48"/>
      <c r="AZ357" s="48"/>
      <c r="BA357" s="48"/>
      <c r="BB357" s="48"/>
      <c r="BC357" s="48"/>
      <c r="BD357" s="48"/>
      <c r="BE357" s="48"/>
      <c r="BF357" s="48"/>
      <c r="BG357" s="48"/>
      <c r="BH357" s="48"/>
      <c r="BI357" s="48"/>
      <c r="BJ357" s="48"/>
      <c r="BK357" s="48"/>
      <c r="BL357" s="48"/>
      <c r="BM357" s="48"/>
      <c r="BN357" s="48"/>
      <c r="BO357" s="48"/>
      <c r="BP357" s="48"/>
      <c r="BQ357" s="48"/>
      <c r="BR357" s="48"/>
      <c r="BS357" s="48"/>
      <c r="BT357" s="48"/>
      <c r="BU357" s="48"/>
      <c r="BV357" s="48"/>
      <c r="BW357" s="48"/>
      <c r="BX357" s="111"/>
    </row>
    <row r="358" spans="1:76">
      <c r="A358" s="37"/>
      <c r="B358" s="37"/>
      <c r="C358" s="37"/>
      <c r="D358" s="37"/>
      <c r="E358" s="37" t="s">
        <v>2065</v>
      </c>
      <c r="F358" s="39"/>
      <c r="G358" s="59"/>
      <c r="H358" s="59"/>
      <c r="I358" s="59"/>
      <c r="J358" s="59"/>
      <c r="K358" s="59"/>
      <c r="L358" s="59"/>
      <c r="M358" s="59"/>
      <c r="N358" s="60"/>
      <c r="O358" s="36"/>
      <c r="P358" s="48"/>
      <c r="Q358" s="48"/>
      <c r="R358" s="48"/>
      <c r="S358" s="48"/>
      <c r="T358" s="48"/>
      <c r="U358" s="48"/>
      <c r="V358" s="48"/>
      <c r="W358" s="48"/>
      <c r="X358" s="48"/>
      <c r="Y358" s="48"/>
      <c r="Z358" s="48"/>
      <c r="AA358" s="48"/>
      <c r="AB358" s="48"/>
      <c r="AC358" s="48"/>
      <c r="AD358" s="48"/>
      <c r="AE358" s="48"/>
      <c r="AF358" s="48"/>
      <c r="AG358" s="48"/>
      <c r="AH358" s="48"/>
      <c r="AI358" s="48"/>
      <c r="AJ358" s="48"/>
      <c r="AK358" s="48"/>
      <c r="AL358" s="48"/>
      <c r="AM358" s="48"/>
      <c r="AN358" s="48"/>
      <c r="AO358" s="48"/>
      <c r="AP358" s="48"/>
      <c r="AQ358" s="48"/>
      <c r="AR358" s="48"/>
      <c r="AS358" s="48"/>
      <c r="AT358" s="48"/>
      <c r="AU358" s="48"/>
      <c r="AV358" s="48"/>
      <c r="AW358" s="48"/>
      <c r="AX358" s="48"/>
      <c r="AY358" s="48"/>
      <c r="AZ358" s="48"/>
      <c r="BA358" s="48"/>
      <c r="BB358" s="48"/>
      <c r="BC358" s="48"/>
      <c r="BD358" s="48"/>
      <c r="BE358" s="48"/>
      <c r="BF358" s="48"/>
      <c r="BG358" s="48"/>
      <c r="BH358" s="48"/>
      <c r="BI358" s="48"/>
      <c r="BJ358" s="48"/>
      <c r="BK358" s="48"/>
      <c r="BL358" s="48"/>
      <c r="BM358" s="48"/>
      <c r="BN358" s="48"/>
      <c r="BO358" s="48"/>
      <c r="BP358" s="48"/>
      <c r="BQ358" s="48"/>
      <c r="BR358" s="48"/>
      <c r="BS358" s="48"/>
      <c r="BT358" s="48"/>
      <c r="BU358" s="48"/>
      <c r="BV358" s="48"/>
      <c r="BW358" s="48"/>
      <c r="BX358" s="111"/>
    </row>
    <row r="359" spans="1:76">
      <c r="A359" s="37"/>
      <c r="B359" s="37"/>
      <c r="C359" s="37"/>
      <c r="D359" s="37" t="s">
        <v>2066</v>
      </c>
      <c r="E359" s="37"/>
      <c r="F359" s="39"/>
      <c r="G359" s="39">
        <f t="shared" ref="G359:N359" si="60">IF(AND(OR(ISTEXT(G360), ISBLANK(G360)),OR(ISTEXT(G361), ISBLANK(G361)),OR(ISTEXT(G362), ISBLANK(G362)),TRUE),"", +IF(ISTEXT(G360), 0,G360)+IF(ISTEXT(G361), 0,G361)+IF(ISTEXT(G362), 0,G362))</f>
        <v>404</v>
      </c>
      <c r="H359" s="39">
        <f t="shared" si="60"/>
        <v>736</v>
      </c>
      <c r="I359" s="39">
        <f t="shared" si="60"/>
        <v>1025</v>
      </c>
      <c r="J359" s="39">
        <f t="shared" si="60"/>
        <v>996</v>
      </c>
      <c r="K359" s="39">
        <f t="shared" si="60"/>
        <v>913</v>
      </c>
      <c r="L359" s="39">
        <f t="shared" si="60"/>
        <v>915</v>
      </c>
      <c r="M359" s="39">
        <f t="shared" si="60"/>
        <v>1027</v>
      </c>
      <c r="N359" s="48">
        <f t="shared" si="60"/>
        <v>1129</v>
      </c>
      <c r="O359" s="36"/>
      <c r="P359" s="48"/>
      <c r="Q359" s="48"/>
      <c r="R359" s="48"/>
      <c r="S359" s="48"/>
      <c r="T359" s="48"/>
      <c r="U359" s="48"/>
      <c r="V359" s="48"/>
      <c r="W359" s="48"/>
      <c r="X359" s="48"/>
      <c r="Y359" s="48"/>
      <c r="Z359" s="48"/>
      <c r="AA359" s="48"/>
      <c r="AB359" s="48"/>
      <c r="AC359" s="48"/>
      <c r="AD359" s="48"/>
      <c r="AE359" s="48"/>
      <c r="AF359" s="48"/>
      <c r="AG359" s="48"/>
      <c r="AH359" s="48"/>
      <c r="AI359" s="48"/>
      <c r="AJ359" s="48"/>
      <c r="AK359" s="48"/>
      <c r="AL359" s="48"/>
      <c r="AM359" s="48"/>
      <c r="AN359" s="48"/>
      <c r="AO359" s="48"/>
      <c r="AP359" s="48"/>
      <c r="AQ359" s="48"/>
      <c r="AR359" s="48"/>
      <c r="AS359" s="48"/>
      <c r="AT359" s="48"/>
      <c r="AU359" s="48"/>
      <c r="AV359" s="48"/>
      <c r="AW359" s="48"/>
      <c r="AX359" s="48"/>
      <c r="AY359" s="48"/>
      <c r="AZ359" s="48"/>
      <c r="BA359" s="48"/>
      <c r="BB359" s="48"/>
      <c r="BC359" s="48"/>
      <c r="BD359" s="48"/>
      <c r="BE359" s="48"/>
      <c r="BF359" s="48"/>
      <c r="BG359" s="48"/>
      <c r="BH359" s="48"/>
      <c r="BI359" s="48"/>
      <c r="BJ359" s="48"/>
      <c r="BK359" s="48"/>
      <c r="BL359" s="48"/>
      <c r="BM359" s="48"/>
      <c r="BN359" s="48"/>
      <c r="BO359" s="48"/>
      <c r="BP359" s="48"/>
      <c r="BQ359" s="48"/>
      <c r="BR359" s="48"/>
      <c r="BS359" s="48"/>
      <c r="BT359" s="48"/>
      <c r="BU359" s="48"/>
      <c r="BV359" s="48"/>
      <c r="BW359" s="48"/>
      <c r="BX359" s="111"/>
    </row>
    <row r="360" spans="1:76">
      <c r="A360" s="37"/>
      <c r="B360" s="37"/>
      <c r="C360" s="37"/>
      <c r="D360" s="37"/>
      <c r="E360" s="37" t="s">
        <v>2167</v>
      </c>
      <c r="F360" s="39"/>
      <c r="G360" s="59">
        <v>83</v>
      </c>
      <c r="H360" s="59">
        <v>123</v>
      </c>
      <c r="I360" s="59">
        <v>157</v>
      </c>
      <c r="J360" s="59">
        <v>164</v>
      </c>
      <c r="K360" s="59">
        <v>161</v>
      </c>
      <c r="L360" s="59">
        <v>178</v>
      </c>
      <c r="M360" s="59">
        <v>228</v>
      </c>
      <c r="N360" s="60">
        <v>299</v>
      </c>
      <c r="O360" s="36"/>
      <c r="P360" s="48"/>
      <c r="Q360" s="48"/>
      <c r="R360" s="48"/>
      <c r="S360" s="48"/>
      <c r="T360" s="48"/>
      <c r="U360" s="48"/>
      <c r="V360" s="48"/>
      <c r="W360" s="48"/>
      <c r="X360" s="48"/>
      <c r="Y360" s="48"/>
      <c r="Z360" s="48"/>
      <c r="AA360" s="48"/>
      <c r="AB360" s="48"/>
      <c r="AC360" s="48"/>
      <c r="AD360" s="48"/>
      <c r="AE360" s="48"/>
      <c r="AF360" s="48"/>
      <c r="AG360" s="48"/>
      <c r="AH360" s="48"/>
      <c r="AI360" s="48"/>
      <c r="AJ360" s="48"/>
      <c r="AK360" s="48"/>
      <c r="AL360" s="48"/>
      <c r="AM360" s="48"/>
      <c r="AN360" s="48"/>
      <c r="AO360" s="48"/>
      <c r="AP360" s="48"/>
      <c r="AQ360" s="48"/>
      <c r="AR360" s="48"/>
      <c r="AS360" s="48"/>
      <c r="AT360" s="48"/>
      <c r="AU360" s="48"/>
      <c r="AV360" s="48"/>
      <c r="AW360" s="48"/>
      <c r="AX360" s="48"/>
      <c r="AY360" s="48"/>
      <c r="AZ360" s="48"/>
      <c r="BA360" s="48"/>
      <c r="BB360" s="48"/>
      <c r="BC360" s="48"/>
      <c r="BD360" s="48"/>
      <c r="BE360" s="48"/>
      <c r="BF360" s="48"/>
      <c r="BG360" s="48"/>
      <c r="BH360" s="48"/>
      <c r="BI360" s="48"/>
      <c r="BJ360" s="48"/>
      <c r="BK360" s="48"/>
      <c r="BL360" s="48"/>
      <c r="BM360" s="48"/>
      <c r="BN360" s="48"/>
      <c r="BO360" s="48"/>
      <c r="BP360" s="48"/>
      <c r="BQ360" s="48"/>
      <c r="BR360" s="48"/>
      <c r="BS360" s="48"/>
      <c r="BT360" s="48"/>
      <c r="BU360" s="48"/>
      <c r="BV360" s="48"/>
      <c r="BW360" s="48"/>
      <c r="BX360" s="111"/>
    </row>
    <row r="361" spans="1:76">
      <c r="A361" s="37"/>
      <c r="B361" s="37"/>
      <c r="C361" s="37"/>
      <c r="D361" s="37"/>
      <c r="E361" s="37" t="s">
        <v>1608</v>
      </c>
      <c r="F361" s="39"/>
      <c r="G361" s="59"/>
      <c r="H361" s="59">
        <v>183</v>
      </c>
      <c r="I361" s="59">
        <v>300</v>
      </c>
      <c r="J361" s="59">
        <v>326</v>
      </c>
      <c r="K361" s="59">
        <v>320</v>
      </c>
      <c r="L361" s="59">
        <v>188</v>
      </c>
      <c r="M361" s="59">
        <v>176</v>
      </c>
      <c r="N361" s="60">
        <v>138</v>
      </c>
      <c r="O361" s="36"/>
      <c r="P361" s="48"/>
      <c r="Q361" s="48"/>
      <c r="R361" s="48"/>
      <c r="S361" s="48"/>
      <c r="T361" s="48"/>
      <c r="U361" s="48"/>
      <c r="V361" s="48"/>
      <c r="W361" s="48"/>
      <c r="X361" s="48"/>
      <c r="Y361" s="48"/>
      <c r="Z361" s="48"/>
      <c r="AA361" s="48"/>
      <c r="AB361" s="48"/>
      <c r="AC361" s="48"/>
      <c r="AD361" s="48"/>
      <c r="AE361" s="48"/>
      <c r="AF361" s="48"/>
      <c r="AG361" s="48"/>
      <c r="AH361" s="48"/>
      <c r="AI361" s="48"/>
      <c r="AJ361" s="48"/>
      <c r="AK361" s="48"/>
      <c r="AL361" s="48"/>
      <c r="AM361" s="48"/>
      <c r="AN361" s="48"/>
      <c r="AO361" s="48"/>
      <c r="AP361" s="48"/>
      <c r="AQ361" s="48"/>
      <c r="AR361" s="48"/>
      <c r="AS361" s="48"/>
      <c r="AT361" s="48"/>
      <c r="AU361" s="48"/>
      <c r="AV361" s="48"/>
      <c r="AW361" s="48"/>
      <c r="AX361" s="48"/>
      <c r="AY361" s="48"/>
      <c r="AZ361" s="48"/>
      <c r="BA361" s="48"/>
      <c r="BB361" s="48"/>
      <c r="BC361" s="48"/>
      <c r="BD361" s="48"/>
      <c r="BE361" s="48"/>
      <c r="BF361" s="48"/>
      <c r="BG361" s="48"/>
      <c r="BH361" s="48"/>
      <c r="BI361" s="48"/>
      <c r="BJ361" s="48"/>
      <c r="BK361" s="48"/>
      <c r="BL361" s="48"/>
      <c r="BM361" s="48"/>
      <c r="BN361" s="48"/>
      <c r="BO361" s="48"/>
      <c r="BP361" s="48"/>
      <c r="BQ361" s="48"/>
      <c r="BR361" s="48"/>
      <c r="BS361" s="48"/>
      <c r="BT361" s="48"/>
      <c r="BU361" s="48"/>
      <c r="BV361" s="48"/>
      <c r="BW361" s="48"/>
      <c r="BX361" s="111"/>
    </row>
    <row r="362" spans="1:76">
      <c r="A362" s="37"/>
      <c r="B362" s="37"/>
      <c r="C362" s="37"/>
      <c r="D362" s="37"/>
      <c r="E362" s="37" t="s">
        <v>2116</v>
      </c>
      <c r="F362" s="39"/>
      <c r="G362" s="59">
        <f>1078-G360-674</f>
        <v>321</v>
      </c>
      <c r="H362" s="59">
        <f>708-H360-155</f>
        <v>430</v>
      </c>
      <c r="I362" s="59">
        <f>655-87</f>
        <v>568</v>
      </c>
      <c r="J362" s="59">
        <f>584-J371+22</f>
        <v>506</v>
      </c>
      <c r="K362" s="59">
        <f>549-K348-K371+21</f>
        <v>432</v>
      </c>
      <c r="L362" s="59">
        <f>723-L348-L371+21</f>
        <v>549</v>
      </c>
      <c r="M362" s="59">
        <f>799-M348-M371+20</f>
        <v>623</v>
      </c>
      <c r="N362" s="60">
        <f>872-N348-N371+19</f>
        <v>692</v>
      </c>
      <c r="O362" s="36"/>
      <c r="P362" s="48"/>
      <c r="Q362" s="48"/>
      <c r="R362" s="48"/>
      <c r="S362" s="48"/>
      <c r="T362" s="48"/>
      <c r="U362" s="48"/>
      <c r="V362" s="48"/>
      <c r="W362" s="48"/>
      <c r="X362" s="48"/>
      <c r="Y362" s="48"/>
      <c r="Z362" s="48"/>
      <c r="AA362" s="48"/>
      <c r="AB362" s="48"/>
      <c r="AC362" s="48"/>
      <c r="AD362" s="48"/>
      <c r="AE362" s="48"/>
      <c r="AF362" s="48"/>
      <c r="AG362" s="48"/>
      <c r="AH362" s="48"/>
      <c r="AI362" s="48"/>
      <c r="AJ362" s="48"/>
      <c r="AK362" s="48"/>
      <c r="AL362" s="48"/>
      <c r="AM362" s="48"/>
      <c r="AN362" s="48"/>
      <c r="AO362" s="48"/>
      <c r="AP362" s="48"/>
      <c r="AQ362" s="48"/>
      <c r="AR362" s="48"/>
      <c r="AS362" s="48"/>
      <c r="AT362" s="48"/>
      <c r="AU362" s="48"/>
      <c r="AV362" s="48"/>
      <c r="AW362" s="48"/>
      <c r="AX362" s="48"/>
      <c r="AY362" s="48"/>
      <c r="AZ362" s="48"/>
      <c r="BA362" s="48"/>
      <c r="BB362" s="48"/>
      <c r="BC362" s="48"/>
      <c r="BD362" s="48"/>
      <c r="BE362" s="48"/>
      <c r="BF362" s="48"/>
      <c r="BG362" s="48"/>
      <c r="BH362" s="48"/>
      <c r="BI362" s="48"/>
      <c r="BJ362" s="48"/>
      <c r="BK362" s="48"/>
      <c r="BL362" s="48"/>
      <c r="BM362" s="48"/>
      <c r="BN362" s="48"/>
      <c r="BO362" s="48"/>
      <c r="BP362" s="48"/>
      <c r="BQ362" s="48"/>
      <c r="BR362" s="48"/>
      <c r="BS362" s="48"/>
      <c r="BT362" s="48"/>
      <c r="BU362" s="48"/>
      <c r="BV362" s="48"/>
      <c r="BW362" s="48"/>
      <c r="BX362" s="111"/>
    </row>
    <row r="363" spans="1:76">
      <c r="A363" s="37"/>
      <c r="B363" s="37"/>
      <c r="C363" s="37"/>
      <c r="D363" s="37" t="s">
        <v>785</v>
      </c>
      <c r="E363" s="37"/>
      <c r="F363" s="39"/>
      <c r="G363" s="59"/>
      <c r="H363" s="59"/>
      <c r="I363" s="59"/>
      <c r="J363" s="59"/>
      <c r="K363" s="59"/>
      <c r="L363" s="59"/>
      <c r="M363" s="59"/>
      <c r="N363" s="60"/>
      <c r="O363" s="36"/>
      <c r="P363" s="48"/>
      <c r="Q363" s="48"/>
      <c r="R363" s="48"/>
      <c r="S363" s="48"/>
      <c r="T363" s="48"/>
      <c r="U363" s="48"/>
      <c r="V363" s="48"/>
      <c r="W363" s="48"/>
      <c r="X363" s="48"/>
      <c r="Y363" s="48"/>
      <c r="Z363" s="48"/>
      <c r="AA363" s="48"/>
      <c r="AB363" s="48"/>
      <c r="AC363" s="48"/>
      <c r="AD363" s="48"/>
      <c r="AE363" s="48"/>
      <c r="AF363" s="48"/>
      <c r="AG363" s="48"/>
      <c r="AH363" s="48"/>
      <c r="AI363" s="48"/>
      <c r="AJ363" s="48"/>
      <c r="AK363" s="48"/>
      <c r="AL363" s="48"/>
      <c r="AM363" s="48"/>
      <c r="AN363" s="48"/>
      <c r="AO363" s="48"/>
      <c r="AP363" s="48"/>
      <c r="AQ363" s="48"/>
      <c r="AR363" s="48"/>
      <c r="AS363" s="48"/>
      <c r="AT363" s="48"/>
      <c r="AU363" s="48"/>
      <c r="AV363" s="48"/>
      <c r="AW363" s="48"/>
      <c r="AX363" s="48"/>
      <c r="AY363" s="48"/>
      <c r="AZ363" s="48"/>
      <c r="BA363" s="48"/>
      <c r="BB363" s="48"/>
      <c r="BC363" s="48"/>
      <c r="BD363" s="48"/>
      <c r="BE363" s="48"/>
      <c r="BF363" s="48"/>
      <c r="BG363" s="48"/>
      <c r="BH363" s="48"/>
      <c r="BI363" s="48"/>
      <c r="BJ363" s="48"/>
      <c r="BK363" s="48"/>
      <c r="BL363" s="48"/>
      <c r="BM363" s="48"/>
      <c r="BN363" s="48"/>
      <c r="BO363" s="48"/>
      <c r="BP363" s="48"/>
      <c r="BQ363" s="48"/>
      <c r="BR363" s="48"/>
      <c r="BS363" s="48"/>
      <c r="BT363" s="48"/>
      <c r="BU363" s="48"/>
      <c r="BV363" s="48"/>
      <c r="BW363" s="48"/>
      <c r="BX363" s="111"/>
    </row>
    <row r="364" spans="1:76">
      <c r="A364" s="37"/>
      <c r="B364" s="37"/>
      <c r="C364" s="37"/>
      <c r="D364" s="37" t="s">
        <v>180</v>
      </c>
      <c r="E364" s="37"/>
      <c r="F364" s="39"/>
      <c r="G364" s="39">
        <f t="shared" ref="G364:N364" si="61">IF(AND(OR(ISTEXT(G365), ISBLANK(G365)),OR(ISTEXT(G366), ISBLANK(G366)),OR(ISTEXT(G367), ISBLANK(G367)),OR(ISTEXT(G368), ISBLANK(G368)),TRUE),"", +IF(ISTEXT(G365), 0,G365)+IF(ISTEXT(G366), 0,G366)+IF(ISTEXT(G367), 0,G367)+IF(ISTEXT(G368), 0,G368))</f>
        <v>1070</v>
      </c>
      <c r="H364" s="61">
        <f t="shared" si="61"/>
        <v>5802</v>
      </c>
      <c r="I364" s="39">
        <f t="shared" si="61"/>
        <v>4643</v>
      </c>
      <c r="J364" s="39">
        <f t="shared" si="61"/>
        <v>4957</v>
      </c>
      <c r="K364" s="39">
        <f t="shared" si="61"/>
        <v>5249</v>
      </c>
      <c r="L364" s="39">
        <f t="shared" si="61"/>
        <v>4449</v>
      </c>
      <c r="M364" s="39">
        <f t="shared" si="61"/>
        <v>4393</v>
      </c>
      <c r="N364" s="48">
        <f t="shared" si="61"/>
        <v>3823</v>
      </c>
      <c r="O364" s="36"/>
      <c r="P364" s="48"/>
      <c r="Q364" s="48"/>
      <c r="R364" s="48"/>
      <c r="S364" s="48"/>
      <c r="T364" s="48"/>
      <c r="U364" s="48"/>
      <c r="V364" s="48"/>
      <c r="W364" s="48"/>
      <c r="X364" s="48"/>
      <c r="Y364" s="48"/>
      <c r="Z364" s="48"/>
      <c r="AA364" s="48"/>
      <c r="AB364" s="48"/>
      <c r="AC364" s="48"/>
      <c r="AD364" s="48"/>
      <c r="AE364" s="48"/>
      <c r="AF364" s="48"/>
      <c r="AG364" s="48"/>
      <c r="AH364" s="48"/>
      <c r="AI364" s="48"/>
      <c r="AJ364" s="48"/>
      <c r="AK364" s="48"/>
      <c r="AL364" s="48"/>
      <c r="AM364" s="48"/>
      <c r="AN364" s="48"/>
      <c r="AO364" s="48"/>
      <c r="AP364" s="48"/>
      <c r="AQ364" s="48"/>
      <c r="AR364" s="48"/>
      <c r="AS364" s="48"/>
      <c r="AT364" s="48"/>
      <c r="AU364" s="48"/>
      <c r="AV364" s="48"/>
      <c r="AW364" s="48"/>
      <c r="AX364" s="48"/>
      <c r="AY364" s="48"/>
      <c r="AZ364" s="48"/>
      <c r="BA364" s="48"/>
      <c r="BB364" s="48"/>
      <c r="BC364" s="48"/>
      <c r="BD364" s="48"/>
      <c r="BE364" s="48"/>
      <c r="BF364" s="48"/>
      <c r="BG364" s="48"/>
      <c r="BH364" s="48"/>
      <c r="BI364" s="48"/>
      <c r="BJ364" s="48"/>
      <c r="BK364" s="48"/>
      <c r="BL364" s="48"/>
      <c r="BM364" s="48"/>
      <c r="BN364" s="48"/>
      <c r="BO364" s="48"/>
      <c r="BP364" s="48"/>
      <c r="BQ364" s="48"/>
      <c r="BR364" s="48"/>
      <c r="BS364" s="48"/>
      <c r="BT364" s="48"/>
      <c r="BU364" s="48"/>
      <c r="BV364" s="48"/>
      <c r="BW364" s="48"/>
      <c r="BX364" s="111"/>
    </row>
    <row r="365" spans="1:76">
      <c r="A365" s="37"/>
      <c r="B365" s="37"/>
      <c r="C365" s="37"/>
      <c r="D365" s="37"/>
      <c r="E365" s="37" t="s">
        <v>181</v>
      </c>
      <c r="F365" s="39"/>
      <c r="G365" s="59"/>
      <c r="H365" s="59">
        <f>5802-H368</f>
        <v>2853</v>
      </c>
      <c r="I365" s="59">
        <f>4643-I368</f>
        <v>1183</v>
      </c>
      <c r="J365" s="59">
        <f>4957-J368</f>
        <v>2133</v>
      </c>
      <c r="K365" s="59">
        <f>5249-K368</f>
        <v>2584</v>
      </c>
      <c r="L365" s="59">
        <f>4449-L368</f>
        <v>1613</v>
      </c>
      <c r="M365" s="59">
        <f>4393-M368</f>
        <v>1940</v>
      </c>
      <c r="N365" s="59">
        <f>3823-N368</f>
        <v>1456</v>
      </c>
      <c r="O365" s="79"/>
      <c r="P365" s="48"/>
      <c r="Q365" s="48"/>
      <c r="R365" s="48"/>
      <c r="S365" s="48"/>
      <c r="T365" s="48"/>
      <c r="U365" s="48"/>
      <c r="V365" s="48"/>
      <c r="W365" s="48"/>
      <c r="X365" s="48"/>
      <c r="Y365" s="48"/>
      <c r="Z365" s="48"/>
      <c r="AA365" s="48"/>
      <c r="AB365" s="48"/>
      <c r="AC365" s="48"/>
      <c r="AD365" s="48"/>
      <c r="AE365" s="48"/>
      <c r="AF365" s="48"/>
      <c r="AG365" s="48"/>
      <c r="AH365" s="48"/>
      <c r="AI365" s="48"/>
      <c r="AJ365" s="48"/>
      <c r="AK365" s="48"/>
      <c r="AL365" s="48"/>
      <c r="AM365" s="48"/>
      <c r="AN365" s="48"/>
      <c r="AO365" s="48"/>
      <c r="AP365" s="48"/>
      <c r="AQ365" s="48"/>
      <c r="AR365" s="48"/>
      <c r="AS365" s="48"/>
      <c r="AT365" s="48"/>
      <c r="AU365" s="48"/>
      <c r="AV365" s="48"/>
      <c r="AW365" s="48"/>
      <c r="AX365" s="48"/>
      <c r="AY365" s="48"/>
      <c r="AZ365" s="48"/>
      <c r="BA365" s="48"/>
      <c r="BB365" s="48"/>
      <c r="BC365" s="48"/>
      <c r="BD365" s="48"/>
      <c r="BE365" s="48"/>
      <c r="BF365" s="48"/>
      <c r="BG365" s="48"/>
      <c r="BH365" s="48"/>
      <c r="BI365" s="48"/>
      <c r="BJ365" s="48"/>
      <c r="BK365" s="48"/>
      <c r="BL365" s="48"/>
      <c r="BM365" s="48"/>
      <c r="BN365" s="48"/>
      <c r="BO365" s="48"/>
      <c r="BP365" s="48"/>
      <c r="BQ365" s="48"/>
      <c r="BR365" s="48"/>
      <c r="BS365" s="48"/>
      <c r="BT365" s="48"/>
      <c r="BU365" s="48"/>
      <c r="BV365" s="48"/>
      <c r="BW365" s="48"/>
      <c r="BX365" s="111"/>
    </row>
    <row r="366" spans="1:76">
      <c r="A366" s="37"/>
      <c r="B366" s="37"/>
      <c r="C366" s="37"/>
      <c r="D366" s="37"/>
      <c r="E366" s="37" t="s">
        <v>2159</v>
      </c>
      <c r="F366" s="39"/>
      <c r="G366" s="59">
        <v>150</v>
      </c>
      <c r="H366" s="59"/>
      <c r="I366" s="59"/>
      <c r="J366" s="59"/>
      <c r="K366" s="59"/>
      <c r="L366" s="59"/>
      <c r="M366" s="59"/>
      <c r="N366" s="60"/>
      <c r="O366" s="58"/>
      <c r="P366" s="48"/>
      <c r="Q366" s="48"/>
      <c r="R366" s="48"/>
      <c r="S366" s="48"/>
      <c r="T366" s="48"/>
      <c r="U366" s="48"/>
      <c r="V366" s="48"/>
      <c r="W366" s="48"/>
      <c r="X366" s="48"/>
      <c r="Y366" s="48"/>
      <c r="Z366" s="48"/>
      <c r="AA366" s="48"/>
      <c r="AB366" s="48"/>
      <c r="AC366" s="48"/>
      <c r="AD366" s="48"/>
      <c r="AE366" s="48"/>
      <c r="AF366" s="48"/>
      <c r="AG366" s="48"/>
      <c r="AH366" s="48"/>
      <c r="AI366" s="48"/>
      <c r="AJ366" s="48"/>
      <c r="AK366" s="48"/>
      <c r="AL366" s="48"/>
      <c r="AM366" s="48"/>
      <c r="AN366" s="48"/>
      <c r="AO366" s="48"/>
      <c r="AP366" s="48"/>
      <c r="AQ366" s="48"/>
      <c r="AR366" s="48"/>
      <c r="AS366" s="48"/>
      <c r="AT366" s="48"/>
      <c r="AU366" s="48"/>
      <c r="AV366" s="48"/>
      <c r="AW366" s="48"/>
      <c r="AX366" s="48"/>
      <c r="AY366" s="48"/>
      <c r="AZ366" s="48"/>
      <c r="BA366" s="48"/>
      <c r="BB366" s="48"/>
      <c r="BC366" s="48"/>
      <c r="BD366" s="48"/>
      <c r="BE366" s="48"/>
      <c r="BF366" s="48"/>
      <c r="BG366" s="48"/>
      <c r="BH366" s="48"/>
      <c r="BI366" s="48"/>
      <c r="BJ366" s="48"/>
      <c r="BK366" s="48"/>
      <c r="BL366" s="48"/>
      <c r="BM366" s="48"/>
      <c r="BN366" s="48"/>
      <c r="BO366" s="48"/>
      <c r="BP366" s="48"/>
      <c r="BQ366" s="48"/>
      <c r="BR366" s="48"/>
      <c r="BS366" s="48"/>
      <c r="BT366" s="48"/>
      <c r="BU366" s="48"/>
      <c r="BV366" s="48"/>
      <c r="BW366" s="48"/>
      <c r="BX366" s="111"/>
    </row>
    <row r="367" spans="1:76">
      <c r="A367" s="37"/>
      <c r="B367" s="37"/>
      <c r="C367" s="37"/>
      <c r="D367" s="37"/>
      <c r="E367" s="37" t="s">
        <v>1672</v>
      </c>
      <c r="F367" s="39"/>
      <c r="G367" s="59"/>
      <c r="H367" s="59"/>
      <c r="I367" s="59"/>
      <c r="J367" s="59"/>
      <c r="K367" s="59"/>
      <c r="L367" s="59"/>
      <c r="M367" s="59"/>
      <c r="N367" s="60"/>
      <c r="O367" s="36"/>
      <c r="P367" s="48"/>
      <c r="Q367" s="48"/>
      <c r="R367" s="48"/>
      <c r="S367" s="48"/>
      <c r="T367" s="48"/>
      <c r="U367" s="48"/>
      <c r="V367" s="48"/>
      <c r="W367" s="48"/>
      <c r="X367" s="48"/>
      <c r="Y367" s="48"/>
      <c r="Z367" s="48"/>
      <c r="AA367" s="48"/>
      <c r="AB367" s="48"/>
      <c r="AC367" s="48"/>
      <c r="AD367" s="48"/>
      <c r="AE367" s="48"/>
      <c r="AF367" s="48"/>
      <c r="AG367" s="48"/>
      <c r="AH367" s="48"/>
      <c r="AI367" s="48"/>
      <c r="AJ367" s="48"/>
      <c r="AK367" s="48"/>
      <c r="AL367" s="48"/>
      <c r="AM367" s="48"/>
      <c r="AN367" s="48"/>
      <c r="AO367" s="48"/>
      <c r="AP367" s="48"/>
      <c r="AQ367" s="48"/>
      <c r="AR367" s="48"/>
      <c r="AS367" s="48"/>
      <c r="AT367" s="48"/>
      <c r="AU367" s="48"/>
      <c r="AV367" s="48"/>
      <c r="AW367" s="48"/>
      <c r="AX367" s="48"/>
      <c r="AY367" s="48"/>
      <c r="AZ367" s="48"/>
      <c r="BA367" s="48"/>
      <c r="BB367" s="48"/>
      <c r="BC367" s="48"/>
      <c r="BD367" s="48"/>
      <c r="BE367" s="48"/>
      <c r="BF367" s="48"/>
      <c r="BG367" s="48"/>
      <c r="BH367" s="48"/>
      <c r="BI367" s="48"/>
      <c r="BJ367" s="48"/>
      <c r="BK367" s="48"/>
      <c r="BL367" s="48"/>
      <c r="BM367" s="48"/>
      <c r="BN367" s="48"/>
      <c r="BO367" s="48"/>
      <c r="BP367" s="48"/>
      <c r="BQ367" s="48"/>
      <c r="BR367" s="48"/>
      <c r="BS367" s="48"/>
      <c r="BT367" s="48"/>
      <c r="BU367" s="48"/>
      <c r="BV367" s="48"/>
      <c r="BW367" s="48"/>
      <c r="BX367" s="111"/>
    </row>
    <row r="368" spans="1:76">
      <c r="A368" s="37"/>
      <c r="B368" s="37"/>
      <c r="C368" s="37"/>
      <c r="D368" s="37"/>
      <c r="E368" s="37" t="s">
        <v>1194</v>
      </c>
      <c r="F368" s="39"/>
      <c r="G368" s="59">
        <f>1070-G366</f>
        <v>920</v>
      </c>
      <c r="H368" s="59">
        <f>1995+954</f>
        <v>2949</v>
      </c>
      <c r="I368" s="59">
        <f>1995+1465</f>
        <v>3460</v>
      </c>
      <c r="J368" s="59">
        <f>1296+254+1274</f>
        <v>2824</v>
      </c>
      <c r="K368" s="59">
        <f>1296+240+1129</f>
        <v>2665</v>
      </c>
      <c r="L368" s="59">
        <f>1324+473+1039</f>
        <v>2836</v>
      </c>
      <c r="M368" s="59">
        <f>1067+360+1026</f>
        <v>2453</v>
      </c>
      <c r="N368" s="59">
        <f>1058+360+949</f>
        <v>2367</v>
      </c>
      <c r="O368" s="79"/>
      <c r="P368" s="48"/>
      <c r="Q368" s="48"/>
      <c r="R368" s="48"/>
      <c r="S368" s="48"/>
      <c r="T368" s="48"/>
      <c r="U368" s="48"/>
      <c r="V368" s="48"/>
      <c r="W368" s="48"/>
      <c r="X368" s="48"/>
      <c r="Y368" s="48"/>
      <c r="Z368" s="48"/>
      <c r="AA368" s="48"/>
      <c r="AB368" s="48"/>
      <c r="AC368" s="48"/>
      <c r="AD368" s="48"/>
      <c r="AE368" s="48"/>
      <c r="AF368" s="48"/>
      <c r="AG368" s="48"/>
      <c r="AH368" s="48"/>
      <c r="AI368" s="48"/>
      <c r="AJ368" s="48"/>
      <c r="AK368" s="48"/>
      <c r="AL368" s="48"/>
      <c r="AM368" s="48"/>
      <c r="AN368" s="48"/>
      <c r="AO368" s="48"/>
      <c r="AP368" s="48"/>
      <c r="AQ368" s="48"/>
      <c r="AR368" s="48"/>
      <c r="AS368" s="48"/>
      <c r="AT368" s="48"/>
      <c r="AU368" s="48"/>
      <c r="AV368" s="48"/>
      <c r="AW368" s="48"/>
      <c r="AX368" s="48"/>
      <c r="AY368" s="48"/>
      <c r="AZ368" s="48"/>
      <c r="BA368" s="48"/>
      <c r="BB368" s="48"/>
      <c r="BC368" s="48"/>
      <c r="BD368" s="48"/>
      <c r="BE368" s="48"/>
      <c r="BF368" s="48"/>
      <c r="BG368" s="48"/>
      <c r="BH368" s="48"/>
      <c r="BI368" s="48"/>
      <c r="BJ368" s="48"/>
      <c r="BK368" s="48"/>
      <c r="BL368" s="48"/>
      <c r="BM368" s="48"/>
      <c r="BN368" s="48"/>
      <c r="BO368" s="48"/>
      <c r="BP368" s="48"/>
      <c r="BQ368" s="48"/>
      <c r="BR368" s="48"/>
      <c r="BS368" s="48"/>
      <c r="BT368" s="48"/>
      <c r="BU368" s="48"/>
      <c r="BV368" s="48"/>
      <c r="BW368" s="48"/>
      <c r="BX368" s="111"/>
    </row>
    <row r="369" spans="1:76">
      <c r="A369" s="37"/>
      <c r="B369" s="37"/>
      <c r="C369" s="37"/>
      <c r="D369" s="37" t="s">
        <v>1195</v>
      </c>
      <c r="E369" s="37"/>
      <c r="F369" s="39"/>
      <c r="G369" s="39">
        <f t="shared" ref="G369:N369" si="62">IF(AND(OR(ISTEXT(G370), ISBLANK(G370)),OR(ISTEXT(G371), ISBLANK(G371)),OR(ISTEXT(G372), ISBLANK(G372)),OR(ISTEXT(G373), ISBLANK(G373)),OR(ISTEXT(G374), ISBLANK(G374)),OR(ISTEXT(G375), ISBLANK(G375)),OR(ISTEXT(G376), ISBLANK(G376)),OR(ISTEXT(G377), ISBLANK(G377)),TRUE),"", +IF(ISTEXT(G370), 0,G370)+IF(ISTEXT(G371), 0,G371)+IF(ISTEXT(G372), 0,G372)+IF(ISTEXT(G373), 0,G373)+IF(ISTEXT(G374), 0,G374)+IF(ISTEXT(G375), 0,G375)+IF(ISTEXT(G376), 0,G376)+IF(ISTEXT(G377), 0,G377))</f>
        <v>736</v>
      </c>
      <c r="H369" s="39">
        <f t="shared" si="62"/>
        <v>202</v>
      </c>
      <c r="I369" s="39">
        <f t="shared" si="62"/>
        <v>121</v>
      </c>
      <c r="J369" s="39">
        <f t="shared" si="62"/>
        <v>100</v>
      </c>
      <c r="K369" s="39">
        <f t="shared" si="62"/>
        <v>98</v>
      </c>
      <c r="L369" s="39">
        <f t="shared" si="62"/>
        <v>25</v>
      </c>
      <c r="M369" s="39">
        <f t="shared" si="62"/>
        <v>24</v>
      </c>
      <c r="N369" s="48">
        <f t="shared" si="62"/>
        <v>23</v>
      </c>
      <c r="O369" s="36"/>
      <c r="P369" s="48"/>
      <c r="Q369" s="48"/>
      <c r="R369" s="48"/>
      <c r="S369" s="48"/>
      <c r="T369" s="48"/>
      <c r="U369" s="48"/>
      <c r="V369" s="48"/>
      <c r="W369" s="48"/>
      <c r="X369" s="48"/>
      <c r="Y369" s="48"/>
      <c r="Z369" s="48"/>
      <c r="AA369" s="48"/>
      <c r="AB369" s="48"/>
      <c r="AC369" s="48"/>
      <c r="AD369" s="48"/>
      <c r="AE369" s="48"/>
      <c r="AF369" s="48"/>
      <c r="AG369" s="48"/>
      <c r="AH369" s="48"/>
      <c r="AI369" s="48"/>
      <c r="AJ369" s="48"/>
      <c r="AK369" s="48"/>
      <c r="AL369" s="48"/>
      <c r="AM369" s="48"/>
      <c r="AN369" s="48"/>
      <c r="AO369" s="48"/>
      <c r="AP369" s="48"/>
      <c r="AQ369" s="48"/>
      <c r="AR369" s="48"/>
      <c r="AS369" s="48"/>
      <c r="AT369" s="48"/>
      <c r="AU369" s="48"/>
      <c r="AV369" s="48"/>
      <c r="AW369" s="48"/>
      <c r="AX369" s="48"/>
      <c r="AY369" s="48"/>
      <c r="AZ369" s="48"/>
      <c r="BA369" s="48"/>
      <c r="BB369" s="48"/>
      <c r="BC369" s="48"/>
      <c r="BD369" s="48"/>
      <c r="BE369" s="48"/>
      <c r="BF369" s="48"/>
      <c r="BG369" s="48"/>
      <c r="BH369" s="48"/>
      <c r="BI369" s="48"/>
      <c r="BJ369" s="48"/>
      <c r="BK369" s="48"/>
      <c r="BL369" s="48"/>
      <c r="BM369" s="48"/>
      <c r="BN369" s="48"/>
      <c r="BO369" s="48"/>
      <c r="BP369" s="48"/>
      <c r="BQ369" s="48"/>
      <c r="BR369" s="48"/>
      <c r="BS369" s="48"/>
      <c r="BT369" s="48"/>
      <c r="BU369" s="48"/>
      <c r="BV369" s="48"/>
      <c r="BW369" s="48"/>
      <c r="BX369" s="111"/>
    </row>
    <row r="370" spans="1:76">
      <c r="A370" s="37"/>
      <c r="B370" s="37"/>
      <c r="C370" s="37"/>
      <c r="D370" s="37"/>
      <c r="E370" s="37" t="s">
        <v>1452</v>
      </c>
      <c r="F370" s="39"/>
      <c r="G370" s="59"/>
      <c r="H370" s="59"/>
      <c r="I370" s="59"/>
      <c r="J370" s="59"/>
      <c r="K370" s="59"/>
      <c r="L370" s="59"/>
      <c r="M370" s="59"/>
      <c r="N370" s="60"/>
      <c r="O370" s="36"/>
      <c r="P370" s="48"/>
      <c r="Q370" s="48"/>
      <c r="R370" s="48"/>
      <c r="S370" s="48"/>
      <c r="T370" s="48"/>
      <c r="U370" s="48"/>
      <c r="V370" s="48"/>
      <c r="W370" s="48"/>
      <c r="X370" s="48"/>
      <c r="Y370" s="48"/>
      <c r="Z370" s="48"/>
      <c r="AA370" s="48"/>
      <c r="AB370" s="48"/>
      <c r="AC370" s="48"/>
      <c r="AD370" s="48"/>
      <c r="AE370" s="48"/>
      <c r="AF370" s="48"/>
      <c r="AG370" s="48"/>
      <c r="AH370" s="48"/>
      <c r="AI370" s="48"/>
      <c r="AJ370" s="48"/>
      <c r="AK370" s="48"/>
      <c r="AL370" s="48"/>
      <c r="AM370" s="48"/>
      <c r="AN370" s="48"/>
      <c r="AO370" s="48"/>
      <c r="AP370" s="48"/>
      <c r="AQ370" s="48"/>
      <c r="AR370" s="48"/>
      <c r="AS370" s="48"/>
      <c r="AT370" s="48"/>
      <c r="AU370" s="48"/>
      <c r="AV370" s="48"/>
      <c r="AW370" s="48"/>
      <c r="AX370" s="48"/>
      <c r="AY370" s="48"/>
      <c r="AZ370" s="48"/>
      <c r="BA370" s="48"/>
      <c r="BB370" s="48"/>
      <c r="BC370" s="48"/>
      <c r="BD370" s="48"/>
      <c r="BE370" s="48"/>
      <c r="BF370" s="48"/>
      <c r="BG370" s="48"/>
      <c r="BH370" s="48"/>
      <c r="BI370" s="48"/>
      <c r="BJ370" s="48"/>
      <c r="BK370" s="48"/>
      <c r="BL370" s="48"/>
      <c r="BM370" s="48"/>
      <c r="BN370" s="48"/>
      <c r="BO370" s="48"/>
      <c r="BP370" s="48"/>
      <c r="BQ370" s="48"/>
      <c r="BR370" s="48"/>
      <c r="BS370" s="48"/>
      <c r="BT370" s="48"/>
      <c r="BU370" s="48"/>
      <c r="BV370" s="48"/>
      <c r="BW370" s="48"/>
      <c r="BX370" s="111"/>
    </row>
    <row r="371" spans="1:76">
      <c r="A371" s="37"/>
      <c r="B371" s="37"/>
      <c r="C371" s="37"/>
      <c r="D371" s="37"/>
      <c r="E371" s="37" t="s">
        <v>1649</v>
      </c>
      <c r="F371" s="39"/>
      <c r="G371" s="59">
        <v>736</v>
      </c>
      <c r="H371" s="59">
        <v>202</v>
      </c>
      <c r="I371" s="59">
        <v>121</v>
      </c>
      <c r="J371" s="59">
        <v>100</v>
      </c>
      <c r="K371" s="59">
        <v>98</v>
      </c>
      <c r="L371" s="59">
        <v>25</v>
      </c>
      <c r="M371" s="59">
        <v>24</v>
      </c>
      <c r="N371" s="59">
        <v>23</v>
      </c>
      <c r="O371" s="58"/>
      <c r="P371" s="48"/>
      <c r="Q371" s="48"/>
      <c r="R371" s="48"/>
      <c r="S371" s="48"/>
      <c r="T371" s="48"/>
      <c r="U371" s="48"/>
      <c r="V371" s="48"/>
      <c r="W371" s="48"/>
      <c r="X371" s="48"/>
      <c r="Y371" s="48"/>
      <c r="Z371" s="48"/>
      <c r="AA371" s="48"/>
      <c r="AB371" s="48"/>
      <c r="AC371" s="48"/>
      <c r="AD371" s="48"/>
      <c r="AE371" s="48"/>
      <c r="AF371" s="48"/>
      <c r="AG371" s="48"/>
      <c r="AH371" s="48"/>
      <c r="AI371" s="48"/>
      <c r="AJ371" s="48"/>
      <c r="AK371" s="48"/>
      <c r="AL371" s="48"/>
      <c r="AM371" s="48"/>
      <c r="AN371" s="48"/>
      <c r="AO371" s="48"/>
      <c r="AP371" s="48"/>
      <c r="AQ371" s="48"/>
      <c r="AR371" s="48"/>
      <c r="AS371" s="48"/>
      <c r="AT371" s="48"/>
      <c r="AU371" s="48"/>
      <c r="AV371" s="48"/>
      <c r="AW371" s="48"/>
      <c r="AX371" s="48"/>
      <c r="AY371" s="48"/>
      <c r="AZ371" s="48"/>
      <c r="BA371" s="48"/>
      <c r="BB371" s="48"/>
      <c r="BC371" s="48"/>
      <c r="BD371" s="48"/>
      <c r="BE371" s="48"/>
      <c r="BF371" s="48"/>
      <c r="BG371" s="48"/>
      <c r="BH371" s="48"/>
      <c r="BI371" s="48"/>
      <c r="BJ371" s="48"/>
      <c r="BK371" s="48"/>
      <c r="BL371" s="48"/>
      <c r="BM371" s="48"/>
      <c r="BN371" s="48"/>
      <c r="BO371" s="48"/>
      <c r="BP371" s="48"/>
      <c r="BQ371" s="48"/>
      <c r="BR371" s="48"/>
      <c r="BS371" s="48"/>
      <c r="BT371" s="48"/>
      <c r="BU371" s="48"/>
      <c r="BV371" s="48"/>
      <c r="BW371" s="48"/>
      <c r="BX371" s="111"/>
    </row>
    <row r="372" spans="1:76">
      <c r="A372" s="37"/>
      <c r="B372" s="37"/>
      <c r="C372" s="37"/>
      <c r="D372" s="37"/>
      <c r="E372" s="37" t="s">
        <v>2298</v>
      </c>
      <c r="F372" s="39"/>
      <c r="G372" s="59"/>
      <c r="H372" s="59"/>
      <c r="I372" s="59"/>
      <c r="J372" s="59"/>
      <c r="K372" s="59"/>
      <c r="L372" s="59"/>
      <c r="M372" s="59"/>
      <c r="N372" s="60"/>
      <c r="O372" s="36"/>
      <c r="P372" s="48"/>
      <c r="Q372" s="48"/>
      <c r="R372" s="48"/>
      <c r="S372" s="48"/>
      <c r="T372" s="48"/>
      <c r="U372" s="48"/>
      <c r="V372" s="48"/>
      <c r="W372" s="48"/>
      <c r="X372" s="48"/>
      <c r="Y372" s="48"/>
      <c r="Z372" s="48"/>
      <c r="AA372" s="48"/>
      <c r="AB372" s="48"/>
      <c r="AC372" s="48"/>
      <c r="AD372" s="48"/>
      <c r="AE372" s="48"/>
      <c r="AF372" s="48"/>
      <c r="AG372" s="48"/>
      <c r="AH372" s="48"/>
      <c r="AI372" s="48"/>
      <c r="AJ372" s="48"/>
      <c r="AK372" s="48"/>
      <c r="AL372" s="48"/>
      <c r="AM372" s="48"/>
      <c r="AN372" s="48"/>
      <c r="AO372" s="48"/>
      <c r="AP372" s="48"/>
      <c r="AQ372" s="48"/>
      <c r="AR372" s="48"/>
      <c r="AS372" s="48"/>
      <c r="AT372" s="48"/>
      <c r="AU372" s="48"/>
      <c r="AV372" s="48"/>
      <c r="AW372" s="48"/>
      <c r="AX372" s="48"/>
      <c r="AY372" s="48"/>
      <c r="AZ372" s="48"/>
      <c r="BA372" s="48"/>
      <c r="BB372" s="48"/>
      <c r="BC372" s="48"/>
      <c r="BD372" s="48"/>
      <c r="BE372" s="48"/>
      <c r="BF372" s="48"/>
      <c r="BG372" s="48"/>
      <c r="BH372" s="48"/>
      <c r="BI372" s="48"/>
      <c r="BJ372" s="48"/>
      <c r="BK372" s="48"/>
      <c r="BL372" s="48"/>
      <c r="BM372" s="48"/>
      <c r="BN372" s="48"/>
      <c r="BO372" s="48"/>
      <c r="BP372" s="48"/>
      <c r="BQ372" s="48"/>
      <c r="BR372" s="48"/>
      <c r="BS372" s="48"/>
      <c r="BT372" s="48"/>
      <c r="BU372" s="48"/>
      <c r="BV372" s="48"/>
      <c r="BW372" s="48"/>
      <c r="BX372" s="111"/>
    </row>
    <row r="373" spans="1:76">
      <c r="A373" s="37"/>
      <c r="B373" s="37"/>
      <c r="C373" s="37"/>
      <c r="D373" s="37"/>
      <c r="E373" s="37" t="s">
        <v>2299</v>
      </c>
      <c r="F373" s="39"/>
      <c r="G373" s="59"/>
      <c r="H373" s="59"/>
      <c r="I373" s="59"/>
      <c r="J373" s="59"/>
      <c r="K373" s="59"/>
      <c r="L373" s="59"/>
      <c r="M373" s="59"/>
      <c r="N373" s="60"/>
      <c r="O373" s="36"/>
      <c r="P373" s="48"/>
      <c r="Q373" s="48"/>
      <c r="R373" s="48"/>
      <c r="S373" s="48"/>
      <c r="T373" s="48"/>
      <c r="U373" s="48"/>
      <c r="V373" s="48"/>
      <c r="W373" s="48"/>
      <c r="X373" s="48"/>
      <c r="Y373" s="48"/>
      <c r="Z373" s="48"/>
      <c r="AA373" s="48"/>
      <c r="AB373" s="48"/>
      <c r="AC373" s="48"/>
      <c r="AD373" s="48"/>
      <c r="AE373" s="48"/>
      <c r="AF373" s="48"/>
      <c r="AG373" s="48"/>
      <c r="AH373" s="48"/>
      <c r="AI373" s="48"/>
      <c r="AJ373" s="48"/>
      <c r="AK373" s="48"/>
      <c r="AL373" s="48"/>
      <c r="AM373" s="48"/>
      <c r="AN373" s="48"/>
      <c r="AO373" s="48"/>
      <c r="AP373" s="48"/>
      <c r="AQ373" s="48"/>
      <c r="AR373" s="48"/>
      <c r="AS373" s="48"/>
      <c r="AT373" s="48"/>
      <c r="AU373" s="48"/>
      <c r="AV373" s="48"/>
      <c r="AW373" s="48"/>
      <c r="AX373" s="48"/>
      <c r="AY373" s="48"/>
      <c r="AZ373" s="48"/>
      <c r="BA373" s="48"/>
      <c r="BB373" s="48"/>
      <c r="BC373" s="48"/>
      <c r="BD373" s="48"/>
      <c r="BE373" s="48"/>
      <c r="BF373" s="48"/>
      <c r="BG373" s="48"/>
      <c r="BH373" s="48"/>
      <c r="BI373" s="48"/>
      <c r="BJ373" s="48"/>
      <c r="BK373" s="48"/>
      <c r="BL373" s="48"/>
      <c r="BM373" s="48"/>
      <c r="BN373" s="48"/>
      <c r="BO373" s="48"/>
      <c r="BP373" s="48"/>
      <c r="BQ373" s="48"/>
      <c r="BR373" s="48"/>
      <c r="BS373" s="48"/>
      <c r="BT373" s="48"/>
      <c r="BU373" s="48"/>
      <c r="BV373" s="48"/>
      <c r="BW373" s="48"/>
      <c r="BX373" s="111"/>
    </row>
    <row r="374" spans="1:76">
      <c r="A374" s="37"/>
      <c r="B374" s="37"/>
      <c r="C374" s="37"/>
      <c r="D374" s="37"/>
      <c r="E374" s="37" t="s">
        <v>2286</v>
      </c>
      <c r="F374" s="39"/>
      <c r="G374" s="59"/>
      <c r="H374" s="59"/>
      <c r="I374" s="59"/>
      <c r="J374" s="59"/>
      <c r="K374" s="59"/>
      <c r="L374" s="59"/>
      <c r="M374" s="59"/>
      <c r="N374" s="60"/>
      <c r="O374" s="36"/>
      <c r="P374" s="48"/>
      <c r="Q374" s="48"/>
      <c r="R374" s="48"/>
      <c r="S374" s="48"/>
      <c r="T374" s="48"/>
      <c r="U374" s="48"/>
      <c r="V374" s="48"/>
      <c r="W374" s="48"/>
      <c r="X374" s="48"/>
      <c r="Y374" s="48"/>
      <c r="Z374" s="48"/>
      <c r="AA374" s="48"/>
      <c r="AB374" s="48"/>
      <c r="AC374" s="48"/>
      <c r="AD374" s="48"/>
      <c r="AE374" s="48"/>
      <c r="AF374" s="48"/>
      <c r="AG374" s="48"/>
      <c r="AH374" s="48"/>
      <c r="AI374" s="48"/>
      <c r="AJ374" s="48"/>
      <c r="AK374" s="48"/>
      <c r="AL374" s="48"/>
      <c r="AM374" s="48"/>
      <c r="AN374" s="48"/>
      <c r="AO374" s="48"/>
      <c r="AP374" s="48"/>
      <c r="AQ374" s="48"/>
      <c r="AR374" s="48"/>
      <c r="AS374" s="48"/>
      <c r="AT374" s="48"/>
      <c r="AU374" s="48"/>
      <c r="AV374" s="48"/>
      <c r="AW374" s="48"/>
      <c r="AX374" s="48"/>
      <c r="AY374" s="48"/>
      <c r="AZ374" s="48"/>
      <c r="BA374" s="48"/>
      <c r="BB374" s="48"/>
      <c r="BC374" s="48"/>
      <c r="BD374" s="48"/>
      <c r="BE374" s="48"/>
      <c r="BF374" s="48"/>
      <c r="BG374" s="48"/>
      <c r="BH374" s="48"/>
      <c r="BI374" s="48"/>
      <c r="BJ374" s="48"/>
      <c r="BK374" s="48"/>
      <c r="BL374" s="48"/>
      <c r="BM374" s="48"/>
      <c r="BN374" s="48"/>
      <c r="BO374" s="48"/>
      <c r="BP374" s="48"/>
      <c r="BQ374" s="48"/>
      <c r="BR374" s="48"/>
      <c r="BS374" s="48"/>
      <c r="BT374" s="48"/>
      <c r="BU374" s="48"/>
      <c r="BV374" s="48"/>
      <c r="BW374" s="48"/>
      <c r="BX374" s="111"/>
    </row>
    <row r="375" spans="1:76">
      <c r="A375" s="37"/>
      <c r="B375" s="37"/>
      <c r="C375" s="37"/>
      <c r="D375" s="37"/>
      <c r="E375" s="37" t="s">
        <v>1184</v>
      </c>
      <c r="F375" s="39"/>
      <c r="G375" s="59"/>
      <c r="H375" s="59"/>
      <c r="I375" s="59"/>
      <c r="J375" s="59"/>
      <c r="K375" s="59"/>
      <c r="L375" s="59"/>
      <c r="M375" s="59"/>
      <c r="N375" s="60"/>
      <c r="O375" s="36"/>
      <c r="P375" s="48"/>
      <c r="Q375" s="48"/>
      <c r="R375" s="48"/>
      <c r="S375" s="48"/>
      <c r="T375" s="48"/>
      <c r="U375" s="48"/>
      <c r="V375" s="48"/>
      <c r="W375" s="48"/>
      <c r="X375" s="48"/>
      <c r="Y375" s="48"/>
      <c r="Z375" s="48"/>
      <c r="AA375" s="48"/>
      <c r="AB375" s="48"/>
      <c r="AC375" s="48"/>
      <c r="AD375" s="48"/>
      <c r="AE375" s="48"/>
      <c r="AF375" s="48"/>
      <c r="AG375" s="48"/>
      <c r="AH375" s="48"/>
      <c r="AI375" s="48"/>
      <c r="AJ375" s="48"/>
      <c r="AK375" s="48"/>
      <c r="AL375" s="48"/>
      <c r="AM375" s="48"/>
      <c r="AN375" s="48"/>
      <c r="AO375" s="48"/>
      <c r="AP375" s="48"/>
      <c r="AQ375" s="48"/>
      <c r="AR375" s="48"/>
      <c r="AS375" s="48"/>
      <c r="AT375" s="48"/>
      <c r="AU375" s="48"/>
      <c r="AV375" s="48"/>
      <c r="AW375" s="48"/>
      <c r="AX375" s="48"/>
      <c r="AY375" s="48"/>
      <c r="AZ375" s="48"/>
      <c r="BA375" s="48"/>
      <c r="BB375" s="48"/>
      <c r="BC375" s="48"/>
      <c r="BD375" s="48"/>
      <c r="BE375" s="48"/>
      <c r="BF375" s="48"/>
      <c r="BG375" s="48"/>
      <c r="BH375" s="48"/>
      <c r="BI375" s="48"/>
      <c r="BJ375" s="48"/>
      <c r="BK375" s="48"/>
      <c r="BL375" s="48"/>
      <c r="BM375" s="48"/>
      <c r="BN375" s="48"/>
      <c r="BO375" s="48"/>
      <c r="BP375" s="48"/>
      <c r="BQ375" s="48"/>
      <c r="BR375" s="48"/>
      <c r="BS375" s="48"/>
      <c r="BT375" s="48"/>
      <c r="BU375" s="48"/>
      <c r="BV375" s="48"/>
      <c r="BW375" s="48"/>
      <c r="BX375" s="111"/>
    </row>
    <row r="376" spans="1:76">
      <c r="A376" s="37"/>
      <c r="B376" s="37"/>
      <c r="C376" s="37"/>
      <c r="D376" s="37"/>
      <c r="E376" s="37" t="s">
        <v>1185</v>
      </c>
      <c r="F376" s="39"/>
      <c r="G376" s="59"/>
      <c r="H376" s="59"/>
      <c r="I376" s="59"/>
      <c r="J376" s="59"/>
      <c r="K376" s="59"/>
      <c r="L376" s="59"/>
      <c r="M376" s="59"/>
      <c r="N376" s="60"/>
      <c r="O376" s="36"/>
      <c r="P376" s="48"/>
      <c r="Q376" s="48"/>
      <c r="R376" s="48"/>
      <c r="S376" s="48"/>
      <c r="T376" s="48"/>
      <c r="U376" s="48"/>
      <c r="V376" s="48"/>
      <c r="W376" s="48"/>
      <c r="X376" s="48"/>
      <c r="Y376" s="48"/>
      <c r="Z376" s="48"/>
      <c r="AA376" s="48"/>
      <c r="AB376" s="48"/>
      <c r="AC376" s="48"/>
      <c r="AD376" s="48"/>
      <c r="AE376" s="48"/>
      <c r="AF376" s="48"/>
      <c r="AG376" s="48"/>
      <c r="AH376" s="48"/>
      <c r="AI376" s="48"/>
      <c r="AJ376" s="48"/>
      <c r="AK376" s="48"/>
      <c r="AL376" s="48"/>
      <c r="AM376" s="48"/>
      <c r="AN376" s="48"/>
      <c r="AO376" s="48"/>
      <c r="AP376" s="48"/>
      <c r="AQ376" s="48"/>
      <c r="AR376" s="48"/>
      <c r="AS376" s="48"/>
      <c r="AT376" s="48"/>
      <c r="AU376" s="48"/>
      <c r="AV376" s="48"/>
      <c r="AW376" s="48"/>
      <c r="AX376" s="48"/>
      <c r="AY376" s="48"/>
      <c r="AZ376" s="48"/>
      <c r="BA376" s="48"/>
      <c r="BB376" s="48"/>
      <c r="BC376" s="48"/>
      <c r="BD376" s="48"/>
      <c r="BE376" s="48"/>
      <c r="BF376" s="48"/>
      <c r="BG376" s="48"/>
      <c r="BH376" s="48"/>
      <c r="BI376" s="48"/>
      <c r="BJ376" s="48"/>
      <c r="BK376" s="48"/>
      <c r="BL376" s="48"/>
      <c r="BM376" s="48"/>
      <c r="BN376" s="48"/>
      <c r="BO376" s="48"/>
      <c r="BP376" s="48"/>
      <c r="BQ376" s="48"/>
      <c r="BR376" s="48"/>
      <c r="BS376" s="48"/>
      <c r="BT376" s="48"/>
      <c r="BU376" s="48"/>
      <c r="BV376" s="48"/>
      <c r="BW376" s="48"/>
      <c r="BX376" s="111"/>
    </row>
    <row r="377" spans="1:76">
      <c r="A377" s="37"/>
      <c r="B377" s="37"/>
      <c r="C377" s="37"/>
      <c r="D377" s="37"/>
      <c r="E377" s="37" t="s">
        <v>1811</v>
      </c>
      <c r="F377" s="39"/>
      <c r="G377" s="59"/>
      <c r="H377" s="59"/>
      <c r="I377" s="59"/>
      <c r="J377" s="59"/>
      <c r="K377" s="59"/>
      <c r="L377" s="59"/>
      <c r="M377" s="59"/>
      <c r="N377" s="60"/>
      <c r="O377" s="36"/>
      <c r="P377" s="48"/>
      <c r="Q377" s="48"/>
      <c r="R377" s="48"/>
      <c r="S377" s="48"/>
      <c r="T377" s="48"/>
      <c r="U377" s="48"/>
      <c r="V377" s="48"/>
      <c r="W377" s="48"/>
      <c r="X377" s="48"/>
      <c r="Y377" s="48"/>
      <c r="Z377" s="48"/>
      <c r="AA377" s="48"/>
      <c r="AB377" s="48"/>
      <c r="AC377" s="48"/>
      <c r="AD377" s="48"/>
      <c r="AE377" s="48"/>
      <c r="AF377" s="48"/>
      <c r="AG377" s="48"/>
      <c r="AH377" s="48"/>
      <c r="AI377" s="48"/>
      <c r="AJ377" s="48"/>
      <c r="AK377" s="48"/>
      <c r="AL377" s="48"/>
      <c r="AM377" s="48"/>
      <c r="AN377" s="48"/>
      <c r="AO377" s="48"/>
      <c r="AP377" s="48"/>
      <c r="AQ377" s="48"/>
      <c r="AR377" s="48"/>
      <c r="AS377" s="48"/>
      <c r="AT377" s="48"/>
      <c r="AU377" s="48"/>
      <c r="AV377" s="48"/>
      <c r="AW377" s="48"/>
      <c r="AX377" s="48"/>
      <c r="AY377" s="48"/>
      <c r="AZ377" s="48"/>
      <c r="BA377" s="48"/>
      <c r="BB377" s="48"/>
      <c r="BC377" s="48"/>
      <c r="BD377" s="48"/>
      <c r="BE377" s="48"/>
      <c r="BF377" s="48"/>
      <c r="BG377" s="48"/>
      <c r="BH377" s="48"/>
      <c r="BI377" s="48"/>
      <c r="BJ377" s="48"/>
      <c r="BK377" s="48"/>
      <c r="BL377" s="48"/>
      <c r="BM377" s="48"/>
      <c r="BN377" s="48"/>
      <c r="BO377" s="48"/>
      <c r="BP377" s="48"/>
      <c r="BQ377" s="48"/>
      <c r="BR377" s="48"/>
      <c r="BS377" s="48"/>
      <c r="BT377" s="48"/>
      <c r="BU377" s="48"/>
      <c r="BV377" s="48"/>
      <c r="BW377" s="48"/>
      <c r="BX377" s="111"/>
    </row>
    <row r="378" spans="1:76">
      <c r="A378" s="37"/>
      <c r="B378" s="37"/>
      <c r="C378" s="37"/>
      <c r="D378" s="37" t="s">
        <v>1812</v>
      </c>
      <c r="E378" s="37"/>
      <c r="F378" s="39"/>
      <c r="G378" s="39" t="str">
        <f t="shared" ref="G378:N378" si="63">IF(AND(OR(ISTEXT(G379), ISBLANK(G379)),OR(ISTEXT(G380), ISBLANK(G380)),TRUE),"", +IF(ISTEXT(G379), 0,G379)+IF(ISTEXT(G380), 0,G380))</f>
        <v/>
      </c>
      <c r="H378" s="39" t="str">
        <f t="shared" si="63"/>
        <v/>
      </c>
      <c r="I378" s="39" t="str">
        <f t="shared" si="63"/>
        <v/>
      </c>
      <c r="J378" s="39" t="str">
        <f t="shared" si="63"/>
        <v/>
      </c>
      <c r="K378" s="39" t="str">
        <f t="shared" si="63"/>
        <v/>
      </c>
      <c r="L378" s="39" t="str">
        <f t="shared" si="63"/>
        <v/>
      </c>
      <c r="M378" s="39" t="str">
        <f t="shared" si="63"/>
        <v/>
      </c>
      <c r="N378" s="48" t="str">
        <f t="shared" si="63"/>
        <v/>
      </c>
      <c r="O378" s="36"/>
      <c r="P378" s="48"/>
      <c r="Q378" s="48"/>
      <c r="R378" s="48"/>
      <c r="S378" s="48"/>
      <c r="T378" s="48"/>
      <c r="U378" s="48"/>
      <c r="V378" s="48"/>
      <c r="W378" s="48"/>
      <c r="X378" s="48"/>
      <c r="Y378" s="48"/>
      <c r="Z378" s="48"/>
      <c r="AA378" s="48"/>
      <c r="AB378" s="48"/>
      <c r="AC378" s="48"/>
      <c r="AD378" s="48"/>
      <c r="AE378" s="48"/>
      <c r="AF378" s="48"/>
      <c r="AG378" s="48"/>
      <c r="AH378" s="48"/>
      <c r="AI378" s="48"/>
      <c r="AJ378" s="48"/>
      <c r="AK378" s="48"/>
      <c r="AL378" s="48"/>
      <c r="AM378" s="48"/>
      <c r="AN378" s="48"/>
      <c r="AO378" s="48"/>
      <c r="AP378" s="48"/>
      <c r="AQ378" s="48"/>
      <c r="AR378" s="48"/>
      <c r="AS378" s="48"/>
      <c r="AT378" s="48"/>
      <c r="AU378" s="48"/>
      <c r="AV378" s="48"/>
      <c r="AW378" s="48"/>
      <c r="AX378" s="48"/>
      <c r="AY378" s="48"/>
      <c r="AZ378" s="48"/>
      <c r="BA378" s="48"/>
      <c r="BB378" s="48"/>
      <c r="BC378" s="48"/>
      <c r="BD378" s="48"/>
      <c r="BE378" s="48"/>
      <c r="BF378" s="48"/>
      <c r="BG378" s="48"/>
      <c r="BH378" s="48"/>
      <c r="BI378" s="48"/>
      <c r="BJ378" s="48"/>
      <c r="BK378" s="48"/>
      <c r="BL378" s="48"/>
      <c r="BM378" s="48"/>
      <c r="BN378" s="48"/>
      <c r="BO378" s="48"/>
      <c r="BP378" s="48"/>
      <c r="BQ378" s="48"/>
      <c r="BR378" s="48"/>
      <c r="BS378" s="48"/>
      <c r="BT378" s="48"/>
      <c r="BU378" s="48"/>
      <c r="BV378" s="48"/>
      <c r="BW378" s="48"/>
      <c r="BX378" s="111"/>
    </row>
    <row r="379" spans="1:76">
      <c r="A379" s="37"/>
      <c r="B379" s="37"/>
      <c r="C379" s="37"/>
      <c r="D379" s="37"/>
      <c r="E379" s="37" t="s">
        <v>696</v>
      </c>
      <c r="F379" s="39"/>
      <c r="G379" s="59"/>
      <c r="H379" s="59"/>
      <c r="I379" s="59"/>
      <c r="J379" s="59"/>
      <c r="K379" s="59"/>
      <c r="L379" s="59"/>
      <c r="M379" s="59"/>
      <c r="N379" s="60"/>
      <c r="O379" s="36"/>
      <c r="P379" s="48"/>
      <c r="Q379" s="48"/>
      <c r="R379" s="48"/>
      <c r="S379" s="48"/>
      <c r="T379" s="48"/>
      <c r="U379" s="48"/>
      <c r="V379" s="48"/>
      <c r="W379" s="48"/>
      <c r="X379" s="48"/>
      <c r="Y379" s="48"/>
      <c r="Z379" s="48"/>
      <c r="AA379" s="48"/>
      <c r="AB379" s="48"/>
      <c r="AC379" s="48"/>
      <c r="AD379" s="48"/>
      <c r="AE379" s="48"/>
      <c r="AF379" s="48"/>
      <c r="AG379" s="48"/>
      <c r="AH379" s="48"/>
      <c r="AI379" s="48"/>
      <c r="AJ379" s="48"/>
      <c r="AK379" s="48"/>
      <c r="AL379" s="48"/>
      <c r="AM379" s="48"/>
      <c r="AN379" s="48"/>
      <c r="AO379" s="48"/>
      <c r="AP379" s="48"/>
      <c r="AQ379" s="48"/>
      <c r="AR379" s="48"/>
      <c r="AS379" s="48"/>
      <c r="AT379" s="48"/>
      <c r="AU379" s="48"/>
      <c r="AV379" s="48"/>
      <c r="AW379" s="48"/>
      <c r="AX379" s="48"/>
      <c r="AY379" s="48"/>
      <c r="AZ379" s="48"/>
      <c r="BA379" s="48"/>
      <c r="BB379" s="48"/>
      <c r="BC379" s="48"/>
      <c r="BD379" s="48"/>
      <c r="BE379" s="48"/>
      <c r="BF379" s="48"/>
      <c r="BG379" s="48"/>
      <c r="BH379" s="48"/>
      <c r="BI379" s="48"/>
      <c r="BJ379" s="48"/>
      <c r="BK379" s="48"/>
      <c r="BL379" s="48"/>
      <c r="BM379" s="48"/>
      <c r="BN379" s="48"/>
      <c r="BO379" s="48"/>
      <c r="BP379" s="48"/>
      <c r="BQ379" s="48"/>
      <c r="BR379" s="48"/>
      <c r="BS379" s="48"/>
      <c r="BT379" s="48"/>
      <c r="BU379" s="48"/>
      <c r="BV379" s="48"/>
      <c r="BW379" s="48"/>
      <c r="BX379" s="111"/>
    </row>
    <row r="380" spans="1:76">
      <c r="A380" s="37"/>
      <c r="B380" s="37"/>
      <c r="C380" s="37"/>
      <c r="D380" s="37"/>
      <c r="E380" s="37" t="s">
        <v>697</v>
      </c>
      <c r="F380" s="39"/>
      <c r="G380" s="59"/>
      <c r="H380" s="59"/>
      <c r="I380" s="59"/>
      <c r="J380" s="59"/>
      <c r="K380" s="59"/>
      <c r="L380" s="59"/>
      <c r="M380" s="59"/>
      <c r="N380" s="60"/>
      <c r="O380" s="36"/>
      <c r="P380" s="48"/>
      <c r="Q380" s="48"/>
      <c r="R380" s="48"/>
      <c r="S380" s="48"/>
      <c r="T380" s="48"/>
      <c r="U380" s="48"/>
      <c r="V380" s="48"/>
      <c r="W380" s="48"/>
      <c r="X380" s="48"/>
      <c r="Y380" s="48"/>
      <c r="Z380" s="48"/>
      <c r="AA380" s="48"/>
      <c r="AB380" s="48"/>
      <c r="AC380" s="48"/>
      <c r="AD380" s="48"/>
      <c r="AE380" s="48"/>
      <c r="AF380" s="48"/>
      <c r="AG380" s="48"/>
      <c r="AH380" s="48"/>
      <c r="AI380" s="48"/>
      <c r="AJ380" s="48"/>
      <c r="AK380" s="48"/>
      <c r="AL380" s="48"/>
      <c r="AM380" s="48"/>
      <c r="AN380" s="48"/>
      <c r="AO380" s="48"/>
      <c r="AP380" s="48"/>
      <c r="AQ380" s="48"/>
      <c r="AR380" s="48"/>
      <c r="AS380" s="48"/>
      <c r="AT380" s="48"/>
      <c r="AU380" s="48"/>
      <c r="AV380" s="48"/>
      <c r="AW380" s="48"/>
      <c r="AX380" s="48"/>
      <c r="AY380" s="48"/>
      <c r="AZ380" s="48"/>
      <c r="BA380" s="48"/>
      <c r="BB380" s="48"/>
      <c r="BC380" s="48"/>
      <c r="BD380" s="48"/>
      <c r="BE380" s="48"/>
      <c r="BF380" s="48"/>
      <c r="BG380" s="48"/>
      <c r="BH380" s="48"/>
      <c r="BI380" s="48"/>
      <c r="BJ380" s="48"/>
      <c r="BK380" s="48"/>
      <c r="BL380" s="48"/>
      <c r="BM380" s="48"/>
      <c r="BN380" s="48"/>
      <c r="BO380" s="48"/>
      <c r="BP380" s="48"/>
      <c r="BQ380" s="48"/>
      <c r="BR380" s="48"/>
      <c r="BS380" s="48"/>
      <c r="BT380" s="48"/>
      <c r="BU380" s="48"/>
      <c r="BV380" s="48"/>
      <c r="BW380" s="48"/>
      <c r="BX380" s="111"/>
    </row>
    <row r="381" spans="1:76">
      <c r="A381" s="37"/>
      <c r="B381" s="37"/>
      <c r="C381" s="37"/>
      <c r="D381" s="37" t="s">
        <v>1506</v>
      </c>
      <c r="E381" s="37"/>
      <c r="F381" s="39"/>
      <c r="G381" s="39">
        <f t="shared" ref="G381:N381" si="64">IF(AND(OR(ISTEXT(G382), ISBLANK(G382)),OR(ISTEXT(G383), ISBLANK(G383)),TRUE),"", +IF(ISTEXT(G382), 0,G382)+IF(ISTEXT(G383), 0,G383))</f>
        <v>97</v>
      </c>
      <c r="H381" s="39">
        <f t="shared" si="64"/>
        <v>529</v>
      </c>
      <c r="I381" s="39">
        <f t="shared" si="64"/>
        <v>1470</v>
      </c>
      <c r="J381" s="39">
        <f t="shared" si="64"/>
        <v>1444</v>
      </c>
      <c r="K381" s="39">
        <f t="shared" si="64"/>
        <v>1314</v>
      </c>
      <c r="L381" s="39">
        <f t="shared" si="64"/>
        <v>986</v>
      </c>
      <c r="M381" s="39">
        <f t="shared" si="64"/>
        <v>898</v>
      </c>
      <c r="N381" s="48">
        <f t="shared" si="64"/>
        <v>880</v>
      </c>
      <c r="O381" s="36"/>
      <c r="P381" s="48"/>
      <c r="Q381" s="48"/>
      <c r="R381" s="48"/>
      <c r="S381" s="48"/>
      <c r="T381" s="48"/>
      <c r="U381" s="48"/>
      <c r="V381" s="48"/>
      <c r="W381" s="48"/>
      <c r="X381" s="48"/>
      <c r="Y381" s="48"/>
      <c r="Z381" s="48"/>
      <c r="AA381" s="48"/>
      <c r="AB381" s="48"/>
      <c r="AC381" s="48"/>
      <c r="AD381" s="48"/>
      <c r="AE381" s="48"/>
      <c r="AF381" s="48"/>
      <c r="AG381" s="48"/>
      <c r="AH381" s="48"/>
      <c r="AI381" s="48"/>
      <c r="AJ381" s="48"/>
      <c r="AK381" s="48"/>
      <c r="AL381" s="48"/>
      <c r="AM381" s="48"/>
      <c r="AN381" s="48"/>
      <c r="AO381" s="48"/>
      <c r="AP381" s="48"/>
      <c r="AQ381" s="48"/>
      <c r="AR381" s="48"/>
      <c r="AS381" s="48"/>
      <c r="AT381" s="48"/>
      <c r="AU381" s="48"/>
      <c r="AV381" s="48"/>
      <c r="AW381" s="48"/>
      <c r="AX381" s="48"/>
      <c r="AY381" s="48"/>
      <c r="AZ381" s="48"/>
      <c r="BA381" s="48"/>
      <c r="BB381" s="48"/>
      <c r="BC381" s="48"/>
      <c r="BD381" s="48"/>
      <c r="BE381" s="48"/>
      <c r="BF381" s="48"/>
      <c r="BG381" s="48"/>
      <c r="BH381" s="48"/>
      <c r="BI381" s="48"/>
      <c r="BJ381" s="48"/>
      <c r="BK381" s="48"/>
      <c r="BL381" s="48"/>
      <c r="BM381" s="48"/>
      <c r="BN381" s="48"/>
      <c r="BO381" s="48"/>
      <c r="BP381" s="48"/>
      <c r="BQ381" s="48"/>
      <c r="BR381" s="48"/>
      <c r="BS381" s="48"/>
      <c r="BT381" s="48"/>
      <c r="BU381" s="48"/>
      <c r="BV381" s="48"/>
      <c r="BW381" s="48"/>
      <c r="BX381" s="111"/>
    </row>
    <row r="382" spans="1:76">
      <c r="A382" s="37"/>
      <c r="B382" s="37"/>
      <c r="C382" s="37"/>
      <c r="D382" s="37"/>
      <c r="E382" s="37" t="s">
        <v>1507</v>
      </c>
      <c r="F382" s="39"/>
      <c r="G382" s="59"/>
      <c r="H382" s="59"/>
      <c r="I382" s="59"/>
      <c r="J382" s="59"/>
      <c r="K382" s="59"/>
      <c r="L382" s="59"/>
      <c r="M382" s="59"/>
      <c r="N382" s="60"/>
      <c r="O382" s="36"/>
      <c r="P382" s="48"/>
      <c r="Q382" s="48"/>
      <c r="R382" s="48"/>
      <c r="S382" s="48"/>
      <c r="T382" s="48"/>
      <c r="U382" s="48"/>
      <c r="V382" s="48"/>
      <c r="W382" s="48"/>
      <c r="X382" s="48"/>
      <c r="Y382" s="48"/>
      <c r="Z382" s="48"/>
      <c r="AA382" s="48"/>
      <c r="AB382" s="48"/>
      <c r="AC382" s="48"/>
      <c r="AD382" s="48"/>
      <c r="AE382" s="48"/>
      <c r="AF382" s="48"/>
      <c r="AG382" s="48"/>
      <c r="AH382" s="48"/>
      <c r="AI382" s="48"/>
      <c r="AJ382" s="48"/>
      <c r="AK382" s="48"/>
      <c r="AL382" s="48"/>
      <c r="AM382" s="48"/>
      <c r="AN382" s="48"/>
      <c r="AO382" s="48"/>
      <c r="AP382" s="48"/>
      <c r="AQ382" s="48"/>
      <c r="AR382" s="48"/>
      <c r="AS382" s="48"/>
      <c r="AT382" s="48"/>
      <c r="AU382" s="48"/>
      <c r="AV382" s="48"/>
      <c r="AW382" s="48"/>
      <c r="AX382" s="48"/>
      <c r="AY382" s="48"/>
      <c r="AZ382" s="48"/>
      <c r="BA382" s="48"/>
      <c r="BB382" s="48"/>
      <c r="BC382" s="48"/>
      <c r="BD382" s="48"/>
      <c r="BE382" s="48"/>
      <c r="BF382" s="48"/>
      <c r="BG382" s="48"/>
      <c r="BH382" s="48"/>
      <c r="BI382" s="48"/>
      <c r="BJ382" s="48"/>
      <c r="BK382" s="48"/>
      <c r="BL382" s="48"/>
      <c r="BM382" s="48"/>
      <c r="BN382" s="48"/>
      <c r="BO382" s="48"/>
      <c r="BP382" s="48"/>
      <c r="BQ382" s="48"/>
      <c r="BR382" s="48"/>
      <c r="BS382" s="48"/>
      <c r="BT382" s="48"/>
      <c r="BU382" s="48"/>
      <c r="BV382" s="48"/>
      <c r="BW382" s="48"/>
      <c r="BX382" s="111"/>
    </row>
    <row r="383" spans="1:76">
      <c r="A383" s="37"/>
      <c r="B383" s="37"/>
      <c r="C383" s="37"/>
      <c r="D383" s="37"/>
      <c r="E383" s="37" t="s">
        <v>1803</v>
      </c>
      <c r="F383" s="39"/>
      <c r="G383" s="59">
        <v>97</v>
      </c>
      <c r="H383" s="59">
        <v>529</v>
      </c>
      <c r="I383" s="59">
        <v>1470</v>
      </c>
      <c r="J383" s="59">
        <v>1444</v>
      </c>
      <c r="K383" s="59">
        <v>1314</v>
      </c>
      <c r="L383" s="59">
        <v>986</v>
      </c>
      <c r="M383" s="59">
        <v>898</v>
      </c>
      <c r="N383" s="60">
        <v>880</v>
      </c>
      <c r="O383" s="36"/>
      <c r="P383" s="48"/>
      <c r="Q383" s="48"/>
      <c r="R383" s="48"/>
      <c r="S383" s="48"/>
      <c r="T383" s="48"/>
      <c r="U383" s="48"/>
      <c r="V383" s="48"/>
      <c r="W383" s="48"/>
      <c r="X383" s="48"/>
      <c r="Y383" s="48"/>
      <c r="Z383" s="48"/>
      <c r="AA383" s="48"/>
      <c r="AB383" s="48"/>
      <c r="AC383" s="48"/>
      <c r="AD383" s="48"/>
      <c r="AE383" s="48"/>
      <c r="AF383" s="48"/>
      <c r="AG383" s="48"/>
      <c r="AH383" s="48"/>
      <c r="AI383" s="48"/>
      <c r="AJ383" s="48"/>
      <c r="AK383" s="48"/>
      <c r="AL383" s="48"/>
      <c r="AM383" s="48"/>
      <c r="AN383" s="48"/>
      <c r="AO383" s="48"/>
      <c r="AP383" s="48"/>
      <c r="AQ383" s="48"/>
      <c r="AR383" s="48"/>
      <c r="AS383" s="48"/>
      <c r="AT383" s="48"/>
      <c r="AU383" s="48"/>
      <c r="AV383" s="48"/>
      <c r="AW383" s="48"/>
      <c r="AX383" s="48"/>
      <c r="AY383" s="48"/>
      <c r="AZ383" s="48"/>
      <c r="BA383" s="48"/>
      <c r="BB383" s="48"/>
      <c r="BC383" s="48"/>
      <c r="BD383" s="48"/>
      <c r="BE383" s="48"/>
      <c r="BF383" s="48"/>
      <c r="BG383" s="48"/>
      <c r="BH383" s="48"/>
      <c r="BI383" s="48"/>
      <c r="BJ383" s="48"/>
      <c r="BK383" s="48"/>
      <c r="BL383" s="48"/>
      <c r="BM383" s="48"/>
      <c r="BN383" s="48"/>
      <c r="BO383" s="48"/>
      <c r="BP383" s="48"/>
      <c r="BQ383" s="48"/>
      <c r="BR383" s="48"/>
      <c r="BS383" s="48"/>
      <c r="BT383" s="48"/>
      <c r="BU383" s="48"/>
      <c r="BV383" s="48"/>
      <c r="BW383" s="48"/>
      <c r="BX383" s="111"/>
    </row>
    <row r="384" spans="1:76">
      <c r="A384" s="37"/>
      <c r="B384" s="37"/>
      <c r="C384" s="37"/>
      <c r="D384" s="37" t="s">
        <v>1642</v>
      </c>
      <c r="E384" s="37"/>
      <c r="F384" s="39"/>
      <c r="G384" s="39" t="str">
        <f t="shared" ref="G384:N384" si="65">IF(AND(OR(ISTEXT(G385), ISBLANK(G385)),OR(ISTEXT(G386), ISBLANK(G386)),TRUE),"", +IF(ISTEXT(G385), 0,G385)+IF(ISTEXT(G386), 0,G386))</f>
        <v/>
      </c>
      <c r="H384" s="39" t="str">
        <f t="shared" si="65"/>
        <v/>
      </c>
      <c r="I384" s="39" t="str">
        <f t="shared" si="65"/>
        <v/>
      </c>
      <c r="J384" s="39" t="str">
        <f t="shared" si="65"/>
        <v/>
      </c>
      <c r="K384" s="39" t="str">
        <f t="shared" si="65"/>
        <v/>
      </c>
      <c r="L384" s="39" t="str">
        <f t="shared" si="65"/>
        <v/>
      </c>
      <c r="M384" s="39" t="str">
        <f t="shared" si="65"/>
        <v/>
      </c>
      <c r="N384" s="48" t="str">
        <f t="shared" si="65"/>
        <v/>
      </c>
      <c r="O384" s="36"/>
      <c r="P384" s="48"/>
      <c r="Q384" s="48"/>
      <c r="R384" s="48"/>
      <c r="S384" s="48"/>
      <c r="T384" s="48"/>
      <c r="U384" s="48"/>
      <c r="V384" s="48"/>
      <c r="W384" s="48"/>
      <c r="X384" s="48"/>
      <c r="Y384" s="48"/>
      <c r="Z384" s="48"/>
      <c r="AA384" s="48"/>
      <c r="AB384" s="48"/>
      <c r="AC384" s="48"/>
      <c r="AD384" s="48"/>
      <c r="AE384" s="48"/>
      <c r="AF384" s="48"/>
      <c r="AG384" s="48"/>
      <c r="AH384" s="48"/>
      <c r="AI384" s="48"/>
      <c r="AJ384" s="48"/>
      <c r="AK384" s="48"/>
      <c r="AL384" s="48"/>
      <c r="AM384" s="48"/>
      <c r="AN384" s="48"/>
      <c r="AO384" s="48"/>
      <c r="AP384" s="48"/>
      <c r="AQ384" s="48"/>
      <c r="AR384" s="48"/>
      <c r="AS384" s="48"/>
      <c r="AT384" s="48"/>
      <c r="AU384" s="48"/>
      <c r="AV384" s="48"/>
      <c r="AW384" s="48"/>
      <c r="AX384" s="48"/>
      <c r="AY384" s="48"/>
      <c r="AZ384" s="48"/>
      <c r="BA384" s="48"/>
      <c r="BB384" s="48"/>
      <c r="BC384" s="48"/>
      <c r="BD384" s="48"/>
      <c r="BE384" s="48"/>
      <c r="BF384" s="48"/>
      <c r="BG384" s="48"/>
      <c r="BH384" s="48"/>
      <c r="BI384" s="48"/>
      <c r="BJ384" s="48"/>
      <c r="BK384" s="48"/>
      <c r="BL384" s="48"/>
      <c r="BM384" s="48"/>
      <c r="BN384" s="48"/>
      <c r="BO384" s="48"/>
      <c r="BP384" s="48"/>
      <c r="BQ384" s="48"/>
      <c r="BR384" s="48"/>
      <c r="BS384" s="48"/>
      <c r="BT384" s="48"/>
      <c r="BU384" s="48"/>
      <c r="BV384" s="48"/>
      <c r="BW384" s="48"/>
      <c r="BX384" s="111"/>
    </row>
    <row r="385" spans="1:76">
      <c r="A385" s="37"/>
      <c r="B385" s="37"/>
      <c r="C385" s="37"/>
      <c r="D385" s="37"/>
      <c r="E385" s="37" t="s">
        <v>1168</v>
      </c>
      <c r="F385" s="39"/>
      <c r="G385" s="59"/>
      <c r="H385" s="59"/>
      <c r="I385" s="59"/>
      <c r="J385" s="59"/>
      <c r="K385" s="59"/>
      <c r="L385" s="59"/>
      <c r="M385" s="59"/>
      <c r="N385" s="60"/>
      <c r="O385" s="36"/>
      <c r="P385" s="48"/>
      <c r="Q385" s="48"/>
      <c r="R385" s="48"/>
      <c r="S385" s="48"/>
      <c r="T385" s="48"/>
      <c r="U385" s="48"/>
      <c r="V385" s="48"/>
      <c r="W385" s="48"/>
      <c r="X385" s="48"/>
      <c r="Y385" s="48"/>
      <c r="Z385" s="48"/>
      <c r="AA385" s="48"/>
      <c r="AB385" s="48"/>
      <c r="AC385" s="48"/>
      <c r="AD385" s="48"/>
      <c r="AE385" s="48"/>
      <c r="AF385" s="48"/>
      <c r="AG385" s="48"/>
      <c r="AH385" s="48"/>
      <c r="AI385" s="48"/>
      <c r="AJ385" s="48"/>
      <c r="AK385" s="48"/>
      <c r="AL385" s="48"/>
      <c r="AM385" s="48"/>
      <c r="AN385" s="48"/>
      <c r="AO385" s="48"/>
      <c r="AP385" s="48"/>
      <c r="AQ385" s="48"/>
      <c r="AR385" s="48"/>
      <c r="AS385" s="48"/>
      <c r="AT385" s="48"/>
      <c r="AU385" s="48"/>
      <c r="AV385" s="48"/>
      <c r="AW385" s="48"/>
      <c r="AX385" s="48"/>
      <c r="AY385" s="48"/>
      <c r="AZ385" s="48"/>
      <c r="BA385" s="48"/>
      <c r="BB385" s="48"/>
      <c r="BC385" s="48"/>
      <c r="BD385" s="48"/>
      <c r="BE385" s="48"/>
      <c r="BF385" s="48"/>
      <c r="BG385" s="48"/>
      <c r="BH385" s="48"/>
      <c r="BI385" s="48"/>
      <c r="BJ385" s="48"/>
      <c r="BK385" s="48"/>
      <c r="BL385" s="48"/>
      <c r="BM385" s="48"/>
      <c r="BN385" s="48"/>
      <c r="BO385" s="48"/>
      <c r="BP385" s="48"/>
      <c r="BQ385" s="48"/>
      <c r="BR385" s="48"/>
      <c r="BS385" s="48"/>
      <c r="BT385" s="48"/>
      <c r="BU385" s="48"/>
      <c r="BV385" s="48"/>
      <c r="BW385" s="48"/>
      <c r="BX385" s="111"/>
    </row>
    <row r="386" spans="1:76">
      <c r="A386" s="37"/>
      <c r="B386" s="37"/>
      <c r="C386" s="37"/>
      <c r="D386" s="37"/>
      <c r="E386" s="37" t="s">
        <v>2232</v>
      </c>
      <c r="F386" s="39"/>
      <c r="G386" s="59"/>
      <c r="H386" s="59"/>
      <c r="I386" s="59"/>
      <c r="J386" s="59"/>
      <c r="K386" s="59"/>
      <c r="L386" s="59"/>
      <c r="M386" s="59"/>
      <c r="N386" s="60"/>
      <c r="O386" s="36"/>
      <c r="P386" s="48"/>
      <c r="Q386" s="48"/>
      <c r="R386" s="48"/>
      <c r="S386" s="48"/>
      <c r="T386" s="48"/>
      <c r="U386" s="48"/>
      <c r="V386" s="48"/>
      <c r="W386" s="48"/>
      <c r="X386" s="48"/>
      <c r="Y386" s="48"/>
      <c r="Z386" s="48"/>
      <c r="AA386" s="48"/>
      <c r="AB386" s="48"/>
      <c r="AC386" s="48"/>
      <c r="AD386" s="48"/>
      <c r="AE386" s="48"/>
      <c r="AF386" s="48"/>
      <c r="AG386" s="48"/>
      <c r="AH386" s="48"/>
      <c r="AI386" s="48"/>
      <c r="AJ386" s="48"/>
      <c r="AK386" s="48"/>
      <c r="AL386" s="48"/>
      <c r="AM386" s="48"/>
      <c r="AN386" s="48"/>
      <c r="AO386" s="48"/>
      <c r="AP386" s="48"/>
      <c r="AQ386" s="48"/>
      <c r="AR386" s="48"/>
      <c r="AS386" s="48"/>
      <c r="AT386" s="48"/>
      <c r="AU386" s="48"/>
      <c r="AV386" s="48"/>
      <c r="AW386" s="48"/>
      <c r="AX386" s="48"/>
      <c r="AY386" s="48"/>
      <c r="AZ386" s="48"/>
      <c r="BA386" s="48"/>
      <c r="BB386" s="48"/>
      <c r="BC386" s="48"/>
      <c r="BD386" s="48"/>
      <c r="BE386" s="48"/>
      <c r="BF386" s="48"/>
      <c r="BG386" s="48"/>
      <c r="BH386" s="48"/>
      <c r="BI386" s="48"/>
      <c r="BJ386" s="48"/>
      <c r="BK386" s="48"/>
      <c r="BL386" s="48"/>
      <c r="BM386" s="48"/>
      <c r="BN386" s="48"/>
      <c r="BO386" s="48"/>
      <c r="BP386" s="48"/>
      <c r="BQ386" s="48"/>
      <c r="BR386" s="48"/>
      <c r="BS386" s="48"/>
      <c r="BT386" s="48"/>
      <c r="BU386" s="48"/>
      <c r="BV386" s="48"/>
      <c r="BW386" s="48"/>
      <c r="BX386" s="111"/>
    </row>
    <row r="387" spans="1:76">
      <c r="A387" s="37"/>
      <c r="B387" s="37"/>
      <c r="C387" s="37"/>
      <c r="D387" s="37" t="s">
        <v>2233</v>
      </c>
      <c r="E387" s="37"/>
      <c r="F387" s="39"/>
      <c r="G387" s="59">
        <f t="shared" ref="G387:N387" si="66">-G685-G735</f>
        <v>98</v>
      </c>
      <c r="H387" s="59">
        <f t="shared" si="66"/>
        <v>87</v>
      </c>
      <c r="I387" s="59">
        <f t="shared" si="66"/>
        <v>53</v>
      </c>
      <c r="J387" s="59">
        <f t="shared" si="66"/>
        <v>40</v>
      </c>
      <c r="K387" s="59">
        <f t="shared" si="66"/>
        <v>34</v>
      </c>
      <c r="L387" s="59">
        <f t="shared" si="66"/>
        <v>57</v>
      </c>
      <c r="M387" s="59">
        <f t="shared" si="66"/>
        <v>51</v>
      </c>
      <c r="N387" s="59">
        <f t="shared" si="66"/>
        <v>54</v>
      </c>
      <c r="O387" s="58"/>
      <c r="P387" s="48"/>
      <c r="Q387" s="48"/>
      <c r="R387" s="48"/>
      <c r="S387" s="48"/>
      <c r="T387" s="48"/>
      <c r="U387" s="48"/>
      <c r="V387" s="48"/>
      <c r="W387" s="48"/>
      <c r="X387" s="48"/>
      <c r="Y387" s="48"/>
      <c r="Z387" s="48"/>
      <c r="AA387" s="48"/>
      <c r="AB387" s="48"/>
      <c r="AC387" s="48"/>
      <c r="AD387" s="48"/>
      <c r="AE387" s="48"/>
      <c r="AF387" s="48"/>
      <c r="AG387" s="48"/>
      <c r="AH387" s="48"/>
      <c r="AI387" s="48"/>
      <c r="AJ387" s="48"/>
      <c r="AK387" s="48"/>
      <c r="AL387" s="48"/>
      <c r="AM387" s="48"/>
      <c r="AN387" s="48"/>
      <c r="AO387" s="48"/>
      <c r="AP387" s="48"/>
      <c r="AQ387" s="48"/>
      <c r="AR387" s="48"/>
      <c r="AS387" s="48"/>
      <c r="AT387" s="48"/>
      <c r="AU387" s="48"/>
      <c r="AV387" s="48"/>
      <c r="AW387" s="48"/>
      <c r="AX387" s="48"/>
      <c r="AY387" s="48"/>
      <c r="AZ387" s="48"/>
      <c r="BA387" s="48"/>
      <c r="BB387" s="48"/>
      <c r="BC387" s="48"/>
      <c r="BD387" s="48"/>
      <c r="BE387" s="48"/>
      <c r="BF387" s="48"/>
      <c r="BG387" s="48"/>
      <c r="BH387" s="48"/>
      <c r="BI387" s="48"/>
      <c r="BJ387" s="48"/>
      <c r="BK387" s="48"/>
      <c r="BL387" s="48"/>
      <c r="BM387" s="48"/>
      <c r="BN387" s="48"/>
      <c r="BO387" s="48"/>
      <c r="BP387" s="48"/>
      <c r="BQ387" s="48"/>
      <c r="BR387" s="48"/>
      <c r="BS387" s="48"/>
      <c r="BT387" s="48"/>
      <c r="BU387" s="48"/>
      <c r="BV387" s="48"/>
      <c r="BW387" s="48"/>
      <c r="BX387" s="111"/>
    </row>
    <row r="388" spans="1:76">
      <c r="A388" s="37"/>
      <c r="B388" s="37"/>
      <c r="C388" s="37"/>
      <c r="D388" s="37" t="s">
        <v>46</v>
      </c>
      <c r="E388" s="37"/>
      <c r="F388" s="39"/>
      <c r="G388" s="59"/>
      <c r="H388" s="59"/>
      <c r="I388" s="59"/>
      <c r="J388" s="59"/>
      <c r="K388" s="59"/>
      <c r="L388" s="59"/>
      <c r="M388" s="59"/>
      <c r="N388" s="60"/>
      <c r="O388" s="36"/>
      <c r="P388" s="48"/>
      <c r="Q388" s="48"/>
      <c r="R388" s="48"/>
      <c r="S388" s="48"/>
      <c r="T388" s="48"/>
      <c r="U388" s="48"/>
      <c r="V388" s="48"/>
      <c r="W388" s="48"/>
      <c r="X388" s="48"/>
      <c r="Y388" s="48"/>
      <c r="Z388" s="48"/>
      <c r="AA388" s="48"/>
      <c r="AB388" s="48"/>
      <c r="AC388" s="48"/>
      <c r="AD388" s="48"/>
      <c r="AE388" s="48"/>
      <c r="AF388" s="48"/>
      <c r="AG388" s="48"/>
      <c r="AH388" s="48"/>
      <c r="AI388" s="48"/>
      <c r="AJ388" s="48"/>
      <c r="AK388" s="48"/>
      <c r="AL388" s="48"/>
      <c r="AM388" s="48"/>
      <c r="AN388" s="48"/>
      <c r="AO388" s="48"/>
      <c r="AP388" s="48"/>
      <c r="AQ388" s="48"/>
      <c r="AR388" s="48"/>
      <c r="AS388" s="48"/>
      <c r="AT388" s="48"/>
      <c r="AU388" s="48"/>
      <c r="AV388" s="48"/>
      <c r="AW388" s="48"/>
      <c r="AX388" s="48"/>
      <c r="AY388" s="48"/>
      <c r="AZ388" s="48"/>
      <c r="BA388" s="48"/>
      <c r="BB388" s="48"/>
      <c r="BC388" s="48"/>
      <c r="BD388" s="48"/>
      <c r="BE388" s="48"/>
      <c r="BF388" s="48"/>
      <c r="BG388" s="48"/>
      <c r="BH388" s="48"/>
      <c r="BI388" s="48"/>
      <c r="BJ388" s="48"/>
      <c r="BK388" s="48"/>
      <c r="BL388" s="48"/>
      <c r="BM388" s="48"/>
      <c r="BN388" s="48"/>
      <c r="BO388" s="48"/>
      <c r="BP388" s="48"/>
      <c r="BQ388" s="48"/>
      <c r="BR388" s="48"/>
      <c r="BS388" s="48"/>
      <c r="BT388" s="48"/>
      <c r="BU388" s="48"/>
      <c r="BV388" s="48"/>
      <c r="BW388" s="48"/>
      <c r="BX388" s="111"/>
    </row>
    <row r="389" spans="1:76">
      <c r="A389" s="37"/>
      <c r="B389" s="37"/>
      <c r="C389" s="37"/>
      <c r="D389" s="37" t="s">
        <v>2315</v>
      </c>
      <c r="E389" s="37"/>
      <c r="F389" s="39"/>
      <c r="G389" s="39">
        <f t="shared" ref="G389:N389" si="67">IF(AND(OR(ISTEXT(G390), ISBLANK(G390)),OR(ISTEXT(G391), ISBLANK(G391)),TRUE),"", +IF(ISTEXT(G390), 0,G390)+IF(ISTEXT(G391), 0,G391))</f>
        <v>424</v>
      </c>
      <c r="H389" s="39">
        <f t="shared" si="67"/>
        <v>356</v>
      </c>
      <c r="I389" s="39">
        <f t="shared" si="67"/>
        <v>366</v>
      </c>
      <c r="J389" s="39">
        <f t="shared" si="67"/>
        <v>373</v>
      </c>
      <c r="K389" s="39">
        <f t="shared" si="67"/>
        <v>439</v>
      </c>
      <c r="L389" s="39">
        <f t="shared" si="67"/>
        <v>460</v>
      </c>
      <c r="M389" s="39">
        <f t="shared" si="67"/>
        <v>503</v>
      </c>
      <c r="N389" s="48">
        <f t="shared" si="67"/>
        <v>579</v>
      </c>
      <c r="O389" s="36"/>
      <c r="P389" s="48"/>
      <c r="Q389" s="48"/>
      <c r="R389" s="48"/>
      <c r="S389" s="48"/>
      <c r="T389" s="48"/>
      <c r="U389" s="48"/>
      <c r="V389" s="48"/>
      <c r="W389" s="48"/>
      <c r="X389" s="48"/>
      <c r="Y389" s="48"/>
      <c r="Z389" s="48"/>
      <c r="AA389" s="48"/>
      <c r="AB389" s="48"/>
      <c r="AC389" s="48"/>
      <c r="AD389" s="48"/>
      <c r="AE389" s="48"/>
      <c r="AF389" s="48"/>
      <c r="AG389" s="48"/>
      <c r="AH389" s="48"/>
      <c r="AI389" s="48"/>
      <c r="AJ389" s="48"/>
      <c r="AK389" s="48"/>
      <c r="AL389" s="48"/>
      <c r="AM389" s="48"/>
      <c r="AN389" s="48"/>
      <c r="AO389" s="48"/>
      <c r="AP389" s="48"/>
      <c r="AQ389" s="48"/>
      <c r="AR389" s="48"/>
      <c r="AS389" s="48"/>
      <c r="AT389" s="48"/>
      <c r="AU389" s="48"/>
      <c r="AV389" s="48"/>
      <c r="AW389" s="48"/>
      <c r="AX389" s="48"/>
      <c r="AY389" s="48"/>
      <c r="AZ389" s="48"/>
      <c r="BA389" s="48"/>
      <c r="BB389" s="48"/>
      <c r="BC389" s="48"/>
      <c r="BD389" s="48"/>
      <c r="BE389" s="48"/>
      <c r="BF389" s="48"/>
      <c r="BG389" s="48"/>
      <c r="BH389" s="48"/>
      <c r="BI389" s="48"/>
      <c r="BJ389" s="48"/>
      <c r="BK389" s="48"/>
      <c r="BL389" s="48"/>
      <c r="BM389" s="48"/>
      <c r="BN389" s="48"/>
      <c r="BO389" s="48"/>
      <c r="BP389" s="48"/>
      <c r="BQ389" s="48"/>
      <c r="BR389" s="48"/>
      <c r="BS389" s="48"/>
      <c r="BT389" s="48"/>
      <c r="BU389" s="48"/>
      <c r="BV389" s="48"/>
      <c r="BW389" s="48"/>
      <c r="BX389" s="111"/>
    </row>
    <row r="390" spans="1:76">
      <c r="A390" s="37"/>
      <c r="B390" s="37"/>
      <c r="C390" s="37"/>
      <c r="D390" s="37"/>
      <c r="E390" s="37" t="s">
        <v>1663</v>
      </c>
      <c r="F390" s="39"/>
      <c r="G390" s="59">
        <v>161</v>
      </c>
      <c r="H390" s="59"/>
      <c r="I390" s="59"/>
      <c r="J390" s="59"/>
      <c r="K390" s="59"/>
      <c r="L390" s="59"/>
      <c r="M390" s="59"/>
      <c r="N390" s="59"/>
      <c r="O390" s="36"/>
      <c r="P390" s="48"/>
      <c r="Q390" s="48"/>
      <c r="R390" s="48"/>
      <c r="S390" s="48"/>
      <c r="T390" s="48"/>
      <c r="U390" s="48"/>
      <c r="V390" s="48"/>
      <c r="W390" s="48"/>
      <c r="X390" s="48"/>
      <c r="Y390" s="48"/>
      <c r="Z390" s="48"/>
      <c r="AA390" s="48"/>
      <c r="AB390" s="48"/>
      <c r="AC390" s="48"/>
      <c r="AD390" s="48"/>
      <c r="AE390" s="48"/>
      <c r="AF390" s="48"/>
      <c r="AG390" s="48"/>
      <c r="AH390" s="48"/>
      <c r="AI390" s="48"/>
      <c r="AJ390" s="48"/>
      <c r="AK390" s="48"/>
      <c r="AL390" s="48"/>
      <c r="AM390" s="48"/>
      <c r="AN390" s="48"/>
      <c r="AO390" s="48"/>
      <c r="AP390" s="48"/>
      <c r="AQ390" s="48"/>
      <c r="AR390" s="48"/>
      <c r="AS390" s="48"/>
      <c r="AT390" s="48"/>
      <c r="AU390" s="48"/>
      <c r="AV390" s="48"/>
      <c r="AW390" s="48"/>
      <c r="AX390" s="48"/>
      <c r="AY390" s="48"/>
      <c r="AZ390" s="48"/>
      <c r="BA390" s="48"/>
      <c r="BB390" s="48"/>
      <c r="BC390" s="48"/>
      <c r="BD390" s="48"/>
      <c r="BE390" s="48"/>
      <c r="BF390" s="48"/>
      <c r="BG390" s="48"/>
      <c r="BH390" s="48"/>
      <c r="BI390" s="48"/>
      <c r="BJ390" s="48"/>
      <c r="BK390" s="48"/>
      <c r="BL390" s="48"/>
      <c r="BM390" s="48"/>
      <c r="BN390" s="48"/>
      <c r="BO390" s="48"/>
      <c r="BP390" s="48"/>
      <c r="BQ390" s="48"/>
      <c r="BR390" s="48"/>
      <c r="BS390" s="48"/>
      <c r="BT390" s="48"/>
      <c r="BU390" s="48"/>
      <c r="BV390" s="48"/>
      <c r="BW390" s="48"/>
      <c r="BX390" s="111"/>
    </row>
    <row r="391" spans="1:76">
      <c r="A391" s="37"/>
      <c r="B391" s="37"/>
      <c r="C391" s="37"/>
      <c r="D391" s="37"/>
      <c r="E391" s="37" t="s">
        <v>443</v>
      </c>
      <c r="F391" s="39"/>
      <c r="G391" s="59">
        <f>423-G387-G371+674</f>
        <v>263</v>
      </c>
      <c r="H391" s="59">
        <f>458+32-H387-H371+155</f>
        <v>356</v>
      </c>
      <c r="I391" s="59">
        <f>434+19-I387-I371+87</f>
        <v>366</v>
      </c>
      <c r="J391" s="59">
        <f>435-J387-22</f>
        <v>373</v>
      </c>
      <c r="K391" s="59">
        <f>494-K387-21</f>
        <v>439</v>
      </c>
      <c r="L391" s="59">
        <f>538-L387-21</f>
        <v>460</v>
      </c>
      <c r="M391" s="59">
        <f>574-M387-20</f>
        <v>503</v>
      </c>
      <c r="N391" s="60">
        <f>652-N387-19</f>
        <v>579</v>
      </c>
      <c r="O391" s="79"/>
      <c r="P391" s="48"/>
      <c r="Q391" s="48"/>
      <c r="R391" s="48"/>
      <c r="S391" s="48"/>
      <c r="T391" s="48"/>
      <c r="U391" s="48"/>
      <c r="V391" s="48"/>
      <c r="W391" s="48"/>
      <c r="X391" s="48"/>
      <c r="Y391" s="48"/>
      <c r="Z391" s="48"/>
      <c r="AA391" s="48"/>
      <c r="AB391" s="48"/>
      <c r="AC391" s="48"/>
      <c r="AD391" s="48"/>
      <c r="AE391" s="48"/>
      <c r="AF391" s="48"/>
      <c r="AG391" s="48"/>
      <c r="AH391" s="48"/>
      <c r="AI391" s="48"/>
      <c r="AJ391" s="48"/>
      <c r="AK391" s="48"/>
      <c r="AL391" s="48"/>
      <c r="AM391" s="48"/>
      <c r="AN391" s="48"/>
      <c r="AO391" s="48"/>
      <c r="AP391" s="48"/>
      <c r="AQ391" s="48"/>
      <c r="AR391" s="48"/>
      <c r="AS391" s="48"/>
      <c r="AT391" s="48"/>
      <c r="AU391" s="48"/>
      <c r="AV391" s="48"/>
      <c r="AW391" s="48"/>
      <c r="AX391" s="48"/>
      <c r="AY391" s="48"/>
      <c r="AZ391" s="48"/>
      <c r="BA391" s="48"/>
      <c r="BB391" s="48"/>
      <c r="BC391" s="48"/>
      <c r="BD391" s="48"/>
      <c r="BE391" s="48"/>
      <c r="BF391" s="48"/>
      <c r="BG391" s="48"/>
      <c r="BH391" s="48"/>
      <c r="BI391" s="48"/>
      <c r="BJ391" s="48"/>
      <c r="BK391" s="48"/>
      <c r="BL391" s="48"/>
      <c r="BM391" s="48"/>
      <c r="BN391" s="48"/>
      <c r="BO391" s="48"/>
      <c r="BP391" s="48"/>
      <c r="BQ391" s="48"/>
      <c r="BR391" s="48"/>
      <c r="BS391" s="48"/>
      <c r="BT391" s="48"/>
      <c r="BU391" s="48"/>
      <c r="BV391" s="48"/>
      <c r="BW391" s="48"/>
      <c r="BX391" s="111"/>
    </row>
    <row r="392" spans="1:76">
      <c r="A392" s="37"/>
      <c r="B392" s="37"/>
      <c r="C392" s="37"/>
      <c r="D392" s="37" t="s">
        <v>238</v>
      </c>
      <c r="E392" s="37"/>
      <c r="F392" s="39"/>
      <c r="G392" s="39" t="str">
        <f t="shared" ref="G392:N392" si="68">IF(AND(OR(ISTEXT(G393), ISBLANK(G393)),OR(ISTEXT(G394), ISBLANK(G394)),TRUE),"", +IF(ISTEXT(G393), 0,G393)+IF(ISTEXT(G394), 0,G394))</f>
        <v/>
      </c>
      <c r="H392" s="39" t="str">
        <f t="shared" si="68"/>
        <v/>
      </c>
      <c r="I392" s="39" t="str">
        <f t="shared" si="68"/>
        <v/>
      </c>
      <c r="J392" s="39" t="str">
        <f t="shared" si="68"/>
        <v/>
      </c>
      <c r="K392" s="39" t="str">
        <f t="shared" si="68"/>
        <v/>
      </c>
      <c r="L392" s="39" t="str">
        <f t="shared" si="68"/>
        <v/>
      </c>
      <c r="M392" s="39" t="str">
        <f t="shared" si="68"/>
        <v/>
      </c>
      <c r="N392" s="48" t="str">
        <f t="shared" si="68"/>
        <v/>
      </c>
      <c r="O392" s="36"/>
      <c r="P392" s="48"/>
      <c r="Q392" s="48"/>
      <c r="R392" s="48"/>
      <c r="S392" s="48"/>
      <c r="T392" s="48"/>
      <c r="U392" s="48"/>
      <c r="V392" s="48"/>
      <c r="W392" s="48"/>
      <c r="X392" s="48"/>
      <c r="Y392" s="48"/>
      <c r="Z392" s="48"/>
      <c r="AA392" s="48"/>
      <c r="AB392" s="48"/>
      <c r="AC392" s="48"/>
      <c r="AD392" s="48"/>
      <c r="AE392" s="48"/>
      <c r="AF392" s="48"/>
      <c r="AG392" s="48"/>
      <c r="AH392" s="48"/>
      <c r="AI392" s="48"/>
      <c r="AJ392" s="48"/>
      <c r="AK392" s="48"/>
      <c r="AL392" s="48"/>
      <c r="AM392" s="48"/>
      <c r="AN392" s="48"/>
      <c r="AO392" s="48"/>
      <c r="AP392" s="48"/>
      <c r="AQ392" s="48"/>
      <c r="AR392" s="48"/>
      <c r="AS392" s="48"/>
      <c r="AT392" s="48"/>
      <c r="AU392" s="48"/>
      <c r="AV392" s="48"/>
      <c r="AW392" s="48"/>
      <c r="AX392" s="48"/>
      <c r="AY392" s="48"/>
      <c r="AZ392" s="48"/>
      <c r="BA392" s="48"/>
      <c r="BB392" s="48"/>
      <c r="BC392" s="48"/>
      <c r="BD392" s="48"/>
      <c r="BE392" s="48"/>
      <c r="BF392" s="48"/>
      <c r="BG392" s="48"/>
      <c r="BH392" s="48"/>
      <c r="BI392" s="48"/>
      <c r="BJ392" s="48"/>
      <c r="BK392" s="48"/>
      <c r="BL392" s="48"/>
      <c r="BM392" s="48"/>
      <c r="BN392" s="48"/>
      <c r="BO392" s="48"/>
      <c r="BP392" s="48"/>
      <c r="BQ392" s="48"/>
      <c r="BR392" s="48"/>
      <c r="BS392" s="48"/>
      <c r="BT392" s="48"/>
      <c r="BU392" s="48"/>
      <c r="BV392" s="48"/>
      <c r="BW392" s="48"/>
      <c r="BX392" s="111"/>
    </row>
    <row r="393" spans="1:76">
      <c r="A393" s="37"/>
      <c r="B393" s="37"/>
      <c r="C393" s="37"/>
      <c r="D393" s="37"/>
      <c r="E393" s="37" t="s">
        <v>173</v>
      </c>
      <c r="F393" s="39"/>
      <c r="G393" s="59"/>
      <c r="H393" s="59"/>
      <c r="I393" s="59"/>
      <c r="J393" s="59"/>
      <c r="K393" s="59"/>
      <c r="L393" s="59"/>
      <c r="M393" s="59"/>
      <c r="N393" s="60"/>
      <c r="O393" s="36"/>
      <c r="P393" s="48"/>
      <c r="Q393" s="48"/>
      <c r="R393" s="48"/>
      <c r="S393" s="48"/>
      <c r="T393" s="48"/>
      <c r="U393" s="48"/>
      <c r="V393" s="48"/>
      <c r="W393" s="48"/>
      <c r="X393" s="48"/>
      <c r="Y393" s="48"/>
      <c r="Z393" s="48"/>
      <c r="AA393" s="48"/>
      <c r="AB393" s="48"/>
      <c r="AC393" s="48"/>
      <c r="AD393" s="48"/>
      <c r="AE393" s="48"/>
      <c r="AF393" s="48"/>
      <c r="AG393" s="48"/>
      <c r="AH393" s="48"/>
      <c r="AI393" s="48"/>
      <c r="AJ393" s="48"/>
      <c r="AK393" s="48"/>
      <c r="AL393" s="48"/>
      <c r="AM393" s="48"/>
      <c r="AN393" s="48"/>
      <c r="AO393" s="48"/>
      <c r="AP393" s="48"/>
      <c r="AQ393" s="48"/>
      <c r="AR393" s="48"/>
      <c r="AS393" s="48"/>
      <c r="AT393" s="48"/>
      <c r="AU393" s="48"/>
      <c r="AV393" s="48"/>
      <c r="AW393" s="48"/>
      <c r="AX393" s="48"/>
      <c r="AY393" s="48"/>
      <c r="AZ393" s="48"/>
      <c r="BA393" s="48"/>
      <c r="BB393" s="48"/>
      <c r="BC393" s="48"/>
      <c r="BD393" s="48"/>
      <c r="BE393" s="48"/>
      <c r="BF393" s="48"/>
      <c r="BG393" s="48"/>
      <c r="BH393" s="48"/>
      <c r="BI393" s="48"/>
      <c r="BJ393" s="48"/>
      <c r="BK393" s="48"/>
      <c r="BL393" s="48"/>
      <c r="BM393" s="48"/>
      <c r="BN393" s="48"/>
      <c r="BO393" s="48"/>
      <c r="BP393" s="48"/>
      <c r="BQ393" s="48"/>
      <c r="BR393" s="48"/>
      <c r="BS393" s="48"/>
      <c r="BT393" s="48"/>
      <c r="BU393" s="48"/>
      <c r="BV393" s="48"/>
      <c r="BW393" s="48"/>
      <c r="BX393" s="111"/>
    </row>
    <row r="394" spans="1:76">
      <c r="A394" s="37"/>
      <c r="B394" s="37"/>
      <c r="C394" s="37"/>
      <c r="D394" s="37"/>
      <c r="E394" s="37" t="s">
        <v>1466</v>
      </c>
      <c r="F394" s="39"/>
      <c r="G394" s="59"/>
      <c r="H394" s="59"/>
      <c r="I394" s="59"/>
      <c r="J394" s="59"/>
      <c r="K394" s="59"/>
      <c r="L394" s="59"/>
      <c r="M394" s="59"/>
      <c r="N394" s="60"/>
      <c r="O394" s="36"/>
      <c r="P394" s="48"/>
      <c r="Q394" s="48"/>
      <c r="R394" s="48"/>
      <c r="S394" s="48"/>
      <c r="T394" s="48"/>
      <c r="U394" s="48"/>
      <c r="V394" s="48"/>
      <c r="W394" s="48"/>
      <c r="X394" s="48"/>
      <c r="Y394" s="48"/>
      <c r="Z394" s="48"/>
      <c r="AA394" s="48"/>
      <c r="AB394" s="48"/>
      <c r="AC394" s="48"/>
      <c r="AD394" s="48"/>
      <c r="AE394" s="48"/>
      <c r="AF394" s="48"/>
      <c r="AG394" s="48"/>
      <c r="AH394" s="48"/>
      <c r="AI394" s="48"/>
      <c r="AJ394" s="48"/>
      <c r="AK394" s="48"/>
      <c r="AL394" s="48"/>
      <c r="AM394" s="48"/>
      <c r="AN394" s="48"/>
      <c r="AO394" s="48"/>
      <c r="AP394" s="48"/>
      <c r="AQ394" s="48"/>
      <c r="AR394" s="48"/>
      <c r="AS394" s="48"/>
      <c r="AT394" s="48"/>
      <c r="AU394" s="48"/>
      <c r="AV394" s="48"/>
      <c r="AW394" s="48"/>
      <c r="AX394" s="48"/>
      <c r="AY394" s="48"/>
      <c r="AZ394" s="48"/>
      <c r="BA394" s="48"/>
      <c r="BB394" s="48"/>
      <c r="BC394" s="48"/>
      <c r="BD394" s="48"/>
      <c r="BE394" s="48"/>
      <c r="BF394" s="48"/>
      <c r="BG394" s="48"/>
      <c r="BH394" s="48"/>
      <c r="BI394" s="48"/>
      <c r="BJ394" s="48"/>
      <c r="BK394" s="48"/>
      <c r="BL394" s="48"/>
      <c r="BM394" s="48"/>
      <c r="BN394" s="48"/>
      <c r="BO394" s="48"/>
      <c r="BP394" s="48"/>
      <c r="BQ394" s="48"/>
      <c r="BR394" s="48"/>
      <c r="BS394" s="48"/>
      <c r="BT394" s="48"/>
      <c r="BU394" s="48"/>
      <c r="BV394" s="48"/>
      <c r="BW394" s="48"/>
      <c r="BX394" s="111"/>
    </row>
    <row r="395" spans="1:76">
      <c r="A395" s="37"/>
      <c r="B395" s="37"/>
      <c r="C395" s="37"/>
      <c r="D395" s="37" t="s">
        <v>915</v>
      </c>
      <c r="E395" s="37"/>
      <c r="F395" s="39"/>
      <c r="G395" s="59">
        <v>1600</v>
      </c>
      <c r="H395" s="59"/>
      <c r="I395" s="59"/>
      <c r="J395" s="59"/>
      <c r="K395" s="59"/>
      <c r="L395" s="59"/>
      <c r="M395" s="59"/>
      <c r="N395" s="59"/>
      <c r="O395" s="36"/>
      <c r="P395" s="48"/>
      <c r="Q395" s="48"/>
      <c r="R395" s="48"/>
      <c r="S395" s="48"/>
      <c r="T395" s="48"/>
      <c r="U395" s="48"/>
      <c r="V395" s="48"/>
      <c r="W395" s="48"/>
      <c r="X395" s="48"/>
      <c r="Y395" s="48"/>
      <c r="Z395" s="48"/>
      <c r="AA395" s="48"/>
      <c r="AB395" s="48"/>
      <c r="AC395" s="48"/>
      <c r="AD395" s="48"/>
      <c r="AE395" s="48"/>
      <c r="AF395" s="48"/>
      <c r="AG395" s="48"/>
      <c r="AH395" s="48"/>
      <c r="AI395" s="48"/>
      <c r="AJ395" s="48"/>
      <c r="AK395" s="48"/>
      <c r="AL395" s="48"/>
      <c r="AM395" s="48"/>
      <c r="AN395" s="48"/>
      <c r="AO395" s="48"/>
      <c r="AP395" s="48"/>
      <c r="AQ395" s="48"/>
      <c r="AR395" s="48"/>
      <c r="AS395" s="48"/>
      <c r="AT395" s="48"/>
      <c r="AU395" s="48"/>
      <c r="AV395" s="48"/>
      <c r="AW395" s="48"/>
      <c r="AX395" s="48"/>
      <c r="AY395" s="48"/>
      <c r="AZ395" s="48"/>
      <c r="BA395" s="48"/>
      <c r="BB395" s="48"/>
      <c r="BC395" s="48"/>
      <c r="BD395" s="48"/>
      <c r="BE395" s="48"/>
      <c r="BF395" s="48"/>
      <c r="BG395" s="48"/>
      <c r="BH395" s="48"/>
      <c r="BI395" s="48"/>
      <c r="BJ395" s="48"/>
      <c r="BK395" s="48"/>
      <c r="BL395" s="48"/>
      <c r="BM395" s="48"/>
      <c r="BN395" s="48"/>
      <c r="BO395" s="48"/>
      <c r="BP395" s="48"/>
      <c r="BQ395" s="48"/>
      <c r="BR395" s="48"/>
      <c r="BS395" s="48"/>
      <c r="BT395" s="48"/>
      <c r="BU395" s="48"/>
      <c r="BV395" s="48"/>
      <c r="BW395" s="48"/>
      <c r="BX395" s="111"/>
    </row>
    <row r="396" spans="1:76">
      <c r="A396" s="37"/>
      <c r="B396" s="37"/>
      <c r="C396" s="37"/>
      <c r="D396" s="37" t="s">
        <v>2161</v>
      </c>
      <c r="E396" s="37"/>
      <c r="F396" s="39"/>
      <c r="G396" s="59">
        <v>181</v>
      </c>
      <c r="H396" s="59">
        <v>244</v>
      </c>
      <c r="I396" s="59">
        <v>228</v>
      </c>
      <c r="J396" s="59">
        <v>48</v>
      </c>
      <c r="K396" s="59">
        <v>41</v>
      </c>
      <c r="L396" s="59">
        <v>39</v>
      </c>
      <c r="M396" s="59">
        <v>28</v>
      </c>
      <c r="N396" s="60">
        <v>27</v>
      </c>
      <c r="O396" s="36"/>
      <c r="P396" s="48"/>
      <c r="Q396" s="48"/>
      <c r="R396" s="48"/>
      <c r="S396" s="48"/>
      <c r="T396" s="48"/>
      <c r="U396" s="48"/>
      <c r="V396" s="48"/>
      <c r="W396" s="48"/>
      <c r="X396" s="48"/>
      <c r="Y396" s="48"/>
      <c r="Z396" s="48"/>
      <c r="AA396" s="48"/>
      <c r="AB396" s="48"/>
      <c r="AC396" s="48"/>
      <c r="AD396" s="48"/>
      <c r="AE396" s="48"/>
      <c r="AF396" s="48"/>
      <c r="AG396" s="48"/>
      <c r="AH396" s="48"/>
      <c r="AI396" s="48"/>
      <c r="AJ396" s="48"/>
      <c r="AK396" s="48"/>
      <c r="AL396" s="48"/>
      <c r="AM396" s="48"/>
      <c r="AN396" s="48"/>
      <c r="AO396" s="48"/>
      <c r="AP396" s="48"/>
      <c r="AQ396" s="48"/>
      <c r="AR396" s="48"/>
      <c r="AS396" s="48"/>
      <c r="AT396" s="48"/>
      <c r="AU396" s="48"/>
      <c r="AV396" s="48"/>
      <c r="AW396" s="48"/>
      <c r="AX396" s="48"/>
      <c r="AY396" s="48"/>
      <c r="AZ396" s="48"/>
      <c r="BA396" s="48"/>
      <c r="BB396" s="48"/>
      <c r="BC396" s="48"/>
      <c r="BD396" s="48"/>
      <c r="BE396" s="48"/>
      <c r="BF396" s="48"/>
      <c r="BG396" s="48"/>
      <c r="BH396" s="48"/>
      <c r="BI396" s="48"/>
      <c r="BJ396" s="48"/>
      <c r="BK396" s="48"/>
      <c r="BL396" s="48"/>
      <c r="BM396" s="48"/>
      <c r="BN396" s="48"/>
      <c r="BO396" s="48"/>
      <c r="BP396" s="48"/>
      <c r="BQ396" s="48"/>
      <c r="BR396" s="48"/>
      <c r="BS396" s="48"/>
      <c r="BT396" s="48"/>
      <c r="BU396" s="48"/>
      <c r="BV396" s="48"/>
      <c r="BW396" s="48"/>
      <c r="BX396" s="111"/>
    </row>
    <row r="397" spans="1:76">
      <c r="A397" s="37"/>
      <c r="B397" s="37"/>
      <c r="C397" s="37"/>
      <c r="D397" s="37" t="s">
        <v>1454</v>
      </c>
      <c r="E397" s="37"/>
      <c r="F397" s="39"/>
      <c r="G397" s="59">
        <v>0</v>
      </c>
      <c r="H397" s="59">
        <v>149</v>
      </c>
      <c r="I397" s="59">
        <v>136</v>
      </c>
      <c r="J397" s="59">
        <v>117</v>
      </c>
      <c r="K397" s="59">
        <v>52</v>
      </c>
      <c r="L397" s="59">
        <v>51</v>
      </c>
      <c r="M397" s="59">
        <v>31</v>
      </c>
      <c r="N397" s="60">
        <v>0</v>
      </c>
      <c r="O397" s="36"/>
      <c r="P397" s="48"/>
      <c r="Q397" s="48"/>
      <c r="R397" s="48"/>
      <c r="S397" s="48"/>
      <c r="T397" s="48"/>
      <c r="U397" s="48"/>
      <c r="V397" s="48"/>
      <c r="W397" s="48"/>
      <c r="X397" s="48"/>
      <c r="Y397" s="48"/>
      <c r="Z397" s="48"/>
      <c r="AA397" s="48"/>
      <c r="AB397" s="48"/>
      <c r="AC397" s="48"/>
      <c r="AD397" s="48"/>
      <c r="AE397" s="48"/>
      <c r="AF397" s="48"/>
      <c r="AG397" s="48"/>
      <c r="AH397" s="48"/>
      <c r="AI397" s="48"/>
      <c r="AJ397" s="48"/>
      <c r="AK397" s="48"/>
      <c r="AL397" s="48"/>
      <c r="AM397" s="48"/>
      <c r="AN397" s="48"/>
      <c r="AO397" s="48"/>
      <c r="AP397" s="48"/>
      <c r="AQ397" s="48"/>
      <c r="AR397" s="48"/>
      <c r="AS397" s="48"/>
      <c r="AT397" s="48"/>
      <c r="AU397" s="48"/>
      <c r="AV397" s="48"/>
      <c r="AW397" s="48"/>
      <c r="AX397" s="48"/>
      <c r="AY397" s="48"/>
      <c r="AZ397" s="48"/>
      <c r="BA397" s="48"/>
      <c r="BB397" s="48"/>
      <c r="BC397" s="48"/>
      <c r="BD397" s="48"/>
      <c r="BE397" s="48"/>
      <c r="BF397" s="48"/>
      <c r="BG397" s="48"/>
      <c r="BH397" s="48"/>
      <c r="BI397" s="48"/>
      <c r="BJ397" s="48"/>
      <c r="BK397" s="48"/>
      <c r="BL397" s="48"/>
      <c r="BM397" s="48"/>
      <c r="BN397" s="48"/>
      <c r="BO397" s="48"/>
      <c r="BP397" s="48"/>
      <c r="BQ397" s="48"/>
      <c r="BR397" s="48"/>
      <c r="BS397" s="48"/>
      <c r="BT397" s="48"/>
      <c r="BU397" s="48"/>
      <c r="BV397" s="48"/>
      <c r="BW397" s="48"/>
      <c r="BX397" s="111"/>
    </row>
    <row r="398" spans="1:76">
      <c r="A398" s="37"/>
      <c r="B398" s="37"/>
      <c r="C398" s="37"/>
      <c r="D398" s="37" t="s">
        <v>1455</v>
      </c>
      <c r="E398" s="37"/>
      <c r="F398" s="63">
        <f>2+2895-64+241</f>
        <v>3074</v>
      </c>
      <c r="G398" s="39">
        <f t="shared" ref="G398:N398" si="69">IF(AND(OR(ISTEXT(G399), ISBLANK(G399)),OR(ISTEXT(G402), ISBLANK(G402)),OR(ISTEXT(G403), ISBLANK(G403)),OR(ISTEXT(G411), ISBLANK(G411)),OR(ISTEXT(G412), ISBLANK(G412)),OR(ISTEXT(G413), ISBLANK(G413)),TRUE),"", +IF(ISTEXT(G399), 0,G399)+IF(ISTEXT(G402), 0,G402)+IF(ISTEXT(G403), 0,G403)-IF(ISTEXT(G411), 0,G411)+IF(ISTEXT(G412), 0,G412)+IF(ISTEXT(G413), 0,G413))</f>
        <v>2744</v>
      </c>
      <c r="H398" s="39">
        <f t="shared" si="69"/>
        <v>4456</v>
      </c>
      <c r="I398" s="39">
        <f t="shared" si="69"/>
        <v>3690</v>
      </c>
      <c r="J398" s="39">
        <f t="shared" si="69"/>
        <v>3851</v>
      </c>
      <c r="K398" s="39">
        <f t="shared" si="69"/>
        <v>3746</v>
      </c>
      <c r="L398" s="39">
        <f t="shared" si="69"/>
        <v>3997</v>
      </c>
      <c r="M398" s="39">
        <f t="shared" si="69"/>
        <v>4326</v>
      </c>
      <c r="N398" s="48">
        <f t="shared" si="69"/>
        <v>4788</v>
      </c>
      <c r="O398" s="36"/>
      <c r="P398" s="48"/>
      <c r="Q398" s="48"/>
      <c r="R398" s="48"/>
      <c r="S398" s="48"/>
      <c r="T398" s="48"/>
      <c r="U398" s="48"/>
      <c r="V398" s="48"/>
      <c r="W398" s="48"/>
      <c r="X398" s="48"/>
      <c r="Y398" s="48"/>
      <c r="Z398" s="48"/>
      <c r="AA398" s="48"/>
      <c r="AB398" s="48"/>
      <c r="AC398" s="48"/>
      <c r="AD398" s="48"/>
      <c r="AE398" s="48"/>
      <c r="AF398" s="48"/>
      <c r="AG398" s="48"/>
      <c r="AH398" s="48"/>
      <c r="AI398" s="48"/>
      <c r="AJ398" s="48"/>
      <c r="AK398" s="48"/>
      <c r="AL398" s="48"/>
      <c r="AM398" s="48"/>
      <c r="AN398" s="48"/>
      <c r="AO398" s="48"/>
      <c r="AP398" s="48"/>
      <c r="AQ398" s="48"/>
      <c r="AR398" s="48"/>
      <c r="AS398" s="48"/>
      <c r="AT398" s="48"/>
      <c r="AU398" s="48"/>
      <c r="AV398" s="48"/>
      <c r="AW398" s="48"/>
      <c r="AX398" s="48"/>
      <c r="AY398" s="48"/>
      <c r="AZ398" s="48"/>
      <c r="BA398" s="48"/>
      <c r="BB398" s="48"/>
      <c r="BC398" s="48"/>
      <c r="BD398" s="48"/>
      <c r="BE398" s="48"/>
      <c r="BF398" s="48"/>
      <c r="BG398" s="48"/>
      <c r="BH398" s="48"/>
      <c r="BI398" s="48"/>
      <c r="BJ398" s="48"/>
      <c r="BK398" s="48"/>
      <c r="BL398" s="48"/>
      <c r="BM398" s="48"/>
      <c r="BN398" s="48"/>
      <c r="BO398" s="48"/>
      <c r="BP398" s="48"/>
      <c r="BQ398" s="48"/>
      <c r="BR398" s="48"/>
      <c r="BS398" s="48"/>
      <c r="BT398" s="48"/>
      <c r="BU398" s="48"/>
      <c r="BV398" s="48"/>
      <c r="BW398" s="48"/>
      <c r="BX398" s="111"/>
    </row>
    <row r="399" spans="1:76">
      <c r="A399" s="52"/>
      <c r="B399" s="52"/>
      <c r="C399" s="52"/>
      <c r="D399" s="52"/>
      <c r="E399" s="52" t="s">
        <v>1456</v>
      </c>
      <c r="F399" s="53"/>
      <c r="G399" s="53">
        <f t="shared" ref="G399:N399" si="70">IF(AND(OR(ISTEXT(G400), ISBLANK(G400)),OR(ISTEXT(G401), ISBLANK(G401)),TRUE),"", +IF(ISTEXT(G400), 0,G400)+IF(ISTEXT(G401), 0,G401))</f>
        <v>2936</v>
      </c>
      <c r="H399" s="53">
        <f t="shared" si="70"/>
        <v>4575</v>
      </c>
      <c r="I399" s="53">
        <f t="shared" si="70"/>
        <v>4789</v>
      </c>
      <c r="J399" s="53">
        <f t="shared" si="70"/>
        <v>4800</v>
      </c>
      <c r="K399" s="53">
        <f t="shared" si="70"/>
        <v>4855</v>
      </c>
      <c r="L399" s="53">
        <f t="shared" si="70"/>
        <v>4909</v>
      </c>
      <c r="M399" s="53">
        <f t="shared" si="70"/>
        <v>4956</v>
      </c>
      <c r="N399" s="55">
        <f t="shared" si="70"/>
        <v>5125</v>
      </c>
      <c r="O399" s="54"/>
      <c r="P399" s="55"/>
      <c r="Q399" s="55"/>
      <c r="R399" s="55"/>
      <c r="S399" s="55"/>
      <c r="T399" s="55"/>
      <c r="U399" s="55"/>
      <c r="V399" s="55"/>
      <c r="W399" s="55"/>
      <c r="X399" s="55"/>
      <c r="Y399" s="55"/>
      <c r="Z399" s="55"/>
      <c r="AA399" s="55"/>
      <c r="AB399" s="55"/>
      <c r="AC399" s="55"/>
      <c r="AD399" s="55"/>
      <c r="AE399" s="55"/>
      <c r="AF399" s="55"/>
      <c r="AG399" s="55"/>
      <c r="AH399" s="55"/>
      <c r="AI399" s="55"/>
      <c r="AJ399" s="55"/>
      <c r="AK399" s="55"/>
      <c r="AL399" s="55"/>
      <c r="AM399" s="55"/>
      <c r="AN399" s="55"/>
      <c r="AO399" s="55"/>
      <c r="AP399" s="55"/>
      <c r="AQ399" s="55"/>
      <c r="AR399" s="55"/>
      <c r="AS399" s="55"/>
      <c r="AT399" s="55"/>
      <c r="AU399" s="55"/>
      <c r="AV399" s="55"/>
      <c r="AW399" s="55"/>
      <c r="AX399" s="55"/>
      <c r="AY399" s="55"/>
      <c r="AZ399" s="55"/>
      <c r="BA399" s="55"/>
      <c r="BB399" s="55"/>
      <c r="BC399" s="55"/>
      <c r="BD399" s="55"/>
      <c r="BE399" s="55"/>
      <c r="BF399" s="55"/>
      <c r="BG399" s="55"/>
      <c r="BH399" s="55"/>
      <c r="BI399" s="55"/>
      <c r="BJ399" s="55"/>
      <c r="BK399" s="55"/>
      <c r="BL399" s="55"/>
      <c r="BM399" s="55"/>
      <c r="BN399" s="55"/>
      <c r="BO399" s="55"/>
      <c r="BP399" s="55"/>
      <c r="BQ399" s="55"/>
      <c r="BR399" s="55"/>
      <c r="BS399" s="55"/>
      <c r="BT399" s="55"/>
      <c r="BU399" s="55"/>
      <c r="BV399" s="55"/>
      <c r="BW399" s="55"/>
      <c r="BX399" s="112"/>
    </row>
    <row r="400" spans="1:76">
      <c r="A400" s="37"/>
      <c r="B400" s="37"/>
      <c r="C400" s="37"/>
      <c r="D400" s="37"/>
      <c r="E400" s="37"/>
      <c r="F400" s="39" t="s">
        <v>1218</v>
      </c>
      <c r="G400" s="59">
        <f>1+1</f>
        <v>2</v>
      </c>
      <c r="H400" s="59">
        <f t="shared" ref="H400:N400" si="71">2+2</f>
        <v>4</v>
      </c>
      <c r="I400" s="59">
        <f t="shared" si="71"/>
        <v>4</v>
      </c>
      <c r="J400" s="59">
        <f t="shared" si="71"/>
        <v>4</v>
      </c>
      <c r="K400" s="59">
        <f t="shared" si="71"/>
        <v>4</v>
      </c>
      <c r="L400" s="59">
        <f t="shared" si="71"/>
        <v>4</v>
      </c>
      <c r="M400" s="59">
        <f t="shared" si="71"/>
        <v>4</v>
      </c>
      <c r="N400" s="59">
        <f t="shared" si="71"/>
        <v>4</v>
      </c>
      <c r="O400" s="36"/>
      <c r="P400" s="48"/>
      <c r="Q400" s="48"/>
      <c r="R400" s="48"/>
      <c r="S400" s="48"/>
      <c r="T400" s="48"/>
      <c r="U400" s="48"/>
      <c r="V400" s="48"/>
      <c r="W400" s="48"/>
      <c r="X400" s="48"/>
      <c r="Y400" s="48"/>
      <c r="Z400" s="48"/>
      <c r="AA400" s="48"/>
      <c r="AB400" s="48"/>
      <c r="AC400" s="48"/>
      <c r="AD400" s="48"/>
      <c r="AE400" s="48"/>
      <c r="AF400" s="48"/>
      <c r="AG400" s="48"/>
      <c r="AH400" s="48"/>
      <c r="AI400" s="48"/>
      <c r="AJ400" s="48"/>
      <c r="AK400" s="48"/>
      <c r="AL400" s="48"/>
      <c r="AM400" s="48"/>
      <c r="AN400" s="48"/>
      <c r="AO400" s="48"/>
      <c r="AP400" s="48"/>
      <c r="AQ400" s="48"/>
      <c r="AR400" s="48"/>
      <c r="AS400" s="48"/>
      <c r="AT400" s="48"/>
      <c r="AU400" s="48"/>
      <c r="AV400" s="48"/>
      <c r="AW400" s="48"/>
      <c r="AX400" s="48"/>
      <c r="AY400" s="48"/>
      <c r="AZ400" s="48"/>
      <c r="BA400" s="48"/>
      <c r="BB400" s="48"/>
      <c r="BC400" s="48"/>
      <c r="BD400" s="48"/>
      <c r="BE400" s="48"/>
      <c r="BF400" s="48"/>
      <c r="BG400" s="48"/>
      <c r="BH400" s="48"/>
      <c r="BI400" s="48"/>
      <c r="BJ400" s="48"/>
      <c r="BK400" s="48"/>
      <c r="BL400" s="48"/>
      <c r="BM400" s="48"/>
      <c r="BN400" s="48"/>
      <c r="BO400" s="48"/>
      <c r="BP400" s="48"/>
      <c r="BQ400" s="48"/>
      <c r="BR400" s="48"/>
      <c r="BS400" s="48"/>
      <c r="BT400" s="48"/>
      <c r="BU400" s="48"/>
      <c r="BV400" s="48"/>
      <c r="BW400" s="48"/>
      <c r="BX400" s="111"/>
    </row>
    <row r="401" spans="1:76">
      <c r="A401" s="37"/>
      <c r="B401" s="37"/>
      <c r="C401" s="37"/>
      <c r="D401" s="37"/>
      <c r="E401" s="37"/>
      <c r="F401" s="39" t="s">
        <v>1219</v>
      </c>
      <c r="G401" s="59">
        <v>2934</v>
      </c>
      <c r="H401" s="59">
        <v>4571</v>
      </c>
      <c r="I401" s="59">
        <v>4785</v>
      </c>
      <c r="J401" s="59">
        <v>4796</v>
      </c>
      <c r="K401" s="59">
        <v>4851</v>
      </c>
      <c r="L401" s="59">
        <v>4905</v>
      </c>
      <c r="M401" s="59">
        <v>4952</v>
      </c>
      <c r="N401" s="60">
        <v>5121</v>
      </c>
      <c r="O401" s="36"/>
      <c r="P401" s="48"/>
      <c r="Q401" s="48"/>
      <c r="R401" s="48"/>
      <c r="S401" s="48"/>
      <c r="T401" s="48"/>
      <c r="U401" s="48"/>
      <c r="V401" s="48"/>
      <c r="W401" s="48"/>
      <c r="X401" s="48"/>
      <c r="Y401" s="48"/>
      <c r="Z401" s="48"/>
      <c r="AA401" s="48"/>
      <c r="AB401" s="48"/>
      <c r="AC401" s="48"/>
      <c r="AD401" s="48"/>
      <c r="AE401" s="48"/>
      <c r="AF401" s="48"/>
      <c r="AG401" s="48"/>
      <c r="AH401" s="48"/>
      <c r="AI401" s="48"/>
      <c r="AJ401" s="48"/>
      <c r="AK401" s="48"/>
      <c r="AL401" s="48"/>
      <c r="AM401" s="48"/>
      <c r="AN401" s="48"/>
      <c r="AO401" s="48"/>
      <c r="AP401" s="48"/>
      <c r="AQ401" s="48"/>
      <c r="AR401" s="48"/>
      <c r="AS401" s="48"/>
      <c r="AT401" s="48"/>
      <c r="AU401" s="48"/>
      <c r="AV401" s="48"/>
      <c r="AW401" s="48"/>
      <c r="AX401" s="48"/>
      <c r="AY401" s="48"/>
      <c r="AZ401" s="48"/>
      <c r="BA401" s="48"/>
      <c r="BB401" s="48"/>
      <c r="BC401" s="48"/>
      <c r="BD401" s="48"/>
      <c r="BE401" s="48"/>
      <c r="BF401" s="48"/>
      <c r="BG401" s="48"/>
      <c r="BH401" s="48"/>
      <c r="BI401" s="48"/>
      <c r="BJ401" s="48"/>
      <c r="BK401" s="48"/>
      <c r="BL401" s="48"/>
      <c r="BM401" s="48"/>
      <c r="BN401" s="48"/>
      <c r="BO401" s="48"/>
      <c r="BP401" s="48"/>
      <c r="BQ401" s="48"/>
      <c r="BR401" s="48"/>
      <c r="BS401" s="48"/>
      <c r="BT401" s="48"/>
      <c r="BU401" s="48"/>
      <c r="BV401" s="48"/>
      <c r="BW401" s="48"/>
      <c r="BX401" s="111"/>
    </row>
    <row r="402" spans="1:76">
      <c r="A402" s="52"/>
      <c r="B402" s="52"/>
      <c r="C402" s="52"/>
      <c r="D402" s="52"/>
      <c r="E402" s="52" t="s">
        <v>1220</v>
      </c>
      <c r="F402" s="53"/>
      <c r="G402" s="53">
        <v>-57</v>
      </c>
      <c r="H402" s="53">
        <v>2</v>
      </c>
      <c r="I402" s="53">
        <v>-856</v>
      </c>
      <c r="J402" s="53">
        <v>-592</v>
      </c>
      <c r="K402" s="53">
        <v>-609</v>
      </c>
      <c r="L402" s="53">
        <v>-424</v>
      </c>
      <c r="M402" s="53">
        <v>-287</v>
      </c>
      <c r="N402" s="55">
        <v>-68</v>
      </c>
      <c r="O402" s="54"/>
      <c r="P402" s="55"/>
      <c r="Q402" s="55"/>
      <c r="R402" s="55"/>
      <c r="S402" s="55"/>
      <c r="T402" s="55"/>
      <c r="U402" s="55"/>
      <c r="V402" s="55"/>
      <c r="W402" s="55"/>
      <c r="X402" s="55"/>
      <c r="Y402" s="55"/>
      <c r="Z402" s="55"/>
      <c r="AA402" s="55"/>
      <c r="AB402" s="55"/>
      <c r="AC402" s="55"/>
      <c r="AD402" s="55"/>
      <c r="AE402" s="55"/>
      <c r="AF402" s="55"/>
      <c r="AG402" s="55"/>
      <c r="AH402" s="55"/>
      <c r="AI402" s="55"/>
      <c r="AJ402" s="55"/>
      <c r="AK402" s="55"/>
      <c r="AL402" s="55"/>
      <c r="AM402" s="55"/>
      <c r="AN402" s="55"/>
      <c r="AO402" s="55"/>
      <c r="AP402" s="55"/>
      <c r="AQ402" s="55"/>
      <c r="AR402" s="55"/>
      <c r="AS402" s="55"/>
      <c r="AT402" s="55"/>
      <c r="AU402" s="55"/>
      <c r="AV402" s="55"/>
      <c r="AW402" s="55"/>
      <c r="AX402" s="55"/>
      <c r="AY402" s="55"/>
      <c r="AZ402" s="55"/>
      <c r="BA402" s="55"/>
      <c r="BB402" s="55"/>
      <c r="BC402" s="55"/>
      <c r="BD402" s="55"/>
      <c r="BE402" s="55"/>
      <c r="BF402" s="55"/>
      <c r="BG402" s="55"/>
      <c r="BH402" s="55"/>
      <c r="BI402" s="55"/>
      <c r="BJ402" s="55"/>
      <c r="BK402" s="55"/>
      <c r="BL402" s="55"/>
      <c r="BM402" s="55"/>
      <c r="BN402" s="55"/>
      <c r="BO402" s="55"/>
      <c r="BP402" s="55"/>
      <c r="BQ402" s="55"/>
      <c r="BR402" s="55"/>
      <c r="BS402" s="55"/>
      <c r="BT402" s="55"/>
      <c r="BU402" s="55"/>
      <c r="BV402" s="55"/>
      <c r="BW402" s="55"/>
      <c r="BX402" s="112"/>
    </row>
    <row r="403" spans="1:76">
      <c r="A403" s="52"/>
      <c r="B403" s="52"/>
      <c r="C403" s="52"/>
      <c r="D403" s="52"/>
      <c r="E403" s="52" t="s">
        <v>2230</v>
      </c>
      <c r="F403" s="53"/>
      <c r="G403" s="53">
        <f t="shared" ref="G403:N403" si="72">IF(AND(OR(ISTEXT(G404), ISBLANK(G404)),OR(ISTEXT(G405), ISBLANK(G405)),OR(ISTEXT(G406), ISBLANK(G406)),OR(ISTEXT(G407), ISBLANK(G407)),OR(ISTEXT(G408), ISBLANK(G408)),OR(ISTEXT(G409), ISBLANK(G409)),OR(ISTEXT(G410), ISBLANK(G410)),TRUE),"", +IF(ISTEXT(G404), 0,G404)+IF(ISTEXT(G405), 0,G405)+IF(ISTEXT(G406), 0,G406)+IF(ISTEXT(G407), 0,G407)+IF(ISTEXT(G408), 0,G408)+IF(ISTEXT(G409), 0,G409)+IF(ISTEXT(G410), 0,G410))</f>
        <v>-135</v>
      </c>
      <c r="H403" s="53">
        <f t="shared" si="72"/>
        <v>-121</v>
      </c>
      <c r="I403" s="53">
        <f t="shared" si="72"/>
        <v>-243</v>
      </c>
      <c r="J403" s="53">
        <f t="shared" si="72"/>
        <v>-357</v>
      </c>
      <c r="K403" s="53">
        <f t="shared" si="72"/>
        <v>-500</v>
      </c>
      <c r="L403" s="53">
        <f t="shared" si="72"/>
        <v>-488</v>
      </c>
      <c r="M403" s="53">
        <f t="shared" si="72"/>
        <v>-343</v>
      </c>
      <c r="N403" s="55">
        <f t="shared" si="72"/>
        <v>-269</v>
      </c>
      <c r="O403" s="54"/>
      <c r="P403" s="55"/>
      <c r="Q403" s="55"/>
      <c r="R403" s="55"/>
      <c r="S403" s="55"/>
      <c r="T403" s="55"/>
      <c r="U403" s="55"/>
      <c r="V403" s="55"/>
      <c r="W403" s="55"/>
      <c r="X403" s="55"/>
      <c r="Y403" s="55"/>
      <c r="Z403" s="55"/>
      <c r="AA403" s="55"/>
      <c r="AB403" s="55"/>
      <c r="AC403" s="55"/>
      <c r="AD403" s="55"/>
      <c r="AE403" s="55"/>
      <c r="AF403" s="55"/>
      <c r="AG403" s="55"/>
      <c r="AH403" s="55"/>
      <c r="AI403" s="55"/>
      <c r="AJ403" s="55"/>
      <c r="AK403" s="55"/>
      <c r="AL403" s="55"/>
      <c r="AM403" s="55"/>
      <c r="AN403" s="55"/>
      <c r="AO403" s="55"/>
      <c r="AP403" s="55"/>
      <c r="AQ403" s="55"/>
      <c r="AR403" s="55"/>
      <c r="AS403" s="55"/>
      <c r="AT403" s="55"/>
      <c r="AU403" s="55"/>
      <c r="AV403" s="55"/>
      <c r="AW403" s="55"/>
      <c r="AX403" s="55"/>
      <c r="AY403" s="55"/>
      <c r="AZ403" s="55"/>
      <c r="BA403" s="55"/>
      <c r="BB403" s="55"/>
      <c r="BC403" s="55"/>
      <c r="BD403" s="55"/>
      <c r="BE403" s="55"/>
      <c r="BF403" s="55"/>
      <c r="BG403" s="55"/>
      <c r="BH403" s="55"/>
      <c r="BI403" s="55"/>
      <c r="BJ403" s="55"/>
      <c r="BK403" s="55"/>
      <c r="BL403" s="55"/>
      <c r="BM403" s="55"/>
      <c r="BN403" s="55"/>
      <c r="BO403" s="55"/>
      <c r="BP403" s="55"/>
      <c r="BQ403" s="55"/>
      <c r="BR403" s="55"/>
      <c r="BS403" s="55"/>
      <c r="BT403" s="55"/>
      <c r="BU403" s="55"/>
      <c r="BV403" s="55"/>
      <c r="BW403" s="55"/>
      <c r="BX403" s="112"/>
    </row>
    <row r="404" spans="1:76">
      <c r="A404" s="37"/>
      <c r="B404" s="37"/>
      <c r="C404" s="37"/>
      <c r="D404" s="37"/>
      <c r="E404" s="37"/>
      <c r="F404" s="39" t="s">
        <v>2231</v>
      </c>
      <c r="G404" s="59">
        <f>H404-H559</f>
        <v>-134</v>
      </c>
      <c r="H404" s="59">
        <f>I404-I559</f>
        <v>-120</v>
      </c>
      <c r="I404" s="59">
        <f>J404-J559</f>
        <v>-247</v>
      </c>
      <c r="J404" s="59">
        <f>K404-K559</f>
        <v>-351</v>
      </c>
      <c r="K404" s="59">
        <v>-457</v>
      </c>
      <c r="L404" s="59">
        <v>-458</v>
      </c>
      <c r="M404" s="59">
        <v>-318</v>
      </c>
      <c r="N404" s="60">
        <v>-239</v>
      </c>
      <c r="O404" s="58"/>
      <c r="P404" s="48"/>
      <c r="Q404" s="48"/>
      <c r="R404" s="48"/>
      <c r="S404" s="48"/>
      <c r="T404" s="48"/>
      <c r="U404" s="48"/>
      <c r="V404" s="48"/>
      <c r="W404" s="48"/>
      <c r="X404" s="48"/>
      <c r="Y404" s="48"/>
      <c r="Z404" s="48"/>
      <c r="AA404" s="48"/>
      <c r="AB404" s="48"/>
      <c r="AC404" s="48"/>
      <c r="AD404" s="48"/>
      <c r="AE404" s="48"/>
      <c r="AF404" s="48"/>
      <c r="AG404" s="48"/>
      <c r="AH404" s="48"/>
      <c r="AI404" s="48"/>
      <c r="AJ404" s="48"/>
      <c r="AK404" s="48"/>
      <c r="AL404" s="48"/>
      <c r="AM404" s="48"/>
      <c r="AN404" s="48"/>
      <c r="AO404" s="48"/>
      <c r="AP404" s="48"/>
      <c r="AQ404" s="48"/>
      <c r="AR404" s="48"/>
      <c r="AS404" s="48"/>
      <c r="AT404" s="48"/>
      <c r="AU404" s="48"/>
      <c r="AV404" s="48"/>
      <c r="AW404" s="48"/>
      <c r="AX404" s="48"/>
      <c r="AY404" s="48"/>
      <c r="AZ404" s="48"/>
      <c r="BA404" s="48"/>
      <c r="BB404" s="48"/>
      <c r="BC404" s="48"/>
      <c r="BD404" s="48"/>
      <c r="BE404" s="48"/>
      <c r="BF404" s="48"/>
      <c r="BG404" s="48"/>
      <c r="BH404" s="48"/>
      <c r="BI404" s="48"/>
      <c r="BJ404" s="48"/>
      <c r="BK404" s="48"/>
      <c r="BL404" s="48"/>
      <c r="BM404" s="48"/>
      <c r="BN404" s="48"/>
      <c r="BO404" s="48"/>
      <c r="BP404" s="48"/>
      <c r="BQ404" s="48"/>
      <c r="BR404" s="48"/>
      <c r="BS404" s="48"/>
      <c r="BT404" s="48"/>
      <c r="BU404" s="48"/>
      <c r="BV404" s="48"/>
      <c r="BW404" s="48"/>
      <c r="BX404" s="111"/>
    </row>
    <row r="405" spans="1:76">
      <c r="A405" s="37"/>
      <c r="B405" s="37"/>
      <c r="C405" s="37"/>
      <c r="D405" s="37"/>
      <c r="E405" s="37"/>
      <c r="F405" s="39" t="s">
        <v>2282</v>
      </c>
      <c r="G405" s="59">
        <f>H405-H558</f>
        <v>-1</v>
      </c>
      <c r="H405" s="59">
        <f>I405-I558</f>
        <v>0</v>
      </c>
      <c r="I405" s="59">
        <f>J405-J558</f>
        <v>9</v>
      </c>
      <c r="J405" s="59">
        <f>K405-K558</f>
        <v>-2</v>
      </c>
      <c r="K405" s="59">
        <v>-22</v>
      </c>
      <c r="L405" s="59">
        <v>2</v>
      </c>
      <c r="M405" s="59">
        <v>4</v>
      </c>
      <c r="N405" s="60">
        <v>8</v>
      </c>
      <c r="O405" s="58"/>
      <c r="P405" s="48"/>
      <c r="Q405" s="48"/>
      <c r="R405" s="48"/>
      <c r="S405" s="48"/>
      <c r="T405" s="48"/>
      <c r="U405" s="48"/>
      <c r="V405" s="48"/>
      <c r="W405" s="48"/>
      <c r="X405" s="48"/>
      <c r="Y405" s="48"/>
      <c r="Z405" s="48"/>
      <c r="AA405" s="48"/>
      <c r="AB405" s="48"/>
      <c r="AC405" s="48"/>
      <c r="AD405" s="48"/>
      <c r="AE405" s="48"/>
      <c r="AF405" s="48"/>
      <c r="AG405" s="48"/>
      <c r="AH405" s="48"/>
      <c r="AI405" s="48"/>
      <c r="AJ405" s="48"/>
      <c r="AK405" s="48"/>
      <c r="AL405" s="48"/>
      <c r="AM405" s="48"/>
      <c r="AN405" s="48"/>
      <c r="AO405" s="48"/>
      <c r="AP405" s="48"/>
      <c r="AQ405" s="48"/>
      <c r="AR405" s="48"/>
      <c r="AS405" s="48"/>
      <c r="AT405" s="48"/>
      <c r="AU405" s="48"/>
      <c r="AV405" s="48"/>
      <c r="AW405" s="48"/>
      <c r="AX405" s="48"/>
      <c r="AY405" s="48"/>
      <c r="AZ405" s="48"/>
      <c r="BA405" s="48"/>
      <c r="BB405" s="48"/>
      <c r="BC405" s="48"/>
      <c r="BD405" s="48"/>
      <c r="BE405" s="48"/>
      <c r="BF405" s="48"/>
      <c r="BG405" s="48"/>
      <c r="BH405" s="48"/>
      <c r="BI405" s="48"/>
      <c r="BJ405" s="48"/>
      <c r="BK405" s="48"/>
      <c r="BL405" s="48"/>
      <c r="BM405" s="48"/>
      <c r="BN405" s="48"/>
      <c r="BO405" s="48"/>
      <c r="BP405" s="48"/>
      <c r="BQ405" s="48"/>
      <c r="BR405" s="48"/>
      <c r="BS405" s="48"/>
      <c r="BT405" s="48"/>
      <c r="BU405" s="48"/>
      <c r="BV405" s="48"/>
      <c r="BW405" s="48"/>
      <c r="BX405" s="111"/>
    </row>
    <row r="406" spans="1:76">
      <c r="A406" s="37"/>
      <c r="B406" s="37"/>
      <c r="C406" s="37"/>
      <c r="D406" s="37"/>
      <c r="E406" s="37"/>
      <c r="F406" s="39" t="s">
        <v>2283</v>
      </c>
      <c r="G406" s="59">
        <f>H406-H560</f>
        <v>0</v>
      </c>
      <c r="H406" s="59">
        <f>I406-I560</f>
        <v>0</v>
      </c>
      <c r="I406" s="59">
        <f>J406-J560</f>
        <v>0</v>
      </c>
      <c r="J406" s="59">
        <f>K406-K560</f>
        <v>0</v>
      </c>
      <c r="K406" s="59">
        <f>L406-L560</f>
        <v>-5</v>
      </c>
      <c r="L406" s="59">
        <v>-18</v>
      </c>
      <c r="M406" s="59">
        <v>-20</v>
      </c>
      <c r="N406" s="60">
        <v>-24</v>
      </c>
      <c r="O406" s="58"/>
      <c r="P406" s="48"/>
      <c r="Q406" s="48"/>
      <c r="R406" s="48"/>
      <c r="S406" s="48"/>
      <c r="T406" s="48"/>
      <c r="U406" s="48"/>
      <c r="V406" s="48"/>
      <c r="W406" s="48"/>
      <c r="X406" s="48"/>
      <c r="Y406" s="48"/>
      <c r="Z406" s="48"/>
      <c r="AA406" s="48"/>
      <c r="AB406" s="48"/>
      <c r="AC406" s="48"/>
      <c r="AD406" s="48"/>
      <c r="AE406" s="48"/>
      <c r="AF406" s="48"/>
      <c r="AG406" s="48"/>
      <c r="AH406" s="48"/>
      <c r="AI406" s="48"/>
      <c r="AJ406" s="48"/>
      <c r="AK406" s="48"/>
      <c r="AL406" s="48"/>
      <c r="AM406" s="48"/>
      <c r="AN406" s="48"/>
      <c r="AO406" s="48"/>
      <c r="AP406" s="48"/>
      <c r="AQ406" s="48"/>
      <c r="AR406" s="48"/>
      <c r="AS406" s="48"/>
      <c r="AT406" s="48"/>
      <c r="AU406" s="48"/>
      <c r="AV406" s="48"/>
      <c r="AW406" s="48"/>
      <c r="AX406" s="48"/>
      <c r="AY406" s="48"/>
      <c r="AZ406" s="48"/>
      <c r="BA406" s="48"/>
      <c r="BB406" s="48"/>
      <c r="BC406" s="48"/>
      <c r="BD406" s="48"/>
      <c r="BE406" s="48"/>
      <c r="BF406" s="48"/>
      <c r="BG406" s="48"/>
      <c r="BH406" s="48"/>
      <c r="BI406" s="48"/>
      <c r="BJ406" s="48"/>
      <c r="BK406" s="48"/>
      <c r="BL406" s="48"/>
      <c r="BM406" s="48"/>
      <c r="BN406" s="48"/>
      <c r="BO406" s="48"/>
      <c r="BP406" s="48"/>
      <c r="BQ406" s="48"/>
      <c r="BR406" s="48"/>
      <c r="BS406" s="48"/>
      <c r="BT406" s="48"/>
      <c r="BU406" s="48"/>
      <c r="BV406" s="48"/>
      <c r="BW406" s="48"/>
      <c r="BX406" s="111"/>
    </row>
    <row r="407" spans="1:76">
      <c r="A407" s="37"/>
      <c r="B407" s="37"/>
      <c r="C407" s="37"/>
      <c r="D407" s="37"/>
      <c r="E407" s="37"/>
      <c r="F407" s="39" t="s">
        <v>1333</v>
      </c>
      <c r="G407" s="59"/>
      <c r="H407" s="59"/>
      <c r="I407" s="59"/>
      <c r="J407" s="59"/>
      <c r="K407" s="59"/>
      <c r="L407" s="59"/>
      <c r="M407" s="59"/>
      <c r="N407" s="60"/>
      <c r="O407" s="36"/>
      <c r="P407" s="48"/>
      <c r="Q407" s="48"/>
      <c r="R407" s="48"/>
      <c r="S407" s="48"/>
      <c r="T407" s="48"/>
      <c r="U407" s="48"/>
      <c r="V407" s="48"/>
      <c r="W407" s="48"/>
      <c r="X407" s="48"/>
      <c r="Y407" s="48"/>
      <c r="Z407" s="48"/>
      <c r="AA407" s="48"/>
      <c r="AB407" s="48"/>
      <c r="AC407" s="48"/>
      <c r="AD407" s="48"/>
      <c r="AE407" s="48"/>
      <c r="AF407" s="48"/>
      <c r="AG407" s="48"/>
      <c r="AH407" s="48"/>
      <c r="AI407" s="48"/>
      <c r="AJ407" s="48"/>
      <c r="AK407" s="48"/>
      <c r="AL407" s="48"/>
      <c r="AM407" s="48"/>
      <c r="AN407" s="48"/>
      <c r="AO407" s="48"/>
      <c r="AP407" s="48"/>
      <c r="AQ407" s="48"/>
      <c r="AR407" s="48"/>
      <c r="AS407" s="48"/>
      <c r="AT407" s="48"/>
      <c r="AU407" s="48"/>
      <c r="AV407" s="48"/>
      <c r="AW407" s="48"/>
      <c r="AX407" s="48"/>
      <c r="AY407" s="48"/>
      <c r="AZ407" s="48"/>
      <c r="BA407" s="48"/>
      <c r="BB407" s="48"/>
      <c r="BC407" s="48"/>
      <c r="BD407" s="48"/>
      <c r="BE407" s="48"/>
      <c r="BF407" s="48"/>
      <c r="BG407" s="48"/>
      <c r="BH407" s="48"/>
      <c r="BI407" s="48"/>
      <c r="BJ407" s="48"/>
      <c r="BK407" s="48"/>
      <c r="BL407" s="48"/>
      <c r="BM407" s="48"/>
      <c r="BN407" s="48"/>
      <c r="BO407" s="48"/>
      <c r="BP407" s="48"/>
      <c r="BQ407" s="48"/>
      <c r="BR407" s="48"/>
      <c r="BS407" s="48"/>
      <c r="BT407" s="48"/>
      <c r="BU407" s="48"/>
      <c r="BV407" s="48"/>
      <c r="BW407" s="48"/>
      <c r="BX407" s="111"/>
    </row>
    <row r="408" spans="1:76">
      <c r="A408" s="37"/>
      <c r="B408" s="37"/>
      <c r="C408" s="37"/>
      <c r="D408" s="37"/>
      <c r="E408" s="37"/>
      <c r="F408" s="39" t="s">
        <v>1334</v>
      </c>
      <c r="G408" s="59"/>
      <c r="H408" s="59"/>
      <c r="I408" s="59"/>
      <c r="J408" s="59"/>
      <c r="K408" s="59"/>
      <c r="L408" s="59"/>
      <c r="M408" s="59"/>
      <c r="N408" s="60"/>
      <c r="O408" s="36"/>
      <c r="P408" s="48"/>
      <c r="Q408" s="48"/>
      <c r="R408" s="48"/>
      <c r="S408" s="48"/>
      <c r="T408" s="48"/>
      <c r="U408" s="48"/>
      <c r="V408" s="48"/>
      <c r="W408" s="48"/>
      <c r="X408" s="48"/>
      <c r="Y408" s="48"/>
      <c r="Z408" s="48"/>
      <c r="AA408" s="48"/>
      <c r="AB408" s="48"/>
      <c r="AC408" s="48"/>
      <c r="AD408" s="48"/>
      <c r="AE408" s="48"/>
      <c r="AF408" s="48"/>
      <c r="AG408" s="48"/>
      <c r="AH408" s="48"/>
      <c r="AI408" s="48"/>
      <c r="AJ408" s="48"/>
      <c r="AK408" s="48"/>
      <c r="AL408" s="48"/>
      <c r="AM408" s="48"/>
      <c r="AN408" s="48"/>
      <c r="AO408" s="48"/>
      <c r="AP408" s="48"/>
      <c r="AQ408" s="48"/>
      <c r="AR408" s="48"/>
      <c r="AS408" s="48"/>
      <c r="AT408" s="48"/>
      <c r="AU408" s="48"/>
      <c r="AV408" s="48"/>
      <c r="AW408" s="48"/>
      <c r="AX408" s="48"/>
      <c r="AY408" s="48"/>
      <c r="AZ408" s="48"/>
      <c r="BA408" s="48"/>
      <c r="BB408" s="48"/>
      <c r="BC408" s="48"/>
      <c r="BD408" s="48"/>
      <c r="BE408" s="48"/>
      <c r="BF408" s="48"/>
      <c r="BG408" s="48"/>
      <c r="BH408" s="48"/>
      <c r="BI408" s="48"/>
      <c r="BJ408" s="48"/>
      <c r="BK408" s="48"/>
      <c r="BL408" s="48"/>
      <c r="BM408" s="48"/>
      <c r="BN408" s="48"/>
      <c r="BO408" s="48"/>
      <c r="BP408" s="48"/>
      <c r="BQ408" s="48"/>
      <c r="BR408" s="48"/>
      <c r="BS408" s="48"/>
      <c r="BT408" s="48"/>
      <c r="BU408" s="48"/>
      <c r="BV408" s="48"/>
      <c r="BW408" s="48"/>
      <c r="BX408" s="111"/>
    </row>
    <row r="409" spans="1:76">
      <c r="A409" s="37"/>
      <c r="B409" s="37"/>
      <c r="C409" s="37"/>
      <c r="D409" s="37"/>
      <c r="E409" s="37"/>
      <c r="F409" s="39" t="s">
        <v>1335</v>
      </c>
      <c r="G409" s="59"/>
      <c r="H409" s="59"/>
      <c r="I409" s="59"/>
      <c r="J409" s="59"/>
      <c r="K409" s="59"/>
      <c r="L409" s="59"/>
      <c r="M409" s="59"/>
      <c r="N409" s="60"/>
      <c r="O409" s="36"/>
      <c r="P409" s="48"/>
      <c r="Q409" s="48"/>
      <c r="R409" s="48"/>
      <c r="S409" s="48"/>
      <c r="T409" s="48"/>
      <c r="U409" s="48"/>
      <c r="V409" s="48"/>
      <c r="W409" s="48"/>
      <c r="X409" s="48"/>
      <c r="Y409" s="48"/>
      <c r="Z409" s="48"/>
      <c r="AA409" s="48"/>
      <c r="AB409" s="48"/>
      <c r="AC409" s="48"/>
      <c r="AD409" s="48"/>
      <c r="AE409" s="48"/>
      <c r="AF409" s="48"/>
      <c r="AG409" s="48"/>
      <c r="AH409" s="48"/>
      <c r="AI409" s="48"/>
      <c r="AJ409" s="48"/>
      <c r="AK409" s="48"/>
      <c r="AL409" s="48"/>
      <c r="AM409" s="48"/>
      <c r="AN409" s="48"/>
      <c r="AO409" s="48"/>
      <c r="AP409" s="48"/>
      <c r="AQ409" s="48"/>
      <c r="AR409" s="48"/>
      <c r="AS409" s="48"/>
      <c r="AT409" s="48"/>
      <c r="AU409" s="48"/>
      <c r="AV409" s="48"/>
      <c r="AW409" s="48"/>
      <c r="AX409" s="48"/>
      <c r="AY409" s="48"/>
      <c r="AZ409" s="48"/>
      <c r="BA409" s="48"/>
      <c r="BB409" s="48"/>
      <c r="BC409" s="48"/>
      <c r="BD409" s="48"/>
      <c r="BE409" s="48"/>
      <c r="BF409" s="48"/>
      <c r="BG409" s="48"/>
      <c r="BH409" s="48"/>
      <c r="BI409" s="48"/>
      <c r="BJ409" s="48"/>
      <c r="BK409" s="48"/>
      <c r="BL409" s="48"/>
      <c r="BM409" s="48"/>
      <c r="BN409" s="48"/>
      <c r="BO409" s="48"/>
      <c r="BP409" s="48"/>
      <c r="BQ409" s="48"/>
      <c r="BR409" s="48"/>
      <c r="BS409" s="48"/>
      <c r="BT409" s="48"/>
      <c r="BU409" s="48"/>
      <c r="BV409" s="48"/>
      <c r="BW409" s="48"/>
      <c r="BX409" s="111"/>
    </row>
    <row r="410" spans="1:76">
      <c r="A410" s="37"/>
      <c r="B410" s="37"/>
      <c r="C410" s="37"/>
      <c r="D410" s="37"/>
      <c r="E410" s="37"/>
      <c r="F410" s="39" t="s">
        <v>207</v>
      </c>
      <c r="G410" s="59"/>
      <c r="H410" s="59">
        <v>-1</v>
      </c>
      <c r="I410" s="59">
        <v>-5</v>
      </c>
      <c r="J410" s="59">
        <v>-4</v>
      </c>
      <c r="K410" s="59">
        <v>-16</v>
      </c>
      <c r="L410" s="59">
        <v>-14</v>
      </c>
      <c r="M410" s="59">
        <v>-9</v>
      </c>
      <c r="N410" s="60">
        <v>-14</v>
      </c>
      <c r="O410" s="36"/>
      <c r="P410" s="48"/>
      <c r="Q410" s="48"/>
      <c r="R410" s="48"/>
      <c r="S410" s="48"/>
      <c r="T410" s="48"/>
      <c r="U410" s="48"/>
      <c r="V410" s="48"/>
      <c r="W410" s="48"/>
      <c r="X410" s="48"/>
      <c r="Y410" s="48"/>
      <c r="Z410" s="48"/>
      <c r="AA410" s="48"/>
      <c r="AB410" s="48"/>
      <c r="AC410" s="48"/>
      <c r="AD410" s="48"/>
      <c r="AE410" s="48"/>
      <c r="AF410" s="48"/>
      <c r="AG410" s="48"/>
      <c r="AH410" s="48"/>
      <c r="AI410" s="48"/>
      <c r="AJ410" s="48"/>
      <c r="AK410" s="48"/>
      <c r="AL410" s="48"/>
      <c r="AM410" s="48"/>
      <c r="AN410" s="48"/>
      <c r="AO410" s="48"/>
      <c r="AP410" s="48"/>
      <c r="AQ410" s="48"/>
      <c r="AR410" s="48"/>
      <c r="AS410" s="48"/>
      <c r="AT410" s="48"/>
      <c r="AU410" s="48"/>
      <c r="AV410" s="48"/>
      <c r="AW410" s="48"/>
      <c r="AX410" s="48"/>
      <c r="AY410" s="48"/>
      <c r="AZ410" s="48"/>
      <c r="BA410" s="48"/>
      <c r="BB410" s="48"/>
      <c r="BC410" s="48"/>
      <c r="BD410" s="48"/>
      <c r="BE410" s="48"/>
      <c r="BF410" s="48"/>
      <c r="BG410" s="48"/>
      <c r="BH410" s="48"/>
      <c r="BI410" s="48"/>
      <c r="BJ410" s="48"/>
      <c r="BK410" s="48"/>
      <c r="BL410" s="48"/>
      <c r="BM410" s="48"/>
      <c r="BN410" s="48"/>
      <c r="BO410" s="48"/>
      <c r="BP410" s="48"/>
      <c r="BQ410" s="48"/>
      <c r="BR410" s="48"/>
      <c r="BS410" s="48"/>
      <c r="BT410" s="48"/>
      <c r="BU410" s="48"/>
      <c r="BV410" s="48"/>
      <c r="BW410" s="48"/>
      <c r="BX410" s="111"/>
    </row>
    <row r="411" spans="1:76">
      <c r="A411" s="37"/>
      <c r="B411" s="37"/>
      <c r="C411" s="37"/>
      <c r="D411" s="37"/>
      <c r="E411" s="37" t="s">
        <v>2215</v>
      </c>
      <c r="F411" s="39"/>
      <c r="G411" s="60"/>
      <c r="H411" s="60"/>
      <c r="I411" s="60"/>
      <c r="J411" s="60"/>
      <c r="K411" s="60"/>
      <c r="L411" s="60"/>
      <c r="M411" s="60"/>
      <c r="N411" s="60"/>
      <c r="O411" s="36"/>
      <c r="P411" s="48"/>
      <c r="Q411" s="48"/>
      <c r="R411" s="48"/>
      <c r="S411" s="48"/>
      <c r="T411" s="48"/>
      <c r="U411" s="48"/>
      <c r="V411" s="48"/>
      <c r="W411" s="48"/>
      <c r="X411" s="48"/>
      <c r="Y411" s="48"/>
      <c r="Z411" s="48"/>
      <c r="AA411" s="48"/>
      <c r="AB411" s="48"/>
      <c r="AC411" s="48"/>
      <c r="AD411" s="48"/>
      <c r="AE411" s="48"/>
      <c r="AF411" s="48"/>
      <c r="AG411" s="48"/>
      <c r="AH411" s="48"/>
      <c r="AI411" s="48"/>
      <c r="AJ411" s="48"/>
      <c r="AK411" s="48"/>
      <c r="AL411" s="48"/>
      <c r="AM411" s="48"/>
      <c r="AN411" s="48"/>
      <c r="AO411" s="48"/>
      <c r="AP411" s="48"/>
      <c r="AQ411" s="48"/>
      <c r="AR411" s="48"/>
      <c r="AS411" s="48"/>
      <c r="AT411" s="48"/>
      <c r="AU411" s="48"/>
      <c r="AV411" s="48"/>
      <c r="AW411" s="48"/>
      <c r="AX411" s="48"/>
      <c r="AY411" s="48"/>
      <c r="AZ411" s="48"/>
      <c r="BA411" s="48"/>
      <c r="BB411" s="48"/>
      <c r="BC411" s="48"/>
      <c r="BD411" s="48"/>
      <c r="BE411" s="48"/>
      <c r="BF411" s="48"/>
      <c r="BG411" s="48"/>
      <c r="BH411" s="48"/>
      <c r="BI411" s="48"/>
      <c r="BJ411" s="48"/>
      <c r="BK411" s="48"/>
      <c r="BL411" s="48"/>
      <c r="BM411" s="48"/>
      <c r="BN411" s="48"/>
      <c r="BO411" s="48"/>
      <c r="BP411" s="48"/>
      <c r="BQ411" s="48"/>
      <c r="BR411" s="48"/>
      <c r="BS411" s="48"/>
      <c r="BT411" s="48"/>
      <c r="BU411" s="48"/>
      <c r="BV411" s="48"/>
      <c r="BW411" s="48"/>
      <c r="BX411" s="111"/>
    </row>
    <row r="412" spans="1:76">
      <c r="A412" s="37"/>
      <c r="B412" s="37"/>
      <c r="C412" s="37"/>
      <c r="D412" s="37"/>
      <c r="E412" s="37" t="s">
        <v>1820</v>
      </c>
      <c r="F412" s="39"/>
      <c r="G412" s="59"/>
      <c r="H412" s="59"/>
      <c r="I412" s="59"/>
      <c r="J412" s="59"/>
      <c r="K412" s="59"/>
      <c r="L412" s="59"/>
      <c r="M412" s="59"/>
      <c r="N412" s="60"/>
      <c r="O412" s="36"/>
      <c r="P412" s="48"/>
      <c r="Q412" s="48"/>
      <c r="R412" s="48"/>
      <c r="S412" s="48"/>
      <c r="T412" s="48"/>
      <c r="U412" s="48"/>
      <c r="V412" s="48"/>
      <c r="W412" s="48"/>
      <c r="X412" s="48"/>
      <c r="Y412" s="48"/>
      <c r="Z412" s="48"/>
      <c r="AA412" s="48"/>
      <c r="AB412" s="48"/>
      <c r="AC412" s="48"/>
      <c r="AD412" s="48"/>
      <c r="AE412" s="48"/>
      <c r="AF412" s="48"/>
      <c r="AG412" s="48"/>
      <c r="AH412" s="48"/>
      <c r="AI412" s="48"/>
      <c r="AJ412" s="48"/>
      <c r="AK412" s="48"/>
      <c r="AL412" s="48"/>
      <c r="AM412" s="48"/>
      <c r="AN412" s="48"/>
      <c r="AO412" s="48"/>
      <c r="AP412" s="48"/>
      <c r="AQ412" s="48"/>
      <c r="AR412" s="48"/>
      <c r="AS412" s="48"/>
      <c r="AT412" s="48"/>
      <c r="AU412" s="48"/>
      <c r="AV412" s="48"/>
      <c r="AW412" s="48"/>
      <c r="AX412" s="48"/>
      <c r="AY412" s="48"/>
      <c r="AZ412" s="48"/>
      <c r="BA412" s="48"/>
      <c r="BB412" s="48"/>
      <c r="BC412" s="48"/>
      <c r="BD412" s="48"/>
      <c r="BE412" s="48"/>
      <c r="BF412" s="48"/>
      <c r="BG412" s="48"/>
      <c r="BH412" s="48"/>
      <c r="BI412" s="48"/>
      <c r="BJ412" s="48"/>
      <c r="BK412" s="48"/>
      <c r="BL412" s="48"/>
      <c r="BM412" s="48"/>
      <c r="BN412" s="48"/>
      <c r="BO412" s="48"/>
      <c r="BP412" s="48"/>
      <c r="BQ412" s="48"/>
      <c r="BR412" s="48"/>
      <c r="BS412" s="48"/>
      <c r="BT412" s="48"/>
      <c r="BU412" s="48"/>
      <c r="BV412" s="48"/>
      <c r="BW412" s="48"/>
      <c r="BX412" s="111"/>
    </row>
    <row r="413" spans="1:76">
      <c r="A413" s="37"/>
      <c r="B413" s="37"/>
      <c r="C413" s="37"/>
      <c r="D413" s="37"/>
      <c r="E413" s="37" t="s">
        <v>1821</v>
      </c>
      <c r="F413" s="39"/>
      <c r="G413" s="59"/>
      <c r="H413" s="59"/>
      <c r="I413" s="59"/>
      <c r="J413" s="59"/>
      <c r="K413" s="59"/>
      <c r="L413" s="59"/>
      <c r="M413" s="59"/>
      <c r="N413" s="60"/>
      <c r="O413" s="36"/>
      <c r="P413" s="48"/>
      <c r="Q413" s="48"/>
      <c r="R413" s="48"/>
      <c r="S413" s="48"/>
      <c r="T413" s="48"/>
      <c r="U413" s="48"/>
      <c r="V413" s="48"/>
      <c r="W413" s="48"/>
      <c r="X413" s="48"/>
      <c r="Y413" s="48"/>
      <c r="Z413" s="48"/>
      <c r="AA413" s="48"/>
      <c r="AB413" s="48"/>
      <c r="AC413" s="48"/>
      <c r="AD413" s="48"/>
      <c r="AE413" s="48"/>
      <c r="AF413" s="48"/>
      <c r="AG413" s="48"/>
      <c r="AH413" s="48"/>
      <c r="AI413" s="48"/>
      <c r="AJ413" s="48"/>
      <c r="AK413" s="48"/>
      <c r="AL413" s="48"/>
      <c r="AM413" s="48"/>
      <c r="AN413" s="48"/>
      <c r="AO413" s="48"/>
      <c r="AP413" s="48"/>
      <c r="AQ413" s="48"/>
      <c r="AR413" s="48"/>
      <c r="AS413" s="48"/>
      <c r="AT413" s="48"/>
      <c r="AU413" s="48"/>
      <c r="AV413" s="48"/>
      <c r="AW413" s="48"/>
      <c r="AX413" s="48"/>
      <c r="AY413" s="48"/>
      <c r="AZ413" s="48"/>
      <c r="BA413" s="48"/>
      <c r="BB413" s="48"/>
      <c r="BC413" s="48"/>
      <c r="BD413" s="48"/>
      <c r="BE413" s="48"/>
      <c r="BF413" s="48"/>
      <c r="BG413" s="48"/>
      <c r="BH413" s="48"/>
      <c r="BI413" s="48"/>
      <c r="BJ413" s="48"/>
      <c r="BK413" s="48"/>
      <c r="BL413" s="48"/>
      <c r="BM413" s="48"/>
      <c r="BN413" s="48"/>
      <c r="BO413" s="48"/>
      <c r="BP413" s="48"/>
      <c r="BQ413" s="48"/>
      <c r="BR413" s="48"/>
      <c r="BS413" s="48"/>
      <c r="BT413" s="48"/>
      <c r="BU413" s="48"/>
      <c r="BV413" s="48"/>
      <c r="BW413" s="48"/>
      <c r="BX413" s="111"/>
    </row>
    <row r="414" spans="1:76">
      <c r="A414" s="44"/>
      <c r="B414" s="44" t="s">
        <v>1822</v>
      </c>
      <c r="C414" s="44"/>
      <c r="D414" s="44"/>
      <c r="E414" s="44"/>
      <c r="F414" s="45"/>
      <c r="G414" s="45"/>
      <c r="H414" s="45"/>
      <c r="I414" s="45"/>
      <c r="J414" s="45"/>
      <c r="K414" s="45"/>
      <c r="L414" s="45"/>
      <c r="M414" s="45"/>
      <c r="N414" s="46"/>
      <c r="O414" s="47"/>
      <c r="P414" s="46"/>
      <c r="Q414" s="46"/>
      <c r="R414" s="46"/>
      <c r="S414" s="46"/>
      <c r="T414" s="46"/>
      <c r="U414" s="46"/>
      <c r="V414" s="46"/>
      <c r="W414" s="46"/>
      <c r="X414" s="46"/>
      <c r="Y414" s="46"/>
      <c r="Z414" s="46"/>
      <c r="AA414" s="46"/>
      <c r="AB414" s="46"/>
      <c r="AC414" s="46"/>
      <c r="AD414" s="46"/>
      <c r="AE414" s="46"/>
      <c r="AF414" s="46"/>
      <c r="AG414" s="46"/>
      <c r="AH414" s="46"/>
      <c r="AI414" s="46"/>
      <c r="AJ414" s="46"/>
      <c r="AK414" s="46"/>
      <c r="AL414" s="46"/>
      <c r="AM414" s="46"/>
      <c r="AN414" s="46"/>
      <c r="AO414" s="46"/>
      <c r="AP414" s="46"/>
      <c r="AQ414" s="46"/>
      <c r="AR414" s="46"/>
      <c r="AS414" s="46"/>
      <c r="AT414" s="46"/>
      <c r="AU414" s="46"/>
      <c r="AV414" s="46"/>
      <c r="AW414" s="46"/>
      <c r="AX414" s="46"/>
      <c r="AY414" s="46"/>
      <c r="AZ414" s="46"/>
      <c r="BA414" s="46"/>
      <c r="BB414" s="46"/>
      <c r="BC414" s="46"/>
      <c r="BD414" s="46"/>
      <c r="BE414" s="46"/>
      <c r="BF414" s="46"/>
      <c r="BG414" s="46"/>
      <c r="BH414" s="46"/>
      <c r="BI414" s="46"/>
      <c r="BJ414" s="46"/>
      <c r="BK414" s="46"/>
      <c r="BL414" s="46"/>
      <c r="BM414" s="46"/>
      <c r="BN414" s="46"/>
      <c r="BO414" s="46"/>
      <c r="BP414" s="46"/>
      <c r="BQ414" s="46"/>
      <c r="BR414" s="46"/>
      <c r="BS414" s="46"/>
      <c r="BT414" s="46"/>
      <c r="BU414" s="46"/>
      <c r="BV414" s="46"/>
      <c r="BW414" s="46"/>
      <c r="BX414" s="110"/>
    </row>
    <row r="415" spans="1:76">
      <c r="A415" s="37"/>
      <c r="B415" s="37"/>
      <c r="C415" s="37" t="s">
        <v>1823</v>
      </c>
      <c r="D415" s="37"/>
      <c r="E415" s="37"/>
      <c r="F415" s="39"/>
      <c r="G415" s="59">
        <v>-298</v>
      </c>
      <c r="H415" s="59">
        <v>1302</v>
      </c>
      <c r="I415" s="59">
        <v>-741</v>
      </c>
      <c r="J415" s="59">
        <v>403</v>
      </c>
      <c r="K415" s="59">
        <v>145</v>
      </c>
      <c r="L415" s="59">
        <v>355</v>
      </c>
      <c r="M415" s="59">
        <v>309</v>
      </c>
      <c r="N415" s="60">
        <v>395</v>
      </c>
      <c r="O415" s="36"/>
      <c r="P415" s="48"/>
      <c r="Q415" s="48"/>
      <c r="R415" s="48"/>
      <c r="S415" s="48"/>
      <c r="T415" s="48"/>
      <c r="U415" s="48"/>
      <c r="V415" s="48"/>
      <c r="W415" s="48"/>
      <c r="X415" s="48"/>
      <c r="Y415" s="48"/>
      <c r="Z415" s="48"/>
      <c r="AA415" s="48"/>
      <c r="AB415" s="48"/>
      <c r="AC415" s="48"/>
      <c r="AD415" s="48"/>
      <c r="AE415" s="48"/>
      <c r="AF415" s="48"/>
      <c r="AG415" s="48"/>
      <c r="AH415" s="48"/>
      <c r="AI415" s="48"/>
      <c r="AJ415" s="48"/>
      <c r="AK415" s="48"/>
      <c r="AL415" s="48"/>
      <c r="AM415" s="48"/>
      <c r="AN415" s="48"/>
      <c r="AO415" s="48"/>
      <c r="AP415" s="48"/>
      <c r="AQ415" s="48"/>
      <c r="AR415" s="48"/>
      <c r="AS415" s="48"/>
      <c r="AT415" s="48"/>
      <c r="AU415" s="48"/>
      <c r="AV415" s="48"/>
      <c r="AW415" s="48"/>
      <c r="AX415" s="48"/>
      <c r="AY415" s="48"/>
      <c r="AZ415" s="48"/>
      <c r="BA415" s="48"/>
      <c r="BB415" s="48"/>
      <c r="BC415" s="48"/>
      <c r="BD415" s="48"/>
      <c r="BE415" s="48"/>
      <c r="BF415" s="48"/>
      <c r="BG415" s="48"/>
      <c r="BH415" s="48"/>
      <c r="BI415" s="48"/>
      <c r="BJ415" s="48"/>
      <c r="BK415" s="48"/>
      <c r="BL415" s="48"/>
      <c r="BM415" s="48"/>
      <c r="BN415" s="48"/>
      <c r="BO415" s="48"/>
      <c r="BP415" s="48"/>
      <c r="BQ415" s="48"/>
      <c r="BR415" s="48"/>
      <c r="BS415" s="48"/>
      <c r="BT415" s="48"/>
      <c r="BU415" s="48"/>
      <c r="BV415" s="48"/>
      <c r="BW415" s="48"/>
      <c r="BX415" s="111"/>
    </row>
    <row r="416" spans="1:76">
      <c r="A416" s="82"/>
      <c r="B416" s="82"/>
      <c r="C416" s="82" t="s">
        <v>1347</v>
      </c>
      <c r="D416" s="37"/>
      <c r="E416" s="37"/>
      <c r="F416" s="39"/>
      <c r="G416" s="59"/>
      <c r="H416" s="59"/>
      <c r="I416" s="59"/>
      <c r="J416" s="59"/>
      <c r="K416" s="59"/>
      <c r="L416" s="59"/>
      <c r="M416" s="59"/>
      <c r="N416" s="60"/>
      <c r="O416" s="36"/>
      <c r="P416" s="48"/>
      <c r="Q416" s="48"/>
      <c r="R416" s="48"/>
      <c r="S416" s="48"/>
      <c r="T416" s="48"/>
      <c r="U416" s="48"/>
      <c r="V416" s="48"/>
      <c r="W416" s="48"/>
      <c r="X416" s="48"/>
      <c r="Y416" s="48"/>
      <c r="Z416" s="48"/>
      <c r="AA416" s="48"/>
      <c r="AB416" s="48"/>
      <c r="AC416" s="48"/>
      <c r="AD416" s="48"/>
      <c r="AE416" s="48"/>
      <c r="AF416" s="48"/>
      <c r="AG416" s="48"/>
      <c r="AH416" s="48"/>
      <c r="AI416" s="48"/>
      <c r="AJ416" s="48"/>
      <c r="AK416" s="48"/>
      <c r="AL416" s="48"/>
      <c r="AM416" s="48"/>
      <c r="AN416" s="48"/>
      <c r="AO416" s="48"/>
      <c r="AP416" s="48"/>
      <c r="AQ416" s="48"/>
      <c r="AR416" s="48"/>
      <c r="AS416" s="48"/>
      <c r="AT416" s="48"/>
      <c r="AU416" s="48"/>
      <c r="AV416" s="48"/>
      <c r="AW416" s="48"/>
      <c r="AX416" s="48"/>
      <c r="AY416" s="48"/>
      <c r="AZ416" s="48"/>
      <c r="BA416" s="48"/>
      <c r="BB416" s="48"/>
      <c r="BC416" s="48"/>
      <c r="BD416" s="48"/>
      <c r="BE416" s="48"/>
      <c r="BF416" s="48"/>
      <c r="BG416" s="48"/>
      <c r="BH416" s="48"/>
      <c r="BI416" s="48"/>
      <c r="BJ416" s="48"/>
      <c r="BK416" s="48"/>
      <c r="BL416" s="48"/>
      <c r="BM416" s="48"/>
      <c r="BN416" s="48"/>
      <c r="BO416" s="48"/>
      <c r="BP416" s="48"/>
      <c r="BQ416" s="48"/>
      <c r="BR416" s="48"/>
      <c r="BS416" s="48"/>
      <c r="BT416" s="48"/>
      <c r="BU416" s="48"/>
      <c r="BV416" s="48"/>
      <c r="BW416" s="48"/>
      <c r="BX416" s="111"/>
    </row>
    <row r="417" spans="1:76">
      <c r="A417" s="52"/>
      <c r="B417" s="52"/>
      <c r="C417" s="52" t="s">
        <v>1205</v>
      </c>
      <c r="D417" s="52"/>
      <c r="E417" s="52"/>
      <c r="F417" s="53"/>
      <c r="G417" s="53">
        <v>281</v>
      </c>
      <c r="H417" s="53">
        <v>399</v>
      </c>
      <c r="I417" s="53">
        <v>370</v>
      </c>
      <c r="J417" s="53">
        <v>391</v>
      </c>
      <c r="K417" s="53">
        <v>433</v>
      </c>
      <c r="L417" s="53">
        <v>473</v>
      </c>
      <c r="M417" s="53">
        <v>410</v>
      </c>
      <c r="N417" s="55">
        <v>413</v>
      </c>
      <c r="O417" s="54"/>
      <c r="P417" s="55"/>
      <c r="Q417" s="55"/>
      <c r="R417" s="55"/>
      <c r="S417" s="55"/>
      <c r="T417" s="55"/>
      <c r="U417" s="55"/>
      <c r="V417" s="55"/>
      <c r="W417" s="55"/>
      <c r="X417" s="55"/>
      <c r="Y417" s="55"/>
      <c r="Z417" s="55"/>
      <c r="AA417" s="55"/>
      <c r="AB417" s="55"/>
      <c r="AC417" s="55"/>
      <c r="AD417" s="55"/>
      <c r="AE417" s="55"/>
      <c r="AF417" s="55"/>
      <c r="AG417" s="55"/>
      <c r="AH417" s="55"/>
      <c r="AI417" s="55"/>
      <c r="AJ417" s="55"/>
      <c r="AK417" s="55"/>
      <c r="AL417" s="55"/>
      <c r="AM417" s="55"/>
      <c r="AN417" s="55"/>
      <c r="AO417" s="55"/>
      <c r="AP417" s="55"/>
      <c r="AQ417" s="55"/>
      <c r="AR417" s="55"/>
      <c r="AS417" s="55"/>
      <c r="AT417" s="55"/>
      <c r="AU417" s="55"/>
      <c r="AV417" s="55"/>
      <c r="AW417" s="55"/>
      <c r="AX417" s="55"/>
      <c r="AY417" s="55"/>
      <c r="AZ417" s="55"/>
      <c r="BA417" s="55"/>
      <c r="BB417" s="55"/>
      <c r="BC417" s="55"/>
      <c r="BD417" s="55"/>
      <c r="BE417" s="55"/>
      <c r="BF417" s="55"/>
      <c r="BG417" s="55"/>
      <c r="BH417" s="55"/>
      <c r="BI417" s="55"/>
      <c r="BJ417" s="55"/>
      <c r="BK417" s="55"/>
      <c r="BL417" s="55"/>
      <c r="BM417" s="55"/>
      <c r="BN417" s="55"/>
      <c r="BO417" s="55"/>
      <c r="BP417" s="55"/>
      <c r="BQ417" s="55"/>
      <c r="BR417" s="55"/>
      <c r="BS417" s="55"/>
      <c r="BT417" s="55"/>
      <c r="BU417" s="55"/>
      <c r="BV417" s="55"/>
      <c r="BW417" s="55"/>
      <c r="BX417" s="112"/>
    </row>
    <row r="418" spans="1:76">
      <c r="A418" s="37"/>
      <c r="B418" s="37"/>
      <c r="C418" s="37" t="s">
        <v>1387</v>
      </c>
      <c r="D418" s="37"/>
      <c r="E418" s="37"/>
      <c r="F418" s="39"/>
      <c r="G418" s="59"/>
      <c r="H418" s="59"/>
      <c r="I418" s="59"/>
      <c r="J418" s="59"/>
      <c r="K418" s="59"/>
      <c r="L418" s="59"/>
      <c r="M418" s="59"/>
      <c r="N418" s="60"/>
      <c r="O418" s="36"/>
      <c r="P418" s="48"/>
      <c r="Q418" s="48"/>
      <c r="R418" s="48"/>
      <c r="S418" s="48"/>
      <c r="T418" s="48"/>
      <c r="U418" s="48"/>
      <c r="V418" s="48"/>
      <c r="W418" s="48"/>
      <c r="X418" s="48"/>
      <c r="Y418" s="48"/>
      <c r="Z418" s="48"/>
      <c r="AA418" s="48"/>
      <c r="AB418" s="48"/>
      <c r="AC418" s="48"/>
      <c r="AD418" s="48"/>
      <c r="AE418" s="48"/>
      <c r="AF418" s="48"/>
      <c r="AG418" s="48"/>
      <c r="AH418" s="48"/>
      <c r="AI418" s="48"/>
      <c r="AJ418" s="48"/>
      <c r="AK418" s="48"/>
      <c r="AL418" s="48"/>
      <c r="AM418" s="48"/>
      <c r="AN418" s="48"/>
      <c r="AO418" s="48"/>
      <c r="AP418" s="48"/>
      <c r="AQ418" s="48"/>
      <c r="AR418" s="48"/>
      <c r="AS418" s="48"/>
      <c r="AT418" s="48"/>
      <c r="AU418" s="48"/>
      <c r="AV418" s="48"/>
      <c r="AW418" s="48"/>
      <c r="AX418" s="48"/>
      <c r="AY418" s="48"/>
      <c r="AZ418" s="48"/>
      <c r="BA418" s="48"/>
      <c r="BB418" s="48"/>
      <c r="BC418" s="48"/>
      <c r="BD418" s="48"/>
      <c r="BE418" s="48"/>
      <c r="BF418" s="48"/>
      <c r="BG418" s="48"/>
      <c r="BH418" s="48"/>
      <c r="BI418" s="48"/>
      <c r="BJ418" s="48"/>
      <c r="BK418" s="48"/>
      <c r="BL418" s="48"/>
      <c r="BM418" s="48"/>
      <c r="BN418" s="48"/>
      <c r="BO418" s="48"/>
      <c r="BP418" s="48"/>
      <c r="BQ418" s="48"/>
      <c r="BR418" s="48"/>
      <c r="BS418" s="48"/>
      <c r="BT418" s="48"/>
      <c r="BU418" s="48"/>
      <c r="BV418" s="48"/>
      <c r="BW418" s="48"/>
      <c r="BX418" s="111"/>
    </row>
    <row r="419" spans="1:76">
      <c r="A419" s="82"/>
      <c r="B419" s="82"/>
      <c r="C419" s="82" t="s">
        <v>205</v>
      </c>
      <c r="D419" s="37"/>
      <c r="E419" s="37"/>
      <c r="F419" s="39"/>
      <c r="G419" s="59"/>
      <c r="H419" s="59"/>
      <c r="I419" s="59"/>
      <c r="J419" s="59"/>
      <c r="K419" s="59"/>
      <c r="L419" s="59"/>
      <c r="M419" s="59"/>
      <c r="N419" s="60"/>
      <c r="O419" s="36"/>
      <c r="P419" s="48"/>
      <c r="Q419" s="48"/>
      <c r="R419" s="48"/>
      <c r="S419" s="48"/>
      <c r="T419" s="48"/>
      <c r="U419" s="48"/>
      <c r="V419" s="48"/>
      <c r="W419" s="48"/>
      <c r="X419" s="48"/>
      <c r="Y419" s="48"/>
      <c r="Z419" s="48"/>
      <c r="AA419" s="48"/>
      <c r="AB419" s="48"/>
      <c r="AC419" s="48"/>
      <c r="AD419" s="48"/>
      <c r="AE419" s="48"/>
      <c r="AF419" s="48"/>
      <c r="AG419" s="48"/>
      <c r="AH419" s="48"/>
      <c r="AI419" s="48"/>
      <c r="AJ419" s="48"/>
      <c r="AK419" s="48"/>
      <c r="AL419" s="48"/>
      <c r="AM419" s="48"/>
      <c r="AN419" s="48"/>
      <c r="AO419" s="48"/>
      <c r="AP419" s="48"/>
      <c r="AQ419" s="48"/>
      <c r="AR419" s="48"/>
      <c r="AS419" s="48"/>
      <c r="AT419" s="48"/>
      <c r="AU419" s="48"/>
      <c r="AV419" s="48"/>
      <c r="AW419" s="48"/>
      <c r="AX419" s="48"/>
      <c r="AY419" s="48"/>
      <c r="AZ419" s="48"/>
      <c r="BA419" s="48"/>
      <c r="BB419" s="48"/>
      <c r="BC419" s="48"/>
      <c r="BD419" s="48"/>
      <c r="BE419" s="48"/>
      <c r="BF419" s="48"/>
      <c r="BG419" s="48"/>
      <c r="BH419" s="48"/>
      <c r="BI419" s="48"/>
      <c r="BJ419" s="48"/>
      <c r="BK419" s="48"/>
      <c r="BL419" s="48"/>
      <c r="BM419" s="48"/>
      <c r="BN419" s="48"/>
      <c r="BO419" s="48"/>
      <c r="BP419" s="48"/>
      <c r="BQ419" s="48"/>
      <c r="BR419" s="48"/>
      <c r="BS419" s="48"/>
      <c r="BT419" s="48"/>
      <c r="BU419" s="48"/>
      <c r="BV419" s="48"/>
      <c r="BW419" s="48"/>
      <c r="BX419" s="111"/>
    </row>
    <row r="420" spans="1:76">
      <c r="A420" s="37"/>
      <c r="B420" s="37"/>
      <c r="C420" s="37" t="s">
        <v>1775</v>
      </c>
      <c r="D420" s="37"/>
      <c r="E420" s="37"/>
      <c r="F420" s="39"/>
      <c r="G420" s="59"/>
      <c r="H420" s="59"/>
      <c r="I420" s="59">
        <v>82</v>
      </c>
      <c r="J420" s="59">
        <f>90</f>
        <v>90</v>
      </c>
      <c r="K420" s="59">
        <f>93-K422</f>
        <v>81</v>
      </c>
      <c r="L420" s="59"/>
      <c r="M420" s="59"/>
      <c r="N420" s="60"/>
      <c r="O420" s="36"/>
      <c r="P420" s="48"/>
      <c r="Q420" s="48"/>
      <c r="R420" s="48"/>
      <c r="S420" s="48"/>
      <c r="T420" s="48"/>
      <c r="U420" s="48"/>
      <c r="V420" s="48"/>
      <c r="W420" s="48"/>
      <c r="X420" s="48"/>
      <c r="Y420" s="48"/>
      <c r="Z420" s="48"/>
      <c r="AA420" s="48"/>
      <c r="AB420" s="48"/>
      <c r="AC420" s="48"/>
      <c r="AD420" s="48"/>
      <c r="AE420" s="48"/>
      <c r="AF420" s="48"/>
      <c r="AG420" s="48"/>
      <c r="AH420" s="48"/>
      <c r="AI420" s="48"/>
      <c r="AJ420" s="48"/>
      <c r="AK420" s="48"/>
      <c r="AL420" s="48"/>
      <c r="AM420" s="48"/>
      <c r="AN420" s="48"/>
      <c r="AO420" s="48"/>
      <c r="AP420" s="48"/>
      <c r="AQ420" s="48"/>
      <c r="AR420" s="48"/>
      <c r="AS420" s="48"/>
      <c r="AT420" s="48"/>
      <c r="AU420" s="48"/>
      <c r="AV420" s="48"/>
      <c r="AW420" s="48"/>
      <c r="AX420" s="48"/>
      <c r="AY420" s="48"/>
      <c r="AZ420" s="48"/>
      <c r="BA420" s="48"/>
      <c r="BB420" s="48"/>
      <c r="BC420" s="48"/>
      <c r="BD420" s="48"/>
      <c r="BE420" s="48"/>
      <c r="BF420" s="48"/>
      <c r="BG420" s="48"/>
      <c r="BH420" s="48"/>
      <c r="BI420" s="48"/>
      <c r="BJ420" s="48"/>
      <c r="BK420" s="48"/>
      <c r="BL420" s="48"/>
      <c r="BM420" s="48"/>
      <c r="BN420" s="48"/>
      <c r="BO420" s="48"/>
      <c r="BP420" s="48"/>
      <c r="BQ420" s="48"/>
      <c r="BR420" s="48"/>
      <c r="BS420" s="48"/>
      <c r="BT420" s="48"/>
      <c r="BU420" s="48"/>
      <c r="BV420" s="48"/>
      <c r="BW420" s="48"/>
      <c r="BX420" s="111"/>
    </row>
    <row r="421" spans="1:76">
      <c r="A421" s="37"/>
      <c r="B421" s="37"/>
      <c r="C421" s="37" t="s">
        <v>1755</v>
      </c>
      <c r="D421" s="37"/>
      <c r="E421" s="37"/>
      <c r="F421" s="39"/>
      <c r="G421" s="59"/>
      <c r="H421" s="59"/>
      <c r="I421" s="59"/>
      <c r="J421" s="59"/>
      <c r="K421" s="59"/>
      <c r="L421" s="59"/>
      <c r="M421" s="59"/>
      <c r="N421" s="60"/>
      <c r="O421" s="36"/>
      <c r="P421" s="48"/>
      <c r="Q421" s="48"/>
      <c r="R421" s="48"/>
      <c r="S421" s="48"/>
      <c r="T421" s="48"/>
      <c r="U421" s="48"/>
      <c r="V421" s="48"/>
      <c r="W421" s="48"/>
      <c r="X421" s="48"/>
      <c r="Y421" s="48"/>
      <c r="Z421" s="48"/>
      <c r="AA421" s="48"/>
      <c r="AB421" s="48"/>
      <c r="AC421" s="48"/>
      <c r="AD421" s="48"/>
      <c r="AE421" s="48"/>
      <c r="AF421" s="48"/>
      <c r="AG421" s="48"/>
      <c r="AH421" s="48"/>
      <c r="AI421" s="48"/>
      <c r="AJ421" s="48"/>
      <c r="AK421" s="48"/>
      <c r="AL421" s="48"/>
      <c r="AM421" s="48"/>
      <c r="AN421" s="48"/>
      <c r="AO421" s="48"/>
      <c r="AP421" s="48"/>
      <c r="AQ421" s="48"/>
      <c r="AR421" s="48"/>
      <c r="AS421" s="48"/>
      <c r="AT421" s="48"/>
      <c r="AU421" s="48"/>
      <c r="AV421" s="48"/>
      <c r="AW421" s="48"/>
      <c r="AX421" s="48"/>
      <c r="AY421" s="48"/>
      <c r="AZ421" s="48"/>
      <c r="BA421" s="48"/>
      <c r="BB421" s="48"/>
      <c r="BC421" s="48"/>
      <c r="BD421" s="48"/>
      <c r="BE421" s="48"/>
      <c r="BF421" s="48"/>
      <c r="BG421" s="48"/>
      <c r="BH421" s="48"/>
      <c r="BI421" s="48"/>
      <c r="BJ421" s="48"/>
      <c r="BK421" s="48"/>
      <c r="BL421" s="48"/>
      <c r="BM421" s="48"/>
      <c r="BN421" s="48"/>
      <c r="BO421" s="48"/>
      <c r="BP421" s="48"/>
      <c r="BQ421" s="48"/>
      <c r="BR421" s="48"/>
      <c r="BS421" s="48"/>
      <c r="BT421" s="48"/>
      <c r="BU421" s="48"/>
      <c r="BV421" s="48"/>
      <c r="BW421" s="48"/>
      <c r="BX421" s="111"/>
    </row>
    <row r="422" spans="1:76">
      <c r="A422" s="37"/>
      <c r="B422" s="37"/>
      <c r="C422" s="37" t="s">
        <v>536</v>
      </c>
      <c r="D422" s="37"/>
      <c r="E422" s="37"/>
      <c r="F422" s="39"/>
      <c r="G422" s="64">
        <v>0</v>
      </c>
      <c r="H422" s="64"/>
      <c r="I422" s="64"/>
      <c r="J422" s="64"/>
      <c r="K422" s="63">
        <v>12</v>
      </c>
      <c r="L422" s="64">
        <f>15</f>
        <v>15</v>
      </c>
      <c r="M422" s="64">
        <f>19</f>
        <v>19</v>
      </c>
      <c r="N422" s="81">
        <f>18</f>
        <v>18</v>
      </c>
      <c r="O422" s="58"/>
      <c r="P422" s="48"/>
      <c r="Q422" s="48"/>
      <c r="R422" s="48"/>
      <c r="S422" s="48"/>
      <c r="T422" s="48"/>
      <c r="U422" s="48"/>
      <c r="V422" s="48"/>
      <c r="W422" s="48"/>
      <c r="X422" s="48"/>
      <c r="Y422" s="48"/>
      <c r="Z422" s="48"/>
      <c r="AA422" s="48"/>
      <c r="AB422" s="48"/>
      <c r="AC422" s="48"/>
      <c r="AD422" s="48"/>
      <c r="AE422" s="48"/>
      <c r="AF422" s="48"/>
      <c r="AG422" s="48"/>
      <c r="AH422" s="48"/>
      <c r="AI422" s="48"/>
      <c r="AJ422" s="48"/>
      <c r="AK422" s="48"/>
      <c r="AL422" s="48"/>
      <c r="AM422" s="48"/>
      <c r="AN422" s="48"/>
      <c r="AO422" s="48"/>
      <c r="AP422" s="48"/>
      <c r="AQ422" s="48"/>
      <c r="AR422" s="48"/>
      <c r="AS422" s="48"/>
      <c r="AT422" s="48"/>
      <c r="AU422" s="48"/>
      <c r="AV422" s="48"/>
      <c r="AW422" s="48"/>
      <c r="AX422" s="48"/>
      <c r="AY422" s="48"/>
      <c r="AZ422" s="48"/>
      <c r="BA422" s="48"/>
      <c r="BB422" s="48"/>
      <c r="BC422" s="48"/>
      <c r="BD422" s="48"/>
      <c r="BE422" s="48"/>
      <c r="BF422" s="48"/>
      <c r="BG422" s="48"/>
      <c r="BH422" s="48"/>
      <c r="BI422" s="48"/>
      <c r="BJ422" s="48"/>
      <c r="BK422" s="48"/>
      <c r="BL422" s="48"/>
      <c r="BM422" s="48"/>
      <c r="BN422" s="48"/>
      <c r="BO422" s="48"/>
      <c r="BP422" s="48"/>
      <c r="BQ422" s="48"/>
      <c r="BR422" s="48"/>
      <c r="BS422" s="48"/>
      <c r="BT422" s="48"/>
      <c r="BU422" s="48"/>
      <c r="BV422" s="48"/>
      <c r="BW422" s="48"/>
      <c r="BX422" s="111"/>
    </row>
    <row r="423" spans="1:76">
      <c r="A423" s="37"/>
      <c r="B423" s="37"/>
      <c r="C423" s="37"/>
      <c r="D423" s="37" t="s">
        <v>687</v>
      </c>
      <c r="E423" s="37"/>
      <c r="F423" s="39"/>
      <c r="G423" s="59"/>
      <c r="H423" s="59"/>
      <c r="I423" s="59"/>
      <c r="J423" s="59"/>
      <c r="K423" s="59"/>
      <c r="L423" s="59"/>
      <c r="M423" s="59"/>
      <c r="N423" s="60"/>
      <c r="O423" s="36"/>
      <c r="P423" s="48"/>
      <c r="Q423" s="48"/>
      <c r="R423" s="48"/>
      <c r="S423" s="48"/>
      <c r="T423" s="48"/>
      <c r="U423" s="48"/>
      <c r="V423" s="48"/>
      <c r="W423" s="48"/>
      <c r="X423" s="48"/>
      <c r="Y423" s="48"/>
      <c r="Z423" s="48"/>
      <c r="AA423" s="48"/>
      <c r="AB423" s="48"/>
      <c r="AC423" s="48"/>
      <c r="AD423" s="48"/>
      <c r="AE423" s="48"/>
      <c r="AF423" s="48"/>
      <c r="AG423" s="48"/>
      <c r="AH423" s="48"/>
      <c r="AI423" s="48"/>
      <c r="AJ423" s="48"/>
      <c r="AK423" s="48"/>
      <c r="AL423" s="48"/>
      <c r="AM423" s="48"/>
      <c r="AN423" s="48"/>
      <c r="AO423" s="48"/>
      <c r="AP423" s="48"/>
      <c r="AQ423" s="48"/>
      <c r="AR423" s="48"/>
      <c r="AS423" s="48"/>
      <c r="AT423" s="48"/>
      <c r="AU423" s="48"/>
      <c r="AV423" s="48"/>
      <c r="AW423" s="48"/>
      <c r="AX423" s="48"/>
      <c r="AY423" s="48"/>
      <c r="AZ423" s="48"/>
      <c r="BA423" s="48"/>
      <c r="BB423" s="48"/>
      <c r="BC423" s="48"/>
      <c r="BD423" s="48"/>
      <c r="BE423" s="48"/>
      <c r="BF423" s="48"/>
      <c r="BG423" s="48"/>
      <c r="BH423" s="48"/>
      <c r="BI423" s="48"/>
      <c r="BJ423" s="48"/>
      <c r="BK423" s="48"/>
      <c r="BL423" s="48"/>
      <c r="BM423" s="48"/>
      <c r="BN423" s="48"/>
      <c r="BO423" s="48"/>
      <c r="BP423" s="48"/>
      <c r="BQ423" s="48"/>
      <c r="BR423" s="48"/>
      <c r="BS423" s="48"/>
      <c r="BT423" s="48"/>
      <c r="BU423" s="48"/>
      <c r="BV423" s="48"/>
      <c r="BW423" s="48"/>
      <c r="BX423" s="111"/>
    </row>
    <row r="424" spans="1:76">
      <c r="A424" s="37"/>
      <c r="B424" s="37"/>
      <c r="C424" s="37"/>
      <c r="D424" s="37" t="s">
        <v>2110</v>
      </c>
      <c r="E424" s="37"/>
      <c r="F424" s="39"/>
      <c r="G424" s="59"/>
      <c r="H424" s="59"/>
      <c r="I424" s="59"/>
      <c r="J424" s="59"/>
      <c r="K424" s="59"/>
      <c r="L424" s="59"/>
      <c r="M424" s="59"/>
      <c r="N424" s="60"/>
      <c r="O424" s="36"/>
      <c r="P424" s="48"/>
      <c r="Q424" s="48"/>
      <c r="R424" s="48"/>
      <c r="S424" s="48"/>
      <c r="T424" s="48"/>
      <c r="U424" s="48"/>
      <c r="V424" s="48"/>
      <c r="W424" s="48"/>
      <c r="X424" s="48"/>
      <c r="Y424" s="48"/>
      <c r="Z424" s="48"/>
      <c r="AA424" s="48"/>
      <c r="AB424" s="48"/>
      <c r="AC424" s="48"/>
      <c r="AD424" s="48"/>
      <c r="AE424" s="48"/>
      <c r="AF424" s="48"/>
      <c r="AG424" s="48"/>
      <c r="AH424" s="48"/>
      <c r="AI424" s="48"/>
      <c r="AJ424" s="48"/>
      <c r="AK424" s="48"/>
      <c r="AL424" s="48"/>
      <c r="AM424" s="48"/>
      <c r="AN424" s="48"/>
      <c r="AO424" s="48"/>
      <c r="AP424" s="48"/>
      <c r="AQ424" s="48"/>
      <c r="AR424" s="48"/>
      <c r="AS424" s="48"/>
      <c r="AT424" s="48"/>
      <c r="AU424" s="48"/>
      <c r="AV424" s="48"/>
      <c r="AW424" s="48"/>
      <c r="AX424" s="48"/>
      <c r="AY424" s="48"/>
      <c r="AZ424" s="48"/>
      <c r="BA424" s="48"/>
      <c r="BB424" s="48"/>
      <c r="BC424" s="48"/>
      <c r="BD424" s="48"/>
      <c r="BE424" s="48"/>
      <c r="BF424" s="48"/>
      <c r="BG424" s="48"/>
      <c r="BH424" s="48"/>
      <c r="BI424" s="48"/>
      <c r="BJ424" s="48"/>
      <c r="BK424" s="48"/>
      <c r="BL424" s="48"/>
      <c r="BM424" s="48"/>
      <c r="BN424" s="48"/>
      <c r="BO424" s="48"/>
      <c r="BP424" s="48"/>
      <c r="BQ424" s="48"/>
      <c r="BR424" s="48"/>
      <c r="BS424" s="48"/>
      <c r="BT424" s="48"/>
      <c r="BU424" s="48"/>
      <c r="BV424" s="48"/>
      <c r="BW424" s="48"/>
      <c r="BX424" s="111"/>
    </row>
    <row r="425" spans="1:76">
      <c r="A425" s="37"/>
      <c r="B425" s="37"/>
      <c r="C425" s="37" t="s">
        <v>1666</v>
      </c>
      <c r="D425" s="37"/>
      <c r="E425" s="37"/>
      <c r="F425" s="39"/>
      <c r="G425" s="59"/>
      <c r="H425" s="59"/>
      <c r="I425" s="59"/>
      <c r="J425" s="59"/>
      <c r="K425" s="59"/>
      <c r="L425" s="59"/>
      <c r="M425" s="59"/>
      <c r="N425" s="60"/>
      <c r="O425" s="36"/>
      <c r="P425" s="48"/>
      <c r="Q425" s="48"/>
      <c r="R425" s="48"/>
      <c r="S425" s="48"/>
      <c r="T425" s="48"/>
      <c r="U425" s="48"/>
      <c r="V425" s="48"/>
      <c r="W425" s="48"/>
      <c r="X425" s="48"/>
      <c r="Y425" s="48"/>
      <c r="Z425" s="48"/>
      <c r="AA425" s="48"/>
      <c r="AB425" s="48"/>
      <c r="AC425" s="48"/>
      <c r="AD425" s="48"/>
      <c r="AE425" s="48"/>
      <c r="AF425" s="48"/>
      <c r="AG425" s="48"/>
      <c r="AH425" s="48"/>
      <c r="AI425" s="48"/>
      <c r="AJ425" s="48"/>
      <c r="AK425" s="48"/>
      <c r="AL425" s="48"/>
      <c r="AM425" s="48"/>
      <c r="AN425" s="48"/>
      <c r="AO425" s="48"/>
      <c r="AP425" s="48"/>
      <c r="AQ425" s="48"/>
      <c r="AR425" s="48"/>
      <c r="AS425" s="48"/>
      <c r="AT425" s="48"/>
      <c r="AU425" s="48"/>
      <c r="AV425" s="48"/>
      <c r="AW425" s="48"/>
      <c r="AX425" s="48"/>
      <c r="AY425" s="48"/>
      <c r="AZ425" s="48"/>
      <c r="BA425" s="48"/>
      <c r="BB425" s="48"/>
      <c r="BC425" s="48"/>
      <c r="BD425" s="48"/>
      <c r="BE425" s="48"/>
      <c r="BF425" s="48"/>
      <c r="BG425" s="48"/>
      <c r="BH425" s="48"/>
      <c r="BI425" s="48"/>
      <c r="BJ425" s="48"/>
      <c r="BK425" s="48"/>
      <c r="BL425" s="48"/>
      <c r="BM425" s="48"/>
      <c r="BN425" s="48"/>
      <c r="BO425" s="48"/>
      <c r="BP425" s="48"/>
      <c r="BQ425" s="48"/>
      <c r="BR425" s="48"/>
      <c r="BS425" s="48"/>
      <c r="BT425" s="48"/>
      <c r="BU425" s="48"/>
      <c r="BV425" s="48"/>
      <c r="BW425" s="48"/>
      <c r="BX425" s="111"/>
    </row>
    <row r="426" spans="1:76">
      <c r="A426" s="37"/>
      <c r="B426" s="37"/>
      <c r="C426" s="37" t="s">
        <v>200</v>
      </c>
      <c r="D426" s="37"/>
      <c r="E426" s="37"/>
      <c r="F426" s="39"/>
      <c r="G426" s="59">
        <v>0</v>
      </c>
      <c r="H426" s="59">
        <v>85</v>
      </c>
      <c r="I426" s="59">
        <f>7+936</f>
        <v>943</v>
      </c>
      <c r="J426" s="59">
        <v>0</v>
      </c>
      <c r="K426" s="59">
        <v>34</v>
      </c>
      <c r="L426" s="59">
        <v>-3</v>
      </c>
      <c r="M426" s="59">
        <v>-9</v>
      </c>
      <c r="N426" s="60">
        <v>-37</v>
      </c>
      <c r="O426" s="36"/>
      <c r="P426" s="48"/>
      <c r="Q426" s="48"/>
      <c r="R426" s="48"/>
      <c r="S426" s="48"/>
      <c r="T426" s="48"/>
      <c r="U426" s="48"/>
      <c r="V426" s="48"/>
      <c r="W426" s="48"/>
      <c r="X426" s="48"/>
      <c r="Y426" s="48"/>
      <c r="Z426" s="48"/>
      <c r="AA426" s="48"/>
      <c r="AB426" s="48"/>
      <c r="AC426" s="48"/>
      <c r="AD426" s="48"/>
      <c r="AE426" s="48"/>
      <c r="AF426" s="48"/>
      <c r="AG426" s="48"/>
      <c r="AH426" s="48"/>
      <c r="AI426" s="48"/>
      <c r="AJ426" s="48"/>
      <c r="AK426" s="48"/>
      <c r="AL426" s="48"/>
      <c r="AM426" s="48"/>
      <c r="AN426" s="48"/>
      <c r="AO426" s="48"/>
      <c r="AP426" s="48"/>
      <c r="AQ426" s="48"/>
      <c r="AR426" s="48"/>
      <c r="AS426" s="48"/>
      <c r="AT426" s="48"/>
      <c r="AU426" s="48"/>
      <c r="AV426" s="48"/>
      <c r="AW426" s="48"/>
      <c r="AX426" s="48"/>
      <c r="AY426" s="48"/>
      <c r="AZ426" s="48"/>
      <c r="BA426" s="48"/>
      <c r="BB426" s="48"/>
      <c r="BC426" s="48"/>
      <c r="BD426" s="48"/>
      <c r="BE426" s="48"/>
      <c r="BF426" s="48"/>
      <c r="BG426" s="48"/>
      <c r="BH426" s="48"/>
      <c r="BI426" s="48"/>
      <c r="BJ426" s="48"/>
      <c r="BK426" s="48"/>
      <c r="BL426" s="48"/>
      <c r="BM426" s="48"/>
      <c r="BN426" s="48"/>
      <c r="BO426" s="48"/>
      <c r="BP426" s="48"/>
      <c r="BQ426" s="48"/>
      <c r="BR426" s="48"/>
      <c r="BS426" s="48"/>
      <c r="BT426" s="48"/>
      <c r="BU426" s="48"/>
      <c r="BV426" s="48"/>
      <c r="BW426" s="48"/>
      <c r="BX426" s="111"/>
    </row>
    <row r="427" spans="1:76">
      <c r="A427" s="37"/>
      <c r="B427" s="37"/>
      <c r="C427" s="37" t="s">
        <v>847</v>
      </c>
      <c r="D427" s="37"/>
      <c r="E427" s="37"/>
      <c r="F427" s="39"/>
      <c r="G427" s="59"/>
      <c r="H427" s="59"/>
      <c r="I427" s="59"/>
      <c r="J427" s="59"/>
      <c r="K427" s="59"/>
      <c r="L427" s="59"/>
      <c r="M427" s="59"/>
      <c r="N427" s="60"/>
      <c r="O427" s="36"/>
      <c r="P427" s="48"/>
      <c r="Q427" s="48"/>
      <c r="R427" s="48"/>
      <c r="S427" s="48"/>
      <c r="T427" s="48"/>
      <c r="U427" s="48"/>
      <c r="V427" s="48"/>
      <c r="W427" s="48"/>
      <c r="X427" s="48"/>
      <c r="Y427" s="48"/>
      <c r="Z427" s="48"/>
      <c r="AA427" s="48"/>
      <c r="AB427" s="48"/>
      <c r="AC427" s="48"/>
      <c r="AD427" s="48"/>
      <c r="AE427" s="48"/>
      <c r="AF427" s="48"/>
      <c r="AG427" s="48"/>
      <c r="AH427" s="48"/>
      <c r="AI427" s="48"/>
      <c r="AJ427" s="48"/>
      <c r="AK427" s="48"/>
      <c r="AL427" s="48"/>
      <c r="AM427" s="48"/>
      <c r="AN427" s="48"/>
      <c r="AO427" s="48"/>
      <c r="AP427" s="48"/>
      <c r="AQ427" s="48"/>
      <c r="AR427" s="48"/>
      <c r="AS427" s="48"/>
      <c r="AT427" s="48"/>
      <c r="AU427" s="48"/>
      <c r="AV427" s="48"/>
      <c r="AW427" s="48"/>
      <c r="AX427" s="48"/>
      <c r="AY427" s="48"/>
      <c r="AZ427" s="48"/>
      <c r="BA427" s="48"/>
      <c r="BB427" s="48"/>
      <c r="BC427" s="48"/>
      <c r="BD427" s="48"/>
      <c r="BE427" s="48"/>
      <c r="BF427" s="48"/>
      <c r="BG427" s="48"/>
      <c r="BH427" s="48"/>
      <c r="BI427" s="48"/>
      <c r="BJ427" s="48"/>
      <c r="BK427" s="48"/>
      <c r="BL427" s="48"/>
      <c r="BM427" s="48"/>
      <c r="BN427" s="48"/>
      <c r="BO427" s="48"/>
      <c r="BP427" s="48"/>
      <c r="BQ427" s="48"/>
      <c r="BR427" s="48"/>
      <c r="BS427" s="48"/>
      <c r="BT427" s="48"/>
      <c r="BU427" s="48"/>
      <c r="BV427" s="48"/>
      <c r="BW427" s="48"/>
      <c r="BX427" s="111"/>
    </row>
    <row r="428" spans="1:76">
      <c r="A428" s="37"/>
      <c r="B428" s="37"/>
      <c r="C428" s="37" t="s">
        <v>398</v>
      </c>
      <c r="D428" s="37"/>
      <c r="E428" s="37"/>
      <c r="F428" s="39"/>
      <c r="G428" s="59"/>
      <c r="H428" s="59"/>
      <c r="I428" s="59"/>
      <c r="J428" s="59"/>
      <c r="K428" s="59"/>
      <c r="L428" s="59"/>
      <c r="M428" s="59"/>
      <c r="N428" s="60"/>
      <c r="O428" s="36"/>
      <c r="P428" s="48"/>
      <c r="Q428" s="48"/>
      <c r="R428" s="48"/>
      <c r="S428" s="48"/>
      <c r="T428" s="48"/>
      <c r="U428" s="48"/>
      <c r="V428" s="48"/>
      <c r="W428" s="48"/>
      <c r="X428" s="48"/>
      <c r="Y428" s="48"/>
      <c r="Z428" s="48"/>
      <c r="AA428" s="48"/>
      <c r="AB428" s="48"/>
      <c r="AC428" s="48"/>
      <c r="AD428" s="48"/>
      <c r="AE428" s="48"/>
      <c r="AF428" s="48"/>
      <c r="AG428" s="48"/>
      <c r="AH428" s="48"/>
      <c r="AI428" s="48"/>
      <c r="AJ428" s="48"/>
      <c r="AK428" s="48"/>
      <c r="AL428" s="48"/>
      <c r="AM428" s="48"/>
      <c r="AN428" s="48"/>
      <c r="AO428" s="48"/>
      <c r="AP428" s="48"/>
      <c r="AQ428" s="48"/>
      <c r="AR428" s="48"/>
      <c r="AS428" s="48"/>
      <c r="AT428" s="48"/>
      <c r="AU428" s="48"/>
      <c r="AV428" s="48"/>
      <c r="AW428" s="48"/>
      <c r="AX428" s="48"/>
      <c r="AY428" s="48"/>
      <c r="AZ428" s="48"/>
      <c r="BA428" s="48"/>
      <c r="BB428" s="48"/>
      <c r="BC428" s="48"/>
      <c r="BD428" s="48"/>
      <c r="BE428" s="48"/>
      <c r="BF428" s="48"/>
      <c r="BG428" s="48"/>
      <c r="BH428" s="48"/>
      <c r="BI428" s="48"/>
      <c r="BJ428" s="48"/>
      <c r="BK428" s="48"/>
      <c r="BL428" s="48"/>
      <c r="BM428" s="48"/>
      <c r="BN428" s="48"/>
      <c r="BO428" s="48"/>
      <c r="BP428" s="48"/>
      <c r="BQ428" s="48"/>
      <c r="BR428" s="48"/>
      <c r="BS428" s="48"/>
      <c r="BT428" s="48"/>
      <c r="BU428" s="48"/>
      <c r="BV428" s="48"/>
      <c r="BW428" s="48"/>
      <c r="BX428" s="111"/>
    </row>
    <row r="429" spans="1:76">
      <c r="A429" s="37"/>
      <c r="B429" s="37"/>
      <c r="C429" s="37" t="s">
        <v>1268</v>
      </c>
      <c r="D429" s="37"/>
      <c r="E429" s="37"/>
      <c r="F429" s="39"/>
      <c r="G429" s="59"/>
      <c r="H429" s="59"/>
      <c r="I429" s="59"/>
      <c r="J429" s="59"/>
      <c r="K429" s="59"/>
      <c r="L429" s="59"/>
      <c r="M429" s="59"/>
      <c r="N429" s="60"/>
      <c r="O429" s="36"/>
      <c r="P429" s="48"/>
      <c r="Q429" s="48"/>
      <c r="R429" s="48"/>
      <c r="S429" s="48"/>
      <c r="T429" s="48"/>
      <c r="U429" s="48"/>
      <c r="V429" s="48"/>
      <c r="W429" s="48"/>
      <c r="X429" s="48"/>
      <c r="Y429" s="48"/>
      <c r="Z429" s="48"/>
      <c r="AA429" s="48"/>
      <c r="AB429" s="48"/>
      <c r="AC429" s="48"/>
      <c r="AD429" s="48"/>
      <c r="AE429" s="48"/>
      <c r="AF429" s="48"/>
      <c r="AG429" s="48"/>
      <c r="AH429" s="48"/>
      <c r="AI429" s="48"/>
      <c r="AJ429" s="48"/>
      <c r="AK429" s="48"/>
      <c r="AL429" s="48"/>
      <c r="AM429" s="48"/>
      <c r="AN429" s="48"/>
      <c r="AO429" s="48"/>
      <c r="AP429" s="48"/>
      <c r="AQ429" s="48"/>
      <c r="AR429" s="48"/>
      <c r="AS429" s="48"/>
      <c r="AT429" s="48"/>
      <c r="AU429" s="48"/>
      <c r="AV429" s="48"/>
      <c r="AW429" s="48"/>
      <c r="AX429" s="48"/>
      <c r="AY429" s="48"/>
      <c r="AZ429" s="48"/>
      <c r="BA429" s="48"/>
      <c r="BB429" s="48"/>
      <c r="BC429" s="48"/>
      <c r="BD429" s="48"/>
      <c r="BE429" s="48"/>
      <c r="BF429" s="48"/>
      <c r="BG429" s="48"/>
      <c r="BH429" s="48"/>
      <c r="BI429" s="48"/>
      <c r="BJ429" s="48"/>
      <c r="BK429" s="48"/>
      <c r="BL429" s="48"/>
      <c r="BM429" s="48"/>
      <c r="BN429" s="48"/>
      <c r="BO429" s="48"/>
      <c r="BP429" s="48"/>
      <c r="BQ429" s="48"/>
      <c r="BR429" s="48"/>
      <c r="BS429" s="48"/>
      <c r="BT429" s="48"/>
      <c r="BU429" s="48"/>
      <c r="BV429" s="48"/>
      <c r="BW429" s="48"/>
      <c r="BX429" s="111"/>
    </row>
    <row r="430" spans="1:76">
      <c r="A430" s="37"/>
      <c r="B430" s="37"/>
      <c r="C430" s="37" t="s">
        <v>172</v>
      </c>
      <c r="D430" s="37"/>
      <c r="E430" s="37"/>
      <c r="F430" s="39"/>
      <c r="G430" s="59"/>
      <c r="H430" s="59"/>
      <c r="I430" s="59"/>
      <c r="J430" s="59"/>
      <c r="K430" s="59"/>
      <c r="L430" s="59"/>
      <c r="M430" s="59"/>
      <c r="N430" s="60"/>
      <c r="O430" s="36"/>
      <c r="P430" s="48"/>
      <c r="Q430" s="48"/>
      <c r="R430" s="48"/>
      <c r="S430" s="48"/>
      <c r="T430" s="48"/>
      <c r="U430" s="48"/>
      <c r="V430" s="48"/>
      <c r="W430" s="48"/>
      <c r="X430" s="48"/>
      <c r="Y430" s="48"/>
      <c r="Z430" s="48"/>
      <c r="AA430" s="48"/>
      <c r="AB430" s="48"/>
      <c r="AC430" s="48"/>
      <c r="AD430" s="48"/>
      <c r="AE430" s="48"/>
      <c r="AF430" s="48"/>
      <c r="AG430" s="48"/>
      <c r="AH430" s="48"/>
      <c r="AI430" s="48"/>
      <c r="AJ430" s="48"/>
      <c r="AK430" s="48"/>
      <c r="AL430" s="48"/>
      <c r="AM430" s="48"/>
      <c r="AN430" s="48"/>
      <c r="AO430" s="48"/>
      <c r="AP430" s="48"/>
      <c r="AQ430" s="48"/>
      <c r="AR430" s="48"/>
      <c r="AS430" s="48"/>
      <c r="AT430" s="48"/>
      <c r="AU430" s="48"/>
      <c r="AV430" s="48"/>
      <c r="AW430" s="48"/>
      <c r="AX430" s="48"/>
      <c r="AY430" s="48"/>
      <c r="AZ430" s="48"/>
      <c r="BA430" s="48"/>
      <c r="BB430" s="48"/>
      <c r="BC430" s="48"/>
      <c r="BD430" s="48"/>
      <c r="BE430" s="48"/>
      <c r="BF430" s="48"/>
      <c r="BG430" s="48"/>
      <c r="BH430" s="48"/>
      <c r="BI430" s="48"/>
      <c r="BJ430" s="48"/>
      <c r="BK430" s="48"/>
      <c r="BL430" s="48"/>
      <c r="BM430" s="48"/>
      <c r="BN430" s="48"/>
      <c r="BO430" s="48"/>
      <c r="BP430" s="48"/>
      <c r="BQ430" s="48"/>
      <c r="BR430" s="48"/>
      <c r="BS430" s="48"/>
      <c r="BT430" s="48"/>
      <c r="BU430" s="48"/>
      <c r="BV430" s="48"/>
      <c r="BW430" s="48"/>
      <c r="BX430" s="111"/>
    </row>
    <row r="431" spans="1:76">
      <c r="A431" s="82"/>
      <c r="B431" s="82"/>
      <c r="C431" s="82" t="s">
        <v>1631</v>
      </c>
      <c r="D431" s="37"/>
      <c r="E431" s="37"/>
      <c r="F431" s="39"/>
      <c r="G431" s="59">
        <v>65</v>
      </c>
      <c r="H431" s="59">
        <v>13</v>
      </c>
      <c r="I431" s="59">
        <v>9</v>
      </c>
      <c r="J431" s="59">
        <v>19</v>
      </c>
      <c r="K431" s="59">
        <v>20</v>
      </c>
      <c r="L431" s="59">
        <v>27</v>
      </c>
      <c r="M431" s="59">
        <v>34</v>
      </c>
      <c r="N431" s="60">
        <v>25</v>
      </c>
      <c r="O431" s="36"/>
      <c r="P431" s="48"/>
      <c r="Q431" s="48"/>
      <c r="R431" s="48"/>
      <c r="S431" s="48"/>
      <c r="T431" s="48"/>
      <c r="U431" s="48"/>
      <c r="V431" s="48"/>
      <c r="W431" s="48"/>
      <c r="X431" s="48"/>
      <c r="Y431" s="48"/>
      <c r="Z431" s="48"/>
      <c r="AA431" s="48"/>
      <c r="AB431" s="48"/>
      <c r="AC431" s="48"/>
      <c r="AD431" s="48"/>
      <c r="AE431" s="48"/>
      <c r="AF431" s="48"/>
      <c r="AG431" s="48"/>
      <c r="AH431" s="48"/>
      <c r="AI431" s="48"/>
      <c r="AJ431" s="48"/>
      <c r="AK431" s="48"/>
      <c r="AL431" s="48"/>
      <c r="AM431" s="48"/>
      <c r="AN431" s="48"/>
      <c r="AO431" s="48"/>
      <c r="AP431" s="48"/>
      <c r="AQ431" s="48"/>
      <c r="AR431" s="48"/>
      <c r="AS431" s="48"/>
      <c r="AT431" s="48"/>
      <c r="AU431" s="48"/>
      <c r="AV431" s="48"/>
      <c r="AW431" s="48"/>
      <c r="AX431" s="48"/>
      <c r="AY431" s="48"/>
      <c r="AZ431" s="48"/>
      <c r="BA431" s="48"/>
      <c r="BB431" s="48"/>
      <c r="BC431" s="48"/>
      <c r="BD431" s="48"/>
      <c r="BE431" s="48"/>
      <c r="BF431" s="48"/>
      <c r="BG431" s="48"/>
      <c r="BH431" s="48"/>
      <c r="BI431" s="48"/>
      <c r="BJ431" s="48"/>
      <c r="BK431" s="48"/>
      <c r="BL431" s="48"/>
      <c r="BM431" s="48"/>
      <c r="BN431" s="48"/>
      <c r="BO431" s="48"/>
      <c r="BP431" s="48"/>
      <c r="BQ431" s="48"/>
      <c r="BR431" s="48"/>
      <c r="BS431" s="48"/>
      <c r="BT431" s="48"/>
      <c r="BU431" s="48"/>
      <c r="BV431" s="48"/>
      <c r="BW431" s="48"/>
      <c r="BX431" s="111"/>
    </row>
    <row r="432" spans="1:76">
      <c r="A432" s="82"/>
      <c r="B432" s="82"/>
      <c r="C432" s="82" t="s">
        <v>1340</v>
      </c>
      <c r="D432" s="37"/>
      <c r="E432" s="37"/>
      <c r="F432" s="39"/>
      <c r="G432" s="59"/>
      <c r="H432" s="59"/>
      <c r="I432" s="59"/>
      <c r="J432" s="59"/>
      <c r="K432" s="59"/>
      <c r="L432" s="59"/>
      <c r="M432" s="59"/>
      <c r="N432" s="60"/>
      <c r="O432" s="58"/>
      <c r="P432" s="48"/>
      <c r="Q432" s="48"/>
      <c r="R432" s="48"/>
      <c r="S432" s="48"/>
      <c r="T432" s="48"/>
      <c r="U432" s="48"/>
      <c r="V432" s="48"/>
      <c r="W432" s="48"/>
      <c r="X432" s="48"/>
      <c r="Y432" s="48"/>
      <c r="Z432" s="48"/>
      <c r="AA432" s="48"/>
      <c r="AB432" s="48"/>
      <c r="AC432" s="48"/>
      <c r="AD432" s="48"/>
      <c r="AE432" s="48"/>
      <c r="AF432" s="48"/>
      <c r="AG432" s="48"/>
      <c r="AH432" s="48"/>
      <c r="AI432" s="48"/>
      <c r="AJ432" s="48"/>
      <c r="AK432" s="48"/>
      <c r="AL432" s="48"/>
      <c r="AM432" s="48"/>
      <c r="AN432" s="48"/>
      <c r="AO432" s="48"/>
      <c r="AP432" s="48"/>
      <c r="AQ432" s="48"/>
      <c r="AR432" s="48"/>
      <c r="AS432" s="48"/>
      <c r="AT432" s="48"/>
      <c r="AU432" s="48"/>
      <c r="AV432" s="48"/>
      <c r="AW432" s="48"/>
      <c r="AX432" s="48"/>
      <c r="AY432" s="48"/>
      <c r="AZ432" s="48"/>
      <c r="BA432" s="48"/>
      <c r="BB432" s="48"/>
      <c r="BC432" s="48"/>
      <c r="BD432" s="48"/>
      <c r="BE432" s="48"/>
      <c r="BF432" s="48"/>
      <c r="BG432" s="48"/>
      <c r="BH432" s="48"/>
      <c r="BI432" s="48"/>
      <c r="BJ432" s="48"/>
      <c r="BK432" s="48"/>
      <c r="BL432" s="48"/>
      <c r="BM432" s="48"/>
      <c r="BN432" s="48"/>
      <c r="BO432" s="48"/>
      <c r="BP432" s="48"/>
      <c r="BQ432" s="48"/>
      <c r="BR432" s="48"/>
      <c r="BS432" s="48"/>
      <c r="BT432" s="48"/>
      <c r="BU432" s="48"/>
      <c r="BV432" s="48"/>
      <c r="BW432" s="48"/>
      <c r="BX432" s="111"/>
    </row>
    <row r="433" spans="1:76">
      <c r="A433" s="37"/>
      <c r="B433" s="37"/>
      <c r="C433" s="37" t="s">
        <v>146</v>
      </c>
      <c r="D433" s="37"/>
      <c r="E433" s="37"/>
      <c r="F433" s="39"/>
      <c r="G433" s="59"/>
      <c r="H433" s="59"/>
      <c r="I433" s="59"/>
      <c r="J433" s="59"/>
      <c r="K433" s="59"/>
      <c r="L433" s="59"/>
      <c r="M433" s="59"/>
      <c r="N433" s="60"/>
      <c r="O433" s="36"/>
      <c r="P433" s="48"/>
      <c r="Q433" s="48"/>
      <c r="R433" s="48"/>
      <c r="S433" s="48"/>
      <c r="T433" s="48"/>
      <c r="U433" s="48"/>
      <c r="V433" s="48"/>
      <c r="W433" s="48"/>
      <c r="X433" s="48"/>
      <c r="Y433" s="48"/>
      <c r="Z433" s="48"/>
      <c r="AA433" s="48"/>
      <c r="AB433" s="48"/>
      <c r="AC433" s="48"/>
      <c r="AD433" s="48"/>
      <c r="AE433" s="48"/>
      <c r="AF433" s="48"/>
      <c r="AG433" s="48"/>
      <c r="AH433" s="48"/>
      <c r="AI433" s="48"/>
      <c r="AJ433" s="48"/>
      <c r="AK433" s="48"/>
      <c r="AL433" s="48"/>
      <c r="AM433" s="48"/>
      <c r="AN433" s="48"/>
      <c r="AO433" s="48"/>
      <c r="AP433" s="48"/>
      <c r="AQ433" s="48"/>
      <c r="AR433" s="48"/>
      <c r="AS433" s="48"/>
      <c r="AT433" s="48"/>
      <c r="AU433" s="48"/>
      <c r="AV433" s="48"/>
      <c r="AW433" s="48"/>
      <c r="AX433" s="48"/>
      <c r="AY433" s="48"/>
      <c r="AZ433" s="48"/>
      <c r="BA433" s="48"/>
      <c r="BB433" s="48"/>
      <c r="BC433" s="48"/>
      <c r="BD433" s="48"/>
      <c r="BE433" s="48"/>
      <c r="BF433" s="48"/>
      <c r="BG433" s="48"/>
      <c r="BH433" s="48"/>
      <c r="BI433" s="48"/>
      <c r="BJ433" s="48"/>
      <c r="BK433" s="48"/>
      <c r="BL433" s="48"/>
      <c r="BM433" s="48"/>
      <c r="BN433" s="48"/>
      <c r="BO433" s="48"/>
      <c r="BP433" s="48"/>
      <c r="BQ433" s="48"/>
      <c r="BR433" s="48"/>
      <c r="BS433" s="48"/>
      <c r="BT433" s="48"/>
      <c r="BU433" s="48"/>
      <c r="BV433" s="48"/>
      <c r="BW433" s="48"/>
      <c r="BX433" s="111"/>
    </row>
    <row r="434" spans="1:76">
      <c r="A434" s="37"/>
      <c r="B434" s="37"/>
      <c r="C434" s="37" t="s">
        <v>1605</v>
      </c>
      <c r="D434" s="37"/>
      <c r="E434" s="37"/>
      <c r="F434" s="39"/>
      <c r="G434" s="59"/>
      <c r="H434" s="59"/>
      <c r="I434" s="59"/>
      <c r="J434" s="59"/>
      <c r="K434" s="59"/>
      <c r="L434" s="59"/>
      <c r="M434" s="59"/>
      <c r="N434" s="60"/>
      <c r="O434" s="36"/>
      <c r="P434" s="48"/>
      <c r="Q434" s="48"/>
      <c r="R434" s="48"/>
      <c r="S434" s="48"/>
      <c r="T434" s="48"/>
      <c r="U434" s="48"/>
      <c r="V434" s="48"/>
      <c r="W434" s="48"/>
      <c r="X434" s="48"/>
      <c r="Y434" s="48"/>
      <c r="Z434" s="48"/>
      <c r="AA434" s="48"/>
      <c r="AB434" s="48"/>
      <c r="AC434" s="48"/>
      <c r="AD434" s="48"/>
      <c r="AE434" s="48"/>
      <c r="AF434" s="48"/>
      <c r="AG434" s="48"/>
      <c r="AH434" s="48"/>
      <c r="AI434" s="48"/>
      <c r="AJ434" s="48"/>
      <c r="AK434" s="48"/>
      <c r="AL434" s="48"/>
      <c r="AM434" s="48"/>
      <c r="AN434" s="48"/>
      <c r="AO434" s="48"/>
      <c r="AP434" s="48"/>
      <c r="AQ434" s="48"/>
      <c r="AR434" s="48"/>
      <c r="AS434" s="48"/>
      <c r="AT434" s="48"/>
      <c r="AU434" s="48"/>
      <c r="AV434" s="48"/>
      <c r="AW434" s="48"/>
      <c r="AX434" s="48"/>
      <c r="AY434" s="48"/>
      <c r="AZ434" s="48"/>
      <c r="BA434" s="48"/>
      <c r="BB434" s="48"/>
      <c r="BC434" s="48"/>
      <c r="BD434" s="48"/>
      <c r="BE434" s="48"/>
      <c r="BF434" s="48"/>
      <c r="BG434" s="48"/>
      <c r="BH434" s="48"/>
      <c r="BI434" s="48"/>
      <c r="BJ434" s="48"/>
      <c r="BK434" s="48"/>
      <c r="BL434" s="48"/>
      <c r="BM434" s="48"/>
      <c r="BN434" s="48"/>
      <c r="BO434" s="48"/>
      <c r="BP434" s="48"/>
      <c r="BQ434" s="48"/>
      <c r="BR434" s="48"/>
      <c r="BS434" s="48"/>
      <c r="BT434" s="48"/>
      <c r="BU434" s="48"/>
      <c r="BV434" s="48"/>
      <c r="BW434" s="48"/>
      <c r="BX434" s="111"/>
    </row>
    <row r="435" spans="1:76">
      <c r="A435" s="37"/>
      <c r="B435" s="37"/>
      <c r="C435" s="37" t="s">
        <v>201</v>
      </c>
      <c r="D435" s="37"/>
      <c r="E435" s="37"/>
      <c r="F435" s="39"/>
      <c r="G435" s="59"/>
      <c r="H435" s="59"/>
      <c r="I435" s="59"/>
      <c r="J435" s="59"/>
      <c r="K435" s="59"/>
      <c r="L435" s="59"/>
      <c r="M435" s="59"/>
      <c r="N435" s="60"/>
      <c r="O435" s="36"/>
      <c r="P435" s="48"/>
      <c r="Q435" s="48"/>
      <c r="R435" s="48"/>
      <c r="S435" s="48"/>
      <c r="T435" s="48"/>
      <c r="U435" s="48"/>
      <c r="V435" s="48"/>
      <c r="W435" s="48"/>
      <c r="X435" s="48"/>
      <c r="Y435" s="48"/>
      <c r="Z435" s="48"/>
      <c r="AA435" s="48"/>
      <c r="AB435" s="48"/>
      <c r="AC435" s="48"/>
      <c r="AD435" s="48"/>
      <c r="AE435" s="48"/>
      <c r="AF435" s="48"/>
      <c r="AG435" s="48"/>
      <c r="AH435" s="48"/>
      <c r="AI435" s="48"/>
      <c r="AJ435" s="48"/>
      <c r="AK435" s="48"/>
      <c r="AL435" s="48"/>
      <c r="AM435" s="48"/>
      <c r="AN435" s="48"/>
      <c r="AO435" s="48"/>
      <c r="AP435" s="48"/>
      <c r="AQ435" s="48"/>
      <c r="AR435" s="48"/>
      <c r="AS435" s="48"/>
      <c r="AT435" s="48"/>
      <c r="AU435" s="48"/>
      <c r="AV435" s="48"/>
      <c r="AW435" s="48"/>
      <c r="AX435" s="48"/>
      <c r="AY435" s="48"/>
      <c r="AZ435" s="48"/>
      <c r="BA435" s="48"/>
      <c r="BB435" s="48"/>
      <c r="BC435" s="48"/>
      <c r="BD435" s="48"/>
      <c r="BE435" s="48"/>
      <c r="BF435" s="48"/>
      <c r="BG435" s="48"/>
      <c r="BH435" s="48"/>
      <c r="BI435" s="48"/>
      <c r="BJ435" s="48"/>
      <c r="BK435" s="48"/>
      <c r="BL435" s="48"/>
      <c r="BM435" s="48"/>
      <c r="BN435" s="48"/>
      <c r="BO435" s="48"/>
      <c r="BP435" s="48"/>
      <c r="BQ435" s="48"/>
      <c r="BR435" s="48"/>
      <c r="BS435" s="48"/>
      <c r="BT435" s="48"/>
      <c r="BU435" s="48"/>
      <c r="BV435" s="48"/>
      <c r="BW435" s="48"/>
      <c r="BX435" s="111"/>
    </row>
    <row r="436" spans="1:76">
      <c r="A436" s="37"/>
      <c r="B436" s="37"/>
      <c r="C436" s="37" t="s">
        <v>1386</v>
      </c>
      <c r="D436" s="37"/>
      <c r="E436" s="37"/>
      <c r="F436" s="39"/>
      <c r="G436" s="59"/>
      <c r="H436" s="59"/>
      <c r="I436" s="59"/>
      <c r="J436" s="59"/>
      <c r="K436" s="59"/>
      <c r="L436" s="59"/>
      <c r="M436" s="59"/>
      <c r="N436" s="60"/>
      <c r="O436" s="36"/>
      <c r="P436" s="48"/>
      <c r="Q436" s="48"/>
      <c r="R436" s="48"/>
      <c r="S436" s="48"/>
      <c r="T436" s="48"/>
      <c r="U436" s="48"/>
      <c r="V436" s="48"/>
      <c r="W436" s="48"/>
      <c r="X436" s="48"/>
      <c r="Y436" s="48"/>
      <c r="Z436" s="48"/>
      <c r="AA436" s="48"/>
      <c r="AB436" s="48"/>
      <c r="AC436" s="48"/>
      <c r="AD436" s="48"/>
      <c r="AE436" s="48"/>
      <c r="AF436" s="48"/>
      <c r="AG436" s="48"/>
      <c r="AH436" s="48"/>
      <c r="AI436" s="48"/>
      <c r="AJ436" s="48"/>
      <c r="AK436" s="48"/>
      <c r="AL436" s="48"/>
      <c r="AM436" s="48"/>
      <c r="AN436" s="48"/>
      <c r="AO436" s="48"/>
      <c r="AP436" s="48"/>
      <c r="AQ436" s="48"/>
      <c r="AR436" s="48"/>
      <c r="AS436" s="48"/>
      <c r="AT436" s="48"/>
      <c r="AU436" s="48"/>
      <c r="AV436" s="48"/>
      <c r="AW436" s="48"/>
      <c r="AX436" s="48"/>
      <c r="AY436" s="48"/>
      <c r="AZ436" s="48"/>
      <c r="BA436" s="48"/>
      <c r="BB436" s="48"/>
      <c r="BC436" s="48"/>
      <c r="BD436" s="48"/>
      <c r="BE436" s="48"/>
      <c r="BF436" s="48"/>
      <c r="BG436" s="48"/>
      <c r="BH436" s="48"/>
      <c r="BI436" s="48"/>
      <c r="BJ436" s="48"/>
      <c r="BK436" s="48"/>
      <c r="BL436" s="48"/>
      <c r="BM436" s="48"/>
      <c r="BN436" s="48"/>
      <c r="BO436" s="48"/>
      <c r="BP436" s="48"/>
      <c r="BQ436" s="48"/>
      <c r="BR436" s="48"/>
      <c r="BS436" s="48"/>
      <c r="BT436" s="48"/>
      <c r="BU436" s="48"/>
      <c r="BV436" s="48"/>
      <c r="BW436" s="48"/>
      <c r="BX436" s="111"/>
    </row>
    <row r="437" spans="1:76">
      <c r="A437" s="37"/>
      <c r="B437" s="37"/>
      <c r="C437" s="37" t="s">
        <v>93</v>
      </c>
      <c r="D437" s="37"/>
      <c r="E437" s="37"/>
      <c r="F437" s="39"/>
      <c r="G437" s="59"/>
      <c r="H437" s="59"/>
      <c r="I437" s="59"/>
      <c r="J437" s="59"/>
      <c r="K437" s="59"/>
      <c r="L437" s="59"/>
      <c r="M437" s="59"/>
      <c r="N437" s="60"/>
      <c r="O437" s="36"/>
      <c r="P437" s="48"/>
      <c r="Q437" s="48"/>
      <c r="R437" s="48"/>
      <c r="S437" s="48"/>
      <c r="T437" s="48"/>
      <c r="U437" s="48"/>
      <c r="V437" s="48"/>
      <c r="W437" s="48"/>
      <c r="X437" s="48"/>
      <c r="Y437" s="48"/>
      <c r="Z437" s="48"/>
      <c r="AA437" s="48"/>
      <c r="AB437" s="48"/>
      <c r="AC437" s="48"/>
      <c r="AD437" s="48"/>
      <c r="AE437" s="48"/>
      <c r="AF437" s="48"/>
      <c r="AG437" s="48"/>
      <c r="AH437" s="48"/>
      <c r="AI437" s="48"/>
      <c r="AJ437" s="48"/>
      <c r="AK437" s="48"/>
      <c r="AL437" s="48"/>
      <c r="AM437" s="48"/>
      <c r="AN437" s="48"/>
      <c r="AO437" s="48"/>
      <c r="AP437" s="48"/>
      <c r="AQ437" s="48"/>
      <c r="AR437" s="48"/>
      <c r="AS437" s="48"/>
      <c r="AT437" s="48"/>
      <c r="AU437" s="48"/>
      <c r="AV437" s="48"/>
      <c r="AW437" s="48"/>
      <c r="AX437" s="48"/>
      <c r="AY437" s="48"/>
      <c r="AZ437" s="48"/>
      <c r="BA437" s="48"/>
      <c r="BB437" s="48"/>
      <c r="BC437" s="48"/>
      <c r="BD437" s="48"/>
      <c r="BE437" s="48"/>
      <c r="BF437" s="48"/>
      <c r="BG437" s="48"/>
      <c r="BH437" s="48"/>
      <c r="BI437" s="48"/>
      <c r="BJ437" s="48"/>
      <c r="BK437" s="48"/>
      <c r="BL437" s="48"/>
      <c r="BM437" s="48"/>
      <c r="BN437" s="48"/>
      <c r="BO437" s="48"/>
      <c r="BP437" s="48"/>
      <c r="BQ437" s="48"/>
      <c r="BR437" s="48"/>
      <c r="BS437" s="48"/>
      <c r="BT437" s="48"/>
      <c r="BU437" s="48"/>
      <c r="BV437" s="48"/>
      <c r="BW437" s="48"/>
      <c r="BX437" s="111"/>
    </row>
    <row r="438" spans="1:76">
      <c r="A438" s="37"/>
      <c r="B438" s="37"/>
      <c r="C438" s="37" t="s">
        <v>910</v>
      </c>
      <c r="D438" s="37"/>
      <c r="E438" s="37"/>
      <c r="F438" s="39"/>
      <c r="G438" s="59">
        <v>432</v>
      </c>
      <c r="H438" s="59">
        <v>55</v>
      </c>
      <c r="I438" s="59">
        <v>191</v>
      </c>
      <c r="J438" s="59">
        <v>2</v>
      </c>
      <c r="K438" s="59">
        <f>-57</f>
        <v>-57</v>
      </c>
      <c r="L438" s="59">
        <f>3</f>
        <v>3</v>
      </c>
      <c r="M438" s="59"/>
      <c r="N438" s="59">
        <f>-33</f>
        <v>-33</v>
      </c>
      <c r="O438" s="36"/>
      <c r="P438" s="48"/>
      <c r="Q438" s="48"/>
      <c r="R438" s="48"/>
      <c r="S438" s="48"/>
      <c r="T438" s="48"/>
      <c r="U438" s="48"/>
      <c r="V438" s="48"/>
      <c r="W438" s="48"/>
      <c r="X438" s="48"/>
      <c r="Y438" s="48"/>
      <c r="Z438" s="48"/>
      <c r="AA438" s="48"/>
      <c r="AB438" s="48"/>
      <c r="AC438" s="48"/>
      <c r="AD438" s="48"/>
      <c r="AE438" s="48"/>
      <c r="AF438" s="48"/>
      <c r="AG438" s="48"/>
      <c r="AH438" s="48"/>
      <c r="AI438" s="48"/>
      <c r="AJ438" s="48"/>
      <c r="AK438" s="48"/>
      <c r="AL438" s="48"/>
      <c r="AM438" s="48"/>
      <c r="AN438" s="48"/>
      <c r="AO438" s="48"/>
      <c r="AP438" s="48"/>
      <c r="AQ438" s="48"/>
      <c r="AR438" s="48"/>
      <c r="AS438" s="48"/>
      <c r="AT438" s="48"/>
      <c r="AU438" s="48"/>
      <c r="AV438" s="48"/>
      <c r="AW438" s="48"/>
      <c r="AX438" s="48"/>
      <c r="AY438" s="48"/>
      <c r="AZ438" s="48"/>
      <c r="BA438" s="48"/>
      <c r="BB438" s="48"/>
      <c r="BC438" s="48"/>
      <c r="BD438" s="48"/>
      <c r="BE438" s="48"/>
      <c r="BF438" s="48"/>
      <c r="BG438" s="48"/>
      <c r="BH438" s="48"/>
      <c r="BI438" s="48"/>
      <c r="BJ438" s="48"/>
      <c r="BK438" s="48"/>
      <c r="BL438" s="48"/>
      <c r="BM438" s="48"/>
      <c r="BN438" s="48"/>
      <c r="BO438" s="48"/>
      <c r="BP438" s="48"/>
      <c r="BQ438" s="48"/>
      <c r="BR438" s="48"/>
      <c r="BS438" s="48"/>
      <c r="BT438" s="48"/>
      <c r="BU438" s="48"/>
      <c r="BV438" s="48"/>
      <c r="BW438" s="48"/>
      <c r="BX438" s="111"/>
    </row>
    <row r="439" spans="1:76">
      <c r="A439" s="37"/>
      <c r="B439" s="37"/>
      <c r="C439" s="37" t="s">
        <v>1679</v>
      </c>
      <c r="D439" s="37"/>
      <c r="E439" s="37"/>
      <c r="F439" s="39"/>
      <c r="G439" s="59"/>
      <c r="H439" s="59"/>
      <c r="I439" s="59"/>
      <c r="J439" s="59"/>
      <c r="K439" s="59"/>
      <c r="L439" s="59"/>
      <c r="M439" s="59"/>
      <c r="N439" s="59"/>
      <c r="O439" s="58"/>
      <c r="P439" s="48"/>
      <c r="Q439" s="48"/>
      <c r="R439" s="48"/>
      <c r="S439" s="48"/>
      <c r="T439" s="48"/>
      <c r="U439" s="48"/>
      <c r="V439" s="48"/>
      <c r="W439" s="48"/>
      <c r="X439" s="48"/>
      <c r="Y439" s="48"/>
      <c r="Z439" s="48"/>
      <c r="AA439" s="48"/>
      <c r="AB439" s="48"/>
      <c r="AC439" s="48"/>
      <c r="AD439" s="48"/>
      <c r="AE439" s="48"/>
      <c r="AF439" s="48"/>
      <c r="AG439" s="48"/>
      <c r="AH439" s="48"/>
      <c r="AI439" s="48"/>
      <c r="AJ439" s="48"/>
      <c r="AK439" s="48"/>
      <c r="AL439" s="48"/>
      <c r="AM439" s="48"/>
      <c r="AN439" s="48"/>
      <c r="AO439" s="48"/>
      <c r="AP439" s="48"/>
      <c r="AQ439" s="48"/>
      <c r="AR439" s="48"/>
      <c r="AS439" s="48"/>
      <c r="AT439" s="48"/>
      <c r="AU439" s="48"/>
      <c r="AV439" s="48"/>
      <c r="AW439" s="48"/>
      <c r="AX439" s="48"/>
      <c r="AY439" s="48"/>
      <c r="AZ439" s="48"/>
      <c r="BA439" s="48"/>
      <c r="BB439" s="48"/>
      <c r="BC439" s="48"/>
      <c r="BD439" s="48"/>
      <c r="BE439" s="48"/>
      <c r="BF439" s="48"/>
      <c r="BG439" s="48"/>
      <c r="BH439" s="48"/>
      <c r="BI439" s="48"/>
      <c r="BJ439" s="48"/>
      <c r="BK439" s="48"/>
      <c r="BL439" s="48"/>
      <c r="BM439" s="48"/>
      <c r="BN439" s="48"/>
      <c r="BO439" s="48"/>
      <c r="BP439" s="48"/>
      <c r="BQ439" s="48"/>
      <c r="BR439" s="48"/>
      <c r="BS439" s="48"/>
      <c r="BT439" s="48"/>
      <c r="BU439" s="48"/>
      <c r="BV439" s="48"/>
      <c r="BW439" s="48"/>
      <c r="BX439" s="111"/>
    </row>
    <row r="440" spans="1:76">
      <c r="A440" s="82"/>
      <c r="B440" s="82"/>
      <c r="C440" s="82" t="s">
        <v>1432</v>
      </c>
      <c r="D440" s="37"/>
      <c r="E440" s="37"/>
      <c r="F440" s="39"/>
      <c r="G440" s="59"/>
      <c r="H440" s="59"/>
      <c r="I440" s="59"/>
      <c r="J440" s="59"/>
      <c r="K440" s="59"/>
      <c r="L440" s="59"/>
      <c r="M440" s="59"/>
      <c r="N440" s="59"/>
      <c r="O440" s="58"/>
      <c r="P440" s="48"/>
      <c r="Q440" s="48"/>
      <c r="R440" s="48"/>
      <c r="S440" s="48"/>
      <c r="T440" s="48"/>
      <c r="U440" s="48"/>
      <c r="V440" s="48"/>
      <c r="W440" s="48"/>
      <c r="X440" s="48"/>
      <c r="Y440" s="48"/>
      <c r="Z440" s="48"/>
      <c r="AA440" s="48"/>
      <c r="AB440" s="48"/>
      <c r="AC440" s="48"/>
      <c r="AD440" s="48"/>
      <c r="AE440" s="48"/>
      <c r="AF440" s="48"/>
      <c r="AG440" s="48"/>
      <c r="AH440" s="48"/>
      <c r="AI440" s="48"/>
      <c r="AJ440" s="48"/>
      <c r="AK440" s="48"/>
      <c r="AL440" s="48"/>
      <c r="AM440" s="48"/>
      <c r="AN440" s="48"/>
      <c r="AO440" s="48"/>
      <c r="AP440" s="48"/>
      <c r="AQ440" s="48"/>
      <c r="AR440" s="48"/>
      <c r="AS440" s="48"/>
      <c r="AT440" s="48"/>
      <c r="AU440" s="48"/>
      <c r="AV440" s="48"/>
      <c r="AW440" s="48"/>
      <c r="AX440" s="48"/>
      <c r="AY440" s="48"/>
      <c r="AZ440" s="48"/>
      <c r="BA440" s="48"/>
      <c r="BB440" s="48"/>
      <c r="BC440" s="48"/>
      <c r="BD440" s="48"/>
      <c r="BE440" s="48"/>
      <c r="BF440" s="48"/>
      <c r="BG440" s="48"/>
      <c r="BH440" s="48"/>
      <c r="BI440" s="48"/>
      <c r="BJ440" s="48"/>
      <c r="BK440" s="48"/>
      <c r="BL440" s="48"/>
      <c r="BM440" s="48"/>
      <c r="BN440" s="48"/>
      <c r="BO440" s="48"/>
      <c r="BP440" s="48"/>
      <c r="BQ440" s="48"/>
      <c r="BR440" s="48"/>
      <c r="BS440" s="48"/>
      <c r="BT440" s="48"/>
      <c r="BU440" s="48"/>
      <c r="BV440" s="48"/>
      <c r="BW440" s="48"/>
      <c r="BX440" s="111"/>
    </row>
    <row r="441" spans="1:76">
      <c r="A441" s="82"/>
      <c r="B441" s="82"/>
      <c r="C441" s="82" t="s">
        <v>2151</v>
      </c>
      <c r="D441" s="37"/>
      <c r="E441" s="37"/>
      <c r="F441" s="39"/>
      <c r="G441" s="59"/>
      <c r="H441" s="59"/>
      <c r="I441" s="59"/>
      <c r="J441" s="59"/>
      <c r="K441" s="59"/>
      <c r="L441" s="59"/>
      <c r="M441" s="59"/>
      <c r="N441" s="59"/>
      <c r="O441" s="36"/>
      <c r="P441" s="48"/>
      <c r="Q441" s="48"/>
      <c r="R441" s="48"/>
      <c r="S441" s="48"/>
      <c r="T441" s="48"/>
      <c r="U441" s="48"/>
      <c r="V441" s="48"/>
      <c r="W441" s="48"/>
      <c r="X441" s="48"/>
      <c r="Y441" s="48"/>
      <c r="Z441" s="48"/>
      <c r="AA441" s="48"/>
      <c r="AB441" s="48"/>
      <c r="AC441" s="48"/>
      <c r="AD441" s="48"/>
      <c r="AE441" s="48"/>
      <c r="AF441" s="48"/>
      <c r="AG441" s="48"/>
      <c r="AH441" s="48"/>
      <c r="AI441" s="48"/>
      <c r="AJ441" s="48"/>
      <c r="AK441" s="48"/>
      <c r="AL441" s="48"/>
      <c r="AM441" s="48"/>
      <c r="AN441" s="48"/>
      <c r="AO441" s="48"/>
      <c r="AP441" s="48"/>
      <c r="AQ441" s="48"/>
      <c r="AR441" s="48"/>
      <c r="AS441" s="48"/>
      <c r="AT441" s="48"/>
      <c r="AU441" s="48"/>
      <c r="AV441" s="48"/>
      <c r="AW441" s="48"/>
      <c r="AX441" s="48"/>
      <c r="AY441" s="48"/>
      <c r="AZ441" s="48"/>
      <c r="BA441" s="48"/>
      <c r="BB441" s="48"/>
      <c r="BC441" s="48"/>
      <c r="BD441" s="48"/>
      <c r="BE441" s="48"/>
      <c r="BF441" s="48"/>
      <c r="BG441" s="48"/>
      <c r="BH441" s="48"/>
      <c r="BI441" s="48"/>
      <c r="BJ441" s="48"/>
      <c r="BK441" s="48"/>
      <c r="BL441" s="48"/>
      <c r="BM441" s="48"/>
      <c r="BN441" s="48"/>
      <c r="BO441" s="48"/>
      <c r="BP441" s="48"/>
      <c r="BQ441" s="48"/>
      <c r="BR441" s="48"/>
      <c r="BS441" s="48"/>
      <c r="BT441" s="48"/>
      <c r="BU441" s="48"/>
      <c r="BV441" s="48"/>
      <c r="BW441" s="48"/>
      <c r="BX441" s="111"/>
    </row>
    <row r="442" spans="1:76">
      <c r="A442" s="82"/>
      <c r="B442" s="82"/>
      <c r="C442" s="82" t="s">
        <v>2137</v>
      </c>
      <c r="D442" s="37"/>
      <c r="E442" s="37"/>
      <c r="F442" s="39"/>
      <c r="G442" s="59"/>
      <c r="H442" s="59"/>
      <c r="I442" s="59"/>
      <c r="J442" s="59"/>
      <c r="K442" s="59"/>
      <c r="L442" s="59"/>
      <c r="M442" s="59"/>
      <c r="N442" s="59"/>
      <c r="O442" s="36"/>
      <c r="P442" s="48"/>
      <c r="Q442" s="48"/>
      <c r="R442" s="48"/>
      <c r="S442" s="48"/>
      <c r="T442" s="48"/>
      <c r="U442" s="48"/>
      <c r="V442" s="48"/>
      <c r="W442" s="48"/>
      <c r="X442" s="48"/>
      <c r="Y442" s="48"/>
      <c r="Z442" s="48"/>
      <c r="AA442" s="48"/>
      <c r="AB442" s="48"/>
      <c r="AC442" s="48"/>
      <c r="AD442" s="48"/>
      <c r="AE442" s="48"/>
      <c r="AF442" s="48"/>
      <c r="AG442" s="48"/>
      <c r="AH442" s="48"/>
      <c r="AI442" s="48"/>
      <c r="AJ442" s="48"/>
      <c r="AK442" s="48"/>
      <c r="AL442" s="48"/>
      <c r="AM442" s="48"/>
      <c r="AN442" s="48"/>
      <c r="AO442" s="48"/>
      <c r="AP442" s="48"/>
      <c r="AQ442" s="48"/>
      <c r="AR442" s="48"/>
      <c r="AS442" s="48"/>
      <c r="AT442" s="48"/>
      <c r="AU442" s="48"/>
      <c r="AV442" s="48"/>
      <c r="AW442" s="48"/>
      <c r="AX442" s="48"/>
      <c r="AY442" s="48"/>
      <c r="AZ442" s="48"/>
      <c r="BA442" s="48"/>
      <c r="BB442" s="48"/>
      <c r="BC442" s="48"/>
      <c r="BD442" s="48"/>
      <c r="BE442" s="48"/>
      <c r="BF442" s="48"/>
      <c r="BG442" s="48"/>
      <c r="BH442" s="48"/>
      <c r="BI442" s="48"/>
      <c r="BJ442" s="48"/>
      <c r="BK442" s="48"/>
      <c r="BL442" s="48"/>
      <c r="BM442" s="48"/>
      <c r="BN442" s="48"/>
      <c r="BO442" s="48"/>
      <c r="BP442" s="48"/>
      <c r="BQ442" s="48"/>
      <c r="BR442" s="48"/>
      <c r="BS442" s="48"/>
      <c r="BT442" s="48"/>
      <c r="BU442" s="48"/>
      <c r="BV442" s="48"/>
      <c r="BW442" s="48"/>
      <c r="BX442" s="111"/>
    </row>
    <row r="443" spans="1:76">
      <c r="A443" s="82"/>
      <c r="B443" s="82"/>
      <c r="C443" s="82" t="s">
        <v>1224</v>
      </c>
      <c r="D443" s="37"/>
      <c r="E443" s="37"/>
      <c r="F443" s="39"/>
      <c r="G443" s="59"/>
      <c r="H443" s="59"/>
      <c r="I443" s="59"/>
      <c r="J443" s="59"/>
      <c r="K443" s="59"/>
      <c r="L443" s="59"/>
      <c r="M443" s="59"/>
      <c r="N443" s="59"/>
      <c r="O443" s="36"/>
      <c r="P443" s="48"/>
      <c r="Q443" s="48"/>
      <c r="R443" s="48"/>
      <c r="S443" s="48"/>
      <c r="T443" s="48"/>
      <c r="U443" s="48"/>
      <c r="V443" s="48"/>
      <c r="W443" s="48"/>
      <c r="X443" s="48"/>
      <c r="Y443" s="48"/>
      <c r="Z443" s="48"/>
      <c r="AA443" s="48"/>
      <c r="AB443" s="48"/>
      <c r="AC443" s="48"/>
      <c r="AD443" s="48"/>
      <c r="AE443" s="48"/>
      <c r="AF443" s="48"/>
      <c r="AG443" s="48"/>
      <c r="AH443" s="48"/>
      <c r="AI443" s="48"/>
      <c r="AJ443" s="48"/>
      <c r="AK443" s="48"/>
      <c r="AL443" s="48"/>
      <c r="AM443" s="48"/>
      <c r="AN443" s="48"/>
      <c r="AO443" s="48"/>
      <c r="AP443" s="48"/>
      <c r="AQ443" s="48"/>
      <c r="AR443" s="48"/>
      <c r="AS443" s="48"/>
      <c r="AT443" s="48"/>
      <c r="AU443" s="48"/>
      <c r="AV443" s="48"/>
      <c r="AW443" s="48"/>
      <c r="AX443" s="48"/>
      <c r="AY443" s="48"/>
      <c r="AZ443" s="48"/>
      <c r="BA443" s="48"/>
      <c r="BB443" s="48"/>
      <c r="BC443" s="48"/>
      <c r="BD443" s="48"/>
      <c r="BE443" s="48"/>
      <c r="BF443" s="48"/>
      <c r="BG443" s="48"/>
      <c r="BH443" s="48"/>
      <c r="BI443" s="48"/>
      <c r="BJ443" s="48"/>
      <c r="BK443" s="48"/>
      <c r="BL443" s="48"/>
      <c r="BM443" s="48"/>
      <c r="BN443" s="48"/>
      <c r="BO443" s="48"/>
      <c r="BP443" s="48"/>
      <c r="BQ443" s="48"/>
      <c r="BR443" s="48"/>
      <c r="BS443" s="48"/>
      <c r="BT443" s="48"/>
      <c r="BU443" s="48"/>
      <c r="BV443" s="48"/>
      <c r="BW443" s="48"/>
      <c r="BX443" s="111"/>
    </row>
    <row r="444" spans="1:76">
      <c r="A444" s="37"/>
      <c r="B444" s="37"/>
      <c r="C444" s="37" t="s">
        <v>1838</v>
      </c>
      <c r="D444" s="37"/>
      <c r="E444" s="37"/>
      <c r="F444" s="39"/>
      <c r="G444" s="59"/>
      <c r="H444" s="59"/>
      <c r="I444" s="59"/>
      <c r="J444" s="59">
        <v>-7</v>
      </c>
      <c r="K444" s="59">
        <v>27</v>
      </c>
      <c r="L444" s="59">
        <v>33</v>
      </c>
      <c r="M444" s="59">
        <v>4</v>
      </c>
      <c r="N444" s="60">
        <v>9</v>
      </c>
      <c r="O444" s="36"/>
      <c r="P444" s="48"/>
      <c r="Q444" s="48"/>
      <c r="R444" s="48"/>
      <c r="S444" s="48"/>
      <c r="T444" s="48"/>
      <c r="U444" s="48"/>
      <c r="V444" s="48"/>
      <c r="W444" s="48"/>
      <c r="X444" s="48"/>
      <c r="Y444" s="48"/>
      <c r="Z444" s="48"/>
      <c r="AA444" s="48"/>
      <c r="AB444" s="48"/>
      <c r="AC444" s="48"/>
      <c r="AD444" s="48"/>
      <c r="AE444" s="48"/>
      <c r="AF444" s="48"/>
      <c r="AG444" s="48"/>
      <c r="AH444" s="48"/>
      <c r="AI444" s="48"/>
      <c r="AJ444" s="48"/>
      <c r="AK444" s="48"/>
      <c r="AL444" s="48"/>
      <c r="AM444" s="48"/>
      <c r="AN444" s="48"/>
      <c r="AO444" s="48"/>
      <c r="AP444" s="48"/>
      <c r="AQ444" s="48"/>
      <c r="AR444" s="48"/>
      <c r="AS444" s="48"/>
      <c r="AT444" s="48"/>
      <c r="AU444" s="48"/>
      <c r="AV444" s="48"/>
      <c r="AW444" s="48"/>
      <c r="AX444" s="48"/>
      <c r="AY444" s="48"/>
      <c r="AZ444" s="48"/>
      <c r="BA444" s="48"/>
      <c r="BB444" s="48"/>
      <c r="BC444" s="48"/>
      <c r="BD444" s="48"/>
      <c r="BE444" s="48"/>
      <c r="BF444" s="48"/>
      <c r="BG444" s="48"/>
      <c r="BH444" s="48"/>
      <c r="BI444" s="48"/>
      <c r="BJ444" s="48"/>
      <c r="BK444" s="48"/>
      <c r="BL444" s="48"/>
      <c r="BM444" s="48"/>
      <c r="BN444" s="48"/>
      <c r="BO444" s="48"/>
      <c r="BP444" s="48"/>
      <c r="BQ444" s="48"/>
      <c r="BR444" s="48"/>
      <c r="BS444" s="48"/>
      <c r="BT444" s="48"/>
      <c r="BU444" s="48"/>
      <c r="BV444" s="48"/>
      <c r="BW444" s="48"/>
      <c r="BX444" s="111"/>
    </row>
    <row r="445" spans="1:76">
      <c r="A445" s="37"/>
      <c r="B445" s="37"/>
      <c r="C445" s="37" t="s">
        <v>250</v>
      </c>
      <c r="D445" s="37"/>
      <c r="E445" s="37"/>
      <c r="F445" s="39"/>
      <c r="G445" s="59"/>
      <c r="H445" s="59"/>
      <c r="I445" s="59"/>
      <c r="J445" s="59"/>
      <c r="K445" s="59"/>
      <c r="L445" s="59"/>
      <c r="M445" s="59"/>
      <c r="N445" s="60"/>
      <c r="O445" s="36"/>
      <c r="P445" s="48"/>
      <c r="Q445" s="48"/>
      <c r="R445" s="48"/>
      <c r="S445" s="48"/>
      <c r="T445" s="48"/>
      <c r="U445" s="48"/>
      <c r="V445" s="48"/>
      <c r="W445" s="48"/>
      <c r="X445" s="48"/>
      <c r="Y445" s="48"/>
      <c r="Z445" s="48"/>
      <c r="AA445" s="48"/>
      <c r="AB445" s="48"/>
      <c r="AC445" s="48"/>
      <c r="AD445" s="48"/>
      <c r="AE445" s="48"/>
      <c r="AF445" s="48"/>
      <c r="AG445" s="48"/>
      <c r="AH445" s="48"/>
      <c r="AI445" s="48"/>
      <c r="AJ445" s="48"/>
      <c r="AK445" s="48"/>
      <c r="AL445" s="48"/>
      <c r="AM445" s="48"/>
      <c r="AN445" s="48"/>
      <c r="AO445" s="48"/>
      <c r="AP445" s="48"/>
      <c r="AQ445" s="48"/>
      <c r="AR445" s="48"/>
      <c r="AS445" s="48"/>
      <c r="AT445" s="48"/>
      <c r="AU445" s="48"/>
      <c r="AV445" s="48"/>
      <c r="AW445" s="48"/>
      <c r="AX445" s="48"/>
      <c r="AY445" s="48"/>
      <c r="AZ445" s="48"/>
      <c r="BA445" s="48"/>
      <c r="BB445" s="48"/>
      <c r="BC445" s="48"/>
      <c r="BD445" s="48"/>
      <c r="BE445" s="48"/>
      <c r="BF445" s="48"/>
      <c r="BG445" s="48"/>
      <c r="BH445" s="48"/>
      <c r="BI445" s="48"/>
      <c r="BJ445" s="48"/>
      <c r="BK445" s="48"/>
      <c r="BL445" s="48"/>
      <c r="BM445" s="48"/>
      <c r="BN445" s="48"/>
      <c r="BO445" s="48"/>
      <c r="BP445" s="48"/>
      <c r="BQ445" s="48"/>
      <c r="BR445" s="48"/>
      <c r="BS445" s="48"/>
      <c r="BT445" s="48"/>
      <c r="BU445" s="48"/>
      <c r="BV445" s="48"/>
      <c r="BW445" s="48"/>
      <c r="BX445" s="111"/>
    </row>
    <row r="446" spans="1:76">
      <c r="A446" s="82"/>
      <c r="B446" s="82"/>
      <c r="C446" s="82" t="s">
        <v>175</v>
      </c>
      <c r="D446" s="37"/>
      <c r="E446" s="37"/>
      <c r="F446" s="39"/>
      <c r="G446" s="59"/>
      <c r="H446" s="59"/>
      <c r="I446" s="59"/>
      <c r="J446" s="59"/>
      <c r="K446" s="59"/>
      <c r="L446" s="59"/>
      <c r="M446" s="59"/>
      <c r="N446" s="59"/>
      <c r="O446" s="58"/>
      <c r="P446" s="48"/>
      <c r="Q446" s="48"/>
      <c r="R446" s="48"/>
      <c r="S446" s="48"/>
      <c r="T446" s="48"/>
      <c r="U446" s="48"/>
      <c r="V446" s="48"/>
      <c r="W446" s="48"/>
      <c r="X446" s="48"/>
      <c r="Y446" s="48"/>
      <c r="Z446" s="48"/>
      <c r="AA446" s="48"/>
      <c r="AB446" s="48"/>
      <c r="AC446" s="48"/>
      <c r="AD446" s="48"/>
      <c r="AE446" s="48"/>
      <c r="AF446" s="48"/>
      <c r="AG446" s="48"/>
      <c r="AH446" s="48"/>
      <c r="AI446" s="48"/>
      <c r="AJ446" s="48"/>
      <c r="AK446" s="48"/>
      <c r="AL446" s="48"/>
      <c r="AM446" s="48"/>
      <c r="AN446" s="48"/>
      <c r="AO446" s="48"/>
      <c r="AP446" s="48"/>
      <c r="AQ446" s="48"/>
      <c r="AR446" s="48"/>
      <c r="AS446" s="48"/>
      <c r="AT446" s="48"/>
      <c r="AU446" s="48"/>
      <c r="AV446" s="48"/>
      <c r="AW446" s="48"/>
      <c r="AX446" s="48"/>
      <c r="AY446" s="48"/>
      <c r="AZ446" s="48"/>
      <c r="BA446" s="48"/>
      <c r="BB446" s="48"/>
      <c r="BC446" s="48"/>
      <c r="BD446" s="48"/>
      <c r="BE446" s="48"/>
      <c r="BF446" s="48"/>
      <c r="BG446" s="48"/>
      <c r="BH446" s="48"/>
      <c r="BI446" s="48"/>
      <c r="BJ446" s="48"/>
      <c r="BK446" s="48"/>
      <c r="BL446" s="48"/>
      <c r="BM446" s="48"/>
      <c r="BN446" s="48"/>
      <c r="BO446" s="48"/>
      <c r="BP446" s="48"/>
      <c r="BQ446" s="48"/>
      <c r="BR446" s="48"/>
      <c r="BS446" s="48"/>
      <c r="BT446" s="48"/>
      <c r="BU446" s="48"/>
      <c r="BV446" s="48"/>
      <c r="BW446" s="48"/>
      <c r="BX446" s="111"/>
    </row>
    <row r="447" spans="1:76">
      <c r="A447" s="37"/>
      <c r="B447" s="37"/>
      <c r="C447" s="37" t="s">
        <v>869</v>
      </c>
      <c r="D447" s="37"/>
      <c r="E447" s="37"/>
      <c r="F447" s="39"/>
      <c r="G447" s="59"/>
      <c r="H447" s="59"/>
      <c r="I447" s="59"/>
      <c r="J447" s="59"/>
      <c r="K447" s="59"/>
      <c r="L447" s="59"/>
      <c r="M447" s="59"/>
      <c r="N447" s="60"/>
      <c r="O447" s="36"/>
      <c r="P447" s="48"/>
      <c r="Q447" s="48"/>
      <c r="R447" s="48"/>
      <c r="S447" s="48"/>
      <c r="T447" s="48"/>
      <c r="U447" s="48"/>
      <c r="V447" s="48"/>
      <c r="W447" s="48"/>
      <c r="X447" s="48"/>
      <c r="Y447" s="48"/>
      <c r="Z447" s="48"/>
      <c r="AA447" s="48"/>
      <c r="AB447" s="48"/>
      <c r="AC447" s="48"/>
      <c r="AD447" s="48"/>
      <c r="AE447" s="48"/>
      <c r="AF447" s="48"/>
      <c r="AG447" s="48"/>
      <c r="AH447" s="48"/>
      <c r="AI447" s="48"/>
      <c r="AJ447" s="48"/>
      <c r="AK447" s="48"/>
      <c r="AL447" s="48"/>
      <c r="AM447" s="48"/>
      <c r="AN447" s="48"/>
      <c r="AO447" s="48"/>
      <c r="AP447" s="48"/>
      <c r="AQ447" s="48"/>
      <c r="AR447" s="48"/>
      <c r="AS447" s="48"/>
      <c r="AT447" s="48"/>
      <c r="AU447" s="48"/>
      <c r="AV447" s="48"/>
      <c r="AW447" s="48"/>
      <c r="AX447" s="48"/>
      <c r="AY447" s="48"/>
      <c r="AZ447" s="48"/>
      <c r="BA447" s="48"/>
      <c r="BB447" s="48"/>
      <c r="BC447" s="48"/>
      <c r="BD447" s="48"/>
      <c r="BE447" s="48"/>
      <c r="BF447" s="48"/>
      <c r="BG447" s="48"/>
      <c r="BH447" s="48"/>
      <c r="BI447" s="48"/>
      <c r="BJ447" s="48"/>
      <c r="BK447" s="48"/>
      <c r="BL447" s="48"/>
      <c r="BM447" s="48"/>
      <c r="BN447" s="48"/>
      <c r="BO447" s="48"/>
      <c r="BP447" s="48"/>
      <c r="BQ447" s="48"/>
      <c r="BR447" s="48"/>
      <c r="BS447" s="48"/>
      <c r="BT447" s="48"/>
      <c r="BU447" s="48"/>
      <c r="BV447" s="48"/>
      <c r="BW447" s="48"/>
      <c r="BX447" s="111"/>
    </row>
    <row r="448" spans="1:76">
      <c r="A448" s="82"/>
      <c r="B448" s="82"/>
      <c r="C448" s="82" t="s">
        <v>1384</v>
      </c>
      <c r="D448" s="37"/>
      <c r="E448" s="37"/>
      <c r="F448" s="39"/>
      <c r="G448" s="59"/>
      <c r="H448" s="41">
        <v>8</v>
      </c>
      <c r="I448" s="41">
        <v>6</v>
      </c>
      <c r="J448" s="41">
        <f>-13</f>
        <v>-13</v>
      </c>
      <c r="K448" s="59"/>
      <c r="L448" s="59"/>
      <c r="M448" s="59"/>
      <c r="N448" s="60"/>
      <c r="O448" s="36"/>
      <c r="P448" s="48"/>
      <c r="Q448" s="48"/>
      <c r="R448" s="48"/>
      <c r="S448" s="48"/>
      <c r="T448" s="48"/>
      <c r="U448" s="48"/>
      <c r="V448" s="48"/>
      <c r="W448" s="48"/>
      <c r="X448" s="48"/>
      <c r="Y448" s="48"/>
      <c r="Z448" s="48"/>
      <c r="AA448" s="48"/>
      <c r="AB448" s="48"/>
      <c r="AC448" s="48"/>
      <c r="AD448" s="48"/>
      <c r="AE448" s="48"/>
      <c r="AF448" s="48"/>
      <c r="AG448" s="48"/>
      <c r="AH448" s="48"/>
      <c r="AI448" s="48"/>
      <c r="AJ448" s="48"/>
      <c r="AK448" s="48"/>
      <c r="AL448" s="48"/>
      <c r="AM448" s="48"/>
      <c r="AN448" s="48"/>
      <c r="AO448" s="48"/>
      <c r="AP448" s="48"/>
      <c r="AQ448" s="48"/>
      <c r="AR448" s="48"/>
      <c r="AS448" s="48"/>
      <c r="AT448" s="48"/>
      <c r="AU448" s="48"/>
      <c r="AV448" s="48"/>
      <c r="AW448" s="48"/>
      <c r="AX448" s="48"/>
      <c r="AY448" s="48"/>
      <c r="AZ448" s="48"/>
      <c r="BA448" s="48"/>
      <c r="BB448" s="48"/>
      <c r="BC448" s="48"/>
      <c r="BD448" s="48"/>
      <c r="BE448" s="48"/>
      <c r="BF448" s="48"/>
      <c r="BG448" s="48"/>
      <c r="BH448" s="48"/>
      <c r="BI448" s="48"/>
      <c r="BJ448" s="48"/>
      <c r="BK448" s="48"/>
      <c r="BL448" s="48"/>
      <c r="BM448" s="48"/>
      <c r="BN448" s="48"/>
      <c r="BO448" s="48"/>
      <c r="BP448" s="48"/>
      <c r="BQ448" s="48"/>
      <c r="BR448" s="48"/>
      <c r="BS448" s="48"/>
      <c r="BT448" s="48"/>
      <c r="BU448" s="48"/>
      <c r="BV448" s="48"/>
      <c r="BW448" s="48"/>
      <c r="BX448" s="111"/>
    </row>
    <row r="449" spans="1:76">
      <c r="A449" s="37"/>
      <c r="B449" s="37"/>
      <c r="C449" s="37" t="s">
        <v>896</v>
      </c>
      <c r="D449" s="37"/>
      <c r="E449" s="37"/>
      <c r="F449" s="39"/>
      <c r="G449" s="59">
        <v>-10</v>
      </c>
      <c r="H449" s="41"/>
      <c r="I449" s="41"/>
      <c r="J449" s="41"/>
      <c r="K449" s="59"/>
      <c r="L449" s="59"/>
      <c r="M449" s="59"/>
      <c r="N449" s="59"/>
      <c r="O449" s="36"/>
      <c r="P449" s="48"/>
      <c r="Q449" s="48"/>
      <c r="R449" s="48"/>
      <c r="S449" s="48"/>
      <c r="T449" s="48"/>
      <c r="U449" s="48"/>
      <c r="V449" s="48"/>
      <c r="W449" s="48"/>
      <c r="X449" s="48"/>
      <c r="Y449" s="48"/>
      <c r="Z449" s="48"/>
      <c r="AA449" s="48"/>
      <c r="AB449" s="48"/>
      <c r="AC449" s="48"/>
      <c r="AD449" s="48"/>
      <c r="AE449" s="48"/>
      <c r="AF449" s="48"/>
      <c r="AG449" s="48"/>
      <c r="AH449" s="48"/>
      <c r="AI449" s="48"/>
      <c r="AJ449" s="48"/>
      <c r="AK449" s="48"/>
      <c r="AL449" s="48"/>
      <c r="AM449" s="48"/>
      <c r="AN449" s="48"/>
      <c r="AO449" s="48"/>
      <c r="AP449" s="48"/>
      <c r="AQ449" s="48"/>
      <c r="AR449" s="48"/>
      <c r="AS449" s="48"/>
      <c r="AT449" s="48"/>
      <c r="AU449" s="48"/>
      <c r="AV449" s="48"/>
      <c r="AW449" s="48"/>
      <c r="AX449" s="48"/>
      <c r="AY449" s="48"/>
      <c r="AZ449" s="48"/>
      <c r="BA449" s="48"/>
      <c r="BB449" s="48"/>
      <c r="BC449" s="48"/>
      <c r="BD449" s="48"/>
      <c r="BE449" s="48"/>
      <c r="BF449" s="48"/>
      <c r="BG449" s="48"/>
      <c r="BH449" s="48"/>
      <c r="BI449" s="48"/>
      <c r="BJ449" s="48"/>
      <c r="BK449" s="48"/>
      <c r="BL449" s="48"/>
      <c r="BM449" s="48"/>
      <c r="BN449" s="48"/>
      <c r="BO449" s="48"/>
      <c r="BP449" s="48"/>
      <c r="BQ449" s="48"/>
      <c r="BR449" s="48"/>
      <c r="BS449" s="48"/>
      <c r="BT449" s="48"/>
      <c r="BU449" s="48"/>
      <c r="BV449" s="48"/>
      <c r="BW449" s="48"/>
      <c r="BX449" s="111"/>
    </row>
    <row r="450" spans="1:76">
      <c r="A450" s="37"/>
      <c r="B450" s="37"/>
      <c r="C450" s="37" t="s">
        <v>1458</v>
      </c>
      <c r="D450" s="37"/>
      <c r="E450" s="37"/>
      <c r="F450" s="39"/>
      <c r="G450" s="59"/>
      <c r="H450" s="59"/>
      <c r="I450" s="59"/>
      <c r="J450" s="59"/>
      <c r="K450" s="59">
        <v>14</v>
      </c>
      <c r="L450" s="59">
        <v>31</v>
      </c>
      <c r="M450" s="59">
        <v>71</v>
      </c>
      <c r="N450" s="60">
        <v>31</v>
      </c>
      <c r="O450" s="36"/>
      <c r="P450" s="48"/>
      <c r="Q450" s="48"/>
      <c r="R450" s="48"/>
      <c r="S450" s="48"/>
      <c r="T450" s="48"/>
      <c r="U450" s="48"/>
      <c r="V450" s="48"/>
      <c r="W450" s="48"/>
      <c r="X450" s="48"/>
      <c r="Y450" s="48"/>
      <c r="Z450" s="48"/>
      <c r="AA450" s="48"/>
      <c r="AB450" s="48"/>
      <c r="AC450" s="48"/>
      <c r="AD450" s="48"/>
      <c r="AE450" s="48"/>
      <c r="AF450" s="48"/>
      <c r="AG450" s="48"/>
      <c r="AH450" s="48"/>
      <c r="AI450" s="48"/>
      <c r="AJ450" s="48"/>
      <c r="AK450" s="48"/>
      <c r="AL450" s="48"/>
      <c r="AM450" s="48"/>
      <c r="AN450" s="48"/>
      <c r="AO450" s="48"/>
      <c r="AP450" s="48"/>
      <c r="AQ450" s="48"/>
      <c r="AR450" s="48"/>
      <c r="AS450" s="48"/>
      <c r="AT450" s="48"/>
      <c r="AU450" s="48"/>
      <c r="AV450" s="48"/>
      <c r="AW450" s="48"/>
      <c r="AX450" s="48"/>
      <c r="AY450" s="48"/>
      <c r="AZ450" s="48"/>
      <c r="BA450" s="48"/>
      <c r="BB450" s="48"/>
      <c r="BC450" s="48"/>
      <c r="BD450" s="48"/>
      <c r="BE450" s="48"/>
      <c r="BF450" s="48"/>
      <c r="BG450" s="48"/>
      <c r="BH450" s="48"/>
      <c r="BI450" s="48"/>
      <c r="BJ450" s="48"/>
      <c r="BK450" s="48"/>
      <c r="BL450" s="48"/>
      <c r="BM450" s="48"/>
      <c r="BN450" s="48"/>
      <c r="BO450" s="48"/>
      <c r="BP450" s="48"/>
      <c r="BQ450" s="48"/>
      <c r="BR450" s="48"/>
      <c r="BS450" s="48"/>
      <c r="BT450" s="48"/>
      <c r="BU450" s="48"/>
      <c r="BV450" s="48"/>
      <c r="BW450" s="48"/>
      <c r="BX450" s="111"/>
    </row>
    <row r="451" spans="1:76">
      <c r="A451" s="37"/>
      <c r="B451" s="37"/>
      <c r="C451" s="37" t="s">
        <v>1707</v>
      </c>
      <c r="D451" s="37"/>
      <c r="E451" s="37"/>
      <c r="F451" s="39"/>
      <c r="G451" s="59"/>
      <c r="H451" s="59"/>
      <c r="I451" s="59"/>
      <c r="J451" s="59"/>
      <c r="K451" s="59"/>
      <c r="L451" s="59"/>
      <c r="M451" s="59"/>
      <c r="N451" s="60"/>
      <c r="O451" s="36"/>
      <c r="P451" s="48"/>
      <c r="Q451" s="48"/>
      <c r="R451" s="48"/>
      <c r="S451" s="48"/>
      <c r="T451" s="48"/>
      <c r="U451" s="48"/>
      <c r="V451" s="48"/>
      <c r="W451" s="48"/>
      <c r="X451" s="48"/>
      <c r="Y451" s="48"/>
      <c r="Z451" s="48"/>
      <c r="AA451" s="48"/>
      <c r="AB451" s="48"/>
      <c r="AC451" s="48"/>
      <c r="AD451" s="48"/>
      <c r="AE451" s="48"/>
      <c r="AF451" s="48"/>
      <c r="AG451" s="48"/>
      <c r="AH451" s="48"/>
      <c r="AI451" s="48"/>
      <c r="AJ451" s="48"/>
      <c r="AK451" s="48"/>
      <c r="AL451" s="48"/>
      <c r="AM451" s="48"/>
      <c r="AN451" s="48"/>
      <c r="AO451" s="48"/>
      <c r="AP451" s="48"/>
      <c r="AQ451" s="48"/>
      <c r="AR451" s="48"/>
      <c r="AS451" s="48"/>
      <c r="AT451" s="48"/>
      <c r="AU451" s="48"/>
      <c r="AV451" s="48"/>
      <c r="AW451" s="48"/>
      <c r="AX451" s="48"/>
      <c r="AY451" s="48"/>
      <c r="AZ451" s="48"/>
      <c r="BA451" s="48"/>
      <c r="BB451" s="48"/>
      <c r="BC451" s="48"/>
      <c r="BD451" s="48"/>
      <c r="BE451" s="48"/>
      <c r="BF451" s="48"/>
      <c r="BG451" s="48"/>
      <c r="BH451" s="48"/>
      <c r="BI451" s="48"/>
      <c r="BJ451" s="48"/>
      <c r="BK451" s="48"/>
      <c r="BL451" s="48"/>
      <c r="BM451" s="48"/>
      <c r="BN451" s="48"/>
      <c r="BO451" s="48"/>
      <c r="BP451" s="48"/>
      <c r="BQ451" s="48"/>
      <c r="BR451" s="48"/>
      <c r="BS451" s="48"/>
      <c r="BT451" s="48"/>
      <c r="BU451" s="48"/>
      <c r="BV451" s="48"/>
      <c r="BW451" s="48"/>
      <c r="BX451" s="111"/>
    </row>
    <row r="452" spans="1:76">
      <c r="A452" s="82"/>
      <c r="B452" s="82"/>
      <c r="C452" s="82" t="s">
        <v>1443</v>
      </c>
      <c r="D452" s="37"/>
      <c r="E452" s="37"/>
      <c r="F452" s="39"/>
      <c r="G452" s="59"/>
      <c r="H452" s="59"/>
      <c r="I452" s="59"/>
      <c r="J452" s="59"/>
      <c r="K452" s="59"/>
      <c r="L452" s="59"/>
      <c r="M452" s="59"/>
      <c r="N452" s="60"/>
      <c r="O452" s="36"/>
      <c r="P452" s="48"/>
      <c r="Q452" s="48"/>
      <c r="R452" s="48"/>
      <c r="S452" s="48"/>
      <c r="T452" s="48"/>
      <c r="U452" s="48"/>
      <c r="V452" s="48"/>
      <c r="W452" s="48"/>
      <c r="X452" s="48"/>
      <c r="Y452" s="48"/>
      <c r="Z452" s="48"/>
      <c r="AA452" s="48"/>
      <c r="AB452" s="48"/>
      <c r="AC452" s="48"/>
      <c r="AD452" s="48"/>
      <c r="AE452" s="48"/>
      <c r="AF452" s="48"/>
      <c r="AG452" s="48"/>
      <c r="AH452" s="48"/>
      <c r="AI452" s="48"/>
      <c r="AJ452" s="48"/>
      <c r="AK452" s="48"/>
      <c r="AL452" s="48"/>
      <c r="AM452" s="48"/>
      <c r="AN452" s="48"/>
      <c r="AO452" s="48"/>
      <c r="AP452" s="48"/>
      <c r="AQ452" s="48"/>
      <c r="AR452" s="48"/>
      <c r="AS452" s="48"/>
      <c r="AT452" s="48"/>
      <c r="AU452" s="48"/>
      <c r="AV452" s="48"/>
      <c r="AW452" s="48"/>
      <c r="AX452" s="48"/>
      <c r="AY452" s="48"/>
      <c r="AZ452" s="48"/>
      <c r="BA452" s="48"/>
      <c r="BB452" s="48"/>
      <c r="BC452" s="48"/>
      <c r="BD452" s="48"/>
      <c r="BE452" s="48"/>
      <c r="BF452" s="48"/>
      <c r="BG452" s="48"/>
      <c r="BH452" s="48"/>
      <c r="BI452" s="48"/>
      <c r="BJ452" s="48"/>
      <c r="BK452" s="48"/>
      <c r="BL452" s="48"/>
      <c r="BM452" s="48"/>
      <c r="BN452" s="48"/>
      <c r="BO452" s="48"/>
      <c r="BP452" s="48"/>
      <c r="BQ452" s="48"/>
      <c r="BR452" s="48"/>
      <c r="BS452" s="48"/>
      <c r="BT452" s="48"/>
      <c r="BU452" s="48"/>
      <c r="BV452" s="48"/>
      <c r="BW452" s="48"/>
      <c r="BX452" s="111"/>
    </row>
    <row r="453" spans="1:76">
      <c r="A453" s="37"/>
      <c r="B453" s="37"/>
      <c r="C453" s="37" t="s">
        <v>883</v>
      </c>
      <c r="D453" s="37"/>
      <c r="E453" s="37"/>
      <c r="F453" s="39"/>
      <c r="G453" s="59"/>
      <c r="H453" s="59"/>
      <c r="I453" s="59"/>
      <c r="J453" s="59"/>
      <c r="K453" s="59"/>
      <c r="L453" s="59"/>
      <c r="M453" s="59"/>
      <c r="N453" s="60"/>
      <c r="O453" s="36"/>
      <c r="P453" s="48"/>
      <c r="Q453" s="48"/>
      <c r="R453" s="48"/>
      <c r="S453" s="48"/>
      <c r="T453" s="48"/>
      <c r="U453" s="48"/>
      <c r="V453" s="48"/>
      <c r="W453" s="48"/>
      <c r="X453" s="48"/>
      <c r="Y453" s="48"/>
      <c r="Z453" s="48"/>
      <c r="AA453" s="48"/>
      <c r="AB453" s="48"/>
      <c r="AC453" s="48"/>
      <c r="AD453" s="48"/>
      <c r="AE453" s="48"/>
      <c r="AF453" s="48"/>
      <c r="AG453" s="48"/>
      <c r="AH453" s="48"/>
      <c r="AI453" s="48"/>
      <c r="AJ453" s="48"/>
      <c r="AK453" s="48"/>
      <c r="AL453" s="48"/>
      <c r="AM453" s="48"/>
      <c r="AN453" s="48"/>
      <c r="AO453" s="48"/>
      <c r="AP453" s="48"/>
      <c r="AQ453" s="48"/>
      <c r="AR453" s="48"/>
      <c r="AS453" s="48"/>
      <c r="AT453" s="48"/>
      <c r="AU453" s="48"/>
      <c r="AV453" s="48"/>
      <c r="AW453" s="48"/>
      <c r="AX453" s="48"/>
      <c r="AY453" s="48"/>
      <c r="AZ453" s="48"/>
      <c r="BA453" s="48"/>
      <c r="BB453" s="48"/>
      <c r="BC453" s="48"/>
      <c r="BD453" s="48"/>
      <c r="BE453" s="48"/>
      <c r="BF453" s="48"/>
      <c r="BG453" s="48"/>
      <c r="BH453" s="48"/>
      <c r="BI453" s="48"/>
      <c r="BJ453" s="48"/>
      <c r="BK453" s="48"/>
      <c r="BL453" s="48"/>
      <c r="BM453" s="48"/>
      <c r="BN453" s="48"/>
      <c r="BO453" s="48"/>
      <c r="BP453" s="48"/>
      <c r="BQ453" s="48"/>
      <c r="BR453" s="48"/>
      <c r="BS453" s="48"/>
      <c r="BT453" s="48"/>
      <c r="BU453" s="48"/>
      <c r="BV453" s="48"/>
      <c r="BW453" s="48"/>
      <c r="BX453" s="111"/>
    </row>
    <row r="454" spans="1:76">
      <c r="A454" s="37"/>
      <c r="B454" s="37"/>
      <c r="C454" s="37" t="s">
        <v>2183</v>
      </c>
      <c r="D454" s="37"/>
      <c r="E454" s="37"/>
      <c r="F454" s="39"/>
      <c r="G454" s="83" t="str">
        <f t="shared" ref="G454:N454" si="73">IF(AND(OR(ISTEXT(G455), ISBLANK(G455)),OR(ISTEXT(G456), ISBLANK(G456)),TRUE),"",+IF(ISTEXT(G455), 0,G455)+IF(ISTEXT(G456), 0,G456))</f>
        <v/>
      </c>
      <c r="H454" s="83" t="str">
        <f t="shared" si="73"/>
        <v/>
      </c>
      <c r="I454" s="83" t="str">
        <f t="shared" si="73"/>
        <v/>
      </c>
      <c r="J454" s="83" t="str">
        <f t="shared" si="73"/>
        <v/>
      </c>
      <c r="K454" s="83" t="str">
        <f t="shared" si="73"/>
        <v/>
      </c>
      <c r="L454" s="83" t="str">
        <f t="shared" si="73"/>
        <v/>
      </c>
      <c r="M454" s="83" t="str">
        <f t="shared" si="73"/>
        <v/>
      </c>
      <c r="N454" s="84" t="str">
        <f t="shared" si="73"/>
        <v/>
      </c>
      <c r="O454" s="36"/>
      <c r="P454" s="48"/>
      <c r="Q454" s="48"/>
      <c r="R454" s="48"/>
      <c r="S454" s="48"/>
      <c r="T454" s="48"/>
      <c r="U454" s="48"/>
      <c r="V454" s="48"/>
      <c r="W454" s="48"/>
      <c r="X454" s="48"/>
      <c r="Y454" s="48"/>
      <c r="Z454" s="48"/>
      <c r="AA454" s="48"/>
      <c r="AB454" s="48"/>
      <c r="AC454" s="48"/>
      <c r="AD454" s="48"/>
      <c r="AE454" s="48"/>
      <c r="AF454" s="48"/>
      <c r="AG454" s="48"/>
      <c r="AH454" s="48"/>
      <c r="AI454" s="48"/>
      <c r="AJ454" s="48"/>
      <c r="AK454" s="48"/>
      <c r="AL454" s="48"/>
      <c r="AM454" s="48"/>
      <c r="AN454" s="48"/>
      <c r="AO454" s="48"/>
      <c r="AP454" s="48"/>
      <c r="AQ454" s="48"/>
      <c r="AR454" s="48"/>
      <c r="AS454" s="48"/>
      <c r="AT454" s="48"/>
      <c r="AU454" s="48"/>
      <c r="AV454" s="48"/>
      <c r="AW454" s="48"/>
      <c r="AX454" s="48"/>
      <c r="AY454" s="48"/>
      <c r="AZ454" s="48"/>
      <c r="BA454" s="48"/>
      <c r="BB454" s="48"/>
      <c r="BC454" s="48"/>
      <c r="BD454" s="48"/>
      <c r="BE454" s="48"/>
      <c r="BF454" s="48"/>
      <c r="BG454" s="48"/>
      <c r="BH454" s="48"/>
      <c r="BI454" s="48"/>
      <c r="BJ454" s="48"/>
      <c r="BK454" s="48"/>
      <c r="BL454" s="48"/>
      <c r="BM454" s="48"/>
      <c r="BN454" s="48"/>
      <c r="BO454" s="48"/>
      <c r="BP454" s="48"/>
      <c r="BQ454" s="48"/>
      <c r="BR454" s="48"/>
      <c r="BS454" s="48"/>
      <c r="BT454" s="48"/>
      <c r="BU454" s="48"/>
      <c r="BV454" s="48"/>
      <c r="BW454" s="48"/>
      <c r="BX454" s="111"/>
    </row>
    <row r="455" spans="1:76">
      <c r="A455" s="82"/>
      <c r="B455" s="82"/>
      <c r="C455" s="82"/>
      <c r="D455" s="82" t="s">
        <v>154</v>
      </c>
      <c r="E455" s="37"/>
      <c r="F455" s="39"/>
      <c r="G455" s="59"/>
      <c r="H455" s="59"/>
      <c r="I455" s="59"/>
      <c r="J455" s="59"/>
      <c r="K455" s="59"/>
      <c r="L455" s="59"/>
      <c r="M455" s="59"/>
      <c r="N455" s="60"/>
      <c r="O455" s="36"/>
      <c r="P455" s="48"/>
      <c r="Q455" s="48"/>
      <c r="R455" s="48"/>
      <c r="S455" s="48"/>
      <c r="T455" s="48"/>
      <c r="U455" s="48"/>
      <c r="V455" s="48"/>
      <c r="W455" s="48"/>
      <c r="X455" s="48"/>
      <c r="Y455" s="48"/>
      <c r="Z455" s="48"/>
      <c r="AA455" s="48"/>
      <c r="AB455" s="48"/>
      <c r="AC455" s="48"/>
      <c r="AD455" s="48"/>
      <c r="AE455" s="48"/>
      <c r="AF455" s="48"/>
      <c r="AG455" s="48"/>
      <c r="AH455" s="48"/>
      <c r="AI455" s="48"/>
      <c r="AJ455" s="48"/>
      <c r="AK455" s="48"/>
      <c r="AL455" s="48"/>
      <c r="AM455" s="48"/>
      <c r="AN455" s="48"/>
      <c r="AO455" s="48"/>
      <c r="AP455" s="48"/>
      <c r="AQ455" s="48"/>
      <c r="AR455" s="48"/>
      <c r="AS455" s="48"/>
      <c r="AT455" s="48"/>
      <c r="AU455" s="48"/>
      <c r="AV455" s="48"/>
      <c r="AW455" s="48"/>
      <c r="AX455" s="48"/>
      <c r="AY455" s="48"/>
      <c r="AZ455" s="48"/>
      <c r="BA455" s="48"/>
      <c r="BB455" s="48"/>
      <c r="BC455" s="48"/>
      <c r="BD455" s="48"/>
      <c r="BE455" s="48"/>
      <c r="BF455" s="48"/>
      <c r="BG455" s="48"/>
      <c r="BH455" s="48"/>
      <c r="BI455" s="48"/>
      <c r="BJ455" s="48"/>
      <c r="BK455" s="48"/>
      <c r="BL455" s="48"/>
      <c r="BM455" s="48"/>
      <c r="BN455" s="48"/>
      <c r="BO455" s="48"/>
      <c r="BP455" s="48"/>
      <c r="BQ455" s="48"/>
      <c r="BR455" s="48"/>
      <c r="BS455" s="48"/>
      <c r="BT455" s="48"/>
      <c r="BU455" s="48"/>
      <c r="BV455" s="48"/>
      <c r="BW455" s="48"/>
      <c r="BX455" s="111"/>
    </row>
    <row r="456" spans="1:76">
      <c r="A456" s="82"/>
      <c r="B456" s="82"/>
      <c r="C456" s="82"/>
      <c r="D456" s="82" t="s">
        <v>1620</v>
      </c>
      <c r="E456" s="37"/>
      <c r="F456" s="39"/>
      <c r="G456" s="59"/>
      <c r="H456" s="59"/>
      <c r="I456" s="59"/>
      <c r="J456" s="59"/>
      <c r="K456" s="59"/>
      <c r="L456" s="59"/>
      <c r="M456" s="59"/>
      <c r="N456" s="60"/>
      <c r="O456" s="36"/>
      <c r="P456" s="48"/>
      <c r="Q456" s="48"/>
      <c r="R456" s="48"/>
      <c r="S456" s="48"/>
      <c r="T456" s="48"/>
      <c r="U456" s="48"/>
      <c r="V456" s="48"/>
      <c r="W456" s="48"/>
      <c r="X456" s="48"/>
      <c r="Y456" s="48"/>
      <c r="Z456" s="48"/>
      <c r="AA456" s="48"/>
      <c r="AB456" s="48"/>
      <c r="AC456" s="48"/>
      <c r="AD456" s="48"/>
      <c r="AE456" s="48"/>
      <c r="AF456" s="48"/>
      <c r="AG456" s="48"/>
      <c r="AH456" s="48"/>
      <c r="AI456" s="48"/>
      <c r="AJ456" s="48"/>
      <c r="AK456" s="48"/>
      <c r="AL456" s="48"/>
      <c r="AM456" s="48"/>
      <c r="AN456" s="48"/>
      <c r="AO456" s="48"/>
      <c r="AP456" s="48"/>
      <c r="AQ456" s="48"/>
      <c r="AR456" s="48"/>
      <c r="AS456" s="48"/>
      <c r="AT456" s="48"/>
      <c r="AU456" s="48"/>
      <c r="AV456" s="48"/>
      <c r="AW456" s="48"/>
      <c r="AX456" s="48"/>
      <c r="AY456" s="48"/>
      <c r="AZ456" s="48"/>
      <c r="BA456" s="48"/>
      <c r="BB456" s="48"/>
      <c r="BC456" s="48"/>
      <c r="BD456" s="48"/>
      <c r="BE456" s="48"/>
      <c r="BF456" s="48"/>
      <c r="BG456" s="48"/>
      <c r="BH456" s="48"/>
      <c r="BI456" s="48"/>
      <c r="BJ456" s="48"/>
      <c r="BK456" s="48"/>
      <c r="BL456" s="48"/>
      <c r="BM456" s="48"/>
      <c r="BN456" s="48"/>
      <c r="BO456" s="48"/>
      <c r="BP456" s="48"/>
      <c r="BQ456" s="48"/>
      <c r="BR456" s="48"/>
      <c r="BS456" s="48"/>
      <c r="BT456" s="48"/>
      <c r="BU456" s="48"/>
      <c r="BV456" s="48"/>
      <c r="BW456" s="48"/>
      <c r="BX456" s="111"/>
    </row>
    <row r="457" spans="1:76">
      <c r="A457" s="82"/>
      <c r="B457" s="82"/>
      <c r="C457" s="82" t="s">
        <v>911</v>
      </c>
      <c r="D457" s="82"/>
      <c r="E457" s="37"/>
      <c r="F457" s="39"/>
      <c r="G457" s="59">
        <v>9</v>
      </c>
      <c r="H457" s="59">
        <v>14</v>
      </c>
      <c r="I457" s="59">
        <v>95</v>
      </c>
      <c r="J457" s="59">
        <v>8</v>
      </c>
      <c r="K457" s="59">
        <v>3</v>
      </c>
      <c r="L457" s="59">
        <v>2</v>
      </c>
      <c r="M457" s="59">
        <v>-3</v>
      </c>
      <c r="N457" s="60">
        <v>0</v>
      </c>
      <c r="O457" s="36"/>
      <c r="P457" s="48"/>
      <c r="Q457" s="48"/>
      <c r="R457" s="48"/>
      <c r="S457" s="48"/>
      <c r="T457" s="48"/>
      <c r="U457" s="48"/>
      <c r="V457" s="48"/>
      <c r="W457" s="48"/>
      <c r="X457" s="48"/>
      <c r="Y457" s="48"/>
      <c r="Z457" s="48"/>
      <c r="AA457" s="48"/>
      <c r="AB457" s="48"/>
      <c r="AC457" s="48"/>
      <c r="AD457" s="48"/>
      <c r="AE457" s="48"/>
      <c r="AF457" s="48"/>
      <c r="AG457" s="48"/>
      <c r="AH457" s="48"/>
      <c r="AI457" s="48"/>
      <c r="AJ457" s="48"/>
      <c r="AK457" s="48"/>
      <c r="AL457" s="48"/>
      <c r="AM457" s="48"/>
      <c r="AN457" s="48"/>
      <c r="AO457" s="48"/>
      <c r="AP457" s="48"/>
      <c r="AQ457" s="48"/>
      <c r="AR457" s="48"/>
      <c r="AS457" s="48"/>
      <c r="AT457" s="48"/>
      <c r="AU457" s="48"/>
      <c r="AV457" s="48"/>
      <c r="AW457" s="48"/>
      <c r="AX457" s="48"/>
      <c r="AY457" s="48"/>
      <c r="AZ457" s="48"/>
      <c r="BA457" s="48"/>
      <c r="BB457" s="48"/>
      <c r="BC457" s="48"/>
      <c r="BD457" s="48"/>
      <c r="BE457" s="48"/>
      <c r="BF457" s="48"/>
      <c r="BG457" s="48"/>
      <c r="BH457" s="48"/>
      <c r="BI457" s="48"/>
      <c r="BJ457" s="48"/>
      <c r="BK457" s="48"/>
      <c r="BL457" s="48"/>
      <c r="BM457" s="48"/>
      <c r="BN457" s="48"/>
      <c r="BO457" s="48"/>
      <c r="BP457" s="48"/>
      <c r="BQ457" s="48"/>
      <c r="BR457" s="48"/>
      <c r="BS457" s="48"/>
      <c r="BT457" s="48"/>
      <c r="BU457" s="48"/>
      <c r="BV457" s="48"/>
      <c r="BW457" s="48"/>
      <c r="BX457" s="111"/>
    </row>
    <row r="458" spans="1:76">
      <c r="A458" s="82"/>
      <c r="B458" s="82"/>
      <c r="C458" s="82" t="s">
        <v>1273</v>
      </c>
      <c r="D458" s="82"/>
      <c r="E458" s="37"/>
      <c r="F458" s="39"/>
      <c r="G458" s="59">
        <v>11</v>
      </c>
      <c r="H458" s="59">
        <v>0</v>
      </c>
      <c r="I458" s="59"/>
      <c r="J458" s="59"/>
      <c r="K458" s="59"/>
      <c r="L458" s="59"/>
      <c r="M458" s="59"/>
      <c r="N458" s="59"/>
      <c r="O458" s="36"/>
      <c r="P458" s="48"/>
      <c r="Q458" s="48"/>
      <c r="R458" s="48"/>
      <c r="S458" s="48"/>
      <c r="T458" s="48"/>
      <c r="U458" s="48"/>
      <c r="V458" s="48"/>
      <c r="W458" s="48"/>
      <c r="X458" s="48"/>
      <c r="Y458" s="48"/>
      <c r="Z458" s="48"/>
      <c r="AA458" s="48"/>
      <c r="AB458" s="48"/>
      <c r="AC458" s="48"/>
      <c r="AD458" s="48"/>
      <c r="AE458" s="48"/>
      <c r="AF458" s="48"/>
      <c r="AG458" s="48"/>
      <c r="AH458" s="48"/>
      <c r="AI458" s="48"/>
      <c r="AJ458" s="48"/>
      <c r="AK458" s="48"/>
      <c r="AL458" s="48"/>
      <c r="AM458" s="48"/>
      <c r="AN458" s="48"/>
      <c r="AO458" s="48"/>
      <c r="AP458" s="48"/>
      <c r="AQ458" s="48"/>
      <c r="AR458" s="48"/>
      <c r="AS458" s="48"/>
      <c r="AT458" s="48"/>
      <c r="AU458" s="48"/>
      <c r="AV458" s="48"/>
      <c r="AW458" s="48"/>
      <c r="AX458" s="48"/>
      <c r="AY458" s="48"/>
      <c r="AZ458" s="48"/>
      <c r="BA458" s="48"/>
      <c r="BB458" s="48"/>
      <c r="BC458" s="48"/>
      <c r="BD458" s="48"/>
      <c r="BE458" s="48"/>
      <c r="BF458" s="48"/>
      <c r="BG458" s="48"/>
      <c r="BH458" s="48"/>
      <c r="BI458" s="48"/>
      <c r="BJ458" s="48"/>
      <c r="BK458" s="48"/>
      <c r="BL458" s="48"/>
      <c r="BM458" s="48"/>
      <c r="BN458" s="48"/>
      <c r="BO458" s="48"/>
      <c r="BP458" s="48"/>
      <c r="BQ458" s="48"/>
      <c r="BR458" s="48"/>
      <c r="BS458" s="48"/>
      <c r="BT458" s="48"/>
      <c r="BU458" s="48"/>
      <c r="BV458" s="48"/>
      <c r="BW458" s="48"/>
      <c r="BX458" s="111"/>
    </row>
    <row r="459" spans="1:76">
      <c r="A459" s="37"/>
      <c r="B459" s="37"/>
      <c r="C459" s="37" t="s">
        <v>783</v>
      </c>
      <c r="D459" s="37"/>
      <c r="E459" s="37"/>
      <c r="F459" s="39"/>
      <c r="G459" s="59"/>
      <c r="H459" s="59"/>
      <c r="I459" s="59"/>
      <c r="J459" s="59"/>
      <c r="K459" s="59"/>
      <c r="L459" s="59"/>
      <c r="M459" s="59"/>
      <c r="N459" s="60"/>
      <c r="O459" s="36"/>
      <c r="P459" s="48"/>
      <c r="Q459" s="48"/>
      <c r="R459" s="48"/>
      <c r="S459" s="48"/>
      <c r="T459" s="48"/>
      <c r="U459" s="48"/>
      <c r="V459" s="48"/>
      <c r="W459" s="48"/>
      <c r="X459" s="48"/>
      <c r="Y459" s="48"/>
      <c r="Z459" s="48"/>
      <c r="AA459" s="48"/>
      <c r="AB459" s="48"/>
      <c r="AC459" s="48"/>
      <c r="AD459" s="48"/>
      <c r="AE459" s="48"/>
      <c r="AF459" s="48"/>
      <c r="AG459" s="48"/>
      <c r="AH459" s="48"/>
      <c r="AI459" s="48"/>
      <c r="AJ459" s="48"/>
      <c r="AK459" s="48"/>
      <c r="AL459" s="48"/>
      <c r="AM459" s="48"/>
      <c r="AN459" s="48"/>
      <c r="AO459" s="48"/>
      <c r="AP459" s="48"/>
      <c r="AQ459" s="48"/>
      <c r="AR459" s="48"/>
      <c r="AS459" s="48"/>
      <c r="AT459" s="48"/>
      <c r="AU459" s="48"/>
      <c r="AV459" s="48"/>
      <c r="AW459" s="48"/>
      <c r="AX459" s="48"/>
      <c r="AY459" s="48"/>
      <c r="AZ459" s="48"/>
      <c r="BA459" s="48"/>
      <c r="BB459" s="48"/>
      <c r="BC459" s="48"/>
      <c r="BD459" s="48"/>
      <c r="BE459" s="48"/>
      <c r="BF459" s="48"/>
      <c r="BG459" s="48"/>
      <c r="BH459" s="48"/>
      <c r="BI459" s="48"/>
      <c r="BJ459" s="48"/>
      <c r="BK459" s="48"/>
      <c r="BL459" s="48"/>
      <c r="BM459" s="48"/>
      <c r="BN459" s="48"/>
      <c r="BO459" s="48"/>
      <c r="BP459" s="48"/>
      <c r="BQ459" s="48"/>
      <c r="BR459" s="48"/>
      <c r="BS459" s="48"/>
      <c r="BT459" s="48"/>
      <c r="BU459" s="48"/>
      <c r="BV459" s="48"/>
      <c r="BW459" s="48"/>
      <c r="BX459" s="111"/>
    </row>
    <row r="460" spans="1:76">
      <c r="A460" s="37"/>
      <c r="B460" s="37"/>
      <c r="C460" s="37" t="s">
        <v>584</v>
      </c>
      <c r="D460" s="37"/>
      <c r="E460" s="37"/>
      <c r="F460" s="39"/>
      <c r="G460" s="59">
        <v>-8</v>
      </c>
      <c r="H460" s="59">
        <v>-4</v>
      </c>
      <c r="I460" s="59">
        <v>-17</v>
      </c>
      <c r="J460" s="59">
        <v>-63</v>
      </c>
      <c r="K460" s="59">
        <v>6</v>
      </c>
      <c r="L460" s="59">
        <v>14</v>
      </c>
      <c r="M460" s="59">
        <v>6</v>
      </c>
      <c r="N460" s="60">
        <v>-22</v>
      </c>
      <c r="O460" s="36"/>
      <c r="P460" s="48"/>
      <c r="Q460" s="48"/>
      <c r="R460" s="48"/>
      <c r="S460" s="48"/>
      <c r="T460" s="48"/>
      <c r="U460" s="48"/>
      <c r="V460" s="48"/>
      <c r="W460" s="48"/>
      <c r="X460" s="48"/>
      <c r="Y460" s="48"/>
      <c r="Z460" s="48"/>
      <c r="AA460" s="48"/>
      <c r="AB460" s="48"/>
      <c r="AC460" s="48"/>
      <c r="AD460" s="48"/>
      <c r="AE460" s="48"/>
      <c r="AF460" s="48"/>
      <c r="AG460" s="48"/>
      <c r="AH460" s="48"/>
      <c r="AI460" s="48"/>
      <c r="AJ460" s="48"/>
      <c r="AK460" s="48"/>
      <c r="AL460" s="48"/>
      <c r="AM460" s="48"/>
      <c r="AN460" s="48"/>
      <c r="AO460" s="48"/>
      <c r="AP460" s="48"/>
      <c r="AQ460" s="48"/>
      <c r="AR460" s="48"/>
      <c r="AS460" s="48"/>
      <c r="AT460" s="48"/>
      <c r="AU460" s="48"/>
      <c r="AV460" s="48"/>
      <c r="AW460" s="48"/>
      <c r="AX460" s="48"/>
      <c r="AY460" s="48"/>
      <c r="AZ460" s="48"/>
      <c r="BA460" s="48"/>
      <c r="BB460" s="48"/>
      <c r="BC460" s="48"/>
      <c r="BD460" s="48"/>
      <c r="BE460" s="48"/>
      <c r="BF460" s="48"/>
      <c r="BG460" s="48"/>
      <c r="BH460" s="48"/>
      <c r="BI460" s="48"/>
      <c r="BJ460" s="48"/>
      <c r="BK460" s="48"/>
      <c r="BL460" s="48"/>
      <c r="BM460" s="48"/>
      <c r="BN460" s="48"/>
      <c r="BO460" s="48"/>
      <c r="BP460" s="48"/>
      <c r="BQ460" s="48"/>
      <c r="BR460" s="48"/>
      <c r="BS460" s="48"/>
      <c r="BT460" s="48"/>
      <c r="BU460" s="48"/>
      <c r="BV460" s="48"/>
      <c r="BW460" s="48"/>
      <c r="BX460" s="111"/>
    </row>
    <row r="461" spans="1:76">
      <c r="A461" s="37"/>
      <c r="B461" s="37"/>
      <c r="C461" s="37" t="s">
        <v>585</v>
      </c>
      <c r="D461" s="37"/>
      <c r="E461" s="37"/>
      <c r="F461" s="39"/>
      <c r="G461" s="59"/>
      <c r="H461" s="59"/>
      <c r="I461" s="59"/>
      <c r="J461" s="59"/>
      <c r="K461" s="59"/>
      <c r="L461" s="59"/>
      <c r="M461" s="59"/>
      <c r="N461" s="60"/>
      <c r="O461" s="58"/>
      <c r="P461" s="48"/>
      <c r="Q461" s="48"/>
      <c r="R461" s="48"/>
      <c r="S461" s="48"/>
      <c r="T461" s="48"/>
      <c r="U461" s="48"/>
      <c r="V461" s="48"/>
      <c r="W461" s="48"/>
      <c r="X461" s="48"/>
      <c r="Y461" s="48"/>
      <c r="Z461" s="48"/>
      <c r="AA461" s="48"/>
      <c r="AB461" s="48"/>
      <c r="AC461" s="48"/>
      <c r="AD461" s="48"/>
      <c r="AE461" s="48"/>
      <c r="AF461" s="48"/>
      <c r="AG461" s="48"/>
      <c r="AH461" s="48"/>
      <c r="AI461" s="48"/>
      <c r="AJ461" s="48"/>
      <c r="AK461" s="48"/>
      <c r="AL461" s="48"/>
      <c r="AM461" s="48"/>
      <c r="AN461" s="48"/>
      <c r="AO461" s="48"/>
      <c r="AP461" s="48"/>
      <c r="AQ461" s="48"/>
      <c r="AR461" s="48"/>
      <c r="AS461" s="48"/>
      <c r="AT461" s="48"/>
      <c r="AU461" s="48"/>
      <c r="AV461" s="48"/>
      <c r="AW461" s="48"/>
      <c r="AX461" s="48"/>
      <c r="AY461" s="48"/>
      <c r="AZ461" s="48"/>
      <c r="BA461" s="48"/>
      <c r="BB461" s="48"/>
      <c r="BC461" s="48"/>
      <c r="BD461" s="48"/>
      <c r="BE461" s="48"/>
      <c r="BF461" s="48"/>
      <c r="BG461" s="48"/>
      <c r="BH461" s="48"/>
      <c r="BI461" s="48"/>
      <c r="BJ461" s="48"/>
      <c r="BK461" s="48"/>
      <c r="BL461" s="48"/>
      <c r="BM461" s="48"/>
      <c r="BN461" s="48"/>
      <c r="BO461" s="48"/>
      <c r="BP461" s="48"/>
      <c r="BQ461" s="48"/>
      <c r="BR461" s="48"/>
      <c r="BS461" s="48"/>
      <c r="BT461" s="48"/>
      <c r="BU461" s="48"/>
      <c r="BV461" s="48"/>
      <c r="BW461" s="48"/>
      <c r="BX461" s="111"/>
    </row>
    <row r="462" spans="1:76">
      <c r="A462" s="37"/>
      <c r="B462" s="37"/>
      <c r="C462" s="37" t="s">
        <v>913</v>
      </c>
      <c r="D462" s="37"/>
      <c r="E462" s="37"/>
      <c r="F462" s="39"/>
      <c r="G462" s="59"/>
      <c r="H462" s="59"/>
      <c r="I462" s="59"/>
      <c r="J462" s="59"/>
      <c r="K462" s="59"/>
      <c r="L462" s="59"/>
      <c r="M462" s="59"/>
      <c r="N462" s="60"/>
      <c r="O462" s="36"/>
      <c r="P462" s="48"/>
      <c r="Q462" s="48"/>
      <c r="R462" s="48"/>
      <c r="S462" s="48"/>
      <c r="T462" s="48"/>
      <c r="U462" s="48"/>
      <c r="V462" s="48"/>
      <c r="W462" s="48"/>
      <c r="X462" s="48"/>
      <c r="Y462" s="48"/>
      <c r="Z462" s="48"/>
      <c r="AA462" s="48"/>
      <c r="AB462" s="48"/>
      <c r="AC462" s="48"/>
      <c r="AD462" s="48"/>
      <c r="AE462" s="48"/>
      <c r="AF462" s="48"/>
      <c r="AG462" s="48"/>
      <c r="AH462" s="48"/>
      <c r="AI462" s="48"/>
      <c r="AJ462" s="48"/>
      <c r="AK462" s="48"/>
      <c r="AL462" s="48"/>
      <c r="AM462" s="48"/>
      <c r="AN462" s="48"/>
      <c r="AO462" s="48"/>
      <c r="AP462" s="48"/>
      <c r="AQ462" s="48"/>
      <c r="AR462" s="48"/>
      <c r="AS462" s="48"/>
      <c r="AT462" s="48"/>
      <c r="AU462" s="48"/>
      <c r="AV462" s="48"/>
      <c r="AW462" s="48"/>
      <c r="AX462" s="48"/>
      <c r="AY462" s="48"/>
      <c r="AZ462" s="48"/>
      <c r="BA462" s="48"/>
      <c r="BB462" s="48"/>
      <c r="BC462" s="48"/>
      <c r="BD462" s="48"/>
      <c r="BE462" s="48"/>
      <c r="BF462" s="48"/>
      <c r="BG462" s="48"/>
      <c r="BH462" s="48"/>
      <c r="BI462" s="48"/>
      <c r="BJ462" s="48"/>
      <c r="BK462" s="48"/>
      <c r="BL462" s="48"/>
      <c r="BM462" s="48"/>
      <c r="BN462" s="48"/>
      <c r="BO462" s="48"/>
      <c r="BP462" s="48"/>
      <c r="BQ462" s="48"/>
      <c r="BR462" s="48"/>
      <c r="BS462" s="48"/>
      <c r="BT462" s="48"/>
      <c r="BU462" s="48"/>
      <c r="BV462" s="48"/>
      <c r="BW462" s="48"/>
      <c r="BX462" s="111"/>
    </row>
    <row r="463" spans="1:76">
      <c r="A463" s="37"/>
      <c r="B463" s="37"/>
      <c r="C463" s="37" t="s">
        <v>27</v>
      </c>
      <c r="D463" s="37"/>
      <c r="E463" s="37"/>
      <c r="F463" s="39"/>
      <c r="G463" s="59"/>
      <c r="H463" s="59"/>
      <c r="I463" s="59"/>
      <c r="J463" s="59"/>
      <c r="K463" s="59"/>
      <c r="L463" s="59">
        <v>-19</v>
      </c>
      <c r="M463" s="59">
        <v>8</v>
      </c>
      <c r="N463" s="60">
        <v>-52</v>
      </c>
      <c r="O463" s="36"/>
      <c r="P463" s="48"/>
      <c r="Q463" s="48"/>
      <c r="R463" s="48"/>
      <c r="S463" s="48"/>
      <c r="T463" s="48"/>
      <c r="U463" s="48"/>
      <c r="V463" s="48"/>
      <c r="W463" s="48"/>
      <c r="X463" s="48"/>
      <c r="Y463" s="48"/>
      <c r="Z463" s="48"/>
      <c r="AA463" s="48"/>
      <c r="AB463" s="48"/>
      <c r="AC463" s="48"/>
      <c r="AD463" s="48"/>
      <c r="AE463" s="48"/>
      <c r="AF463" s="48"/>
      <c r="AG463" s="48"/>
      <c r="AH463" s="48"/>
      <c r="AI463" s="48"/>
      <c r="AJ463" s="48"/>
      <c r="AK463" s="48"/>
      <c r="AL463" s="48"/>
      <c r="AM463" s="48"/>
      <c r="AN463" s="48"/>
      <c r="AO463" s="48"/>
      <c r="AP463" s="48"/>
      <c r="AQ463" s="48"/>
      <c r="AR463" s="48"/>
      <c r="AS463" s="48"/>
      <c r="AT463" s="48"/>
      <c r="AU463" s="48"/>
      <c r="AV463" s="48"/>
      <c r="AW463" s="48"/>
      <c r="AX463" s="48"/>
      <c r="AY463" s="48"/>
      <c r="AZ463" s="48"/>
      <c r="BA463" s="48"/>
      <c r="BB463" s="48"/>
      <c r="BC463" s="48"/>
      <c r="BD463" s="48"/>
      <c r="BE463" s="48"/>
      <c r="BF463" s="48"/>
      <c r="BG463" s="48"/>
      <c r="BH463" s="48"/>
      <c r="BI463" s="48"/>
      <c r="BJ463" s="48"/>
      <c r="BK463" s="48"/>
      <c r="BL463" s="48"/>
      <c r="BM463" s="48"/>
      <c r="BN463" s="48"/>
      <c r="BO463" s="48"/>
      <c r="BP463" s="48"/>
      <c r="BQ463" s="48"/>
      <c r="BR463" s="48"/>
      <c r="BS463" s="48"/>
      <c r="BT463" s="48"/>
      <c r="BU463" s="48"/>
      <c r="BV463" s="48"/>
      <c r="BW463" s="48"/>
      <c r="BX463" s="111"/>
    </row>
    <row r="464" spans="1:76">
      <c r="A464" s="37"/>
      <c r="B464" s="37"/>
      <c r="C464" s="37" t="s">
        <v>28</v>
      </c>
      <c r="D464" s="37"/>
      <c r="E464" s="37"/>
      <c r="F464" s="39"/>
      <c r="G464" s="59">
        <v>-102</v>
      </c>
      <c r="H464" s="59">
        <v>-36</v>
      </c>
      <c r="I464" s="59">
        <v>21</v>
      </c>
      <c r="J464" s="59">
        <v>-13</v>
      </c>
      <c r="K464" s="59">
        <v>98</v>
      </c>
      <c r="L464" s="59">
        <v>21</v>
      </c>
      <c r="M464" s="59">
        <v>6</v>
      </c>
      <c r="N464" s="60">
        <v>-67</v>
      </c>
      <c r="O464" s="36"/>
      <c r="P464" s="48"/>
      <c r="Q464" s="48"/>
      <c r="R464" s="48"/>
      <c r="S464" s="48"/>
      <c r="T464" s="48"/>
      <c r="U464" s="48"/>
      <c r="V464" s="48"/>
      <c r="W464" s="48"/>
      <c r="X464" s="48"/>
      <c r="Y464" s="48"/>
      <c r="Z464" s="48"/>
      <c r="AA464" s="48"/>
      <c r="AB464" s="48"/>
      <c r="AC464" s="48"/>
      <c r="AD464" s="48"/>
      <c r="AE464" s="48"/>
      <c r="AF464" s="48"/>
      <c r="AG464" s="48"/>
      <c r="AH464" s="48"/>
      <c r="AI464" s="48"/>
      <c r="AJ464" s="48"/>
      <c r="AK464" s="48"/>
      <c r="AL464" s="48"/>
      <c r="AM464" s="48"/>
      <c r="AN464" s="48"/>
      <c r="AO464" s="48"/>
      <c r="AP464" s="48"/>
      <c r="AQ464" s="48"/>
      <c r="AR464" s="48"/>
      <c r="AS464" s="48"/>
      <c r="AT464" s="48"/>
      <c r="AU464" s="48"/>
      <c r="AV464" s="48"/>
      <c r="AW464" s="48"/>
      <c r="AX464" s="48"/>
      <c r="AY464" s="48"/>
      <c r="AZ464" s="48"/>
      <c r="BA464" s="48"/>
      <c r="BB464" s="48"/>
      <c r="BC464" s="48"/>
      <c r="BD464" s="48"/>
      <c r="BE464" s="48"/>
      <c r="BF464" s="48"/>
      <c r="BG464" s="48"/>
      <c r="BH464" s="48"/>
      <c r="BI464" s="48"/>
      <c r="BJ464" s="48"/>
      <c r="BK464" s="48"/>
      <c r="BL464" s="48"/>
      <c r="BM464" s="48"/>
      <c r="BN464" s="48"/>
      <c r="BO464" s="48"/>
      <c r="BP464" s="48"/>
      <c r="BQ464" s="48"/>
      <c r="BR464" s="48"/>
      <c r="BS464" s="48"/>
      <c r="BT464" s="48"/>
      <c r="BU464" s="48"/>
      <c r="BV464" s="48"/>
      <c r="BW464" s="48"/>
      <c r="BX464" s="111"/>
    </row>
    <row r="465" spans="1:76">
      <c r="A465" s="37"/>
      <c r="B465" s="37"/>
      <c r="C465" s="37" t="s">
        <v>29</v>
      </c>
      <c r="D465" s="37"/>
      <c r="E465" s="37"/>
      <c r="F465" s="39"/>
      <c r="G465" s="59"/>
      <c r="H465" s="59"/>
      <c r="I465" s="59"/>
      <c r="J465" s="59"/>
      <c r="K465" s="59"/>
      <c r="L465" s="59"/>
      <c r="M465" s="59"/>
      <c r="N465" s="60"/>
      <c r="O465" s="36"/>
      <c r="P465" s="48"/>
      <c r="Q465" s="48"/>
      <c r="R465" s="48"/>
      <c r="S465" s="48"/>
      <c r="T465" s="48"/>
      <c r="U465" s="48"/>
      <c r="V465" s="48"/>
      <c r="W465" s="48"/>
      <c r="X465" s="48"/>
      <c r="Y465" s="48"/>
      <c r="Z465" s="48"/>
      <c r="AA465" s="48"/>
      <c r="AB465" s="48"/>
      <c r="AC465" s="48"/>
      <c r="AD465" s="48"/>
      <c r="AE465" s="48"/>
      <c r="AF465" s="48"/>
      <c r="AG465" s="48"/>
      <c r="AH465" s="48"/>
      <c r="AI465" s="48"/>
      <c r="AJ465" s="48"/>
      <c r="AK465" s="48"/>
      <c r="AL465" s="48"/>
      <c r="AM465" s="48"/>
      <c r="AN465" s="48"/>
      <c r="AO465" s="48"/>
      <c r="AP465" s="48"/>
      <c r="AQ465" s="48"/>
      <c r="AR465" s="48"/>
      <c r="AS465" s="48"/>
      <c r="AT465" s="48"/>
      <c r="AU465" s="48"/>
      <c r="AV465" s="48"/>
      <c r="AW465" s="48"/>
      <c r="AX465" s="48"/>
      <c r="AY465" s="48"/>
      <c r="AZ465" s="48"/>
      <c r="BA465" s="48"/>
      <c r="BB465" s="48"/>
      <c r="BC465" s="48"/>
      <c r="BD465" s="48"/>
      <c r="BE465" s="48"/>
      <c r="BF465" s="48"/>
      <c r="BG465" s="48"/>
      <c r="BH465" s="48"/>
      <c r="BI465" s="48"/>
      <c r="BJ465" s="48"/>
      <c r="BK465" s="48"/>
      <c r="BL465" s="48"/>
      <c r="BM465" s="48"/>
      <c r="BN465" s="48"/>
      <c r="BO465" s="48"/>
      <c r="BP465" s="48"/>
      <c r="BQ465" s="48"/>
      <c r="BR465" s="48"/>
      <c r="BS465" s="48"/>
      <c r="BT465" s="48"/>
      <c r="BU465" s="48"/>
      <c r="BV465" s="48"/>
      <c r="BW465" s="48"/>
      <c r="BX465" s="111"/>
    </row>
    <row r="466" spans="1:76">
      <c r="A466" s="37"/>
      <c r="B466" s="37"/>
      <c r="C466" s="37" t="s">
        <v>101</v>
      </c>
      <c r="D466" s="37"/>
      <c r="E466" s="37"/>
      <c r="F466" s="39"/>
      <c r="G466" s="59">
        <v>630</v>
      </c>
      <c r="H466" s="59">
        <v>-641</v>
      </c>
      <c r="I466" s="59">
        <v>-65</v>
      </c>
      <c r="J466" s="59">
        <v>-37</v>
      </c>
      <c r="K466" s="59"/>
      <c r="L466" s="59"/>
      <c r="M466" s="59"/>
      <c r="N466" s="59"/>
      <c r="O466" s="36"/>
      <c r="P466" s="48"/>
      <c r="Q466" s="48"/>
      <c r="R466" s="48"/>
      <c r="S466" s="48"/>
      <c r="T466" s="48"/>
      <c r="U466" s="48"/>
      <c r="V466" s="48"/>
      <c r="W466" s="48"/>
      <c r="X466" s="48"/>
      <c r="Y466" s="48"/>
      <c r="Z466" s="48"/>
      <c r="AA466" s="48"/>
      <c r="AB466" s="48"/>
      <c r="AC466" s="48"/>
      <c r="AD466" s="48"/>
      <c r="AE466" s="48"/>
      <c r="AF466" s="48"/>
      <c r="AG466" s="48"/>
      <c r="AH466" s="48"/>
      <c r="AI466" s="48"/>
      <c r="AJ466" s="48"/>
      <c r="AK466" s="48"/>
      <c r="AL466" s="48"/>
      <c r="AM466" s="48"/>
      <c r="AN466" s="48"/>
      <c r="AO466" s="48"/>
      <c r="AP466" s="48"/>
      <c r="AQ466" s="48"/>
      <c r="AR466" s="48"/>
      <c r="AS466" s="48"/>
      <c r="AT466" s="48"/>
      <c r="AU466" s="48"/>
      <c r="AV466" s="48"/>
      <c r="AW466" s="48"/>
      <c r="AX466" s="48"/>
      <c r="AY466" s="48"/>
      <c r="AZ466" s="48"/>
      <c r="BA466" s="48"/>
      <c r="BB466" s="48"/>
      <c r="BC466" s="48"/>
      <c r="BD466" s="48"/>
      <c r="BE466" s="48"/>
      <c r="BF466" s="48"/>
      <c r="BG466" s="48"/>
      <c r="BH466" s="48"/>
      <c r="BI466" s="48"/>
      <c r="BJ466" s="48"/>
      <c r="BK466" s="48"/>
      <c r="BL466" s="48"/>
      <c r="BM466" s="48"/>
      <c r="BN466" s="48"/>
      <c r="BO466" s="48"/>
      <c r="BP466" s="48"/>
      <c r="BQ466" s="48"/>
      <c r="BR466" s="48"/>
      <c r="BS466" s="48"/>
      <c r="BT466" s="48"/>
      <c r="BU466" s="48"/>
      <c r="BV466" s="48"/>
      <c r="BW466" s="48"/>
      <c r="BX466" s="111"/>
    </row>
    <row r="467" spans="1:76">
      <c r="A467" s="37"/>
      <c r="B467" s="37"/>
      <c r="C467" s="37" t="s">
        <v>102</v>
      </c>
      <c r="D467" s="37"/>
      <c r="E467" s="37"/>
      <c r="F467" s="39"/>
      <c r="G467" s="59"/>
      <c r="H467" s="59"/>
      <c r="I467" s="59"/>
      <c r="J467" s="59"/>
      <c r="K467" s="59"/>
      <c r="L467" s="59"/>
      <c r="M467" s="59"/>
      <c r="N467" s="60"/>
      <c r="O467" s="36"/>
      <c r="P467" s="48"/>
      <c r="Q467" s="48"/>
      <c r="R467" s="48"/>
      <c r="S467" s="48"/>
      <c r="T467" s="48"/>
      <c r="U467" s="48"/>
      <c r="V467" s="48"/>
      <c r="W467" s="48"/>
      <c r="X467" s="48"/>
      <c r="Y467" s="48"/>
      <c r="Z467" s="48"/>
      <c r="AA467" s="48"/>
      <c r="AB467" s="48"/>
      <c r="AC467" s="48"/>
      <c r="AD467" s="48"/>
      <c r="AE467" s="48"/>
      <c r="AF467" s="48"/>
      <c r="AG467" s="48"/>
      <c r="AH467" s="48"/>
      <c r="AI467" s="48"/>
      <c r="AJ467" s="48"/>
      <c r="AK467" s="48"/>
      <c r="AL467" s="48"/>
      <c r="AM467" s="48"/>
      <c r="AN467" s="48"/>
      <c r="AO467" s="48"/>
      <c r="AP467" s="48"/>
      <c r="AQ467" s="48"/>
      <c r="AR467" s="48"/>
      <c r="AS467" s="48"/>
      <c r="AT467" s="48"/>
      <c r="AU467" s="48"/>
      <c r="AV467" s="48"/>
      <c r="AW467" s="48"/>
      <c r="AX467" s="48"/>
      <c r="AY467" s="48"/>
      <c r="AZ467" s="48"/>
      <c r="BA467" s="48"/>
      <c r="BB467" s="48"/>
      <c r="BC467" s="48"/>
      <c r="BD467" s="48"/>
      <c r="BE467" s="48"/>
      <c r="BF467" s="48"/>
      <c r="BG467" s="48"/>
      <c r="BH467" s="48"/>
      <c r="BI467" s="48"/>
      <c r="BJ467" s="48"/>
      <c r="BK467" s="48"/>
      <c r="BL467" s="48"/>
      <c r="BM467" s="48"/>
      <c r="BN467" s="48"/>
      <c r="BO467" s="48"/>
      <c r="BP467" s="48"/>
      <c r="BQ467" s="48"/>
      <c r="BR467" s="48"/>
      <c r="BS467" s="48"/>
      <c r="BT467" s="48"/>
      <c r="BU467" s="48"/>
      <c r="BV467" s="48"/>
      <c r="BW467" s="48"/>
      <c r="BX467" s="111"/>
    </row>
    <row r="468" spans="1:76">
      <c r="A468" s="37"/>
      <c r="B468" s="37"/>
      <c r="C468" s="37" t="s">
        <v>582</v>
      </c>
      <c r="D468" s="37"/>
      <c r="E468" s="37"/>
      <c r="F468" s="39"/>
      <c r="G468" s="59"/>
      <c r="H468" s="59"/>
      <c r="I468" s="59"/>
      <c r="J468" s="59"/>
      <c r="K468" s="59"/>
      <c r="L468" s="59"/>
      <c r="M468" s="59"/>
      <c r="N468" s="60"/>
      <c r="O468" s="36"/>
      <c r="P468" s="48"/>
      <c r="Q468" s="48"/>
      <c r="R468" s="48"/>
      <c r="S468" s="48"/>
      <c r="T468" s="48"/>
      <c r="U468" s="48"/>
      <c r="V468" s="48"/>
      <c r="W468" s="48"/>
      <c r="X468" s="48"/>
      <c r="Y468" s="48"/>
      <c r="Z468" s="48"/>
      <c r="AA468" s="48"/>
      <c r="AB468" s="48"/>
      <c r="AC468" s="48"/>
      <c r="AD468" s="48"/>
      <c r="AE468" s="48"/>
      <c r="AF468" s="48"/>
      <c r="AG468" s="48"/>
      <c r="AH468" s="48"/>
      <c r="AI468" s="48"/>
      <c r="AJ468" s="48"/>
      <c r="AK468" s="48"/>
      <c r="AL468" s="48"/>
      <c r="AM468" s="48"/>
      <c r="AN468" s="48"/>
      <c r="AO468" s="48"/>
      <c r="AP468" s="48"/>
      <c r="AQ468" s="48"/>
      <c r="AR468" s="48"/>
      <c r="AS468" s="48"/>
      <c r="AT468" s="48"/>
      <c r="AU468" s="48"/>
      <c r="AV468" s="48"/>
      <c r="AW468" s="48"/>
      <c r="AX468" s="48"/>
      <c r="AY468" s="48"/>
      <c r="AZ468" s="48"/>
      <c r="BA468" s="48"/>
      <c r="BB468" s="48"/>
      <c r="BC468" s="48"/>
      <c r="BD468" s="48"/>
      <c r="BE468" s="48"/>
      <c r="BF468" s="48"/>
      <c r="BG468" s="48"/>
      <c r="BH468" s="48"/>
      <c r="BI468" s="48"/>
      <c r="BJ468" s="48"/>
      <c r="BK468" s="48"/>
      <c r="BL468" s="48"/>
      <c r="BM468" s="48"/>
      <c r="BN468" s="48"/>
      <c r="BO468" s="48"/>
      <c r="BP468" s="48"/>
      <c r="BQ468" s="48"/>
      <c r="BR468" s="48"/>
      <c r="BS468" s="48"/>
      <c r="BT468" s="48"/>
      <c r="BU468" s="48"/>
      <c r="BV468" s="48"/>
      <c r="BW468" s="48"/>
      <c r="BX468" s="111"/>
    </row>
    <row r="469" spans="1:76">
      <c r="A469" s="37"/>
      <c r="B469" s="37"/>
      <c r="C469" s="37" t="s">
        <v>1636</v>
      </c>
      <c r="D469" s="37"/>
      <c r="E469" s="37"/>
      <c r="F469" s="39"/>
      <c r="G469" s="59"/>
      <c r="H469" s="59"/>
      <c r="I469" s="59"/>
      <c r="J469" s="59"/>
      <c r="K469" s="59"/>
      <c r="L469" s="59"/>
      <c r="M469" s="59"/>
      <c r="N469" s="60"/>
      <c r="O469" s="36"/>
      <c r="P469" s="48"/>
      <c r="Q469" s="48"/>
      <c r="R469" s="48"/>
      <c r="S469" s="48"/>
      <c r="T469" s="48"/>
      <c r="U469" s="48"/>
      <c r="V469" s="48"/>
      <c r="W469" s="48"/>
      <c r="X469" s="48"/>
      <c r="Y469" s="48"/>
      <c r="Z469" s="48"/>
      <c r="AA469" s="48"/>
      <c r="AB469" s="48"/>
      <c r="AC469" s="48"/>
      <c r="AD469" s="48"/>
      <c r="AE469" s="48"/>
      <c r="AF469" s="48"/>
      <c r="AG469" s="48"/>
      <c r="AH469" s="48"/>
      <c r="AI469" s="48"/>
      <c r="AJ469" s="48"/>
      <c r="AK469" s="48"/>
      <c r="AL469" s="48"/>
      <c r="AM469" s="48"/>
      <c r="AN469" s="48"/>
      <c r="AO469" s="48"/>
      <c r="AP469" s="48"/>
      <c r="AQ469" s="48"/>
      <c r="AR469" s="48"/>
      <c r="AS469" s="48"/>
      <c r="AT469" s="48"/>
      <c r="AU469" s="48"/>
      <c r="AV469" s="48"/>
      <c r="AW469" s="48"/>
      <c r="AX469" s="48"/>
      <c r="AY469" s="48"/>
      <c r="AZ469" s="48"/>
      <c r="BA469" s="48"/>
      <c r="BB469" s="48"/>
      <c r="BC469" s="48"/>
      <c r="BD469" s="48"/>
      <c r="BE469" s="48"/>
      <c r="BF469" s="48"/>
      <c r="BG469" s="48"/>
      <c r="BH469" s="48"/>
      <c r="BI469" s="48"/>
      <c r="BJ469" s="48"/>
      <c r="BK469" s="48"/>
      <c r="BL469" s="48"/>
      <c r="BM469" s="48"/>
      <c r="BN469" s="48"/>
      <c r="BO469" s="48"/>
      <c r="BP469" s="48"/>
      <c r="BQ469" s="48"/>
      <c r="BR469" s="48"/>
      <c r="BS469" s="48"/>
      <c r="BT469" s="48"/>
      <c r="BU469" s="48"/>
      <c r="BV469" s="48"/>
      <c r="BW469" s="48"/>
      <c r="BX469" s="111"/>
    </row>
    <row r="470" spans="1:76">
      <c r="A470" s="37"/>
      <c r="B470" s="37"/>
      <c r="C470" s="37" t="s">
        <v>1457</v>
      </c>
      <c r="D470" s="37"/>
      <c r="E470" s="37"/>
      <c r="F470" s="39"/>
      <c r="G470" s="59"/>
      <c r="H470" s="59"/>
      <c r="I470" s="59"/>
      <c r="J470" s="59"/>
      <c r="K470" s="59"/>
      <c r="L470" s="59"/>
      <c r="M470" s="59"/>
      <c r="N470" s="60"/>
      <c r="O470" s="36"/>
      <c r="P470" s="48"/>
      <c r="Q470" s="48"/>
      <c r="R470" s="48"/>
      <c r="S470" s="48"/>
      <c r="T470" s="48"/>
      <c r="U470" s="48"/>
      <c r="V470" s="48"/>
      <c r="W470" s="48"/>
      <c r="X470" s="48"/>
      <c r="Y470" s="48"/>
      <c r="Z470" s="48"/>
      <c r="AA470" s="48"/>
      <c r="AB470" s="48"/>
      <c r="AC470" s="48"/>
      <c r="AD470" s="48"/>
      <c r="AE470" s="48"/>
      <c r="AF470" s="48"/>
      <c r="AG470" s="48"/>
      <c r="AH470" s="48"/>
      <c r="AI470" s="48"/>
      <c r="AJ470" s="48"/>
      <c r="AK470" s="48"/>
      <c r="AL470" s="48"/>
      <c r="AM470" s="48"/>
      <c r="AN470" s="48"/>
      <c r="AO470" s="48"/>
      <c r="AP470" s="48"/>
      <c r="AQ470" s="48"/>
      <c r="AR470" s="48"/>
      <c r="AS470" s="48"/>
      <c r="AT470" s="48"/>
      <c r="AU470" s="48"/>
      <c r="AV470" s="48"/>
      <c r="AW470" s="48"/>
      <c r="AX470" s="48"/>
      <c r="AY470" s="48"/>
      <c r="AZ470" s="48"/>
      <c r="BA470" s="48"/>
      <c r="BB470" s="48"/>
      <c r="BC470" s="48"/>
      <c r="BD470" s="48"/>
      <c r="BE470" s="48"/>
      <c r="BF470" s="48"/>
      <c r="BG470" s="48"/>
      <c r="BH470" s="48"/>
      <c r="BI470" s="48"/>
      <c r="BJ470" s="48"/>
      <c r="BK470" s="48"/>
      <c r="BL470" s="48"/>
      <c r="BM470" s="48"/>
      <c r="BN470" s="48"/>
      <c r="BO470" s="48"/>
      <c r="BP470" s="48"/>
      <c r="BQ470" s="48"/>
      <c r="BR470" s="48"/>
      <c r="BS470" s="48"/>
      <c r="BT470" s="48"/>
      <c r="BU470" s="48"/>
      <c r="BV470" s="48"/>
      <c r="BW470" s="48"/>
      <c r="BX470" s="111"/>
    </row>
    <row r="471" spans="1:76">
      <c r="A471" s="37"/>
      <c r="B471" s="37"/>
      <c r="C471" s="37" t="s">
        <v>393</v>
      </c>
      <c r="D471" s="37"/>
      <c r="E471" s="37"/>
      <c r="F471" s="39"/>
      <c r="G471" s="59"/>
      <c r="H471" s="59"/>
      <c r="I471" s="59"/>
      <c r="J471" s="59"/>
      <c r="K471" s="59"/>
      <c r="L471" s="59"/>
      <c r="M471" s="59"/>
      <c r="N471" s="60"/>
      <c r="O471" s="36"/>
      <c r="P471" s="48"/>
      <c r="Q471" s="48"/>
      <c r="R471" s="48"/>
      <c r="S471" s="48"/>
      <c r="T471" s="48"/>
      <c r="U471" s="48"/>
      <c r="V471" s="48"/>
      <c r="W471" s="48"/>
      <c r="X471" s="48"/>
      <c r="Y471" s="48"/>
      <c r="Z471" s="48"/>
      <c r="AA471" s="48"/>
      <c r="AB471" s="48"/>
      <c r="AC471" s="48"/>
      <c r="AD471" s="48"/>
      <c r="AE471" s="48"/>
      <c r="AF471" s="48"/>
      <c r="AG471" s="48"/>
      <c r="AH471" s="48"/>
      <c r="AI471" s="48"/>
      <c r="AJ471" s="48"/>
      <c r="AK471" s="48"/>
      <c r="AL471" s="48"/>
      <c r="AM471" s="48"/>
      <c r="AN471" s="48"/>
      <c r="AO471" s="48"/>
      <c r="AP471" s="48"/>
      <c r="AQ471" s="48"/>
      <c r="AR471" s="48"/>
      <c r="AS471" s="48"/>
      <c r="AT471" s="48"/>
      <c r="AU471" s="48"/>
      <c r="AV471" s="48"/>
      <c r="AW471" s="48"/>
      <c r="AX471" s="48"/>
      <c r="AY471" s="48"/>
      <c r="AZ471" s="48"/>
      <c r="BA471" s="48"/>
      <c r="BB471" s="48"/>
      <c r="BC471" s="48"/>
      <c r="BD471" s="48"/>
      <c r="BE471" s="48"/>
      <c r="BF471" s="48"/>
      <c r="BG471" s="48"/>
      <c r="BH471" s="48"/>
      <c r="BI471" s="48"/>
      <c r="BJ471" s="48"/>
      <c r="BK471" s="48"/>
      <c r="BL471" s="48"/>
      <c r="BM471" s="48"/>
      <c r="BN471" s="48"/>
      <c r="BO471" s="48"/>
      <c r="BP471" s="48"/>
      <c r="BQ471" s="48"/>
      <c r="BR471" s="48"/>
      <c r="BS471" s="48"/>
      <c r="BT471" s="48"/>
      <c r="BU471" s="48"/>
      <c r="BV471" s="48"/>
      <c r="BW471" s="48"/>
      <c r="BX471" s="111"/>
    </row>
    <row r="472" spans="1:76">
      <c r="A472" s="37"/>
      <c r="B472" s="37"/>
      <c r="C472" s="37"/>
      <c r="D472" s="37" t="s">
        <v>1306</v>
      </c>
      <c r="E472" s="37"/>
      <c r="F472" s="39"/>
      <c r="G472" s="59"/>
      <c r="H472" s="59"/>
      <c r="I472" s="59"/>
      <c r="J472" s="59"/>
      <c r="K472" s="59"/>
      <c r="L472" s="59"/>
      <c r="M472" s="59"/>
      <c r="N472" s="60"/>
      <c r="O472" s="36"/>
      <c r="P472" s="48"/>
      <c r="Q472" s="48"/>
      <c r="R472" s="48"/>
      <c r="S472" s="48"/>
      <c r="T472" s="48"/>
      <c r="U472" s="48"/>
      <c r="V472" s="48"/>
      <c r="W472" s="48"/>
      <c r="X472" s="48"/>
      <c r="Y472" s="48"/>
      <c r="Z472" s="48"/>
      <c r="AA472" s="48"/>
      <c r="AB472" s="48"/>
      <c r="AC472" s="48"/>
      <c r="AD472" s="48"/>
      <c r="AE472" s="48"/>
      <c r="AF472" s="48"/>
      <c r="AG472" s="48"/>
      <c r="AH472" s="48"/>
      <c r="AI472" s="48"/>
      <c r="AJ472" s="48"/>
      <c r="AK472" s="48"/>
      <c r="AL472" s="48"/>
      <c r="AM472" s="48"/>
      <c r="AN472" s="48"/>
      <c r="AO472" s="48"/>
      <c r="AP472" s="48"/>
      <c r="AQ472" s="48"/>
      <c r="AR472" s="48"/>
      <c r="AS472" s="48"/>
      <c r="AT472" s="48"/>
      <c r="AU472" s="48"/>
      <c r="AV472" s="48"/>
      <c r="AW472" s="48"/>
      <c r="AX472" s="48"/>
      <c r="AY472" s="48"/>
      <c r="AZ472" s="48"/>
      <c r="BA472" s="48"/>
      <c r="BB472" s="48"/>
      <c r="BC472" s="48"/>
      <c r="BD472" s="48"/>
      <c r="BE472" s="48"/>
      <c r="BF472" s="48"/>
      <c r="BG472" s="48"/>
      <c r="BH472" s="48"/>
      <c r="BI472" s="48"/>
      <c r="BJ472" s="48"/>
      <c r="BK472" s="48"/>
      <c r="BL472" s="48"/>
      <c r="BM472" s="48"/>
      <c r="BN472" s="48"/>
      <c r="BO472" s="48"/>
      <c r="BP472" s="48"/>
      <c r="BQ472" s="48"/>
      <c r="BR472" s="48"/>
      <c r="BS472" s="48"/>
      <c r="BT472" s="48"/>
      <c r="BU472" s="48"/>
      <c r="BV472" s="48"/>
      <c r="BW472" s="48"/>
      <c r="BX472" s="111"/>
    </row>
    <row r="473" spans="1:76">
      <c r="A473" s="37"/>
      <c r="B473" s="37"/>
      <c r="C473" s="37" t="s">
        <v>1929</v>
      </c>
      <c r="D473" s="37"/>
      <c r="E473" s="37"/>
      <c r="F473" s="39"/>
      <c r="G473" s="59"/>
      <c r="H473" s="59"/>
      <c r="I473" s="59"/>
      <c r="J473" s="59"/>
      <c r="K473" s="59"/>
      <c r="L473" s="59"/>
      <c r="M473" s="59"/>
      <c r="N473" s="60"/>
      <c r="O473" s="36"/>
      <c r="P473" s="48"/>
      <c r="Q473" s="48"/>
      <c r="R473" s="48"/>
      <c r="S473" s="48"/>
      <c r="T473" s="48"/>
      <c r="U473" s="48"/>
      <c r="V473" s="48"/>
      <c r="W473" s="48"/>
      <c r="X473" s="48"/>
      <c r="Y473" s="48"/>
      <c r="Z473" s="48"/>
      <c r="AA473" s="48"/>
      <c r="AB473" s="48"/>
      <c r="AC473" s="48"/>
      <c r="AD473" s="48"/>
      <c r="AE473" s="48"/>
      <c r="AF473" s="48"/>
      <c r="AG473" s="48"/>
      <c r="AH473" s="48"/>
      <c r="AI473" s="48"/>
      <c r="AJ473" s="48"/>
      <c r="AK473" s="48"/>
      <c r="AL473" s="48"/>
      <c r="AM473" s="48"/>
      <c r="AN473" s="48"/>
      <c r="AO473" s="48"/>
      <c r="AP473" s="48"/>
      <c r="AQ473" s="48"/>
      <c r="AR473" s="48"/>
      <c r="AS473" s="48"/>
      <c r="AT473" s="48"/>
      <c r="AU473" s="48"/>
      <c r="AV473" s="48"/>
      <c r="AW473" s="48"/>
      <c r="AX473" s="48"/>
      <c r="AY473" s="48"/>
      <c r="AZ473" s="48"/>
      <c r="BA473" s="48"/>
      <c r="BB473" s="48"/>
      <c r="BC473" s="48"/>
      <c r="BD473" s="48"/>
      <c r="BE473" s="48"/>
      <c r="BF473" s="48"/>
      <c r="BG473" s="48"/>
      <c r="BH473" s="48"/>
      <c r="BI473" s="48"/>
      <c r="BJ473" s="48"/>
      <c r="BK473" s="48"/>
      <c r="BL473" s="48"/>
      <c r="BM473" s="48"/>
      <c r="BN473" s="48"/>
      <c r="BO473" s="48"/>
      <c r="BP473" s="48"/>
      <c r="BQ473" s="48"/>
      <c r="BR473" s="48"/>
      <c r="BS473" s="48"/>
      <c r="BT473" s="48"/>
      <c r="BU473" s="48"/>
      <c r="BV473" s="48"/>
      <c r="BW473" s="48"/>
      <c r="BX473" s="111"/>
    </row>
    <row r="474" spans="1:76">
      <c r="A474" s="37"/>
      <c r="B474" s="37"/>
      <c r="C474" s="37" t="s">
        <v>1643</v>
      </c>
      <c r="D474" s="37"/>
      <c r="E474" s="37"/>
      <c r="F474" s="39"/>
      <c r="G474" s="59">
        <v>-65</v>
      </c>
      <c r="H474" s="59">
        <v>-50</v>
      </c>
      <c r="I474" s="59">
        <v>8</v>
      </c>
      <c r="J474" s="59">
        <v>22</v>
      </c>
      <c r="K474" s="59">
        <v>-90</v>
      </c>
      <c r="L474" s="59">
        <v>-90</v>
      </c>
      <c r="M474" s="59">
        <v>-138</v>
      </c>
      <c r="N474" s="60">
        <v>7</v>
      </c>
      <c r="O474" s="36"/>
      <c r="P474" s="48"/>
      <c r="Q474" s="48"/>
      <c r="R474" s="48"/>
      <c r="S474" s="48"/>
      <c r="T474" s="48"/>
      <c r="U474" s="48"/>
      <c r="V474" s="48"/>
      <c r="W474" s="48"/>
      <c r="X474" s="48"/>
      <c r="Y474" s="48"/>
      <c r="Z474" s="48"/>
      <c r="AA474" s="48"/>
      <c r="AB474" s="48"/>
      <c r="AC474" s="48"/>
      <c r="AD474" s="48"/>
      <c r="AE474" s="48"/>
      <c r="AF474" s="48"/>
      <c r="AG474" s="48"/>
      <c r="AH474" s="48"/>
      <c r="AI474" s="48"/>
      <c r="AJ474" s="48"/>
      <c r="AK474" s="48"/>
      <c r="AL474" s="48"/>
      <c r="AM474" s="48"/>
      <c r="AN474" s="48"/>
      <c r="AO474" s="48"/>
      <c r="AP474" s="48"/>
      <c r="AQ474" s="48"/>
      <c r="AR474" s="48"/>
      <c r="AS474" s="48"/>
      <c r="AT474" s="48"/>
      <c r="AU474" s="48"/>
      <c r="AV474" s="48"/>
      <c r="AW474" s="48"/>
      <c r="AX474" s="48"/>
      <c r="AY474" s="48"/>
      <c r="AZ474" s="48"/>
      <c r="BA474" s="48"/>
      <c r="BB474" s="48"/>
      <c r="BC474" s="48"/>
      <c r="BD474" s="48"/>
      <c r="BE474" s="48"/>
      <c r="BF474" s="48"/>
      <c r="BG474" s="48"/>
      <c r="BH474" s="48"/>
      <c r="BI474" s="48"/>
      <c r="BJ474" s="48"/>
      <c r="BK474" s="48"/>
      <c r="BL474" s="48"/>
      <c r="BM474" s="48"/>
      <c r="BN474" s="48"/>
      <c r="BO474" s="48"/>
      <c r="BP474" s="48"/>
      <c r="BQ474" s="48"/>
      <c r="BR474" s="48"/>
      <c r="BS474" s="48"/>
      <c r="BT474" s="48"/>
      <c r="BU474" s="48"/>
      <c r="BV474" s="48"/>
      <c r="BW474" s="48"/>
      <c r="BX474" s="111"/>
    </row>
    <row r="475" spans="1:76">
      <c r="A475" s="37"/>
      <c r="B475" s="37"/>
      <c r="C475" s="37"/>
      <c r="D475" s="37" t="s">
        <v>1345</v>
      </c>
      <c r="E475" s="37"/>
      <c r="F475" s="39"/>
      <c r="G475" s="59"/>
      <c r="H475" s="59"/>
      <c r="I475" s="59"/>
      <c r="J475" s="59"/>
      <c r="K475" s="59"/>
      <c r="L475" s="59"/>
      <c r="M475" s="59"/>
      <c r="N475" s="60"/>
      <c r="O475" s="36"/>
      <c r="P475" s="48"/>
      <c r="Q475" s="48"/>
      <c r="R475" s="48"/>
      <c r="S475" s="48"/>
      <c r="T475" s="48"/>
      <c r="U475" s="48"/>
      <c r="V475" s="48"/>
      <c r="W475" s="48"/>
      <c r="X475" s="48"/>
      <c r="Y475" s="48"/>
      <c r="Z475" s="48"/>
      <c r="AA475" s="48"/>
      <c r="AB475" s="48"/>
      <c r="AC475" s="48"/>
      <c r="AD475" s="48"/>
      <c r="AE475" s="48"/>
      <c r="AF475" s="48"/>
      <c r="AG475" s="48"/>
      <c r="AH475" s="48"/>
      <c r="AI475" s="48"/>
      <c r="AJ475" s="48"/>
      <c r="AK475" s="48"/>
      <c r="AL475" s="48"/>
      <c r="AM475" s="48"/>
      <c r="AN475" s="48"/>
      <c r="AO475" s="48"/>
      <c r="AP475" s="48"/>
      <c r="AQ475" s="48"/>
      <c r="AR475" s="48"/>
      <c r="AS475" s="48"/>
      <c r="AT475" s="48"/>
      <c r="AU475" s="48"/>
      <c r="AV475" s="48"/>
      <c r="AW475" s="48"/>
      <c r="AX475" s="48"/>
      <c r="AY475" s="48"/>
      <c r="AZ475" s="48"/>
      <c r="BA475" s="48"/>
      <c r="BB475" s="48"/>
      <c r="BC475" s="48"/>
      <c r="BD475" s="48"/>
      <c r="BE475" s="48"/>
      <c r="BF475" s="48"/>
      <c r="BG475" s="48"/>
      <c r="BH475" s="48"/>
      <c r="BI475" s="48"/>
      <c r="BJ475" s="48"/>
      <c r="BK475" s="48"/>
      <c r="BL475" s="48"/>
      <c r="BM475" s="48"/>
      <c r="BN475" s="48"/>
      <c r="BO475" s="48"/>
      <c r="BP475" s="48"/>
      <c r="BQ475" s="48"/>
      <c r="BR475" s="48"/>
      <c r="BS475" s="48"/>
      <c r="BT475" s="48"/>
      <c r="BU475" s="48"/>
      <c r="BV475" s="48"/>
      <c r="BW475" s="48"/>
      <c r="BX475" s="111"/>
    </row>
    <row r="476" spans="1:76">
      <c r="A476" s="37"/>
      <c r="B476" s="37"/>
      <c r="C476" s="37" t="s">
        <v>2111</v>
      </c>
      <c r="D476" s="37"/>
      <c r="E476" s="37"/>
      <c r="F476" s="39"/>
      <c r="G476" s="59"/>
      <c r="H476" s="59"/>
      <c r="I476" s="59"/>
      <c r="J476" s="59"/>
      <c r="K476" s="59"/>
      <c r="L476" s="59"/>
      <c r="M476" s="59"/>
      <c r="N476" s="60"/>
      <c r="O476" s="36"/>
      <c r="P476" s="48"/>
      <c r="Q476" s="48"/>
      <c r="R476" s="48"/>
      <c r="S476" s="48"/>
      <c r="T476" s="48"/>
      <c r="U476" s="48"/>
      <c r="V476" s="48"/>
      <c r="W476" s="48"/>
      <c r="X476" s="48"/>
      <c r="Y476" s="48"/>
      <c r="Z476" s="48"/>
      <c r="AA476" s="48"/>
      <c r="AB476" s="48"/>
      <c r="AC476" s="48"/>
      <c r="AD476" s="48"/>
      <c r="AE476" s="48"/>
      <c r="AF476" s="48"/>
      <c r="AG476" s="48"/>
      <c r="AH476" s="48"/>
      <c r="AI476" s="48"/>
      <c r="AJ476" s="48"/>
      <c r="AK476" s="48"/>
      <c r="AL476" s="48"/>
      <c r="AM476" s="48"/>
      <c r="AN476" s="48"/>
      <c r="AO476" s="48"/>
      <c r="AP476" s="48"/>
      <c r="AQ476" s="48"/>
      <c r="AR476" s="48"/>
      <c r="AS476" s="48"/>
      <c r="AT476" s="48"/>
      <c r="AU476" s="48"/>
      <c r="AV476" s="48"/>
      <c r="AW476" s="48"/>
      <c r="AX476" s="48"/>
      <c r="AY476" s="48"/>
      <c r="AZ476" s="48"/>
      <c r="BA476" s="48"/>
      <c r="BB476" s="48"/>
      <c r="BC476" s="48"/>
      <c r="BD476" s="48"/>
      <c r="BE476" s="48"/>
      <c r="BF476" s="48"/>
      <c r="BG476" s="48"/>
      <c r="BH476" s="48"/>
      <c r="BI476" s="48"/>
      <c r="BJ476" s="48"/>
      <c r="BK476" s="48"/>
      <c r="BL476" s="48"/>
      <c r="BM476" s="48"/>
      <c r="BN476" s="48"/>
      <c r="BO476" s="48"/>
      <c r="BP476" s="48"/>
      <c r="BQ476" s="48"/>
      <c r="BR476" s="48"/>
      <c r="BS476" s="48"/>
      <c r="BT476" s="48"/>
      <c r="BU476" s="48"/>
      <c r="BV476" s="48"/>
      <c r="BW476" s="48"/>
      <c r="BX476" s="111"/>
    </row>
    <row r="477" spans="1:76">
      <c r="A477" s="37"/>
      <c r="B477" s="37"/>
      <c r="C477" s="37" t="s">
        <v>591</v>
      </c>
      <c r="D477" s="37"/>
      <c r="E477" s="37"/>
      <c r="F477" s="39"/>
      <c r="G477" s="59"/>
      <c r="H477" s="59"/>
      <c r="I477" s="59"/>
      <c r="J477" s="59"/>
      <c r="K477" s="59"/>
      <c r="L477" s="59"/>
      <c r="M477" s="59"/>
      <c r="N477" s="60"/>
      <c r="O477" s="36"/>
      <c r="P477" s="48"/>
      <c r="Q477" s="48"/>
      <c r="R477" s="48"/>
      <c r="S477" s="48"/>
      <c r="T477" s="48"/>
      <c r="U477" s="48"/>
      <c r="V477" s="48"/>
      <c r="W477" s="48"/>
      <c r="X477" s="48"/>
      <c r="Y477" s="48"/>
      <c r="Z477" s="48"/>
      <c r="AA477" s="48"/>
      <c r="AB477" s="48"/>
      <c r="AC477" s="48"/>
      <c r="AD477" s="48"/>
      <c r="AE477" s="48"/>
      <c r="AF477" s="48"/>
      <c r="AG477" s="48"/>
      <c r="AH477" s="48"/>
      <c r="AI477" s="48"/>
      <c r="AJ477" s="48"/>
      <c r="AK477" s="48"/>
      <c r="AL477" s="48"/>
      <c r="AM477" s="48"/>
      <c r="AN477" s="48"/>
      <c r="AO477" s="48"/>
      <c r="AP477" s="48"/>
      <c r="AQ477" s="48"/>
      <c r="AR477" s="48"/>
      <c r="AS477" s="48"/>
      <c r="AT477" s="48"/>
      <c r="AU477" s="48"/>
      <c r="AV477" s="48"/>
      <c r="AW477" s="48"/>
      <c r="AX477" s="48"/>
      <c r="AY477" s="48"/>
      <c r="AZ477" s="48"/>
      <c r="BA477" s="48"/>
      <c r="BB477" s="48"/>
      <c r="BC477" s="48"/>
      <c r="BD477" s="48"/>
      <c r="BE477" s="48"/>
      <c r="BF477" s="48"/>
      <c r="BG477" s="48"/>
      <c r="BH477" s="48"/>
      <c r="BI477" s="48"/>
      <c r="BJ477" s="48"/>
      <c r="BK477" s="48"/>
      <c r="BL477" s="48"/>
      <c r="BM477" s="48"/>
      <c r="BN477" s="48"/>
      <c r="BO477" s="48"/>
      <c r="BP477" s="48"/>
      <c r="BQ477" s="48"/>
      <c r="BR477" s="48"/>
      <c r="BS477" s="48"/>
      <c r="BT477" s="48"/>
      <c r="BU477" s="48"/>
      <c r="BV477" s="48"/>
      <c r="BW477" s="48"/>
      <c r="BX477" s="111"/>
    </row>
    <row r="478" spans="1:76">
      <c r="A478" s="37"/>
      <c r="B478" s="37"/>
      <c r="C478" s="37" t="s">
        <v>914</v>
      </c>
      <c r="D478" s="37"/>
      <c r="E478" s="37"/>
      <c r="F478" s="39"/>
      <c r="G478" s="59"/>
      <c r="H478" s="59"/>
      <c r="I478" s="59"/>
      <c r="J478" s="59"/>
      <c r="K478" s="59"/>
      <c r="L478" s="59"/>
      <c r="M478" s="59"/>
      <c r="N478" s="59"/>
      <c r="O478" s="36"/>
      <c r="P478" s="48"/>
      <c r="Q478" s="48"/>
      <c r="R478" s="48"/>
      <c r="S478" s="48"/>
      <c r="T478" s="48"/>
      <c r="U478" s="48"/>
      <c r="V478" s="48"/>
      <c r="W478" s="48"/>
      <c r="X478" s="48"/>
      <c r="Y478" s="48"/>
      <c r="Z478" s="48"/>
      <c r="AA478" s="48"/>
      <c r="AB478" s="48"/>
      <c r="AC478" s="48"/>
      <c r="AD478" s="48"/>
      <c r="AE478" s="48"/>
      <c r="AF478" s="48"/>
      <c r="AG478" s="48"/>
      <c r="AH478" s="48"/>
      <c r="AI478" s="48"/>
      <c r="AJ478" s="48"/>
      <c r="AK478" s="48"/>
      <c r="AL478" s="48"/>
      <c r="AM478" s="48"/>
      <c r="AN478" s="48"/>
      <c r="AO478" s="48"/>
      <c r="AP478" s="48"/>
      <c r="AQ478" s="48"/>
      <c r="AR478" s="48"/>
      <c r="AS478" s="48"/>
      <c r="AT478" s="48"/>
      <c r="AU478" s="48"/>
      <c r="AV478" s="48"/>
      <c r="AW478" s="48"/>
      <c r="AX478" s="48"/>
      <c r="AY478" s="48"/>
      <c r="AZ478" s="48"/>
      <c r="BA478" s="48"/>
      <c r="BB478" s="48"/>
      <c r="BC478" s="48"/>
      <c r="BD478" s="48"/>
      <c r="BE478" s="48"/>
      <c r="BF478" s="48"/>
      <c r="BG478" s="48"/>
      <c r="BH478" s="48"/>
      <c r="BI478" s="48"/>
      <c r="BJ478" s="48"/>
      <c r="BK478" s="48"/>
      <c r="BL478" s="48"/>
      <c r="BM478" s="48"/>
      <c r="BN478" s="48"/>
      <c r="BO478" s="48"/>
      <c r="BP478" s="48"/>
      <c r="BQ478" s="48"/>
      <c r="BR478" s="48"/>
      <c r="BS478" s="48"/>
      <c r="BT478" s="48"/>
      <c r="BU478" s="48"/>
      <c r="BV478" s="48"/>
      <c r="BW478" s="48"/>
      <c r="BX478" s="111"/>
    </row>
    <row r="479" spans="1:76">
      <c r="A479" s="37"/>
      <c r="B479" s="37"/>
      <c r="C479" s="37" t="s">
        <v>574</v>
      </c>
      <c r="D479" s="37"/>
      <c r="E479" s="37"/>
      <c r="F479" s="39"/>
      <c r="G479" s="59"/>
      <c r="H479" s="59"/>
      <c r="I479" s="59"/>
      <c r="J479" s="59"/>
      <c r="K479" s="59"/>
      <c r="L479" s="59"/>
      <c r="M479" s="59"/>
      <c r="N479" s="60"/>
      <c r="O479" s="58"/>
      <c r="P479" s="48"/>
      <c r="Q479" s="48"/>
      <c r="R479" s="48"/>
      <c r="S479" s="48"/>
      <c r="T479" s="48"/>
      <c r="U479" s="48"/>
      <c r="V479" s="48"/>
      <c r="W479" s="48"/>
      <c r="X479" s="48"/>
      <c r="Y479" s="48"/>
      <c r="Z479" s="48"/>
      <c r="AA479" s="48"/>
      <c r="AB479" s="48"/>
      <c r="AC479" s="48"/>
      <c r="AD479" s="48"/>
      <c r="AE479" s="48"/>
      <c r="AF479" s="48"/>
      <c r="AG479" s="48"/>
      <c r="AH479" s="48"/>
      <c r="AI479" s="48"/>
      <c r="AJ479" s="48"/>
      <c r="AK479" s="48"/>
      <c r="AL479" s="48"/>
      <c r="AM479" s="48"/>
      <c r="AN479" s="48"/>
      <c r="AO479" s="48"/>
      <c r="AP479" s="48"/>
      <c r="AQ479" s="48"/>
      <c r="AR479" s="48"/>
      <c r="AS479" s="48"/>
      <c r="AT479" s="48"/>
      <c r="AU479" s="48"/>
      <c r="AV479" s="48"/>
      <c r="AW479" s="48"/>
      <c r="AX479" s="48"/>
      <c r="AY479" s="48"/>
      <c r="AZ479" s="48"/>
      <c r="BA479" s="48"/>
      <c r="BB479" s="48"/>
      <c r="BC479" s="48"/>
      <c r="BD479" s="48"/>
      <c r="BE479" s="48"/>
      <c r="BF479" s="48"/>
      <c r="BG479" s="48"/>
      <c r="BH479" s="48"/>
      <c r="BI479" s="48"/>
      <c r="BJ479" s="48"/>
      <c r="BK479" s="48"/>
      <c r="BL479" s="48"/>
      <c r="BM479" s="48"/>
      <c r="BN479" s="48"/>
      <c r="BO479" s="48"/>
      <c r="BP479" s="48"/>
      <c r="BQ479" s="48"/>
      <c r="BR479" s="48"/>
      <c r="BS479" s="48"/>
      <c r="BT479" s="48"/>
      <c r="BU479" s="48"/>
      <c r="BV479" s="48"/>
      <c r="BW479" s="48"/>
      <c r="BX479" s="111"/>
    </row>
    <row r="480" spans="1:76">
      <c r="A480" s="37"/>
      <c r="B480" s="37"/>
      <c r="C480" s="37" t="s">
        <v>230</v>
      </c>
      <c r="D480" s="37"/>
      <c r="E480" s="37"/>
      <c r="F480" s="39"/>
      <c r="G480" s="59">
        <v>-5</v>
      </c>
      <c r="H480" s="59">
        <v>-2</v>
      </c>
      <c r="I480" s="59">
        <v>37</v>
      </c>
      <c r="J480" s="59">
        <v>-16</v>
      </c>
      <c r="K480" s="59">
        <v>11</v>
      </c>
      <c r="L480" s="59">
        <v>39</v>
      </c>
      <c r="M480" s="59">
        <v>55</v>
      </c>
      <c r="N480" s="60">
        <v>118</v>
      </c>
      <c r="O480" s="36"/>
      <c r="P480" s="48"/>
      <c r="Q480" s="48"/>
      <c r="R480" s="48"/>
      <c r="S480" s="48"/>
      <c r="T480" s="48"/>
      <c r="U480" s="48"/>
      <c r="V480" s="48"/>
      <c r="W480" s="48"/>
      <c r="X480" s="48"/>
      <c r="Y480" s="48"/>
      <c r="Z480" s="48"/>
      <c r="AA480" s="48"/>
      <c r="AB480" s="48"/>
      <c r="AC480" s="48"/>
      <c r="AD480" s="48"/>
      <c r="AE480" s="48"/>
      <c r="AF480" s="48"/>
      <c r="AG480" s="48"/>
      <c r="AH480" s="48"/>
      <c r="AI480" s="48"/>
      <c r="AJ480" s="48"/>
      <c r="AK480" s="48"/>
      <c r="AL480" s="48"/>
      <c r="AM480" s="48"/>
      <c r="AN480" s="48"/>
      <c r="AO480" s="48"/>
      <c r="AP480" s="48"/>
      <c r="AQ480" s="48"/>
      <c r="AR480" s="48"/>
      <c r="AS480" s="48"/>
      <c r="AT480" s="48"/>
      <c r="AU480" s="48"/>
      <c r="AV480" s="48"/>
      <c r="AW480" s="48"/>
      <c r="AX480" s="48"/>
      <c r="AY480" s="48"/>
      <c r="AZ480" s="48"/>
      <c r="BA480" s="48"/>
      <c r="BB480" s="48"/>
      <c r="BC480" s="48"/>
      <c r="BD480" s="48"/>
      <c r="BE480" s="48"/>
      <c r="BF480" s="48"/>
      <c r="BG480" s="48"/>
      <c r="BH480" s="48"/>
      <c r="BI480" s="48"/>
      <c r="BJ480" s="48"/>
      <c r="BK480" s="48"/>
      <c r="BL480" s="48"/>
      <c r="BM480" s="48"/>
      <c r="BN480" s="48"/>
      <c r="BO480" s="48"/>
      <c r="BP480" s="48"/>
      <c r="BQ480" s="48"/>
      <c r="BR480" s="48"/>
      <c r="BS480" s="48"/>
      <c r="BT480" s="48"/>
      <c r="BU480" s="48"/>
      <c r="BV480" s="48"/>
      <c r="BW480" s="48"/>
      <c r="BX480" s="111"/>
    </row>
    <row r="481" spans="1:76">
      <c r="A481" s="37"/>
      <c r="B481" s="37"/>
      <c r="C481" s="37" t="s">
        <v>231</v>
      </c>
      <c r="D481" s="37"/>
      <c r="E481" s="37"/>
      <c r="F481" s="39"/>
      <c r="G481" s="59"/>
      <c r="H481" s="59"/>
      <c r="I481" s="59"/>
      <c r="J481" s="59"/>
      <c r="K481" s="59"/>
      <c r="L481" s="59"/>
      <c r="M481" s="59"/>
      <c r="N481" s="60"/>
      <c r="O481" s="36"/>
      <c r="P481" s="48"/>
      <c r="Q481" s="48"/>
      <c r="R481" s="48"/>
      <c r="S481" s="48"/>
      <c r="T481" s="48"/>
      <c r="U481" s="48"/>
      <c r="V481" s="48"/>
      <c r="W481" s="48"/>
      <c r="X481" s="48"/>
      <c r="Y481" s="48"/>
      <c r="Z481" s="48"/>
      <c r="AA481" s="48"/>
      <c r="AB481" s="48"/>
      <c r="AC481" s="48"/>
      <c r="AD481" s="48"/>
      <c r="AE481" s="48"/>
      <c r="AF481" s="48"/>
      <c r="AG481" s="48"/>
      <c r="AH481" s="48"/>
      <c r="AI481" s="48"/>
      <c r="AJ481" s="48"/>
      <c r="AK481" s="48"/>
      <c r="AL481" s="48"/>
      <c r="AM481" s="48"/>
      <c r="AN481" s="48"/>
      <c r="AO481" s="48"/>
      <c r="AP481" s="48"/>
      <c r="AQ481" s="48"/>
      <c r="AR481" s="48"/>
      <c r="AS481" s="48"/>
      <c r="AT481" s="48"/>
      <c r="AU481" s="48"/>
      <c r="AV481" s="48"/>
      <c r="AW481" s="48"/>
      <c r="AX481" s="48"/>
      <c r="AY481" s="48"/>
      <c r="AZ481" s="48"/>
      <c r="BA481" s="48"/>
      <c r="BB481" s="48"/>
      <c r="BC481" s="48"/>
      <c r="BD481" s="48"/>
      <c r="BE481" s="48"/>
      <c r="BF481" s="48"/>
      <c r="BG481" s="48"/>
      <c r="BH481" s="48"/>
      <c r="BI481" s="48"/>
      <c r="BJ481" s="48"/>
      <c r="BK481" s="48"/>
      <c r="BL481" s="48"/>
      <c r="BM481" s="48"/>
      <c r="BN481" s="48"/>
      <c r="BO481" s="48"/>
      <c r="BP481" s="48"/>
      <c r="BQ481" s="48"/>
      <c r="BR481" s="48"/>
      <c r="BS481" s="48"/>
      <c r="BT481" s="48"/>
      <c r="BU481" s="48"/>
      <c r="BV481" s="48"/>
      <c r="BW481" s="48"/>
      <c r="BX481" s="111"/>
    </row>
    <row r="482" spans="1:76">
      <c r="A482" s="37"/>
      <c r="B482" s="37"/>
      <c r="C482" s="37" t="s">
        <v>1678</v>
      </c>
      <c r="D482" s="37"/>
      <c r="E482" s="37"/>
      <c r="F482" s="39"/>
      <c r="G482" s="59"/>
      <c r="H482" s="59"/>
      <c r="I482" s="59"/>
      <c r="J482" s="59"/>
      <c r="K482" s="59"/>
      <c r="L482" s="59"/>
      <c r="M482" s="59"/>
      <c r="N482" s="60"/>
      <c r="O482" s="36"/>
      <c r="P482" s="48"/>
      <c r="Q482" s="48"/>
      <c r="R482" s="48"/>
      <c r="S482" s="48"/>
      <c r="T482" s="48"/>
      <c r="U482" s="48"/>
      <c r="V482" s="48"/>
      <c r="W482" s="48"/>
      <c r="X482" s="48"/>
      <c r="Y482" s="48"/>
      <c r="Z482" s="48"/>
      <c r="AA482" s="48"/>
      <c r="AB482" s="48"/>
      <c r="AC482" s="48"/>
      <c r="AD482" s="48"/>
      <c r="AE482" s="48"/>
      <c r="AF482" s="48"/>
      <c r="AG482" s="48"/>
      <c r="AH482" s="48"/>
      <c r="AI482" s="48"/>
      <c r="AJ482" s="48"/>
      <c r="AK482" s="48"/>
      <c r="AL482" s="48"/>
      <c r="AM482" s="48"/>
      <c r="AN482" s="48"/>
      <c r="AO482" s="48"/>
      <c r="AP482" s="48"/>
      <c r="AQ482" s="48"/>
      <c r="AR482" s="48"/>
      <c r="AS482" s="48"/>
      <c r="AT482" s="48"/>
      <c r="AU482" s="48"/>
      <c r="AV482" s="48"/>
      <c r="AW482" s="48"/>
      <c r="AX482" s="48"/>
      <c r="AY482" s="48"/>
      <c r="AZ482" s="48"/>
      <c r="BA482" s="48"/>
      <c r="BB482" s="48"/>
      <c r="BC482" s="48"/>
      <c r="BD482" s="48"/>
      <c r="BE482" s="48"/>
      <c r="BF482" s="48"/>
      <c r="BG482" s="48"/>
      <c r="BH482" s="48"/>
      <c r="BI482" s="48"/>
      <c r="BJ482" s="48"/>
      <c r="BK482" s="48"/>
      <c r="BL482" s="48"/>
      <c r="BM482" s="48"/>
      <c r="BN482" s="48"/>
      <c r="BO482" s="48"/>
      <c r="BP482" s="48"/>
      <c r="BQ482" s="48"/>
      <c r="BR482" s="48"/>
      <c r="BS482" s="48"/>
      <c r="BT482" s="48"/>
      <c r="BU482" s="48"/>
      <c r="BV482" s="48"/>
      <c r="BW482" s="48"/>
      <c r="BX482" s="111"/>
    </row>
    <row r="483" spans="1:76">
      <c r="A483" s="37"/>
      <c r="B483" s="37"/>
      <c r="C483" s="37" t="s">
        <v>1336</v>
      </c>
      <c r="D483" s="37"/>
      <c r="E483" s="37"/>
      <c r="F483" s="39"/>
      <c r="G483" s="59"/>
      <c r="H483" s="59"/>
      <c r="I483" s="59"/>
      <c r="J483" s="59"/>
      <c r="K483" s="59"/>
      <c r="L483" s="59"/>
      <c r="M483" s="59"/>
      <c r="N483" s="60"/>
      <c r="O483" s="36"/>
      <c r="P483" s="48"/>
      <c r="Q483" s="48"/>
      <c r="R483" s="48"/>
      <c r="S483" s="48"/>
      <c r="T483" s="48"/>
      <c r="U483" s="48"/>
      <c r="V483" s="48"/>
      <c r="W483" s="48"/>
      <c r="X483" s="48"/>
      <c r="Y483" s="48"/>
      <c r="Z483" s="48"/>
      <c r="AA483" s="48"/>
      <c r="AB483" s="48"/>
      <c r="AC483" s="48"/>
      <c r="AD483" s="48"/>
      <c r="AE483" s="48"/>
      <c r="AF483" s="48"/>
      <c r="AG483" s="48"/>
      <c r="AH483" s="48"/>
      <c r="AI483" s="48"/>
      <c r="AJ483" s="48"/>
      <c r="AK483" s="48"/>
      <c r="AL483" s="48"/>
      <c r="AM483" s="48"/>
      <c r="AN483" s="48"/>
      <c r="AO483" s="48"/>
      <c r="AP483" s="48"/>
      <c r="AQ483" s="48"/>
      <c r="AR483" s="48"/>
      <c r="AS483" s="48"/>
      <c r="AT483" s="48"/>
      <c r="AU483" s="48"/>
      <c r="AV483" s="48"/>
      <c r="AW483" s="48"/>
      <c r="AX483" s="48"/>
      <c r="AY483" s="48"/>
      <c r="AZ483" s="48"/>
      <c r="BA483" s="48"/>
      <c r="BB483" s="48"/>
      <c r="BC483" s="48"/>
      <c r="BD483" s="48"/>
      <c r="BE483" s="48"/>
      <c r="BF483" s="48"/>
      <c r="BG483" s="48"/>
      <c r="BH483" s="48"/>
      <c r="BI483" s="48"/>
      <c r="BJ483" s="48"/>
      <c r="BK483" s="48"/>
      <c r="BL483" s="48"/>
      <c r="BM483" s="48"/>
      <c r="BN483" s="48"/>
      <c r="BO483" s="48"/>
      <c r="BP483" s="48"/>
      <c r="BQ483" s="48"/>
      <c r="BR483" s="48"/>
      <c r="BS483" s="48"/>
      <c r="BT483" s="48"/>
      <c r="BU483" s="48"/>
      <c r="BV483" s="48"/>
      <c r="BW483" s="48"/>
      <c r="BX483" s="111"/>
    </row>
    <row r="484" spans="1:76">
      <c r="A484" s="37"/>
      <c r="B484" s="37"/>
      <c r="C484" s="37" t="s">
        <v>1419</v>
      </c>
      <c r="D484" s="37"/>
      <c r="E484" s="37"/>
      <c r="F484" s="39"/>
      <c r="G484" s="85">
        <v>-166</v>
      </c>
      <c r="H484" s="59">
        <v>143</v>
      </c>
      <c r="I484" s="59"/>
      <c r="J484" s="59"/>
      <c r="K484" s="59"/>
      <c r="L484" s="59"/>
      <c r="M484" s="59"/>
      <c r="N484" s="59"/>
      <c r="O484" s="36"/>
      <c r="P484" s="48"/>
      <c r="Q484" s="48"/>
      <c r="R484" s="48"/>
      <c r="S484" s="48"/>
      <c r="T484" s="48"/>
      <c r="U484" s="48"/>
      <c r="V484" s="48"/>
      <c r="W484" s="48"/>
      <c r="X484" s="48"/>
      <c r="Y484" s="48"/>
      <c r="Z484" s="48"/>
      <c r="AA484" s="48"/>
      <c r="AB484" s="48"/>
      <c r="AC484" s="48"/>
      <c r="AD484" s="48"/>
      <c r="AE484" s="48"/>
      <c r="AF484" s="48"/>
      <c r="AG484" s="48"/>
      <c r="AH484" s="48"/>
      <c r="AI484" s="48"/>
      <c r="AJ484" s="48"/>
      <c r="AK484" s="48"/>
      <c r="AL484" s="48"/>
      <c r="AM484" s="48"/>
      <c r="AN484" s="48"/>
      <c r="AO484" s="48"/>
      <c r="AP484" s="48"/>
      <c r="AQ484" s="48"/>
      <c r="AR484" s="48"/>
      <c r="AS484" s="48"/>
      <c r="AT484" s="48"/>
      <c r="AU484" s="48"/>
      <c r="AV484" s="48"/>
      <c r="AW484" s="48"/>
      <c r="AX484" s="48"/>
      <c r="AY484" s="48"/>
      <c r="AZ484" s="48"/>
      <c r="BA484" s="48"/>
      <c r="BB484" s="48"/>
      <c r="BC484" s="48"/>
      <c r="BD484" s="48"/>
      <c r="BE484" s="48"/>
      <c r="BF484" s="48"/>
      <c r="BG484" s="48"/>
      <c r="BH484" s="48"/>
      <c r="BI484" s="48"/>
      <c r="BJ484" s="48"/>
      <c r="BK484" s="48"/>
      <c r="BL484" s="48"/>
      <c r="BM484" s="48"/>
      <c r="BN484" s="48"/>
      <c r="BO484" s="48"/>
      <c r="BP484" s="48"/>
      <c r="BQ484" s="48"/>
      <c r="BR484" s="48"/>
      <c r="BS484" s="48"/>
      <c r="BT484" s="48"/>
      <c r="BU484" s="48"/>
      <c r="BV484" s="48"/>
      <c r="BW484" s="48"/>
      <c r="BX484" s="111"/>
    </row>
    <row r="485" spans="1:76">
      <c r="A485" s="82"/>
      <c r="B485" s="82"/>
      <c r="C485" s="82" t="s">
        <v>2168</v>
      </c>
      <c r="D485" s="37"/>
      <c r="E485" s="37"/>
      <c r="F485" s="39"/>
      <c r="G485" s="85"/>
      <c r="H485" s="59"/>
      <c r="I485" s="59"/>
      <c r="J485" s="59"/>
      <c r="K485" s="59"/>
      <c r="L485" s="59"/>
      <c r="M485" s="59"/>
      <c r="N485" s="59"/>
      <c r="O485" s="36"/>
      <c r="P485" s="48"/>
      <c r="Q485" s="48"/>
      <c r="R485" s="48"/>
      <c r="S485" s="48"/>
      <c r="T485" s="48"/>
      <c r="U485" s="48"/>
      <c r="V485" s="48"/>
      <c r="W485" s="48"/>
      <c r="X485" s="48"/>
      <c r="Y485" s="48"/>
      <c r="Z485" s="48"/>
      <c r="AA485" s="48"/>
      <c r="AB485" s="48"/>
      <c r="AC485" s="48"/>
      <c r="AD485" s="48"/>
      <c r="AE485" s="48"/>
      <c r="AF485" s="48"/>
      <c r="AG485" s="48"/>
      <c r="AH485" s="48"/>
      <c r="AI485" s="48"/>
      <c r="AJ485" s="48"/>
      <c r="AK485" s="48"/>
      <c r="AL485" s="48"/>
      <c r="AM485" s="48"/>
      <c r="AN485" s="48"/>
      <c r="AO485" s="48"/>
      <c r="AP485" s="48"/>
      <c r="AQ485" s="48"/>
      <c r="AR485" s="48"/>
      <c r="AS485" s="48"/>
      <c r="AT485" s="48"/>
      <c r="AU485" s="48"/>
      <c r="AV485" s="48"/>
      <c r="AW485" s="48"/>
      <c r="AX485" s="48"/>
      <c r="AY485" s="48"/>
      <c r="AZ485" s="48"/>
      <c r="BA485" s="48"/>
      <c r="BB485" s="48"/>
      <c r="BC485" s="48"/>
      <c r="BD485" s="48"/>
      <c r="BE485" s="48"/>
      <c r="BF485" s="48"/>
      <c r="BG485" s="48"/>
      <c r="BH485" s="48"/>
      <c r="BI485" s="48"/>
      <c r="BJ485" s="48"/>
      <c r="BK485" s="48"/>
      <c r="BL485" s="48"/>
      <c r="BM485" s="48"/>
      <c r="BN485" s="48"/>
      <c r="BO485" s="48"/>
      <c r="BP485" s="48"/>
      <c r="BQ485" s="48"/>
      <c r="BR485" s="48"/>
      <c r="BS485" s="48"/>
      <c r="BT485" s="48"/>
      <c r="BU485" s="48"/>
      <c r="BV485" s="48"/>
      <c r="BW485" s="48"/>
      <c r="BX485" s="111"/>
    </row>
    <row r="486" spans="1:76">
      <c r="A486" s="82"/>
      <c r="B486" s="82"/>
      <c r="C486" s="82" t="s">
        <v>2169</v>
      </c>
      <c r="D486" s="37"/>
      <c r="E486" s="37"/>
      <c r="F486" s="39"/>
      <c r="G486" s="85"/>
      <c r="H486" s="59"/>
      <c r="I486" s="59"/>
      <c r="J486" s="59"/>
      <c r="K486" s="59"/>
      <c r="L486" s="59"/>
      <c r="M486" s="59"/>
      <c r="N486" s="59"/>
      <c r="O486" s="36"/>
      <c r="P486" s="48"/>
      <c r="Q486" s="48"/>
      <c r="R486" s="48"/>
      <c r="S486" s="48"/>
      <c r="T486" s="48"/>
      <c r="U486" s="48"/>
      <c r="V486" s="48"/>
      <c r="W486" s="48"/>
      <c r="X486" s="48"/>
      <c r="Y486" s="48"/>
      <c r="Z486" s="48"/>
      <c r="AA486" s="48"/>
      <c r="AB486" s="48"/>
      <c r="AC486" s="48"/>
      <c r="AD486" s="48"/>
      <c r="AE486" s="48"/>
      <c r="AF486" s="48"/>
      <c r="AG486" s="48"/>
      <c r="AH486" s="48"/>
      <c r="AI486" s="48"/>
      <c r="AJ486" s="48"/>
      <c r="AK486" s="48"/>
      <c r="AL486" s="48"/>
      <c r="AM486" s="48"/>
      <c r="AN486" s="48"/>
      <c r="AO486" s="48"/>
      <c r="AP486" s="48"/>
      <c r="AQ486" s="48"/>
      <c r="AR486" s="48"/>
      <c r="AS486" s="48"/>
      <c r="AT486" s="48"/>
      <c r="AU486" s="48"/>
      <c r="AV486" s="48"/>
      <c r="AW486" s="48"/>
      <c r="AX486" s="48"/>
      <c r="AY486" s="48"/>
      <c r="AZ486" s="48"/>
      <c r="BA486" s="48"/>
      <c r="BB486" s="48"/>
      <c r="BC486" s="48"/>
      <c r="BD486" s="48"/>
      <c r="BE486" s="48"/>
      <c r="BF486" s="48"/>
      <c r="BG486" s="48"/>
      <c r="BH486" s="48"/>
      <c r="BI486" s="48"/>
      <c r="BJ486" s="48"/>
      <c r="BK486" s="48"/>
      <c r="BL486" s="48"/>
      <c r="BM486" s="48"/>
      <c r="BN486" s="48"/>
      <c r="BO486" s="48"/>
      <c r="BP486" s="48"/>
      <c r="BQ486" s="48"/>
      <c r="BR486" s="48"/>
      <c r="BS486" s="48"/>
      <c r="BT486" s="48"/>
      <c r="BU486" s="48"/>
      <c r="BV486" s="48"/>
      <c r="BW486" s="48"/>
      <c r="BX486" s="111"/>
    </row>
    <row r="487" spans="1:76">
      <c r="A487" s="82"/>
      <c r="B487" s="82"/>
      <c r="C487" s="82" t="s">
        <v>2034</v>
      </c>
      <c r="D487" s="37"/>
      <c r="E487" s="37"/>
      <c r="F487" s="39"/>
      <c r="G487" s="85"/>
      <c r="H487" s="59"/>
      <c r="I487" s="59"/>
      <c r="J487" s="59"/>
      <c r="K487" s="59"/>
      <c r="L487" s="59"/>
      <c r="M487" s="59"/>
      <c r="N487" s="59"/>
      <c r="O487" s="36"/>
      <c r="P487" s="48"/>
      <c r="Q487" s="48"/>
      <c r="R487" s="48"/>
      <c r="S487" s="48"/>
      <c r="T487" s="48"/>
      <c r="U487" s="48"/>
      <c r="V487" s="48"/>
      <c r="W487" s="48"/>
      <c r="X487" s="48"/>
      <c r="Y487" s="48"/>
      <c r="Z487" s="48"/>
      <c r="AA487" s="48"/>
      <c r="AB487" s="48"/>
      <c r="AC487" s="48"/>
      <c r="AD487" s="48"/>
      <c r="AE487" s="48"/>
      <c r="AF487" s="48"/>
      <c r="AG487" s="48"/>
      <c r="AH487" s="48"/>
      <c r="AI487" s="48"/>
      <c r="AJ487" s="48"/>
      <c r="AK487" s="48"/>
      <c r="AL487" s="48"/>
      <c r="AM487" s="48"/>
      <c r="AN487" s="48"/>
      <c r="AO487" s="48"/>
      <c r="AP487" s="48"/>
      <c r="AQ487" s="48"/>
      <c r="AR487" s="48"/>
      <c r="AS487" s="48"/>
      <c r="AT487" s="48"/>
      <c r="AU487" s="48"/>
      <c r="AV487" s="48"/>
      <c r="AW487" s="48"/>
      <c r="AX487" s="48"/>
      <c r="AY487" s="48"/>
      <c r="AZ487" s="48"/>
      <c r="BA487" s="48"/>
      <c r="BB487" s="48"/>
      <c r="BC487" s="48"/>
      <c r="BD487" s="48"/>
      <c r="BE487" s="48"/>
      <c r="BF487" s="48"/>
      <c r="BG487" s="48"/>
      <c r="BH487" s="48"/>
      <c r="BI487" s="48"/>
      <c r="BJ487" s="48"/>
      <c r="BK487" s="48"/>
      <c r="BL487" s="48"/>
      <c r="BM487" s="48"/>
      <c r="BN487" s="48"/>
      <c r="BO487" s="48"/>
      <c r="BP487" s="48"/>
      <c r="BQ487" s="48"/>
      <c r="BR487" s="48"/>
      <c r="BS487" s="48"/>
      <c r="BT487" s="48"/>
      <c r="BU487" s="48"/>
      <c r="BV487" s="48"/>
      <c r="BW487" s="48"/>
      <c r="BX487" s="111"/>
    </row>
    <row r="488" spans="1:76">
      <c r="A488" s="82"/>
      <c r="B488" s="82"/>
      <c r="C488" s="82" t="s">
        <v>103</v>
      </c>
      <c r="D488" s="37"/>
      <c r="E488" s="37"/>
      <c r="F488" s="39"/>
      <c r="G488" s="85"/>
      <c r="H488" s="59"/>
      <c r="I488" s="59"/>
      <c r="J488" s="59"/>
      <c r="K488" s="59"/>
      <c r="L488" s="59"/>
      <c r="M488" s="59"/>
      <c r="N488" s="59"/>
      <c r="O488" s="36"/>
      <c r="P488" s="48"/>
      <c r="Q488" s="48"/>
      <c r="R488" s="48"/>
      <c r="S488" s="48"/>
      <c r="T488" s="48"/>
      <c r="U488" s="48"/>
      <c r="V488" s="48"/>
      <c r="W488" s="48"/>
      <c r="X488" s="48"/>
      <c r="Y488" s="48"/>
      <c r="Z488" s="48"/>
      <c r="AA488" s="48"/>
      <c r="AB488" s="48"/>
      <c r="AC488" s="48"/>
      <c r="AD488" s="48"/>
      <c r="AE488" s="48"/>
      <c r="AF488" s="48"/>
      <c r="AG488" s="48"/>
      <c r="AH488" s="48"/>
      <c r="AI488" s="48"/>
      <c r="AJ488" s="48"/>
      <c r="AK488" s="48"/>
      <c r="AL488" s="48"/>
      <c r="AM488" s="48"/>
      <c r="AN488" s="48"/>
      <c r="AO488" s="48"/>
      <c r="AP488" s="48"/>
      <c r="AQ488" s="48"/>
      <c r="AR488" s="48"/>
      <c r="AS488" s="48"/>
      <c r="AT488" s="48"/>
      <c r="AU488" s="48"/>
      <c r="AV488" s="48"/>
      <c r="AW488" s="48"/>
      <c r="AX488" s="48"/>
      <c r="AY488" s="48"/>
      <c r="AZ488" s="48"/>
      <c r="BA488" s="48"/>
      <c r="BB488" s="48"/>
      <c r="BC488" s="48"/>
      <c r="BD488" s="48"/>
      <c r="BE488" s="48"/>
      <c r="BF488" s="48"/>
      <c r="BG488" s="48"/>
      <c r="BH488" s="48"/>
      <c r="BI488" s="48"/>
      <c r="BJ488" s="48"/>
      <c r="BK488" s="48"/>
      <c r="BL488" s="48"/>
      <c r="BM488" s="48"/>
      <c r="BN488" s="48"/>
      <c r="BO488" s="48"/>
      <c r="BP488" s="48"/>
      <c r="BQ488" s="48"/>
      <c r="BR488" s="48"/>
      <c r="BS488" s="48"/>
      <c r="BT488" s="48"/>
      <c r="BU488" s="48"/>
      <c r="BV488" s="48"/>
      <c r="BW488" s="48"/>
      <c r="BX488" s="111"/>
    </row>
    <row r="489" spans="1:76">
      <c r="A489" s="37"/>
      <c r="B489" s="37"/>
      <c r="C489" s="37" t="s">
        <v>722</v>
      </c>
      <c r="D489" s="37"/>
      <c r="E489" s="37"/>
      <c r="F489" s="39"/>
      <c r="G489" s="41">
        <f>42-23+3-25</f>
        <v>-3</v>
      </c>
      <c r="H489" s="41">
        <f>86+22+80-1162</f>
        <v>-974</v>
      </c>
      <c r="I489" s="41">
        <f>32-93+16+71</f>
        <v>26</v>
      </c>
      <c r="J489" s="41">
        <f>3+21+11-5</f>
        <v>30</v>
      </c>
      <c r="K489" s="59">
        <f>1+2-1-48-12+15</f>
        <v>-43</v>
      </c>
      <c r="L489" s="41">
        <f>-58-50+22-16+15-104</f>
        <v>-191</v>
      </c>
      <c r="M489" s="41">
        <f>17+M272-L272-4-15+14-204</f>
        <v>-192</v>
      </c>
      <c r="N489" s="42">
        <f>-257+N272-M272+9-14+12-26</f>
        <v>71</v>
      </c>
      <c r="O489" s="58"/>
      <c r="P489" s="48"/>
      <c r="Q489" s="48"/>
      <c r="R489" s="48"/>
      <c r="S489" s="48"/>
      <c r="T489" s="48"/>
      <c r="U489" s="48"/>
      <c r="V489" s="48"/>
      <c r="W489" s="48"/>
      <c r="X489" s="48"/>
      <c r="Y489" s="48"/>
      <c r="Z489" s="48"/>
      <c r="AA489" s="48"/>
      <c r="AB489" s="48"/>
      <c r="AC489" s="48"/>
      <c r="AD489" s="48"/>
      <c r="AE489" s="48"/>
      <c r="AF489" s="48"/>
      <c r="AG489" s="48"/>
      <c r="AH489" s="48"/>
      <c r="AI489" s="48"/>
      <c r="AJ489" s="48"/>
      <c r="AK489" s="48"/>
      <c r="AL489" s="48"/>
      <c r="AM489" s="48"/>
      <c r="AN489" s="48"/>
      <c r="AO489" s="48"/>
      <c r="AP489" s="48"/>
      <c r="AQ489" s="48"/>
      <c r="AR489" s="48"/>
      <c r="AS489" s="48"/>
      <c r="AT489" s="48"/>
      <c r="AU489" s="48"/>
      <c r="AV489" s="48"/>
      <c r="AW489" s="48"/>
      <c r="AX489" s="48"/>
      <c r="AY489" s="48"/>
      <c r="AZ489" s="48"/>
      <c r="BA489" s="48"/>
      <c r="BB489" s="48"/>
      <c r="BC489" s="48"/>
      <c r="BD489" s="48"/>
      <c r="BE489" s="48"/>
      <c r="BF489" s="48"/>
      <c r="BG489" s="48"/>
      <c r="BH489" s="48"/>
      <c r="BI489" s="48"/>
      <c r="BJ489" s="48"/>
      <c r="BK489" s="48"/>
      <c r="BL489" s="48"/>
      <c r="BM489" s="48"/>
      <c r="BN489" s="48"/>
      <c r="BO489" s="48"/>
      <c r="BP489" s="48"/>
      <c r="BQ489" s="48"/>
      <c r="BR489" s="48"/>
      <c r="BS489" s="48"/>
      <c r="BT489" s="48"/>
      <c r="BU489" s="48"/>
      <c r="BV489" s="48"/>
      <c r="BW489" s="48"/>
      <c r="BX489" s="111"/>
    </row>
    <row r="490" spans="1:76">
      <c r="A490" s="37"/>
      <c r="B490" s="37"/>
      <c r="C490" s="37" t="s">
        <v>723</v>
      </c>
      <c r="D490" s="37"/>
      <c r="E490" s="37"/>
      <c r="F490" s="39"/>
      <c r="G490" s="59">
        <v>217</v>
      </c>
      <c r="H490" s="59">
        <v>156</v>
      </c>
      <c r="I490" s="59">
        <v>78</v>
      </c>
      <c r="J490" s="59">
        <v>-12</v>
      </c>
      <c r="K490" s="59">
        <v>-23</v>
      </c>
      <c r="L490" s="59">
        <v>7</v>
      </c>
      <c r="M490" s="59">
        <v>-2</v>
      </c>
      <c r="N490" s="60">
        <v>-2</v>
      </c>
      <c r="O490" s="36"/>
      <c r="P490" s="48"/>
      <c r="Q490" s="48"/>
      <c r="R490" s="48"/>
      <c r="S490" s="48"/>
      <c r="T490" s="48"/>
      <c r="U490" s="48"/>
      <c r="V490" s="48"/>
      <c r="W490" s="48"/>
      <c r="X490" s="48"/>
      <c r="Y490" s="48"/>
      <c r="Z490" s="48"/>
      <c r="AA490" s="48"/>
      <c r="AB490" s="48"/>
      <c r="AC490" s="48"/>
      <c r="AD490" s="48"/>
      <c r="AE490" s="48"/>
      <c r="AF490" s="48"/>
      <c r="AG490" s="48"/>
      <c r="AH490" s="48"/>
      <c r="AI490" s="48"/>
      <c r="AJ490" s="48"/>
      <c r="AK490" s="48"/>
      <c r="AL490" s="48"/>
      <c r="AM490" s="48"/>
      <c r="AN490" s="48"/>
      <c r="AO490" s="48"/>
      <c r="AP490" s="48"/>
      <c r="AQ490" s="48"/>
      <c r="AR490" s="48"/>
      <c r="AS490" s="48"/>
      <c r="AT490" s="48"/>
      <c r="AU490" s="48"/>
      <c r="AV490" s="48"/>
      <c r="AW490" s="48"/>
      <c r="AX490" s="48"/>
      <c r="AY490" s="48"/>
      <c r="AZ490" s="48"/>
      <c r="BA490" s="48"/>
      <c r="BB490" s="48"/>
      <c r="BC490" s="48"/>
      <c r="BD490" s="48"/>
      <c r="BE490" s="48"/>
      <c r="BF490" s="48"/>
      <c r="BG490" s="48"/>
      <c r="BH490" s="48"/>
      <c r="BI490" s="48"/>
      <c r="BJ490" s="48"/>
      <c r="BK490" s="48"/>
      <c r="BL490" s="48"/>
      <c r="BM490" s="48"/>
      <c r="BN490" s="48"/>
      <c r="BO490" s="48"/>
      <c r="BP490" s="48"/>
      <c r="BQ490" s="48"/>
      <c r="BR490" s="48"/>
      <c r="BS490" s="48"/>
      <c r="BT490" s="48"/>
      <c r="BU490" s="48"/>
      <c r="BV490" s="48"/>
      <c r="BW490" s="48"/>
      <c r="BX490" s="111"/>
    </row>
    <row r="491" spans="1:76">
      <c r="A491" s="52"/>
      <c r="B491" s="52"/>
      <c r="C491" s="52" t="s">
        <v>724</v>
      </c>
      <c r="D491" s="52"/>
      <c r="E491" s="52"/>
      <c r="F491" s="53"/>
      <c r="G491" s="53">
        <f t="shared" ref="G491:N491" si="74">IF(AND(OR(ISTEXT(G492), ISBLANK(G492)),OR(ISTEXT(G493), ISBLANK(G493)),TRUE),"", +IF(ISTEXT(G492), 0,G492)+IF(ISTEXT(G493), 0,G493))</f>
        <v>1003</v>
      </c>
      <c r="H491" s="53">
        <f t="shared" si="74"/>
        <v>427</v>
      </c>
      <c r="I491" s="53">
        <f t="shared" si="74"/>
        <v>521</v>
      </c>
      <c r="J491" s="53">
        <f t="shared" si="74"/>
        <v>544</v>
      </c>
      <c r="K491" s="53">
        <f t="shared" si="74"/>
        <v>477</v>
      </c>
      <c r="L491" s="53">
        <f t="shared" si="74"/>
        <v>300</v>
      </c>
      <c r="M491" s="53">
        <f t="shared" si="74"/>
        <v>302</v>
      </c>
      <c r="N491" s="55">
        <f t="shared" si="74"/>
        <v>333</v>
      </c>
      <c r="O491" s="54"/>
      <c r="P491" s="55"/>
      <c r="Q491" s="55"/>
      <c r="R491" s="55"/>
      <c r="S491" s="55"/>
      <c r="T491" s="55"/>
      <c r="U491" s="55"/>
      <c r="V491" s="55"/>
      <c r="W491" s="55"/>
      <c r="X491" s="55"/>
      <c r="Y491" s="55"/>
      <c r="Z491" s="55"/>
      <c r="AA491" s="55"/>
      <c r="AB491" s="55"/>
      <c r="AC491" s="55"/>
      <c r="AD491" s="55"/>
      <c r="AE491" s="55"/>
      <c r="AF491" s="55"/>
      <c r="AG491" s="55"/>
      <c r="AH491" s="55"/>
      <c r="AI491" s="55"/>
      <c r="AJ491" s="55"/>
      <c r="AK491" s="55"/>
      <c r="AL491" s="55"/>
      <c r="AM491" s="55"/>
      <c r="AN491" s="55"/>
      <c r="AO491" s="55"/>
      <c r="AP491" s="55"/>
      <c r="AQ491" s="55"/>
      <c r="AR491" s="55"/>
      <c r="AS491" s="55"/>
      <c r="AT491" s="55"/>
      <c r="AU491" s="55"/>
      <c r="AV491" s="55"/>
      <c r="AW491" s="55"/>
      <c r="AX491" s="55"/>
      <c r="AY491" s="55"/>
      <c r="AZ491" s="55"/>
      <c r="BA491" s="55"/>
      <c r="BB491" s="55"/>
      <c r="BC491" s="55"/>
      <c r="BD491" s="55"/>
      <c r="BE491" s="55"/>
      <c r="BF491" s="55"/>
      <c r="BG491" s="55"/>
      <c r="BH491" s="55"/>
      <c r="BI491" s="55"/>
      <c r="BJ491" s="55"/>
      <c r="BK491" s="55"/>
      <c r="BL491" s="55"/>
      <c r="BM491" s="55"/>
      <c r="BN491" s="55"/>
      <c r="BO491" s="55"/>
      <c r="BP491" s="55"/>
      <c r="BQ491" s="55"/>
      <c r="BR491" s="55"/>
      <c r="BS491" s="55"/>
      <c r="BT491" s="55"/>
      <c r="BU491" s="55"/>
      <c r="BV491" s="55"/>
      <c r="BW491" s="55"/>
      <c r="BX491" s="112"/>
    </row>
    <row r="492" spans="1:76">
      <c r="A492" s="37"/>
      <c r="B492" s="37"/>
      <c r="C492" s="37"/>
      <c r="D492" s="37" t="s">
        <v>1280</v>
      </c>
      <c r="E492" s="37"/>
      <c r="F492" s="39"/>
      <c r="G492" s="59">
        <v>1003</v>
      </c>
      <c r="H492" s="59">
        <v>427</v>
      </c>
      <c r="I492" s="59">
        <v>521</v>
      </c>
      <c r="J492" s="59">
        <v>544</v>
      </c>
      <c r="K492" s="59">
        <v>477</v>
      </c>
      <c r="L492" s="59">
        <v>300</v>
      </c>
      <c r="M492" s="59">
        <v>302</v>
      </c>
      <c r="N492" s="60">
        <v>333</v>
      </c>
      <c r="O492" s="36"/>
      <c r="P492" s="48"/>
      <c r="Q492" s="48"/>
      <c r="R492" s="48"/>
      <c r="S492" s="48"/>
      <c r="T492" s="48"/>
      <c r="U492" s="48"/>
      <c r="V492" s="48"/>
      <c r="W492" s="48"/>
      <c r="X492" s="48"/>
      <c r="Y492" s="48"/>
      <c r="Z492" s="48"/>
      <c r="AA492" s="48"/>
      <c r="AB492" s="48"/>
      <c r="AC492" s="48"/>
      <c r="AD492" s="48"/>
      <c r="AE492" s="48"/>
      <c r="AF492" s="48"/>
      <c r="AG492" s="48"/>
      <c r="AH492" s="48"/>
      <c r="AI492" s="48"/>
      <c r="AJ492" s="48"/>
      <c r="AK492" s="48"/>
      <c r="AL492" s="48"/>
      <c r="AM492" s="48"/>
      <c r="AN492" s="48"/>
      <c r="AO492" s="48"/>
      <c r="AP492" s="48"/>
      <c r="AQ492" s="48"/>
      <c r="AR492" s="48"/>
      <c r="AS492" s="48"/>
      <c r="AT492" s="48"/>
      <c r="AU492" s="48"/>
      <c r="AV492" s="48"/>
      <c r="AW492" s="48"/>
      <c r="AX492" s="48"/>
      <c r="AY492" s="48"/>
      <c r="AZ492" s="48"/>
      <c r="BA492" s="48"/>
      <c r="BB492" s="48"/>
      <c r="BC492" s="48"/>
      <c r="BD492" s="48"/>
      <c r="BE492" s="48"/>
      <c r="BF492" s="48"/>
      <c r="BG492" s="48"/>
      <c r="BH492" s="48"/>
      <c r="BI492" s="48"/>
      <c r="BJ492" s="48"/>
      <c r="BK492" s="48"/>
      <c r="BL492" s="48"/>
      <c r="BM492" s="48"/>
      <c r="BN492" s="48"/>
      <c r="BO492" s="48"/>
      <c r="BP492" s="48"/>
      <c r="BQ492" s="48"/>
      <c r="BR492" s="48"/>
      <c r="BS492" s="48"/>
      <c r="BT492" s="48"/>
      <c r="BU492" s="48"/>
      <c r="BV492" s="48"/>
      <c r="BW492" s="48"/>
      <c r="BX492" s="111"/>
    </row>
    <row r="493" spans="1:76">
      <c r="A493" s="37"/>
      <c r="B493" s="37"/>
      <c r="C493" s="37"/>
      <c r="D493" s="37" t="s">
        <v>1281</v>
      </c>
      <c r="E493" s="37"/>
      <c r="F493" s="39"/>
      <c r="G493" s="59"/>
      <c r="H493" s="59"/>
      <c r="I493" s="59"/>
      <c r="J493" s="59"/>
      <c r="K493" s="59"/>
      <c r="L493" s="59"/>
      <c r="M493" s="59"/>
      <c r="N493" s="60"/>
      <c r="O493" s="36"/>
      <c r="P493" s="48"/>
      <c r="Q493" s="48"/>
      <c r="R493" s="48"/>
      <c r="S493" s="48"/>
      <c r="T493" s="48"/>
      <c r="U493" s="48"/>
      <c r="V493" s="48"/>
      <c r="W493" s="48"/>
      <c r="X493" s="48"/>
      <c r="Y493" s="48"/>
      <c r="Z493" s="48"/>
      <c r="AA493" s="48"/>
      <c r="AB493" s="48"/>
      <c r="AC493" s="48"/>
      <c r="AD493" s="48"/>
      <c r="AE493" s="48"/>
      <c r="AF493" s="48"/>
      <c r="AG493" s="48"/>
      <c r="AH493" s="48"/>
      <c r="AI493" s="48"/>
      <c r="AJ493" s="48"/>
      <c r="AK493" s="48"/>
      <c r="AL493" s="48"/>
      <c r="AM493" s="48"/>
      <c r="AN493" s="48"/>
      <c r="AO493" s="48"/>
      <c r="AP493" s="48"/>
      <c r="AQ493" s="48"/>
      <c r="AR493" s="48"/>
      <c r="AS493" s="48"/>
      <c r="AT493" s="48"/>
      <c r="AU493" s="48"/>
      <c r="AV493" s="48"/>
      <c r="AW493" s="48"/>
      <c r="AX493" s="48"/>
      <c r="AY493" s="48"/>
      <c r="AZ493" s="48"/>
      <c r="BA493" s="48"/>
      <c r="BB493" s="48"/>
      <c r="BC493" s="48"/>
      <c r="BD493" s="48"/>
      <c r="BE493" s="48"/>
      <c r="BF493" s="48"/>
      <c r="BG493" s="48"/>
      <c r="BH493" s="48"/>
      <c r="BI493" s="48"/>
      <c r="BJ493" s="48"/>
      <c r="BK493" s="48"/>
      <c r="BL493" s="48"/>
      <c r="BM493" s="48"/>
      <c r="BN493" s="48"/>
      <c r="BO493" s="48"/>
      <c r="BP493" s="48"/>
      <c r="BQ493" s="48"/>
      <c r="BR493" s="48"/>
      <c r="BS493" s="48"/>
      <c r="BT493" s="48"/>
      <c r="BU493" s="48"/>
      <c r="BV493" s="48"/>
      <c r="BW493" s="48"/>
      <c r="BX493" s="111"/>
    </row>
    <row r="494" spans="1:76">
      <c r="A494" s="37"/>
      <c r="B494" s="37"/>
      <c r="C494" s="37" t="s">
        <v>178</v>
      </c>
      <c r="D494" s="37"/>
      <c r="E494" s="37"/>
      <c r="F494" s="39"/>
      <c r="G494" s="59"/>
      <c r="H494" s="59"/>
      <c r="I494" s="59"/>
      <c r="J494" s="59"/>
      <c r="K494" s="59"/>
      <c r="L494" s="59"/>
      <c r="M494" s="59"/>
      <c r="N494" s="60"/>
      <c r="O494" s="36"/>
      <c r="P494" s="48"/>
      <c r="Q494" s="48"/>
      <c r="R494" s="48"/>
      <c r="S494" s="48"/>
      <c r="T494" s="48"/>
      <c r="U494" s="48"/>
      <c r="V494" s="48"/>
      <c r="W494" s="48"/>
      <c r="X494" s="48"/>
      <c r="Y494" s="48"/>
      <c r="Z494" s="48"/>
      <c r="AA494" s="48"/>
      <c r="AB494" s="48"/>
      <c r="AC494" s="48"/>
      <c r="AD494" s="48"/>
      <c r="AE494" s="48"/>
      <c r="AF494" s="48"/>
      <c r="AG494" s="48"/>
      <c r="AH494" s="48"/>
      <c r="AI494" s="48"/>
      <c r="AJ494" s="48"/>
      <c r="AK494" s="48"/>
      <c r="AL494" s="48"/>
      <c r="AM494" s="48"/>
      <c r="AN494" s="48"/>
      <c r="AO494" s="48"/>
      <c r="AP494" s="48"/>
      <c r="AQ494" s="48"/>
      <c r="AR494" s="48"/>
      <c r="AS494" s="48"/>
      <c r="AT494" s="48"/>
      <c r="AU494" s="48"/>
      <c r="AV494" s="48"/>
      <c r="AW494" s="48"/>
      <c r="AX494" s="48"/>
      <c r="AY494" s="48"/>
      <c r="AZ494" s="48"/>
      <c r="BA494" s="48"/>
      <c r="BB494" s="48"/>
      <c r="BC494" s="48"/>
      <c r="BD494" s="48"/>
      <c r="BE494" s="48"/>
      <c r="BF494" s="48"/>
      <c r="BG494" s="48"/>
      <c r="BH494" s="48"/>
      <c r="BI494" s="48"/>
      <c r="BJ494" s="48"/>
      <c r="BK494" s="48"/>
      <c r="BL494" s="48"/>
      <c r="BM494" s="48"/>
      <c r="BN494" s="48"/>
      <c r="BO494" s="48"/>
      <c r="BP494" s="48"/>
      <c r="BQ494" s="48"/>
      <c r="BR494" s="48"/>
      <c r="BS494" s="48"/>
      <c r="BT494" s="48"/>
      <c r="BU494" s="48"/>
      <c r="BV494" s="48"/>
      <c r="BW494" s="48"/>
      <c r="BX494" s="111"/>
    </row>
    <row r="495" spans="1:76">
      <c r="A495" s="37"/>
      <c r="B495" s="37"/>
      <c r="C495" s="37" t="s">
        <v>1669</v>
      </c>
      <c r="D495" s="37"/>
      <c r="E495" s="37"/>
      <c r="F495" s="39"/>
      <c r="G495" s="59"/>
      <c r="H495" s="59"/>
      <c r="I495" s="59"/>
      <c r="J495" s="59"/>
      <c r="K495" s="59"/>
      <c r="L495" s="59"/>
      <c r="M495" s="59"/>
      <c r="N495" s="60"/>
      <c r="O495" s="36"/>
      <c r="P495" s="48"/>
      <c r="Q495" s="48"/>
      <c r="R495" s="48"/>
      <c r="S495" s="48"/>
      <c r="T495" s="48"/>
      <c r="U495" s="48"/>
      <c r="V495" s="48"/>
      <c r="W495" s="48"/>
      <c r="X495" s="48"/>
      <c r="Y495" s="48"/>
      <c r="Z495" s="48"/>
      <c r="AA495" s="48"/>
      <c r="AB495" s="48"/>
      <c r="AC495" s="48"/>
      <c r="AD495" s="48"/>
      <c r="AE495" s="48"/>
      <c r="AF495" s="48"/>
      <c r="AG495" s="48"/>
      <c r="AH495" s="48"/>
      <c r="AI495" s="48"/>
      <c r="AJ495" s="48"/>
      <c r="AK495" s="48"/>
      <c r="AL495" s="48"/>
      <c r="AM495" s="48"/>
      <c r="AN495" s="48"/>
      <c r="AO495" s="48"/>
      <c r="AP495" s="48"/>
      <c r="AQ495" s="48"/>
      <c r="AR495" s="48"/>
      <c r="AS495" s="48"/>
      <c r="AT495" s="48"/>
      <c r="AU495" s="48"/>
      <c r="AV495" s="48"/>
      <c r="AW495" s="48"/>
      <c r="AX495" s="48"/>
      <c r="AY495" s="48"/>
      <c r="AZ495" s="48"/>
      <c r="BA495" s="48"/>
      <c r="BB495" s="48"/>
      <c r="BC495" s="48"/>
      <c r="BD495" s="48"/>
      <c r="BE495" s="48"/>
      <c r="BF495" s="48"/>
      <c r="BG495" s="48"/>
      <c r="BH495" s="48"/>
      <c r="BI495" s="48"/>
      <c r="BJ495" s="48"/>
      <c r="BK495" s="48"/>
      <c r="BL495" s="48"/>
      <c r="BM495" s="48"/>
      <c r="BN495" s="48"/>
      <c r="BO495" s="48"/>
      <c r="BP495" s="48"/>
      <c r="BQ495" s="48"/>
      <c r="BR495" s="48"/>
      <c r="BS495" s="48"/>
      <c r="BT495" s="48"/>
      <c r="BU495" s="48"/>
      <c r="BV495" s="48"/>
      <c r="BW495" s="48"/>
      <c r="BX495" s="111"/>
    </row>
    <row r="496" spans="1:76">
      <c r="A496" s="37"/>
      <c r="B496" s="37"/>
      <c r="C496" s="37" t="s">
        <v>866</v>
      </c>
      <c r="D496" s="37"/>
      <c r="E496" s="37"/>
      <c r="F496" s="39"/>
      <c r="G496" s="59">
        <v>1641</v>
      </c>
      <c r="H496" s="59">
        <v>2854</v>
      </c>
      <c r="I496" s="59">
        <v>3853</v>
      </c>
      <c r="J496" s="59">
        <v>261</v>
      </c>
      <c r="K496" s="59">
        <v>39</v>
      </c>
      <c r="L496" s="59">
        <v>65</v>
      </c>
      <c r="M496" s="59">
        <v>1042</v>
      </c>
      <c r="N496" s="60">
        <v>74</v>
      </c>
      <c r="O496" s="36"/>
      <c r="P496" s="48"/>
      <c r="Q496" s="48"/>
      <c r="R496" s="48"/>
      <c r="S496" s="48"/>
      <c r="T496" s="48"/>
      <c r="U496" s="48"/>
      <c r="V496" s="48"/>
      <c r="W496" s="48"/>
      <c r="X496" s="48"/>
      <c r="Y496" s="48"/>
      <c r="Z496" s="48"/>
      <c r="AA496" s="48"/>
      <c r="AB496" s="48"/>
      <c r="AC496" s="48"/>
      <c r="AD496" s="48"/>
      <c r="AE496" s="48"/>
      <c r="AF496" s="48"/>
      <c r="AG496" s="48"/>
      <c r="AH496" s="48"/>
      <c r="AI496" s="48"/>
      <c r="AJ496" s="48"/>
      <c r="AK496" s="48"/>
      <c r="AL496" s="48"/>
      <c r="AM496" s="48"/>
      <c r="AN496" s="48"/>
      <c r="AO496" s="48"/>
      <c r="AP496" s="48"/>
      <c r="AQ496" s="48"/>
      <c r="AR496" s="48"/>
      <c r="AS496" s="48"/>
      <c r="AT496" s="48"/>
      <c r="AU496" s="48"/>
      <c r="AV496" s="48"/>
      <c r="AW496" s="48"/>
      <c r="AX496" s="48"/>
      <c r="AY496" s="48"/>
      <c r="AZ496" s="48"/>
      <c r="BA496" s="48"/>
      <c r="BB496" s="48"/>
      <c r="BC496" s="48"/>
      <c r="BD496" s="48"/>
      <c r="BE496" s="48"/>
      <c r="BF496" s="48"/>
      <c r="BG496" s="48"/>
      <c r="BH496" s="48"/>
      <c r="BI496" s="48"/>
      <c r="BJ496" s="48"/>
      <c r="BK496" s="48"/>
      <c r="BL496" s="48"/>
      <c r="BM496" s="48"/>
      <c r="BN496" s="48"/>
      <c r="BO496" s="48"/>
      <c r="BP496" s="48"/>
      <c r="BQ496" s="48"/>
      <c r="BR496" s="48"/>
      <c r="BS496" s="48"/>
      <c r="BT496" s="48"/>
      <c r="BU496" s="48"/>
      <c r="BV496" s="48"/>
      <c r="BW496" s="48"/>
      <c r="BX496" s="111"/>
    </row>
    <row r="497" spans="1:76">
      <c r="A497" s="37"/>
      <c r="B497" s="37"/>
      <c r="C497" s="37" t="s">
        <v>157</v>
      </c>
      <c r="D497" s="37"/>
      <c r="E497" s="37"/>
      <c r="F497" s="39"/>
      <c r="G497" s="64">
        <v>-287</v>
      </c>
      <c r="H497" s="64">
        <v>-60</v>
      </c>
      <c r="I497" s="64">
        <v>-111</v>
      </c>
      <c r="J497" s="64">
        <v>-284</v>
      </c>
      <c r="K497" s="63">
        <v>-51</v>
      </c>
      <c r="L497" s="64">
        <v>-7</v>
      </c>
      <c r="M497" s="64">
        <v>0</v>
      </c>
      <c r="N497" s="65">
        <v>-65</v>
      </c>
      <c r="O497" s="36"/>
      <c r="P497" s="48"/>
      <c r="Q497" s="48"/>
      <c r="R497" s="48"/>
      <c r="S497" s="48"/>
      <c r="T497" s="48"/>
      <c r="U497" s="48"/>
      <c r="V497" s="48"/>
      <c r="W497" s="48"/>
      <c r="X497" s="48"/>
      <c r="Y497" s="48"/>
      <c r="Z497" s="48"/>
      <c r="AA497" s="48"/>
      <c r="AB497" s="48"/>
      <c r="AC497" s="48"/>
      <c r="AD497" s="48"/>
      <c r="AE497" s="48"/>
      <c r="AF497" s="48"/>
      <c r="AG497" s="48"/>
      <c r="AH497" s="48"/>
      <c r="AI497" s="48"/>
      <c r="AJ497" s="48"/>
      <c r="AK497" s="48"/>
      <c r="AL497" s="48"/>
      <c r="AM497" s="48"/>
      <c r="AN497" s="48"/>
      <c r="AO497" s="48"/>
      <c r="AP497" s="48"/>
      <c r="AQ497" s="48"/>
      <c r="AR497" s="48"/>
      <c r="AS497" s="48"/>
      <c r="AT497" s="48"/>
      <c r="AU497" s="48"/>
      <c r="AV497" s="48"/>
      <c r="AW497" s="48"/>
      <c r="AX497" s="48"/>
      <c r="AY497" s="48"/>
      <c r="AZ497" s="48"/>
      <c r="BA497" s="48"/>
      <c r="BB497" s="48"/>
      <c r="BC497" s="48"/>
      <c r="BD497" s="48"/>
      <c r="BE497" s="48"/>
      <c r="BF497" s="48"/>
      <c r="BG497" s="48"/>
      <c r="BH497" s="48"/>
      <c r="BI497" s="48"/>
      <c r="BJ497" s="48"/>
      <c r="BK497" s="48"/>
      <c r="BL497" s="48"/>
      <c r="BM497" s="48"/>
      <c r="BN497" s="48"/>
      <c r="BO497" s="48"/>
      <c r="BP497" s="48"/>
      <c r="BQ497" s="48"/>
      <c r="BR497" s="48"/>
      <c r="BS497" s="48"/>
      <c r="BT497" s="48"/>
      <c r="BU497" s="48"/>
      <c r="BV497" s="48"/>
      <c r="BW497" s="48"/>
      <c r="BX497" s="111"/>
    </row>
    <row r="498" spans="1:76">
      <c r="A498" s="37"/>
      <c r="B498" s="37"/>
      <c r="C498" s="37"/>
      <c r="D498" s="37" t="s">
        <v>1421</v>
      </c>
      <c r="E498" s="37"/>
      <c r="F498" s="39"/>
      <c r="G498" s="61" t="str">
        <f t="shared" ref="G498:N498" si="75">IF(AND(OR(ISTEXT(G499), ISBLANK(G499)),OR(ISTEXT(G500), ISBLANK(G500)),TRUE),"", +IF(ISTEXT(G499), 0,G499)+IF(ISTEXT(G500), 0,G500))</f>
        <v/>
      </c>
      <c r="H498" s="61" t="str">
        <f t="shared" si="75"/>
        <v/>
      </c>
      <c r="I498" s="61" t="str">
        <f t="shared" si="75"/>
        <v/>
      </c>
      <c r="J498" s="61" t="str">
        <f t="shared" si="75"/>
        <v/>
      </c>
      <c r="K498" s="39" t="str">
        <f t="shared" si="75"/>
        <v/>
      </c>
      <c r="L498" s="61" t="str">
        <f t="shared" si="75"/>
        <v/>
      </c>
      <c r="M498" s="61" t="str">
        <f t="shared" si="75"/>
        <v/>
      </c>
      <c r="N498" s="48" t="str">
        <f t="shared" si="75"/>
        <v/>
      </c>
      <c r="O498" s="36"/>
      <c r="P498" s="48"/>
      <c r="Q498" s="48"/>
      <c r="R498" s="48"/>
      <c r="S498" s="48"/>
      <c r="T498" s="48"/>
      <c r="U498" s="48"/>
      <c r="V498" s="48"/>
      <c r="W498" s="48"/>
      <c r="X498" s="48"/>
      <c r="Y498" s="48"/>
      <c r="Z498" s="48"/>
      <c r="AA498" s="48"/>
      <c r="AB498" s="48"/>
      <c r="AC498" s="48"/>
      <c r="AD498" s="48"/>
      <c r="AE498" s="48"/>
      <c r="AF498" s="48"/>
      <c r="AG498" s="48"/>
      <c r="AH498" s="48"/>
      <c r="AI498" s="48"/>
      <c r="AJ498" s="48"/>
      <c r="AK498" s="48"/>
      <c r="AL498" s="48"/>
      <c r="AM498" s="48"/>
      <c r="AN498" s="48"/>
      <c r="AO498" s="48"/>
      <c r="AP498" s="48"/>
      <c r="AQ498" s="48"/>
      <c r="AR498" s="48"/>
      <c r="AS498" s="48"/>
      <c r="AT498" s="48"/>
      <c r="AU498" s="48"/>
      <c r="AV498" s="48"/>
      <c r="AW498" s="48"/>
      <c r="AX498" s="48"/>
      <c r="AY498" s="48"/>
      <c r="AZ498" s="48"/>
      <c r="BA498" s="48"/>
      <c r="BB498" s="48"/>
      <c r="BC498" s="48"/>
      <c r="BD498" s="48"/>
      <c r="BE498" s="48"/>
      <c r="BF498" s="48"/>
      <c r="BG498" s="48"/>
      <c r="BH498" s="48"/>
      <c r="BI498" s="48"/>
      <c r="BJ498" s="48"/>
      <c r="BK498" s="48"/>
      <c r="BL498" s="48"/>
      <c r="BM498" s="48"/>
      <c r="BN498" s="48"/>
      <c r="BO498" s="48"/>
      <c r="BP498" s="48"/>
      <c r="BQ498" s="48"/>
      <c r="BR498" s="48"/>
      <c r="BS498" s="48"/>
      <c r="BT498" s="48"/>
      <c r="BU498" s="48"/>
      <c r="BV498" s="48"/>
      <c r="BW498" s="48"/>
      <c r="BX498" s="111"/>
    </row>
    <row r="499" spans="1:76">
      <c r="A499" s="37"/>
      <c r="B499" s="37"/>
      <c r="C499" s="37"/>
      <c r="D499" s="37"/>
      <c r="E499" s="37" t="s">
        <v>1612</v>
      </c>
      <c r="F499" s="39"/>
      <c r="G499" s="59"/>
      <c r="H499" s="59"/>
      <c r="I499" s="59"/>
      <c r="J499" s="59"/>
      <c r="K499" s="59"/>
      <c r="L499" s="59"/>
      <c r="M499" s="59"/>
      <c r="N499" s="60"/>
      <c r="O499" s="36"/>
      <c r="P499" s="48"/>
      <c r="Q499" s="48"/>
      <c r="R499" s="48"/>
      <c r="S499" s="48"/>
      <c r="T499" s="48"/>
      <c r="U499" s="48"/>
      <c r="V499" s="48"/>
      <c r="W499" s="48"/>
      <c r="X499" s="48"/>
      <c r="Y499" s="48"/>
      <c r="Z499" s="48"/>
      <c r="AA499" s="48"/>
      <c r="AB499" s="48"/>
      <c r="AC499" s="48"/>
      <c r="AD499" s="48"/>
      <c r="AE499" s="48"/>
      <c r="AF499" s="48"/>
      <c r="AG499" s="48"/>
      <c r="AH499" s="48"/>
      <c r="AI499" s="48"/>
      <c r="AJ499" s="48"/>
      <c r="AK499" s="48"/>
      <c r="AL499" s="48"/>
      <c r="AM499" s="48"/>
      <c r="AN499" s="48"/>
      <c r="AO499" s="48"/>
      <c r="AP499" s="48"/>
      <c r="AQ499" s="48"/>
      <c r="AR499" s="48"/>
      <c r="AS499" s="48"/>
      <c r="AT499" s="48"/>
      <c r="AU499" s="48"/>
      <c r="AV499" s="48"/>
      <c r="AW499" s="48"/>
      <c r="AX499" s="48"/>
      <c r="AY499" s="48"/>
      <c r="AZ499" s="48"/>
      <c r="BA499" s="48"/>
      <c r="BB499" s="48"/>
      <c r="BC499" s="48"/>
      <c r="BD499" s="48"/>
      <c r="BE499" s="48"/>
      <c r="BF499" s="48"/>
      <c r="BG499" s="48"/>
      <c r="BH499" s="48"/>
      <c r="BI499" s="48"/>
      <c r="BJ499" s="48"/>
      <c r="BK499" s="48"/>
      <c r="BL499" s="48"/>
      <c r="BM499" s="48"/>
      <c r="BN499" s="48"/>
      <c r="BO499" s="48"/>
      <c r="BP499" s="48"/>
      <c r="BQ499" s="48"/>
      <c r="BR499" s="48"/>
      <c r="BS499" s="48"/>
      <c r="BT499" s="48"/>
      <c r="BU499" s="48"/>
      <c r="BV499" s="48"/>
      <c r="BW499" s="48"/>
      <c r="BX499" s="111"/>
    </row>
    <row r="500" spans="1:76">
      <c r="A500" s="37"/>
      <c r="B500" s="37"/>
      <c r="C500" s="37"/>
      <c r="D500" s="37"/>
      <c r="E500" s="37" t="s">
        <v>1325</v>
      </c>
      <c r="F500" s="39"/>
      <c r="G500" s="59"/>
      <c r="H500" s="59"/>
      <c r="I500" s="59"/>
      <c r="J500" s="59"/>
      <c r="K500" s="59"/>
      <c r="L500" s="59"/>
      <c r="M500" s="59"/>
      <c r="N500" s="60"/>
      <c r="O500" s="36"/>
      <c r="P500" s="48"/>
      <c r="Q500" s="48"/>
      <c r="R500" s="48"/>
      <c r="S500" s="48"/>
      <c r="T500" s="48"/>
      <c r="U500" s="48"/>
      <c r="V500" s="48"/>
      <c r="W500" s="48"/>
      <c r="X500" s="48"/>
      <c r="Y500" s="48"/>
      <c r="Z500" s="48"/>
      <c r="AA500" s="48"/>
      <c r="AB500" s="48"/>
      <c r="AC500" s="48"/>
      <c r="AD500" s="48"/>
      <c r="AE500" s="48"/>
      <c r="AF500" s="48"/>
      <c r="AG500" s="48"/>
      <c r="AH500" s="48"/>
      <c r="AI500" s="48"/>
      <c r="AJ500" s="48"/>
      <c r="AK500" s="48"/>
      <c r="AL500" s="48"/>
      <c r="AM500" s="48"/>
      <c r="AN500" s="48"/>
      <c r="AO500" s="48"/>
      <c r="AP500" s="48"/>
      <c r="AQ500" s="48"/>
      <c r="AR500" s="48"/>
      <c r="AS500" s="48"/>
      <c r="AT500" s="48"/>
      <c r="AU500" s="48"/>
      <c r="AV500" s="48"/>
      <c r="AW500" s="48"/>
      <c r="AX500" s="48"/>
      <c r="AY500" s="48"/>
      <c r="AZ500" s="48"/>
      <c r="BA500" s="48"/>
      <c r="BB500" s="48"/>
      <c r="BC500" s="48"/>
      <c r="BD500" s="48"/>
      <c r="BE500" s="48"/>
      <c r="BF500" s="48"/>
      <c r="BG500" s="48"/>
      <c r="BH500" s="48"/>
      <c r="BI500" s="48"/>
      <c r="BJ500" s="48"/>
      <c r="BK500" s="48"/>
      <c r="BL500" s="48"/>
      <c r="BM500" s="48"/>
      <c r="BN500" s="48"/>
      <c r="BO500" s="48"/>
      <c r="BP500" s="48"/>
      <c r="BQ500" s="48"/>
      <c r="BR500" s="48"/>
      <c r="BS500" s="48"/>
      <c r="BT500" s="48"/>
      <c r="BU500" s="48"/>
      <c r="BV500" s="48"/>
      <c r="BW500" s="48"/>
      <c r="BX500" s="111"/>
    </row>
    <row r="501" spans="1:76">
      <c r="A501" s="37"/>
      <c r="B501" s="37"/>
      <c r="C501" s="37"/>
      <c r="D501" s="37" t="s">
        <v>1147</v>
      </c>
      <c r="E501" s="37"/>
      <c r="F501" s="39"/>
      <c r="G501" s="61" t="str">
        <f t="shared" ref="G501:N501" si="76">IF(AND(OR(ISTEXT(G502), ISBLANK(G502)),OR(ISTEXT(G503), ISBLANK(G503)),TRUE),"", +IF(ISTEXT(G502), 0,G502)+IF(ISTEXT(G503), 0,G503))</f>
        <v/>
      </c>
      <c r="H501" s="61" t="str">
        <f t="shared" si="76"/>
        <v/>
      </c>
      <c r="I501" s="61" t="str">
        <f t="shared" si="76"/>
        <v/>
      </c>
      <c r="J501" s="61" t="str">
        <f t="shared" si="76"/>
        <v/>
      </c>
      <c r="K501" s="39" t="str">
        <f t="shared" si="76"/>
        <v/>
      </c>
      <c r="L501" s="61" t="str">
        <f t="shared" si="76"/>
        <v/>
      </c>
      <c r="M501" s="61" t="str">
        <f t="shared" si="76"/>
        <v/>
      </c>
      <c r="N501" s="48" t="str">
        <f t="shared" si="76"/>
        <v/>
      </c>
      <c r="O501" s="36"/>
      <c r="P501" s="48"/>
      <c r="Q501" s="48"/>
      <c r="R501" s="48"/>
      <c r="S501" s="48"/>
      <c r="T501" s="48"/>
      <c r="U501" s="48"/>
      <c r="V501" s="48"/>
      <c r="W501" s="48"/>
      <c r="X501" s="48"/>
      <c r="Y501" s="48"/>
      <c r="Z501" s="48"/>
      <c r="AA501" s="48"/>
      <c r="AB501" s="48"/>
      <c r="AC501" s="48"/>
      <c r="AD501" s="48"/>
      <c r="AE501" s="48"/>
      <c r="AF501" s="48"/>
      <c r="AG501" s="48"/>
      <c r="AH501" s="48"/>
      <c r="AI501" s="48"/>
      <c r="AJ501" s="48"/>
      <c r="AK501" s="48"/>
      <c r="AL501" s="48"/>
      <c r="AM501" s="48"/>
      <c r="AN501" s="48"/>
      <c r="AO501" s="48"/>
      <c r="AP501" s="48"/>
      <c r="AQ501" s="48"/>
      <c r="AR501" s="48"/>
      <c r="AS501" s="48"/>
      <c r="AT501" s="48"/>
      <c r="AU501" s="48"/>
      <c r="AV501" s="48"/>
      <c r="AW501" s="48"/>
      <c r="AX501" s="48"/>
      <c r="AY501" s="48"/>
      <c r="AZ501" s="48"/>
      <c r="BA501" s="48"/>
      <c r="BB501" s="48"/>
      <c r="BC501" s="48"/>
      <c r="BD501" s="48"/>
      <c r="BE501" s="48"/>
      <c r="BF501" s="48"/>
      <c r="BG501" s="48"/>
      <c r="BH501" s="48"/>
      <c r="BI501" s="48"/>
      <c r="BJ501" s="48"/>
      <c r="BK501" s="48"/>
      <c r="BL501" s="48"/>
      <c r="BM501" s="48"/>
      <c r="BN501" s="48"/>
      <c r="BO501" s="48"/>
      <c r="BP501" s="48"/>
      <c r="BQ501" s="48"/>
      <c r="BR501" s="48"/>
      <c r="BS501" s="48"/>
      <c r="BT501" s="48"/>
      <c r="BU501" s="48"/>
      <c r="BV501" s="48"/>
      <c r="BW501" s="48"/>
      <c r="BX501" s="111"/>
    </row>
    <row r="502" spans="1:76">
      <c r="A502" s="37"/>
      <c r="B502" s="37"/>
      <c r="C502" s="37"/>
      <c r="D502" s="37"/>
      <c r="E502" s="37" t="s">
        <v>2217</v>
      </c>
      <c r="F502" s="39"/>
      <c r="G502" s="59"/>
      <c r="H502" s="59"/>
      <c r="I502" s="59"/>
      <c r="J502" s="59"/>
      <c r="K502" s="59"/>
      <c r="L502" s="59"/>
      <c r="M502" s="59"/>
      <c r="N502" s="60"/>
      <c r="O502" s="36"/>
      <c r="P502" s="48"/>
      <c r="Q502" s="48"/>
      <c r="R502" s="48"/>
      <c r="S502" s="48"/>
      <c r="T502" s="48"/>
      <c r="U502" s="48"/>
      <c r="V502" s="48"/>
      <c r="W502" s="48"/>
      <c r="X502" s="48"/>
      <c r="Y502" s="48"/>
      <c r="Z502" s="48"/>
      <c r="AA502" s="48"/>
      <c r="AB502" s="48"/>
      <c r="AC502" s="48"/>
      <c r="AD502" s="48"/>
      <c r="AE502" s="48"/>
      <c r="AF502" s="48"/>
      <c r="AG502" s="48"/>
      <c r="AH502" s="48"/>
      <c r="AI502" s="48"/>
      <c r="AJ502" s="48"/>
      <c r="AK502" s="48"/>
      <c r="AL502" s="48"/>
      <c r="AM502" s="48"/>
      <c r="AN502" s="48"/>
      <c r="AO502" s="48"/>
      <c r="AP502" s="48"/>
      <c r="AQ502" s="48"/>
      <c r="AR502" s="48"/>
      <c r="AS502" s="48"/>
      <c r="AT502" s="48"/>
      <c r="AU502" s="48"/>
      <c r="AV502" s="48"/>
      <c r="AW502" s="48"/>
      <c r="AX502" s="48"/>
      <c r="AY502" s="48"/>
      <c r="AZ502" s="48"/>
      <c r="BA502" s="48"/>
      <c r="BB502" s="48"/>
      <c r="BC502" s="48"/>
      <c r="BD502" s="48"/>
      <c r="BE502" s="48"/>
      <c r="BF502" s="48"/>
      <c r="BG502" s="48"/>
      <c r="BH502" s="48"/>
      <c r="BI502" s="48"/>
      <c r="BJ502" s="48"/>
      <c r="BK502" s="48"/>
      <c r="BL502" s="48"/>
      <c r="BM502" s="48"/>
      <c r="BN502" s="48"/>
      <c r="BO502" s="48"/>
      <c r="BP502" s="48"/>
      <c r="BQ502" s="48"/>
      <c r="BR502" s="48"/>
      <c r="BS502" s="48"/>
      <c r="BT502" s="48"/>
      <c r="BU502" s="48"/>
      <c r="BV502" s="48"/>
      <c r="BW502" s="48"/>
      <c r="BX502" s="111"/>
    </row>
    <row r="503" spans="1:76">
      <c r="A503" s="37"/>
      <c r="B503" s="37"/>
      <c r="C503" s="37"/>
      <c r="D503" s="37"/>
      <c r="E503" s="37" t="s">
        <v>1606</v>
      </c>
      <c r="F503" s="39"/>
      <c r="G503" s="59"/>
      <c r="H503" s="59"/>
      <c r="I503" s="59"/>
      <c r="J503" s="59"/>
      <c r="K503" s="59"/>
      <c r="L503" s="59"/>
      <c r="M503" s="59"/>
      <c r="N503" s="60"/>
      <c r="O503" s="36"/>
      <c r="P503" s="48"/>
      <c r="Q503" s="48"/>
      <c r="R503" s="48"/>
      <c r="S503" s="48"/>
      <c r="T503" s="48"/>
      <c r="U503" s="48"/>
      <c r="V503" s="48"/>
      <c r="W503" s="48"/>
      <c r="X503" s="48"/>
      <c r="Y503" s="48"/>
      <c r="Z503" s="48"/>
      <c r="AA503" s="48"/>
      <c r="AB503" s="48"/>
      <c r="AC503" s="48"/>
      <c r="AD503" s="48"/>
      <c r="AE503" s="48"/>
      <c r="AF503" s="48"/>
      <c r="AG503" s="48"/>
      <c r="AH503" s="48"/>
      <c r="AI503" s="48"/>
      <c r="AJ503" s="48"/>
      <c r="AK503" s="48"/>
      <c r="AL503" s="48"/>
      <c r="AM503" s="48"/>
      <c r="AN503" s="48"/>
      <c r="AO503" s="48"/>
      <c r="AP503" s="48"/>
      <c r="AQ503" s="48"/>
      <c r="AR503" s="48"/>
      <c r="AS503" s="48"/>
      <c r="AT503" s="48"/>
      <c r="AU503" s="48"/>
      <c r="AV503" s="48"/>
      <c r="AW503" s="48"/>
      <c r="AX503" s="48"/>
      <c r="AY503" s="48"/>
      <c r="AZ503" s="48"/>
      <c r="BA503" s="48"/>
      <c r="BB503" s="48"/>
      <c r="BC503" s="48"/>
      <c r="BD503" s="48"/>
      <c r="BE503" s="48"/>
      <c r="BF503" s="48"/>
      <c r="BG503" s="48"/>
      <c r="BH503" s="48"/>
      <c r="BI503" s="48"/>
      <c r="BJ503" s="48"/>
      <c r="BK503" s="48"/>
      <c r="BL503" s="48"/>
      <c r="BM503" s="48"/>
      <c r="BN503" s="48"/>
      <c r="BO503" s="48"/>
      <c r="BP503" s="48"/>
      <c r="BQ503" s="48"/>
      <c r="BR503" s="48"/>
      <c r="BS503" s="48"/>
      <c r="BT503" s="48"/>
      <c r="BU503" s="48"/>
      <c r="BV503" s="48"/>
      <c r="BW503" s="48"/>
      <c r="BX503" s="111"/>
    </row>
    <row r="504" spans="1:76">
      <c r="A504" s="37"/>
      <c r="B504" s="37"/>
      <c r="C504" s="37"/>
      <c r="D504" s="37" t="s">
        <v>1659</v>
      </c>
      <c r="E504" s="37"/>
      <c r="F504" s="39"/>
      <c r="G504" s="61" t="str">
        <f t="shared" ref="G504:N504" si="77">IF(AND(OR(ISTEXT(G505), ISBLANK(G505)),OR(ISTEXT(G506), ISBLANK(G506)),TRUE),"", +IF(ISTEXT(G505), 0,G505)+IF(ISTEXT(G506), 0,G506))</f>
        <v/>
      </c>
      <c r="H504" s="61" t="str">
        <f t="shared" si="77"/>
        <v/>
      </c>
      <c r="I504" s="61" t="str">
        <f t="shared" si="77"/>
        <v/>
      </c>
      <c r="J504" s="61" t="str">
        <f t="shared" si="77"/>
        <v/>
      </c>
      <c r="K504" s="39" t="str">
        <f t="shared" si="77"/>
        <v/>
      </c>
      <c r="L504" s="61" t="str">
        <f t="shared" si="77"/>
        <v/>
      </c>
      <c r="M504" s="61" t="str">
        <f t="shared" si="77"/>
        <v/>
      </c>
      <c r="N504" s="48" t="str">
        <f t="shared" si="77"/>
        <v/>
      </c>
      <c r="O504" s="36"/>
      <c r="P504" s="48"/>
      <c r="Q504" s="48"/>
      <c r="R504" s="48"/>
      <c r="S504" s="48"/>
      <c r="T504" s="48"/>
      <c r="U504" s="48"/>
      <c r="V504" s="48"/>
      <c r="W504" s="48"/>
      <c r="X504" s="48"/>
      <c r="Y504" s="48"/>
      <c r="Z504" s="48"/>
      <c r="AA504" s="48"/>
      <c r="AB504" s="48"/>
      <c r="AC504" s="48"/>
      <c r="AD504" s="48"/>
      <c r="AE504" s="48"/>
      <c r="AF504" s="48"/>
      <c r="AG504" s="48"/>
      <c r="AH504" s="48"/>
      <c r="AI504" s="48"/>
      <c r="AJ504" s="48"/>
      <c r="AK504" s="48"/>
      <c r="AL504" s="48"/>
      <c r="AM504" s="48"/>
      <c r="AN504" s="48"/>
      <c r="AO504" s="48"/>
      <c r="AP504" s="48"/>
      <c r="AQ504" s="48"/>
      <c r="AR504" s="48"/>
      <c r="AS504" s="48"/>
      <c r="AT504" s="48"/>
      <c r="AU504" s="48"/>
      <c r="AV504" s="48"/>
      <c r="AW504" s="48"/>
      <c r="AX504" s="48"/>
      <c r="AY504" s="48"/>
      <c r="AZ504" s="48"/>
      <c r="BA504" s="48"/>
      <c r="BB504" s="48"/>
      <c r="BC504" s="48"/>
      <c r="BD504" s="48"/>
      <c r="BE504" s="48"/>
      <c r="BF504" s="48"/>
      <c r="BG504" s="48"/>
      <c r="BH504" s="48"/>
      <c r="BI504" s="48"/>
      <c r="BJ504" s="48"/>
      <c r="BK504" s="48"/>
      <c r="BL504" s="48"/>
      <c r="BM504" s="48"/>
      <c r="BN504" s="48"/>
      <c r="BO504" s="48"/>
      <c r="BP504" s="48"/>
      <c r="BQ504" s="48"/>
      <c r="BR504" s="48"/>
      <c r="BS504" s="48"/>
      <c r="BT504" s="48"/>
      <c r="BU504" s="48"/>
      <c r="BV504" s="48"/>
      <c r="BW504" s="48"/>
      <c r="BX504" s="111"/>
    </row>
    <row r="505" spans="1:76">
      <c r="A505" s="37"/>
      <c r="B505" s="37"/>
      <c r="C505" s="37"/>
      <c r="D505" s="37"/>
      <c r="E505" s="37" t="s">
        <v>1426</v>
      </c>
      <c r="F505" s="39"/>
      <c r="G505" s="59"/>
      <c r="H505" s="59"/>
      <c r="I505" s="59"/>
      <c r="J505" s="59"/>
      <c r="K505" s="59"/>
      <c r="L505" s="59"/>
      <c r="M505" s="59"/>
      <c r="N505" s="60"/>
      <c r="O505" s="36"/>
      <c r="P505" s="48"/>
      <c r="Q505" s="48"/>
      <c r="R505" s="48"/>
      <c r="S505" s="48"/>
      <c r="T505" s="48"/>
      <c r="U505" s="48"/>
      <c r="V505" s="48"/>
      <c r="W505" s="48"/>
      <c r="X505" s="48"/>
      <c r="Y505" s="48"/>
      <c r="Z505" s="48"/>
      <c r="AA505" s="48"/>
      <c r="AB505" s="48"/>
      <c r="AC505" s="48"/>
      <c r="AD505" s="48"/>
      <c r="AE505" s="48"/>
      <c r="AF505" s="48"/>
      <c r="AG505" s="48"/>
      <c r="AH505" s="48"/>
      <c r="AI505" s="48"/>
      <c r="AJ505" s="48"/>
      <c r="AK505" s="48"/>
      <c r="AL505" s="48"/>
      <c r="AM505" s="48"/>
      <c r="AN505" s="48"/>
      <c r="AO505" s="48"/>
      <c r="AP505" s="48"/>
      <c r="AQ505" s="48"/>
      <c r="AR505" s="48"/>
      <c r="AS505" s="48"/>
      <c r="AT505" s="48"/>
      <c r="AU505" s="48"/>
      <c r="AV505" s="48"/>
      <c r="AW505" s="48"/>
      <c r="AX505" s="48"/>
      <c r="AY505" s="48"/>
      <c r="AZ505" s="48"/>
      <c r="BA505" s="48"/>
      <c r="BB505" s="48"/>
      <c r="BC505" s="48"/>
      <c r="BD505" s="48"/>
      <c r="BE505" s="48"/>
      <c r="BF505" s="48"/>
      <c r="BG505" s="48"/>
      <c r="BH505" s="48"/>
      <c r="BI505" s="48"/>
      <c r="BJ505" s="48"/>
      <c r="BK505" s="48"/>
      <c r="BL505" s="48"/>
      <c r="BM505" s="48"/>
      <c r="BN505" s="48"/>
      <c r="BO505" s="48"/>
      <c r="BP505" s="48"/>
      <c r="BQ505" s="48"/>
      <c r="BR505" s="48"/>
      <c r="BS505" s="48"/>
      <c r="BT505" s="48"/>
      <c r="BU505" s="48"/>
      <c r="BV505" s="48"/>
      <c r="BW505" s="48"/>
      <c r="BX505" s="111"/>
    </row>
    <row r="506" spans="1:76">
      <c r="A506" s="37"/>
      <c r="B506" s="37"/>
      <c r="C506" s="37"/>
      <c r="D506" s="37"/>
      <c r="E506" s="37" t="s">
        <v>905</v>
      </c>
      <c r="F506" s="39"/>
      <c r="G506" s="59"/>
      <c r="H506" s="59"/>
      <c r="I506" s="59"/>
      <c r="J506" s="59"/>
      <c r="K506" s="59"/>
      <c r="L506" s="59"/>
      <c r="M506" s="59"/>
      <c r="N506" s="60"/>
      <c r="O506" s="36"/>
      <c r="P506" s="48"/>
      <c r="Q506" s="48"/>
      <c r="R506" s="48"/>
      <c r="S506" s="48"/>
      <c r="T506" s="48"/>
      <c r="U506" s="48"/>
      <c r="V506" s="48"/>
      <c r="W506" s="48"/>
      <c r="X506" s="48"/>
      <c r="Y506" s="48"/>
      <c r="Z506" s="48"/>
      <c r="AA506" s="48"/>
      <c r="AB506" s="48"/>
      <c r="AC506" s="48"/>
      <c r="AD506" s="48"/>
      <c r="AE506" s="48"/>
      <c r="AF506" s="48"/>
      <c r="AG506" s="48"/>
      <c r="AH506" s="48"/>
      <c r="AI506" s="48"/>
      <c r="AJ506" s="48"/>
      <c r="AK506" s="48"/>
      <c r="AL506" s="48"/>
      <c r="AM506" s="48"/>
      <c r="AN506" s="48"/>
      <c r="AO506" s="48"/>
      <c r="AP506" s="48"/>
      <c r="AQ506" s="48"/>
      <c r="AR506" s="48"/>
      <c r="AS506" s="48"/>
      <c r="AT506" s="48"/>
      <c r="AU506" s="48"/>
      <c r="AV506" s="48"/>
      <c r="AW506" s="48"/>
      <c r="AX506" s="48"/>
      <c r="AY506" s="48"/>
      <c r="AZ506" s="48"/>
      <c r="BA506" s="48"/>
      <c r="BB506" s="48"/>
      <c r="BC506" s="48"/>
      <c r="BD506" s="48"/>
      <c r="BE506" s="48"/>
      <c r="BF506" s="48"/>
      <c r="BG506" s="48"/>
      <c r="BH506" s="48"/>
      <c r="BI506" s="48"/>
      <c r="BJ506" s="48"/>
      <c r="BK506" s="48"/>
      <c r="BL506" s="48"/>
      <c r="BM506" s="48"/>
      <c r="BN506" s="48"/>
      <c r="BO506" s="48"/>
      <c r="BP506" s="48"/>
      <c r="BQ506" s="48"/>
      <c r="BR506" s="48"/>
      <c r="BS506" s="48"/>
      <c r="BT506" s="48"/>
      <c r="BU506" s="48"/>
      <c r="BV506" s="48"/>
      <c r="BW506" s="48"/>
      <c r="BX506" s="111"/>
    </row>
    <row r="507" spans="1:76">
      <c r="A507" s="37"/>
      <c r="B507" s="37"/>
      <c r="C507" s="37"/>
      <c r="D507" s="37" t="s">
        <v>1326</v>
      </c>
      <c r="E507" s="37"/>
      <c r="F507" s="39"/>
      <c r="G507" s="59"/>
      <c r="H507" s="59"/>
      <c r="I507" s="59"/>
      <c r="J507" s="59"/>
      <c r="K507" s="59"/>
      <c r="L507" s="59"/>
      <c r="M507" s="59"/>
      <c r="N507" s="60"/>
      <c r="O507" s="36"/>
      <c r="P507" s="48"/>
      <c r="Q507" s="48"/>
      <c r="R507" s="48"/>
      <c r="S507" s="48"/>
      <c r="T507" s="48"/>
      <c r="U507" s="48"/>
      <c r="V507" s="48"/>
      <c r="W507" s="48"/>
      <c r="X507" s="48"/>
      <c r="Y507" s="48"/>
      <c r="Z507" s="48"/>
      <c r="AA507" s="48"/>
      <c r="AB507" s="48"/>
      <c r="AC507" s="48"/>
      <c r="AD507" s="48"/>
      <c r="AE507" s="48"/>
      <c r="AF507" s="48"/>
      <c r="AG507" s="48"/>
      <c r="AH507" s="48"/>
      <c r="AI507" s="48"/>
      <c r="AJ507" s="48"/>
      <c r="AK507" s="48"/>
      <c r="AL507" s="48"/>
      <c r="AM507" s="48"/>
      <c r="AN507" s="48"/>
      <c r="AO507" s="48"/>
      <c r="AP507" s="48"/>
      <c r="AQ507" s="48"/>
      <c r="AR507" s="48"/>
      <c r="AS507" s="48"/>
      <c r="AT507" s="48"/>
      <c r="AU507" s="48"/>
      <c r="AV507" s="48"/>
      <c r="AW507" s="48"/>
      <c r="AX507" s="48"/>
      <c r="AY507" s="48"/>
      <c r="AZ507" s="48"/>
      <c r="BA507" s="48"/>
      <c r="BB507" s="48"/>
      <c r="BC507" s="48"/>
      <c r="BD507" s="48"/>
      <c r="BE507" s="48"/>
      <c r="BF507" s="48"/>
      <c r="BG507" s="48"/>
      <c r="BH507" s="48"/>
      <c r="BI507" s="48"/>
      <c r="BJ507" s="48"/>
      <c r="BK507" s="48"/>
      <c r="BL507" s="48"/>
      <c r="BM507" s="48"/>
      <c r="BN507" s="48"/>
      <c r="BO507" s="48"/>
      <c r="BP507" s="48"/>
      <c r="BQ507" s="48"/>
      <c r="BR507" s="48"/>
      <c r="BS507" s="48"/>
      <c r="BT507" s="48"/>
      <c r="BU507" s="48"/>
      <c r="BV507" s="48"/>
      <c r="BW507" s="48"/>
      <c r="BX507" s="111"/>
    </row>
    <row r="508" spans="1:76">
      <c r="A508" s="37"/>
      <c r="B508" s="37"/>
      <c r="C508" s="37"/>
      <c r="D508" s="37" t="s">
        <v>1698</v>
      </c>
      <c r="E508" s="37"/>
      <c r="F508" s="39"/>
      <c r="G508" s="59"/>
      <c r="H508" s="59"/>
      <c r="I508" s="59"/>
      <c r="J508" s="59"/>
      <c r="K508" s="59"/>
      <c r="L508" s="59"/>
      <c r="M508" s="59"/>
      <c r="N508" s="60"/>
      <c r="O508" s="36"/>
      <c r="P508" s="48"/>
      <c r="Q508" s="48"/>
      <c r="R508" s="48"/>
      <c r="S508" s="48"/>
      <c r="T508" s="48"/>
      <c r="U508" s="48"/>
      <c r="V508" s="48"/>
      <c r="W508" s="48"/>
      <c r="X508" s="48"/>
      <c r="Y508" s="48"/>
      <c r="Z508" s="48"/>
      <c r="AA508" s="48"/>
      <c r="AB508" s="48"/>
      <c r="AC508" s="48"/>
      <c r="AD508" s="48"/>
      <c r="AE508" s="48"/>
      <c r="AF508" s="48"/>
      <c r="AG508" s="48"/>
      <c r="AH508" s="48"/>
      <c r="AI508" s="48"/>
      <c r="AJ508" s="48"/>
      <c r="AK508" s="48"/>
      <c r="AL508" s="48"/>
      <c r="AM508" s="48"/>
      <c r="AN508" s="48"/>
      <c r="AO508" s="48"/>
      <c r="AP508" s="48"/>
      <c r="AQ508" s="48"/>
      <c r="AR508" s="48"/>
      <c r="AS508" s="48"/>
      <c r="AT508" s="48"/>
      <c r="AU508" s="48"/>
      <c r="AV508" s="48"/>
      <c r="AW508" s="48"/>
      <c r="AX508" s="48"/>
      <c r="AY508" s="48"/>
      <c r="AZ508" s="48"/>
      <c r="BA508" s="48"/>
      <c r="BB508" s="48"/>
      <c r="BC508" s="48"/>
      <c r="BD508" s="48"/>
      <c r="BE508" s="48"/>
      <c r="BF508" s="48"/>
      <c r="BG508" s="48"/>
      <c r="BH508" s="48"/>
      <c r="BI508" s="48"/>
      <c r="BJ508" s="48"/>
      <c r="BK508" s="48"/>
      <c r="BL508" s="48"/>
      <c r="BM508" s="48"/>
      <c r="BN508" s="48"/>
      <c r="BO508" s="48"/>
      <c r="BP508" s="48"/>
      <c r="BQ508" s="48"/>
      <c r="BR508" s="48"/>
      <c r="BS508" s="48"/>
      <c r="BT508" s="48"/>
      <c r="BU508" s="48"/>
      <c r="BV508" s="48"/>
      <c r="BW508" s="48"/>
      <c r="BX508" s="111"/>
    </row>
    <row r="509" spans="1:76">
      <c r="A509" s="37"/>
      <c r="B509" s="37"/>
      <c r="C509" s="37"/>
      <c r="D509" s="37" t="s">
        <v>1699</v>
      </c>
      <c r="E509" s="37"/>
      <c r="F509" s="39"/>
      <c r="G509" s="59"/>
      <c r="H509" s="59"/>
      <c r="I509" s="59"/>
      <c r="J509" s="59"/>
      <c r="K509" s="59"/>
      <c r="L509" s="59"/>
      <c r="M509" s="59"/>
      <c r="N509" s="60"/>
      <c r="O509" s="36"/>
      <c r="P509" s="48"/>
      <c r="Q509" s="48"/>
      <c r="R509" s="48"/>
      <c r="S509" s="48"/>
      <c r="T509" s="48"/>
      <c r="U509" s="48"/>
      <c r="V509" s="48"/>
      <c r="W509" s="48"/>
      <c r="X509" s="48"/>
      <c r="Y509" s="48"/>
      <c r="Z509" s="48"/>
      <c r="AA509" s="48"/>
      <c r="AB509" s="48"/>
      <c r="AC509" s="48"/>
      <c r="AD509" s="48"/>
      <c r="AE509" s="48"/>
      <c r="AF509" s="48"/>
      <c r="AG509" s="48"/>
      <c r="AH509" s="48"/>
      <c r="AI509" s="48"/>
      <c r="AJ509" s="48"/>
      <c r="AK509" s="48"/>
      <c r="AL509" s="48"/>
      <c r="AM509" s="48"/>
      <c r="AN509" s="48"/>
      <c r="AO509" s="48"/>
      <c r="AP509" s="48"/>
      <c r="AQ509" s="48"/>
      <c r="AR509" s="48"/>
      <c r="AS509" s="48"/>
      <c r="AT509" s="48"/>
      <c r="AU509" s="48"/>
      <c r="AV509" s="48"/>
      <c r="AW509" s="48"/>
      <c r="AX509" s="48"/>
      <c r="AY509" s="48"/>
      <c r="AZ509" s="48"/>
      <c r="BA509" s="48"/>
      <c r="BB509" s="48"/>
      <c r="BC509" s="48"/>
      <c r="BD509" s="48"/>
      <c r="BE509" s="48"/>
      <c r="BF509" s="48"/>
      <c r="BG509" s="48"/>
      <c r="BH509" s="48"/>
      <c r="BI509" s="48"/>
      <c r="BJ509" s="48"/>
      <c r="BK509" s="48"/>
      <c r="BL509" s="48"/>
      <c r="BM509" s="48"/>
      <c r="BN509" s="48"/>
      <c r="BO509" s="48"/>
      <c r="BP509" s="48"/>
      <c r="BQ509" s="48"/>
      <c r="BR509" s="48"/>
      <c r="BS509" s="48"/>
      <c r="BT509" s="48"/>
      <c r="BU509" s="48"/>
      <c r="BV509" s="48"/>
      <c r="BW509" s="48"/>
      <c r="BX509" s="111"/>
    </row>
    <row r="510" spans="1:76">
      <c r="A510" s="37"/>
      <c r="B510" s="37"/>
      <c r="C510" s="37"/>
      <c r="D510" s="37" t="s">
        <v>1700</v>
      </c>
      <c r="E510" s="37"/>
      <c r="F510" s="39"/>
      <c r="G510" s="59"/>
      <c r="H510" s="59"/>
      <c r="I510" s="59"/>
      <c r="J510" s="59"/>
      <c r="K510" s="59"/>
      <c r="L510" s="59"/>
      <c r="M510" s="59"/>
      <c r="N510" s="60"/>
      <c r="O510" s="36"/>
      <c r="P510" s="48"/>
      <c r="Q510" s="48"/>
      <c r="R510" s="48"/>
      <c r="S510" s="48"/>
      <c r="T510" s="48"/>
      <c r="U510" s="48"/>
      <c r="V510" s="48"/>
      <c r="W510" s="48"/>
      <c r="X510" s="48"/>
      <c r="Y510" s="48"/>
      <c r="Z510" s="48"/>
      <c r="AA510" s="48"/>
      <c r="AB510" s="48"/>
      <c r="AC510" s="48"/>
      <c r="AD510" s="48"/>
      <c r="AE510" s="48"/>
      <c r="AF510" s="48"/>
      <c r="AG510" s="48"/>
      <c r="AH510" s="48"/>
      <c r="AI510" s="48"/>
      <c r="AJ510" s="48"/>
      <c r="AK510" s="48"/>
      <c r="AL510" s="48"/>
      <c r="AM510" s="48"/>
      <c r="AN510" s="48"/>
      <c r="AO510" s="48"/>
      <c r="AP510" s="48"/>
      <c r="AQ510" s="48"/>
      <c r="AR510" s="48"/>
      <c r="AS510" s="48"/>
      <c r="AT510" s="48"/>
      <c r="AU510" s="48"/>
      <c r="AV510" s="48"/>
      <c r="AW510" s="48"/>
      <c r="AX510" s="48"/>
      <c r="AY510" s="48"/>
      <c r="AZ510" s="48"/>
      <c r="BA510" s="48"/>
      <c r="BB510" s="48"/>
      <c r="BC510" s="48"/>
      <c r="BD510" s="48"/>
      <c r="BE510" s="48"/>
      <c r="BF510" s="48"/>
      <c r="BG510" s="48"/>
      <c r="BH510" s="48"/>
      <c r="BI510" s="48"/>
      <c r="BJ510" s="48"/>
      <c r="BK510" s="48"/>
      <c r="BL510" s="48"/>
      <c r="BM510" s="48"/>
      <c r="BN510" s="48"/>
      <c r="BO510" s="48"/>
      <c r="BP510" s="48"/>
      <c r="BQ510" s="48"/>
      <c r="BR510" s="48"/>
      <c r="BS510" s="48"/>
      <c r="BT510" s="48"/>
      <c r="BU510" s="48"/>
      <c r="BV510" s="48"/>
      <c r="BW510" s="48"/>
      <c r="BX510" s="111"/>
    </row>
    <row r="511" spans="1:76">
      <c r="A511" s="37"/>
      <c r="B511" s="37"/>
      <c r="C511" s="37" t="s">
        <v>1290</v>
      </c>
      <c r="D511" s="37"/>
      <c r="E511" s="37"/>
      <c r="F511" s="39"/>
      <c r="G511" s="61" t="str">
        <f t="shared" ref="G511:N511" si="78">IF(AND(OR(ISTEXT(G512), ISBLANK(G512)),OR(ISTEXT(G515), ISBLANK(G515)),TRUE),"", +IF(ISTEXT(G512), 0,G512)+IF(ISTEXT(G515), 0,G515))</f>
        <v/>
      </c>
      <c r="H511" s="61" t="str">
        <f t="shared" si="78"/>
        <v/>
      </c>
      <c r="I511" s="61" t="str">
        <f t="shared" si="78"/>
        <v/>
      </c>
      <c r="J511" s="61" t="str">
        <f t="shared" si="78"/>
        <v/>
      </c>
      <c r="K511" s="39" t="str">
        <f t="shared" si="78"/>
        <v/>
      </c>
      <c r="L511" s="61" t="str">
        <f t="shared" si="78"/>
        <v/>
      </c>
      <c r="M511" s="61" t="str">
        <f t="shared" si="78"/>
        <v/>
      </c>
      <c r="N511" s="48" t="str">
        <f t="shared" si="78"/>
        <v/>
      </c>
      <c r="O511" s="36"/>
      <c r="P511" s="48"/>
      <c r="Q511" s="48"/>
      <c r="R511" s="48"/>
      <c r="S511" s="48"/>
      <c r="T511" s="48"/>
      <c r="U511" s="48"/>
      <c r="V511" s="48"/>
      <c r="W511" s="48"/>
      <c r="X511" s="48"/>
      <c r="Y511" s="48"/>
      <c r="Z511" s="48"/>
      <c r="AA511" s="48"/>
      <c r="AB511" s="48"/>
      <c r="AC511" s="48"/>
      <c r="AD511" s="48"/>
      <c r="AE511" s="48"/>
      <c r="AF511" s="48"/>
      <c r="AG511" s="48"/>
      <c r="AH511" s="48"/>
      <c r="AI511" s="48"/>
      <c r="AJ511" s="48"/>
      <c r="AK511" s="48"/>
      <c r="AL511" s="48"/>
      <c r="AM511" s="48"/>
      <c r="AN511" s="48"/>
      <c r="AO511" s="48"/>
      <c r="AP511" s="48"/>
      <c r="AQ511" s="48"/>
      <c r="AR511" s="48"/>
      <c r="AS511" s="48"/>
      <c r="AT511" s="48"/>
      <c r="AU511" s="48"/>
      <c r="AV511" s="48"/>
      <c r="AW511" s="48"/>
      <c r="AX511" s="48"/>
      <c r="AY511" s="48"/>
      <c r="AZ511" s="48"/>
      <c r="BA511" s="48"/>
      <c r="BB511" s="48"/>
      <c r="BC511" s="48"/>
      <c r="BD511" s="48"/>
      <c r="BE511" s="48"/>
      <c r="BF511" s="48"/>
      <c r="BG511" s="48"/>
      <c r="BH511" s="48"/>
      <c r="BI511" s="48"/>
      <c r="BJ511" s="48"/>
      <c r="BK511" s="48"/>
      <c r="BL511" s="48"/>
      <c r="BM511" s="48"/>
      <c r="BN511" s="48"/>
      <c r="BO511" s="48"/>
      <c r="BP511" s="48"/>
      <c r="BQ511" s="48"/>
      <c r="BR511" s="48"/>
      <c r="BS511" s="48"/>
      <c r="BT511" s="48"/>
      <c r="BU511" s="48"/>
      <c r="BV511" s="48"/>
      <c r="BW511" s="48"/>
      <c r="BX511" s="111"/>
    </row>
    <row r="512" spans="1:76">
      <c r="A512" s="37"/>
      <c r="B512" s="37"/>
      <c r="C512" s="37"/>
      <c r="D512" s="37" t="s">
        <v>2223</v>
      </c>
      <c r="E512" s="37"/>
      <c r="F512" s="39"/>
      <c r="G512" s="61" t="str">
        <f t="shared" ref="G512:N512" si="79">IF(AND(OR(ISTEXT(G513), ISBLANK(G513)),OR(ISTEXT(G514), ISBLANK(G514)),TRUE),"", +IF(ISTEXT(G513), 0,G513)+IF(ISTEXT(G514), 0,G514))</f>
        <v/>
      </c>
      <c r="H512" s="61" t="str">
        <f t="shared" si="79"/>
        <v/>
      </c>
      <c r="I512" s="61" t="str">
        <f t="shared" si="79"/>
        <v/>
      </c>
      <c r="J512" s="61" t="str">
        <f t="shared" si="79"/>
        <v/>
      </c>
      <c r="K512" s="39" t="str">
        <f t="shared" si="79"/>
        <v/>
      </c>
      <c r="L512" s="61" t="str">
        <f t="shared" si="79"/>
        <v/>
      </c>
      <c r="M512" s="61" t="str">
        <f t="shared" si="79"/>
        <v/>
      </c>
      <c r="N512" s="48" t="str">
        <f t="shared" si="79"/>
        <v/>
      </c>
      <c r="O512" s="36"/>
      <c r="P512" s="48"/>
      <c r="Q512" s="48"/>
      <c r="R512" s="48"/>
      <c r="S512" s="48"/>
      <c r="T512" s="48"/>
      <c r="U512" s="48"/>
      <c r="V512" s="48"/>
      <c r="W512" s="48"/>
      <c r="X512" s="48"/>
      <c r="Y512" s="48"/>
      <c r="Z512" s="48"/>
      <c r="AA512" s="48"/>
      <c r="AB512" s="48"/>
      <c r="AC512" s="48"/>
      <c r="AD512" s="48"/>
      <c r="AE512" s="48"/>
      <c r="AF512" s="48"/>
      <c r="AG512" s="48"/>
      <c r="AH512" s="48"/>
      <c r="AI512" s="48"/>
      <c r="AJ512" s="48"/>
      <c r="AK512" s="48"/>
      <c r="AL512" s="48"/>
      <c r="AM512" s="48"/>
      <c r="AN512" s="48"/>
      <c r="AO512" s="48"/>
      <c r="AP512" s="48"/>
      <c r="AQ512" s="48"/>
      <c r="AR512" s="48"/>
      <c r="AS512" s="48"/>
      <c r="AT512" s="48"/>
      <c r="AU512" s="48"/>
      <c r="AV512" s="48"/>
      <c r="AW512" s="48"/>
      <c r="AX512" s="48"/>
      <c r="AY512" s="48"/>
      <c r="AZ512" s="48"/>
      <c r="BA512" s="48"/>
      <c r="BB512" s="48"/>
      <c r="BC512" s="48"/>
      <c r="BD512" s="48"/>
      <c r="BE512" s="48"/>
      <c r="BF512" s="48"/>
      <c r="BG512" s="48"/>
      <c r="BH512" s="48"/>
      <c r="BI512" s="48"/>
      <c r="BJ512" s="48"/>
      <c r="BK512" s="48"/>
      <c r="BL512" s="48"/>
      <c r="BM512" s="48"/>
      <c r="BN512" s="48"/>
      <c r="BO512" s="48"/>
      <c r="BP512" s="48"/>
      <c r="BQ512" s="48"/>
      <c r="BR512" s="48"/>
      <c r="BS512" s="48"/>
      <c r="BT512" s="48"/>
      <c r="BU512" s="48"/>
      <c r="BV512" s="48"/>
      <c r="BW512" s="48"/>
      <c r="BX512" s="111"/>
    </row>
    <row r="513" spans="1:76">
      <c r="A513" s="37"/>
      <c r="B513" s="37"/>
      <c r="C513" s="37"/>
      <c r="D513" s="37"/>
      <c r="E513" s="37" t="s">
        <v>1292</v>
      </c>
      <c r="F513" s="39"/>
      <c r="G513" s="59"/>
      <c r="H513" s="59"/>
      <c r="I513" s="59"/>
      <c r="J513" s="59"/>
      <c r="K513" s="59"/>
      <c r="L513" s="59"/>
      <c r="M513" s="59"/>
      <c r="N513" s="60"/>
      <c r="O513" s="36"/>
      <c r="P513" s="48"/>
      <c r="Q513" s="48"/>
      <c r="R513" s="48"/>
      <c r="S513" s="48"/>
      <c r="T513" s="48"/>
      <c r="U513" s="48"/>
      <c r="V513" s="48"/>
      <c r="W513" s="48"/>
      <c r="X513" s="48"/>
      <c r="Y513" s="48"/>
      <c r="Z513" s="48"/>
      <c r="AA513" s="48"/>
      <c r="AB513" s="48"/>
      <c r="AC513" s="48"/>
      <c r="AD513" s="48"/>
      <c r="AE513" s="48"/>
      <c r="AF513" s="48"/>
      <c r="AG513" s="48"/>
      <c r="AH513" s="48"/>
      <c r="AI513" s="48"/>
      <c r="AJ513" s="48"/>
      <c r="AK513" s="48"/>
      <c r="AL513" s="48"/>
      <c r="AM513" s="48"/>
      <c r="AN513" s="48"/>
      <c r="AO513" s="48"/>
      <c r="AP513" s="48"/>
      <c r="AQ513" s="48"/>
      <c r="AR513" s="48"/>
      <c r="AS513" s="48"/>
      <c r="AT513" s="48"/>
      <c r="AU513" s="48"/>
      <c r="AV513" s="48"/>
      <c r="AW513" s="48"/>
      <c r="AX513" s="48"/>
      <c r="AY513" s="48"/>
      <c r="AZ513" s="48"/>
      <c r="BA513" s="48"/>
      <c r="BB513" s="48"/>
      <c r="BC513" s="48"/>
      <c r="BD513" s="48"/>
      <c r="BE513" s="48"/>
      <c r="BF513" s="48"/>
      <c r="BG513" s="48"/>
      <c r="BH513" s="48"/>
      <c r="BI513" s="48"/>
      <c r="BJ513" s="48"/>
      <c r="BK513" s="48"/>
      <c r="BL513" s="48"/>
      <c r="BM513" s="48"/>
      <c r="BN513" s="48"/>
      <c r="BO513" s="48"/>
      <c r="BP513" s="48"/>
      <c r="BQ513" s="48"/>
      <c r="BR513" s="48"/>
      <c r="BS513" s="48"/>
      <c r="BT513" s="48"/>
      <c r="BU513" s="48"/>
      <c r="BV513" s="48"/>
      <c r="BW513" s="48"/>
      <c r="BX513" s="111"/>
    </row>
    <row r="514" spans="1:76">
      <c r="A514" s="37"/>
      <c r="B514" s="37"/>
      <c r="C514" s="37"/>
      <c r="D514" s="37"/>
      <c r="E514" s="37" t="s">
        <v>184</v>
      </c>
      <c r="F514" s="39"/>
      <c r="G514" s="59"/>
      <c r="H514" s="59"/>
      <c r="I514" s="59"/>
      <c r="J514" s="59"/>
      <c r="K514" s="59"/>
      <c r="L514" s="59"/>
      <c r="M514" s="59"/>
      <c r="N514" s="60"/>
      <c r="O514" s="36"/>
      <c r="P514" s="48"/>
      <c r="Q514" s="48"/>
      <c r="R514" s="48"/>
      <c r="S514" s="48"/>
      <c r="T514" s="48"/>
      <c r="U514" s="48"/>
      <c r="V514" s="48"/>
      <c r="W514" s="48"/>
      <c r="X514" s="48"/>
      <c r="Y514" s="48"/>
      <c r="Z514" s="48"/>
      <c r="AA514" s="48"/>
      <c r="AB514" s="48"/>
      <c r="AC514" s="48"/>
      <c r="AD514" s="48"/>
      <c r="AE514" s="48"/>
      <c r="AF514" s="48"/>
      <c r="AG514" s="48"/>
      <c r="AH514" s="48"/>
      <c r="AI514" s="48"/>
      <c r="AJ514" s="48"/>
      <c r="AK514" s="48"/>
      <c r="AL514" s="48"/>
      <c r="AM514" s="48"/>
      <c r="AN514" s="48"/>
      <c r="AO514" s="48"/>
      <c r="AP514" s="48"/>
      <c r="AQ514" s="48"/>
      <c r="AR514" s="48"/>
      <c r="AS514" s="48"/>
      <c r="AT514" s="48"/>
      <c r="AU514" s="48"/>
      <c r="AV514" s="48"/>
      <c r="AW514" s="48"/>
      <c r="AX514" s="48"/>
      <c r="AY514" s="48"/>
      <c r="AZ514" s="48"/>
      <c r="BA514" s="48"/>
      <c r="BB514" s="48"/>
      <c r="BC514" s="48"/>
      <c r="BD514" s="48"/>
      <c r="BE514" s="48"/>
      <c r="BF514" s="48"/>
      <c r="BG514" s="48"/>
      <c r="BH514" s="48"/>
      <c r="BI514" s="48"/>
      <c r="BJ514" s="48"/>
      <c r="BK514" s="48"/>
      <c r="BL514" s="48"/>
      <c r="BM514" s="48"/>
      <c r="BN514" s="48"/>
      <c r="BO514" s="48"/>
      <c r="BP514" s="48"/>
      <c r="BQ514" s="48"/>
      <c r="BR514" s="48"/>
      <c r="BS514" s="48"/>
      <c r="BT514" s="48"/>
      <c r="BU514" s="48"/>
      <c r="BV514" s="48"/>
      <c r="BW514" s="48"/>
      <c r="BX514" s="111"/>
    </row>
    <row r="515" spans="1:76">
      <c r="A515" s="37"/>
      <c r="B515" s="37"/>
      <c r="C515" s="37"/>
      <c r="D515" s="37" t="s">
        <v>49</v>
      </c>
      <c r="E515" s="37"/>
      <c r="F515" s="39"/>
      <c r="G515" s="61" t="str">
        <f t="shared" ref="G515:N515" si="80">IF(AND(OR(ISTEXT(G516), ISBLANK(G516)),OR(ISTEXT(G517), ISBLANK(G517)),TRUE),"", +IF(ISTEXT(G516), 0,G516)+IF(ISTEXT(G517), 0,G517))</f>
        <v/>
      </c>
      <c r="H515" s="61" t="str">
        <f t="shared" si="80"/>
        <v/>
      </c>
      <c r="I515" s="61" t="str">
        <f t="shared" si="80"/>
        <v/>
      </c>
      <c r="J515" s="61" t="str">
        <f t="shared" si="80"/>
        <v/>
      </c>
      <c r="K515" s="39" t="str">
        <f t="shared" si="80"/>
        <v/>
      </c>
      <c r="L515" s="61" t="str">
        <f t="shared" si="80"/>
        <v/>
      </c>
      <c r="M515" s="61" t="str">
        <f t="shared" si="80"/>
        <v/>
      </c>
      <c r="N515" s="48" t="str">
        <f t="shared" si="80"/>
        <v/>
      </c>
      <c r="O515" s="36"/>
      <c r="P515" s="48"/>
      <c r="Q515" s="48"/>
      <c r="R515" s="48"/>
      <c r="S515" s="48"/>
      <c r="T515" s="48"/>
      <c r="U515" s="48"/>
      <c r="V515" s="48"/>
      <c r="W515" s="48"/>
      <c r="X515" s="48"/>
      <c r="Y515" s="48"/>
      <c r="Z515" s="48"/>
      <c r="AA515" s="48"/>
      <c r="AB515" s="48"/>
      <c r="AC515" s="48"/>
      <c r="AD515" s="48"/>
      <c r="AE515" s="48"/>
      <c r="AF515" s="48"/>
      <c r="AG515" s="48"/>
      <c r="AH515" s="48"/>
      <c r="AI515" s="48"/>
      <c r="AJ515" s="48"/>
      <c r="AK515" s="48"/>
      <c r="AL515" s="48"/>
      <c r="AM515" s="48"/>
      <c r="AN515" s="48"/>
      <c r="AO515" s="48"/>
      <c r="AP515" s="48"/>
      <c r="AQ515" s="48"/>
      <c r="AR515" s="48"/>
      <c r="AS515" s="48"/>
      <c r="AT515" s="48"/>
      <c r="AU515" s="48"/>
      <c r="AV515" s="48"/>
      <c r="AW515" s="48"/>
      <c r="AX515" s="48"/>
      <c r="AY515" s="48"/>
      <c r="AZ515" s="48"/>
      <c r="BA515" s="48"/>
      <c r="BB515" s="48"/>
      <c r="BC515" s="48"/>
      <c r="BD515" s="48"/>
      <c r="BE515" s="48"/>
      <c r="BF515" s="48"/>
      <c r="BG515" s="48"/>
      <c r="BH515" s="48"/>
      <c r="BI515" s="48"/>
      <c r="BJ515" s="48"/>
      <c r="BK515" s="48"/>
      <c r="BL515" s="48"/>
      <c r="BM515" s="48"/>
      <c r="BN515" s="48"/>
      <c r="BO515" s="48"/>
      <c r="BP515" s="48"/>
      <c r="BQ515" s="48"/>
      <c r="BR515" s="48"/>
      <c r="BS515" s="48"/>
      <c r="BT515" s="48"/>
      <c r="BU515" s="48"/>
      <c r="BV515" s="48"/>
      <c r="BW515" s="48"/>
      <c r="BX515" s="111"/>
    </row>
    <row r="516" spans="1:76">
      <c r="A516" s="37"/>
      <c r="B516" s="37"/>
      <c r="C516" s="37"/>
      <c r="D516" s="37"/>
      <c r="E516" s="37" t="s">
        <v>50</v>
      </c>
      <c r="F516" s="39"/>
      <c r="G516" s="59"/>
      <c r="H516" s="59"/>
      <c r="I516" s="59"/>
      <c r="J516" s="59"/>
      <c r="K516" s="59"/>
      <c r="L516" s="59"/>
      <c r="M516" s="59"/>
      <c r="N516" s="60"/>
      <c r="O516" s="36"/>
      <c r="P516" s="48"/>
      <c r="Q516" s="48"/>
      <c r="R516" s="48"/>
      <c r="S516" s="48"/>
      <c r="T516" s="48"/>
      <c r="U516" s="48"/>
      <c r="V516" s="48"/>
      <c r="W516" s="48"/>
      <c r="X516" s="48"/>
      <c r="Y516" s="48"/>
      <c r="Z516" s="48"/>
      <c r="AA516" s="48"/>
      <c r="AB516" s="48"/>
      <c r="AC516" s="48"/>
      <c r="AD516" s="48"/>
      <c r="AE516" s="48"/>
      <c r="AF516" s="48"/>
      <c r="AG516" s="48"/>
      <c r="AH516" s="48"/>
      <c r="AI516" s="48"/>
      <c r="AJ516" s="48"/>
      <c r="AK516" s="48"/>
      <c r="AL516" s="48"/>
      <c r="AM516" s="48"/>
      <c r="AN516" s="48"/>
      <c r="AO516" s="48"/>
      <c r="AP516" s="48"/>
      <c r="AQ516" s="48"/>
      <c r="AR516" s="48"/>
      <c r="AS516" s="48"/>
      <c r="AT516" s="48"/>
      <c r="AU516" s="48"/>
      <c r="AV516" s="48"/>
      <c r="AW516" s="48"/>
      <c r="AX516" s="48"/>
      <c r="AY516" s="48"/>
      <c r="AZ516" s="48"/>
      <c r="BA516" s="48"/>
      <c r="BB516" s="48"/>
      <c r="BC516" s="48"/>
      <c r="BD516" s="48"/>
      <c r="BE516" s="48"/>
      <c r="BF516" s="48"/>
      <c r="BG516" s="48"/>
      <c r="BH516" s="48"/>
      <c r="BI516" s="48"/>
      <c r="BJ516" s="48"/>
      <c r="BK516" s="48"/>
      <c r="BL516" s="48"/>
      <c r="BM516" s="48"/>
      <c r="BN516" s="48"/>
      <c r="BO516" s="48"/>
      <c r="BP516" s="48"/>
      <c r="BQ516" s="48"/>
      <c r="BR516" s="48"/>
      <c r="BS516" s="48"/>
      <c r="BT516" s="48"/>
      <c r="BU516" s="48"/>
      <c r="BV516" s="48"/>
      <c r="BW516" s="48"/>
      <c r="BX516" s="111"/>
    </row>
    <row r="517" spans="1:76">
      <c r="A517" s="37"/>
      <c r="B517" s="37"/>
      <c r="C517" s="37"/>
      <c r="D517" s="37"/>
      <c r="E517" s="37" t="s">
        <v>2308</v>
      </c>
      <c r="F517" s="39"/>
      <c r="G517" s="59"/>
      <c r="H517" s="59"/>
      <c r="I517" s="59"/>
      <c r="J517" s="59"/>
      <c r="K517" s="59"/>
      <c r="L517" s="59"/>
      <c r="M517" s="59"/>
      <c r="N517" s="60"/>
      <c r="O517" s="36"/>
      <c r="P517" s="48"/>
      <c r="Q517" s="48"/>
      <c r="R517" s="48"/>
      <c r="S517" s="48"/>
      <c r="T517" s="48"/>
      <c r="U517" s="48"/>
      <c r="V517" s="48"/>
      <c r="W517" s="48"/>
      <c r="X517" s="48"/>
      <c r="Y517" s="48"/>
      <c r="Z517" s="48"/>
      <c r="AA517" s="48"/>
      <c r="AB517" s="48"/>
      <c r="AC517" s="48"/>
      <c r="AD517" s="48"/>
      <c r="AE517" s="48"/>
      <c r="AF517" s="48"/>
      <c r="AG517" s="48"/>
      <c r="AH517" s="48"/>
      <c r="AI517" s="48"/>
      <c r="AJ517" s="48"/>
      <c r="AK517" s="48"/>
      <c r="AL517" s="48"/>
      <c r="AM517" s="48"/>
      <c r="AN517" s="48"/>
      <c r="AO517" s="48"/>
      <c r="AP517" s="48"/>
      <c r="AQ517" s="48"/>
      <c r="AR517" s="48"/>
      <c r="AS517" s="48"/>
      <c r="AT517" s="48"/>
      <c r="AU517" s="48"/>
      <c r="AV517" s="48"/>
      <c r="AW517" s="48"/>
      <c r="AX517" s="48"/>
      <c r="AY517" s="48"/>
      <c r="AZ517" s="48"/>
      <c r="BA517" s="48"/>
      <c r="BB517" s="48"/>
      <c r="BC517" s="48"/>
      <c r="BD517" s="48"/>
      <c r="BE517" s="48"/>
      <c r="BF517" s="48"/>
      <c r="BG517" s="48"/>
      <c r="BH517" s="48"/>
      <c r="BI517" s="48"/>
      <c r="BJ517" s="48"/>
      <c r="BK517" s="48"/>
      <c r="BL517" s="48"/>
      <c r="BM517" s="48"/>
      <c r="BN517" s="48"/>
      <c r="BO517" s="48"/>
      <c r="BP517" s="48"/>
      <c r="BQ517" s="48"/>
      <c r="BR517" s="48"/>
      <c r="BS517" s="48"/>
      <c r="BT517" s="48"/>
      <c r="BU517" s="48"/>
      <c r="BV517" s="48"/>
      <c r="BW517" s="48"/>
      <c r="BX517" s="111"/>
    </row>
    <row r="518" spans="1:76">
      <c r="A518" s="82"/>
      <c r="B518" s="82"/>
      <c r="C518" s="82" t="s">
        <v>1718</v>
      </c>
      <c r="D518" s="37"/>
      <c r="E518" s="37"/>
      <c r="F518" s="39"/>
      <c r="G518" s="59"/>
      <c r="H518" s="59"/>
      <c r="I518" s="59"/>
      <c r="J518" s="59"/>
      <c r="K518" s="59"/>
      <c r="L518" s="59"/>
      <c r="M518" s="59"/>
      <c r="N518" s="60"/>
      <c r="O518" s="36"/>
      <c r="P518" s="48"/>
      <c r="Q518" s="48"/>
      <c r="R518" s="48"/>
      <c r="S518" s="48"/>
      <c r="T518" s="48"/>
      <c r="U518" s="48"/>
      <c r="V518" s="48"/>
      <c r="W518" s="48"/>
      <c r="X518" s="48"/>
      <c r="Y518" s="48"/>
      <c r="Z518" s="48"/>
      <c r="AA518" s="48"/>
      <c r="AB518" s="48"/>
      <c r="AC518" s="48"/>
      <c r="AD518" s="48"/>
      <c r="AE518" s="48"/>
      <c r="AF518" s="48"/>
      <c r="AG518" s="48"/>
      <c r="AH518" s="48"/>
      <c r="AI518" s="48"/>
      <c r="AJ518" s="48"/>
      <c r="AK518" s="48"/>
      <c r="AL518" s="48"/>
      <c r="AM518" s="48"/>
      <c r="AN518" s="48"/>
      <c r="AO518" s="48"/>
      <c r="AP518" s="48"/>
      <c r="AQ518" s="48"/>
      <c r="AR518" s="48"/>
      <c r="AS518" s="48"/>
      <c r="AT518" s="48"/>
      <c r="AU518" s="48"/>
      <c r="AV518" s="48"/>
      <c r="AW518" s="48"/>
      <c r="AX518" s="48"/>
      <c r="AY518" s="48"/>
      <c r="AZ518" s="48"/>
      <c r="BA518" s="48"/>
      <c r="BB518" s="48"/>
      <c r="BC518" s="48"/>
      <c r="BD518" s="48"/>
      <c r="BE518" s="48"/>
      <c r="BF518" s="48"/>
      <c r="BG518" s="48"/>
      <c r="BH518" s="48"/>
      <c r="BI518" s="48"/>
      <c r="BJ518" s="48"/>
      <c r="BK518" s="48"/>
      <c r="BL518" s="48"/>
      <c r="BM518" s="48"/>
      <c r="BN518" s="48"/>
      <c r="BO518" s="48"/>
      <c r="BP518" s="48"/>
      <c r="BQ518" s="48"/>
      <c r="BR518" s="48"/>
      <c r="BS518" s="48"/>
      <c r="BT518" s="48"/>
      <c r="BU518" s="48"/>
      <c r="BV518" s="48"/>
      <c r="BW518" s="48"/>
      <c r="BX518" s="111"/>
    </row>
    <row r="519" spans="1:76">
      <c r="A519" s="82"/>
      <c r="B519" s="82"/>
      <c r="C519" s="82" t="s">
        <v>580</v>
      </c>
      <c r="D519" s="37"/>
      <c r="E519" s="37"/>
      <c r="F519" s="39"/>
      <c r="G519" s="59"/>
      <c r="H519" s="59"/>
      <c r="I519" s="59"/>
      <c r="J519" s="59"/>
      <c r="K519" s="59"/>
      <c r="L519" s="59"/>
      <c r="M519" s="59"/>
      <c r="N519" s="60"/>
      <c r="O519" s="36"/>
      <c r="P519" s="48"/>
      <c r="Q519" s="48"/>
      <c r="R519" s="48"/>
      <c r="S519" s="48"/>
      <c r="T519" s="48"/>
      <c r="U519" s="48"/>
      <c r="V519" s="48"/>
      <c r="W519" s="48"/>
      <c r="X519" s="48"/>
      <c r="Y519" s="48"/>
      <c r="Z519" s="48"/>
      <c r="AA519" s="48"/>
      <c r="AB519" s="48"/>
      <c r="AC519" s="48"/>
      <c r="AD519" s="48"/>
      <c r="AE519" s="48"/>
      <c r="AF519" s="48"/>
      <c r="AG519" s="48"/>
      <c r="AH519" s="48"/>
      <c r="AI519" s="48"/>
      <c r="AJ519" s="48"/>
      <c r="AK519" s="48"/>
      <c r="AL519" s="48"/>
      <c r="AM519" s="48"/>
      <c r="AN519" s="48"/>
      <c r="AO519" s="48"/>
      <c r="AP519" s="48"/>
      <c r="AQ519" s="48"/>
      <c r="AR519" s="48"/>
      <c r="AS519" s="48"/>
      <c r="AT519" s="48"/>
      <c r="AU519" s="48"/>
      <c r="AV519" s="48"/>
      <c r="AW519" s="48"/>
      <c r="AX519" s="48"/>
      <c r="AY519" s="48"/>
      <c r="AZ519" s="48"/>
      <c r="BA519" s="48"/>
      <c r="BB519" s="48"/>
      <c r="BC519" s="48"/>
      <c r="BD519" s="48"/>
      <c r="BE519" s="48"/>
      <c r="BF519" s="48"/>
      <c r="BG519" s="48"/>
      <c r="BH519" s="48"/>
      <c r="BI519" s="48"/>
      <c r="BJ519" s="48"/>
      <c r="BK519" s="48"/>
      <c r="BL519" s="48"/>
      <c r="BM519" s="48"/>
      <c r="BN519" s="48"/>
      <c r="BO519" s="48"/>
      <c r="BP519" s="48"/>
      <c r="BQ519" s="48"/>
      <c r="BR519" s="48"/>
      <c r="BS519" s="48"/>
      <c r="BT519" s="48"/>
      <c r="BU519" s="48"/>
      <c r="BV519" s="48"/>
      <c r="BW519" s="48"/>
      <c r="BX519" s="111"/>
    </row>
    <row r="520" spans="1:76">
      <c r="A520" s="82"/>
      <c r="B520" s="82"/>
      <c r="C520" s="82" t="s">
        <v>2106</v>
      </c>
      <c r="D520" s="37"/>
      <c r="E520" s="37"/>
      <c r="F520" s="39"/>
      <c r="G520" s="59"/>
      <c r="H520" s="59"/>
      <c r="I520" s="59"/>
      <c r="J520" s="59"/>
      <c r="K520" s="59"/>
      <c r="L520" s="59"/>
      <c r="M520" s="59"/>
      <c r="N520" s="60"/>
      <c r="O520" s="36"/>
      <c r="P520" s="48"/>
      <c r="Q520" s="48"/>
      <c r="R520" s="48"/>
      <c r="S520" s="48"/>
      <c r="T520" s="48"/>
      <c r="U520" s="48"/>
      <c r="V520" s="48"/>
      <c r="W520" s="48"/>
      <c r="X520" s="48"/>
      <c r="Y520" s="48"/>
      <c r="Z520" s="48"/>
      <c r="AA520" s="48"/>
      <c r="AB520" s="48"/>
      <c r="AC520" s="48"/>
      <c r="AD520" s="48"/>
      <c r="AE520" s="48"/>
      <c r="AF520" s="48"/>
      <c r="AG520" s="48"/>
      <c r="AH520" s="48"/>
      <c r="AI520" s="48"/>
      <c r="AJ520" s="48"/>
      <c r="AK520" s="48"/>
      <c r="AL520" s="48"/>
      <c r="AM520" s="48"/>
      <c r="AN520" s="48"/>
      <c r="AO520" s="48"/>
      <c r="AP520" s="48"/>
      <c r="AQ520" s="48"/>
      <c r="AR520" s="48"/>
      <c r="AS520" s="48"/>
      <c r="AT520" s="48"/>
      <c r="AU520" s="48"/>
      <c r="AV520" s="48"/>
      <c r="AW520" s="48"/>
      <c r="AX520" s="48"/>
      <c r="AY520" s="48"/>
      <c r="AZ520" s="48"/>
      <c r="BA520" s="48"/>
      <c r="BB520" s="48"/>
      <c r="BC520" s="48"/>
      <c r="BD520" s="48"/>
      <c r="BE520" s="48"/>
      <c r="BF520" s="48"/>
      <c r="BG520" s="48"/>
      <c r="BH520" s="48"/>
      <c r="BI520" s="48"/>
      <c r="BJ520" s="48"/>
      <c r="BK520" s="48"/>
      <c r="BL520" s="48"/>
      <c r="BM520" s="48"/>
      <c r="BN520" s="48"/>
      <c r="BO520" s="48"/>
      <c r="BP520" s="48"/>
      <c r="BQ520" s="48"/>
      <c r="BR520" s="48"/>
      <c r="BS520" s="48"/>
      <c r="BT520" s="48"/>
      <c r="BU520" s="48"/>
      <c r="BV520" s="48"/>
      <c r="BW520" s="48"/>
      <c r="BX520" s="111"/>
    </row>
    <row r="521" spans="1:76">
      <c r="A521" s="37"/>
      <c r="B521" s="37"/>
      <c r="C521" s="37" t="s">
        <v>1776</v>
      </c>
      <c r="D521" s="37"/>
      <c r="E521" s="37"/>
      <c r="F521" s="39"/>
      <c r="G521" s="59"/>
      <c r="H521" s="59">
        <v>0</v>
      </c>
      <c r="I521" s="59">
        <v>-107</v>
      </c>
      <c r="J521" s="59">
        <v>-45</v>
      </c>
      <c r="K521" s="59">
        <v>-77</v>
      </c>
      <c r="L521" s="59">
        <v>-41</v>
      </c>
      <c r="M521" s="59">
        <v>-11</v>
      </c>
      <c r="N521" s="60">
        <v>-73</v>
      </c>
      <c r="O521" s="36"/>
      <c r="P521" s="48"/>
      <c r="Q521" s="48"/>
      <c r="R521" s="48"/>
      <c r="S521" s="48"/>
      <c r="T521" s="48"/>
      <c r="U521" s="48"/>
      <c r="V521" s="48"/>
      <c r="W521" s="48"/>
      <c r="X521" s="48"/>
      <c r="Y521" s="48"/>
      <c r="Z521" s="48"/>
      <c r="AA521" s="48"/>
      <c r="AB521" s="48"/>
      <c r="AC521" s="48"/>
      <c r="AD521" s="48"/>
      <c r="AE521" s="48"/>
      <c r="AF521" s="48"/>
      <c r="AG521" s="48"/>
      <c r="AH521" s="48"/>
      <c r="AI521" s="48"/>
      <c r="AJ521" s="48"/>
      <c r="AK521" s="48"/>
      <c r="AL521" s="48"/>
      <c r="AM521" s="48"/>
      <c r="AN521" s="48"/>
      <c r="AO521" s="48"/>
      <c r="AP521" s="48"/>
      <c r="AQ521" s="48"/>
      <c r="AR521" s="48"/>
      <c r="AS521" s="48"/>
      <c r="AT521" s="48"/>
      <c r="AU521" s="48"/>
      <c r="AV521" s="48"/>
      <c r="AW521" s="48"/>
      <c r="AX521" s="48"/>
      <c r="AY521" s="48"/>
      <c r="AZ521" s="48"/>
      <c r="BA521" s="48"/>
      <c r="BB521" s="48"/>
      <c r="BC521" s="48"/>
      <c r="BD521" s="48"/>
      <c r="BE521" s="48"/>
      <c r="BF521" s="48"/>
      <c r="BG521" s="48"/>
      <c r="BH521" s="48"/>
      <c r="BI521" s="48"/>
      <c r="BJ521" s="48"/>
      <c r="BK521" s="48"/>
      <c r="BL521" s="48"/>
      <c r="BM521" s="48"/>
      <c r="BN521" s="48"/>
      <c r="BO521" s="48"/>
      <c r="BP521" s="48"/>
      <c r="BQ521" s="48"/>
      <c r="BR521" s="48"/>
      <c r="BS521" s="48"/>
      <c r="BT521" s="48"/>
      <c r="BU521" s="48"/>
      <c r="BV521" s="48"/>
      <c r="BW521" s="48"/>
      <c r="BX521" s="111"/>
    </row>
    <row r="522" spans="1:76">
      <c r="A522" s="37"/>
      <c r="B522" s="37"/>
      <c r="C522" s="37" t="s">
        <v>1362</v>
      </c>
      <c r="D522" s="37"/>
      <c r="E522" s="37"/>
      <c r="F522" s="39"/>
      <c r="G522" s="59"/>
      <c r="H522" s="59"/>
      <c r="I522" s="59"/>
      <c r="J522" s="59"/>
      <c r="K522" s="59"/>
      <c r="L522" s="59"/>
      <c r="M522" s="59"/>
      <c r="N522" s="60"/>
      <c r="O522" s="36"/>
      <c r="P522" s="48"/>
      <c r="Q522" s="48"/>
      <c r="R522" s="48"/>
      <c r="S522" s="48"/>
      <c r="T522" s="48"/>
      <c r="U522" s="48"/>
      <c r="V522" s="48"/>
      <c r="W522" s="48"/>
      <c r="X522" s="48"/>
      <c r="Y522" s="48"/>
      <c r="Z522" s="48"/>
      <c r="AA522" s="48"/>
      <c r="AB522" s="48"/>
      <c r="AC522" s="48"/>
      <c r="AD522" s="48"/>
      <c r="AE522" s="48"/>
      <c r="AF522" s="48"/>
      <c r="AG522" s="48"/>
      <c r="AH522" s="48"/>
      <c r="AI522" s="48"/>
      <c r="AJ522" s="48"/>
      <c r="AK522" s="48"/>
      <c r="AL522" s="48"/>
      <c r="AM522" s="48"/>
      <c r="AN522" s="48"/>
      <c r="AO522" s="48"/>
      <c r="AP522" s="48"/>
      <c r="AQ522" s="48"/>
      <c r="AR522" s="48"/>
      <c r="AS522" s="48"/>
      <c r="AT522" s="48"/>
      <c r="AU522" s="48"/>
      <c r="AV522" s="48"/>
      <c r="AW522" s="48"/>
      <c r="AX522" s="48"/>
      <c r="AY522" s="48"/>
      <c r="AZ522" s="48"/>
      <c r="BA522" s="48"/>
      <c r="BB522" s="48"/>
      <c r="BC522" s="48"/>
      <c r="BD522" s="48"/>
      <c r="BE522" s="48"/>
      <c r="BF522" s="48"/>
      <c r="BG522" s="48"/>
      <c r="BH522" s="48"/>
      <c r="BI522" s="48"/>
      <c r="BJ522" s="48"/>
      <c r="BK522" s="48"/>
      <c r="BL522" s="48"/>
      <c r="BM522" s="48"/>
      <c r="BN522" s="48"/>
      <c r="BO522" s="48"/>
      <c r="BP522" s="48"/>
      <c r="BQ522" s="48"/>
      <c r="BR522" s="48"/>
      <c r="BS522" s="48"/>
      <c r="BT522" s="48"/>
      <c r="BU522" s="48"/>
      <c r="BV522" s="48"/>
      <c r="BW522" s="48"/>
      <c r="BX522" s="111"/>
    </row>
    <row r="523" spans="1:76">
      <c r="A523" s="37"/>
      <c r="B523" s="37"/>
      <c r="C523" s="37" t="s">
        <v>197</v>
      </c>
      <c r="D523" s="37"/>
      <c r="E523" s="37"/>
      <c r="F523" s="39"/>
      <c r="G523" s="59">
        <v>-153</v>
      </c>
      <c r="H523" s="59">
        <v>487</v>
      </c>
      <c r="I523" s="59">
        <v>-620</v>
      </c>
      <c r="J523" s="59">
        <v>547</v>
      </c>
      <c r="K523" s="59">
        <v>-244</v>
      </c>
      <c r="L523" s="59">
        <v>-400</v>
      </c>
      <c r="M523" s="59">
        <v>-344</v>
      </c>
      <c r="N523" s="60">
        <v>-20</v>
      </c>
      <c r="O523" s="36"/>
      <c r="P523" s="48"/>
      <c r="Q523" s="48"/>
      <c r="R523" s="48"/>
      <c r="S523" s="48"/>
      <c r="T523" s="48"/>
      <c r="U523" s="48"/>
      <c r="V523" s="48"/>
      <c r="W523" s="48"/>
      <c r="X523" s="48"/>
      <c r="Y523" s="48"/>
      <c r="Z523" s="48"/>
      <c r="AA523" s="48"/>
      <c r="AB523" s="48"/>
      <c r="AC523" s="48"/>
      <c r="AD523" s="48"/>
      <c r="AE523" s="48"/>
      <c r="AF523" s="48"/>
      <c r="AG523" s="48"/>
      <c r="AH523" s="48"/>
      <c r="AI523" s="48"/>
      <c r="AJ523" s="48"/>
      <c r="AK523" s="48"/>
      <c r="AL523" s="48"/>
      <c r="AM523" s="48"/>
      <c r="AN523" s="48"/>
      <c r="AO523" s="48"/>
      <c r="AP523" s="48"/>
      <c r="AQ523" s="48"/>
      <c r="AR523" s="48"/>
      <c r="AS523" s="48"/>
      <c r="AT523" s="48"/>
      <c r="AU523" s="48"/>
      <c r="AV523" s="48"/>
      <c r="AW523" s="48"/>
      <c r="AX523" s="48"/>
      <c r="AY523" s="48"/>
      <c r="AZ523" s="48"/>
      <c r="BA523" s="48"/>
      <c r="BB523" s="48"/>
      <c r="BC523" s="48"/>
      <c r="BD523" s="48"/>
      <c r="BE523" s="48"/>
      <c r="BF523" s="48"/>
      <c r="BG523" s="48"/>
      <c r="BH523" s="48"/>
      <c r="BI523" s="48"/>
      <c r="BJ523" s="48"/>
      <c r="BK523" s="48"/>
      <c r="BL523" s="48"/>
      <c r="BM523" s="48"/>
      <c r="BN523" s="48"/>
      <c r="BO523" s="48"/>
      <c r="BP523" s="48"/>
      <c r="BQ523" s="48"/>
      <c r="BR523" s="48"/>
      <c r="BS523" s="48"/>
      <c r="BT523" s="48"/>
      <c r="BU523" s="48"/>
      <c r="BV523" s="48"/>
      <c r="BW523" s="48"/>
      <c r="BX523" s="111"/>
    </row>
    <row r="524" spans="1:76">
      <c r="A524" s="37"/>
      <c r="B524" s="37"/>
      <c r="C524" s="37" t="s">
        <v>2080</v>
      </c>
      <c r="D524" s="37"/>
      <c r="E524" s="37"/>
      <c r="F524" s="39"/>
      <c r="G524" s="59">
        <f>145-995</f>
        <v>-850</v>
      </c>
      <c r="H524" s="59">
        <f>4143-2785</f>
        <v>1358</v>
      </c>
      <c r="I524" s="59">
        <f>681-3165</f>
        <v>-2484</v>
      </c>
      <c r="J524" s="59">
        <f>231-1015</f>
        <v>-784</v>
      </c>
      <c r="K524" s="59">
        <f>1048-743</f>
        <v>305</v>
      </c>
      <c r="L524" s="59">
        <f>1964-2017</f>
        <v>-53</v>
      </c>
      <c r="M524" s="59">
        <f>-203+446-911</f>
        <v>-668</v>
      </c>
      <c r="N524" s="59">
        <f>-4+300-451</f>
        <v>-155</v>
      </c>
      <c r="O524" s="79"/>
      <c r="P524" s="48"/>
      <c r="Q524" s="48"/>
      <c r="R524" s="48"/>
      <c r="S524" s="48"/>
      <c r="T524" s="48"/>
      <c r="U524" s="48"/>
      <c r="V524" s="48"/>
      <c r="W524" s="48"/>
      <c r="X524" s="48"/>
      <c r="Y524" s="48"/>
      <c r="Z524" s="48"/>
      <c r="AA524" s="48"/>
      <c r="AB524" s="48"/>
      <c r="AC524" s="48"/>
      <c r="AD524" s="48"/>
      <c r="AE524" s="48"/>
      <c r="AF524" s="48"/>
      <c r="AG524" s="48"/>
      <c r="AH524" s="48"/>
      <c r="AI524" s="48"/>
      <c r="AJ524" s="48"/>
      <c r="AK524" s="48"/>
      <c r="AL524" s="48"/>
      <c r="AM524" s="48"/>
      <c r="AN524" s="48"/>
      <c r="AO524" s="48"/>
      <c r="AP524" s="48"/>
      <c r="AQ524" s="48"/>
      <c r="AR524" s="48"/>
      <c r="AS524" s="48"/>
      <c r="AT524" s="48"/>
      <c r="AU524" s="48"/>
      <c r="AV524" s="48"/>
      <c r="AW524" s="48"/>
      <c r="AX524" s="48"/>
      <c r="AY524" s="48"/>
      <c r="AZ524" s="48"/>
      <c r="BA524" s="48"/>
      <c r="BB524" s="48"/>
      <c r="BC524" s="48"/>
      <c r="BD524" s="48"/>
      <c r="BE524" s="48"/>
      <c r="BF524" s="48"/>
      <c r="BG524" s="48"/>
      <c r="BH524" s="48"/>
      <c r="BI524" s="48"/>
      <c r="BJ524" s="48"/>
      <c r="BK524" s="48"/>
      <c r="BL524" s="48"/>
      <c r="BM524" s="48"/>
      <c r="BN524" s="48"/>
      <c r="BO524" s="48"/>
      <c r="BP524" s="48"/>
      <c r="BQ524" s="48"/>
      <c r="BR524" s="48"/>
      <c r="BS524" s="48"/>
      <c r="BT524" s="48"/>
      <c r="BU524" s="48"/>
      <c r="BV524" s="48"/>
      <c r="BW524" s="48"/>
      <c r="BX524" s="111"/>
    </row>
    <row r="525" spans="1:76">
      <c r="A525" s="37"/>
      <c r="B525" s="37"/>
      <c r="C525" s="37" t="s">
        <v>2084</v>
      </c>
      <c r="D525" s="37"/>
      <c r="E525" s="37"/>
      <c r="F525" s="39"/>
      <c r="G525" s="59"/>
      <c r="H525" s="59"/>
      <c r="I525" s="59"/>
      <c r="J525" s="59"/>
      <c r="K525" s="59"/>
      <c r="L525" s="59"/>
      <c r="M525" s="59"/>
      <c r="N525" s="60"/>
      <c r="O525" s="36"/>
      <c r="P525" s="48"/>
      <c r="Q525" s="48"/>
      <c r="R525" s="48"/>
      <c r="S525" s="48"/>
      <c r="T525" s="48"/>
      <c r="U525" s="48"/>
      <c r="V525" s="48"/>
      <c r="W525" s="48"/>
      <c r="X525" s="48"/>
      <c r="Y525" s="48"/>
      <c r="Z525" s="48"/>
      <c r="AA525" s="48"/>
      <c r="AB525" s="48"/>
      <c r="AC525" s="48"/>
      <c r="AD525" s="48"/>
      <c r="AE525" s="48"/>
      <c r="AF525" s="48"/>
      <c r="AG525" s="48"/>
      <c r="AH525" s="48"/>
      <c r="AI525" s="48"/>
      <c r="AJ525" s="48"/>
      <c r="AK525" s="48"/>
      <c r="AL525" s="48"/>
      <c r="AM525" s="48"/>
      <c r="AN525" s="48"/>
      <c r="AO525" s="48"/>
      <c r="AP525" s="48"/>
      <c r="AQ525" s="48"/>
      <c r="AR525" s="48"/>
      <c r="AS525" s="48"/>
      <c r="AT525" s="48"/>
      <c r="AU525" s="48"/>
      <c r="AV525" s="48"/>
      <c r="AW525" s="48"/>
      <c r="AX525" s="48"/>
      <c r="AY525" s="48"/>
      <c r="AZ525" s="48"/>
      <c r="BA525" s="48"/>
      <c r="BB525" s="48"/>
      <c r="BC525" s="48"/>
      <c r="BD525" s="48"/>
      <c r="BE525" s="48"/>
      <c r="BF525" s="48"/>
      <c r="BG525" s="48"/>
      <c r="BH525" s="48"/>
      <c r="BI525" s="48"/>
      <c r="BJ525" s="48"/>
      <c r="BK525" s="48"/>
      <c r="BL525" s="48"/>
      <c r="BM525" s="48"/>
      <c r="BN525" s="48"/>
      <c r="BO525" s="48"/>
      <c r="BP525" s="48"/>
      <c r="BQ525" s="48"/>
      <c r="BR525" s="48"/>
      <c r="BS525" s="48"/>
      <c r="BT525" s="48"/>
      <c r="BU525" s="48"/>
      <c r="BV525" s="48"/>
      <c r="BW525" s="48"/>
      <c r="BX525" s="111"/>
    </row>
    <row r="526" spans="1:76">
      <c r="A526" s="37"/>
      <c r="B526" s="37"/>
      <c r="C526" s="37" t="s">
        <v>2085</v>
      </c>
      <c r="D526" s="37"/>
      <c r="E526" s="37"/>
      <c r="F526" s="39"/>
      <c r="G526" s="61" t="str">
        <f t="shared" ref="G526:N526" si="81">IF(AND(OR(ISTEXT(G527), ISBLANK(G527)),OR(ISTEXT(G528), ISBLANK(G528)),TRUE),"", +IF(ISTEXT(G527), 0,G527)-IF(ISTEXT(G528), 0,G528))</f>
        <v/>
      </c>
      <c r="H526" s="61" t="str">
        <f t="shared" si="81"/>
        <v/>
      </c>
      <c r="I526" s="61" t="str">
        <f t="shared" si="81"/>
        <v/>
      </c>
      <c r="J526" s="61" t="str">
        <f t="shared" si="81"/>
        <v/>
      </c>
      <c r="K526" s="39" t="str">
        <f t="shared" si="81"/>
        <v/>
      </c>
      <c r="L526" s="61" t="str">
        <f t="shared" si="81"/>
        <v/>
      </c>
      <c r="M526" s="61" t="str">
        <f t="shared" si="81"/>
        <v/>
      </c>
      <c r="N526" s="48" t="str">
        <f t="shared" si="81"/>
        <v/>
      </c>
      <c r="O526" s="36"/>
      <c r="P526" s="48"/>
      <c r="Q526" s="48"/>
      <c r="R526" s="48"/>
      <c r="S526" s="48"/>
      <c r="T526" s="48"/>
      <c r="U526" s="48"/>
      <c r="V526" s="48"/>
      <c r="W526" s="48"/>
      <c r="X526" s="48"/>
      <c r="Y526" s="48"/>
      <c r="Z526" s="48"/>
      <c r="AA526" s="48"/>
      <c r="AB526" s="48"/>
      <c r="AC526" s="48"/>
      <c r="AD526" s="48"/>
      <c r="AE526" s="48"/>
      <c r="AF526" s="48"/>
      <c r="AG526" s="48"/>
      <c r="AH526" s="48"/>
      <c r="AI526" s="48"/>
      <c r="AJ526" s="48"/>
      <c r="AK526" s="48"/>
      <c r="AL526" s="48"/>
      <c r="AM526" s="48"/>
      <c r="AN526" s="48"/>
      <c r="AO526" s="48"/>
      <c r="AP526" s="48"/>
      <c r="AQ526" s="48"/>
      <c r="AR526" s="48"/>
      <c r="AS526" s="48"/>
      <c r="AT526" s="48"/>
      <c r="AU526" s="48"/>
      <c r="AV526" s="48"/>
      <c r="AW526" s="48"/>
      <c r="AX526" s="48"/>
      <c r="AY526" s="48"/>
      <c r="AZ526" s="48"/>
      <c r="BA526" s="48"/>
      <c r="BB526" s="48"/>
      <c r="BC526" s="48"/>
      <c r="BD526" s="48"/>
      <c r="BE526" s="48"/>
      <c r="BF526" s="48"/>
      <c r="BG526" s="48"/>
      <c r="BH526" s="48"/>
      <c r="BI526" s="48"/>
      <c r="BJ526" s="48"/>
      <c r="BK526" s="48"/>
      <c r="BL526" s="48"/>
      <c r="BM526" s="48"/>
      <c r="BN526" s="48"/>
      <c r="BO526" s="48"/>
      <c r="BP526" s="48"/>
      <c r="BQ526" s="48"/>
      <c r="BR526" s="48"/>
      <c r="BS526" s="48"/>
      <c r="BT526" s="48"/>
      <c r="BU526" s="48"/>
      <c r="BV526" s="48"/>
      <c r="BW526" s="48"/>
      <c r="BX526" s="111"/>
    </row>
    <row r="527" spans="1:76">
      <c r="A527" s="37"/>
      <c r="B527" s="37"/>
      <c r="C527" s="37"/>
      <c r="D527" s="37" t="s">
        <v>1439</v>
      </c>
      <c r="E527" s="37"/>
      <c r="F527" s="39"/>
      <c r="G527" s="59"/>
      <c r="H527" s="59"/>
      <c r="I527" s="59"/>
      <c r="J527" s="59"/>
      <c r="K527" s="59"/>
      <c r="L527" s="59"/>
      <c r="M527" s="59"/>
      <c r="N527" s="60"/>
      <c r="O527" s="36"/>
      <c r="P527" s="48"/>
      <c r="Q527" s="48"/>
      <c r="R527" s="48"/>
      <c r="S527" s="48"/>
      <c r="T527" s="48"/>
      <c r="U527" s="48"/>
      <c r="V527" s="48"/>
      <c r="W527" s="48"/>
      <c r="X527" s="48"/>
      <c r="Y527" s="48"/>
      <c r="Z527" s="48"/>
      <c r="AA527" s="48"/>
      <c r="AB527" s="48"/>
      <c r="AC527" s="48"/>
      <c r="AD527" s="48"/>
      <c r="AE527" s="48"/>
      <c r="AF527" s="48"/>
      <c r="AG527" s="48"/>
      <c r="AH527" s="48"/>
      <c r="AI527" s="48"/>
      <c r="AJ527" s="48"/>
      <c r="AK527" s="48"/>
      <c r="AL527" s="48"/>
      <c r="AM527" s="48"/>
      <c r="AN527" s="48"/>
      <c r="AO527" s="48"/>
      <c r="AP527" s="48"/>
      <c r="AQ527" s="48"/>
      <c r="AR527" s="48"/>
      <c r="AS527" s="48"/>
      <c r="AT527" s="48"/>
      <c r="AU527" s="48"/>
      <c r="AV527" s="48"/>
      <c r="AW527" s="48"/>
      <c r="AX527" s="48"/>
      <c r="AY527" s="48"/>
      <c r="AZ527" s="48"/>
      <c r="BA527" s="48"/>
      <c r="BB527" s="48"/>
      <c r="BC527" s="48"/>
      <c r="BD527" s="48"/>
      <c r="BE527" s="48"/>
      <c r="BF527" s="48"/>
      <c r="BG527" s="48"/>
      <c r="BH527" s="48"/>
      <c r="BI527" s="48"/>
      <c r="BJ527" s="48"/>
      <c r="BK527" s="48"/>
      <c r="BL527" s="48"/>
      <c r="BM527" s="48"/>
      <c r="BN527" s="48"/>
      <c r="BO527" s="48"/>
      <c r="BP527" s="48"/>
      <c r="BQ527" s="48"/>
      <c r="BR527" s="48"/>
      <c r="BS527" s="48"/>
      <c r="BT527" s="48"/>
      <c r="BU527" s="48"/>
      <c r="BV527" s="48"/>
      <c r="BW527" s="48"/>
      <c r="BX527" s="111"/>
    </row>
    <row r="528" spans="1:76">
      <c r="A528" s="37"/>
      <c r="B528" s="37"/>
      <c r="C528" s="37"/>
      <c r="D528" s="37" t="s">
        <v>418</v>
      </c>
      <c r="E528" s="37"/>
      <c r="F528" s="39"/>
      <c r="G528" s="59"/>
      <c r="H528" s="59"/>
      <c r="I528" s="59"/>
      <c r="J528" s="59"/>
      <c r="K528" s="59"/>
      <c r="L528" s="59"/>
      <c r="M528" s="59"/>
      <c r="N528" s="60"/>
      <c r="O528" s="36"/>
      <c r="P528" s="48"/>
      <c r="Q528" s="48"/>
      <c r="R528" s="48"/>
      <c r="S528" s="48"/>
      <c r="T528" s="48"/>
      <c r="U528" s="48"/>
      <c r="V528" s="48"/>
      <c r="W528" s="48"/>
      <c r="X528" s="48"/>
      <c r="Y528" s="48"/>
      <c r="Z528" s="48"/>
      <c r="AA528" s="48"/>
      <c r="AB528" s="48"/>
      <c r="AC528" s="48"/>
      <c r="AD528" s="48"/>
      <c r="AE528" s="48"/>
      <c r="AF528" s="48"/>
      <c r="AG528" s="48"/>
      <c r="AH528" s="48"/>
      <c r="AI528" s="48"/>
      <c r="AJ528" s="48"/>
      <c r="AK528" s="48"/>
      <c r="AL528" s="48"/>
      <c r="AM528" s="48"/>
      <c r="AN528" s="48"/>
      <c r="AO528" s="48"/>
      <c r="AP528" s="48"/>
      <c r="AQ528" s="48"/>
      <c r="AR528" s="48"/>
      <c r="AS528" s="48"/>
      <c r="AT528" s="48"/>
      <c r="AU528" s="48"/>
      <c r="AV528" s="48"/>
      <c r="AW528" s="48"/>
      <c r="AX528" s="48"/>
      <c r="AY528" s="48"/>
      <c r="AZ528" s="48"/>
      <c r="BA528" s="48"/>
      <c r="BB528" s="48"/>
      <c r="BC528" s="48"/>
      <c r="BD528" s="48"/>
      <c r="BE528" s="48"/>
      <c r="BF528" s="48"/>
      <c r="BG528" s="48"/>
      <c r="BH528" s="48"/>
      <c r="BI528" s="48"/>
      <c r="BJ528" s="48"/>
      <c r="BK528" s="48"/>
      <c r="BL528" s="48"/>
      <c r="BM528" s="48"/>
      <c r="BN528" s="48"/>
      <c r="BO528" s="48"/>
      <c r="BP528" s="48"/>
      <c r="BQ528" s="48"/>
      <c r="BR528" s="48"/>
      <c r="BS528" s="48"/>
      <c r="BT528" s="48"/>
      <c r="BU528" s="48"/>
      <c r="BV528" s="48"/>
      <c r="BW528" s="48"/>
      <c r="BX528" s="111"/>
    </row>
    <row r="529" spans="1:76">
      <c r="A529" s="37"/>
      <c r="B529" s="37"/>
      <c r="C529" s="37" t="s">
        <v>419</v>
      </c>
      <c r="D529" s="37"/>
      <c r="E529" s="37"/>
      <c r="F529" s="39"/>
      <c r="G529" s="61" t="s">
        <v>1263</v>
      </c>
      <c r="H529" s="61">
        <f t="shared" ref="H529:N529" si="82">IF(AND(OR(ISTEXT(H530), ISBLANK(H530)),OR(ISTEXT(H532), ISBLANK(H532)),OR(ISTEXT(H531), ISBLANK(H531)),TRUE),"", +IF(ISTEXT(H530), 0,H530)-IF(ISTEXT(H532), 0,H532)+IF(ISTEXT(H531), 0,H531))</f>
        <v>-371</v>
      </c>
      <c r="I529" s="61">
        <f t="shared" si="82"/>
        <v>-64</v>
      </c>
      <c r="J529" s="61">
        <f t="shared" si="82"/>
        <v>-69</v>
      </c>
      <c r="K529" s="83">
        <f t="shared" si="82"/>
        <v>-96</v>
      </c>
      <c r="L529" s="83">
        <f t="shared" si="82"/>
        <v>0</v>
      </c>
      <c r="M529" s="61">
        <f t="shared" si="82"/>
        <v>26</v>
      </c>
      <c r="N529" s="84">
        <f t="shared" si="82"/>
        <v>69</v>
      </c>
      <c r="O529" s="36"/>
      <c r="P529" s="48"/>
      <c r="Q529" s="48"/>
      <c r="R529" s="48"/>
      <c r="S529" s="48"/>
      <c r="T529" s="48"/>
      <c r="U529" s="48"/>
      <c r="V529" s="48"/>
      <c r="W529" s="48"/>
      <c r="X529" s="48"/>
      <c r="Y529" s="48"/>
      <c r="Z529" s="48"/>
      <c r="AA529" s="48"/>
      <c r="AB529" s="48"/>
      <c r="AC529" s="48"/>
      <c r="AD529" s="48"/>
      <c r="AE529" s="48"/>
      <c r="AF529" s="48"/>
      <c r="AG529" s="48"/>
      <c r="AH529" s="48"/>
      <c r="AI529" s="48"/>
      <c r="AJ529" s="48"/>
      <c r="AK529" s="48"/>
      <c r="AL529" s="48"/>
      <c r="AM529" s="48"/>
      <c r="AN529" s="48"/>
      <c r="AO529" s="48"/>
      <c r="AP529" s="48"/>
      <c r="AQ529" s="48"/>
      <c r="AR529" s="48"/>
      <c r="AS529" s="48"/>
      <c r="AT529" s="48"/>
      <c r="AU529" s="48"/>
      <c r="AV529" s="48"/>
      <c r="AW529" s="48"/>
      <c r="AX529" s="48"/>
      <c r="AY529" s="48"/>
      <c r="AZ529" s="48"/>
      <c r="BA529" s="48"/>
      <c r="BB529" s="48"/>
      <c r="BC529" s="48"/>
      <c r="BD529" s="48"/>
      <c r="BE529" s="48"/>
      <c r="BF529" s="48"/>
      <c r="BG529" s="48"/>
      <c r="BH529" s="48"/>
      <c r="BI529" s="48"/>
      <c r="BJ529" s="48"/>
      <c r="BK529" s="48"/>
      <c r="BL529" s="48"/>
      <c r="BM529" s="48"/>
      <c r="BN529" s="48"/>
      <c r="BO529" s="48"/>
      <c r="BP529" s="48"/>
      <c r="BQ529" s="48"/>
      <c r="BR529" s="48"/>
      <c r="BS529" s="48"/>
      <c r="BT529" s="48"/>
      <c r="BU529" s="48"/>
      <c r="BV529" s="48"/>
      <c r="BW529" s="48"/>
      <c r="BX529" s="111"/>
    </row>
    <row r="530" spans="1:76">
      <c r="A530" s="37"/>
      <c r="B530" s="37"/>
      <c r="C530" s="37"/>
      <c r="D530" s="37" t="s">
        <v>1819</v>
      </c>
      <c r="E530" s="37"/>
      <c r="F530" s="39"/>
      <c r="G530" s="59"/>
      <c r="H530" s="59"/>
      <c r="I530" s="59"/>
      <c r="J530" s="59"/>
      <c r="K530" s="59"/>
      <c r="L530" s="59"/>
      <c r="M530" s="59"/>
      <c r="N530" s="59"/>
      <c r="O530" s="58"/>
      <c r="P530" s="48"/>
      <c r="Q530" s="48"/>
      <c r="R530" s="48"/>
      <c r="S530" s="48"/>
      <c r="T530" s="48"/>
      <c r="U530" s="48"/>
      <c r="V530" s="48"/>
      <c r="W530" s="48"/>
      <c r="X530" s="48"/>
      <c r="Y530" s="48"/>
      <c r="Z530" s="48"/>
      <c r="AA530" s="48"/>
      <c r="AB530" s="48"/>
      <c r="AC530" s="48"/>
      <c r="AD530" s="48"/>
      <c r="AE530" s="48"/>
      <c r="AF530" s="48"/>
      <c r="AG530" s="48"/>
      <c r="AH530" s="48"/>
      <c r="AI530" s="48"/>
      <c r="AJ530" s="48"/>
      <c r="AK530" s="48"/>
      <c r="AL530" s="48"/>
      <c r="AM530" s="48"/>
      <c r="AN530" s="48"/>
      <c r="AO530" s="48"/>
      <c r="AP530" s="48"/>
      <c r="AQ530" s="48"/>
      <c r="AR530" s="48"/>
      <c r="AS530" s="48"/>
      <c r="AT530" s="48"/>
      <c r="AU530" s="48"/>
      <c r="AV530" s="48"/>
      <c r="AW530" s="48"/>
      <c r="AX530" s="48"/>
      <c r="AY530" s="48"/>
      <c r="AZ530" s="48"/>
      <c r="BA530" s="48"/>
      <c r="BB530" s="48"/>
      <c r="BC530" s="48"/>
      <c r="BD530" s="48"/>
      <c r="BE530" s="48"/>
      <c r="BF530" s="48"/>
      <c r="BG530" s="48"/>
      <c r="BH530" s="48"/>
      <c r="BI530" s="48"/>
      <c r="BJ530" s="48"/>
      <c r="BK530" s="48"/>
      <c r="BL530" s="48"/>
      <c r="BM530" s="48"/>
      <c r="BN530" s="48"/>
      <c r="BO530" s="48"/>
      <c r="BP530" s="48"/>
      <c r="BQ530" s="48"/>
      <c r="BR530" s="48"/>
      <c r="BS530" s="48"/>
      <c r="BT530" s="48"/>
      <c r="BU530" s="48"/>
      <c r="BV530" s="48"/>
      <c r="BW530" s="48"/>
      <c r="BX530" s="111"/>
    </row>
    <row r="531" spans="1:76">
      <c r="A531" s="82"/>
      <c r="B531" s="82"/>
      <c r="C531" s="82"/>
      <c r="D531" s="82" t="s">
        <v>856</v>
      </c>
      <c r="E531" s="37"/>
      <c r="F531" s="39"/>
      <c r="G531" s="59" t="s">
        <v>1263</v>
      </c>
      <c r="H531" s="59"/>
      <c r="I531" s="59"/>
      <c r="J531" s="59"/>
      <c r="K531" s="59"/>
      <c r="L531" s="59"/>
      <c r="M531" s="59">
        <v>54</v>
      </c>
      <c r="N531" s="59">
        <v>379</v>
      </c>
      <c r="O531" s="36"/>
      <c r="P531" s="48"/>
      <c r="Q531" s="48"/>
      <c r="R531" s="48"/>
      <c r="S531" s="48"/>
      <c r="T531" s="48"/>
      <c r="U531" s="48"/>
      <c r="V531" s="48"/>
      <c r="W531" s="48"/>
      <c r="X531" s="48"/>
      <c r="Y531" s="48"/>
      <c r="Z531" s="48"/>
      <c r="AA531" s="48"/>
      <c r="AB531" s="48"/>
      <c r="AC531" s="48"/>
      <c r="AD531" s="48"/>
      <c r="AE531" s="48"/>
      <c r="AF531" s="48"/>
      <c r="AG531" s="48"/>
      <c r="AH531" s="48"/>
      <c r="AI531" s="48"/>
      <c r="AJ531" s="48"/>
      <c r="AK531" s="48"/>
      <c r="AL531" s="48"/>
      <c r="AM531" s="48"/>
      <c r="AN531" s="48"/>
      <c r="AO531" s="48"/>
      <c r="AP531" s="48"/>
      <c r="AQ531" s="48"/>
      <c r="AR531" s="48"/>
      <c r="AS531" s="48"/>
      <c r="AT531" s="48"/>
      <c r="AU531" s="48"/>
      <c r="AV531" s="48"/>
      <c r="AW531" s="48"/>
      <c r="AX531" s="48"/>
      <c r="AY531" s="48"/>
      <c r="AZ531" s="48"/>
      <c r="BA531" s="48"/>
      <c r="BB531" s="48"/>
      <c r="BC531" s="48"/>
      <c r="BD531" s="48"/>
      <c r="BE531" s="48"/>
      <c r="BF531" s="48"/>
      <c r="BG531" s="48"/>
      <c r="BH531" s="48"/>
      <c r="BI531" s="48"/>
      <c r="BJ531" s="48"/>
      <c r="BK531" s="48"/>
      <c r="BL531" s="48"/>
      <c r="BM531" s="48"/>
      <c r="BN531" s="48"/>
      <c r="BO531" s="48"/>
      <c r="BP531" s="48"/>
      <c r="BQ531" s="48"/>
      <c r="BR531" s="48"/>
      <c r="BS531" s="48"/>
      <c r="BT531" s="48"/>
      <c r="BU531" s="48"/>
      <c r="BV531" s="48"/>
      <c r="BW531" s="48"/>
      <c r="BX531" s="111"/>
    </row>
    <row r="532" spans="1:76">
      <c r="A532" s="37"/>
      <c r="B532" s="37"/>
      <c r="C532" s="37"/>
      <c r="D532" s="37" t="s">
        <v>857</v>
      </c>
      <c r="E532" s="37"/>
      <c r="F532" s="39"/>
      <c r="G532" s="59">
        <v>0</v>
      </c>
      <c r="H532" s="59">
        <v>371</v>
      </c>
      <c r="I532" s="59">
        <v>64</v>
      </c>
      <c r="J532" s="59">
        <v>69</v>
      </c>
      <c r="K532" s="59">
        <v>96</v>
      </c>
      <c r="L532" s="59">
        <v>0</v>
      </c>
      <c r="M532" s="59">
        <v>28</v>
      </c>
      <c r="N532" s="60">
        <v>310</v>
      </c>
      <c r="O532" s="36"/>
      <c r="P532" s="48"/>
      <c r="Q532" s="48"/>
      <c r="R532" s="48"/>
      <c r="S532" s="48"/>
      <c r="T532" s="48"/>
      <c r="U532" s="48"/>
      <c r="V532" s="48"/>
      <c r="W532" s="48"/>
      <c r="X532" s="48"/>
      <c r="Y532" s="48"/>
      <c r="Z532" s="48"/>
      <c r="AA532" s="48"/>
      <c r="AB532" s="48"/>
      <c r="AC532" s="48"/>
      <c r="AD532" s="48"/>
      <c r="AE532" s="48"/>
      <c r="AF532" s="48"/>
      <c r="AG532" s="48"/>
      <c r="AH532" s="48"/>
      <c r="AI532" s="48"/>
      <c r="AJ532" s="48"/>
      <c r="AK532" s="48"/>
      <c r="AL532" s="48"/>
      <c r="AM532" s="48"/>
      <c r="AN532" s="48"/>
      <c r="AO532" s="48"/>
      <c r="AP532" s="48"/>
      <c r="AQ532" s="48"/>
      <c r="AR532" s="48"/>
      <c r="AS532" s="48"/>
      <c r="AT532" s="48"/>
      <c r="AU532" s="48"/>
      <c r="AV532" s="48"/>
      <c r="AW532" s="48"/>
      <c r="AX532" s="48"/>
      <c r="AY532" s="48"/>
      <c r="AZ532" s="48"/>
      <c r="BA532" s="48"/>
      <c r="BB532" s="48"/>
      <c r="BC532" s="48"/>
      <c r="BD532" s="48"/>
      <c r="BE532" s="48"/>
      <c r="BF532" s="48"/>
      <c r="BG532" s="48"/>
      <c r="BH532" s="48"/>
      <c r="BI532" s="48"/>
      <c r="BJ532" s="48"/>
      <c r="BK532" s="48"/>
      <c r="BL532" s="48"/>
      <c r="BM532" s="48"/>
      <c r="BN532" s="48"/>
      <c r="BO532" s="48"/>
      <c r="BP532" s="48"/>
      <c r="BQ532" s="48"/>
      <c r="BR532" s="48"/>
      <c r="BS532" s="48"/>
      <c r="BT532" s="48"/>
      <c r="BU532" s="48"/>
      <c r="BV532" s="48"/>
      <c r="BW532" s="48"/>
      <c r="BX532" s="111"/>
    </row>
    <row r="533" spans="1:76">
      <c r="A533" s="37"/>
      <c r="B533" s="37"/>
      <c r="C533" s="37" t="s">
        <v>1262</v>
      </c>
      <c r="D533" s="37"/>
      <c r="E533" s="37"/>
      <c r="F533" s="39"/>
      <c r="G533" s="59"/>
      <c r="H533" s="59"/>
      <c r="I533" s="59"/>
      <c r="J533" s="59"/>
      <c r="K533" s="59"/>
      <c r="L533" s="59"/>
      <c r="M533" s="59"/>
      <c r="N533" s="60"/>
      <c r="O533" s="36"/>
      <c r="P533" s="48"/>
      <c r="Q533" s="48"/>
      <c r="R533" s="48"/>
      <c r="S533" s="48"/>
      <c r="T533" s="48"/>
      <c r="U533" s="48"/>
      <c r="V533" s="48"/>
      <c r="W533" s="48"/>
      <c r="X533" s="48"/>
      <c r="Y533" s="48"/>
      <c r="Z533" s="48"/>
      <c r="AA533" s="48"/>
      <c r="AB533" s="48"/>
      <c r="AC533" s="48"/>
      <c r="AD533" s="48"/>
      <c r="AE533" s="48"/>
      <c r="AF533" s="48"/>
      <c r="AG533" s="48"/>
      <c r="AH533" s="48"/>
      <c r="AI533" s="48"/>
      <c r="AJ533" s="48"/>
      <c r="AK533" s="48"/>
      <c r="AL533" s="48"/>
      <c r="AM533" s="48"/>
      <c r="AN533" s="48"/>
      <c r="AO533" s="48"/>
      <c r="AP533" s="48"/>
      <c r="AQ533" s="48"/>
      <c r="AR533" s="48"/>
      <c r="AS533" s="48"/>
      <c r="AT533" s="48"/>
      <c r="AU533" s="48"/>
      <c r="AV533" s="48"/>
      <c r="AW533" s="48"/>
      <c r="AX533" s="48"/>
      <c r="AY533" s="48"/>
      <c r="AZ533" s="48"/>
      <c r="BA533" s="48"/>
      <c r="BB533" s="48"/>
      <c r="BC533" s="48"/>
      <c r="BD533" s="48"/>
      <c r="BE533" s="48"/>
      <c r="BF533" s="48"/>
      <c r="BG533" s="48"/>
      <c r="BH533" s="48"/>
      <c r="BI533" s="48"/>
      <c r="BJ533" s="48"/>
      <c r="BK533" s="48"/>
      <c r="BL533" s="48"/>
      <c r="BM533" s="48"/>
      <c r="BN533" s="48"/>
      <c r="BO533" s="48"/>
      <c r="BP533" s="48"/>
      <c r="BQ533" s="48"/>
      <c r="BR533" s="48"/>
      <c r="BS533" s="48"/>
      <c r="BT533" s="48"/>
      <c r="BU533" s="48"/>
      <c r="BV533" s="48"/>
      <c r="BW533" s="48"/>
      <c r="BX533" s="111"/>
    </row>
    <row r="534" spans="1:76">
      <c r="A534" s="37"/>
      <c r="B534" s="37"/>
      <c r="C534" s="37" t="s">
        <v>1353</v>
      </c>
      <c r="D534" s="37"/>
      <c r="E534" s="37"/>
      <c r="F534" s="39"/>
      <c r="G534" s="59">
        <v>0</v>
      </c>
      <c r="H534" s="59">
        <v>3357</v>
      </c>
      <c r="I534" s="59">
        <v>116</v>
      </c>
      <c r="J534" s="59">
        <v>134</v>
      </c>
      <c r="K534" s="59">
        <v>156</v>
      </c>
      <c r="L534" s="59">
        <v>40</v>
      </c>
      <c r="M534" s="59">
        <v>170</v>
      </c>
      <c r="N534" s="60">
        <v>172</v>
      </c>
      <c r="O534" s="36"/>
      <c r="P534" s="48"/>
      <c r="Q534" s="48"/>
      <c r="R534" s="48"/>
      <c r="S534" s="48"/>
      <c r="T534" s="48"/>
      <c r="U534" s="48"/>
      <c r="V534" s="48"/>
      <c r="W534" s="48"/>
      <c r="X534" s="48"/>
      <c r="Y534" s="48"/>
      <c r="Z534" s="48"/>
      <c r="AA534" s="48"/>
      <c r="AB534" s="48"/>
      <c r="AC534" s="48"/>
      <c r="AD534" s="48"/>
      <c r="AE534" s="48"/>
      <c r="AF534" s="48"/>
      <c r="AG534" s="48"/>
      <c r="AH534" s="48"/>
      <c r="AI534" s="48"/>
      <c r="AJ534" s="48"/>
      <c r="AK534" s="48"/>
      <c r="AL534" s="48"/>
      <c r="AM534" s="48"/>
      <c r="AN534" s="48"/>
      <c r="AO534" s="48"/>
      <c r="AP534" s="48"/>
      <c r="AQ534" s="48"/>
      <c r="AR534" s="48"/>
      <c r="AS534" s="48"/>
      <c r="AT534" s="48"/>
      <c r="AU534" s="48"/>
      <c r="AV534" s="48"/>
      <c r="AW534" s="48"/>
      <c r="AX534" s="48"/>
      <c r="AY534" s="48"/>
      <c r="AZ534" s="48"/>
      <c r="BA534" s="48"/>
      <c r="BB534" s="48"/>
      <c r="BC534" s="48"/>
      <c r="BD534" s="48"/>
      <c r="BE534" s="48"/>
      <c r="BF534" s="48"/>
      <c r="BG534" s="48"/>
      <c r="BH534" s="48"/>
      <c r="BI534" s="48"/>
      <c r="BJ534" s="48"/>
      <c r="BK534" s="48"/>
      <c r="BL534" s="48"/>
      <c r="BM534" s="48"/>
      <c r="BN534" s="48"/>
      <c r="BO534" s="48"/>
      <c r="BP534" s="48"/>
      <c r="BQ534" s="48"/>
      <c r="BR534" s="48"/>
      <c r="BS534" s="48"/>
      <c r="BT534" s="48"/>
      <c r="BU534" s="48"/>
      <c r="BV534" s="48"/>
      <c r="BW534" s="48"/>
      <c r="BX534" s="111"/>
    </row>
    <row r="535" spans="1:76">
      <c r="A535" s="37"/>
      <c r="B535" s="37"/>
      <c r="C535" s="37" t="s">
        <v>917</v>
      </c>
      <c r="D535" s="37"/>
      <c r="E535" s="37"/>
      <c r="F535" s="39"/>
      <c r="G535" s="59"/>
      <c r="H535" s="59"/>
      <c r="I535" s="59"/>
      <c r="J535" s="59"/>
      <c r="K535" s="59"/>
      <c r="L535" s="59"/>
      <c r="M535" s="59"/>
      <c r="N535" s="59"/>
      <c r="O535" s="58"/>
      <c r="P535" s="48"/>
      <c r="Q535" s="48"/>
      <c r="R535" s="48"/>
      <c r="S535" s="48"/>
      <c r="T535" s="48"/>
      <c r="U535" s="48"/>
      <c r="V535" s="48"/>
      <c r="W535" s="48"/>
      <c r="X535" s="48"/>
      <c r="Y535" s="48"/>
      <c r="Z535" s="48"/>
      <c r="AA535" s="48"/>
      <c r="AB535" s="48"/>
      <c r="AC535" s="48"/>
      <c r="AD535" s="48"/>
      <c r="AE535" s="48"/>
      <c r="AF535" s="48"/>
      <c r="AG535" s="48"/>
      <c r="AH535" s="48"/>
      <c r="AI535" s="48"/>
      <c r="AJ535" s="48"/>
      <c r="AK535" s="48"/>
      <c r="AL535" s="48"/>
      <c r="AM535" s="48"/>
      <c r="AN535" s="48"/>
      <c r="AO535" s="48"/>
      <c r="AP535" s="48"/>
      <c r="AQ535" s="48"/>
      <c r="AR535" s="48"/>
      <c r="AS535" s="48"/>
      <c r="AT535" s="48"/>
      <c r="AU535" s="48"/>
      <c r="AV535" s="48"/>
      <c r="AW535" s="48"/>
      <c r="AX535" s="48"/>
      <c r="AY535" s="48"/>
      <c r="AZ535" s="48"/>
      <c r="BA535" s="48"/>
      <c r="BB535" s="48"/>
      <c r="BC535" s="48"/>
      <c r="BD535" s="48"/>
      <c r="BE535" s="48"/>
      <c r="BF535" s="48"/>
      <c r="BG535" s="48"/>
      <c r="BH535" s="48"/>
      <c r="BI535" s="48"/>
      <c r="BJ535" s="48"/>
      <c r="BK535" s="48"/>
      <c r="BL535" s="48"/>
      <c r="BM535" s="48"/>
      <c r="BN535" s="48"/>
      <c r="BO535" s="48"/>
      <c r="BP535" s="48"/>
      <c r="BQ535" s="48"/>
      <c r="BR535" s="48"/>
      <c r="BS535" s="48"/>
      <c r="BT535" s="48"/>
      <c r="BU535" s="48"/>
      <c r="BV535" s="48"/>
      <c r="BW535" s="48"/>
      <c r="BX535" s="111"/>
    </row>
    <row r="536" spans="1:76">
      <c r="A536" s="82"/>
      <c r="B536" s="82"/>
      <c r="C536" s="82" t="s">
        <v>1691</v>
      </c>
      <c r="D536" s="37"/>
      <c r="E536" s="37"/>
      <c r="F536" s="39"/>
      <c r="G536" s="59">
        <v>31</v>
      </c>
      <c r="H536" s="59">
        <f>-48-75-125</f>
        <v>-248</v>
      </c>
      <c r="I536" s="59">
        <f>-35-16</f>
        <v>-51</v>
      </c>
      <c r="J536" s="59">
        <f>26-6</f>
        <v>20</v>
      </c>
      <c r="K536" s="59">
        <v>29</v>
      </c>
      <c r="L536" s="59">
        <v>66</v>
      </c>
      <c r="M536" s="59">
        <v>-26</v>
      </c>
      <c r="N536" s="59">
        <v>1</v>
      </c>
      <c r="O536" s="36"/>
      <c r="P536" s="48"/>
      <c r="Q536" s="48"/>
      <c r="R536" s="48"/>
      <c r="S536" s="48"/>
      <c r="T536" s="48"/>
      <c r="U536" s="48"/>
      <c r="V536" s="48"/>
      <c r="W536" s="48"/>
      <c r="X536" s="48"/>
      <c r="Y536" s="48"/>
      <c r="Z536" s="48"/>
      <c r="AA536" s="48"/>
      <c r="AB536" s="48"/>
      <c r="AC536" s="48"/>
      <c r="AD536" s="48"/>
      <c r="AE536" s="48"/>
      <c r="AF536" s="48"/>
      <c r="AG536" s="48"/>
      <c r="AH536" s="48"/>
      <c r="AI536" s="48"/>
      <c r="AJ536" s="48"/>
      <c r="AK536" s="48"/>
      <c r="AL536" s="48"/>
      <c r="AM536" s="48"/>
      <c r="AN536" s="48"/>
      <c r="AO536" s="48"/>
      <c r="AP536" s="48"/>
      <c r="AQ536" s="48"/>
      <c r="AR536" s="48"/>
      <c r="AS536" s="48"/>
      <c r="AT536" s="48"/>
      <c r="AU536" s="48"/>
      <c r="AV536" s="48"/>
      <c r="AW536" s="48"/>
      <c r="AX536" s="48"/>
      <c r="AY536" s="48"/>
      <c r="AZ536" s="48"/>
      <c r="BA536" s="48"/>
      <c r="BB536" s="48"/>
      <c r="BC536" s="48"/>
      <c r="BD536" s="48"/>
      <c r="BE536" s="48"/>
      <c r="BF536" s="48"/>
      <c r="BG536" s="48"/>
      <c r="BH536" s="48"/>
      <c r="BI536" s="48"/>
      <c r="BJ536" s="48"/>
      <c r="BK536" s="48"/>
      <c r="BL536" s="48"/>
      <c r="BM536" s="48"/>
      <c r="BN536" s="48"/>
      <c r="BO536" s="48"/>
      <c r="BP536" s="48"/>
      <c r="BQ536" s="48"/>
      <c r="BR536" s="48"/>
      <c r="BS536" s="48"/>
      <c r="BT536" s="48"/>
      <c r="BU536" s="48"/>
      <c r="BV536" s="48"/>
      <c r="BW536" s="48"/>
      <c r="BX536" s="111"/>
    </row>
    <row r="537" spans="1:76">
      <c r="A537" s="82"/>
      <c r="B537" s="82"/>
      <c r="C537" s="82" t="s">
        <v>1671</v>
      </c>
      <c r="D537" s="37"/>
      <c r="E537" s="37"/>
      <c r="F537" s="39"/>
      <c r="G537" s="59">
        <v>-41</v>
      </c>
      <c r="H537" s="59">
        <v>-326</v>
      </c>
      <c r="I537" s="59">
        <v>-20</v>
      </c>
      <c r="J537" s="59">
        <v>-35</v>
      </c>
      <c r="K537" s="59">
        <v>-32</v>
      </c>
      <c r="L537" s="59">
        <v>-10</v>
      </c>
      <c r="M537" s="59">
        <v>-9</v>
      </c>
      <c r="N537" s="59">
        <v>-12</v>
      </c>
      <c r="O537" s="36"/>
      <c r="P537" s="48"/>
      <c r="Q537" s="48"/>
      <c r="R537" s="48"/>
      <c r="S537" s="48"/>
      <c r="T537" s="48"/>
      <c r="U537" s="48"/>
      <c r="V537" s="48"/>
      <c r="W537" s="48"/>
      <c r="X537" s="48"/>
      <c r="Y537" s="48"/>
      <c r="Z537" s="48"/>
      <c r="AA537" s="48"/>
      <c r="AB537" s="48"/>
      <c r="AC537" s="48"/>
      <c r="AD537" s="48"/>
      <c r="AE537" s="48"/>
      <c r="AF537" s="48"/>
      <c r="AG537" s="48"/>
      <c r="AH537" s="48"/>
      <c r="AI537" s="48"/>
      <c r="AJ537" s="48"/>
      <c r="AK537" s="48"/>
      <c r="AL537" s="48"/>
      <c r="AM537" s="48"/>
      <c r="AN537" s="48"/>
      <c r="AO537" s="48"/>
      <c r="AP537" s="48"/>
      <c r="AQ537" s="48"/>
      <c r="AR537" s="48"/>
      <c r="AS537" s="48"/>
      <c r="AT537" s="48"/>
      <c r="AU537" s="48"/>
      <c r="AV537" s="48"/>
      <c r="AW537" s="48"/>
      <c r="AX537" s="48"/>
      <c r="AY537" s="48"/>
      <c r="AZ537" s="48"/>
      <c r="BA537" s="48"/>
      <c r="BB537" s="48"/>
      <c r="BC537" s="48"/>
      <c r="BD537" s="48"/>
      <c r="BE537" s="48"/>
      <c r="BF537" s="48"/>
      <c r="BG537" s="48"/>
      <c r="BH537" s="48"/>
      <c r="BI537" s="48"/>
      <c r="BJ537" s="48"/>
      <c r="BK537" s="48"/>
      <c r="BL537" s="48"/>
      <c r="BM537" s="48"/>
      <c r="BN537" s="48"/>
      <c r="BO537" s="48"/>
      <c r="BP537" s="48"/>
      <c r="BQ537" s="48"/>
      <c r="BR537" s="48"/>
      <c r="BS537" s="48"/>
      <c r="BT537" s="48"/>
      <c r="BU537" s="48"/>
      <c r="BV537" s="48"/>
      <c r="BW537" s="48"/>
      <c r="BX537" s="111"/>
    </row>
    <row r="538" spans="1:76">
      <c r="A538" s="37"/>
      <c r="B538" s="37"/>
      <c r="C538" s="37" t="s">
        <v>1221</v>
      </c>
      <c r="D538" s="37"/>
      <c r="E538" s="37"/>
      <c r="F538" s="39"/>
      <c r="G538" s="41">
        <f>-9+546</f>
        <v>537</v>
      </c>
      <c r="H538" s="41">
        <f>-296</f>
        <v>-296</v>
      </c>
      <c r="I538" s="41">
        <f>-114</f>
        <v>-114</v>
      </c>
      <c r="J538" s="41">
        <f>3</f>
        <v>3</v>
      </c>
      <c r="K538" s="59">
        <v>0</v>
      </c>
      <c r="L538" s="41">
        <f>18</f>
        <v>18</v>
      </c>
      <c r="M538" s="41">
        <f>11+183</f>
        <v>194</v>
      </c>
      <c r="N538" s="41">
        <f>1</f>
        <v>1</v>
      </c>
      <c r="O538" s="36"/>
      <c r="P538" s="48"/>
      <c r="Q538" s="48"/>
      <c r="R538" s="48"/>
      <c r="S538" s="48"/>
      <c r="T538" s="48"/>
      <c r="U538" s="48"/>
      <c r="V538" s="48"/>
      <c r="W538" s="48"/>
      <c r="X538" s="48"/>
      <c r="Y538" s="48"/>
      <c r="Z538" s="48"/>
      <c r="AA538" s="48"/>
      <c r="AB538" s="48"/>
      <c r="AC538" s="48"/>
      <c r="AD538" s="48"/>
      <c r="AE538" s="48"/>
      <c r="AF538" s="48"/>
      <c r="AG538" s="48"/>
      <c r="AH538" s="48"/>
      <c r="AI538" s="48"/>
      <c r="AJ538" s="48"/>
      <c r="AK538" s="48"/>
      <c r="AL538" s="48"/>
      <c r="AM538" s="48"/>
      <c r="AN538" s="48"/>
      <c r="AO538" s="48"/>
      <c r="AP538" s="48"/>
      <c r="AQ538" s="48"/>
      <c r="AR538" s="48"/>
      <c r="AS538" s="48"/>
      <c r="AT538" s="48"/>
      <c r="AU538" s="48"/>
      <c r="AV538" s="48"/>
      <c r="AW538" s="48"/>
      <c r="AX538" s="48"/>
      <c r="AY538" s="48"/>
      <c r="AZ538" s="48"/>
      <c r="BA538" s="48"/>
      <c r="BB538" s="48"/>
      <c r="BC538" s="48"/>
      <c r="BD538" s="48"/>
      <c r="BE538" s="48"/>
      <c r="BF538" s="48"/>
      <c r="BG538" s="48"/>
      <c r="BH538" s="48"/>
      <c r="BI538" s="48"/>
      <c r="BJ538" s="48"/>
      <c r="BK538" s="48"/>
      <c r="BL538" s="48"/>
      <c r="BM538" s="48"/>
      <c r="BN538" s="48"/>
      <c r="BO538" s="48"/>
      <c r="BP538" s="48"/>
      <c r="BQ538" s="48"/>
      <c r="BR538" s="48"/>
      <c r="BS538" s="48"/>
      <c r="BT538" s="48"/>
      <c r="BU538" s="48"/>
      <c r="BV538" s="48"/>
      <c r="BW538" s="48"/>
      <c r="BX538" s="111"/>
    </row>
    <row r="539" spans="1:76">
      <c r="A539" s="37"/>
      <c r="B539" s="37"/>
      <c r="C539" s="37" t="s">
        <v>203</v>
      </c>
      <c r="D539" s="37"/>
      <c r="E539" s="37"/>
      <c r="F539" s="39"/>
      <c r="G539" s="59">
        <v>-3</v>
      </c>
      <c r="H539" s="59">
        <v>0</v>
      </c>
      <c r="I539" s="59">
        <v>-15</v>
      </c>
      <c r="J539" s="59">
        <v>-23</v>
      </c>
      <c r="K539" s="59">
        <v>-3</v>
      </c>
      <c r="L539" s="59">
        <v>8</v>
      </c>
      <c r="M539" s="59">
        <v>17</v>
      </c>
      <c r="N539" s="60">
        <v>9</v>
      </c>
      <c r="O539" s="61"/>
      <c r="P539" s="48"/>
      <c r="Q539" s="48"/>
      <c r="R539" s="48"/>
      <c r="S539" s="48"/>
      <c r="T539" s="48"/>
      <c r="U539" s="48"/>
      <c r="V539" s="48"/>
      <c r="W539" s="48"/>
      <c r="X539" s="48"/>
      <c r="Y539" s="48"/>
      <c r="Z539" s="48"/>
      <c r="AA539" s="48"/>
      <c r="AB539" s="48"/>
      <c r="AC539" s="48"/>
      <c r="AD539" s="48"/>
      <c r="AE539" s="48"/>
      <c r="AF539" s="48"/>
      <c r="AG539" s="48"/>
      <c r="AH539" s="48"/>
      <c r="AI539" s="48"/>
      <c r="AJ539" s="48"/>
      <c r="AK539" s="48"/>
      <c r="AL539" s="48"/>
      <c r="AM539" s="48"/>
      <c r="AN539" s="48"/>
      <c r="AO539" s="48"/>
      <c r="AP539" s="48"/>
      <c r="AQ539" s="48"/>
      <c r="AR539" s="48"/>
      <c r="AS539" s="48"/>
      <c r="AT539" s="48"/>
      <c r="AU539" s="48"/>
      <c r="AV539" s="48"/>
      <c r="AW539" s="48"/>
      <c r="AX539" s="48"/>
      <c r="AY539" s="48"/>
      <c r="AZ539" s="48"/>
      <c r="BA539" s="48"/>
      <c r="BB539" s="48"/>
      <c r="BC539" s="48"/>
      <c r="BD539" s="48"/>
      <c r="BE539" s="48"/>
      <c r="BF539" s="48"/>
      <c r="BG539" s="48"/>
      <c r="BH539" s="48"/>
      <c r="BI539" s="48"/>
      <c r="BJ539" s="48"/>
      <c r="BK539" s="48"/>
      <c r="BL539" s="48"/>
      <c r="BM539" s="48"/>
      <c r="BN539" s="48"/>
      <c r="BO539" s="48"/>
      <c r="BP539" s="48"/>
      <c r="BQ539" s="48"/>
      <c r="BR539" s="48"/>
      <c r="BS539" s="48"/>
      <c r="BT539" s="48"/>
      <c r="BU539" s="48"/>
      <c r="BV539" s="48"/>
      <c r="BW539" s="48"/>
      <c r="BX539" s="111"/>
    </row>
    <row r="540" spans="1:76">
      <c r="A540" s="37"/>
      <c r="B540" s="37"/>
      <c r="C540" s="37" t="s">
        <v>1459</v>
      </c>
      <c r="D540" s="37"/>
      <c r="E540" s="37"/>
      <c r="F540" s="39"/>
      <c r="G540" s="59"/>
      <c r="H540" s="59"/>
      <c r="I540" s="59"/>
      <c r="J540" s="59"/>
      <c r="K540" s="59"/>
      <c r="L540" s="59"/>
      <c r="M540" s="59"/>
      <c r="N540" s="60"/>
      <c r="O540" s="36"/>
      <c r="P540" s="48"/>
      <c r="Q540" s="48"/>
      <c r="R540" s="48"/>
      <c r="S540" s="48"/>
      <c r="T540" s="48"/>
      <c r="U540" s="48"/>
      <c r="V540" s="48"/>
      <c r="W540" s="48"/>
      <c r="X540" s="48"/>
      <c r="Y540" s="48"/>
      <c r="Z540" s="48"/>
      <c r="AA540" s="48"/>
      <c r="AB540" s="48"/>
      <c r="AC540" s="48"/>
      <c r="AD540" s="48"/>
      <c r="AE540" s="48"/>
      <c r="AF540" s="48"/>
      <c r="AG540" s="48"/>
      <c r="AH540" s="48"/>
      <c r="AI540" s="48"/>
      <c r="AJ540" s="48"/>
      <c r="AK540" s="48"/>
      <c r="AL540" s="48"/>
      <c r="AM540" s="48"/>
      <c r="AN540" s="48"/>
      <c r="AO540" s="48"/>
      <c r="AP540" s="48"/>
      <c r="AQ540" s="48"/>
      <c r="AR540" s="48"/>
      <c r="AS540" s="48"/>
      <c r="AT540" s="48"/>
      <c r="AU540" s="48"/>
      <c r="AV540" s="48"/>
      <c r="AW540" s="48"/>
      <c r="AX540" s="48"/>
      <c r="AY540" s="48"/>
      <c r="AZ540" s="48"/>
      <c r="BA540" s="48"/>
      <c r="BB540" s="48"/>
      <c r="BC540" s="48"/>
      <c r="BD540" s="48"/>
      <c r="BE540" s="48"/>
      <c r="BF540" s="48"/>
      <c r="BG540" s="48"/>
      <c r="BH540" s="48"/>
      <c r="BI540" s="48"/>
      <c r="BJ540" s="48"/>
      <c r="BK540" s="48"/>
      <c r="BL540" s="48"/>
      <c r="BM540" s="48"/>
      <c r="BN540" s="48"/>
      <c r="BO540" s="48"/>
      <c r="BP540" s="48"/>
      <c r="BQ540" s="48"/>
      <c r="BR540" s="48"/>
      <c r="BS540" s="48"/>
      <c r="BT540" s="48"/>
      <c r="BU540" s="48"/>
      <c r="BV540" s="48"/>
      <c r="BW540" s="48"/>
      <c r="BX540" s="111"/>
    </row>
    <row r="541" spans="1:76">
      <c r="A541" s="82"/>
      <c r="B541" s="82"/>
      <c r="C541" s="82" t="s">
        <v>1460</v>
      </c>
      <c r="D541" s="37"/>
      <c r="E541" s="37"/>
      <c r="F541" s="39"/>
      <c r="G541" s="59"/>
      <c r="H541" s="59"/>
      <c r="I541" s="59"/>
      <c r="J541" s="59"/>
      <c r="K541" s="59"/>
      <c r="L541" s="59"/>
      <c r="M541" s="59"/>
      <c r="N541" s="60"/>
      <c r="O541" s="36"/>
      <c r="P541" s="48"/>
      <c r="Q541" s="48"/>
      <c r="R541" s="48"/>
      <c r="S541" s="48"/>
      <c r="T541" s="48"/>
      <c r="U541" s="48"/>
      <c r="V541" s="48"/>
      <c r="W541" s="48"/>
      <c r="X541" s="48"/>
      <c r="Y541" s="48"/>
      <c r="Z541" s="48"/>
      <c r="AA541" s="48"/>
      <c r="AB541" s="48"/>
      <c r="AC541" s="48"/>
      <c r="AD541" s="48"/>
      <c r="AE541" s="48"/>
      <c r="AF541" s="48"/>
      <c r="AG541" s="48"/>
      <c r="AH541" s="48"/>
      <c r="AI541" s="48"/>
      <c r="AJ541" s="48"/>
      <c r="AK541" s="48"/>
      <c r="AL541" s="48"/>
      <c r="AM541" s="48"/>
      <c r="AN541" s="48"/>
      <c r="AO541" s="48"/>
      <c r="AP541" s="48"/>
      <c r="AQ541" s="48"/>
      <c r="AR541" s="48"/>
      <c r="AS541" s="48"/>
      <c r="AT541" s="48"/>
      <c r="AU541" s="48"/>
      <c r="AV541" s="48"/>
      <c r="AW541" s="48"/>
      <c r="AX541" s="48"/>
      <c r="AY541" s="48"/>
      <c r="AZ541" s="48"/>
      <c r="BA541" s="48"/>
      <c r="BB541" s="48"/>
      <c r="BC541" s="48"/>
      <c r="BD541" s="48"/>
      <c r="BE541" s="48"/>
      <c r="BF541" s="48"/>
      <c r="BG541" s="48"/>
      <c r="BH541" s="48"/>
      <c r="BI541" s="48"/>
      <c r="BJ541" s="48"/>
      <c r="BK541" s="48"/>
      <c r="BL541" s="48"/>
      <c r="BM541" s="48"/>
      <c r="BN541" s="48"/>
      <c r="BO541" s="48"/>
      <c r="BP541" s="48"/>
      <c r="BQ541" s="48"/>
      <c r="BR541" s="48"/>
      <c r="BS541" s="48"/>
      <c r="BT541" s="48"/>
      <c r="BU541" s="48"/>
      <c r="BV541" s="48"/>
      <c r="BW541" s="48"/>
      <c r="BX541" s="111"/>
    </row>
    <row r="542" spans="1:76">
      <c r="A542" s="44"/>
      <c r="B542" s="44" t="s">
        <v>1461</v>
      </c>
      <c r="C542" s="44"/>
      <c r="D542" s="44"/>
      <c r="E542" s="44"/>
      <c r="F542" s="45"/>
      <c r="G542" s="45"/>
      <c r="H542" s="45"/>
      <c r="I542" s="45"/>
      <c r="J542" s="45"/>
      <c r="K542" s="45"/>
      <c r="L542" s="45"/>
      <c r="M542" s="45"/>
      <c r="N542" s="46"/>
      <c r="O542" s="47"/>
      <c r="P542" s="46"/>
      <c r="Q542" s="46"/>
      <c r="R542" s="46"/>
      <c r="S542" s="46"/>
      <c r="T542" s="46"/>
      <c r="U542" s="46"/>
      <c r="V542" s="46"/>
      <c r="W542" s="46"/>
      <c r="X542" s="46"/>
      <c r="Y542" s="46"/>
      <c r="Z542" s="46"/>
      <c r="AA542" s="46"/>
      <c r="AB542" s="46"/>
      <c r="AC542" s="46"/>
      <c r="AD542" s="46"/>
      <c r="AE542" s="46"/>
      <c r="AF542" s="46"/>
      <c r="AG542" s="46"/>
      <c r="AH542" s="46"/>
      <c r="AI542" s="46"/>
      <c r="AJ542" s="46"/>
      <c r="AK542" s="46"/>
      <c r="AL542" s="46"/>
      <c r="AM542" s="46"/>
      <c r="AN542" s="46"/>
      <c r="AO542" s="46"/>
      <c r="AP542" s="46"/>
      <c r="AQ542" s="46"/>
      <c r="AR542" s="46"/>
      <c r="AS542" s="46"/>
      <c r="AT542" s="46"/>
      <c r="AU542" s="46"/>
      <c r="AV542" s="46"/>
      <c r="AW542" s="46"/>
      <c r="AX542" s="46"/>
      <c r="AY542" s="46"/>
      <c r="AZ542" s="46"/>
      <c r="BA542" s="46"/>
      <c r="BB542" s="46"/>
      <c r="BC542" s="46"/>
      <c r="BD542" s="46"/>
      <c r="BE542" s="46"/>
      <c r="BF542" s="46"/>
      <c r="BG542" s="46"/>
      <c r="BH542" s="46"/>
      <c r="BI542" s="46"/>
      <c r="BJ542" s="46"/>
      <c r="BK542" s="46"/>
      <c r="BL542" s="46"/>
      <c r="BM542" s="46"/>
      <c r="BN542" s="46"/>
      <c r="BO542" s="46"/>
      <c r="BP542" s="46"/>
      <c r="BQ542" s="46"/>
      <c r="BR542" s="46"/>
      <c r="BS542" s="46"/>
      <c r="BT542" s="46"/>
      <c r="BU542" s="46"/>
      <c r="BV542" s="46"/>
      <c r="BW542" s="46"/>
      <c r="BX542" s="110"/>
    </row>
    <row r="543" spans="1:76">
      <c r="A543" s="52"/>
      <c r="B543" s="52"/>
      <c r="C543" s="52" t="s">
        <v>1462</v>
      </c>
      <c r="D543" s="52"/>
      <c r="E543" s="52"/>
      <c r="F543" s="53"/>
      <c r="G543" s="53">
        <v>0</v>
      </c>
      <c r="H543" s="53">
        <f>353-H247</f>
        <v>336</v>
      </c>
      <c r="I543" s="53">
        <f>117-I247</f>
        <v>112</v>
      </c>
      <c r="J543" s="53">
        <v>139</v>
      </c>
      <c r="K543" s="53">
        <v>162</v>
      </c>
      <c r="L543" s="53">
        <v>170</v>
      </c>
      <c r="M543" s="53">
        <v>172</v>
      </c>
      <c r="N543" s="55">
        <v>176</v>
      </c>
      <c r="O543" s="54"/>
      <c r="P543" s="55"/>
      <c r="Q543" s="55"/>
      <c r="R543" s="55"/>
      <c r="S543" s="55"/>
      <c r="T543" s="55"/>
      <c r="U543" s="55"/>
      <c r="V543" s="55"/>
      <c r="W543" s="55"/>
      <c r="X543" s="55"/>
      <c r="Y543" s="55"/>
      <c r="Z543" s="55"/>
      <c r="AA543" s="55"/>
      <c r="AB543" s="55"/>
      <c r="AC543" s="55"/>
      <c r="AD543" s="55"/>
      <c r="AE543" s="55"/>
      <c r="AF543" s="55"/>
      <c r="AG543" s="55"/>
      <c r="AH543" s="55"/>
      <c r="AI543" s="55"/>
      <c r="AJ543" s="55"/>
      <c r="AK543" s="55"/>
      <c r="AL543" s="55"/>
      <c r="AM543" s="55"/>
      <c r="AN543" s="55"/>
      <c r="AO543" s="55"/>
      <c r="AP543" s="55"/>
      <c r="AQ543" s="55"/>
      <c r="AR543" s="55"/>
      <c r="AS543" s="55"/>
      <c r="AT543" s="55"/>
      <c r="AU543" s="55"/>
      <c r="AV543" s="55"/>
      <c r="AW543" s="55"/>
      <c r="AX543" s="55"/>
      <c r="AY543" s="55"/>
      <c r="AZ543" s="55"/>
      <c r="BA543" s="55"/>
      <c r="BB543" s="55"/>
      <c r="BC543" s="55"/>
      <c r="BD543" s="55"/>
      <c r="BE543" s="55"/>
      <c r="BF543" s="55"/>
      <c r="BG543" s="55"/>
      <c r="BH543" s="55"/>
      <c r="BI543" s="55"/>
      <c r="BJ543" s="55"/>
      <c r="BK543" s="55"/>
      <c r="BL543" s="55"/>
      <c r="BM543" s="55"/>
      <c r="BN543" s="55"/>
      <c r="BO543" s="55"/>
      <c r="BP543" s="55"/>
      <c r="BQ543" s="55"/>
      <c r="BR543" s="55"/>
      <c r="BS543" s="55"/>
      <c r="BT543" s="55"/>
      <c r="BU543" s="55"/>
      <c r="BV543" s="55"/>
      <c r="BW543" s="55"/>
      <c r="BX543" s="112"/>
    </row>
    <row r="544" spans="1:76">
      <c r="A544" s="37"/>
      <c r="B544" s="37"/>
      <c r="C544" s="37" t="s">
        <v>1463</v>
      </c>
      <c r="D544" s="37"/>
      <c r="E544" s="37"/>
      <c r="F544" s="39"/>
      <c r="G544" s="59"/>
      <c r="H544" s="59"/>
      <c r="I544" s="59"/>
      <c r="J544" s="59"/>
      <c r="K544" s="59"/>
      <c r="L544" s="59"/>
      <c r="M544" s="59"/>
      <c r="N544" s="60"/>
      <c r="O544" s="36"/>
      <c r="P544" s="48"/>
      <c r="Q544" s="48"/>
      <c r="R544" s="48"/>
      <c r="S544" s="48"/>
      <c r="T544" s="48"/>
      <c r="U544" s="48"/>
      <c r="V544" s="48"/>
      <c r="W544" s="48"/>
      <c r="X544" s="48"/>
      <c r="Y544" s="48"/>
      <c r="Z544" s="48"/>
      <c r="AA544" s="48"/>
      <c r="AB544" s="48"/>
      <c r="AC544" s="48"/>
      <c r="AD544" s="48"/>
      <c r="AE544" s="48"/>
      <c r="AF544" s="48"/>
      <c r="AG544" s="48"/>
      <c r="AH544" s="48"/>
      <c r="AI544" s="48"/>
      <c r="AJ544" s="48"/>
      <c r="AK544" s="48"/>
      <c r="AL544" s="48"/>
      <c r="AM544" s="48"/>
      <c r="AN544" s="48"/>
      <c r="AO544" s="48"/>
      <c r="AP544" s="48"/>
      <c r="AQ544" s="48"/>
      <c r="AR544" s="48"/>
      <c r="AS544" s="48"/>
      <c r="AT544" s="48"/>
      <c r="AU544" s="48"/>
      <c r="AV544" s="48"/>
      <c r="AW544" s="48"/>
      <c r="AX544" s="48"/>
      <c r="AY544" s="48"/>
      <c r="AZ544" s="48"/>
      <c r="BA544" s="48"/>
      <c r="BB544" s="48"/>
      <c r="BC544" s="48"/>
      <c r="BD544" s="48"/>
      <c r="BE544" s="48"/>
      <c r="BF544" s="48"/>
      <c r="BG544" s="48"/>
      <c r="BH544" s="48"/>
      <c r="BI544" s="48"/>
      <c r="BJ544" s="48"/>
      <c r="BK544" s="48"/>
      <c r="BL544" s="48"/>
      <c r="BM544" s="48"/>
      <c r="BN544" s="48"/>
      <c r="BO544" s="48"/>
      <c r="BP544" s="48"/>
      <c r="BQ544" s="48"/>
      <c r="BR544" s="48"/>
      <c r="BS544" s="48"/>
      <c r="BT544" s="48"/>
      <c r="BU544" s="48"/>
      <c r="BV544" s="48"/>
      <c r="BW544" s="48"/>
      <c r="BX544" s="111"/>
    </row>
    <row r="545" spans="1:76">
      <c r="A545" s="52"/>
      <c r="B545" s="52"/>
      <c r="C545" s="52" t="s">
        <v>689</v>
      </c>
      <c r="D545" s="52"/>
      <c r="E545" s="52"/>
      <c r="F545" s="53"/>
      <c r="G545" s="118">
        <v>0</v>
      </c>
      <c r="H545" s="53">
        <f t="shared" ref="H545:N545" si="83">IF(AND(OR(ISTEXT(H546), ISBLANK(H546)),OR(ISTEXT(H552), ISBLANK(H552)),TRUE),"", +IF(ISTEXT(H546), 0,H546)-IF(ISTEXT(H552), 0,H552))</f>
        <v>1638</v>
      </c>
      <c r="I545" s="53">
        <f t="shared" si="83"/>
        <v>210</v>
      </c>
      <c r="J545" s="53">
        <f t="shared" si="83"/>
        <v>12</v>
      </c>
      <c r="K545" s="53">
        <f t="shared" si="83"/>
        <v>59</v>
      </c>
      <c r="L545" s="53">
        <f t="shared" si="83"/>
        <v>56</v>
      </c>
      <c r="M545" s="53">
        <f t="shared" si="83"/>
        <v>52</v>
      </c>
      <c r="N545" s="55">
        <f t="shared" si="83"/>
        <v>164</v>
      </c>
      <c r="O545" s="54"/>
      <c r="P545" s="55"/>
      <c r="Q545" s="55"/>
      <c r="R545" s="55"/>
      <c r="S545" s="55"/>
      <c r="T545" s="55"/>
      <c r="U545" s="55"/>
      <c r="V545" s="55"/>
      <c r="W545" s="55"/>
      <c r="X545" s="55"/>
      <c r="Y545" s="55"/>
      <c r="Z545" s="55"/>
      <c r="AA545" s="55"/>
      <c r="AB545" s="55"/>
      <c r="AC545" s="55"/>
      <c r="AD545" s="55"/>
      <c r="AE545" s="55"/>
      <c r="AF545" s="55"/>
      <c r="AG545" s="55"/>
      <c r="AH545" s="55"/>
      <c r="AI545" s="55"/>
      <c r="AJ545" s="55"/>
      <c r="AK545" s="55"/>
      <c r="AL545" s="55"/>
      <c r="AM545" s="55"/>
      <c r="AN545" s="55"/>
      <c r="AO545" s="55"/>
      <c r="AP545" s="55"/>
      <c r="AQ545" s="55"/>
      <c r="AR545" s="55"/>
      <c r="AS545" s="55"/>
      <c r="AT545" s="55"/>
      <c r="AU545" s="55"/>
      <c r="AV545" s="55"/>
      <c r="AW545" s="55"/>
      <c r="AX545" s="55"/>
      <c r="AY545" s="55"/>
      <c r="AZ545" s="55"/>
      <c r="BA545" s="55"/>
      <c r="BB545" s="55"/>
      <c r="BC545" s="55"/>
      <c r="BD545" s="55"/>
      <c r="BE545" s="55"/>
      <c r="BF545" s="55"/>
      <c r="BG545" s="55"/>
      <c r="BH545" s="55"/>
      <c r="BI545" s="55"/>
      <c r="BJ545" s="55"/>
      <c r="BK545" s="55"/>
      <c r="BL545" s="55"/>
      <c r="BM545" s="55"/>
      <c r="BN545" s="55"/>
      <c r="BO545" s="55"/>
      <c r="BP545" s="55"/>
      <c r="BQ545" s="55"/>
      <c r="BR545" s="55"/>
      <c r="BS545" s="55"/>
      <c r="BT545" s="55"/>
      <c r="BU545" s="55"/>
      <c r="BV545" s="55"/>
      <c r="BW545" s="55"/>
      <c r="BX545" s="112"/>
    </row>
    <row r="546" spans="1:76">
      <c r="A546" s="37"/>
      <c r="B546" s="37"/>
      <c r="C546" s="37"/>
      <c r="D546" s="37" t="s">
        <v>690</v>
      </c>
      <c r="E546" s="37"/>
      <c r="F546" s="39"/>
      <c r="G546" s="39">
        <f t="shared" ref="G546:N546" si="84">IF(AND(OR(ISTEXT(G547), ISBLANK(G547)),OR(ISTEXT(G548), ISBLANK(G548)),OR(ISTEXT(G549), ISBLANK(G549)),OR(ISTEXT(G550), ISBLANK(G550)),OR(ISTEXT(G551), ISBLANK(G551)),TRUE),"", +IF(ISTEXT(G547), 0,G547)+IF(ISTEXT(G548), 0,G548)+IF(ISTEXT(G549), 0,G549)+IF(ISTEXT(G550), 0,G550)+IF(ISTEXT(G551), 0,G551))</f>
        <v>39</v>
      </c>
      <c r="H546" s="39">
        <f t="shared" si="84"/>
        <v>2009</v>
      </c>
      <c r="I546" s="39">
        <f t="shared" si="84"/>
        <v>274</v>
      </c>
      <c r="J546" s="39">
        <f t="shared" si="84"/>
        <v>81</v>
      </c>
      <c r="K546" s="39">
        <f t="shared" si="84"/>
        <v>155</v>
      </c>
      <c r="L546" s="39">
        <f t="shared" si="84"/>
        <v>56</v>
      </c>
      <c r="M546" s="39">
        <f t="shared" si="84"/>
        <v>80</v>
      </c>
      <c r="N546" s="48">
        <f t="shared" si="84"/>
        <v>474</v>
      </c>
      <c r="O546" s="58"/>
      <c r="P546" s="48"/>
      <c r="Q546" s="48"/>
      <c r="R546" s="48"/>
      <c r="S546" s="48"/>
      <c r="T546" s="48"/>
      <c r="U546" s="48"/>
      <c r="V546" s="48"/>
      <c r="W546" s="48"/>
      <c r="X546" s="48"/>
      <c r="Y546" s="48"/>
      <c r="Z546" s="48"/>
      <c r="AA546" s="48"/>
      <c r="AB546" s="48"/>
      <c r="AC546" s="48"/>
      <c r="AD546" s="48"/>
      <c r="AE546" s="48"/>
      <c r="AF546" s="48"/>
      <c r="AG546" s="48"/>
      <c r="AH546" s="48"/>
      <c r="AI546" s="48"/>
      <c r="AJ546" s="48"/>
      <c r="AK546" s="48"/>
      <c r="AL546" s="48"/>
      <c r="AM546" s="48"/>
      <c r="AN546" s="48"/>
      <c r="AO546" s="48"/>
      <c r="AP546" s="48"/>
      <c r="AQ546" s="48"/>
      <c r="AR546" s="48"/>
      <c r="AS546" s="48"/>
      <c r="AT546" s="48"/>
      <c r="AU546" s="48"/>
      <c r="AV546" s="48"/>
      <c r="AW546" s="48"/>
      <c r="AX546" s="48"/>
      <c r="AY546" s="48"/>
      <c r="AZ546" s="48"/>
      <c r="BA546" s="48"/>
      <c r="BB546" s="48"/>
      <c r="BC546" s="48"/>
      <c r="BD546" s="48"/>
      <c r="BE546" s="48"/>
      <c r="BF546" s="48"/>
      <c r="BG546" s="48"/>
      <c r="BH546" s="48"/>
      <c r="BI546" s="48"/>
      <c r="BJ546" s="48"/>
      <c r="BK546" s="48"/>
      <c r="BL546" s="48"/>
      <c r="BM546" s="48"/>
      <c r="BN546" s="48"/>
      <c r="BO546" s="48"/>
      <c r="BP546" s="48"/>
      <c r="BQ546" s="48"/>
      <c r="BR546" s="48"/>
      <c r="BS546" s="48"/>
      <c r="BT546" s="48"/>
      <c r="BU546" s="48"/>
      <c r="BV546" s="48"/>
      <c r="BW546" s="48"/>
      <c r="BX546" s="111"/>
    </row>
    <row r="547" spans="1:76">
      <c r="A547" s="37"/>
      <c r="B547" s="37"/>
      <c r="C547" s="37"/>
      <c r="D547" s="37"/>
      <c r="E547" s="37" t="s">
        <v>691</v>
      </c>
      <c r="F547" s="39"/>
      <c r="G547" s="59">
        <v>39</v>
      </c>
      <c r="H547" s="85">
        <f>32-1</f>
        <v>31</v>
      </c>
      <c r="I547" s="59">
        <f>12-4</f>
        <v>8</v>
      </c>
      <c r="J547" s="59">
        <f>47+1</f>
        <v>48</v>
      </c>
      <c r="K547" s="59">
        <f>86-12</f>
        <v>74</v>
      </c>
      <c r="L547" s="59">
        <f>1-L550+52+2</f>
        <v>49</v>
      </c>
      <c r="M547" s="59">
        <f>8-M550+67+5</f>
        <v>75</v>
      </c>
      <c r="N547" s="60">
        <f>12+456-5-70</f>
        <v>393</v>
      </c>
      <c r="O547" s="36"/>
      <c r="P547" s="48"/>
      <c r="Q547" s="48"/>
      <c r="R547" s="48"/>
      <c r="S547" s="48"/>
      <c r="T547" s="48"/>
      <c r="U547" s="48"/>
      <c r="V547" s="48"/>
      <c r="W547" s="48"/>
      <c r="X547" s="48"/>
      <c r="Y547" s="48"/>
      <c r="Z547" s="48"/>
      <c r="AA547" s="48"/>
      <c r="AB547" s="48"/>
      <c r="AC547" s="48"/>
      <c r="AD547" s="48"/>
      <c r="AE547" s="48"/>
      <c r="AF547" s="48"/>
      <c r="AG547" s="48"/>
      <c r="AH547" s="48"/>
      <c r="AI547" s="48"/>
      <c r="AJ547" s="48"/>
      <c r="AK547" s="48"/>
      <c r="AL547" s="48"/>
      <c r="AM547" s="48"/>
      <c r="AN547" s="48"/>
      <c r="AO547" s="48"/>
      <c r="AP547" s="48"/>
      <c r="AQ547" s="48"/>
      <c r="AR547" s="48"/>
      <c r="AS547" s="48"/>
      <c r="AT547" s="48"/>
      <c r="AU547" s="48"/>
      <c r="AV547" s="48"/>
      <c r="AW547" s="48"/>
      <c r="AX547" s="48"/>
      <c r="AY547" s="48"/>
      <c r="AZ547" s="48"/>
      <c r="BA547" s="48"/>
      <c r="BB547" s="48"/>
      <c r="BC547" s="48"/>
      <c r="BD547" s="48"/>
      <c r="BE547" s="48"/>
      <c r="BF547" s="48"/>
      <c r="BG547" s="48"/>
      <c r="BH547" s="48"/>
      <c r="BI547" s="48"/>
      <c r="BJ547" s="48"/>
      <c r="BK547" s="48"/>
      <c r="BL547" s="48"/>
      <c r="BM547" s="48"/>
      <c r="BN547" s="48"/>
      <c r="BO547" s="48"/>
      <c r="BP547" s="48"/>
      <c r="BQ547" s="48"/>
      <c r="BR547" s="48"/>
      <c r="BS547" s="48"/>
      <c r="BT547" s="48"/>
      <c r="BU547" s="48"/>
      <c r="BV547" s="48"/>
      <c r="BW547" s="48"/>
      <c r="BX547" s="111"/>
    </row>
    <row r="548" spans="1:76">
      <c r="A548" s="37"/>
      <c r="B548" s="37"/>
      <c r="C548" s="37"/>
      <c r="D548" s="37"/>
      <c r="E548" s="37" t="s">
        <v>692</v>
      </c>
      <c r="F548" s="39"/>
      <c r="G548" s="59"/>
      <c r="H548" s="59">
        <f>4022+50+2</f>
        <v>4074</v>
      </c>
      <c r="I548" s="59">
        <f>14+248</f>
        <v>262</v>
      </c>
      <c r="J548" s="59">
        <v>20</v>
      </c>
      <c r="K548" s="59">
        <v>81</v>
      </c>
      <c r="L548" s="59">
        <v>1</v>
      </c>
      <c r="M548" s="59"/>
      <c r="N548" s="60">
        <v>11</v>
      </c>
      <c r="O548" s="58"/>
      <c r="P548" s="48"/>
      <c r="Q548" s="48"/>
      <c r="R548" s="48"/>
      <c r="S548" s="48"/>
      <c r="T548" s="48"/>
      <c r="U548" s="48"/>
      <c r="V548" s="48"/>
      <c r="W548" s="48"/>
      <c r="X548" s="48"/>
      <c r="Y548" s="48"/>
      <c r="Z548" s="48"/>
      <c r="AA548" s="48"/>
      <c r="AB548" s="48"/>
      <c r="AC548" s="48"/>
      <c r="AD548" s="48"/>
      <c r="AE548" s="48"/>
      <c r="AF548" s="48"/>
      <c r="AG548" s="48"/>
      <c r="AH548" s="48"/>
      <c r="AI548" s="48"/>
      <c r="AJ548" s="48"/>
      <c r="AK548" s="48"/>
      <c r="AL548" s="48"/>
      <c r="AM548" s="48"/>
      <c r="AN548" s="48"/>
      <c r="AO548" s="48"/>
      <c r="AP548" s="48"/>
      <c r="AQ548" s="48"/>
      <c r="AR548" s="48"/>
      <c r="AS548" s="48"/>
      <c r="AT548" s="48"/>
      <c r="AU548" s="48"/>
      <c r="AV548" s="48"/>
      <c r="AW548" s="48"/>
      <c r="AX548" s="48"/>
      <c r="AY548" s="48"/>
      <c r="AZ548" s="48"/>
      <c r="BA548" s="48"/>
      <c r="BB548" s="48"/>
      <c r="BC548" s="48"/>
      <c r="BD548" s="48"/>
      <c r="BE548" s="48"/>
      <c r="BF548" s="48"/>
      <c r="BG548" s="48"/>
      <c r="BH548" s="48"/>
      <c r="BI548" s="48"/>
      <c r="BJ548" s="48"/>
      <c r="BK548" s="48"/>
      <c r="BL548" s="48"/>
      <c r="BM548" s="48"/>
      <c r="BN548" s="48"/>
      <c r="BO548" s="48"/>
      <c r="BP548" s="48"/>
      <c r="BQ548" s="48"/>
      <c r="BR548" s="48"/>
      <c r="BS548" s="48"/>
      <c r="BT548" s="48"/>
      <c r="BU548" s="48"/>
      <c r="BV548" s="48"/>
      <c r="BW548" s="48"/>
      <c r="BX548" s="111"/>
    </row>
    <row r="549" spans="1:76">
      <c r="A549" s="37"/>
      <c r="B549" s="37"/>
      <c r="C549" s="37"/>
      <c r="D549" s="37"/>
      <c r="E549" s="37" t="s">
        <v>693</v>
      </c>
      <c r="F549" s="39"/>
      <c r="G549" s="59"/>
      <c r="H549" s="59"/>
      <c r="I549" s="59"/>
      <c r="J549" s="59"/>
      <c r="K549" s="59"/>
      <c r="L549" s="59"/>
      <c r="M549" s="59"/>
      <c r="N549" s="60"/>
      <c r="O549" s="36"/>
      <c r="P549" s="48"/>
      <c r="Q549" s="48"/>
      <c r="R549" s="48"/>
      <c r="S549" s="48"/>
      <c r="T549" s="48"/>
      <c r="U549" s="48"/>
      <c r="V549" s="48"/>
      <c r="W549" s="48"/>
      <c r="X549" s="48"/>
      <c r="Y549" s="48"/>
      <c r="Z549" s="48"/>
      <c r="AA549" s="48"/>
      <c r="AB549" s="48"/>
      <c r="AC549" s="48"/>
      <c r="AD549" s="48"/>
      <c r="AE549" s="48"/>
      <c r="AF549" s="48"/>
      <c r="AG549" s="48"/>
      <c r="AH549" s="48"/>
      <c r="AI549" s="48"/>
      <c r="AJ549" s="48"/>
      <c r="AK549" s="48"/>
      <c r="AL549" s="48"/>
      <c r="AM549" s="48"/>
      <c r="AN549" s="48"/>
      <c r="AO549" s="48"/>
      <c r="AP549" s="48"/>
      <c r="AQ549" s="48"/>
      <c r="AR549" s="48"/>
      <c r="AS549" s="48"/>
      <c r="AT549" s="48"/>
      <c r="AU549" s="48"/>
      <c r="AV549" s="48"/>
      <c r="AW549" s="48"/>
      <c r="AX549" s="48"/>
      <c r="AY549" s="48"/>
      <c r="AZ549" s="48"/>
      <c r="BA549" s="48"/>
      <c r="BB549" s="48"/>
      <c r="BC549" s="48"/>
      <c r="BD549" s="48"/>
      <c r="BE549" s="48"/>
      <c r="BF549" s="48"/>
      <c r="BG549" s="48"/>
      <c r="BH549" s="48"/>
      <c r="BI549" s="48"/>
      <c r="BJ549" s="48"/>
      <c r="BK549" s="48"/>
      <c r="BL549" s="48"/>
      <c r="BM549" s="48"/>
      <c r="BN549" s="48"/>
      <c r="BO549" s="48"/>
      <c r="BP549" s="48"/>
      <c r="BQ549" s="48"/>
      <c r="BR549" s="48"/>
      <c r="BS549" s="48"/>
      <c r="BT549" s="48"/>
      <c r="BU549" s="48"/>
      <c r="BV549" s="48"/>
      <c r="BW549" s="48"/>
      <c r="BX549" s="111"/>
    </row>
    <row r="550" spans="1:76">
      <c r="A550" s="37"/>
      <c r="B550" s="37"/>
      <c r="C550" s="37"/>
      <c r="D550" s="37"/>
      <c r="E550" s="37" t="s">
        <v>1148</v>
      </c>
      <c r="F550" s="39"/>
      <c r="G550" s="59"/>
      <c r="H550" s="59"/>
      <c r="I550" s="59"/>
      <c r="J550" s="59"/>
      <c r="K550" s="59"/>
      <c r="L550" s="59">
        <v>6</v>
      </c>
      <c r="M550" s="59">
        <v>5</v>
      </c>
      <c r="N550" s="59">
        <v>70</v>
      </c>
      <c r="O550" s="58"/>
      <c r="P550" s="48"/>
      <c r="Q550" s="48"/>
      <c r="R550" s="48"/>
      <c r="S550" s="48"/>
      <c r="T550" s="48"/>
      <c r="U550" s="48"/>
      <c r="V550" s="48"/>
      <c r="W550" s="48"/>
      <c r="X550" s="48"/>
      <c r="Y550" s="48"/>
      <c r="Z550" s="48"/>
      <c r="AA550" s="48"/>
      <c r="AB550" s="48"/>
      <c r="AC550" s="48"/>
      <c r="AD550" s="48"/>
      <c r="AE550" s="48"/>
      <c r="AF550" s="48"/>
      <c r="AG550" s="48"/>
      <c r="AH550" s="48"/>
      <c r="AI550" s="48"/>
      <c r="AJ550" s="48"/>
      <c r="AK550" s="48"/>
      <c r="AL550" s="48"/>
      <c r="AM550" s="48"/>
      <c r="AN550" s="48"/>
      <c r="AO550" s="48"/>
      <c r="AP550" s="48"/>
      <c r="AQ550" s="48"/>
      <c r="AR550" s="48"/>
      <c r="AS550" s="48"/>
      <c r="AT550" s="48"/>
      <c r="AU550" s="48"/>
      <c r="AV550" s="48"/>
      <c r="AW550" s="48"/>
      <c r="AX550" s="48"/>
      <c r="AY550" s="48"/>
      <c r="AZ550" s="48"/>
      <c r="BA550" s="48"/>
      <c r="BB550" s="48"/>
      <c r="BC550" s="48"/>
      <c r="BD550" s="48"/>
      <c r="BE550" s="48"/>
      <c r="BF550" s="48"/>
      <c r="BG550" s="48"/>
      <c r="BH550" s="48"/>
      <c r="BI550" s="48"/>
      <c r="BJ550" s="48"/>
      <c r="BK550" s="48"/>
      <c r="BL550" s="48"/>
      <c r="BM550" s="48"/>
      <c r="BN550" s="48"/>
      <c r="BO550" s="48"/>
      <c r="BP550" s="48"/>
      <c r="BQ550" s="48"/>
      <c r="BR550" s="48"/>
      <c r="BS550" s="48"/>
      <c r="BT550" s="48"/>
      <c r="BU550" s="48"/>
      <c r="BV550" s="48"/>
      <c r="BW550" s="48"/>
      <c r="BX550" s="111"/>
    </row>
    <row r="551" spans="1:76">
      <c r="A551" s="37"/>
      <c r="B551" s="37"/>
      <c r="C551" s="37"/>
      <c r="D551" s="37"/>
      <c r="E551" s="37" t="s">
        <v>1427</v>
      </c>
      <c r="F551" s="39"/>
      <c r="G551" s="59"/>
      <c r="H551" s="59">
        <f>-2144-30+78</f>
        <v>-2096</v>
      </c>
      <c r="I551" s="59">
        <f>-13+17</f>
        <v>4</v>
      </c>
      <c r="J551" s="59">
        <v>13</v>
      </c>
      <c r="K551" s="59"/>
      <c r="L551" s="59"/>
      <c r="M551" s="59"/>
      <c r="N551" s="60"/>
      <c r="O551" s="58"/>
      <c r="P551" s="48"/>
      <c r="Q551" s="48"/>
      <c r="R551" s="48"/>
      <c r="S551" s="48"/>
      <c r="T551" s="48"/>
      <c r="U551" s="48"/>
      <c r="V551" s="48"/>
      <c r="W551" s="48"/>
      <c r="X551" s="48"/>
      <c r="Y551" s="48"/>
      <c r="Z551" s="48"/>
      <c r="AA551" s="48"/>
      <c r="AB551" s="48"/>
      <c r="AC551" s="48"/>
      <c r="AD551" s="48"/>
      <c r="AE551" s="48"/>
      <c r="AF551" s="48"/>
      <c r="AG551" s="48"/>
      <c r="AH551" s="48"/>
      <c r="AI551" s="48"/>
      <c r="AJ551" s="48"/>
      <c r="AK551" s="48"/>
      <c r="AL551" s="48"/>
      <c r="AM551" s="48"/>
      <c r="AN551" s="48"/>
      <c r="AO551" s="48"/>
      <c r="AP551" s="48"/>
      <c r="AQ551" s="48"/>
      <c r="AR551" s="48"/>
      <c r="AS551" s="48"/>
      <c r="AT551" s="48"/>
      <c r="AU551" s="48"/>
      <c r="AV551" s="48"/>
      <c r="AW551" s="48"/>
      <c r="AX551" s="48"/>
      <c r="AY551" s="48"/>
      <c r="AZ551" s="48"/>
      <c r="BA551" s="48"/>
      <c r="BB551" s="48"/>
      <c r="BC551" s="48"/>
      <c r="BD551" s="48"/>
      <c r="BE551" s="48"/>
      <c r="BF551" s="48"/>
      <c r="BG551" s="48"/>
      <c r="BH551" s="48"/>
      <c r="BI551" s="48"/>
      <c r="BJ551" s="48"/>
      <c r="BK551" s="48"/>
      <c r="BL551" s="48"/>
      <c r="BM551" s="48"/>
      <c r="BN551" s="48"/>
      <c r="BO551" s="48"/>
      <c r="BP551" s="48"/>
      <c r="BQ551" s="48"/>
      <c r="BR551" s="48"/>
      <c r="BS551" s="48"/>
      <c r="BT551" s="48"/>
      <c r="BU551" s="48"/>
      <c r="BV551" s="48"/>
      <c r="BW551" s="48"/>
      <c r="BX551" s="111"/>
    </row>
    <row r="552" spans="1:76">
      <c r="A552" s="37"/>
      <c r="B552" s="37"/>
      <c r="C552" s="37"/>
      <c r="D552" s="37" t="s">
        <v>32</v>
      </c>
      <c r="E552" s="37"/>
      <c r="F552" s="39"/>
      <c r="G552" s="59"/>
      <c r="H552" s="59">
        <v>371</v>
      </c>
      <c r="I552" s="59">
        <v>64</v>
      </c>
      <c r="J552" s="59">
        <v>69</v>
      </c>
      <c r="K552" s="59">
        <v>96</v>
      </c>
      <c r="L552" s="59"/>
      <c r="M552" s="59">
        <v>28</v>
      </c>
      <c r="N552" s="60">
        <v>310</v>
      </c>
      <c r="O552" s="36"/>
      <c r="P552" s="48"/>
      <c r="Q552" s="48"/>
      <c r="R552" s="86"/>
      <c r="S552" s="48"/>
      <c r="T552" s="48"/>
      <c r="U552" s="48"/>
      <c r="V552" s="48"/>
      <c r="W552" s="48"/>
      <c r="X552" s="48"/>
      <c r="Y552" s="48"/>
      <c r="Z552" s="48"/>
      <c r="AA552" s="48"/>
      <c r="AB552" s="48"/>
      <c r="AC552" s="48"/>
      <c r="AD552" s="48"/>
      <c r="AE552" s="48"/>
      <c r="AF552" s="48"/>
      <c r="AG552" s="48"/>
      <c r="AH552" s="48"/>
      <c r="AI552" s="48"/>
      <c r="AJ552" s="48"/>
      <c r="AK552" s="48"/>
      <c r="AL552" s="48"/>
      <c r="AM552" s="48"/>
      <c r="AN552" s="48"/>
      <c r="AO552" s="48"/>
      <c r="AP552" s="48"/>
      <c r="AQ552" s="48"/>
      <c r="AR552" s="48"/>
      <c r="AS552" s="48"/>
      <c r="AT552" s="48"/>
      <c r="AU552" s="48"/>
      <c r="AV552" s="48"/>
      <c r="AW552" s="48"/>
      <c r="AX552" s="48"/>
      <c r="AY552" s="48"/>
      <c r="AZ552" s="48"/>
      <c r="BA552" s="48"/>
      <c r="BB552" s="48"/>
      <c r="BC552" s="48"/>
      <c r="BD552" s="48"/>
      <c r="BE552" s="48"/>
      <c r="BF552" s="48"/>
      <c r="BG552" s="48"/>
      <c r="BH552" s="48"/>
      <c r="BI552" s="48"/>
      <c r="BJ552" s="48"/>
      <c r="BK552" s="48"/>
      <c r="BL552" s="48"/>
      <c r="BM552" s="48"/>
      <c r="BN552" s="48"/>
      <c r="BO552" s="48"/>
      <c r="BP552" s="48"/>
      <c r="BQ552" s="48"/>
      <c r="BR552" s="48"/>
      <c r="BS552" s="48"/>
      <c r="BT552" s="48"/>
      <c r="BU552" s="48"/>
      <c r="BV552" s="48"/>
      <c r="BW552" s="48"/>
      <c r="BX552" s="111"/>
    </row>
    <row r="553" spans="1:76">
      <c r="A553" s="37"/>
      <c r="B553" s="37"/>
      <c r="C553" s="37" t="s">
        <v>2284</v>
      </c>
      <c r="D553" s="37"/>
      <c r="E553" s="37"/>
      <c r="F553" s="39"/>
      <c r="G553" s="59"/>
      <c r="H553" s="59"/>
      <c r="I553" s="59"/>
      <c r="J553" s="59"/>
      <c r="K553" s="59"/>
      <c r="L553" s="59"/>
      <c r="M553" s="59"/>
      <c r="N553" s="60"/>
      <c r="O553" s="79"/>
      <c r="P553" s="48"/>
      <c r="Q553" s="48"/>
      <c r="R553" s="48"/>
      <c r="S553" s="48"/>
      <c r="T553" s="48"/>
      <c r="U553" s="48"/>
      <c r="V553" s="48"/>
      <c r="W553" s="48"/>
      <c r="X553" s="48"/>
      <c r="Y553" s="48"/>
      <c r="Z553" s="48"/>
      <c r="AA553" s="48"/>
      <c r="AB553" s="48"/>
      <c r="AC553" s="48"/>
      <c r="AD553" s="48"/>
      <c r="AE553" s="48"/>
      <c r="AF553" s="48"/>
      <c r="AG553" s="48"/>
      <c r="AH553" s="48"/>
      <c r="AI553" s="48"/>
      <c r="AJ553" s="48"/>
      <c r="AK553" s="48"/>
      <c r="AL553" s="48"/>
      <c r="AM553" s="48"/>
      <c r="AN553" s="48"/>
      <c r="AO553" s="48"/>
      <c r="AP553" s="48"/>
      <c r="AQ553" s="48"/>
      <c r="AR553" s="48"/>
      <c r="AS553" s="48"/>
      <c r="AT553" s="48"/>
      <c r="AU553" s="48"/>
      <c r="AV553" s="48"/>
      <c r="AW553" s="48"/>
      <c r="AX553" s="48"/>
      <c r="AY553" s="48"/>
      <c r="AZ553" s="48"/>
      <c r="BA553" s="48"/>
      <c r="BB553" s="48"/>
      <c r="BC553" s="48"/>
      <c r="BD553" s="48"/>
      <c r="BE553" s="48"/>
      <c r="BF553" s="48"/>
      <c r="BG553" s="48"/>
      <c r="BH553" s="48"/>
      <c r="BI553" s="48"/>
      <c r="BJ553" s="48"/>
      <c r="BK553" s="48"/>
      <c r="BL553" s="48"/>
      <c r="BM553" s="48"/>
      <c r="BN553" s="48"/>
      <c r="BO553" s="48"/>
      <c r="BP553" s="48"/>
      <c r="BQ553" s="48"/>
      <c r="BR553" s="48"/>
      <c r="BS553" s="48"/>
      <c r="BT553" s="48"/>
      <c r="BU553" s="48"/>
      <c r="BV553" s="48"/>
      <c r="BW553" s="48"/>
      <c r="BX553" s="111"/>
    </row>
    <row r="554" spans="1:76">
      <c r="A554" s="37"/>
      <c r="B554" s="37"/>
      <c r="C554" s="37" t="s">
        <v>1637</v>
      </c>
      <c r="D554" s="37"/>
      <c r="E554" s="37"/>
      <c r="F554" s="39"/>
      <c r="G554" s="59"/>
      <c r="H554" s="59"/>
      <c r="I554" s="59"/>
      <c r="J554" s="59"/>
      <c r="K554" s="59"/>
      <c r="L554" s="59"/>
      <c r="M554" s="59"/>
      <c r="N554" s="60"/>
      <c r="O554" s="36"/>
      <c r="P554" s="48"/>
      <c r="Q554" s="48"/>
      <c r="R554" s="48"/>
      <c r="S554" s="48"/>
      <c r="T554" s="48"/>
      <c r="U554" s="48"/>
      <c r="V554" s="48"/>
      <c r="W554" s="48"/>
      <c r="X554" s="48"/>
      <c r="Y554" s="48"/>
      <c r="Z554" s="48"/>
      <c r="AA554" s="48"/>
      <c r="AB554" s="48"/>
      <c r="AC554" s="48"/>
      <c r="AD554" s="48"/>
      <c r="AE554" s="48"/>
      <c r="AF554" s="48"/>
      <c r="AG554" s="48"/>
      <c r="AH554" s="48"/>
      <c r="AI554" s="48"/>
      <c r="AJ554" s="48"/>
      <c r="AK554" s="48"/>
      <c r="AL554" s="48"/>
      <c r="AM554" s="48"/>
      <c r="AN554" s="48"/>
      <c r="AO554" s="48"/>
      <c r="AP554" s="48"/>
      <c r="AQ554" s="48"/>
      <c r="AR554" s="48"/>
      <c r="AS554" s="48"/>
      <c r="AT554" s="48"/>
      <c r="AU554" s="48"/>
      <c r="AV554" s="48"/>
      <c r="AW554" s="48"/>
      <c r="AX554" s="48"/>
      <c r="AY554" s="48"/>
      <c r="AZ554" s="48"/>
      <c r="BA554" s="48"/>
      <c r="BB554" s="48"/>
      <c r="BC554" s="48"/>
      <c r="BD554" s="48"/>
      <c r="BE554" s="48"/>
      <c r="BF554" s="48"/>
      <c r="BG554" s="48"/>
      <c r="BH554" s="48"/>
      <c r="BI554" s="48"/>
      <c r="BJ554" s="48"/>
      <c r="BK554" s="48"/>
      <c r="BL554" s="48"/>
      <c r="BM554" s="48"/>
      <c r="BN554" s="48"/>
      <c r="BO554" s="48"/>
      <c r="BP554" s="48"/>
      <c r="BQ554" s="48"/>
      <c r="BR554" s="48"/>
      <c r="BS554" s="48"/>
      <c r="BT554" s="48"/>
      <c r="BU554" s="48"/>
      <c r="BV554" s="48"/>
      <c r="BW554" s="48"/>
      <c r="BX554" s="111"/>
    </row>
    <row r="555" spans="1:76">
      <c r="A555" s="37"/>
      <c r="B555" s="37"/>
      <c r="C555" s="37" t="s">
        <v>880</v>
      </c>
      <c r="D555" s="37"/>
      <c r="E555" s="37"/>
      <c r="F555" s="39"/>
      <c r="G555" s="59"/>
      <c r="H555" s="59"/>
      <c r="I555" s="59"/>
      <c r="J555" s="59"/>
      <c r="K555" s="59"/>
      <c r="L555" s="59"/>
      <c r="M555" s="59"/>
      <c r="N555" s="60"/>
      <c r="O555" s="36"/>
      <c r="P555" s="48"/>
      <c r="Q555" s="48"/>
      <c r="R555" s="48"/>
      <c r="S555" s="48"/>
      <c r="T555" s="48"/>
      <c r="U555" s="48"/>
      <c r="V555" s="48"/>
      <c r="W555" s="48"/>
      <c r="X555" s="48"/>
      <c r="Y555" s="48"/>
      <c r="Z555" s="48"/>
      <c r="AA555" s="48"/>
      <c r="AB555" s="48"/>
      <c r="AC555" s="48"/>
      <c r="AD555" s="48"/>
      <c r="AE555" s="48"/>
      <c r="AF555" s="48"/>
      <c r="AG555" s="48"/>
      <c r="AH555" s="48"/>
      <c r="AI555" s="48"/>
      <c r="AJ555" s="48"/>
      <c r="AK555" s="48"/>
      <c r="AL555" s="48"/>
      <c r="AM555" s="48"/>
      <c r="AN555" s="48"/>
      <c r="AO555" s="48"/>
      <c r="AP555" s="48"/>
      <c r="AQ555" s="48"/>
      <c r="AR555" s="48"/>
      <c r="AS555" s="48"/>
      <c r="AT555" s="48"/>
      <c r="AU555" s="48"/>
      <c r="AV555" s="48"/>
      <c r="AW555" s="48"/>
      <c r="AX555" s="48"/>
      <c r="AY555" s="48"/>
      <c r="AZ555" s="48"/>
      <c r="BA555" s="48"/>
      <c r="BB555" s="48"/>
      <c r="BC555" s="48"/>
      <c r="BD555" s="48"/>
      <c r="BE555" s="48"/>
      <c r="BF555" s="48"/>
      <c r="BG555" s="48"/>
      <c r="BH555" s="48"/>
      <c r="BI555" s="48"/>
      <c r="BJ555" s="48"/>
      <c r="BK555" s="48"/>
      <c r="BL555" s="48"/>
      <c r="BM555" s="48"/>
      <c r="BN555" s="48"/>
      <c r="BO555" s="48"/>
      <c r="BP555" s="48"/>
      <c r="BQ555" s="48"/>
      <c r="BR555" s="48"/>
      <c r="BS555" s="48"/>
      <c r="BT555" s="48"/>
      <c r="BU555" s="48"/>
      <c r="BV555" s="48"/>
      <c r="BW555" s="48"/>
      <c r="BX555" s="111"/>
    </row>
    <row r="556" spans="1:76">
      <c r="A556" s="37"/>
      <c r="B556" s="37"/>
      <c r="C556" s="37" t="s">
        <v>881</v>
      </c>
      <c r="D556" s="37"/>
      <c r="E556" s="37"/>
      <c r="F556" s="39"/>
      <c r="G556" s="59"/>
      <c r="H556" s="59"/>
      <c r="I556" s="59"/>
      <c r="J556" s="59"/>
      <c r="K556" s="59"/>
      <c r="L556" s="59"/>
      <c r="M556" s="59"/>
      <c r="N556" s="60"/>
      <c r="O556" s="36"/>
      <c r="P556" s="48"/>
      <c r="Q556" s="48"/>
      <c r="R556" s="48"/>
      <c r="S556" s="48"/>
      <c r="T556" s="48"/>
      <c r="U556" s="48"/>
      <c r="V556" s="48"/>
      <c r="W556" s="48"/>
      <c r="X556" s="48"/>
      <c r="Y556" s="48"/>
      <c r="Z556" s="48"/>
      <c r="AA556" s="48"/>
      <c r="AB556" s="48"/>
      <c r="AC556" s="48"/>
      <c r="AD556" s="48"/>
      <c r="AE556" s="48"/>
      <c r="AF556" s="48"/>
      <c r="AG556" s="48"/>
      <c r="AH556" s="48"/>
      <c r="AI556" s="48"/>
      <c r="AJ556" s="48"/>
      <c r="AK556" s="48"/>
      <c r="AL556" s="48"/>
      <c r="AM556" s="48"/>
      <c r="AN556" s="48"/>
      <c r="AO556" s="48"/>
      <c r="AP556" s="48"/>
      <c r="AQ556" s="48"/>
      <c r="AR556" s="48"/>
      <c r="AS556" s="48"/>
      <c r="AT556" s="48"/>
      <c r="AU556" s="48"/>
      <c r="AV556" s="48"/>
      <c r="AW556" s="48"/>
      <c r="AX556" s="48"/>
      <c r="AY556" s="48"/>
      <c r="AZ556" s="48"/>
      <c r="BA556" s="48"/>
      <c r="BB556" s="48"/>
      <c r="BC556" s="48"/>
      <c r="BD556" s="48"/>
      <c r="BE556" s="48"/>
      <c r="BF556" s="48"/>
      <c r="BG556" s="48"/>
      <c r="BH556" s="48"/>
      <c r="BI556" s="48"/>
      <c r="BJ556" s="48"/>
      <c r="BK556" s="48"/>
      <c r="BL556" s="48"/>
      <c r="BM556" s="48"/>
      <c r="BN556" s="48"/>
      <c r="BO556" s="48"/>
      <c r="BP556" s="48"/>
      <c r="BQ556" s="48"/>
      <c r="BR556" s="48"/>
      <c r="BS556" s="48"/>
      <c r="BT556" s="48"/>
      <c r="BU556" s="48"/>
      <c r="BV556" s="48"/>
      <c r="BW556" s="48"/>
      <c r="BX556" s="111"/>
    </row>
    <row r="557" spans="1:76">
      <c r="A557" s="37"/>
      <c r="B557" s="37"/>
      <c r="C557" s="37" t="s">
        <v>1300</v>
      </c>
      <c r="D557" s="37"/>
      <c r="E557" s="37"/>
      <c r="F557" s="39"/>
      <c r="G557" s="39">
        <f t="shared" ref="G557:N557" si="85">IF(AND(OR(ISTEXT(G558), ISBLANK(G558)),OR(ISTEXT(G559), ISBLANK(G559)),OR(ISTEXT(G560), ISBLANK(G560)),OR(ISTEXT(G561), ISBLANK(G561)),OR(ISTEXT(G562), ISBLANK(G562)),OR(ISTEXT(G563), ISBLANK(G563)),OR(ISTEXT(G564), ISBLANK(G564)),TRUE),"", +IF(ISTEXT(G558), 0,G558)+IF(ISTEXT(G559), 0,G559)+IF(ISTEXT(G560), 0,G560)+IF(ISTEXT(G561), 0,G561)+IF(ISTEXT(G562), 0,G562)+IF(ISTEXT(G563), 0,G563)+IF(ISTEXT(G564), 0,G564))</f>
        <v>-71</v>
      </c>
      <c r="H557" s="39">
        <f t="shared" si="85"/>
        <v>-875</v>
      </c>
      <c r="I557" s="39">
        <f t="shared" si="85"/>
        <v>-118</v>
      </c>
      <c r="J557" s="39">
        <f t="shared" si="85"/>
        <v>-115</v>
      </c>
      <c r="K557" s="39">
        <f t="shared" si="85"/>
        <v>-131</v>
      </c>
      <c r="L557" s="39">
        <f t="shared" si="85"/>
        <v>10</v>
      </c>
      <c r="M557" s="39">
        <f t="shared" si="85"/>
        <v>140</v>
      </c>
      <c r="N557" s="48">
        <f t="shared" si="85"/>
        <v>79</v>
      </c>
      <c r="O557" s="36"/>
      <c r="P557" s="48"/>
      <c r="Q557" s="48"/>
      <c r="R557" s="48"/>
      <c r="S557" s="48"/>
      <c r="T557" s="48"/>
      <c r="U557" s="48"/>
      <c r="V557" s="48"/>
      <c r="W557" s="48"/>
      <c r="X557" s="48"/>
      <c r="Y557" s="48"/>
      <c r="Z557" s="48"/>
      <c r="AA557" s="48"/>
      <c r="AB557" s="48"/>
      <c r="AC557" s="48"/>
      <c r="AD557" s="48"/>
      <c r="AE557" s="48"/>
      <c r="AF557" s="48"/>
      <c r="AG557" s="48"/>
      <c r="AH557" s="48"/>
      <c r="AI557" s="48"/>
      <c r="AJ557" s="48"/>
      <c r="AK557" s="48"/>
      <c r="AL557" s="48"/>
      <c r="AM557" s="48"/>
      <c r="AN557" s="48"/>
      <c r="AO557" s="48"/>
      <c r="AP557" s="48"/>
      <c r="AQ557" s="48"/>
      <c r="AR557" s="48"/>
      <c r="AS557" s="48"/>
      <c r="AT557" s="48"/>
      <c r="AU557" s="48"/>
      <c r="AV557" s="48"/>
      <c r="AW557" s="48"/>
      <c r="AX557" s="48"/>
      <c r="AY557" s="48"/>
      <c r="AZ557" s="48"/>
      <c r="BA557" s="48"/>
      <c r="BB557" s="48"/>
      <c r="BC557" s="48"/>
      <c r="BD557" s="48"/>
      <c r="BE557" s="48"/>
      <c r="BF557" s="48"/>
      <c r="BG557" s="48"/>
      <c r="BH557" s="48"/>
      <c r="BI557" s="48"/>
      <c r="BJ557" s="48"/>
      <c r="BK557" s="48"/>
      <c r="BL557" s="48"/>
      <c r="BM557" s="48"/>
      <c r="BN557" s="48"/>
      <c r="BO557" s="48"/>
      <c r="BP557" s="48"/>
      <c r="BQ557" s="48"/>
      <c r="BR557" s="48"/>
      <c r="BS557" s="48"/>
      <c r="BT557" s="48"/>
      <c r="BU557" s="48"/>
      <c r="BV557" s="48"/>
      <c r="BW557" s="48"/>
      <c r="BX557" s="111"/>
    </row>
    <row r="558" spans="1:76">
      <c r="A558" s="37"/>
      <c r="B558" s="37"/>
      <c r="C558" s="37"/>
      <c r="D558" s="37" t="s">
        <v>148</v>
      </c>
      <c r="E558" s="37"/>
      <c r="F558" s="39"/>
      <c r="G558" s="59">
        <v>62</v>
      </c>
      <c r="H558" s="59">
        <v>1</v>
      </c>
      <c r="I558" s="59">
        <v>9</v>
      </c>
      <c r="J558" s="59">
        <v>-11</v>
      </c>
      <c r="K558" s="59">
        <f>1-21</f>
        <v>-20</v>
      </c>
      <c r="L558" s="59">
        <f>4+6</f>
        <v>10</v>
      </c>
      <c r="M558" s="59">
        <f>3-1</f>
        <v>2</v>
      </c>
      <c r="N558" s="60">
        <v>4</v>
      </c>
      <c r="O558" s="58"/>
      <c r="P558" s="48"/>
      <c r="Q558" s="48"/>
      <c r="R558" s="48"/>
      <c r="S558" s="48"/>
      <c r="T558" s="48"/>
      <c r="U558" s="48"/>
      <c r="V558" s="48"/>
      <c r="W558" s="48"/>
      <c r="X558" s="48"/>
      <c r="Y558" s="48"/>
      <c r="Z558" s="48"/>
      <c r="AA558" s="48"/>
      <c r="AB558" s="48"/>
      <c r="AC558" s="48"/>
      <c r="AD558" s="48"/>
      <c r="AE558" s="48"/>
      <c r="AF558" s="48"/>
      <c r="AG558" s="48"/>
      <c r="AH558" s="48"/>
      <c r="AI558" s="48"/>
      <c r="AJ558" s="48"/>
      <c r="AK558" s="48"/>
      <c r="AL558" s="48"/>
      <c r="AM558" s="48"/>
      <c r="AN558" s="48"/>
      <c r="AO558" s="48"/>
      <c r="AP558" s="48"/>
      <c r="AQ558" s="48"/>
      <c r="AR558" s="48"/>
      <c r="AS558" s="48"/>
      <c r="AT558" s="48"/>
      <c r="AU558" s="48"/>
      <c r="AV558" s="48"/>
      <c r="AW558" s="48"/>
      <c r="AX558" s="48"/>
      <c r="AY558" s="48"/>
      <c r="AZ558" s="48"/>
      <c r="BA558" s="48"/>
      <c r="BB558" s="48"/>
      <c r="BC558" s="48"/>
      <c r="BD558" s="48"/>
      <c r="BE558" s="48"/>
      <c r="BF558" s="48"/>
      <c r="BG558" s="48"/>
      <c r="BH558" s="48"/>
      <c r="BI558" s="48"/>
      <c r="BJ558" s="48"/>
      <c r="BK558" s="48"/>
      <c r="BL558" s="48"/>
      <c r="BM558" s="48"/>
      <c r="BN558" s="48"/>
      <c r="BO558" s="48"/>
      <c r="BP558" s="48"/>
      <c r="BQ558" s="48"/>
      <c r="BR558" s="48"/>
      <c r="BS558" s="48"/>
      <c r="BT558" s="48"/>
      <c r="BU558" s="48"/>
      <c r="BV558" s="48"/>
      <c r="BW558" s="48"/>
      <c r="BX558" s="111"/>
    </row>
    <row r="559" spans="1:76">
      <c r="A559" s="37"/>
      <c r="B559" s="37"/>
      <c r="C559" s="37"/>
      <c r="D559" s="37" t="s">
        <v>1206</v>
      </c>
      <c r="E559" s="37"/>
      <c r="F559" s="39"/>
      <c r="G559" s="59">
        <v>-133</v>
      </c>
      <c r="H559" s="59">
        <v>14</v>
      </c>
      <c r="I559" s="59">
        <v>-127</v>
      </c>
      <c r="J559" s="59">
        <v>-104</v>
      </c>
      <c r="K559" s="59">
        <v>-106</v>
      </c>
      <c r="L559" s="59">
        <v>-2</v>
      </c>
      <c r="M559" s="59">
        <v>139</v>
      </c>
      <c r="N559" s="60">
        <v>79</v>
      </c>
      <c r="O559" s="36"/>
      <c r="P559" s="48"/>
      <c r="Q559" s="48"/>
      <c r="R559" s="48"/>
      <c r="S559" s="48"/>
      <c r="T559" s="48"/>
      <c r="U559" s="48"/>
      <c r="V559" s="48"/>
      <c r="W559" s="48"/>
      <c r="X559" s="48"/>
      <c r="Y559" s="48"/>
      <c r="Z559" s="48"/>
      <c r="AA559" s="48"/>
      <c r="AB559" s="48"/>
      <c r="AC559" s="48"/>
      <c r="AD559" s="48"/>
      <c r="AE559" s="48"/>
      <c r="AF559" s="48"/>
      <c r="AG559" s="48"/>
      <c r="AH559" s="48"/>
      <c r="AI559" s="48"/>
      <c r="AJ559" s="48"/>
      <c r="AK559" s="48"/>
      <c r="AL559" s="48"/>
      <c r="AM559" s="48"/>
      <c r="AN559" s="48"/>
      <c r="AO559" s="48"/>
      <c r="AP559" s="48"/>
      <c r="AQ559" s="48"/>
      <c r="AR559" s="48"/>
      <c r="AS559" s="48"/>
      <c r="AT559" s="48"/>
      <c r="AU559" s="48"/>
      <c r="AV559" s="48"/>
      <c r="AW559" s="48"/>
      <c r="AX559" s="48"/>
      <c r="AY559" s="48"/>
      <c r="AZ559" s="48"/>
      <c r="BA559" s="48"/>
      <c r="BB559" s="48"/>
      <c r="BC559" s="48"/>
      <c r="BD559" s="48"/>
      <c r="BE559" s="48"/>
      <c r="BF559" s="48"/>
      <c r="BG559" s="48"/>
      <c r="BH559" s="48"/>
      <c r="BI559" s="48"/>
      <c r="BJ559" s="48"/>
      <c r="BK559" s="48"/>
      <c r="BL559" s="48"/>
      <c r="BM559" s="48"/>
      <c r="BN559" s="48"/>
      <c r="BO559" s="48"/>
      <c r="BP559" s="48"/>
      <c r="BQ559" s="48"/>
      <c r="BR559" s="48"/>
      <c r="BS559" s="48"/>
      <c r="BT559" s="48"/>
      <c r="BU559" s="48"/>
      <c r="BV559" s="48"/>
      <c r="BW559" s="48"/>
      <c r="BX559" s="111"/>
    </row>
    <row r="560" spans="1:76">
      <c r="A560" s="37"/>
      <c r="B560" s="37"/>
      <c r="C560" s="37"/>
      <c r="D560" s="37" t="s">
        <v>1473</v>
      </c>
      <c r="E560" s="37"/>
      <c r="F560" s="39"/>
      <c r="G560" s="59"/>
      <c r="H560" s="59"/>
      <c r="I560" s="59"/>
      <c r="J560" s="59"/>
      <c r="K560" s="59">
        <v>-5</v>
      </c>
      <c r="L560" s="59">
        <v>-13</v>
      </c>
      <c r="M560" s="59">
        <v>-1</v>
      </c>
      <c r="N560" s="60">
        <v>-4</v>
      </c>
      <c r="O560" s="87"/>
      <c r="P560" s="86"/>
      <c r="Q560" s="48"/>
      <c r="R560" s="48"/>
      <c r="S560" s="48"/>
      <c r="T560" s="48"/>
      <c r="U560" s="48"/>
      <c r="V560" s="48"/>
      <c r="W560" s="48"/>
      <c r="X560" s="48"/>
      <c r="Y560" s="48"/>
      <c r="Z560" s="48"/>
      <c r="AA560" s="48"/>
      <c r="AB560" s="48"/>
      <c r="AC560" s="48"/>
      <c r="AD560" s="48"/>
      <c r="AE560" s="48"/>
      <c r="AF560" s="48"/>
      <c r="AG560" s="48"/>
      <c r="AH560" s="48"/>
      <c r="AI560" s="48"/>
      <c r="AJ560" s="48"/>
      <c r="AK560" s="48"/>
      <c r="AL560" s="48"/>
      <c r="AM560" s="48"/>
      <c r="AN560" s="48"/>
      <c r="AO560" s="48"/>
      <c r="AP560" s="48"/>
      <c r="AQ560" s="48"/>
      <c r="AR560" s="48"/>
      <c r="AS560" s="48"/>
      <c r="AT560" s="48"/>
      <c r="AU560" s="48"/>
      <c r="AV560" s="48"/>
      <c r="AW560" s="48"/>
      <c r="AX560" s="48"/>
      <c r="AY560" s="48"/>
      <c r="AZ560" s="48"/>
      <c r="BA560" s="48"/>
      <c r="BB560" s="48"/>
      <c r="BC560" s="48"/>
      <c r="BD560" s="48"/>
      <c r="BE560" s="48"/>
      <c r="BF560" s="48"/>
      <c r="BG560" s="48"/>
      <c r="BH560" s="48"/>
      <c r="BI560" s="48"/>
      <c r="BJ560" s="48"/>
      <c r="BK560" s="48"/>
      <c r="BL560" s="48"/>
      <c r="BM560" s="48"/>
      <c r="BN560" s="48"/>
      <c r="BO560" s="48"/>
      <c r="BP560" s="48"/>
      <c r="BQ560" s="48"/>
      <c r="BR560" s="48"/>
      <c r="BS560" s="48"/>
      <c r="BT560" s="48"/>
      <c r="BU560" s="48"/>
      <c r="BV560" s="48"/>
      <c r="BW560" s="48"/>
      <c r="BX560" s="111"/>
    </row>
    <row r="561" spans="1:76">
      <c r="A561" s="37"/>
      <c r="B561" s="37"/>
      <c r="C561" s="37"/>
      <c r="D561" s="37" t="s">
        <v>1474</v>
      </c>
      <c r="E561" s="37"/>
      <c r="F561" s="39"/>
      <c r="G561" s="59"/>
      <c r="H561" s="59"/>
      <c r="I561" s="59"/>
      <c r="J561" s="59"/>
      <c r="K561" s="59"/>
      <c r="L561" s="59"/>
      <c r="M561" s="59"/>
      <c r="N561" s="60"/>
      <c r="O561" s="36"/>
      <c r="P561" s="48"/>
      <c r="Q561" s="48"/>
      <c r="R561" s="48"/>
      <c r="S561" s="48"/>
      <c r="T561" s="48"/>
      <c r="U561" s="48"/>
      <c r="V561" s="48"/>
      <c r="W561" s="48"/>
      <c r="X561" s="48"/>
      <c r="Y561" s="48"/>
      <c r="Z561" s="48"/>
      <c r="AA561" s="48"/>
      <c r="AB561" s="48"/>
      <c r="AC561" s="48"/>
      <c r="AD561" s="48"/>
      <c r="AE561" s="48"/>
      <c r="AF561" s="48"/>
      <c r="AG561" s="48"/>
      <c r="AH561" s="48"/>
      <c r="AI561" s="48"/>
      <c r="AJ561" s="48"/>
      <c r="AK561" s="48"/>
      <c r="AL561" s="48"/>
      <c r="AM561" s="48"/>
      <c r="AN561" s="48"/>
      <c r="AO561" s="48"/>
      <c r="AP561" s="48"/>
      <c r="AQ561" s="48"/>
      <c r="AR561" s="48"/>
      <c r="AS561" s="48"/>
      <c r="AT561" s="48"/>
      <c r="AU561" s="48"/>
      <c r="AV561" s="48"/>
      <c r="AW561" s="48"/>
      <c r="AX561" s="48"/>
      <c r="AY561" s="48"/>
      <c r="AZ561" s="48"/>
      <c r="BA561" s="48"/>
      <c r="BB561" s="48"/>
      <c r="BC561" s="48"/>
      <c r="BD561" s="48"/>
      <c r="BE561" s="48"/>
      <c r="BF561" s="48"/>
      <c r="BG561" s="48"/>
      <c r="BH561" s="48"/>
      <c r="BI561" s="48"/>
      <c r="BJ561" s="48"/>
      <c r="BK561" s="48"/>
      <c r="BL561" s="48"/>
      <c r="BM561" s="48"/>
      <c r="BN561" s="48"/>
      <c r="BO561" s="48"/>
      <c r="BP561" s="48"/>
      <c r="BQ561" s="48"/>
      <c r="BR561" s="48"/>
      <c r="BS561" s="48"/>
      <c r="BT561" s="48"/>
      <c r="BU561" s="48"/>
      <c r="BV561" s="48"/>
      <c r="BW561" s="48"/>
      <c r="BX561" s="111"/>
    </row>
    <row r="562" spans="1:76">
      <c r="A562" s="37"/>
      <c r="B562" s="37"/>
      <c r="C562" s="37"/>
      <c r="D562" s="37" t="s">
        <v>898</v>
      </c>
      <c r="E562" s="37"/>
      <c r="F562" s="39"/>
      <c r="G562" s="59"/>
      <c r="H562" s="59">
        <v>-890</v>
      </c>
      <c r="I562" s="59"/>
      <c r="J562" s="59"/>
      <c r="K562" s="59"/>
      <c r="L562" s="59">
        <v>15</v>
      </c>
      <c r="M562" s="59"/>
      <c r="N562" s="59"/>
      <c r="O562" s="36"/>
      <c r="P562" s="48"/>
      <c r="Q562" s="48"/>
      <c r="R562" s="48"/>
      <c r="S562" s="48"/>
      <c r="T562" s="48"/>
      <c r="U562" s="48"/>
      <c r="V562" s="48"/>
      <c r="W562" s="48"/>
      <c r="X562" s="48"/>
      <c r="Y562" s="48"/>
      <c r="Z562" s="48"/>
      <c r="AA562" s="48"/>
      <c r="AB562" s="48"/>
      <c r="AC562" s="48"/>
      <c r="AD562" s="48"/>
      <c r="AE562" s="48"/>
      <c r="AF562" s="48"/>
      <c r="AG562" s="48"/>
      <c r="AH562" s="48"/>
      <c r="AI562" s="48"/>
      <c r="AJ562" s="48"/>
      <c r="AK562" s="48"/>
      <c r="AL562" s="48"/>
      <c r="AM562" s="48"/>
      <c r="AN562" s="48"/>
      <c r="AO562" s="48"/>
      <c r="AP562" s="48"/>
      <c r="AQ562" s="48"/>
      <c r="AR562" s="48"/>
      <c r="AS562" s="48"/>
      <c r="AT562" s="48"/>
      <c r="AU562" s="48"/>
      <c r="AV562" s="48"/>
      <c r="AW562" s="48"/>
      <c r="AX562" s="48"/>
      <c r="AY562" s="48"/>
      <c r="AZ562" s="48"/>
      <c r="BA562" s="48"/>
      <c r="BB562" s="48"/>
      <c r="BC562" s="48"/>
      <c r="BD562" s="48"/>
      <c r="BE562" s="48"/>
      <c r="BF562" s="48"/>
      <c r="BG562" s="48"/>
      <c r="BH562" s="48"/>
      <c r="BI562" s="48"/>
      <c r="BJ562" s="48"/>
      <c r="BK562" s="48"/>
      <c r="BL562" s="48"/>
      <c r="BM562" s="48"/>
      <c r="BN562" s="48"/>
      <c r="BO562" s="48"/>
      <c r="BP562" s="48"/>
      <c r="BQ562" s="48"/>
      <c r="BR562" s="48"/>
      <c r="BS562" s="48"/>
      <c r="BT562" s="48"/>
      <c r="BU562" s="48"/>
      <c r="BV562" s="48"/>
      <c r="BW562" s="48"/>
      <c r="BX562" s="111"/>
    </row>
    <row r="563" spans="1:76">
      <c r="A563" s="37"/>
      <c r="B563" s="37"/>
      <c r="C563" s="37"/>
      <c r="D563" s="37" t="s">
        <v>899</v>
      </c>
      <c r="E563" s="37"/>
      <c r="F563" s="39"/>
      <c r="G563" s="59"/>
      <c r="H563" s="59"/>
      <c r="I563" s="59"/>
      <c r="J563" s="59"/>
      <c r="K563" s="59"/>
      <c r="L563" s="59"/>
      <c r="M563" s="59"/>
      <c r="N563" s="60"/>
      <c r="O563" s="36"/>
      <c r="P563" s="48"/>
      <c r="Q563" s="48"/>
      <c r="R563" s="48"/>
      <c r="S563" s="48"/>
      <c r="T563" s="48"/>
      <c r="U563" s="48"/>
      <c r="V563" s="48"/>
      <c r="W563" s="48"/>
      <c r="X563" s="48"/>
      <c r="Y563" s="48"/>
      <c r="Z563" s="48"/>
      <c r="AA563" s="48"/>
      <c r="AB563" s="48"/>
      <c r="AC563" s="48"/>
      <c r="AD563" s="48"/>
      <c r="AE563" s="48"/>
      <c r="AF563" s="48"/>
      <c r="AG563" s="48"/>
      <c r="AH563" s="48"/>
      <c r="AI563" s="48"/>
      <c r="AJ563" s="48"/>
      <c r="AK563" s="48"/>
      <c r="AL563" s="48"/>
      <c r="AM563" s="48"/>
      <c r="AN563" s="48"/>
      <c r="AO563" s="48"/>
      <c r="AP563" s="48"/>
      <c r="AQ563" s="48"/>
      <c r="AR563" s="48"/>
      <c r="AS563" s="48"/>
      <c r="AT563" s="48"/>
      <c r="AU563" s="48"/>
      <c r="AV563" s="48"/>
      <c r="AW563" s="48"/>
      <c r="AX563" s="48"/>
      <c r="AY563" s="48"/>
      <c r="AZ563" s="48"/>
      <c r="BA563" s="48"/>
      <c r="BB563" s="48"/>
      <c r="BC563" s="48"/>
      <c r="BD563" s="48"/>
      <c r="BE563" s="48"/>
      <c r="BF563" s="48"/>
      <c r="BG563" s="48"/>
      <c r="BH563" s="48"/>
      <c r="BI563" s="48"/>
      <c r="BJ563" s="48"/>
      <c r="BK563" s="48"/>
      <c r="BL563" s="48"/>
      <c r="BM563" s="48"/>
      <c r="BN563" s="48"/>
      <c r="BO563" s="48"/>
      <c r="BP563" s="48"/>
      <c r="BQ563" s="48"/>
      <c r="BR563" s="48"/>
      <c r="BS563" s="48"/>
      <c r="BT563" s="48"/>
      <c r="BU563" s="48"/>
      <c r="BV563" s="48"/>
      <c r="BW563" s="48"/>
      <c r="BX563" s="111"/>
    </row>
    <row r="564" spans="1:76">
      <c r="A564" s="37"/>
      <c r="B564" s="37"/>
      <c r="C564" s="37"/>
      <c r="D564" s="37" t="s">
        <v>171</v>
      </c>
      <c r="E564" s="37"/>
      <c r="F564" s="39"/>
      <c r="G564" s="59"/>
      <c r="H564" s="59"/>
      <c r="I564" s="59"/>
      <c r="J564" s="59"/>
      <c r="K564" s="59"/>
      <c r="L564" s="59"/>
      <c r="M564" s="59"/>
      <c r="N564" s="60"/>
      <c r="O564" s="36"/>
      <c r="P564" s="48"/>
      <c r="Q564" s="48"/>
      <c r="R564" s="48"/>
      <c r="S564" s="48"/>
      <c r="T564" s="48"/>
      <c r="U564" s="48"/>
      <c r="V564" s="48"/>
      <c r="W564" s="48"/>
      <c r="X564" s="48"/>
      <c r="Y564" s="48"/>
      <c r="Z564" s="48"/>
      <c r="AA564" s="48"/>
      <c r="AB564" s="48"/>
      <c r="AC564" s="48"/>
      <c r="AD564" s="48"/>
      <c r="AE564" s="48"/>
      <c r="AF564" s="48"/>
      <c r="AG564" s="48"/>
      <c r="AH564" s="48"/>
      <c r="AI564" s="48"/>
      <c r="AJ564" s="48"/>
      <c r="AK564" s="48"/>
      <c r="AL564" s="48"/>
      <c r="AM564" s="48"/>
      <c r="AN564" s="48"/>
      <c r="AO564" s="48"/>
      <c r="AP564" s="48"/>
      <c r="AQ564" s="48"/>
      <c r="AR564" s="48"/>
      <c r="AS564" s="48"/>
      <c r="AT564" s="48"/>
      <c r="AU564" s="48"/>
      <c r="AV564" s="48"/>
      <c r="AW564" s="48"/>
      <c r="AX564" s="48"/>
      <c r="AY564" s="48"/>
      <c r="AZ564" s="48"/>
      <c r="BA564" s="48"/>
      <c r="BB564" s="48"/>
      <c r="BC564" s="48"/>
      <c r="BD564" s="48"/>
      <c r="BE564" s="48"/>
      <c r="BF564" s="48"/>
      <c r="BG564" s="48"/>
      <c r="BH564" s="48"/>
      <c r="BI564" s="48"/>
      <c r="BJ564" s="48"/>
      <c r="BK564" s="48"/>
      <c r="BL564" s="48"/>
      <c r="BM564" s="48"/>
      <c r="BN564" s="48"/>
      <c r="BO564" s="48"/>
      <c r="BP564" s="48"/>
      <c r="BQ564" s="48"/>
      <c r="BR564" s="48"/>
      <c r="BS564" s="48"/>
      <c r="BT564" s="48"/>
      <c r="BU564" s="48"/>
      <c r="BV564" s="48"/>
      <c r="BW564" s="48"/>
      <c r="BX564" s="111"/>
    </row>
    <row r="565" spans="1:76">
      <c r="A565" s="44"/>
      <c r="B565" s="44" t="s">
        <v>746</v>
      </c>
      <c r="C565" s="44"/>
      <c r="D565" s="44"/>
      <c r="E565" s="44"/>
      <c r="F565" s="45"/>
      <c r="G565" s="45"/>
      <c r="H565" s="45"/>
      <c r="I565" s="45"/>
      <c r="J565" s="45"/>
      <c r="K565" s="45"/>
      <c r="L565" s="45"/>
      <c r="M565" s="45"/>
      <c r="N565" s="46"/>
      <c r="O565" s="47"/>
      <c r="P565" s="46"/>
      <c r="Q565" s="46"/>
      <c r="R565" s="46"/>
      <c r="S565" s="46"/>
      <c r="T565" s="46"/>
      <c r="U565" s="46"/>
      <c r="V565" s="46"/>
      <c r="W565" s="46"/>
      <c r="X565" s="46"/>
      <c r="Y565" s="46"/>
      <c r="Z565" s="46"/>
      <c r="AA565" s="46"/>
      <c r="AB565" s="46"/>
      <c r="AC565" s="46"/>
      <c r="AD565" s="46"/>
      <c r="AE565" s="46"/>
      <c r="AF565" s="46"/>
      <c r="AG565" s="46"/>
      <c r="AH565" s="46"/>
      <c r="AI565" s="46"/>
      <c r="AJ565" s="46"/>
      <c r="AK565" s="46"/>
      <c r="AL565" s="46"/>
      <c r="AM565" s="46"/>
      <c r="AN565" s="46"/>
      <c r="AO565" s="46"/>
      <c r="AP565" s="46"/>
      <c r="AQ565" s="46"/>
      <c r="AR565" s="46"/>
      <c r="AS565" s="46"/>
      <c r="AT565" s="46"/>
      <c r="AU565" s="46"/>
      <c r="AV565" s="46"/>
      <c r="AW565" s="46"/>
      <c r="AX565" s="46"/>
      <c r="AY565" s="46"/>
      <c r="AZ565" s="46"/>
      <c r="BA565" s="46"/>
      <c r="BB565" s="46"/>
      <c r="BC565" s="46"/>
      <c r="BD565" s="46"/>
      <c r="BE565" s="46"/>
      <c r="BF565" s="46"/>
      <c r="BG565" s="46"/>
      <c r="BH565" s="46"/>
      <c r="BI565" s="46"/>
      <c r="BJ565" s="46"/>
      <c r="BK565" s="46"/>
      <c r="BL565" s="46"/>
      <c r="BM565" s="46"/>
      <c r="BN565" s="46"/>
      <c r="BO565" s="46"/>
      <c r="BP565" s="46"/>
      <c r="BQ565" s="46"/>
      <c r="BR565" s="46"/>
      <c r="BS565" s="46"/>
      <c r="BT565" s="46"/>
      <c r="BU565" s="46"/>
      <c r="BV565" s="46"/>
      <c r="BW565" s="46"/>
      <c r="BX565" s="110"/>
    </row>
    <row r="566" spans="1:76">
      <c r="A566" s="37"/>
      <c r="B566" s="37"/>
      <c r="C566" s="37" t="s">
        <v>1728</v>
      </c>
      <c r="D566" s="37"/>
      <c r="E566" s="37"/>
      <c r="F566" s="39"/>
      <c r="G566" s="59"/>
      <c r="H566" s="59"/>
      <c r="I566" s="59"/>
      <c r="J566" s="59"/>
      <c r="K566" s="59"/>
      <c r="L566" s="59"/>
      <c r="M566" s="59"/>
      <c r="N566" s="60"/>
      <c r="O566" s="36"/>
      <c r="P566" s="48"/>
      <c r="Q566" s="48"/>
      <c r="R566" s="48"/>
      <c r="S566" s="48"/>
      <c r="T566" s="48"/>
      <c r="U566" s="48"/>
      <c r="V566" s="48"/>
      <c r="W566" s="48"/>
      <c r="X566" s="48"/>
      <c r="Y566" s="48"/>
      <c r="Z566" s="48"/>
      <c r="AA566" s="48"/>
      <c r="AB566" s="48"/>
      <c r="AC566" s="48"/>
      <c r="AD566" s="48"/>
      <c r="AE566" s="48"/>
      <c r="AF566" s="48"/>
      <c r="AG566" s="48"/>
      <c r="AH566" s="48"/>
      <c r="AI566" s="48"/>
      <c r="AJ566" s="48"/>
      <c r="AK566" s="48"/>
      <c r="AL566" s="48"/>
      <c r="AM566" s="48"/>
      <c r="AN566" s="48"/>
      <c r="AO566" s="48"/>
      <c r="AP566" s="48"/>
      <c r="AQ566" s="48"/>
      <c r="AR566" s="48"/>
      <c r="AS566" s="48"/>
      <c r="AT566" s="48"/>
      <c r="AU566" s="48"/>
      <c r="AV566" s="48"/>
      <c r="AW566" s="48"/>
      <c r="AX566" s="48"/>
      <c r="AY566" s="48"/>
      <c r="AZ566" s="48"/>
      <c r="BA566" s="48"/>
      <c r="BB566" s="48"/>
      <c r="BC566" s="48"/>
      <c r="BD566" s="48"/>
      <c r="BE566" s="48"/>
      <c r="BF566" s="48"/>
      <c r="BG566" s="48"/>
      <c r="BH566" s="48"/>
      <c r="BI566" s="48"/>
      <c r="BJ566" s="48"/>
      <c r="BK566" s="48"/>
      <c r="BL566" s="48"/>
      <c r="BM566" s="48"/>
      <c r="BN566" s="48"/>
      <c r="BO566" s="48"/>
      <c r="BP566" s="48"/>
      <c r="BQ566" s="48"/>
      <c r="BR566" s="48"/>
      <c r="BS566" s="48"/>
      <c r="BT566" s="48"/>
      <c r="BU566" s="48"/>
      <c r="BV566" s="48"/>
      <c r="BW566" s="48"/>
      <c r="BX566" s="111"/>
    </row>
    <row r="567" spans="1:76">
      <c r="A567" s="37"/>
      <c r="B567" s="37"/>
      <c r="C567" s="37" t="s">
        <v>94</v>
      </c>
      <c r="D567" s="37"/>
      <c r="E567" s="37"/>
      <c r="F567" s="39"/>
      <c r="G567" s="59"/>
      <c r="H567" s="59"/>
      <c r="I567" s="59"/>
      <c r="J567" s="59"/>
      <c r="K567" s="59"/>
      <c r="L567" s="59"/>
      <c r="M567" s="59"/>
      <c r="N567" s="60"/>
      <c r="O567" s="36"/>
      <c r="P567" s="48"/>
      <c r="Q567" s="48"/>
      <c r="R567" s="48"/>
      <c r="S567" s="48"/>
      <c r="T567" s="48"/>
      <c r="U567" s="48"/>
      <c r="V567" s="48"/>
      <c r="W567" s="48"/>
      <c r="X567" s="48"/>
      <c r="Y567" s="48"/>
      <c r="Z567" s="48"/>
      <c r="AA567" s="48"/>
      <c r="AB567" s="48"/>
      <c r="AC567" s="48"/>
      <c r="AD567" s="48"/>
      <c r="AE567" s="48"/>
      <c r="AF567" s="48"/>
      <c r="AG567" s="48"/>
      <c r="AH567" s="48"/>
      <c r="AI567" s="48"/>
      <c r="AJ567" s="48"/>
      <c r="AK567" s="48"/>
      <c r="AL567" s="48"/>
      <c r="AM567" s="48"/>
      <c r="AN567" s="48"/>
      <c r="AO567" s="48"/>
      <c r="AP567" s="48"/>
      <c r="AQ567" s="48"/>
      <c r="AR567" s="48"/>
      <c r="AS567" s="48"/>
      <c r="AT567" s="48"/>
      <c r="AU567" s="48"/>
      <c r="AV567" s="48"/>
      <c r="AW567" s="48"/>
      <c r="AX567" s="48"/>
      <c r="AY567" s="48"/>
      <c r="AZ567" s="48"/>
      <c r="BA567" s="48"/>
      <c r="BB567" s="48"/>
      <c r="BC567" s="48"/>
      <c r="BD567" s="48"/>
      <c r="BE567" s="48"/>
      <c r="BF567" s="48"/>
      <c r="BG567" s="48"/>
      <c r="BH567" s="48"/>
      <c r="BI567" s="48"/>
      <c r="BJ567" s="48"/>
      <c r="BK567" s="48"/>
      <c r="BL567" s="48"/>
      <c r="BM567" s="48"/>
      <c r="BN567" s="48"/>
      <c r="BO567" s="48"/>
      <c r="BP567" s="48"/>
      <c r="BQ567" s="48"/>
      <c r="BR567" s="48"/>
      <c r="BS567" s="48"/>
      <c r="BT567" s="48"/>
      <c r="BU567" s="48"/>
      <c r="BV567" s="48"/>
      <c r="BW567" s="48"/>
      <c r="BX567" s="111"/>
    </row>
    <row r="568" spans="1:76">
      <c r="A568" s="37"/>
      <c r="B568" s="37"/>
      <c r="C568" s="37" t="s">
        <v>1264</v>
      </c>
      <c r="D568" s="37"/>
      <c r="E568" s="37"/>
      <c r="F568" s="39"/>
      <c r="G568" s="39" t="str">
        <f t="shared" ref="G568:N568" si="86">IF(AND(OR(ISTEXT(G569), ISBLANK(G569)),OR(ISTEXT(G570), ISBLANK(G570)),TRUE),"", +IF(ISTEXT(G569), 0,G569)+IF(ISTEXT(G570), 0,G570))</f>
        <v/>
      </c>
      <c r="H568" s="39" t="str">
        <f t="shared" si="86"/>
        <v/>
      </c>
      <c r="I568" s="39" t="str">
        <f t="shared" si="86"/>
        <v/>
      </c>
      <c r="J568" s="39" t="str">
        <f t="shared" si="86"/>
        <v/>
      </c>
      <c r="K568" s="39" t="str">
        <f t="shared" si="86"/>
        <v/>
      </c>
      <c r="L568" s="39" t="str">
        <f t="shared" si="86"/>
        <v/>
      </c>
      <c r="M568" s="39" t="str">
        <f t="shared" si="86"/>
        <v/>
      </c>
      <c r="N568" s="48" t="str">
        <f t="shared" si="86"/>
        <v/>
      </c>
      <c r="O568" s="36"/>
      <c r="P568" s="48"/>
      <c r="Q568" s="48"/>
      <c r="R568" s="48"/>
      <c r="S568" s="48"/>
      <c r="T568" s="48"/>
      <c r="U568" s="48"/>
      <c r="V568" s="48"/>
      <c r="W568" s="48"/>
      <c r="X568" s="48"/>
      <c r="Y568" s="48"/>
      <c r="Z568" s="48"/>
      <c r="AA568" s="48"/>
      <c r="AB568" s="48"/>
      <c r="AC568" s="48"/>
      <c r="AD568" s="48"/>
      <c r="AE568" s="48"/>
      <c r="AF568" s="48"/>
      <c r="AG568" s="48"/>
      <c r="AH568" s="48"/>
      <c r="AI568" s="48"/>
      <c r="AJ568" s="48"/>
      <c r="AK568" s="48"/>
      <c r="AL568" s="48"/>
      <c r="AM568" s="48"/>
      <c r="AN568" s="48"/>
      <c r="AO568" s="48"/>
      <c r="AP568" s="48"/>
      <c r="AQ568" s="48"/>
      <c r="AR568" s="48"/>
      <c r="AS568" s="48"/>
      <c r="AT568" s="48"/>
      <c r="AU568" s="48"/>
      <c r="AV568" s="48"/>
      <c r="AW568" s="48"/>
      <c r="AX568" s="48"/>
      <c r="AY568" s="48"/>
      <c r="AZ568" s="48"/>
      <c r="BA568" s="48"/>
      <c r="BB568" s="48"/>
      <c r="BC568" s="48"/>
      <c r="BD568" s="48"/>
      <c r="BE568" s="48"/>
      <c r="BF568" s="48"/>
      <c r="BG568" s="48"/>
      <c r="BH568" s="48"/>
      <c r="BI568" s="48"/>
      <c r="BJ568" s="48"/>
      <c r="BK568" s="48"/>
      <c r="BL568" s="48"/>
      <c r="BM568" s="48"/>
      <c r="BN568" s="48"/>
      <c r="BO568" s="48"/>
      <c r="BP568" s="48"/>
      <c r="BQ568" s="48"/>
      <c r="BR568" s="48"/>
      <c r="BS568" s="48"/>
      <c r="BT568" s="48"/>
      <c r="BU568" s="48"/>
      <c r="BV568" s="48"/>
      <c r="BW568" s="48"/>
      <c r="BX568" s="111"/>
    </row>
    <row r="569" spans="1:76">
      <c r="A569" s="37"/>
      <c r="B569" s="37"/>
      <c r="C569" s="37"/>
      <c r="D569" s="37" t="s">
        <v>1265</v>
      </c>
      <c r="E569" s="37"/>
      <c r="F569" s="39"/>
      <c r="G569" s="59"/>
      <c r="H569" s="59"/>
      <c r="I569" s="59"/>
      <c r="J569" s="59"/>
      <c r="K569" s="59"/>
      <c r="L569" s="59"/>
      <c r="M569" s="59"/>
      <c r="N569" s="60"/>
      <c r="O569" s="36"/>
      <c r="P569" s="48"/>
      <c r="Q569" s="48"/>
      <c r="R569" s="48"/>
      <c r="S569" s="48"/>
      <c r="T569" s="48"/>
      <c r="U569" s="48"/>
      <c r="V569" s="48"/>
      <c r="W569" s="48"/>
      <c r="X569" s="48"/>
      <c r="Y569" s="48"/>
      <c r="Z569" s="48"/>
      <c r="AA569" s="48"/>
      <c r="AB569" s="48"/>
      <c r="AC569" s="48"/>
      <c r="AD569" s="48"/>
      <c r="AE569" s="48"/>
      <c r="AF569" s="48"/>
      <c r="AG569" s="48"/>
      <c r="AH569" s="48"/>
      <c r="AI569" s="48"/>
      <c r="AJ569" s="48"/>
      <c r="AK569" s="48"/>
      <c r="AL569" s="48"/>
      <c r="AM569" s="48"/>
      <c r="AN569" s="48"/>
      <c r="AO569" s="48"/>
      <c r="AP569" s="48"/>
      <c r="AQ569" s="48"/>
      <c r="AR569" s="48"/>
      <c r="AS569" s="48"/>
      <c r="AT569" s="48"/>
      <c r="AU569" s="48"/>
      <c r="AV569" s="48"/>
      <c r="AW569" s="48"/>
      <c r="AX569" s="48"/>
      <c r="AY569" s="48"/>
      <c r="AZ569" s="48"/>
      <c r="BA569" s="48"/>
      <c r="BB569" s="48"/>
      <c r="BC569" s="48"/>
      <c r="BD569" s="48"/>
      <c r="BE569" s="48"/>
      <c r="BF569" s="48"/>
      <c r="BG569" s="48"/>
      <c r="BH569" s="48"/>
      <c r="BI569" s="48"/>
      <c r="BJ569" s="48"/>
      <c r="BK569" s="48"/>
      <c r="BL569" s="48"/>
      <c r="BM569" s="48"/>
      <c r="BN569" s="48"/>
      <c r="BO569" s="48"/>
      <c r="BP569" s="48"/>
      <c r="BQ569" s="48"/>
      <c r="BR569" s="48"/>
      <c r="BS569" s="48"/>
      <c r="BT569" s="48"/>
      <c r="BU569" s="48"/>
      <c r="BV569" s="48"/>
      <c r="BW569" s="48"/>
      <c r="BX569" s="111"/>
    </row>
    <row r="570" spans="1:76">
      <c r="A570" s="37"/>
      <c r="B570" s="37"/>
      <c r="C570" s="37"/>
      <c r="D570" s="37" t="s">
        <v>865</v>
      </c>
      <c r="E570" s="37"/>
      <c r="F570" s="39"/>
      <c r="G570" s="59"/>
      <c r="H570" s="59"/>
      <c r="I570" s="59"/>
      <c r="J570" s="59"/>
      <c r="K570" s="59"/>
      <c r="L570" s="59"/>
      <c r="M570" s="59"/>
      <c r="N570" s="60"/>
      <c r="O570" s="36"/>
      <c r="P570" s="48"/>
      <c r="Q570" s="48"/>
      <c r="R570" s="48"/>
      <c r="S570" s="48"/>
      <c r="T570" s="48"/>
      <c r="U570" s="48"/>
      <c r="V570" s="48"/>
      <c r="W570" s="48"/>
      <c r="X570" s="48"/>
      <c r="Y570" s="48"/>
      <c r="Z570" s="48"/>
      <c r="AA570" s="48"/>
      <c r="AB570" s="48"/>
      <c r="AC570" s="48"/>
      <c r="AD570" s="48"/>
      <c r="AE570" s="48"/>
      <c r="AF570" s="48"/>
      <c r="AG570" s="48"/>
      <c r="AH570" s="48"/>
      <c r="AI570" s="48"/>
      <c r="AJ570" s="48"/>
      <c r="AK570" s="48"/>
      <c r="AL570" s="48"/>
      <c r="AM570" s="48"/>
      <c r="AN570" s="48"/>
      <c r="AO570" s="48"/>
      <c r="AP570" s="48"/>
      <c r="AQ570" s="48"/>
      <c r="AR570" s="48"/>
      <c r="AS570" s="48"/>
      <c r="AT570" s="48"/>
      <c r="AU570" s="48"/>
      <c r="AV570" s="48"/>
      <c r="AW570" s="48"/>
      <c r="AX570" s="48"/>
      <c r="AY570" s="48"/>
      <c r="AZ570" s="48"/>
      <c r="BA570" s="48"/>
      <c r="BB570" s="48"/>
      <c r="BC570" s="48"/>
      <c r="BD570" s="48"/>
      <c r="BE570" s="48"/>
      <c r="BF570" s="48"/>
      <c r="BG570" s="48"/>
      <c r="BH570" s="48"/>
      <c r="BI570" s="48"/>
      <c r="BJ570" s="48"/>
      <c r="BK570" s="48"/>
      <c r="BL570" s="48"/>
      <c r="BM570" s="48"/>
      <c r="BN570" s="48"/>
      <c r="BO570" s="48"/>
      <c r="BP570" s="48"/>
      <c r="BQ570" s="48"/>
      <c r="BR570" s="48"/>
      <c r="BS570" s="48"/>
      <c r="BT570" s="48"/>
      <c r="BU570" s="48"/>
      <c r="BV570" s="48"/>
      <c r="BW570" s="48"/>
      <c r="BX570" s="111"/>
    </row>
    <row r="571" spans="1:76">
      <c r="A571" s="37"/>
      <c r="B571" s="37"/>
      <c r="C571" s="37" t="s">
        <v>2304</v>
      </c>
      <c r="D571" s="37"/>
      <c r="E571" s="37"/>
      <c r="F571" s="39"/>
      <c r="G571" s="39" t="str">
        <f t="shared" ref="G571:N571" si="87">IF(AND(OR(ISTEXT(G572), ISBLANK(G572)),OR(ISTEXT(G573), ISBLANK(G573)),TRUE),"", +IF(ISTEXT(G572), 0,G572)+IF(ISTEXT(G573), 0,G573))</f>
        <v/>
      </c>
      <c r="H571" s="39" t="str">
        <f t="shared" si="87"/>
        <v/>
      </c>
      <c r="I571" s="39" t="str">
        <f t="shared" si="87"/>
        <v/>
      </c>
      <c r="J571" s="39" t="str">
        <f t="shared" si="87"/>
        <v/>
      </c>
      <c r="K571" s="39" t="str">
        <f t="shared" si="87"/>
        <v/>
      </c>
      <c r="L571" s="39" t="str">
        <f t="shared" si="87"/>
        <v/>
      </c>
      <c r="M571" s="39" t="str">
        <f t="shared" si="87"/>
        <v/>
      </c>
      <c r="N571" s="48" t="str">
        <f t="shared" si="87"/>
        <v/>
      </c>
      <c r="O571" s="36"/>
      <c r="P571" s="48"/>
      <c r="Q571" s="48"/>
      <c r="R571" s="48"/>
      <c r="S571" s="48"/>
      <c r="T571" s="48"/>
      <c r="U571" s="48"/>
      <c r="V571" s="48"/>
      <c r="W571" s="48"/>
      <c r="X571" s="48"/>
      <c r="Y571" s="48"/>
      <c r="Z571" s="48"/>
      <c r="AA571" s="48"/>
      <c r="AB571" s="48"/>
      <c r="AC571" s="48"/>
      <c r="AD571" s="48"/>
      <c r="AE571" s="48"/>
      <c r="AF571" s="48"/>
      <c r="AG571" s="48"/>
      <c r="AH571" s="48"/>
      <c r="AI571" s="48"/>
      <c r="AJ571" s="48"/>
      <c r="AK571" s="48"/>
      <c r="AL571" s="48"/>
      <c r="AM571" s="48"/>
      <c r="AN571" s="48"/>
      <c r="AO571" s="48"/>
      <c r="AP571" s="48"/>
      <c r="AQ571" s="48"/>
      <c r="AR571" s="48"/>
      <c r="AS571" s="48"/>
      <c r="AT571" s="48"/>
      <c r="AU571" s="48"/>
      <c r="AV571" s="48"/>
      <c r="AW571" s="48"/>
      <c r="AX571" s="48"/>
      <c r="AY571" s="48"/>
      <c r="AZ571" s="48"/>
      <c r="BA571" s="48"/>
      <c r="BB571" s="48"/>
      <c r="BC571" s="48"/>
      <c r="BD571" s="48"/>
      <c r="BE571" s="48"/>
      <c r="BF571" s="48"/>
      <c r="BG571" s="48"/>
      <c r="BH571" s="48"/>
      <c r="BI571" s="48"/>
      <c r="BJ571" s="48"/>
      <c r="BK571" s="48"/>
      <c r="BL571" s="48"/>
      <c r="BM571" s="48"/>
      <c r="BN571" s="48"/>
      <c r="BO571" s="48"/>
      <c r="BP571" s="48"/>
      <c r="BQ571" s="48"/>
      <c r="BR571" s="48"/>
      <c r="BS571" s="48"/>
      <c r="BT571" s="48"/>
      <c r="BU571" s="48"/>
      <c r="BV571" s="48"/>
      <c r="BW571" s="48"/>
      <c r="BX571" s="111"/>
    </row>
    <row r="572" spans="1:76">
      <c r="A572" s="37"/>
      <c r="B572" s="37"/>
      <c r="C572" s="37"/>
      <c r="D572" s="37" t="s">
        <v>2305</v>
      </c>
      <c r="E572" s="37"/>
      <c r="F572" s="39"/>
      <c r="G572" s="59"/>
      <c r="H572" s="59"/>
      <c r="I572" s="59"/>
      <c r="J572" s="59"/>
      <c r="K572" s="59"/>
      <c r="L572" s="59"/>
      <c r="M572" s="59"/>
      <c r="N572" s="60"/>
      <c r="O572" s="36"/>
      <c r="P572" s="48"/>
      <c r="Q572" s="48"/>
      <c r="R572" s="48"/>
      <c r="S572" s="48"/>
      <c r="T572" s="48"/>
      <c r="U572" s="48"/>
      <c r="V572" s="48"/>
      <c r="W572" s="48"/>
      <c r="X572" s="48"/>
      <c r="Y572" s="48"/>
      <c r="Z572" s="48"/>
      <c r="AA572" s="48"/>
      <c r="AB572" s="48"/>
      <c r="AC572" s="48"/>
      <c r="AD572" s="48"/>
      <c r="AE572" s="48"/>
      <c r="AF572" s="48"/>
      <c r="AG572" s="48"/>
      <c r="AH572" s="48"/>
      <c r="AI572" s="48"/>
      <c r="AJ572" s="48"/>
      <c r="AK572" s="48"/>
      <c r="AL572" s="48"/>
      <c r="AM572" s="48"/>
      <c r="AN572" s="48"/>
      <c r="AO572" s="48"/>
      <c r="AP572" s="48"/>
      <c r="AQ572" s="48"/>
      <c r="AR572" s="48"/>
      <c r="AS572" s="48"/>
      <c r="AT572" s="48"/>
      <c r="AU572" s="48"/>
      <c r="AV572" s="48"/>
      <c r="AW572" s="48"/>
      <c r="AX572" s="48"/>
      <c r="AY572" s="48"/>
      <c r="AZ572" s="48"/>
      <c r="BA572" s="48"/>
      <c r="BB572" s="48"/>
      <c r="BC572" s="48"/>
      <c r="BD572" s="48"/>
      <c r="BE572" s="48"/>
      <c r="BF572" s="48"/>
      <c r="BG572" s="48"/>
      <c r="BH572" s="48"/>
      <c r="BI572" s="48"/>
      <c r="BJ572" s="48"/>
      <c r="BK572" s="48"/>
      <c r="BL572" s="48"/>
      <c r="BM572" s="48"/>
      <c r="BN572" s="48"/>
      <c r="BO572" s="48"/>
      <c r="BP572" s="48"/>
      <c r="BQ572" s="48"/>
      <c r="BR572" s="48"/>
      <c r="BS572" s="48"/>
      <c r="BT572" s="48"/>
      <c r="BU572" s="48"/>
      <c r="BV572" s="48"/>
      <c r="BW572" s="48"/>
      <c r="BX572" s="111"/>
    </row>
    <row r="573" spans="1:76">
      <c r="A573" s="37"/>
      <c r="B573" s="37"/>
      <c r="C573" s="37"/>
      <c r="D573" s="37" t="s">
        <v>420</v>
      </c>
      <c r="E573" s="37"/>
      <c r="F573" s="39"/>
      <c r="G573" s="59"/>
      <c r="H573" s="59"/>
      <c r="I573" s="59"/>
      <c r="J573" s="59"/>
      <c r="K573" s="59"/>
      <c r="L573" s="59"/>
      <c r="M573" s="59"/>
      <c r="N573" s="60"/>
      <c r="O573" s="36"/>
      <c r="P573" s="48"/>
      <c r="Q573" s="48"/>
      <c r="R573" s="48"/>
      <c r="S573" s="48"/>
      <c r="T573" s="48"/>
      <c r="U573" s="48"/>
      <c r="V573" s="48"/>
      <c r="W573" s="48"/>
      <c r="X573" s="48"/>
      <c r="Y573" s="48"/>
      <c r="Z573" s="48"/>
      <c r="AA573" s="48"/>
      <c r="AB573" s="48"/>
      <c r="AC573" s="48"/>
      <c r="AD573" s="48"/>
      <c r="AE573" s="48"/>
      <c r="AF573" s="48"/>
      <c r="AG573" s="48"/>
      <c r="AH573" s="48"/>
      <c r="AI573" s="48"/>
      <c r="AJ573" s="48"/>
      <c r="AK573" s="48"/>
      <c r="AL573" s="48"/>
      <c r="AM573" s="48"/>
      <c r="AN573" s="48"/>
      <c r="AO573" s="48"/>
      <c r="AP573" s="48"/>
      <c r="AQ573" s="48"/>
      <c r="AR573" s="48"/>
      <c r="AS573" s="48"/>
      <c r="AT573" s="48"/>
      <c r="AU573" s="48"/>
      <c r="AV573" s="48"/>
      <c r="AW573" s="48"/>
      <c r="AX573" s="48"/>
      <c r="AY573" s="48"/>
      <c r="AZ573" s="48"/>
      <c r="BA573" s="48"/>
      <c r="BB573" s="48"/>
      <c r="BC573" s="48"/>
      <c r="BD573" s="48"/>
      <c r="BE573" s="48"/>
      <c r="BF573" s="48"/>
      <c r="BG573" s="48"/>
      <c r="BH573" s="48"/>
      <c r="BI573" s="48"/>
      <c r="BJ573" s="48"/>
      <c r="BK573" s="48"/>
      <c r="BL573" s="48"/>
      <c r="BM573" s="48"/>
      <c r="BN573" s="48"/>
      <c r="BO573" s="48"/>
      <c r="BP573" s="48"/>
      <c r="BQ573" s="48"/>
      <c r="BR573" s="48"/>
      <c r="BS573" s="48"/>
      <c r="BT573" s="48"/>
      <c r="BU573" s="48"/>
      <c r="BV573" s="48"/>
      <c r="BW573" s="48"/>
      <c r="BX573" s="111"/>
    </row>
    <row r="574" spans="1:76">
      <c r="A574" s="71"/>
      <c r="B574" s="71"/>
      <c r="C574" s="71" t="s">
        <v>1783</v>
      </c>
      <c r="D574" s="71"/>
      <c r="E574" s="71"/>
      <c r="F574" s="39"/>
      <c r="G574" s="59"/>
      <c r="H574" s="59"/>
      <c r="I574" s="59"/>
      <c r="J574" s="59"/>
      <c r="K574" s="59"/>
      <c r="L574" s="59"/>
      <c r="M574" s="59"/>
      <c r="N574" s="60"/>
      <c r="O574" s="22"/>
      <c r="P574" s="72"/>
      <c r="Q574" s="72"/>
      <c r="R574" s="72"/>
      <c r="S574" s="72"/>
      <c r="T574" s="72"/>
      <c r="U574" s="72"/>
      <c r="V574" s="72"/>
      <c r="W574" s="72"/>
      <c r="X574" s="72"/>
      <c r="Y574" s="72"/>
      <c r="Z574" s="72"/>
      <c r="AA574" s="72"/>
      <c r="AB574" s="72"/>
      <c r="AC574" s="72"/>
      <c r="AD574" s="72"/>
      <c r="AE574" s="72"/>
      <c r="AF574" s="72"/>
      <c r="AG574" s="72"/>
      <c r="AH574" s="72"/>
      <c r="AI574" s="72"/>
      <c r="AJ574" s="72"/>
      <c r="AK574" s="72"/>
      <c r="AL574" s="72"/>
      <c r="AM574" s="72"/>
      <c r="AN574" s="72"/>
      <c r="AO574" s="72"/>
      <c r="AP574" s="72"/>
      <c r="AQ574" s="72"/>
      <c r="AR574" s="72"/>
      <c r="AS574" s="72"/>
      <c r="AT574" s="72"/>
      <c r="AU574" s="72"/>
      <c r="AV574" s="72"/>
      <c r="AW574" s="72"/>
      <c r="AX574" s="72"/>
      <c r="AY574" s="72"/>
      <c r="AZ574" s="72"/>
      <c r="BA574" s="72"/>
      <c r="BB574" s="72"/>
      <c r="BC574" s="72"/>
      <c r="BD574" s="72"/>
      <c r="BE574" s="72"/>
      <c r="BF574" s="72"/>
      <c r="BG574" s="72"/>
      <c r="BH574" s="72"/>
      <c r="BI574" s="72"/>
      <c r="BJ574" s="72"/>
      <c r="BK574" s="72"/>
      <c r="BL574" s="72"/>
      <c r="BM574" s="72"/>
      <c r="BN574" s="72"/>
      <c r="BO574" s="72"/>
      <c r="BP574" s="72"/>
      <c r="BQ574" s="72"/>
      <c r="BR574" s="72"/>
      <c r="BS574" s="72"/>
      <c r="BT574" s="72"/>
      <c r="BU574" s="72"/>
      <c r="BV574" s="72"/>
      <c r="BW574" s="72"/>
      <c r="BX574" s="114"/>
    </row>
    <row r="575" spans="1:76">
      <c r="A575" s="71"/>
      <c r="B575" s="71"/>
      <c r="C575" s="71" t="s">
        <v>1609</v>
      </c>
      <c r="D575" s="71"/>
      <c r="E575" s="71"/>
      <c r="F575" s="39"/>
      <c r="G575" s="59"/>
      <c r="H575" s="59"/>
      <c r="I575" s="59"/>
      <c r="J575" s="59"/>
      <c r="K575" s="59"/>
      <c r="L575" s="59"/>
      <c r="M575" s="59"/>
      <c r="N575" s="60"/>
      <c r="O575" s="22"/>
      <c r="P575" s="72"/>
      <c r="Q575" s="72"/>
      <c r="R575" s="72"/>
      <c r="S575" s="72"/>
      <c r="T575" s="72"/>
      <c r="U575" s="72"/>
      <c r="V575" s="72"/>
      <c r="W575" s="72"/>
      <c r="X575" s="72"/>
      <c r="Y575" s="72"/>
      <c r="Z575" s="72"/>
      <c r="AA575" s="72"/>
      <c r="AB575" s="72"/>
      <c r="AC575" s="72"/>
      <c r="AD575" s="72"/>
      <c r="AE575" s="72"/>
      <c r="AF575" s="72"/>
      <c r="AG575" s="72"/>
      <c r="AH575" s="72"/>
      <c r="AI575" s="72"/>
      <c r="AJ575" s="72"/>
      <c r="AK575" s="72"/>
      <c r="AL575" s="72"/>
      <c r="AM575" s="72"/>
      <c r="AN575" s="72"/>
      <c r="AO575" s="72"/>
      <c r="AP575" s="72"/>
      <c r="AQ575" s="72"/>
      <c r="AR575" s="72"/>
      <c r="AS575" s="72"/>
      <c r="AT575" s="72"/>
      <c r="AU575" s="72"/>
      <c r="AV575" s="72"/>
      <c r="AW575" s="72"/>
      <c r="AX575" s="72"/>
      <c r="AY575" s="72"/>
      <c r="AZ575" s="72"/>
      <c r="BA575" s="72"/>
      <c r="BB575" s="72"/>
      <c r="BC575" s="72"/>
      <c r="BD575" s="72"/>
      <c r="BE575" s="72"/>
      <c r="BF575" s="72"/>
      <c r="BG575" s="72"/>
      <c r="BH575" s="72"/>
      <c r="BI575" s="72"/>
      <c r="BJ575" s="72"/>
      <c r="BK575" s="72"/>
      <c r="BL575" s="72"/>
      <c r="BM575" s="72"/>
      <c r="BN575" s="72"/>
      <c r="BO575" s="72"/>
      <c r="BP575" s="72"/>
      <c r="BQ575" s="72"/>
      <c r="BR575" s="72"/>
      <c r="BS575" s="72"/>
      <c r="BT575" s="72"/>
      <c r="BU575" s="72"/>
      <c r="BV575" s="72"/>
      <c r="BW575" s="72"/>
      <c r="BX575" s="114"/>
    </row>
    <row r="576" spans="1:76">
      <c r="A576" s="71"/>
      <c r="B576" s="71"/>
      <c r="C576" s="71" t="s">
        <v>1836</v>
      </c>
      <c r="D576" s="71"/>
      <c r="E576" s="71"/>
      <c r="F576" s="39"/>
      <c r="G576" s="59"/>
      <c r="H576" s="59"/>
      <c r="I576" s="59"/>
      <c r="J576" s="59"/>
      <c r="K576" s="59"/>
      <c r="L576" s="59"/>
      <c r="M576" s="59"/>
      <c r="N576" s="60"/>
      <c r="O576" s="22"/>
      <c r="P576" s="72"/>
      <c r="Q576" s="72"/>
      <c r="R576" s="72"/>
      <c r="S576" s="72"/>
      <c r="T576" s="72"/>
      <c r="U576" s="72"/>
      <c r="V576" s="72"/>
      <c r="W576" s="72"/>
      <c r="X576" s="72"/>
      <c r="Y576" s="72"/>
      <c r="Z576" s="72"/>
      <c r="AA576" s="72"/>
      <c r="AB576" s="72"/>
      <c r="AC576" s="72"/>
      <c r="AD576" s="72"/>
      <c r="AE576" s="72"/>
      <c r="AF576" s="72"/>
      <c r="AG576" s="72"/>
      <c r="AH576" s="72"/>
      <c r="AI576" s="72"/>
      <c r="AJ576" s="72"/>
      <c r="AK576" s="72"/>
      <c r="AL576" s="72"/>
      <c r="AM576" s="72"/>
      <c r="AN576" s="72"/>
      <c r="AO576" s="72"/>
      <c r="AP576" s="72"/>
      <c r="AQ576" s="72"/>
      <c r="AR576" s="72"/>
      <c r="AS576" s="72"/>
      <c r="AT576" s="72"/>
      <c r="AU576" s="72"/>
      <c r="AV576" s="72"/>
      <c r="AW576" s="72"/>
      <c r="AX576" s="72"/>
      <c r="AY576" s="72"/>
      <c r="AZ576" s="72"/>
      <c r="BA576" s="72"/>
      <c r="BB576" s="72"/>
      <c r="BC576" s="72"/>
      <c r="BD576" s="72"/>
      <c r="BE576" s="72"/>
      <c r="BF576" s="72"/>
      <c r="BG576" s="72"/>
      <c r="BH576" s="72"/>
      <c r="BI576" s="72"/>
      <c r="BJ576" s="72"/>
      <c r="BK576" s="72"/>
      <c r="BL576" s="72"/>
      <c r="BM576" s="72"/>
      <c r="BN576" s="72"/>
      <c r="BO576" s="72"/>
      <c r="BP576" s="72"/>
      <c r="BQ576" s="72"/>
      <c r="BR576" s="72"/>
      <c r="BS576" s="72"/>
      <c r="BT576" s="72"/>
      <c r="BU576" s="72"/>
      <c r="BV576" s="72"/>
      <c r="BW576" s="72"/>
      <c r="BX576" s="114"/>
    </row>
    <row r="577" spans="1:76">
      <c r="A577" s="71"/>
      <c r="B577" s="71"/>
      <c r="C577" s="71" t="s">
        <v>232</v>
      </c>
      <c r="D577" s="71"/>
      <c r="E577" s="71"/>
      <c r="F577" s="39"/>
      <c r="G577" s="59"/>
      <c r="H577" s="59"/>
      <c r="I577" s="59"/>
      <c r="J577" s="59"/>
      <c r="K577" s="59"/>
      <c r="L577" s="59"/>
      <c r="M577" s="59"/>
      <c r="N577" s="60"/>
      <c r="O577" s="22"/>
      <c r="P577" s="72"/>
      <c r="Q577" s="72"/>
      <c r="R577" s="72"/>
      <c r="S577" s="72"/>
      <c r="T577" s="72"/>
      <c r="U577" s="72"/>
      <c r="V577" s="72"/>
      <c r="W577" s="72"/>
      <c r="X577" s="72"/>
      <c r="Y577" s="72"/>
      <c r="Z577" s="72"/>
      <c r="AA577" s="72"/>
      <c r="AB577" s="72"/>
      <c r="AC577" s="72"/>
      <c r="AD577" s="72"/>
      <c r="AE577" s="72"/>
      <c r="AF577" s="72"/>
      <c r="AG577" s="72"/>
      <c r="AH577" s="72"/>
      <c r="AI577" s="72"/>
      <c r="AJ577" s="72"/>
      <c r="AK577" s="72"/>
      <c r="AL577" s="72"/>
      <c r="AM577" s="72"/>
      <c r="AN577" s="72"/>
      <c r="AO577" s="72"/>
      <c r="AP577" s="72"/>
      <c r="AQ577" s="72"/>
      <c r="AR577" s="72"/>
      <c r="AS577" s="72"/>
      <c r="AT577" s="72"/>
      <c r="AU577" s="72"/>
      <c r="AV577" s="72"/>
      <c r="AW577" s="72"/>
      <c r="AX577" s="72"/>
      <c r="AY577" s="72"/>
      <c r="AZ577" s="72"/>
      <c r="BA577" s="72"/>
      <c r="BB577" s="72"/>
      <c r="BC577" s="72"/>
      <c r="BD577" s="72"/>
      <c r="BE577" s="72"/>
      <c r="BF577" s="72"/>
      <c r="BG577" s="72"/>
      <c r="BH577" s="72"/>
      <c r="BI577" s="72"/>
      <c r="BJ577" s="72"/>
      <c r="BK577" s="72"/>
      <c r="BL577" s="72"/>
      <c r="BM577" s="72"/>
      <c r="BN577" s="72"/>
      <c r="BO577" s="72"/>
      <c r="BP577" s="72"/>
      <c r="BQ577" s="72"/>
      <c r="BR577" s="72"/>
      <c r="BS577" s="72"/>
      <c r="BT577" s="72"/>
      <c r="BU577" s="72"/>
      <c r="BV577" s="72"/>
      <c r="BW577" s="72"/>
      <c r="BX577" s="114"/>
    </row>
    <row r="578" spans="1:76">
      <c r="A578" s="71"/>
      <c r="B578" s="71"/>
      <c r="C578" s="71" t="s">
        <v>233</v>
      </c>
      <c r="D578" s="71"/>
      <c r="E578" s="71"/>
      <c r="F578" s="39"/>
      <c r="G578" s="59"/>
      <c r="H578" s="59"/>
      <c r="I578" s="59"/>
      <c r="J578" s="59"/>
      <c r="K578" s="59"/>
      <c r="L578" s="59"/>
      <c r="M578" s="59"/>
      <c r="N578" s="60"/>
      <c r="O578" s="22"/>
      <c r="P578" s="72"/>
      <c r="Q578" s="72"/>
      <c r="R578" s="72"/>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114"/>
    </row>
    <row r="579" spans="1:76">
      <c r="A579" s="71"/>
      <c r="B579" s="71"/>
      <c r="C579" s="71" t="s">
        <v>234</v>
      </c>
      <c r="D579" s="71"/>
      <c r="E579" s="71"/>
      <c r="F579" s="39"/>
      <c r="G579" s="59"/>
      <c r="H579" s="59"/>
      <c r="I579" s="59"/>
      <c r="J579" s="59"/>
      <c r="K579" s="59"/>
      <c r="L579" s="59"/>
      <c r="M579" s="59"/>
      <c r="N579" s="60"/>
      <c r="O579" s="22"/>
      <c r="P579" s="72"/>
      <c r="Q579" s="72"/>
      <c r="R579" s="72"/>
      <c r="S579" s="72"/>
      <c r="T579" s="72"/>
      <c r="U579" s="72"/>
      <c r="V579" s="72"/>
      <c r="W579" s="72"/>
      <c r="X579" s="72"/>
      <c r="Y579" s="72"/>
      <c r="Z579" s="72"/>
      <c r="AA579" s="72"/>
      <c r="AB579" s="72"/>
      <c r="AC579" s="72"/>
      <c r="AD579" s="72"/>
      <c r="AE579" s="72"/>
      <c r="AF579" s="72"/>
      <c r="AG579" s="72"/>
      <c r="AH579" s="72"/>
      <c r="AI579" s="72"/>
      <c r="AJ579" s="72"/>
      <c r="AK579" s="72"/>
      <c r="AL579" s="72"/>
      <c r="AM579" s="72"/>
      <c r="AN579" s="72"/>
      <c r="AO579" s="72"/>
      <c r="AP579" s="72"/>
      <c r="AQ579" s="72"/>
      <c r="AR579" s="72"/>
      <c r="AS579" s="72"/>
      <c r="AT579" s="72"/>
      <c r="AU579" s="72"/>
      <c r="AV579" s="72"/>
      <c r="AW579" s="72"/>
      <c r="AX579" s="72"/>
      <c r="AY579" s="72"/>
      <c r="AZ579" s="72"/>
      <c r="BA579" s="72"/>
      <c r="BB579" s="72"/>
      <c r="BC579" s="72"/>
      <c r="BD579" s="72"/>
      <c r="BE579" s="72"/>
      <c r="BF579" s="72"/>
      <c r="BG579" s="72"/>
      <c r="BH579" s="72"/>
      <c r="BI579" s="72"/>
      <c r="BJ579" s="72"/>
      <c r="BK579" s="72"/>
      <c r="BL579" s="72"/>
      <c r="BM579" s="72"/>
      <c r="BN579" s="72"/>
      <c r="BO579" s="72"/>
      <c r="BP579" s="72"/>
      <c r="BQ579" s="72"/>
      <c r="BR579" s="72"/>
      <c r="BS579" s="72"/>
      <c r="BT579" s="72"/>
      <c r="BU579" s="72"/>
      <c r="BV579" s="72"/>
      <c r="BW579" s="72"/>
      <c r="BX579" s="114"/>
    </row>
    <row r="580" spans="1:76">
      <c r="A580" s="71"/>
      <c r="B580" s="71"/>
      <c r="C580" s="71" t="s">
        <v>2138</v>
      </c>
      <c r="D580" s="71"/>
      <c r="E580" s="71"/>
      <c r="F580" s="39"/>
      <c r="G580" s="59"/>
      <c r="H580" s="59"/>
      <c r="I580" s="59"/>
      <c r="J580" s="59"/>
      <c r="K580" s="59"/>
      <c r="L580" s="59"/>
      <c r="M580" s="59"/>
      <c r="N580" s="60"/>
      <c r="O580" s="22"/>
      <c r="P580" s="72"/>
      <c r="Q580" s="72"/>
      <c r="R580" s="72"/>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114"/>
    </row>
    <row r="581" spans="1:76">
      <c r="A581" s="37"/>
      <c r="B581" s="37"/>
      <c r="C581" s="37" t="s">
        <v>2139</v>
      </c>
      <c r="D581" s="37"/>
      <c r="E581" s="37"/>
      <c r="F581" s="39"/>
      <c r="G581" s="59"/>
      <c r="H581" s="59"/>
      <c r="I581" s="59"/>
      <c r="J581" s="59"/>
      <c r="K581" s="59"/>
      <c r="L581" s="59"/>
      <c r="M581" s="59"/>
      <c r="N581" s="60"/>
      <c r="O581" s="36"/>
      <c r="P581" s="48"/>
      <c r="Q581" s="48"/>
      <c r="R581" s="48"/>
      <c r="S581" s="48"/>
      <c r="T581" s="48"/>
      <c r="U581" s="48"/>
      <c r="V581" s="48"/>
      <c r="W581" s="48"/>
      <c r="X581" s="48"/>
      <c r="Y581" s="48"/>
      <c r="Z581" s="48"/>
      <c r="AA581" s="48"/>
      <c r="AB581" s="48"/>
      <c r="AC581" s="48"/>
      <c r="AD581" s="48"/>
      <c r="AE581" s="48"/>
      <c r="AF581" s="48"/>
      <c r="AG581" s="48"/>
      <c r="AH581" s="48"/>
      <c r="AI581" s="48"/>
      <c r="AJ581" s="48"/>
      <c r="AK581" s="48"/>
      <c r="AL581" s="48"/>
      <c r="AM581" s="48"/>
      <c r="AN581" s="48"/>
      <c r="AO581" s="48"/>
      <c r="AP581" s="48"/>
      <c r="AQ581" s="48"/>
      <c r="AR581" s="48"/>
      <c r="AS581" s="48"/>
      <c r="AT581" s="48"/>
      <c r="AU581" s="48"/>
      <c r="AV581" s="48"/>
      <c r="AW581" s="48"/>
      <c r="AX581" s="48"/>
      <c r="AY581" s="48"/>
      <c r="AZ581" s="48"/>
      <c r="BA581" s="48"/>
      <c r="BB581" s="48"/>
      <c r="BC581" s="48"/>
      <c r="BD581" s="48"/>
      <c r="BE581" s="48"/>
      <c r="BF581" s="48"/>
      <c r="BG581" s="48"/>
      <c r="BH581" s="48"/>
      <c r="BI581" s="48"/>
      <c r="BJ581" s="48"/>
      <c r="BK581" s="48"/>
      <c r="BL581" s="48"/>
      <c r="BM581" s="48"/>
      <c r="BN581" s="48"/>
      <c r="BO581" s="48"/>
      <c r="BP581" s="48"/>
      <c r="BQ581" s="48"/>
      <c r="BR581" s="48"/>
      <c r="BS581" s="48"/>
      <c r="BT581" s="48"/>
      <c r="BU581" s="48"/>
      <c r="BV581" s="48"/>
      <c r="BW581" s="48"/>
      <c r="BX581" s="111"/>
    </row>
    <row r="582" spans="1:76">
      <c r="A582" s="52"/>
      <c r="B582" s="52"/>
      <c r="C582" s="52" t="s">
        <v>1670</v>
      </c>
      <c r="D582" s="52"/>
      <c r="E582" s="52"/>
      <c r="F582" s="53"/>
      <c r="G582" s="53">
        <f t="shared" ref="G582:N582" si="88">IF(AND(OR(ISTEXT(G583), ISBLANK(G583)),OR(ISTEXT(G584), ISBLANK(G584)),OR(ISTEXT(G585), ISBLANK(G585)),OR(ISTEXT(G586), ISBLANK(G586)),TRUE),"", +IF(ISTEXT(G583), 0,G583)+IF(ISTEXT(G584), 0,G584)+IF(ISTEXT(G585), 0,G585)+IF(ISTEXT(G586), 0,G586))</f>
        <v>100</v>
      </c>
      <c r="H582" s="53">
        <f t="shared" si="88"/>
        <v>85</v>
      </c>
      <c r="I582" s="53">
        <f t="shared" si="88"/>
        <v>154</v>
      </c>
      <c r="J582" s="53">
        <f t="shared" si="88"/>
        <v>249</v>
      </c>
      <c r="K582" s="53">
        <f t="shared" si="88"/>
        <v>271</v>
      </c>
      <c r="L582" s="53">
        <f t="shared" si="88"/>
        <v>271</v>
      </c>
      <c r="M582" s="53">
        <f t="shared" si="88"/>
        <v>271</v>
      </c>
      <c r="N582" s="55">
        <f t="shared" si="88"/>
        <v>271</v>
      </c>
      <c r="O582" s="54"/>
      <c r="P582" s="55"/>
      <c r="Q582" s="55"/>
      <c r="R582" s="55"/>
      <c r="S582" s="55"/>
      <c r="T582" s="55"/>
      <c r="U582" s="55"/>
      <c r="V582" s="55"/>
      <c r="W582" s="55"/>
      <c r="X582" s="55"/>
      <c r="Y582" s="55"/>
      <c r="Z582" s="55"/>
      <c r="AA582" s="55"/>
      <c r="AB582" s="55"/>
      <c r="AC582" s="55"/>
      <c r="AD582" s="55"/>
      <c r="AE582" s="55"/>
      <c r="AF582" s="55"/>
      <c r="AG582" s="55"/>
      <c r="AH582" s="55"/>
      <c r="AI582" s="55"/>
      <c r="AJ582" s="55"/>
      <c r="AK582" s="55"/>
      <c r="AL582" s="55"/>
      <c r="AM582" s="55"/>
      <c r="AN582" s="55"/>
      <c r="AO582" s="55"/>
      <c r="AP582" s="55"/>
      <c r="AQ582" s="55"/>
      <c r="AR582" s="55"/>
      <c r="AS582" s="55"/>
      <c r="AT582" s="55"/>
      <c r="AU582" s="55"/>
      <c r="AV582" s="55"/>
      <c r="AW582" s="55"/>
      <c r="AX582" s="55"/>
      <c r="AY582" s="55"/>
      <c r="AZ582" s="55"/>
      <c r="BA582" s="55"/>
      <c r="BB582" s="55"/>
      <c r="BC582" s="55"/>
      <c r="BD582" s="55"/>
      <c r="BE582" s="55"/>
      <c r="BF582" s="55"/>
      <c r="BG582" s="55"/>
      <c r="BH582" s="55"/>
      <c r="BI582" s="55"/>
      <c r="BJ582" s="55"/>
      <c r="BK582" s="55"/>
      <c r="BL582" s="55"/>
      <c r="BM582" s="55"/>
      <c r="BN582" s="55"/>
      <c r="BO582" s="55"/>
      <c r="BP582" s="55"/>
      <c r="BQ582" s="55"/>
      <c r="BR582" s="55"/>
      <c r="BS582" s="55"/>
      <c r="BT582" s="55"/>
      <c r="BU582" s="55"/>
      <c r="BV582" s="55"/>
      <c r="BW582" s="55"/>
      <c r="BX582" s="112"/>
    </row>
    <row r="583" spans="1:76">
      <c r="A583" s="37"/>
      <c r="B583" s="37"/>
      <c r="C583" s="37"/>
      <c r="D583" s="37" t="s">
        <v>611</v>
      </c>
      <c r="E583" s="37"/>
      <c r="F583" s="39"/>
      <c r="G583" s="59"/>
      <c r="H583" s="59"/>
      <c r="I583" s="59"/>
      <c r="J583" s="59"/>
      <c r="K583" s="59"/>
      <c r="L583" s="59"/>
      <c r="M583" s="59"/>
      <c r="N583" s="60"/>
      <c r="O583" s="36"/>
      <c r="P583" s="48"/>
      <c r="Q583" s="48"/>
      <c r="R583" s="48"/>
      <c r="S583" s="48"/>
      <c r="T583" s="48"/>
      <c r="U583" s="48"/>
      <c r="V583" s="48"/>
      <c r="W583" s="48"/>
      <c r="X583" s="48"/>
      <c r="Y583" s="48"/>
      <c r="Z583" s="48"/>
      <c r="AA583" s="48"/>
      <c r="AB583" s="48"/>
      <c r="AC583" s="48"/>
      <c r="AD583" s="48"/>
      <c r="AE583" s="48"/>
      <c r="AF583" s="48"/>
      <c r="AG583" s="48"/>
      <c r="AH583" s="48"/>
      <c r="AI583" s="48"/>
      <c r="AJ583" s="48"/>
      <c r="AK583" s="48"/>
      <c r="AL583" s="48"/>
      <c r="AM583" s="48"/>
      <c r="AN583" s="48"/>
      <c r="AO583" s="48"/>
      <c r="AP583" s="48"/>
      <c r="AQ583" s="48"/>
      <c r="AR583" s="48"/>
      <c r="AS583" s="48"/>
      <c r="AT583" s="48"/>
      <c r="AU583" s="48"/>
      <c r="AV583" s="48"/>
      <c r="AW583" s="48"/>
      <c r="AX583" s="48"/>
      <c r="AY583" s="48"/>
      <c r="AZ583" s="48"/>
      <c r="BA583" s="48"/>
      <c r="BB583" s="48"/>
      <c r="BC583" s="48"/>
      <c r="BD583" s="48"/>
      <c r="BE583" s="48"/>
      <c r="BF583" s="48"/>
      <c r="BG583" s="48"/>
      <c r="BH583" s="48"/>
      <c r="BI583" s="48"/>
      <c r="BJ583" s="48"/>
      <c r="BK583" s="48"/>
      <c r="BL583" s="48"/>
      <c r="BM583" s="48"/>
      <c r="BN583" s="48"/>
      <c r="BO583" s="48"/>
      <c r="BP583" s="48"/>
      <c r="BQ583" s="48"/>
      <c r="BR583" s="48"/>
      <c r="BS583" s="48"/>
      <c r="BT583" s="48"/>
      <c r="BU583" s="48"/>
      <c r="BV583" s="48"/>
      <c r="BW583" s="48"/>
      <c r="BX583" s="111"/>
    </row>
    <row r="584" spans="1:76">
      <c r="A584" s="37"/>
      <c r="B584" s="37"/>
      <c r="C584" s="37"/>
      <c r="D584" s="37" t="s">
        <v>612</v>
      </c>
      <c r="E584" s="37"/>
      <c r="F584" s="39"/>
      <c r="G584" s="59"/>
      <c r="H584" s="59"/>
      <c r="I584" s="59"/>
      <c r="J584" s="59"/>
      <c r="K584" s="59"/>
      <c r="L584" s="59"/>
      <c r="M584" s="59"/>
      <c r="N584" s="60"/>
      <c r="O584" s="36"/>
      <c r="P584" s="48"/>
      <c r="Q584" s="48"/>
      <c r="R584" s="48"/>
      <c r="S584" s="48"/>
      <c r="T584" s="48"/>
      <c r="U584" s="48"/>
      <c r="V584" s="48"/>
      <c r="W584" s="48"/>
      <c r="X584" s="48"/>
      <c r="Y584" s="48"/>
      <c r="Z584" s="48"/>
      <c r="AA584" s="48"/>
      <c r="AB584" s="48"/>
      <c r="AC584" s="48"/>
      <c r="AD584" s="48"/>
      <c r="AE584" s="48"/>
      <c r="AF584" s="48"/>
      <c r="AG584" s="48"/>
      <c r="AH584" s="48"/>
      <c r="AI584" s="48"/>
      <c r="AJ584" s="48"/>
      <c r="AK584" s="48"/>
      <c r="AL584" s="48"/>
      <c r="AM584" s="48"/>
      <c r="AN584" s="48"/>
      <c r="AO584" s="48"/>
      <c r="AP584" s="48"/>
      <c r="AQ584" s="48"/>
      <c r="AR584" s="48"/>
      <c r="AS584" s="48"/>
      <c r="AT584" s="48"/>
      <c r="AU584" s="48"/>
      <c r="AV584" s="48"/>
      <c r="AW584" s="48"/>
      <c r="AX584" s="48"/>
      <c r="AY584" s="48"/>
      <c r="AZ584" s="48"/>
      <c r="BA584" s="48"/>
      <c r="BB584" s="48"/>
      <c r="BC584" s="48"/>
      <c r="BD584" s="48"/>
      <c r="BE584" s="48"/>
      <c r="BF584" s="48"/>
      <c r="BG584" s="48"/>
      <c r="BH584" s="48"/>
      <c r="BI584" s="48"/>
      <c r="BJ584" s="48"/>
      <c r="BK584" s="48"/>
      <c r="BL584" s="48"/>
      <c r="BM584" s="48"/>
      <c r="BN584" s="48"/>
      <c r="BO584" s="48"/>
      <c r="BP584" s="48"/>
      <c r="BQ584" s="48"/>
      <c r="BR584" s="48"/>
      <c r="BS584" s="48"/>
      <c r="BT584" s="48"/>
      <c r="BU584" s="48"/>
      <c r="BV584" s="48"/>
      <c r="BW584" s="48"/>
      <c r="BX584" s="111"/>
    </row>
    <row r="585" spans="1:76">
      <c r="A585" s="37"/>
      <c r="B585" s="37"/>
      <c r="C585" s="37"/>
      <c r="D585" s="37" t="s">
        <v>150</v>
      </c>
      <c r="E585" s="37"/>
      <c r="F585" s="39"/>
      <c r="G585" s="59"/>
      <c r="H585" s="59"/>
      <c r="I585" s="59"/>
      <c r="J585" s="59"/>
      <c r="K585" s="59"/>
      <c r="L585" s="59"/>
      <c r="M585" s="59"/>
      <c r="N585" s="60"/>
      <c r="O585" s="36"/>
      <c r="P585" s="48"/>
      <c r="Q585" s="48"/>
      <c r="R585" s="48"/>
      <c r="S585" s="48"/>
      <c r="T585" s="48"/>
      <c r="U585" s="48"/>
      <c r="V585" s="48"/>
      <c r="W585" s="48"/>
      <c r="X585" s="48"/>
      <c r="Y585" s="48"/>
      <c r="Z585" s="48"/>
      <c r="AA585" s="48"/>
      <c r="AB585" s="48"/>
      <c r="AC585" s="48"/>
      <c r="AD585" s="48"/>
      <c r="AE585" s="48"/>
      <c r="AF585" s="48"/>
      <c r="AG585" s="48"/>
      <c r="AH585" s="48"/>
      <c r="AI585" s="48"/>
      <c r="AJ585" s="48"/>
      <c r="AK585" s="48"/>
      <c r="AL585" s="48"/>
      <c r="AM585" s="48"/>
      <c r="AN585" s="48"/>
      <c r="AO585" s="48"/>
      <c r="AP585" s="48"/>
      <c r="AQ585" s="48"/>
      <c r="AR585" s="48"/>
      <c r="AS585" s="48"/>
      <c r="AT585" s="48"/>
      <c r="AU585" s="48"/>
      <c r="AV585" s="48"/>
      <c r="AW585" s="48"/>
      <c r="AX585" s="48"/>
      <c r="AY585" s="48"/>
      <c r="AZ585" s="48"/>
      <c r="BA585" s="48"/>
      <c r="BB585" s="48"/>
      <c r="BC585" s="48"/>
      <c r="BD585" s="48"/>
      <c r="BE585" s="48"/>
      <c r="BF585" s="48"/>
      <c r="BG585" s="48"/>
      <c r="BH585" s="48"/>
      <c r="BI585" s="48"/>
      <c r="BJ585" s="48"/>
      <c r="BK585" s="48"/>
      <c r="BL585" s="48"/>
      <c r="BM585" s="48"/>
      <c r="BN585" s="48"/>
      <c r="BO585" s="48"/>
      <c r="BP585" s="48"/>
      <c r="BQ585" s="48"/>
      <c r="BR585" s="48"/>
      <c r="BS585" s="48"/>
      <c r="BT585" s="48"/>
      <c r="BU585" s="48"/>
      <c r="BV585" s="48"/>
      <c r="BW585" s="48"/>
      <c r="BX585" s="111"/>
    </row>
    <row r="586" spans="1:76">
      <c r="A586" s="37"/>
      <c r="B586" s="37"/>
      <c r="C586" s="37"/>
      <c r="D586" s="37" t="s">
        <v>874</v>
      </c>
      <c r="E586" s="37"/>
      <c r="F586" s="39"/>
      <c r="G586" s="59">
        <f>G315</f>
        <v>100</v>
      </c>
      <c r="H586" s="59">
        <f>H315</f>
        <v>85</v>
      </c>
      <c r="I586" s="59">
        <f>I315</f>
        <v>154</v>
      </c>
      <c r="J586" s="59">
        <f>J315</f>
        <v>249</v>
      </c>
      <c r="K586" s="59">
        <f>338-67</f>
        <v>271</v>
      </c>
      <c r="L586" s="59">
        <f>+K586</f>
        <v>271</v>
      </c>
      <c r="M586" s="59">
        <f>+L586</f>
        <v>271</v>
      </c>
      <c r="N586" s="59">
        <f>+M586</f>
        <v>271</v>
      </c>
      <c r="O586" s="58"/>
      <c r="P586" s="48"/>
      <c r="Q586" s="48"/>
      <c r="R586" s="48"/>
      <c r="S586" s="48"/>
      <c r="T586" s="48"/>
      <c r="U586" s="48"/>
      <c r="V586" s="48"/>
      <c r="W586" s="48"/>
      <c r="X586" s="48"/>
      <c r="Y586" s="48"/>
      <c r="Z586" s="48"/>
      <c r="AA586" s="48"/>
      <c r="AB586" s="48"/>
      <c r="AC586" s="48"/>
      <c r="AD586" s="48"/>
      <c r="AE586" s="48"/>
      <c r="AF586" s="48"/>
      <c r="AG586" s="48"/>
      <c r="AH586" s="48"/>
      <c r="AI586" s="48"/>
      <c r="AJ586" s="48"/>
      <c r="AK586" s="48"/>
      <c r="AL586" s="48"/>
      <c r="AM586" s="48"/>
      <c r="AN586" s="48"/>
      <c r="AO586" s="48"/>
      <c r="AP586" s="48"/>
      <c r="AQ586" s="48"/>
      <c r="AR586" s="48"/>
      <c r="AS586" s="48"/>
      <c r="AT586" s="48"/>
      <c r="AU586" s="48"/>
      <c r="AV586" s="48"/>
      <c r="AW586" s="48"/>
      <c r="AX586" s="48"/>
      <c r="AY586" s="48"/>
      <c r="AZ586" s="48"/>
      <c r="BA586" s="48"/>
      <c r="BB586" s="48"/>
      <c r="BC586" s="48"/>
      <c r="BD586" s="48"/>
      <c r="BE586" s="48"/>
      <c r="BF586" s="48"/>
      <c r="BG586" s="48"/>
      <c r="BH586" s="48"/>
      <c r="BI586" s="48"/>
      <c r="BJ586" s="48"/>
      <c r="BK586" s="48"/>
      <c r="BL586" s="48"/>
      <c r="BM586" s="48"/>
      <c r="BN586" s="48"/>
      <c r="BO586" s="48"/>
      <c r="BP586" s="48"/>
      <c r="BQ586" s="48"/>
      <c r="BR586" s="48"/>
      <c r="BS586" s="48"/>
      <c r="BT586" s="48"/>
      <c r="BU586" s="48"/>
      <c r="BV586" s="48"/>
      <c r="BW586" s="48"/>
      <c r="BX586" s="111"/>
    </row>
    <row r="587" spans="1:76">
      <c r="A587" s="37"/>
      <c r="B587" s="37"/>
      <c r="C587" s="37" t="s">
        <v>875</v>
      </c>
      <c r="D587" s="37"/>
      <c r="E587" s="37"/>
      <c r="F587" s="39"/>
      <c r="G587" s="59"/>
      <c r="H587" s="59"/>
      <c r="I587" s="59"/>
      <c r="J587" s="59"/>
      <c r="K587" s="59"/>
      <c r="L587" s="59"/>
      <c r="M587" s="59"/>
      <c r="N587" s="59"/>
      <c r="O587" s="36"/>
      <c r="P587" s="48"/>
      <c r="Q587" s="48"/>
      <c r="R587" s="48"/>
      <c r="S587" s="48"/>
      <c r="T587" s="48"/>
      <c r="U587" s="48"/>
      <c r="V587" s="48"/>
      <c r="W587" s="48"/>
      <c r="X587" s="48"/>
      <c r="Y587" s="48"/>
      <c r="Z587" s="48"/>
      <c r="AA587" s="48"/>
      <c r="AB587" s="48"/>
      <c r="AC587" s="48"/>
      <c r="AD587" s="48"/>
      <c r="AE587" s="48"/>
      <c r="AF587" s="48"/>
      <c r="AG587" s="48"/>
      <c r="AH587" s="48"/>
      <c r="AI587" s="48"/>
      <c r="AJ587" s="48"/>
      <c r="AK587" s="48"/>
      <c r="AL587" s="48"/>
      <c r="AM587" s="48"/>
      <c r="AN587" s="48"/>
      <c r="AO587" s="48"/>
      <c r="AP587" s="48"/>
      <c r="AQ587" s="48"/>
      <c r="AR587" s="48"/>
      <c r="AS587" s="48"/>
      <c r="AT587" s="48"/>
      <c r="AU587" s="48"/>
      <c r="AV587" s="48"/>
      <c r="AW587" s="48"/>
      <c r="AX587" s="48"/>
      <c r="AY587" s="48"/>
      <c r="AZ587" s="48"/>
      <c r="BA587" s="48"/>
      <c r="BB587" s="48"/>
      <c r="BC587" s="48"/>
      <c r="BD587" s="48"/>
      <c r="BE587" s="48"/>
      <c r="BF587" s="48"/>
      <c r="BG587" s="48"/>
      <c r="BH587" s="48"/>
      <c r="BI587" s="48"/>
      <c r="BJ587" s="48"/>
      <c r="BK587" s="48"/>
      <c r="BL587" s="48"/>
      <c r="BM587" s="48"/>
      <c r="BN587" s="48"/>
      <c r="BO587" s="48"/>
      <c r="BP587" s="48"/>
      <c r="BQ587" s="48"/>
      <c r="BR587" s="48"/>
      <c r="BS587" s="48"/>
      <c r="BT587" s="48"/>
      <c r="BU587" s="48"/>
      <c r="BV587" s="48"/>
      <c r="BW587" s="48"/>
      <c r="BX587" s="111"/>
    </row>
    <row r="588" spans="1:76">
      <c r="A588" s="37"/>
      <c r="B588" s="37"/>
      <c r="C588" s="37" t="s">
        <v>685</v>
      </c>
      <c r="D588" s="37"/>
      <c r="E588" s="37"/>
      <c r="F588" s="39"/>
      <c r="G588" s="39" t="str">
        <f t="shared" ref="G588:N588" si="89">IF(AND(OR(ISTEXT(G589), ISBLANK(G589)),OR(ISTEXT(G590), ISBLANK(G590)),TRUE),"", +IF(ISTEXT(G589), 0,G589)+IF(ISTEXT(G590), 0,G590))</f>
        <v/>
      </c>
      <c r="H588" s="39" t="str">
        <f t="shared" si="89"/>
        <v/>
      </c>
      <c r="I588" s="39" t="str">
        <f t="shared" si="89"/>
        <v/>
      </c>
      <c r="J588" s="39" t="str">
        <f t="shared" si="89"/>
        <v/>
      </c>
      <c r="K588" s="39" t="str">
        <f t="shared" si="89"/>
        <v/>
      </c>
      <c r="L588" s="39" t="str">
        <f t="shared" si="89"/>
        <v/>
      </c>
      <c r="M588" s="39" t="str">
        <f t="shared" si="89"/>
        <v/>
      </c>
      <c r="N588" s="48" t="str">
        <f t="shared" si="89"/>
        <v/>
      </c>
      <c r="O588" s="36"/>
      <c r="P588" s="48"/>
      <c r="Q588" s="48"/>
      <c r="R588" s="48"/>
      <c r="S588" s="48"/>
      <c r="T588" s="48"/>
      <c r="U588" s="48"/>
      <c r="V588" s="48"/>
      <c r="W588" s="48"/>
      <c r="X588" s="48"/>
      <c r="Y588" s="48"/>
      <c r="Z588" s="48"/>
      <c r="AA588" s="48"/>
      <c r="AB588" s="48"/>
      <c r="AC588" s="48"/>
      <c r="AD588" s="48"/>
      <c r="AE588" s="48"/>
      <c r="AF588" s="48"/>
      <c r="AG588" s="48"/>
      <c r="AH588" s="48"/>
      <c r="AI588" s="48"/>
      <c r="AJ588" s="48"/>
      <c r="AK588" s="48"/>
      <c r="AL588" s="48"/>
      <c r="AM588" s="48"/>
      <c r="AN588" s="48"/>
      <c r="AO588" s="48"/>
      <c r="AP588" s="48"/>
      <c r="AQ588" s="48"/>
      <c r="AR588" s="48"/>
      <c r="AS588" s="48"/>
      <c r="AT588" s="48"/>
      <c r="AU588" s="48"/>
      <c r="AV588" s="48"/>
      <c r="AW588" s="48"/>
      <c r="AX588" s="48"/>
      <c r="AY588" s="48"/>
      <c r="AZ588" s="48"/>
      <c r="BA588" s="48"/>
      <c r="BB588" s="48"/>
      <c r="BC588" s="48"/>
      <c r="BD588" s="48"/>
      <c r="BE588" s="48"/>
      <c r="BF588" s="48"/>
      <c r="BG588" s="48"/>
      <c r="BH588" s="48"/>
      <c r="BI588" s="48"/>
      <c r="BJ588" s="48"/>
      <c r="BK588" s="48"/>
      <c r="BL588" s="48"/>
      <c r="BM588" s="48"/>
      <c r="BN588" s="48"/>
      <c r="BO588" s="48"/>
      <c r="BP588" s="48"/>
      <c r="BQ588" s="48"/>
      <c r="BR588" s="48"/>
      <c r="BS588" s="48"/>
      <c r="BT588" s="48"/>
      <c r="BU588" s="48"/>
      <c r="BV588" s="48"/>
      <c r="BW588" s="48"/>
      <c r="BX588" s="111"/>
    </row>
    <row r="589" spans="1:76">
      <c r="A589" s="37"/>
      <c r="B589" s="37"/>
      <c r="C589" s="37"/>
      <c r="D589" s="37" t="s">
        <v>1739</v>
      </c>
      <c r="E589" s="37"/>
      <c r="F589" s="39"/>
      <c r="G589" s="59"/>
      <c r="H589" s="59"/>
      <c r="I589" s="59"/>
      <c r="J589" s="59"/>
      <c r="K589" s="59"/>
      <c r="L589" s="59"/>
      <c r="M589" s="59"/>
      <c r="N589" s="60"/>
      <c r="O589" s="36"/>
      <c r="P589" s="48"/>
      <c r="Q589" s="48"/>
      <c r="R589" s="48"/>
      <c r="S589" s="48"/>
      <c r="T589" s="48"/>
      <c r="U589" s="48"/>
      <c r="V589" s="48"/>
      <c r="W589" s="48"/>
      <c r="X589" s="48"/>
      <c r="Y589" s="48"/>
      <c r="Z589" s="48"/>
      <c r="AA589" s="48"/>
      <c r="AB589" s="48"/>
      <c r="AC589" s="48"/>
      <c r="AD589" s="48"/>
      <c r="AE589" s="48"/>
      <c r="AF589" s="48"/>
      <c r="AG589" s="48"/>
      <c r="AH589" s="48"/>
      <c r="AI589" s="48"/>
      <c r="AJ589" s="48"/>
      <c r="AK589" s="48"/>
      <c r="AL589" s="48"/>
      <c r="AM589" s="48"/>
      <c r="AN589" s="48"/>
      <c r="AO589" s="48"/>
      <c r="AP589" s="48"/>
      <c r="AQ589" s="48"/>
      <c r="AR589" s="48"/>
      <c r="AS589" s="48"/>
      <c r="AT589" s="48"/>
      <c r="AU589" s="48"/>
      <c r="AV589" s="48"/>
      <c r="AW589" s="48"/>
      <c r="AX589" s="48"/>
      <c r="AY589" s="48"/>
      <c r="AZ589" s="48"/>
      <c r="BA589" s="48"/>
      <c r="BB589" s="48"/>
      <c r="BC589" s="48"/>
      <c r="BD589" s="48"/>
      <c r="BE589" s="48"/>
      <c r="BF589" s="48"/>
      <c r="BG589" s="48"/>
      <c r="BH589" s="48"/>
      <c r="BI589" s="48"/>
      <c r="BJ589" s="48"/>
      <c r="BK589" s="48"/>
      <c r="BL589" s="48"/>
      <c r="BM589" s="48"/>
      <c r="BN589" s="48"/>
      <c r="BO589" s="48"/>
      <c r="BP589" s="48"/>
      <c r="BQ589" s="48"/>
      <c r="BR589" s="48"/>
      <c r="BS589" s="48"/>
      <c r="BT589" s="48"/>
      <c r="BU589" s="48"/>
      <c r="BV589" s="48"/>
      <c r="BW589" s="48"/>
      <c r="BX589" s="111"/>
    </row>
    <row r="590" spans="1:76">
      <c r="A590" s="37"/>
      <c r="B590" s="37"/>
      <c r="C590" s="37"/>
      <c r="D590" s="37" t="s">
        <v>1594</v>
      </c>
      <c r="E590" s="37"/>
      <c r="F590" s="39"/>
      <c r="G590" s="59"/>
      <c r="H590" s="59"/>
      <c r="I590" s="59"/>
      <c r="J590" s="59"/>
      <c r="K590" s="59"/>
      <c r="L590" s="59"/>
      <c r="M590" s="59"/>
      <c r="N590" s="60"/>
      <c r="O590" s="36"/>
      <c r="P590" s="48"/>
      <c r="Q590" s="48"/>
      <c r="R590" s="48"/>
      <c r="S590" s="48"/>
      <c r="T590" s="48"/>
      <c r="U590" s="48"/>
      <c r="V590" s="48"/>
      <c r="W590" s="48"/>
      <c r="X590" s="48"/>
      <c r="Y590" s="48"/>
      <c r="Z590" s="48"/>
      <c r="AA590" s="48"/>
      <c r="AB590" s="48"/>
      <c r="AC590" s="48"/>
      <c r="AD590" s="48"/>
      <c r="AE590" s="48"/>
      <c r="AF590" s="48"/>
      <c r="AG590" s="48"/>
      <c r="AH590" s="48"/>
      <c r="AI590" s="48"/>
      <c r="AJ590" s="48"/>
      <c r="AK590" s="48"/>
      <c r="AL590" s="48"/>
      <c r="AM590" s="48"/>
      <c r="AN590" s="48"/>
      <c r="AO590" s="48"/>
      <c r="AP590" s="48"/>
      <c r="AQ590" s="48"/>
      <c r="AR590" s="48"/>
      <c r="AS590" s="48"/>
      <c r="AT590" s="48"/>
      <c r="AU590" s="48"/>
      <c r="AV590" s="48"/>
      <c r="AW590" s="48"/>
      <c r="AX590" s="48"/>
      <c r="AY590" s="48"/>
      <c r="AZ590" s="48"/>
      <c r="BA590" s="48"/>
      <c r="BB590" s="48"/>
      <c r="BC590" s="48"/>
      <c r="BD590" s="48"/>
      <c r="BE590" s="48"/>
      <c r="BF590" s="48"/>
      <c r="BG590" s="48"/>
      <c r="BH590" s="48"/>
      <c r="BI590" s="48"/>
      <c r="BJ590" s="48"/>
      <c r="BK590" s="48"/>
      <c r="BL590" s="48"/>
      <c r="BM590" s="48"/>
      <c r="BN590" s="48"/>
      <c r="BO590" s="48"/>
      <c r="BP590" s="48"/>
      <c r="BQ590" s="48"/>
      <c r="BR590" s="48"/>
      <c r="BS590" s="48"/>
      <c r="BT590" s="48"/>
      <c r="BU590" s="48"/>
      <c r="BV590" s="48"/>
      <c r="BW590" s="48"/>
      <c r="BX590" s="111"/>
    </row>
    <row r="591" spans="1:76">
      <c r="A591" s="37"/>
      <c r="B591" s="37"/>
      <c r="C591" s="37" t="s">
        <v>1595</v>
      </c>
      <c r="D591" s="37"/>
      <c r="E591" s="37"/>
      <c r="F591" s="39"/>
      <c r="G591" s="59"/>
      <c r="H591" s="59"/>
      <c r="I591" s="59"/>
      <c r="J591" s="59"/>
      <c r="K591" s="59"/>
      <c r="L591" s="59"/>
      <c r="M591" s="59"/>
      <c r="N591" s="60"/>
      <c r="O591" s="36"/>
      <c r="P591" s="48"/>
      <c r="Q591" s="48"/>
      <c r="R591" s="48"/>
      <c r="S591" s="48"/>
      <c r="T591" s="48"/>
      <c r="U591" s="48"/>
      <c r="V591" s="48"/>
      <c r="W591" s="48"/>
      <c r="X591" s="48"/>
      <c r="Y591" s="48"/>
      <c r="Z591" s="48"/>
      <c r="AA591" s="48"/>
      <c r="AB591" s="48"/>
      <c r="AC591" s="48"/>
      <c r="AD591" s="48"/>
      <c r="AE591" s="48"/>
      <c r="AF591" s="48"/>
      <c r="AG591" s="48"/>
      <c r="AH591" s="48"/>
      <c r="AI591" s="48"/>
      <c r="AJ591" s="48"/>
      <c r="AK591" s="48"/>
      <c r="AL591" s="48"/>
      <c r="AM591" s="48"/>
      <c r="AN591" s="48"/>
      <c r="AO591" s="48"/>
      <c r="AP591" s="48"/>
      <c r="AQ591" s="48"/>
      <c r="AR591" s="48"/>
      <c r="AS591" s="48"/>
      <c r="AT591" s="48"/>
      <c r="AU591" s="48"/>
      <c r="AV591" s="48"/>
      <c r="AW591" s="48"/>
      <c r="AX591" s="48"/>
      <c r="AY591" s="48"/>
      <c r="AZ591" s="48"/>
      <c r="BA591" s="48"/>
      <c r="BB591" s="48"/>
      <c r="BC591" s="48"/>
      <c r="BD591" s="48"/>
      <c r="BE591" s="48"/>
      <c r="BF591" s="48"/>
      <c r="BG591" s="48"/>
      <c r="BH591" s="48"/>
      <c r="BI591" s="48"/>
      <c r="BJ591" s="48"/>
      <c r="BK591" s="48"/>
      <c r="BL591" s="48"/>
      <c r="BM591" s="48"/>
      <c r="BN591" s="48"/>
      <c r="BO591" s="48"/>
      <c r="BP591" s="48"/>
      <c r="BQ591" s="48"/>
      <c r="BR591" s="48"/>
      <c r="BS591" s="48"/>
      <c r="BT591" s="48"/>
      <c r="BU591" s="48"/>
      <c r="BV591" s="48"/>
      <c r="BW591" s="48"/>
      <c r="BX591" s="111"/>
    </row>
    <row r="592" spans="1:76">
      <c r="A592" s="37"/>
      <c r="B592" s="37"/>
      <c r="C592" s="37" t="s">
        <v>703</v>
      </c>
      <c r="D592" s="37"/>
      <c r="E592" s="37"/>
      <c r="F592" s="39"/>
      <c r="G592" s="59"/>
      <c r="H592" s="59"/>
      <c r="I592" s="59"/>
      <c r="J592" s="59"/>
      <c r="K592" s="59"/>
      <c r="L592" s="59"/>
      <c r="M592" s="59"/>
      <c r="N592" s="60"/>
      <c r="O592" s="36"/>
      <c r="P592" s="48"/>
      <c r="Q592" s="48"/>
      <c r="R592" s="48"/>
      <c r="S592" s="48"/>
      <c r="T592" s="48"/>
      <c r="U592" s="48"/>
      <c r="V592" s="48"/>
      <c r="W592" s="48"/>
      <c r="X592" s="48"/>
      <c r="Y592" s="48"/>
      <c r="Z592" s="48"/>
      <c r="AA592" s="48"/>
      <c r="AB592" s="48"/>
      <c r="AC592" s="48"/>
      <c r="AD592" s="48"/>
      <c r="AE592" s="48"/>
      <c r="AF592" s="48"/>
      <c r="AG592" s="48"/>
      <c r="AH592" s="48"/>
      <c r="AI592" s="48"/>
      <c r="AJ592" s="48"/>
      <c r="AK592" s="48"/>
      <c r="AL592" s="48"/>
      <c r="AM592" s="48"/>
      <c r="AN592" s="48"/>
      <c r="AO592" s="48"/>
      <c r="AP592" s="48"/>
      <c r="AQ592" s="48"/>
      <c r="AR592" s="48"/>
      <c r="AS592" s="48"/>
      <c r="AT592" s="48"/>
      <c r="AU592" s="48"/>
      <c r="AV592" s="48"/>
      <c r="AW592" s="48"/>
      <c r="AX592" s="48"/>
      <c r="AY592" s="48"/>
      <c r="AZ592" s="48"/>
      <c r="BA592" s="48"/>
      <c r="BB592" s="48"/>
      <c r="BC592" s="48"/>
      <c r="BD592" s="48"/>
      <c r="BE592" s="48"/>
      <c r="BF592" s="48"/>
      <c r="BG592" s="48"/>
      <c r="BH592" s="48"/>
      <c r="BI592" s="48"/>
      <c r="BJ592" s="48"/>
      <c r="BK592" s="48"/>
      <c r="BL592" s="48"/>
      <c r="BM592" s="48"/>
      <c r="BN592" s="48"/>
      <c r="BO592" s="48"/>
      <c r="BP592" s="48"/>
      <c r="BQ592" s="48"/>
      <c r="BR592" s="48"/>
      <c r="BS592" s="48"/>
      <c r="BT592" s="48"/>
      <c r="BU592" s="48"/>
      <c r="BV592" s="48"/>
      <c r="BW592" s="48"/>
      <c r="BX592" s="111"/>
    </row>
    <row r="593" spans="1:76">
      <c r="A593" s="37"/>
      <c r="B593" s="37"/>
      <c r="C593" s="37" t="s">
        <v>909</v>
      </c>
      <c r="D593" s="37"/>
      <c r="E593" s="37"/>
      <c r="F593" s="39"/>
      <c r="G593" s="59"/>
      <c r="H593" s="59"/>
      <c r="I593" s="59"/>
      <c r="J593" s="59"/>
      <c r="K593" s="59"/>
      <c r="L593" s="59"/>
      <c r="M593" s="59"/>
      <c r="N593" s="60"/>
      <c r="O593" s="36"/>
      <c r="P593" s="48"/>
      <c r="Q593" s="48"/>
      <c r="R593" s="48"/>
      <c r="S593" s="48"/>
      <c r="T593" s="48"/>
      <c r="U593" s="48"/>
      <c r="V593" s="48"/>
      <c r="W593" s="48"/>
      <c r="X593" s="48"/>
      <c r="Y593" s="48"/>
      <c r="Z593" s="48"/>
      <c r="AA593" s="48"/>
      <c r="AB593" s="48"/>
      <c r="AC593" s="48"/>
      <c r="AD593" s="48"/>
      <c r="AE593" s="48"/>
      <c r="AF593" s="48"/>
      <c r="AG593" s="48"/>
      <c r="AH593" s="48"/>
      <c r="AI593" s="48"/>
      <c r="AJ593" s="48"/>
      <c r="AK593" s="48"/>
      <c r="AL593" s="48"/>
      <c r="AM593" s="48"/>
      <c r="AN593" s="48"/>
      <c r="AO593" s="48"/>
      <c r="AP593" s="48"/>
      <c r="AQ593" s="48"/>
      <c r="AR593" s="48"/>
      <c r="AS593" s="48"/>
      <c r="AT593" s="48"/>
      <c r="AU593" s="48"/>
      <c r="AV593" s="48"/>
      <c r="AW593" s="48"/>
      <c r="AX593" s="48"/>
      <c r="AY593" s="48"/>
      <c r="AZ593" s="48"/>
      <c r="BA593" s="48"/>
      <c r="BB593" s="48"/>
      <c r="BC593" s="48"/>
      <c r="BD593" s="48"/>
      <c r="BE593" s="48"/>
      <c r="BF593" s="48"/>
      <c r="BG593" s="48"/>
      <c r="BH593" s="48"/>
      <c r="BI593" s="48"/>
      <c r="BJ593" s="48"/>
      <c r="BK593" s="48"/>
      <c r="BL593" s="48"/>
      <c r="BM593" s="48"/>
      <c r="BN593" s="48"/>
      <c r="BO593" s="48"/>
      <c r="BP593" s="48"/>
      <c r="BQ593" s="48"/>
      <c r="BR593" s="48"/>
      <c r="BS593" s="48"/>
      <c r="BT593" s="48"/>
      <c r="BU593" s="48"/>
      <c r="BV593" s="48"/>
      <c r="BW593" s="48"/>
      <c r="BX593" s="111"/>
    </row>
    <row r="594" spans="1:76">
      <c r="A594" s="37"/>
      <c r="B594" s="37"/>
      <c r="C594" s="37" t="s">
        <v>705</v>
      </c>
      <c r="D594" s="37"/>
      <c r="E594" s="37"/>
      <c r="F594" s="39"/>
      <c r="G594" s="59"/>
      <c r="H594" s="59"/>
      <c r="I594" s="59"/>
      <c r="J594" s="59"/>
      <c r="K594" s="59"/>
      <c r="L594" s="59"/>
      <c r="M594" s="59"/>
      <c r="N594" s="60"/>
      <c r="O594" s="36"/>
      <c r="P594" s="48"/>
      <c r="Q594" s="48"/>
      <c r="R594" s="48"/>
      <c r="S594" s="48"/>
      <c r="T594" s="48"/>
      <c r="U594" s="48"/>
      <c r="V594" s="48"/>
      <c r="W594" s="48"/>
      <c r="X594" s="48"/>
      <c r="Y594" s="48"/>
      <c r="Z594" s="48"/>
      <c r="AA594" s="48"/>
      <c r="AB594" s="48"/>
      <c r="AC594" s="48"/>
      <c r="AD594" s="48"/>
      <c r="AE594" s="48"/>
      <c r="AF594" s="48"/>
      <c r="AG594" s="48"/>
      <c r="AH594" s="48"/>
      <c r="AI594" s="48"/>
      <c r="AJ594" s="48"/>
      <c r="AK594" s="48"/>
      <c r="AL594" s="48"/>
      <c r="AM594" s="48"/>
      <c r="AN594" s="48"/>
      <c r="AO594" s="48"/>
      <c r="AP594" s="48"/>
      <c r="AQ594" s="48"/>
      <c r="AR594" s="48"/>
      <c r="AS594" s="48"/>
      <c r="AT594" s="48"/>
      <c r="AU594" s="48"/>
      <c r="AV594" s="48"/>
      <c r="AW594" s="48"/>
      <c r="AX594" s="48"/>
      <c r="AY594" s="48"/>
      <c r="AZ594" s="48"/>
      <c r="BA594" s="48"/>
      <c r="BB594" s="48"/>
      <c r="BC594" s="48"/>
      <c r="BD594" s="48"/>
      <c r="BE594" s="48"/>
      <c r="BF594" s="48"/>
      <c r="BG594" s="48"/>
      <c r="BH594" s="48"/>
      <c r="BI594" s="48"/>
      <c r="BJ594" s="48"/>
      <c r="BK594" s="48"/>
      <c r="BL594" s="48"/>
      <c r="BM594" s="48"/>
      <c r="BN594" s="48"/>
      <c r="BO594" s="48"/>
      <c r="BP594" s="48"/>
      <c r="BQ594" s="48"/>
      <c r="BR594" s="48"/>
      <c r="BS594" s="48"/>
      <c r="BT594" s="48"/>
      <c r="BU594" s="48"/>
      <c r="BV594" s="48"/>
      <c r="BW594" s="48"/>
      <c r="BX594" s="111"/>
    </row>
    <row r="595" spans="1:76">
      <c r="A595" s="37"/>
      <c r="B595" s="37"/>
      <c r="C595" s="37" t="s">
        <v>91</v>
      </c>
      <c r="D595" s="37"/>
      <c r="E595" s="37"/>
      <c r="F595" s="39"/>
      <c r="G595" s="59"/>
      <c r="H595" s="59"/>
      <c r="I595" s="59"/>
      <c r="J595" s="59"/>
      <c r="K595" s="59"/>
      <c r="L595" s="59"/>
      <c r="M595" s="59"/>
      <c r="N595" s="60"/>
      <c r="O595" s="36"/>
      <c r="P595" s="48"/>
      <c r="Q595" s="48"/>
      <c r="R595" s="48"/>
      <c r="S595" s="48"/>
      <c r="T595" s="48"/>
      <c r="U595" s="48"/>
      <c r="V595" s="48"/>
      <c r="W595" s="48"/>
      <c r="X595" s="48"/>
      <c r="Y595" s="48"/>
      <c r="Z595" s="48"/>
      <c r="AA595" s="48"/>
      <c r="AB595" s="48"/>
      <c r="AC595" s="48"/>
      <c r="AD595" s="48"/>
      <c r="AE595" s="48"/>
      <c r="AF595" s="48"/>
      <c r="AG595" s="48"/>
      <c r="AH595" s="48"/>
      <c r="AI595" s="48"/>
      <c r="AJ595" s="48"/>
      <c r="AK595" s="48"/>
      <c r="AL595" s="48"/>
      <c r="AM595" s="48"/>
      <c r="AN595" s="48"/>
      <c r="AO595" s="48"/>
      <c r="AP595" s="48"/>
      <c r="AQ595" s="48"/>
      <c r="AR595" s="48"/>
      <c r="AS595" s="48"/>
      <c r="AT595" s="48"/>
      <c r="AU595" s="48"/>
      <c r="AV595" s="48"/>
      <c r="AW595" s="48"/>
      <c r="AX595" s="48"/>
      <c r="AY595" s="48"/>
      <c r="AZ595" s="48"/>
      <c r="BA595" s="48"/>
      <c r="BB595" s="48"/>
      <c r="BC595" s="48"/>
      <c r="BD595" s="48"/>
      <c r="BE595" s="48"/>
      <c r="BF595" s="48"/>
      <c r="BG595" s="48"/>
      <c r="BH595" s="48"/>
      <c r="BI595" s="48"/>
      <c r="BJ595" s="48"/>
      <c r="BK595" s="48"/>
      <c r="BL595" s="48"/>
      <c r="BM595" s="48"/>
      <c r="BN595" s="48"/>
      <c r="BO595" s="48"/>
      <c r="BP595" s="48"/>
      <c r="BQ595" s="48"/>
      <c r="BR595" s="48"/>
      <c r="BS595" s="48"/>
      <c r="BT595" s="48"/>
      <c r="BU595" s="48"/>
      <c r="BV595" s="48"/>
      <c r="BW595" s="48"/>
      <c r="BX595" s="111"/>
    </row>
    <row r="596" spans="1:76">
      <c r="A596" s="37"/>
      <c r="B596" s="37"/>
      <c r="C596" s="37" t="s">
        <v>1834</v>
      </c>
      <c r="D596" s="37"/>
      <c r="E596" s="37"/>
      <c r="F596" s="39"/>
      <c r="G596" s="59"/>
      <c r="H596" s="59"/>
      <c r="I596" s="59"/>
      <c r="J596" s="59"/>
      <c r="K596" s="59"/>
      <c r="L596" s="59"/>
      <c r="M596" s="59"/>
      <c r="N596" s="60"/>
      <c r="O596" s="36"/>
      <c r="P596" s="48"/>
      <c r="Q596" s="48"/>
      <c r="R596" s="48"/>
      <c r="S596" s="48"/>
      <c r="T596" s="48"/>
      <c r="U596" s="48"/>
      <c r="V596" s="48"/>
      <c r="W596" s="48"/>
      <c r="X596" s="48"/>
      <c r="Y596" s="48"/>
      <c r="Z596" s="48"/>
      <c r="AA596" s="48"/>
      <c r="AB596" s="48"/>
      <c r="AC596" s="48"/>
      <c r="AD596" s="48"/>
      <c r="AE596" s="48"/>
      <c r="AF596" s="48"/>
      <c r="AG596" s="48"/>
      <c r="AH596" s="48"/>
      <c r="AI596" s="48"/>
      <c r="AJ596" s="48"/>
      <c r="AK596" s="48"/>
      <c r="AL596" s="48"/>
      <c r="AM596" s="48"/>
      <c r="AN596" s="48"/>
      <c r="AO596" s="48"/>
      <c r="AP596" s="48"/>
      <c r="AQ596" s="48"/>
      <c r="AR596" s="48"/>
      <c r="AS596" s="48"/>
      <c r="AT596" s="48"/>
      <c r="AU596" s="48"/>
      <c r="AV596" s="48"/>
      <c r="AW596" s="48"/>
      <c r="AX596" s="48"/>
      <c r="AY596" s="48"/>
      <c r="AZ596" s="48"/>
      <c r="BA596" s="48"/>
      <c r="BB596" s="48"/>
      <c r="BC596" s="48"/>
      <c r="BD596" s="48"/>
      <c r="BE596" s="48"/>
      <c r="BF596" s="48"/>
      <c r="BG596" s="48"/>
      <c r="BH596" s="48"/>
      <c r="BI596" s="48"/>
      <c r="BJ596" s="48"/>
      <c r="BK596" s="48"/>
      <c r="BL596" s="48"/>
      <c r="BM596" s="48"/>
      <c r="BN596" s="48"/>
      <c r="BO596" s="48"/>
      <c r="BP596" s="48"/>
      <c r="BQ596" s="48"/>
      <c r="BR596" s="48"/>
      <c r="BS596" s="48"/>
      <c r="BT596" s="48"/>
      <c r="BU596" s="48"/>
      <c r="BV596" s="48"/>
      <c r="BW596" s="48"/>
      <c r="BX596" s="111"/>
    </row>
    <row r="597" spans="1:76">
      <c r="A597" s="37"/>
      <c r="B597" s="37"/>
      <c r="C597" s="37" t="s">
        <v>728</v>
      </c>
      <c r="D597" s="37"/>
      <c r="E597" s="37"/>
      <c r="F597" s="39"/>
      <c r="G597" s="59"/>
      <c r="H597" s="59"/>
      <c r="I597" s="59"/>
      <c r="J597" s="59"/>
      <c r="K597" s="59"/>
      <c r="L597" s="59"/>
      <c r="M597" s="59"/>
      <c r="N597" s="60"/>
      <c r="O597" s="36"/>
      <c r="P597" s="48"/>
      <c r="Q597" s="48"/>
      <c r="R597" s="48"/>
      <c r="S597" s="48"/>
      <c r="T597" s="48"/>
      <c r="U597" s="48"/>
      <c r="V597" s="48"/>
      <c r="W597" s="48"/>
      <c r="X597" s="48"/>
      <c r="Y597" s="48"/>
      <c r="Z597" s="48"/>
      <c r="AA597" s="48"/>
      <c r="AB597" s="48"/>
      <c r="AC597" s="48"/>
      <c r="AD597" s="48"/>
      <c r="AE597" s="48"/>
      <c r="AF597" s="48"/>
      <c r="AG597" s="48"/>
      <c r="AH597" s="48"/>
      <c r="AI597" s="48"/>
      <c r="AJ597" s="48"/>
      <c r="AK597" s="48"/>
      <c r="AL597" s="48"/>
      <c r="AM597" s="48"/>
      <c r="AN597" s="48"/>
      <c r="AO597" s="48"/>
      <c r="AP597" s="48"/>
      <c r="AQ597" s="48"/>
      <c r="AR597" s="48"/>
      <c r="AS597" s="48"/>
      <c r="AT597" s="48"/>
      <c r="AU597" s="48"/>
      <c r="AV597" s="48"/>
      <c r="AW597" s="48"/>
      <c r="AX597" s="48"/>
      <c r="AY597" s="48"/>
      <c r="AZ597" s="48"/>
      <c r="BA597" s="48"/>
      <c r="BB597" s="48"/>
      <c r="BC597" s="48"/>
      <c r="BD597" s="48"/>
      <c r="BE597" s="48"/>
      <c r="BF597" s="48"/>
      <c r="BG597" s="48"/>
      <c r="BH597" s="48"/>
      <c r="BI597" s="48"/>
      <c r="BJ597" s="48"/>
      <c r="BK597" s="48"/>
      <c r="BL597" s="48"/>
      <c r="BM597" s="48"/>
      <c r="BN597" s="48"/>
      <c r="BO597" s="48"/>
      <c r="BP597" s="48"/>
      <c r="BQ597" s="48"/>
      <c r="BR597" s="48"/>
      <c r="BS597" s="48"/>
      <c r="BT597" s="48"/>
      <c r="BU597" s="48"/>
      <c r="BV597" s="48"/>
      <c r="BW597" s="48"/>
      <c r="BX597" s="111"/>
    </row>
    <row r="598" spans="1:76">
      <c r="A598" s="37"/>
      <c r="B598" s="37"/>
      <c r="C598" s="37" t="s">
        <v>850</v>
      </c>
      <c r="D598" s="37"/>
      <c r="E598" s="37"/>
      <c r="F598" s="39"/>
      <c r="G598" s="59"/>
      <c r="H598" s="59"/>
      <c r="I598" s="59"/>
      <c r="J598" s="59"/>
      <c r="K598" s="59"/>
      <c r="L598" s="59"/>
      <c r="M598" s="59"/>
      <c r="N598" s="60"/>
      <c r="O598" s="36"/>
      <c r="P598" s="48"/>
      <c r="Q598" s="48"/>
      <c r="R598" s="48"/>
      <c r="S598" s="48"/>
      <c r="T598" s="48"/>
      <c r="U598" s="48"/>
      <c r="V598" s="48"/>
      <c r="W598" s="48"/>
      <c r="X598" s="48"/>
      <c r="Y598" s="48"/>
      <c r="Z598" s="48"/>
      <c r="AA598" s="48"/>
      <c r="AB598" s="48"/>
      <c r="AC598" s="48"/>
      <c r="AD598" s="48"/>
      <c r="AE598" s="48"/>
      <c r="AF598" s="48"/>
      <c r="AG598" s="48"/>
      <c r="AH598" s="48"/>
      <c r="AI598" s="48"/>
      <c r="AJ598" s="48"/>
      <c r="AK598" s="48"/>
      <c r="AL598" s="48"/>
      <c r="AM598" s="48"/>
      <c r="AN598" s="48"/>
      <c r="AO598" s="48"/>
      <c r="AP598" s="48"/>
      <c r="AQ598" s="48"/>
      <c r="AR598" s="48"/>
      <c r="AS598" s="48"/>
      <c r="AT598" s="48"/>
      <c r="AU598" s="48"/>
      <c r="AV598" s="48"/>
      <c r="AW598" s="48"/>
      <c r="AX598" s="48"/>
      <c r="AY598" s="48"/>
      <c r="AZ598" s="48"/>
      <c r="BA598" s="48"/>
      <c r="BB598" s="48"/>
      <c r="BC598" s="48"/>
      <c r="BD598" s="48"/>
      <c r="BE598" s="48"/>
      <c r="BF598" s="48"/>
      <c r="BG598" s="48"/>
      <c r="BH598" s="48"/>
      <c r="BI598" s="48"/>
      <c r="BJ598" s="48"/>
      <c r="BK598" s="48"/>
      <c r="BL598" s="48"/>
      <c r="BM598" s="48"/>
      <c r="BN598" s="48"/>
      <c r="BO598" s="48"/>
      <c r="BP598" s="48"/>
      <c r="BQ598" s="48"/>
      <c r="BR598" s="48"/>
      <c r="BS598" s="48"/>
      <c r="BT598" s="48"/>
      <c r="BU598" s="48"/>
      <c r="BV598" s="48"/>
      <c r="BW598" s="48"/>
      <c r="BX598" s="111"/>
    </row>
    <row r="599" spans="1:76">
      <c r="A599" s="37"/>
      <c r="B599" s="37"/>
      <c r="C599" s="37" t="s">
        <v>2129</v>
      </c>
      <c r="D599" s="37"/>
      <c r="E599" s="37"/>
      <c r="F599" s="39"/>
      <c r="G599" s="59"/>
      <c r="H599" s="59"/>
      <c r="I599" s="59"/>
      <c r="J599" s="59"/>
      <c r="K599" s="59"/>
      <c r="L599" s="59"/>
      <c r="M599" s="59"/>
      <c r="N599" s="60"/>
      <c r="O599" s="36"/>
      <c r="P599" s="48"/>
      <c r="Q599" s="48"/>
      <c r="R599" s="48"/>
      <c r="S599" s="48"/>
      <c r="T599" s="48"/>
      <c r="U599" s="48"/>
      <c r="V599" s="48"/>
      <c r="W599" s="48"/>
      <c r="X599" s="48"/>
      <c r="Y599" s="48"/>
      <c r="Z599" s="48"/>
      <c r="AA599" s="48"/>
      <c r="AB599" s="48"/>
      <c r="AC599" s="48"/>
      <c r="AD599" s="48"/>
      <c r="AE599" s="48"/>
      <c r="AF599" s="48"/>
      <c r="AG599" s="48"/>
      <c r="AH599" s="48"/>
      <c r="AI599" s="48"/>
      <c r="AJ599" s="48"/>
      <c r="AK599" s="48"/>
      <c r="AL599" s="48"/>
      <c r="AM599" s="48"/>
      <c r="AN599" s="48"/>
      <c r="AO599" s="48"/>
      <c r="AP599" s="48"/>
      <c r="AQ599" s="48"/>
      <c r="AR599" s="48"/>
      <c r="AS599" s="48"/>
      <c r="AT599" s="48"/>
      <c r="AU599" s="48"/>
      <c r="AV599" s="48"/>
      <c r="AW599" s="48"/>
      <c r="AX599" s="48"/>
      <c r="AY599" s="48"/>
      <c r="AZ599" s="48"/>
      <c r="BA599" s="48"/>
      <c r="BB599" s="48"/>
      <c r="BC599" s="48"/>
      <c r="BD599" s="48"/>
      <c r="BE599" s="48"/>
      <c r="BF599" s="48"/>
      <c r="BG599" s="48"/>
      <c r="BH599" s="48"/>
      <c r="BI599" s="48"/>
      <c r="BJ599" s="48"/>
      <c r="BK599" s="48"/>
      <c r="BL599" s="48"/>
      <c r="BM599" s="48"/>
      <c r="BN599" s="48"/>
      <c r="BO599" s="48"/>
      <c r="BP599" s="48"/>
      <c r="BQ599" s="48"/>
      <c r="BR599" s="48"/>
      <c r="BS599" s="48"/>
      <c r="BT599" s="48"/>
      <c r="BU599" s="48"/>
      <c r="BV599" s="48"/>
      <c r="BW599" s="48"/>
      <c r="BX599" s="111"/>
    </row>
    <row r="600" spans="1:76">
      <c r="A600" s="37"/>
      <c r="B600" s="37"/>
      <c r="C600" s="37" t="s">
        <v>1590</v>
      </c>
      <c r="D600" s="37"/>
      <c r="E600" s="37"/>
      <c r="F600" s="39"/>
      <c r="G600" s="59"/>
      <c r="H600" s="59"/>
      <c r="I600" s="59"/>
      <c r="J600" s="59"/>
      <c r="K600" s="59"/>
      <c r="L600" s="59"/>
      <c r="M600" s="59"/>
      <c r="N600" s="60"/>
      <c r="O600" s="36"/>
      <c r="P600" s="48"/>
      <c r="Q600" s="48"/>
      <c r="R600" s="48"/>
      <c r="S600" s="48"/>
      <c r="T600" s="48"/>
      <c r="U600" s="48"/>
      <c r="V600" s="48"/>
      <c r="W600" s="48"/>
      <c r="X600" s="48"/>
      <c r="Y600" s="48"/>
      <c r="Z600" s="48"/>
      <c r="AA600" s="48"/>
      <c r="AB600" s="48"/>
      <c r="AC600" s="48"/>
      <c r="AD600" s="48"/>
      <c r="AE600" s="48"/>
      <c r="AF600" s="48"/>
      <c r="AG600" s="48"/>
      <c r="AH600" s="48"/>
      <c r="AI600" s="48"/>
      <c r="AJ600" s="48"/>
      <c r="AK600" s="48"/>
      <c r="AL600" s="48"/>
      <c r="AM600" s="48"/>
      <c r="AN600" s="48"/>
      <c r="AO600" s="48"/>
      <c r="AP600" s="48"/>
      <c r="AQ600" s="48"/>
      <c r="AR600" s="48"/>
      <c r="AS600" s="48"/>
      <c r="AT600" s="48"/>
      <c r="AU600" s="48"/>
      <c r="AV600" s="48"/>
      <c r="AW600" s="48"/>
      <c r="AX600" s="48"/>
      <c r="AY600" s="48"/>
      <c r="AZ600" s="48"/>
      <c r="BA600" s="48"/>
      <c r="BB600" s="48"/>
      <c r="BC600" s="48"/>
      <c r="BD600" s="48"/>
      <c r="BE600" s="48"/>
      <c r="BF600" s="48"/>
      <c r="BG600" s="48"/>
      <c r="BH600" s="48"/>
      <c r="BI600" s="48"/>
      <c r="BJ600" s="48"/>
      <c r="BK600" s="48"/>
      <c r="BL600" s="48"/>
      <c r="BM600" s="48"/>
      <c r="BN600" s="48"/>
      <c r="BO600" s="48"/>
      <c r="BP600" s="48"/>
      <c r="BQ600" s="48"/>
      <c r="BR600" s="48"/>
      <c r="BS600" s="48"/>
      <c r="BT600" s="48"/>
      <c r="BU600" s="48"/>
      <c r="BV600" s="48"/>
      <c r="BW600" s="48"/>
      <c r="BX600" s="111"/>
    </row>
    <row r="601" spans="1:76">
      <c r="A601" s="71"/>
      <c r="B601" s="71"/>
      <c r="C601" s="71" t="s">
        <v>1200</v>
      </c>
      <c r="D601" s="71"/>
      <c r="E601" s="71"/>
      <c r="F601" s="39"/>
      <c r="G601" s="59"/>
      <c r="H601" s="59"/>
      <c r="I601" s="59"/>
      <c r="J601" s="59"/>
      <c r="K601" s="59"/>
      <c r="L601" s="59"/>
      <c r="M601" s="59"/>
      <c r="N601" s="60"/>
      <c r="O601" s="22"/>
      <c r="P601" s="72"/>
      <c r="Q601" s="72"/>
      <c r="R601" s="72"/>
      <c r="S601" s="72"/>
      <c r="T601" s="72"/>
      <c r="U601" s="72"/>
      <c r="V601" s="72"/>
      <c r="W601" s="72"/>
      <c r="X601" s="72"/>
      <c r="Y601" s="72"/>
      <c r="Z601" s="72"/>
      <c r="AA601" s="72"/>
      <c r="AB601" s="72"/>
      <c r="AC601" s="72"/>
      <c r="AD601" s="72"/>
      <c r="AE601" s="72"/>
      <c r="AF601" s="72"/>
      <c r="AG601" s="72"/>
      <c r="AH601" s="72"/>
      <c r="AI601" s="72"/>
      <c r="AJ601" s="72"/>
      <c r="AK601" s="72"/>
      <c r="AL601" s="72"/>
      <c r="AM601" s="72"/>
      <c r="AN601" s="72"/>
      <c r="AO601" s="72"/>
      <c r="AP601" s="72"/>
      <c r="AQ601" s="72"/>
      <c r="AR601" s="72"/>
      <c r="AS601" s="72"/>
      <c r="AT601" s="72"/>
      <c r="AU601" s="72"/>
      <c r="AV601" s="72"/>
      <c r="AW601" s="72"/>
      <c r="AX601" s="72"/>
      <c r="AY601" s="72"/>
      <c r="AZ601" s="72"/>
      <c r="BA601" s="72"/>
      <c r="BB601" s="72"/>
      <c r="BC601" s="72"/>
      <c r="BD601" s="72"/>
      <c r="BE601" s="72"/>
      <c r="BF601" s="72"/>
      <c r="BG601" s="72"/>
      <c r="BH601" s="72"/>
      <c r="BI601" s="72"/>
      <c r="BJ601" s="72"/>
      <c r="BK601" s="72"/>
      <c r="BL601" s="72"/>
      <c r="BM601" s="72"/>
      <c r="BN601" s="72"/>
      <c r="BO601" s="72"/>
      <c r="BP601" s="72"/>
      <c r="BQ601" s="72"/>
      <c r="BR601" s="72"/>
      <c r="BS601" s="72"/>
      <c r="BT601" s="72"/>
      <c r="BU601" s="72"/>
      <c r="BV601" s="72"/>
      <c r="BW601" s="72"/>
      <c r="BX601" s="114"/>
    </row>
    <row r="602" spans="1:76">
      <c r="A602" s="88"/>
      <c r="B602" s="88"/>
      <c r="C602" s="88" t="s">
        <v>900</v>
      </c>
      <c r="D602" s="88"/>
      <c r="E602" s="88"/>
      <c r="F602" s="39"/>
      <c r="G602" s="59"/>
      <c r="H602" s="59"/>
      <c r="I602" s="59"/>
      <c r="J602" s="59"/>
      <c r="K602" s="59"/>
      <c r="L602" s="59"/>
      <c r="M602" s="59"/>
      <c r="N602" s="60"/>
      <c r="O602" s="89"/>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116"/>
    </row>
    <row r="603" spans="1:76">
      <c r="A603" s="71"/>
      <c r="B603" s="71"/>
      <c r="C603" s="71" t="s">
        <v>2115</v>
      </c>
      <c r="D603" s="71"/>
      <c r="E603" s="71"/>
      <c r="F603" s="39"/>
      <c r="G603" s="59"/>
      <c r="H603" s="59"/>
      <c r="I603" s="59"/>
      <c r="J603" s="59"/>
      <c r="K603" s="59"/>
      <c r="L603" s="59"/>
      <c r="M603" s="59"/>
      <c r="N603" s="60"/>
      <c r="O603" s="22"/>
      <c r="P603" s="72"/>
      <c r="Q603" s="72"/>
      <c r="R603" s="72"/>
      <c r="S603" s="72"/>
      <c r="T603" s="72"/>
      <c r="U603" s="72"/>
      <c r="V603" s="72"/>
      <c r="W603" s="72"/>
      <c r="X603" s="72"/>
      <c r="Y603" s="72"/>
      <c r="Z603" s="72"/>
      <c r="AA603" s="72"/>
      <c r="AB603" s="72"/>
      <c r="AC603" s="72"/>
      <c r="AD603" s="72"/>
      <c r="AE603" s="72"/>
      <c r="AF603" s="72"/>
      <c r="AG603" s="72"/>
      <c r="AH603" s="72"/>
      <c r="AI603" s="72"/>
      <c r="AJ603" s="72"/>
      <c r="AK603" s="72"/>
      <c r="AL603" s="72"/>
      <c r="AM603" s="72"/>
      <c r="AN603" s="72"/>
      <c r="AO603" s="72"/>
      <c r="AP603" s="72"/>
      <c r="AQ603" s="72"/>
      <c r="AR603" s="72"/>
      <c r="AS603" s="72"/>
      <c r="AT603" s="72"/>
      <c r="AU603" s="72"/>
      <c r="AV603" s="72"/>
      <c r="AW603" s="72"/>
      <c r="AX603" s="72"/>
      <c r="AY603" s="72"/>
      <c r="AZ603" s="72"/>
      <c r="BA603" s="72"/>
      <c r="BB603" s="72"/>
      <c r="BC603" s="72"/>
      <c r="BD603" s="72"/>
      <c r="BE603" s="72"/>
      <c r="BF603" s="72"/>
      <c r="BG603" s="72"/>
      <c r="BH603" s="72"/>
      <c r="BI603" s="72"/>
      <c r="BJ603" s="72"/>
      <c r="BK603" s="72"/>
      <c r="BL603" s="72"/>
      <c r="BM603" s="72"/>
      <c r="BN603" s="72"/>
      <c r="BO603" s="72"/>
      <c r="BP603" s="72"/>
      <c r="BQ603" s="72"/>
      <c r="BR603" s="72"/>
      <c r="BS603" s="72"/>
      <c r="BT603" s="72"/>
      <c r="BU603" s="72"/>
      <c r="BV603" s="72"/>
      <c r="BW603" s="72"/>
      <c r="BX603" s="114"/>
    </row>
    <row r="604" spans="1:76">
      <c r="A604" s="71"/>
      <c r="B604" s="71"/>
      <c r="C604" s="71" t="s">
        <v>190</v>
      </c>
      <c r="D604" s="71"/>
      <c r="E604" s="71"/>
      <c r="F604" s="39"/>
      <c r="G604" s="59"/>
      <c r="H604" s="59"/>
      <c r="I604" s="59"/>
      <c r="J604" s="59"/>
      <c r="K604" s="59"/>
      <c r="L604" s="59"/>
      <c r="M604" s="59"/>
      <c r="N604" s="60"/>
      <c r="O604" s="22"/>
      <c r="P604" s="72"/>
      <c r="Q604" s="72"/>
      <c r="R604" s="72"/>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114"/>
    </row>
    <row r="605" spans="1:76">
      <c r="A605" s="37"/>
      <c r="B605" s="37"/>
      <c r="C605" s="37" t="s">
        <v>2029</v>
      </c>
      <c r="D605" s="37"/>
      <c r="E605" s="37"/>
      <c r="F605" s="39"/>
      <c r="G605" s="59"/>
      <c r="H605" s="59"/>
      <c r="I605" s="59"/>
      <c r="J605" s="59"/>
      <c r="K605" s="59"/>
      <c r="L605" s="59"/>
      <c r="M605" s="59"/>
      <c r="N605" s="60"/>
      <c r="O605" s="36"/>
      <c r="P605" s="48"/>
      <c r="Q605" s="48"/>
      <c r="R605" s="48"/>
      <c r="S605" s="48"/>
      <c r="T605" s="48"/>
      <c r="U605" s="48"/>
      <c r="V605" s="48"/>
      <c r="W605" s="48"/>
      <c r="X605" s="48"/>
      <c r="Y605" s="48"/>
      <c r="Z605" s="48"/>
      <c r="AA605" s="48"/>
      <c r="AB605" s="48"/>
      <c r="AC605" s="48"/>
      <c r="AD605" s="48"/>
      <c r="AE605" s="48"/>
      <c r="AF605" s="48"/>
      <c r="AG605" s="48"/>
      <c r="AH605" s="48"/>
      <c r="AI605" s="48"/>
      <c r="AJ605" s="48"/>
      <c r="AK605" s="48"/>
      <c r="AL605" s="48"/>
      <c r="AM605" s="48"/>
      <c r="AN605" s="48"/>
      <c r="AO605" s="48"/>
      <c r="AP605" s="48"/>
      <c r="AQ605" s="48"/>
      <c r="AR605" s="48"/>
      <c r="AS605" s="48"/>
      <c r="AT605" s="48"/>
      <c r="AU605" s="48"/>
      <c r="AV605" s="48"/>
      <c r="AW605" s="48"/>
      <c r="AX605" s="48"/>
      <c r="AY605" s="48"/>
      <c r="AZ605" s="48"/>
      <c r="BA605" s="48"/>
      <c r="BB605" s="48"/>
      <c r="BC605" s="48"/>
      <c r="BD605" s="48"/>
      <c r="BE605" s="48"/>
      <c r="BF605" s="48"/>
      <c r="BG605" s="48"/>
      <c r="BH605" s="48"/>
      <c r="BI605" s="48"/>
      <c r="BJ605" s="48"/>
      <c r="BK605" s="48"/>
      <c r="BL605" s="48"/>
      <c r="BM605" s="48"/>
      <c r="BN605" s="48"/>
      <c r="BO605" s="48"/>
      <c r="BP605" s="48"/>
      <c r="BQ605" s="48"/>
      <c r="BR605" s="48"/>
      <c r="BS605" s="48"/>
      <c r="BT605" s="48"/>
      <c r="BU605" s="48"/>
      <c r="BV605" s="48"/>
      <c r="BW605" s="48"/>
      <c r="BX605" s="111"/>
    </row>
    <row r="606" spans="1:76">
      <c r="A606" s="37"/>
      <c r="B606" s="37"/>
      <c r="C606" s="37" t="s">
        <v>2030</v>
      </c>
      <c r="D606" s="37"/>
      <c r="E606" s="37"/>
      <c r="F606" s="39"/>
      <c r="G606" s="39" t="str">
        <f t="shared" ref="G606:N606" si="90">IF(AND(OR(ISTEXT(G607), ISBLANK(G607)),OR(ISTEXT(G608), ISBLANK(G608)),TRUE),"", +IF(ISTEXT(G607), 0,G607)+IF(ISTEXT(G608), 0,G608))</f>
        <v/>
      </c>
      <c r="H606" s="39" t="str">
        <f t="shared" si="90"/>
        <v/>
      </c>
      <c r="I606" s="39" t="str">
        <f t="shared" si="90"/>
        <v/>
      </c>
      <c r="J606" s="39" t="str">
        <f t="shared" si="90"/>
        <v/>
      </c>
      <c r="K606" s="39" t="str">
        <f t="shared" si="90"/>
        <v/>
      </c>
      <c r="L606" s="39" t="str">
        <f t="shared" si="90"/>
        <v/>
      </c>
      <c r="M606" s="39" t="str">
        <f t="shared" si="90"/>
        <v/>
      </c>
      <c r="N606" s="48" t="str">
        <f t="shared" si="90"/>
        <v/>
      </c>
      <c r="O606" s="36"/>
      <c r="P606" s="48"/>
      <c r="Q606" s="48"/>
      <c r="R606" s="48"/>
      <c r="S606" s="48"/>
      <c r="T606" s="48"/>
      <c r="U606" s="48"/>
      <c r="V606" s="48"/>
      <c r="W606" s="48"/>
      <c r="X606" s="48"/>
      <c r="Y606" s="48"/>
      <c r="Z606" s="48"/>
      <c r="AA606" s="48"/>
      <c r="AB606" s="48"/>
      <c r="AC606" s="48"/>
      <c r="AD606" s="48"/>
      <c r="AE606" s="48"/>
      <c r="AF606" s="48"/>
      <c r="AG606" s="48"/>
      <c r="AH606" s="48"/>
      <c r="AI606" s="48"/>
      <c r="AJ606" s="48"/>
      <c r="AK606" s="48"/>
      <c r="AL606" s="48"/>
      <c r="AM606" s="48"/>
      <c r="AN606" s="48"/>
      <c r="AO606" s="48"/>
      <c r="AP606" s="48"/>
      <c r="AQ606" s="48"/>
      <c r="AR606" s="48"/>
      <c r="AS606" s="48"/>
      <c r="AT606" s="48"/>
      <c r="AU606" s="48"/>
      <c r="AV606" s="48"/>
      <c r="AW606" s="48"/>
      <c r="AX606" s="48"/>
      <c r="AY606" s="48"/>
      <c r="AZ606" s="48"/>
      <c r="BA606" s="48"/>
      <c r="BB606" s="48"/>
      <c r="BC606" s="48"/>
      <c r="BD606" s="48"/>
      <c r="BE606" s="48"/>
      <c r="BF606" s="48"/>
      <c r="BG606" s="48"/>
      <c r="BH606" s="48"/>
      <c r="BI606" s="48"/>
      <c r="BJ606" s="48"/>
      <c r="BK606" s="48"/>
      <c r="BL606" s="48"/>
      <c r="BM606" s="48"/>
      <c r="BN606" s="48"/>
      <c r="BO606" s="48"/>
      <c r="BP606" s="48"/>
      <c r="BQ606" s="48"/>
      <c r="BR606" s="48"/>
      <c r="BS606" s="48"/>
      <c r="BT606" s="48"/>
      <c r="BU606" s="48"/>
      <c r="BV606" s="48"/>
      <c r="BW606" s="48"/>
      <c r="BX606" s="111"/>
    </row>
    <row r="607" spans="1:76">
      <c r="A607" s="37"/>
      <c r="B607" s="37"/>
      <c r="C607" s="37"/>
      <c r="D607" s="37" t="s">
        <v>1299</v>
      </c>
      <c r="E607" s="37"/>
      <c r="F607" s="39"/>
      <c r="G607" s="59"/>
      <c r="H607" s="59"/>
      <c r="I607" s="59"/>
      <c r="J607" s="59"/>
      <c r="K607" s="59"/>
      <c r="L607" s="59"/>
      <c r="M607" s="59"/>
      <c r="N607" s="60"/>
      <c r="O607" s="36"/>
      <c r="P607" s="48"/>
      <c r="Q607" s="48"/>
      <c r="R607" s="48"/>
      <c r="S607" s="48"/>
      <c r="T607" s="48"/>
      <c r="U607" s="48"/>
      <c r="V607" s="48"/>
      <c r="W607" s="48"/>
      <c r="X607" s="48"/>
      <c r="Y607" s="48"/>
      <c r="Z607" s="48"/>
      <c r="AA607" s="48"/>
      <c r="AB607" s="48"/>
      <c r="AC607" s="48"/>
      <c r="AD607" s="48"/>
      <c r="AE607" s="48"/>
      <c r="AF607" s="48"/>
      <c r="AG607" s="48"/>
      <c r="AH607" s="48"/>
      <c r="AI607" s="48"/>
      <c r="AJ607" s="48"/>
      <c r="AK607" s="48"/>
      <c r="AL607" s="48"/>
      <c r="AM607" s="48"/>
      <c r="AN607" s="48"/>
      <c r="AO607" s="48"/>
      <c r="AP607" s="48"/>
      <c r="AQ607" s="48"/>
      <c r="AR607" s="48"/>
      <c r="AS607" s="48"/>
      <c r="AT607" s="48"/>
      <c r="AU607" s="48"/>
      <c r="AV607" s="48"/>
      <c r="AW607" s="48"/>
      <c r="AX607" s="48"/>
      <c r="AY607" s="48"/>
      <c r="AZ607" s="48"/>
      <c r="BA607" s="48"/>
      <c r="BB607" s="48"/>
      <c r="BC607" s="48"/>
      <c r="BD607" s="48"/>
      <c r="BE607" s="48"/>
      <c r="BF607" s="48"/>
      <c r="BG607" s="48"/>
      <c r="BH607" s="48"/>
      <c r="BI607" s="48"/>
      <c r="BJ607" s="48"/>
      <c r="BK607" s="48"/>
      <c r="BL607" s="48"/>
      <c r="BM607" s="48"/>
      <c r="BN607" s="48"/>
      <c r="BO607" s="48"/>
      <c r="BP607" s="48"/>
      <c r="BQ607" s="48"/>
      <c r="BR607" s="48"/>
      <c r="BS607" s="48"/>
      <c r="BT607" s="48"/>
      <c r="BU607" s="48"/>
      <c r="BV607" s="48"/>
      <c r="BW607" s="48"/>
      <c r="BX607" s="111"/>
    </row>
    <row r="608" spans="1:76">
      <c r="A608" s="37"/>
      <c r="B608" s="37"/>
      <c r="C608" s="37"/>
      <c r="D608" s="37" t="s">
        <v>744</v>
      </c>
      <c r="E608" s="37"/>
      <c r="F608" s="39"/>
      <c r="G608" s="59"/>
      <c r="H608" s="59"/>
      <c r="I608" s="59"/>
      <c r="J608" s="59"/>
      <c r="K608" s="59"/>
      <c r="L608" s="59"/>
      <c r="M608" s="59"/>
      <c r="N608" s="60"/>
      <c r="O608" s="36"/>
      <c r="P608" s="48"/>
      <c r="Q608" s="48"/>
      <c r="R608" s="48"/>
      <c r="S608" s="48"/>
      <c r="T608" s="48"/>
      <c r="U608" s="48"/>
      <c r="V608" s="48"/>
      <c r="W608" s="48"/>
      <c r="X608" s="48"/>
      <c r="Y608" s="48"/>
      <c r="Z608" s="48"/>
      <c r="AA608" s="48"/>
      <c r="AB608" s="48"/>
      <c r="AC608" s="48"/>
      <c r="AD608" s="48"/>
      <c r="AE608" s="48"/>
      <c r="AF608" s="48"/>
      <c r="AG608" s="48"/>
      <c r="AH608" s="48"/>
      <c r="AI608" s="48"/>
      <c r="AJ608" s="48"/>
      <c r="AK608" s="48"/>
      <c r="AL608" s="48"/>
      <c r="AM608" s="48"/>
      <c r="AN608" s="48"/>
      <c r="AO608" s="48"/>
      <c r="AP608" s="48"/>
      <c r="AQ608" s="48"/>
      <c r="AR608" s="48"/>
      <c r="AS608" s="48"/>
      <c r="AT608" s="48"/>
      <c r="AU608" s="48"/>
      <c r="AV608" s="48"/>
      <c r="AW608" s="48"/>
      <c r="AX608" s="48"/>
      <c r="AY608" s="48"/>
      <c r="AZ608" s="48"/>
      <c r="BA608" s="48"/>
      <c r="BB608" s="48"/>
      <c r="BC608" s="48"/>
      <c r="BD608" s="48"/>
      <c r="BE608" s="48"/>
      <c r="BF608" s="48"/>
      <c r="BG608" s="48"/>
      <c r="BH608" s="48"/>
      <c r="BI608" s="48"/>
      <c r="BJ608" s="48"/>
      <c r="BK608" s="48"/>
      <c r="BL608" s="48"/>
      <c r="BM608" s="48"/>
      <c r="BN608" s="48"/>
      <c r="BO608" s="48"/>
      <c r="BP608" s="48"/>
      <c r="BQ608" s="48"/>
      <c r="BR608" s="48"/>
      <c r="BS608" s="48"/>
      <c r="BT608" s="48"/>
      <c r="BU608" s="48"/>
      <c r="BV608" s="48"/>
      <c r="BW608" s="48"/>
      <c r="BX608" s="111"/>
    </row>
    <row r="609" spans="1:76">
      <c r="A609" s="37"/>
      <c r="B609" s="37"/>
      <c r="C609" s="37" t="s">
        <v>739</v>
      </c>
      <c r="D609" s="37"/>
      <c r="E609" s="37"/>
      <c r="F609" s="39"/>
      <c r="G609" s="59"/>
      <c r="H609" s="59"/>
      <c r="I609" s="59"/>
      <c r="J609" s="59"/>
      <c r="K609" s="59"/>
      <c r="L609" s="59"/>
      <c r="M609" s="59"/>
      <c r="N609" s="60"/>
      <c r="O609" s="36"/>
      <c r="P609" s="48"/>
      <c r="Q609" s="48"/>
      <c r="R609" s="48"/>
      <c r="S609" s="48"/>
      <c r="T609" s="48"/>
      <c r="U609" s="48"/>
      <c r="V609" s="48"/>
      <c r="W609" s="48"/>
      <c r="X609" s="48"/>
      <c r="Y609" s="48"/>
      <c r="Z609" s="48"/>
      <c r="AA609" s="48"/>
      <c r="AB609" s="48"/>
      <c r="AC609" s="48"/>
      <c r="AD609" s="48"/>
      <c r="AE609" s="48"/>
      <c r="AF609" s="48"/>
      <c r="AG609" s="48"/>
      <c r="AH609" s="48"/>
      <c r="AI609" s="48"/>
      <c r="AJ609" s="48"/>
      <c r="AK609" s="48"/>
      <c r="AL609" s="48"/>
      <c r="AM609" s="48"/>
      <c r="AN609" s="48"/>
      <c r="AO609" s="48"/>
      <c r="AP609" s="48"/>
      <c r="AQ609" s="48"/>
      <c r="AR609" s="48"/>
      <c r="AS609" s="48"/>
      <c r="AT609" s="48"/>
      <c r="AU609" s="48"/>
      <c r="AV609" s="48"/>
      <c r="AW609" s="48"/>
      <c r="AX609" s="48"/>
      <c r="AY609" s="48"/>
      <c r="AZ609" s="48"/>
      <c r="BA609" s="48"/>
      <c r="BB609" s="48"/>
      <c r="BC609" s="48"/>
      <c r="BD609" s="48"/>
      <c r="BE609" s="48"/>
      <c r="BF609" s="48"/>
      <c r="BG609" s="48"/>
      <c r="BH609" s="48"/>
      <c r="BI609" s="48"/>
      <c r="BJ609" s="48"/>
      <c r="BK609" s="48"/>
      <c r="BL609" s="48"/>
      <c r="BM609" s="48"/>
      <c r="BN609" s="48"/>
      <c r="BO609" s="48"/>
      <c r="BP609" s="48"/>
      <c r="BQ609" s="48"/>
      <c r="BR609" s="48"/>
      <c r="BS609" s="48"/>
      <c r="BT609" s="48"/>
      <c r="BU609" s="48"/>
      <c r="BV609" s="48"/>
      <c r="BW609" s="48"/>
      <c r="BX609" s="111"/>
    </row>
    <row r="610" spans="1:76">
      <c r="A610" s="37"/>
      <c r="B610" s="37"/>
      <c r="C610" s="37" t="s">
        <v>176</v>
      </c>
      <c r="D610" s="37"/>
      <c r="E610" s="37"/>
      <c r="F610" s="39"/>
      <c r="G610" s="59"/>
      <c r="H610" s="59"/>
      <c r="I610" s="59"/>
      <c r="J610" s="59"/>
      <c r="K610" s="59"/>
      <c r="L610" s="59"/>
      <c r="M610" s="59"/>
      <c r="N610" s="60"/>
      <c r="O610" s="36"/>
      <c r="P610" s="48"/>
      <c r="Q610" s="48"/>
      <c r="R610" s="48"/>
      <c r="S610" s="48"/>
      <c r="T610" s="48"/>
      <c r="U610" s="48"/>
      <c r="V610" s="48"/>
      <c r="W610" s="48"/>
      <c r="X610" s="48"/>
      <c r="Y610" s="48"/>
      <c r="Z610" s="48"/>
      <c r="AA610" s="48"/>
      <c r="AB610" s="48"/>
      <c r="AC610" s="48"/>
      <c r="AD610" s="48"/>
      <c r="AE610" s="48"/>
      <c r="AF610" s="48"/>
      <c r="AG610" s="48"/>
      <c r="AH610" s="48"/>
      <c r="AI610" s="48"/>
      <c r="AJ610" s="48"/>
      <c r="AK610" s="48"/>
      <c r="AL610" s="48"/>
      <c r="AM610" s="48"/>
      <c r="AN610" s="48"/>
      <c r="AO610" s="48"/>
      <c r="AP610" s="48"/>
      <c r="AQ610" s="48"/>
      <c r="AR610" s="48"/>
      <c r="AS610" s="48"/>
      <c r="AT610" s="48"/>
      <c r="AU610" s="48"/>
      <c r="AV610" s="48"/>
      <c r="AW610" s="48"/>
      <c r="AX610" s="48"/>
      <c r="AY610" s="48"/>
      <c r="AZ610" s="48"/>
      <c r="BA610" s="48"/>
      <c r="BB610" s="48"/>
      <c r="BC610" s="48"/>
      <c r="BD610" s="48"/>
      <c r="BE610" s="48"/>
      <c r="BF610" s="48"/>
      <c r="BG610" s="48"/>
      <c r="BH610" s="48"/>
      <c r="BI610" s="48"/>
      <c r="BJ610" s="48"/>
      <c r="BK610" s="48"/>
      <c r="BL610" s="48"/>
      <c r="BM610" s="48"/>
      <c r="BN610" s="48"/>
      <c r="BO610" s="48"/>
      <c r="BP610" s="48"/>
      <c r="BQ610" s="48"/>
      <c r="BR610" s="48"/>
      <c r="BS610" s="48"/>
      <c r="BT610" s="48"/>
      <c r="BU610" s="48"/>
      <c r="BV610" s="48"/>
      <c r="BW610" s="48"/>
      <c r="BX610" s="111"/>
    </row>
    <row r="611" spans="1:76">
      <c r="A611" s="37"/>
      <c r="B611" s="37"/>
      <c r="C611" s="37" t="s">
        <v>1690</v>
      </c>
      <c r="D611" s="37"/>
      <c r="E611" s="37"/>
      <c r="F611" s="39"/>
      <c r="G611" s="59"/>
      <c r="H611" s="59"/>
      <c r="I611" s="59"/>
      <c r="J611" s="59"/>
      <c r="K611" s="59"/>
      <c r="L611" s="59"/>
      <c r="M611" s="59"/>
      <c r="N611" s="60"/>
      <c r="O611" s="36"/>
      <c r="P611" s="48"/>
      <c r="Q611" s="48"/>
      <c r="R611" s="48"/>
      <c r="S611" s="48"/>
      <c r="T611" s="48"/>
      <c r="U611" s="48"/>
      <c r="V611" s="48"/>
      <c r="W611" s="48"/>
      <c r="X611" s="48"/>
      <c r="Y611" s="48"/>
      <c r="Z611" s="48"/>
      <c r="AA611" s="48"/>
      <c r="AB611" s="48"/>
      <c r="AC611" s="48"/>
      <c r="AD611" s="48"/>
      <c r="AE611" s="48"/>
      <c r="AF611" s="48"/>
      <c r="AG611" s="48"/>
      <c r="AH611" s="48"/>
      <c r="AI611" s="48"/>
      <c r="AJ611" s="48"/>
      <c r="AK611" s="48"/>
      <c r="AL611" s="48"/>
      <c r="AM611" s="48"/>
      <c r="AN611" s="48"/>
      <c r="AO611" s="48"/>
      <c r="AP611" s="48"/>
      <c r="AQ611" s="48"/>
      <c r="AR611" s="48"/>
      <c r="AS611" s="48"/>
      <c r="AT611" s="48"/>
      <c r="AU611" s="48"/>
      <c r="AV611" s="48"/>
      <c r="AW611" s="48"/>
      <c r="AX611" s="48"/>
      <c r="AY611" s="48"/>
      <c r="AZ611" s="48"/>
      <c r="BA611" s="48"/>
      <c r="BB611" s="48"/>
      <c r="BC611" s="48"/>
      <c r="BD611" s="48"/>
      <c r="BE611" s="48"/>
      <c r="BF611" s="48"/>
      <c r="BG611" s="48"/>
      <c r="BH611" s="48"/>
      <c r="BI611" s="48"/>
      <c r="BJ611" s="48"/>
      <c r="BK611" s="48"/>
      <c r="BL611" s="48"/>
      <c r="BM611" s="48"/>
      <c r="BN611" s="48"/>
      <c r="BO611" s="48"/>
      <c r="BP611" s="48"/>
      <c r="BQ611" s="48"/>
      <c r="BR611" s="48"/>
      <c r="BS611" s="48"/>
      <c r="BT611" s="48"/>
      <c r="BU611" s="48"/>
      <c r="BV611" s="48"/>
      <c r="BW611" s="48"/>
      <c r="BX611" s="111"/>
    </row>
    <row r="612" spans="1:76">
      <c r="A612" s="37"/>
      <c r="B612" s="37"/>
      <c r="C612" s="37" t="s">
        <v>397</v>
      </c>
      <c r="D612" s="37"/>
      <c r="E612" s="37"/>
      <c r="F612" s="39"/>
      <c r="G612" s="59"/>
      <c r="H612" s="59"/>
      <c r="I612" s="59"/>
      <c r="J612" s="59"/>
      <c r="K612" s="59"/>
      <c r="L612" s="59"/>
      <c r="M612" s="59"/>
      <c r="N612" s="60"/>
      <c r="O612" s="36"/>
      <c r="P612" s="48"/>
      <c r="Q612" s="48"/>
      <c r="R612" s="48"/>
      <c r="S612" s="48"/>
      <c r="T612" s="48"/>
      <c r="U612" s="48"/>
      <c r="V612" s="48"/>
      <c r="W612" s="48"/>
      <c r="X612" s="48"/>
      <c r="Y612" s="48"/>
      <c r="Z612" s="48"/>
      <c r="AA612" s="48"/>
      <c r="AB612" s="48"/>
      <c r="AC612" s="48"/>
      <c r="AD612" s="48"/>
      <c r="AE612" s="48"/>
      <c r="AF612" s="48"/>
      <c r="AG612" s="48"/>
      <c r="AH612" s="48"/>
      <c r="AI612" s="48"/>
      <c r="AJ612" s="48"/>
      <c r="AK612" s="48"/>
      <c r="AL612" s="48"/>
      <c r="AM612" s="48"/>
      <c r="AN612" s="48"/>
      <c r="AO612" s="48"/>
      <c r="AP612" s="48"/>
      <c r="AQ612" s="48"/>
      <c r="AR612" s="48"/>
      <c r="AS612" s="48"/>
      <c r="AT612" s="48"/>
      <c r="AU612" s="48"/>
      <c r="AV612" s="48"/>
      <c r="AW612" s="48"/>
      <c r="AX612" s="48"/>
      <c r="AY612" s="48"/>
      <c r="AZ612" s="48"/>
      <c r="BA612" s="48"/>
      <c r="BB612" s="48"/>
      <c r="BC612" s="48"/>
      <c r="BD612" s="48"/>
      <c r="BE612" s="48"/>
      <c r="BF612" s="48"/>
      <c r="BG612" s="48"/>
      <c r="BH612" s="48"/>
      <c r="BI612" s="48"/>
      <c r="BJ612" s="48"/>
      <c r="BK612" s="48"/>
      <c r="BL612" s="48"/>
      <c r="BM612" s="48"/>
      <c r="BN612" s="48"/>
      <c r="BO612" s="48"/>
      <c r="BP612" s="48"/>
      <c r="BQ612" s="48"/>
      <c r="BR612" s="48"/>
      <c r="BS612" s="48"/>
      <c r="BT612" s="48"/>
      <c r="BU612" s="48"/>
      <c r="BV612" s="48"/>
      <c r="BW612" s="48"/>
      <c r="BX612" s="111"/>
    </row>
    <row r="613" spans="1:76">
      <c r="A613" s="37"/>
      <c r="B613" s="37"/>
      <c r="C613" s="37" t="s">
        <v>1289</v>
      </c>
      <c r="D613" s="37"/>
      <c r="E613" s="37"/>
      <c r="F613" s="39"/>
      <c r="G613" s="59"/>
      <c r="H613" s="59"/>
      <c r="I613" s="59"/>
      <c r="J613" s="59"/>
      <c r="K613" s="59"/>
      <c r="L613" s="59"/>
      <c r="M613" s="59"/>
      <c r="N613" s="60"/>
      <c r="O613" s="36"/>
      <c r="P613" s="48"/>
      <c r="Q613" s="48"/>
      <c r="R613" s="48"/>
      <c r="S613" s="48"/>
      <c r="T613" s="48"/>
      <c r="U613" s="48"/>
      <c r="V613" s="48"/>
      <c r="W613" s="48"/>
      <c r="X613" s="48"/>
      <c r="Y613" s="48"/>
      <c r="Z613" s="48"/>
      <c r="AA613" s="48"/>
      <c r="AB613" s="48"/>
      <c r="AC613" s="48"/>
      <c r="AD613" s="48"/>
      <c r="AE613" s="48"/>
      <c r="AF613" s="48"/>
      <c r="AG613" s="48"/>
      <c r="AH613" s="48"/>
      <c r="AI613" s="48"/>
      <c r="AJ613" s="48"/>
      <c r="AK613" s="48"/>
      <c r="AL613" s="48"/>
      <c r="AM613" s="48"/>
      <c r="AN613" s="48"/>
      <c r="AO613" s="48"/>
      <c r="AP613" s="48"/>
      <c r="AQ613" s="48"/>
      <c r="AR613" s="48"/>
      <c r="AS613" s="48"/>
      <c r="AT613" s="48"/>
      <c r="AU613" s="48"/>
      <c r="AV613" s="48"/>
      <c r="AW613" s="48"/>
      <c r="AX613" s="48"/>
      <c r="AY613" s="48"/>
      <c r="AZ613" s="48"/>
      <c r="BA613" s="48"/>
      <c r="BB613" s="48"/>
      <c r="BC613" s="48"/>
      <c r="BD613" s="48"/>
      <c r="BE613" s="48"/>
      <c r="BF613" s="48"/>
      <c r="BG613" s="48"/>
      <c r="BH613" s="48"/>
      <c r="BI613" s="48"/>
      <c r="BJ613" s="48"/>
      <c r="BK613" s="48"/>
      <c r="BL613" s="48"/>
      <c r="BM613" s="48"/>
      <c r="BN613" s="48"/>
      <c r="BO613" s="48"/>
      <c r="BP613" s="48"/>
      <c r="BQ613" s="48"/>
      <c r="BR613" s="48"/>
      <c r="BS613" s="48"/>
      <c r="BT613" s="48"/>
      <c r="BU613" s="48"/>
      <c r="BV613" s="48"/>
      <c r="BW613" s="48"/>
      <c r="BX613" s="111"/>
    </row>
    <row r="614" spans="1:76">
      <c r="A614" s="37"/>
      <c r="B614" s="37"/>
      <c r="C614" s="37" t="s">
        <v>2177</v>
      </c>
      <c r="D614" s="37"/>
      <c r="E614" s="37"/>
      <c r="F614" s="39"/>
      <c r="G614" s="59"/>
      <c r="H614" s="59"/>
      <c r="I614" s="59"/>
      <c r="J614" s="59"/>
      <c r="K614" s="59"/>
      <c r="L614" s="59"/>
      <c r="M614" s="59"/>
      <c r="N614" s="60"/>
      <c r="O614" s="36"/>
      <c r="P614" s="48"/>
      <c r="Q614" s="48"/>
      <c r="R614" s="48"/>
      <c r="S614" s="48"/>
      <c r="T614" s="48"/>
      <c r="U614" s="48"/>
      <c r="V614" s="48"/>
      <c r="W614" s="48"/>
      <c r="X614" s="48"/>
      <c r="Y614" s="48"/>
      <c r="Z614" s="48"/>
      <c r="AA614" s="48"/>
      <c r="AB614" s="48"/>
      <c r="AC614" s="48"/>
      <c r="AD614" s="48"/>
      <c r="AE614" s="48"/>
      <c r="AF614" s="48"/>
      <c r="AG614" s="48"/>
      <c r="AH614" s="48"/>
      <c r="AI614" s="48"/>
      <c r="AJ614" s="48"/>
      <c r="AK614" s="48"/>
      <c r="AL614" s="48"/>
      <c r="AM614" s="48"/>
      <c r="AN614" s="48"/>
      <c r="AO614" s="48"/>
      <c r="AP614" s="48"/>
      <c r="AQ614" s="48"/>
      <c r="AR614" s="48"/>
      <c r="AS614" s="48"/>
      <c r="AT614" s="48"/>
      <c r="AU614" s="48"/>
      <c r="AV614" s="48"/>
      <c r="AW614" s="48"/>
      <c r="AX614" s="48"/>
      <c r="AY614" s="48"/>
      <c r="AZ614" s="48"/>
      <c r="BA614" s="48"/>
      <c r="BB614" s="48"/>
      <c r="BC614" s="48"/>
      <c r="BD614" s="48"/>
      <c r="BE614" s="48"/>
      <c r="BF614" s="48"/>
      <c r="BG614" s="48"/>
      <c r="BH614" s="48"/>
      <c r="BI614" s="48"/>
      <c r="BJ614" s="48"/>
      <c r="BK614" s="48"/>
      <c r="BL614" s="48"/>
      <c r="BM614" s="48"/>
      <c r="BN614" s="48"/>
      <c r="BO614" s="48"/>
      <c r="BP614" s="48"/>
      <c r="BQ614" s="48"/>
      <c r="BR614" s="48"/>
      <c r="BS614" s="48"/>
      <c r="BT614" s="48"/>
      <c r="BU614" s="48"/>
      <c r="BV614" s="48"/>
      <c r="BW614" s="48"/>
      <c r="BX614" s="111"/>
    </row>
    <row r="615" spans="1:76">
      <c r="A615" s="37"/>
      <c r="B615" s="37"/>
      <c r="C615" s="37" t="s">
        <v>1782</v>
      </c>
      <c r="D615" s="37"/>
      <c r="E615" s="37"/>
      <c r="F615" s="39"/>
      <c r="G615" s="59"/>
      <c r="H615" s="59"/>
      <c r="I615" s="59"/>
      <c r="J615" s="59"/>
      <c r="K615" s="59"/>
      <c r="L615" s="59"/>
      <c r="M615" s="59"/>
      <c r="N615" s="60"/>
      <c r="O615" s="36"/>
      <c r="P615" s="48"/>
      <c r="Q615" s="48"/>
      <c r="R615" s="48"/>
      <c r="S615" s="48"/>
      <c r="T615" s="48"/>
      <c r="U615" s="48"/>
      <c r="V615" s="48"/>
      <c r="W615" s="48"/>
      <c r="X615" s="48"/>
      <c r="Y615" s="48"/>
      <c r="Z615" s="48"/>
      <c r="AA615" s="48"/>
      <c r="AB615" s="48"/>
      <c r="AC615" s="48"/>
      <c r="AD615" s="48"/>
      <c r="AE615" s="48"/>
      <c r="AF615" s="48"/>
      <c r="AG615" s="48"/>
      <c r="AH615" s="48"/>
      <c r="AI615" s="48"/>
      <c r="AJ615" s="48"/>
      <c r="AK615" s="48"/>
      <c r="AL615" s="48"/>
      <c r="AM615" s="48"/>
      <c r="AN615" s="48"/>
      <c r="AO615" s="48"/>
      <c r="AP615" s="48"/>
      <c r="AQ615" s="48"/>
      <c r="AR615" s="48"/>
      <c r="AS615" s="48"/>
      <c r="AT615" s="48"/>
      <c r="AU615" s="48"/>
      <c r="AV615" s="48"/>
      <c r="AW615" s="48"/>
      <c r="AX615" s="48"/>
      <c r="AY615" s="48"/>
      <c r="AZ615" s="48"/>
      <c r="BA615" s="48"/>
      <c r="BB615" s="48"/>
      <c r="BC615" s="48"/>
      <c r="BD615" s="48"/>
      <c r="BE615" s="48"/>
      <c r="BF615" s="48"/>
      <c r="BG615" s="48"/>
      <c r="BH615" s="48"/>
      <c r="BI615" s="48"/>
      <c r="BJ615" s="48"/>
      <c r="BK615" s="48"/>
      <c r="BL615" s="48"/>
      <c r="BM615" s="48"/>
      <c r="BN615" s="48"/>
      <c r="BO615" s="48"/>
      <c r="BP615" s="48"/>
      <c r="BQ615" s="48"/>
      <c r="BR615" s="48"/>
      <c r="BS615" s="48"/>
      <c r="BT615" s="48"/>
      <c r="BU615" s="48"/>
      <c r="BV615" s="48"/>
      <c r="BW615" s="48"/>
      <c r="BX615" s="111"/>
    </row>
    <row r="616" spans="1:76">
      <c r="A616" s="37"/>
      <c r="B616" s="37"/>
      <c r="C616" s="37" t="s">
        <v>86</v>
      </c>
      <c r="D616" s="37"/>
      <c r="E616" s="37"/>
      <c r="F616" s="39"/>
      <c r="G616" s="59"/>
      <c r="H616" s="59"/>
      <c r="I616" s="59"/>
      <c r="J616" s="59"/>
      <c r="K616" s="59"/>
      <c r="L616" s="59"/>
      <c r="M616" s="59"/>
      <c r="N616" s="60"/>
      <c r="O616" s="36"/>
      <c r="P616" s="48"/>
      <c r="Q616" s="48"/>
      <c r="R616" s="48"/>
      <c r="S616" s="48"/>
      <c r="T616" s="48"/>
      <c r="U616" s="48"/>
      <c r="V616" s="48"/>
      <c r="W616" s="48"/>
      <c r="X616" s="48"/>
      <c r="Y616" s="48"/>
      <c r="Z616" s="48"/>
      <c r="AA616" s="48"/>
      <c r="AB616" s="48"/>
      <c r="AC616" s="48"/>
      <c r="AD616" s="48"/>
      <c r="AE616" s="48"/>
      <c r="AF616" s="48"/>
      <c r="AG616" s="48"/>
      <c r="AH616" s="48"/>
      <c r="AI616" s="48"/>
      <c r="AJ616" s="48"/>
      <c r="AK616" s="48"/>
      <c r="AL616" s="48"/>
      <c r="AM616" s="48"/>
      <c r="AN616" s="48"/>
      <c r="AO616" s="48"/>
      <c r="AP616" s="48"/>
      <c r="AQ616" s="48"/>
      <c r="AR616" s="48"/>
      <c r="AS616" s="48"/>
      <c r="AT616" s="48"/>
      <c r="AU616" s="48"/>
      <c r="AV616" s="48"/>
      <c r="AW616" s="48"/>
      <c r="AX616" s="48"/>
      <c r="AY616" s="48"/>
      <c r="AZ616" s="48"/>
      <c r="BA616" s="48"/>
      <c r="BB616" s="48"/>
      <c r="BC616" s="48"/>
      <c r="BD616" s="48"/>
      <c r="BE616" s="48"/>
      <c r="BF616" s="48"/>
      <c r="BG616" s="48"/>
      <c r="BH616" s="48"/>
      <c r="BI616" s="48"/>
      <c r="BJ616" s="48"/>
      <c r="BK616" s="48"/>
      <c r="BL616" s="48"/>
      <c r="BM616" s="48"/>
      <c r="BN616" s="48"/>
      <c r="BO616" s="48"/>
      <c r="BP616" s="48"/>
      <c r="BQ616" s="48"/>
      <c r="BR616" s="48"/>
      <c r="BS616" s="48"/>
      <c r="BT616" s="48"/>
      <c r="BU616" s="48"/>
      <c r="BV616" s="48"/>
      <c r="BW616" s="48"/>
      <c r="BX616" s="111"/>
    </row>
    <row r="617" spans="1:76">
      <c r="A617" s="37"/>
      <c r="B617" s="37"/>
      <c r="C617" s="37" t="s">
        <v>2124</v>
      </c>
      <c r="D617" s="37"/>
      <c r="E617" s="37"/>
      <c r="F617" s="39"/>
      <c r="G617" s="59"/>
      <c r="H617" s="59"/>
      <c r="I617" s="59"/>
      <c r="J617" s="59"/>
      <c r="K617" s="59"/>
      <c r="L617" s="59"/>
      <c r="M617" s="59"/>
      <c r="N617" s="60"/>
      <c r="O617" s="36"/>
      <c r="P617" s="48"/>
      <c r="Q617" s="48"/>
      <c r="R617" s="48"/>
      <c r="S617" s="48"/>
      <c r="T617" s="48"/>
      <c r="U617" s="48"/>
      <c r="V617" s="48"/>
      <c r="W617" s="48"/>
      <c r="X617" s="48"/>
      <c r="Y617" s="48"/>
      <c r="Z617" s="48"/>
      <c r="AA617" s="48"/>
      <c r="AB617" s="48"/>
      <c r="AC617" s="48"/>
      <c r="AD617" s="48"/>
      <c r="AE617" s="48"/>
      <c r="AF617" s="48"/>
      <c r="AG617" s="48"/>
      <c r="AH617" s="48"/>
      <c r="AI617" s="48"/>
      <c r="AJ617" s="48"/>
      <c r="AK617" s="48"/>
      <c r="AL617" s="48"/>
      <c r="AM617" s="48"/>
      <c r="AN617" s="48"/>
      <c r="AO617" s="48"/>
      <c r="AP617" s="48"/>
      <c r="AQ617" s="48"/>
      <c r="AR617" s="48"/>
      <c r="AS617" s="48"/>
      <c r="AT617" s="48"/>
      <c r="AU617" s="48"/>
      <c r="AV617" s="48"/>
      <c r="AW617" s="48"/>
      <c r="AX617" s="48"/>
      <c r="AY617" s="48"/>
      <c r="AZ617" s="48"/>
      <c r="BA617" s="48"/>
      <c r="BB617" s="48"/>
      <c r="BC617" s="48"/>
      <c r="BD617" s="48"/>
      <c r="BE617" s="48"/>
      <c r="BF617" s="48"/>
      <c r="BG617" s="48"/>
      <c r="BH617" s="48"/>
      <c r="BI617" s="48"/>
      <c r="BJ617" s="48"/>
      <c r="BK617" s="48"/>
      <c r="BL617" s="48"/>
      <c r="BM617" s="48"/>
      <c r="BN617" s="48"/>
      <c r="BO617" s="48"/>
      <c r="BP617" s="48"/>
      <c r="BQ617" s="48"/>
      <c r="BR617" s="48"/>
      <c r="BS617" s="48"/>
      <c r="BT617" s="48"/>
      <c r="BU617" s="48"/>
      <c r="BV617" s="48"/>
      <c r="BW617" s="48"/>
      <c r="BX617" s="111"/>
    </row>
    <row r="618" spans="1:76">
      <c r="A618" s="37"/>
      <c r="B618" s="37"/>
      <c r="C618" s="37" t="s">
        <v>2125</v>
      </c>
      <c r="D618" s="37"/>
      <c r="E618" s="37"/>
      <c r="F618" s="39"/>
      <c r="G618" s="39" t="str">
        <f t="shared" ref="G618:N618" si="91">IF(AND(OR(ISTEXT(G619), ISBLANK(G619)),OR(ISTEXT(G620), ISBLANK(G620)),TRUE),"", +IF(ISTEXT(G619), 0,G619)+IF(ISTEXT(G620), 0,G620))</f>
        <v/>
      </c>
      <c r="H618" s="39" t="str">
        <f t="shared" si="91"/>
        <v/>
      </c>
      <c r="I618" s="39" t="str">
        <f t="shared" si="91"/>
        <v/>
      </c>
      <c r="J618" s="39" t="str">
        <f t="shared" si="91"/>
        <v/>
      </c>
      <c r="K618" s="39" t="str">
        <f t="shared" si="91"/>
        <v/>
      </c>
      <c r="L618" s="39" t="str">
        <f t="shared" si="91"/>
        <v/>
      </c>
      <c r="M618" s="39" t="str">
        <f t="shared" si="91"/>
        <v/>
      </c>
      <c r="N618" s="48" t="str">
        <f t="shared" si="91"/>
        <v/>
      </c>
      <c r="O618" s="36"/>
      <c r="P618" s="48"/>
      <c r="Q618" s="48"/>
      <c r="R618" s="48"/>
      <c r="S618" s="48"/>
      <c r="T618" s="48"/>
      <c r="U618" s="48"/>
      <c r="V618" s="48"/>
      <c r="W618" s="48"/>
      <c r="X618" s="48"/>
      <c r="Y618" s="48"/>
      <c r="Z618" s="48"/>
      <c r="AA618" s="48"/>
      <c r="AB618" s="48"/>
      <c r="AC618" s="48"/>
      <c r="AD618" s="48"/>
      <c r="AE618" s="48"/>
      <c r="AF618" s="48"/>
      <c r="AG618" s="48"/>
      <c r="AH618" s="48"/>
      <c r="AI618" s="48"/>
      <c r="AJ618" s="48"/>
      <c r="AK618" s="48"/>
      <c r="AL618" s="48"/>
      <c r="AM618" s="48"/>
      <c r="AN618" s="48"/>
      <c r="AO618" s="48"/>
      <c r="AP618" s="48"/>
      <c r="AQ618" s="48"/>
      <c r="AR618" s="48"/>
      <c r="AS618" s="48"/>
      <c r="AT618" s="48"/>
      <c r="AU618" s="48"/>
      <c r="AV618" s="48"/>
      <c r="AW618" s="48"/>
      <c r="AX618" s="48"/>
      <c r="AY618" s="48"/>
      <c r="AZ618" s="48"/>
      <c r="BA618" s="48"/>
      <c r="BB618" s="48"/>
      <c r="BC618" s="48"/>
      <c r="BD618" s="48"/>
      <c r="BE618" s="48"/>
      <c r="BF618" s="48"/>
      <c r="BG618" s="48"/>
      <c r="BH618" s="48"/>
      <c r="BI618" s="48"/>
      <c r="BJ618" s="48"/>
      <c r="BK618" s="48"/>
      <c r="BL618" s="48"/>
      <c r="BM618" s="48"/>
      <c r="BN618" s="48"/>
      <c r="BO618" s="48"/>
      <c r="BP618" s="48"/>
      <c r="BQ618" s="48"/>
      <c r="BR618" s="48"/>
      <c r="BS618" s="48"/>
      <c r="BT618" s="48"/>
      <c r="BU618" s="48"/>
      <c r="BV618" s="48"/>
      <c r="BW618" s="48"/>
      <c r="BX618" s="111"/>
    </row>
    <row r="619" spans="1:76">
      <c r="A619" s="37"/>
      <c r="B619" s="37"/>
      <c r="C619" s="37"/>
      <c r="D619" s="37" t="s">
        <v>202</v>
      </c>
      <c r="E619" s="37"/>
      <c r="F619" s="39"/>
      <c r="G619" s="59"/>
      <c r="H619" s="59"/>
      <c r="I619" s="59"/>
      <c r="J619" s="59"/>
      <c r="K619" s="59"/>
      <c r="L619" s="59"/>
      <c r="M619" s="59"/>
      <c r="N619" s="60"/>
      <c r="O619" s="36"/>
      <c r="P619" s="48"/>
      <c r="Q619" s="48"/>
      <c r="R619" s="48"/>
      <c r="S619" s="48"/>
      <c r="T619" s="48"/>
      <c r="U619" s="48"/>
      <c r="V619" s="48"/>
      <c r="W619" s="48"/>
      <c r="X619" s="48"/>
      <c r="Y619" s="48"/>
      <c r="Z619" s="48"/>
      <c r="AA619" s="48"/>
      <c r="AB619" s="48"/>
      <c r="AC619" s="48"/>
      <c r="AD619" s="48"/>
      <c r="AE619" s="48"/>
      <c r="AF619" s="48"/>
      <c r="AG619" s="48"/>
      <c r="AH619" s="48"/>
      <c r="AI619" s="48"/>
      <c r="AJ619" s="48"/>
      <c r="AK619" s="48"/>
      <c r="AL619" s="48"/>
      <c r="AM619" s="48"/>
      <c r="AN619" s="48"/>
      <c r="AO619" s="48"/>
      <c r="AP619" s="48"/>
      <c r="AQ619" s="48"/>
      <c r="AR619" s="48"/>
      <c r="AS619" s="48"/>
      <c r="AT619" s="48"/>
      <c r="AU619" s="48"/>
      <c r="AV619" s="48"/>
      <c r="AW619" s="48"/>
      <c r="AX619" s="48"/>
      <c r="AY619" s="48"/>
      <c r="AZ619" s="48"/>
      <c r="BA619" s="48"/>
      <c r="BB619" s="48"/>
      <c r="BC619" s="48"/>
      <c r="BD619" s="48"/>
      <c r="BE619" s="48"/>
      <c r="BF619" s="48"/>
      <c r="BG619" s="48"/>
      <c r="BH619" s="48"/>
      <c r="BI619" s="48"/>
      <c r="BJ619" s="48"/>
      <c r="BK619" s="48"/>
      <c r="BL619" s="48"/>
      <c r="BM619" s="48"/>
      <c r="BN619" s="48"/>
      <c r="BO619" s="48"/>
      <c r="BP619" s="48"/>
      <c r="BQ619" s="48"/>
      <c r="BR619" s="48"/>
      <c r="BS619" s="48"/>
      <c r="BT619" s="48"/>
      <c r="BU619" s="48"/>
      <c r="BV619" s="48"/>
      <c r="BW619" s="48"/>
      <c r="BX619" s="111"/>
    </row>
    <row r="620" spans="1:76">
      <c r="A620" s="37"/>
      <c r="B620" s="37"/>
      <c r="C620" s="37"/>
      <c r="D620" s="37" t="s">
        <v>106</v>
      </c>
      <c r="E620" s="37"/>
      <c r="F620" s="39"/>
      <c r="G620" s="59"/>
      <c r="H620" s="59"/>
      <c r="I620" s="59"/>
      <c r="J620" s="59"/>
      <c r="K620" s="59"/>
      <c r="L620" s="59"/>
      <c r="M620" s="59"/>
      <c r="N620" s="60"/>
      <c r="O620" s="36"/>
      <c r="P620" s="48"/>
      <c r="Q620" s="48"/>
      <c r="R620" s="48"/>
      <c r="S620" s="48"/>
      <c r="T620" s="48"/>
      <c r="U620" s="48"/>
      <c r="V620" s="48"/>
      <c r="W620" s="48"/>
      <c r="X620" s="48"/>
      <c r="Y620" s="48"/>
      <c r="Z620" s="48"/>
      <c r="AA620" s="48"/>
      <c r="AB620" s="48"/>
      <c r="AC620" s="48"/>
      <c r="AD620" s="48"/>
      <c r="AE620" s="48"/>
      <c r="AF620" s="48"/>
      <c r="AG620" s="48"/>
      <c r="AH620" s="48"/>
      <c r="AI620" s="48"/>
      <c r="AJ620" s="48"/>
      <c r="AK620" s="48"/>
      <c r="AL620" s="48"/>
      <c r="AM620" s="48"/>
      <c r="AN620" s="48"/>
      <c r="AO620" s="48"/>
      <c r="AP620" s="48"/>
      <c r="AQ620" s="48"/>
      <c r="AR620" s="48"/>
      <c r="AS620" s="48"/>
      <c r="AT620" s="48"/>
      <c r="AU620" s="48"/>
      <c r="AV620" s="48"/>
      <c r="AW620" s="48"/>
      <c r="AX620" s="48"/>
      <c r="AY620" s="48"/>
      <c r="AZ620" s="48"/>
      <c r="BA620" s="48"/>
      <c r="BB620" s="48"/>
      <c r="BC620" s="48"/>
      <c r="BD620" s="48"/>
      <c r="BE620" s="48"/>
      <c r="BF620" s="48"/>
      <c r="BG620" s="48"/>
      <c r="BH620" s="48"/>
      <c r="BI620" s="48"/>
      <c r="BJ620" s="48"/>
      <c r="BK620" s="48"/>
      <c r="BL620" s="48"/>
      <c r="BM620" s="48"/>
      <c r="BN620" s="48"/>
      <c r="BO620" s="48"/>
      <c r="BP620" s="48"/>
      <c r="BQ620" s="48"/>
      <c r="BR620" s="48"/>
      <c r="BS620" s="48"/>
      <c r="BT620" s="48"/>
      <c r="BU620" s="48"/>
      <c r="BV620" s="48"/>
      <c r="BW620" s="48"/>
      <c r="BX620" s="111"/>
    </row>
    <row r="621" spans="1:76">
      <c r="A621" s="37"/>
      <c r="B621" s="37"/>
      <c r="C621" s="37" t="s">
        <v>1924</v>
      </c>
      <c r="D621" s="37"/>
      <c r="E621" s="37"/>
      <c r="F621" s="39"/>
      <c r="G621" s="59"/>
      <c r="H621" s="59"/>
      <c r="I621" s="59"/>
      <c r="J621" s="59"/>
      <c r="K621" s="59"/>
      <c r="L621" s="59"/>
      <c r="M621" s="59"/>
      <c r="N621" s="60"/>
      <c r="O621" s="36"/>
      <c r="P621" s="48"/>
      <c r="Q621" s="48"/>
      <c r="R621" s="48"/>
      <c r="S621" s="48"/>
      <c r="T621" s="48"/>
      <c r="U621" s="48"/>
      <c r="V621" s="48"/>
      <c r="W621" s="48"/>
      <c r="X621" s="48"/>
      <c r="Y621" s="48"/>
      <c r="Z621" s="48"/>
      <c r="AA621" s="48"/>
      <c r="AB621" s="48"/>
      <c r="AC621" s="48"/>
      <c r="AD621" s="48"/>
      <c r="AE621" s="48"/>
      <c r="AF621" s="48"/>
      <c r="AG621" s="48"/>
      <c r="AH621" s="48"/>
      <c r="AI621" s="48"/>
      <c r="AJ621" s="48"/>
      <c r="AK621" s="48"/>
      <c r="AL621" s="48"/>
      <c r="AM621" s="48"/>
      <c r="AN621" s="48"/>
      <c r="AO621" s="48"/>
      <c r="AP621" s="48"/>
      <c r="AQ621" s="48"/>
      <c r="AR621" s="48"/>
      <c r="AS621" s="48"/>
      <c r="AT621" s="48"/>
      <c r="AU621" s="48"/>
      <c r="AV621" s="48"/>
      <c r="AW621" s="48"/>
      <c r="AX621" s="48"/>
      <c r="AY621" s="48"/>
      <c r="AZ621" s="48"/>
      <c r="BA621" s="48"/>
      <c r="BB621" s="48"/>
      <c r="BC621" s="48"/>
      <c r="BD621" s="48"/>
      <c r="BE621" s="48"/>
      <c r="BF621" s="48"/>
      <c r="BG621" s="48"/>
      <c r="BH621" s="48"/>
      <c r="BI621" s="48"/>
      <c r="BJ621" s="48"/>
      <c r="BK621" s="48"/>
      <c r="BL621" s="48"/>
      <c r="BM621" s="48"/>
      <c r="BN621" s="48"/>
      <c r="BO621" s="48"/>
      <c r="BP621" s="48"/>
      <c r="BQ621" s="48"/>
      <c r="BR621" s="48"/>
      <c r="BS621" s="48"/>
      <c r="BT621" s="48"/>
      <c r="BU621" s="48"/>
      <c r="BV621" s="48"/>
      <c r="BW621" s="48"/>
      <c r="BX621" s="111"/>
    </row>
    <row r="622" spans="1:76">
      <c r="A622" s="37"/>
      <c r="B622" s="37"/>
      <c r="C622" s="37" t="s">
        <v>639</v>
      </c>
      <c r="D622" s="37"/>
      <c r="E622" s="37"/>
      <c r="F622" s="39"/>
      <c r="G622" s="59"/>
      <c r="H622" s="59"/>
      <c r="I622" s="59"/>
      <c r="J622" s="59"/>
      <c r="K622" s="59"/>
      <c r="L622" s="59"/>
      <c r="M622" s="59"/>
      <c r="N622" s="60"/>
      <c r="O622" s="36"/>
      <c r="P622" s="48"/>
      <c r="Q622" s="48"/>
      <c r="R622" s="48"/>
      <c r="S622" s="48"/>
      <c r="T622" s="48"/>
      <c r="U622" s="48"/>
      <c r="V622" s="48"/>
      <c r="W622" s="48"/>
      <c r="X622" s="48"/>
      <c r="Y622" s="48"/>
      <c r="Z622" s="48"/>
      <c r="AA622" s="48"/>
      <c r="AB622" s="48"/>
      <c r="AC622" s="48"/>
      <c r="AD622" s="48"/>
      <c r="AE622" s="48"/>
      <c r="AF622" s="48"/>
      <c r="AG622" s="48"/>
      <c r="AH622" s="48"/>
      <c r="AI622" s="48"/>
      <c r="AJ622" s="48"/>
      <c r="AK622" s="48"/>
      <c r="AL622" s="48"/>
      <c r="AM622" s="48"/>
      <c r="AN622" s="48"/>
      <c r="AO622" s="48"/>
      <c r="AP622" s="48"/>
      <c r="AQ622" s="48"/>
      <c r="AR622" s="48"/>
      <c r="AS622" s="48"/>
      <c r="AT622" s="48"/>
      <c r="AU622" s="48"/>
      <c r="AV622" s="48"/>
      <c r="AW622" s="48"/>
      <c r="AX622" s="48"/>
      <c r="AY622" s="48"/>
      <c r="AZ622" s="48"/>
      <c r="BA622" s="48"/>
      <c r="BB622" s="48"/>
      <c r="BC622" s="48"/>
      <c r="BD622" s="48"/>
      <c r="BE622" s="48"/>
      <c r="BF622" s="48"/>
      <c r="BG622" s="48"/>
      <c r="BH622" s="48"/>
      <c r="BI622" s="48"/>
      <c r="BJ622" s="48"/>
      <c r="BK622" s="48"/>
      <c r="BL622" s="48"/>
      <c r="BM622" s="48"/>
      <c r="BN622" s="48"/>
      <c r="BO622" s="48"/>
      <c r="BP622" s="48"/>
      <c r="BQ622" s="48"/>
      <c r="BR622" s="48"/>
      <c r="BS622" s="48"/>
      <c r="BT622" s="48"/>
      <c r="BU622" s="48"/>
      <c r="BV622" s="48"/>
      <c r="BW622" s="48"/>
      <c r="BX622" s="111"/>
    </row>
    <row r="623" spans="1:76">
      <c r="A623" s="37"/>
      <c r="B623" s="37"/>
      <c r="C623" s="37" t="s">
        <v>249</v>
      </c>
      <c r="D623" s="37"/>
      <c r="E623" s="37"/>
      <c r="F623" s="39"/>
      <c r="G623" s="59"/>
      <c r="H623" s="59"/>
      <c r="I623" s="59"/>
      <c r="J623" s="59"/>
      <c r="K623" s="59"/>
      <c r="L623" s="59"/>
      <c r="M623" s="59"/>
      <c r="N623" s="60"/>
      <c r="O623" s="36"/>
      <c r="P623" s="48"/>
      <c r="Q623" s="48"/>
      <c r="R623" s="48"/>
      <c r="S623" s="48"/>
      <c r="T623" s="48"/>
      <c r="U623" s="48"/>
      <c r="V623" s="48"/>
      <c r="W623" s="48"/>
      <c r="X623" s="48"/>
      <c r="Y623" s="48"/>
      <c r="Z623" s="48"/>
      <c r="AA623" s="48"/>
      <c r="AB623" s="48"/>
      <c r="AC623" s="48"/>
      <c r="AD623" s="48"/>
      <c r="AE623" s="48"/>
      <c r="AF623" s="48"/>
      <c r="AG623" s="48"/>
      <c r="AH623" s="48"/>
      <c r="AI623" s="48"/>
      <c r="AJ623" s="48"/>
      <c r="AK623" s="48"/>
      <c r="AL623" s="48"/>
      <c r="AM623" s="48"/>
      <c r="AN623" s="48"/>
      <c r="AO623" s="48"/>
      <c r="AP623" s="48"/>
      <c r="AQ623" s="48"/>
      <c r="AR623" s="48"/>
      <c r="AS623" s="48"/>
      <c r="AT623" s="48"/>
      <c r="AU623" s="48"/>
      <c r="AV623" s="48"/>
      <c r="AW623" s="48"/>
      <c r="AX623" s="48"/>
      <c r="AY623" s="48"/>
      <c r="AZ623" s="48"/>
      <c r="BA623" s="48"/>
      <c r="BB623" s="48"/>
      <c r="BC623" s="48"/>
      <c r="BD623" s="48"/>
      <c r="BE623" s="48"/>
      <c r="BF623" s="48"/>
      <c r="BG623" s="48"/>
      <c r="BH623" s="48"/>
      <c r="BI623" s="48"/>
      <c r="BJ623" s="48"/>
      <c r="BK623" s="48"/>
      <c r="BL623" s="48"/>
      <c r="BM623" s="48"/>
      <c r="BN623" s="48"/>
      <c r="BO623" s="48"/>
      <c r="BP623" s="48"/>
      <c r="BQ623" s="48"/>
      <c r="BR623" s="48"/>
      <c r="BS623" s="48"/>
      <c r="BT623" s="48"/>
      <c r="BU623" s="48"/>
      <c r="BV623" s="48"/>
      <c r="BW623" s="48"/>
      <c r="BX623" s="111"/>
    </row>
    <row r="624" spans="1:76">
      <c r="A624" s="37"/>
      <c r="B624" s="37"/>
      <c r="C624" s="37" t="s">
        <v>1190</v>
      </c>
      <c r="D624" s="37"/>
      <c r="E624" s="37"/>
      <c r="F624" s="39"/>
      <c r="G624" s="59"/>
      <c r="H624" s="59"/>
      <c r="I624" s="59"/>
      <c r="J624" s="59"/>
      <c r="K624" s="59"/>
      <c r="L624" s="59"/>
      <c r="M624" s="59"/>
      <c r="N624" s="60"/>
      <c r="O624" s="36"/>
      <c r="P624" s="48"/>
      <c r="Q624" s="48"/>
      <c r="R624" s="48"/>
      <c r="S624" s="48"/>
      <c r="T624" s="48"/>
      <c r="U624" s="48"/>
      <c r="V624" s="48"/>
      <c r="W624" s="48"/>
      <c r="X624" s="48"/>
      <c r="Y624" s="48"/>
      <c r="Z624" s="48"/>
      <c r="AA624" s="48"/>
      <c r="AB624" s="48"/>
      <c r="AC624" s="48"/>
      <c r="AD624" s="48"/>
      <c r="AE624" s="48"/>
      <c r="AF624" s="48"/>
      <c r="AG624" s="48"/>
      <c r="AH624" s="48"/>
      <c r="AI624" s="48"/>
      <c r="AJ624" s="48"/>
      <c r="AK624" s="48"/>
      <c r="AL624" s="48"/>
      <c r="AM624" s="48"/>
      <c r="AN624" s="48"/>
      <c r="AO624" s="48"/>
      <c r="AP624" s="48"/>
      <c r="AQ624" s="48"/>
      <c r="AR624" s="48"/>
      <c r="AS624" s="48"/>
      <c r="AT624" s="48"/>
      <c r="AU624" s="48"/>
      <c r="AV624" s="48"/>
      <c r="AW624" s="48"/>
      <c r="AX624" s="48"/>
      <c r="AY624" s="48"/>
      <c r="AZ624" s="48"/>
      <c r="BA624" s="48"/>
      <c r="BB624" s="48"/>
      <c r="BC624" s="48"/>
      <c r="BD624" s="48"/>
      <c r="BE624" s="48"/>
      <c r="BF624" s="48"/>
      <c r="BG624" s="48"/>
      <c r="BH624" s="48"/>
      <c r="BI624" s="48"/>
      <c r="BJ624" s="48"/>
      <c r="BK624" s="48"/>
      <c r="BL624" s="48"/>
      <c r="BM624" s="48"/>
      <c r="BN624" s="48"/>
      <c r="BO624" s="48"/>
      <c r="BP624" s="48"/>
      <c r="BQ624" s="48"/>
      <c r="BR624" s="48"/>
      <c r="BS624" s="48"/>
      <c r="BT624" s="48"/>
      <c r="BU624" s="48"/>
      <c r="BV624" s="48"/>
      <c r="BW624" s="48"/>
      <c r="BX624" s="111"/>
    </row>
    <row r="625" spans="1:76">
      <c r="A625" s="37"/>
      <c r="B625" s="37"/>
      <c r="C625" s="37" t="s">
        <v>2170</v>
      </c>
      <c r="D625" s="37"/>
      <c r="E625" s="37"/>
      <c r="F625" s="39"/>
      <c r="G625" s="59"/>
      <c r="H625" s="59"/>
      <c r="I625" s="59"/>
      <c r="J625" s="59"/>
      <c r="K625" s="59"/>
      <c r="L625" s="59"/>
      <c r="M625" s="59"/>
      <c r="N625" s="60"/>
      <c r="O625" s="36"/>
      <c r="P625" s="48"/>
      <c r="Q625" s="48"/>
      <c r="R625" s="48"/>
      <c r="S625" s="48"/>
      <c r="T625" s="48"/>
      <c r="U625" s="48"/>
      <c r="V625" s="48"/>
      <c r="W625" s="48"/>
      <c r="X625" s="48"/>
      <c r="Y625" s="48"/>
      <c r="Z625" s="48"/>
      <c r="AA625" s="48"/>
      <c r="AB625" s="48"/>
      <c r="AC625" s="48"/>
      <c r="AD625" s="48"/>
      <c r="AE625" s="48"/>
      <c r="AF625" s="48"/>
      <c r="AG625" s="48"/>
      <c r="AH625" s="48"/>
      <c r="AI625" s="48"/>
      <c r="AJ625" s="48"/>
      <c r="AK625" s="48"/>
      <c r="AL625" s="48"/>
      <c r="AM625" s="48"/>
      <c r="AN625" s="48"/>
      <c r="AO625" s="48"/>
      <c r="AP625" s="48"/>
      <c r="AQ625" s="48"/>
      <c r="AR625" s="48"/>
      <c r="AS625" s="48"/>
      <c r="AT625" s="48"/>
      <c r="AU625" s="48"/>
      <c r="AV625" s="48"/>
      <c r="AW625" s="48"/>
      <c r="AX625" s="48"/>
      <c r="AY625" s="48"/>
      <c r="AZ625" s="48"/>
      <c r="BA625" s="48"/>
      <c r="BB625" s="48"/>
      <c r="BC625" s="48"/>
      <c r="BD625" s="48"/>
      <c r="BE625" s="48"/>
      <c r="BF625" s="48"/>
      <c r="BG625" s="48"/>
      <c r="BH625" s="48"/>
      <c r="BI625" s="48"/>
      <c r="BJ625" s="48"/>
      <c r="BK625" s="48"/>
      <c r="BL625" s="48"/>
      <c r="BM625" s="48"/>
      <c r="BN625" s="48"/>
      <c r="BO625" s="48"/>
      <c r="BP625" s="48"/>
      <c r="BQ625" s="48"/>
      <c r="BR625" s="48"/>
      <c r="BS625" s="48"/>
      <c r="BT625" s="48"/>
      <c r="BU625" s="48"/>
      <c r="BV625" s="48"/>
      <c r="BW625" s="48"/>
      <c r="BX625" s="111"/>
    </row>
    <row r="626" spans="1:76">
      <c r="A626" s="37"/>
      <c r="B626" s="37"/>
      <c r="C626" s="37" t="s">
        <v>2316</v>
      </c>
      <c r="D626" s="37"/>
      <c r="E626" s="37"/>
      <c r="F626" s="39"/>
      <c r="G626" s="59"/>
      <c r="H626" s="59"/>
      <c r="I626" s="59"/>
      <c r="J626" s="59"/>
      <c r="K626" s="59"/>
      <c r="L626" s="59"/>
      <c r="M626" s="59"/>
      <c r="N626" s="60"/>
      <c r="O626" s="36"/>
      <c r="P626" s="48"/>
      <c r="Q626" s="48"/>
      <c r="R626" s="48"/>
      <c r="S626" s="48"/>
      <c r="T626" s="48"/>
      <c r="U626" s="48"/>
      <c r="V626" s="48"/>
      <c r="W626" s="48"/>
      <c r="X626" s="48"/>
      <c r="Y626" s="48"/>
      <c r="Z626" s="48"/>
      <c r="AA626" s="48"/>
      <c r="AB626" s="48"/>
      <c r="AC626" s="48"/>
      <c r="AD626" s="48"/>
      <c r="AE626" s="48"/>
      <c r="AF626" s="48"/>
      <c r="AG626" s="48"/>
      <c r="AH626" s="48"/>
      <c r="AI626" s="48"/>
      <c r="AJ626" s="48"/>
      <c r="AK626" s="48"/>
      <c r="AL626" s="48"/>
      <c r="AM626" s="48"/>
      <c r="AN626" s="48"/>
      <c r="AO626" s="48"/>
      <c r="AP626" s="48"/>
      <c r="AQ626" s="48"/>
      <c r="AR626" s="48"/>
      <c r="AS626" s="48"/>
      <c r="AT626" s="48"/>
      <c r="AU626" s="48"/>
      <c r="AV626" s="48"/>
      <c r="AW626" s="48"/>
      <c r="AX626" s="48"/>
      <c r="AY626" s="48"/>
      <c r="AZ626" s="48"/>
      <c r="BA626" s="48"/>
      <c r="BB626" s="48"/>
      <c r="BC626" s="48"/>
      <c r="BD626" s="48"/>
      <c r="BE626" s="48"/>
      <c r="BF626" s="48"/>
      <c r="BG626" s="48"/>
      <c r="BH626" s="48"/>
      <c r="BI626" s="48"/>
      <c r="BJ626" s="48"/>
      <c r="BK626" s="48"/>
      <c r="BL626" s="48"/>
      <c r="BM626" s="48"/>
      <c r="BN626" s="48"/>
      <c r="BO626" s="48"/>
      <c r="BP626" s="48"/>
      <c r="BQ626" s="48"/>
      <c r="BR626" s="48"/>
      <c r="BS626" s="48"/>
      <c r="BT626" s="48"/>
      <c r="BU626" s="48"/>
      <c r="BV626" s="48"/>
      <c r="BW626" s="48"/>
      <c r="BX626" s="111"/>
    </row>
    <row r="627" spans="1:76">
      <c r="A627" s="37"/>
      <c r="B627" s="37"/>
      <c r="C627" s="37" t="s">
        <v>1611</v>
      </c>
      <c r="D627" s="37"/>
      <c r="E627" s="37"/>
      <c r="F627" s="39"/>
      <c r="G627" s="59"/>
      <c r="H627" s="59"/>
      <c r="I627" s="59"/>
      <c r="J627" s="59"/>
      <c r="K627" s="59"/>
      <c r="L627" s="59"/>
      <c r="M627" s="59"/>
      <c r="N627" s="60"/>
      <c r="O627" s="36"/>
      <c r="P627" s="48"/>
      <c r="Q627" s="48"/>
      <c r="R627" s="48"/>
      <c r="S627" s="48"/>
      <c r="T627" s="48"/>
      <c r="U627" s="48"/>
      <c r="V627" s="48"/>
      <c r="W627" s="48"/>
      <c r="X627" s="48"/>
      <c r="Y627" s="48"/>
      <c r="Z627" s="48"/>
      <c r="AA627" s="48"/>
      <c r="AB627" s="48"/>
      <c r="AC627" s="48"/>
      <c r="AD627" s="48"/>
      <c r="AE627" s="48"/>
      <c r="AF627" s="48"/>
      <c r="AG627" s="48"/>
      <c r="AH627" s="48"/>
      <c r="AI627" s="48"/>
      <c r="AJ627" s="48"/>
      <c r="AK627" s="48"/>
      <c r="AL627" s="48"/>
      <c r="AM627" s="48"/>
      <c r="AN627" s="48"/>
      <c r="AO627" s="48"/>
      <c r="AP627" s="48"/>
      <c r="AQ627" s="48"/>
      <c r="AR627" s="48"/>
      <c r="AS627" s="48"/>
      <c r="AT627" s="48"/>
      <c r="AU627" s="48"/>
      <c r="AV627" s="48"/>
      <c r="AW627" s="48"/>
      <c r="AX627" s="48"/>
      <c r="AY627" s="48"/>
      <c r="AZ627" s="48"/>
      <c r="BA627" s="48"/>
      <c r="BB627" s="48"/>
      <c r="BC627" s="48"/>
      <c r="BD627" s="48"/>
      <c r="BE627" s="48"/>
      <c r="BF627" s="48"/>
      <c r="BG627" s="48"/>
      <c r="BH627" s="48"/>
      <c r="BI627" s="48"/>
      <c r="BJ627" s="48"/>
      <c r="BK627" s="48"/>
      <c r="BL627" s="48"/>
      <c r="BM627" s="48"/>
      <c r="BN627" s="48"/>
      <c r="BO627" s="48"/>
      <c r="BP627" s="48"/>
      <c r="BQ627" s="48"/>
      <c r="BR627" s="48"/>
      <c r="BS627" s="48"/>
      <c r="BT627" s="48"/>
      <c r="BU627" s="48"/>
      <c r="BV627" s="48"/>
      <c r="BW627" s="48"/>
      <c r="BX627" s="111"/>
    </row>
    <row r="628" spans="1:76">
      <c r="A628" s="37"/>
      <c r="B628" s="37"/>
      <c r="C628" s="37" t="s">
        <v>1154</v>
      </c>
      <c r="D628" s="37"/>
      <c r="E628" s="37"/>
      <c r="F628" s="39"/>
      <c r="G628" s="59"/>
      <c r="H628" s="59"/>
      <c r="I628" s="59"/>
      <c r="J628" s="59"/>
      <c r="K628" s="59"/>
      <c r="L628" s="59"/>
      <c r="M628" s="59"/>
      <c r="N628" s="60"/>
      <c r="O628" s="36"/>
      <c r="P628" s="48"/>
      <c r="Q628" s="48"/>
      <c r="R628" s="48"/>
      <c r="S628" s="48"/>
      <c r="T628" s="48"/>
      <c r="U628" s="48"/>
      <c r="V628" s="48"/>
      <c r="W628" s="48"/>
      <c r="X628" s="48"/>
      <c r="Y628" s="48"/>
      <c r="Z628" s="48"/>
      <c r="AA628" s="48"/>
      <c r="AB628" s="48"/>
      <c r="AC628" s="48"/>
      <c r="AD628" s="48"/>
      <c r="AE628" s="48"/>
      <c r="AF628" s="48"/>
      <c r="AG628" s="48"/>
      <c r="AH628" s="48"/>
      <c r="AI628" s="48"/>
      <c r="AJ628" s="48"/>
      <c r="AK628" s="48"/>
      <c r="AL628" s="48"/>
      <c r="AM628" s="48"/>
      <c r="AN628" s="48"/>
      <c r="AO628" s="48"/>
      <c r="AP628" s="48"/>
      <c r="AQ628" s="48"/>
      <c r="AR628" s="48"/>
      <c r="AS628" s="48"/>
      <c r="AT628" s="48"/>
      <c r="AU628" s="48"/>
      <c r="AV628" s="48"/>
      <c r="AW628" s="48"/>
      <c r="AX628" s="48"/>
      <c r="AY628" s="48"/>
      <c r="AZ628" s="48"/>
      <c r="BA628" s="48"/>
      <c r="BB628" s="48"/>
      <c r="BC628" s="48"/>
      <c r="BD628" s="48"/>
      <c r="BE628" s="48"/>
      <c r="BF628" s="48"/>
      <c r="BG628" s="48"/>
      <c r="BH628" s="48"/>
      <c r="BI628" s="48"/>
      <c r="BJ628" s="48"/>
      <c r="BK628" s="48"/>
      <c r="BL628" s="48"/>
      <c r="BM628" s="48"/>
      <c r="BN628" s="48"/>
      <c r="BO628" s="48"/>
      <c r="BP628" s="48"/>
      <c r="BQ628" s="48"/>
      <c r="BR628" s="48"/>
      <c r="BS628" s="48"/>
      <c r="BT628" s="48"/>
      <c r="BU628" s="48"/>
      <c r="BV628" s="48"/>
      <c r="BW628" s="48"/>
      <c r="BX628" s="111"/>
    </row>
    <row r="629" spans="1:76">
      <c r="A629" s="37"/>
      <c r="B629" s="37"/>
      <c r="C629" s="37" t="s">
        <v>52</v>
      </c>
      <c r="D629" s="37"/>
      <c r="E629" s="37"/>
      <c r="F629" s="39"/>
      <c r="G629" s="59"/>
      <c r="H629" s="59"/>
      <c r="I629" s="59"/>
      <c r="J629" s="59"/>
      <c r="K629" s="59"/>
      <c r="L629" s="59"/>
      <c r="M629" s="59"/>
      <c r="N629" s="60"/>
      <c r="O629" s="36"/>
      <c r="P629" s="48"/>
      <c r="Q629" s="48"/>
      <c r="R629" s="48"/>
      <c r="S629" s="48"/>
      <c r="T629" s="48"/>
      <c r="U629" s="48"/>
      <c r="V629" s="48"/>
      <c r="W629" s="48"/>
      <c r="X629" s="48"/>
      <c r="Y629" s="48"/>
      <c r="Z629" s="48"/>
      <c r="AA629" s="48"/>
      <c r="AB629" s="48"/>
      <c r="AC629" s="48"/>
      <c r="AD629" s="48"/>
      <c r="AE629" s="48"/>
      <c r="AF629" s="48"/>
      <c r="AG629" s="48"/>
      <c r="AH629" s="48"/>
      <c r="AI629" s="48"/>
      <c r="AJ629" s="48"/>
      <c r="AK629" s="48"/>
      <c r="AL629" s="48"/>
      <c r="AM629" s="48"/>
      <c r="AN629" s="48"/>
      <c r="AO629" s="48"/>
      <c r="AP629" s="48"/>
      <c r="AQ629" s="48"/>
      <c r="AR629" s="48"/>
      <c r="AS629" s="48"/>
      <c r="AT629" s="48"/>
      <c r="AU629" s="48"/>
      <c r="AV629" s="48"/>
      <c r="AW629" s="48"/>
      <c r="AX629" s="48"/>
      <c r="AY629" s="48"/>
      <c r="AZ629" s="48"/>
      <c r="BA629" s="48"/>
      <c r="BB629" s="48"/>
      <c r="BC629" s="48"/>
      <c r="BD629" s="48"/>
      <c r="BE629" s="48"/>
      <c r="BF629" s="48"/>
      <c r="BG629" s="48"/>
      <c r="BH629" s="48"/>
      <c r="BI629" s="48"/>
      <c r="BJ629" s="48"/>
      <c r="BK629" s="48"/>
      <c r="BL629" s="48"/>
      <c r="BM629" s="48"/>
      <c r="BN629" s="48"/>
      <c r="BO629" s="48"/>
      <c r="BP629" s="48"/>
      <c r="BQ629" s="48"/>
      <c r="BR629" s="48"/>
      <c r="BS629" s="48"/>
      <c r="BT629" s="48"/>
      <c r="BU629" s="48"/>
      <c r="BV629" s="48"/>
      <c r="BW629" s="48"/>
      <c r="BX629" s="111"/>
    </row>
    <row r="630" spans="1:76">
      <c r="A630" s="37"/>
      <c r="B630" s="37"/>
      <c r="C630" s="37" t="s">
        <v>2181</v>
      </c>
      <c r="D630" s="37"/>
      <c r="E630" s="37"/>
      <c r="F630" s="39"/>
      <c r="G630" s="59"/>
      <c r="H630" s="59"/>
      <c r="I630" s="59"/>
      <c r="J630" s="59"/>
      <c r="K630" s="59"/>
      <c r="L630" s="59"/>
      <c r="M630" s="59"/>
      <c r="N630" s="60"/>
      <c r="O630" s="36"/>
      <c r="P630" s="48"/>
      <c r="Q630" s="48"/>
      <c r="R630" s="48"/>
      <c r="S630" s="48"/>
      <c r="T630" s="48"/>
      <c r="U630" s="48"/>
      <c r="V630" s="48"/>
      <c r="W630" s="48"/>
      <c r="X630" s="48"/>
      <c r="Y630" s="48"/>
      <c r="Z630" s="48"/>
      <c r="AA630" s="48"/>
      <c r="AB630" s="48"/>
      <c r="AC630" s="48"/>
      <c r="AD630" s="48"/>
      <c r="AE630" s="48"/>
      <c r="AF630" s="48"/>
      <c r="AG630" s="48"/>
      <c r="AH630" s="48"/>
      <c r="AI630" s="48"/>
      <c r="AJ630" s="48"/>
      <c r="AK630" s="48"/>
      <c r="AL630" s="48"/>
      <c r="AM630" s="48"/>
      <c r="AN630" s="48"/>
      <c r="AO630" s="48"/>
      <c r="AP630" s="48"/>
      <c r="AQ630" s="48"/>
      <c r="AR630" s="48"/>
      <c r="AS630" s="48"/>
      <c r="AT630" s="48"/>
      <c r="AU630" s="48"/>
      <c r="AV630" s="48"/>
      <c r="AW630" s="48"/>
      <c r="AX630" s="48"/>
      <c r="AY630" s="48"/>
      <c r="AZ630" s="48"/>
      <c r="BA630" s="48"/>
      <c r="BB630" s="48"/>
      <c r="BC630" s="48"/>
      <c r="BD630" s="48"/>
      <c r="BE630" s="48"/>
      <c r="BF630" s="48"/>
      <c r="BG630" s="48"/>
      <c r="BH630" s="48"/>
      <c r="BI630" s="48"/>
      <c r="BJ630" s="48"/>
      <c r="BK630" s="48"/>
      <c r="BL630" s="48"/>
      <c r="BM630" s="48"/>
      <c r="BN630" s="48"/>
      <c r="BO630" s="48"/>
      <c r="BP630" s="48"/>
      <c r="BQ630" s="48"/>
      <c r="BR630" s="48"/>
      <c r="BS630" s="48"/>
      <c r="BT630" s="48"/>
      <c r="BU630" s="48"/>
      <c r="BV630" s="48"/>
      <c r="BW630" s="48"/>
      <c r="BX630" s="111"/>
    </row>
    <row r="631" spans="1:76">
      <c r="A631" s="37"/>
      <c r="B631" s="37"/>
      <c r="C631" s="37" t="s">
        <v>2033</v>
      </c>
      <c r="D631" s="37"/>
      <c r="E631" s="37"/>
      <c r="F631" s="39"/>
      <c r="G631" s="59"/>
      <c r="H631" s="59"/>
      <c r="I631" s="59"/>
      <c r="J631" s="59"/>
      <c r="K631" s="59"/>
      <c r="L631" s="59"/>
      <c r="M631" s="59"/>
      <c r="N631" s="60"/>
      <c r="O631" s="36"/>
      <c r="P631" s="48"/>
      <c r="Q631" s="48"/>
      <c r="R631" s="48"/>
      <c r="S631" s="48"/>
      <c r="T631" s="48"/>
      <c r="U631" s="48"/>
      <c r="V631" s="48"/>
      <c r="W631" s="48"/>
      <c r="X631" s="48"/>
      <c r="Y631" s="48"/>
      <c r="Z631" s="48"/>
      <c r="AA631" s="48"/>
      <c r="AB631" s="48"/>
      <c r="AC631" s="48"/>
      <c r="AD631" s="48"/>
      <c r="AE631" s="48"/>
      <c r="AF631" s="48"/>
      <c r="AG631" s="48"/>
      <c r="AH631" s="48"/>
      <c r="AI631" s="48"/>
      <c r="AJ631" s="48"/>
      <c r="AK631" s="48"/>
      <c r="AL631" s="48"/>
      <c r="AM631" s="48"/>
      <c r="AN631" s="48"/>
      <c r="AO631" s="48"/>
      <c r="AP631" s="48"/>
      <c r="AQ631" s="48"/>
      <c r="AR631" s="48"/>
      <c r="AS631" s="48"/>
      <c r="AT631" s="48"/>
      <c r="AU631" s="48"/>
      <c r="AV631" s="48"/>
      <c r="AW631" s="48"/>
      <c r="AX631" s="48"/>
      <c r="AY631" s="48"/>
      <c r="AZ631" s="48"/>
      <c r="BA631" s="48"/>
      <c r="BB631" s="48"/>
      <c r="BC631" s="48"/>
      <c r="BD631" s="48"/>
      <c r="BE631" s="48"/>
      <c r="BF631" s="48"/>
      <c r="BG631" s="48"/>
      <c r="BH631" s="48"/>
      <c r="BI631" s="48"/>
      <c r="BJ631" s="48"/>
      <c r="BK631" s="48"/>
      <c r="BL631" s="48"/>
      <c r="BM631" s="48"/>
      <c r="BN631" s="48"/>
      <c r="BO631" s="48"/>
      <c r="BP631" s="48"/>
      <c r="BQ631" s="48"/>
      <c r="BR631" s="48"/>
      <c r="BS631" s="48"/>
      <c r="BT631" s="48"/>
      <c r="BU631" s="48"/>
      <c r="BV631" s="48"/>
      <c r="BW631" s="48"/>
      <c r="BX631" s="111"/>
    </row>
    <row r="632" spans="1:76">
      <c r="A632" s="71"/>
      <c r="B632" s="71"/>
      <c r="C632" s="71" t="s">
        <v>882</v>
      </c>
      <c r="D632" s="71"/>
      <c r="E632" s="71"/>
      <c r="F632" s="39"/>
      <c r="G632" s="59"/>
      <c r="H632" s="59"/>
      <c r="I632" s="59"/>
      <c r="J632" s="59"/>
      <c r="K632" s="59"/>
      <c r="L632" s="59"/>
      <c r="M632" s="59"/>
      <c r="N632" s="60"/>
      <c r="O632" s="22"/>
      <c r="P632" s="72"/>
      <c r="Q632" s="72"/>
      <c r="R632" s="72"/>
      <c r="S632" s="72"/>
      <c r="T632" s="72"/>
      <c r="U632" s="72"/>
      <c r="V632" s="72"/>
      <c r="W632" s="72"/>
      <c r="X632" s="72"/>
      <c r="Y632" s="72"/>
      <c r="Z632" s="72"/>
      <c r="AA632" s="72"/>
      <c r="AB632" s="72"/>
      <c r="AC632" s="72"/>
      <c r="AD632" s="72"/>
      <c r="AE632" s="72"/>
      <c r="AF632" s="72"/>
      <c r="AG632" s="72"/>
      <c r="AH632" s="72"/>
      <c r="AI632" s="72"/>
      <c r="AJ632" s="72"/>
      <c r="AK632" s="72"/>
      <c r="AL632" s="72"/>
      <c r="AM632" s="72"/>
      <c r="AN632" s="72"/>
      <c r="AO632" s="72"/>
      <c r="AP632" s="72"/>
      <c r="AQ632" s="72"/>
      <c r="AR632" s="72"/>
      <c r="AS632" s="72"/>
      <c r="AT632" s="72"/>
      <c r="AU632" s="72"/>
      <c r="AV632" s="72"/>
      <c r="AW632" s="72"/>
      <c r="AX632" s="72"/>
      <c r="AY632" s="72"/>
      <c r="AZ632" s="72"/>
      <c r="BA632" s="72"/>
      <c r="BB632" s="72"/>
      <c r="BC632" s="72"/>
      <c r="BD632" s="72"/>
      <c r="BE632" s="72"/>
      <c r="BF632" s="72"/>
      <c r="BG632" s="72"/>
      <c r="BH632" s="72"/>
      <c r="BI632" s="72"/>
      <c r="BJ632" s="72"/>
      <c r="BK632" s="72"/>
      <c r="BL632" s="72"/>
      <c r="BM632" s="72"/>
      <c r="BN632" s="72"/>
      <c r="BO632" s="72"/>
      <c r="BP632" s="72"/>
      <c r="BQ632" s="72"/>
      <c r="BR632" s="72"/>
      <c r="BS632" s="72"/>
      <c r="BT632" s="72"/>
      <c r="BU632" s="72"/>
      <c r="BV632" s="72"/>
      <c r="BW632" s="72"/>
      <c r="BX632" s="114"/>
    </row>
    <row r="633" spans="1:76">
      <c r="A633" s="71"/>
      <c r="B633" s="71"/>
      <c r="C633" s="71" t="s">
        <v>2164</v>
      </c>
      <c r="D633" s="71"/>
      <c r="E633" s="71"/>
      <c r="F633" s="39"/>
      <c r="G633" s="59"/>
      <c r="H633" s="59"/>
      <c r="I633" s="59"/>
      <c r="J633" s="59"/>
      <c r="K633" s="59"/>
      <c r="L633" s="59"/>
      <c r="M633" s="59"/>
      <c r="N633" s="60"/>
      <c r="O633" s="22"/>
      <c r="P633" s="72"/>
      <c r="Q633" s="72"/>
      <c r="R633" s="72"/>
      <c r="S633" s="72"/>
      <c r="T633" s="72"/>
      <c r="U633" s="72"/>
      <c r="V633" s="72"/>
      <c r="W633" s="72"/>
      <c r="X633" s="72"/>
      <c r="Y633" s="72"/>
      <c r="Z633" s="72"/>
      <c r="AA633" s="72"/>
      <c r="AB633" s="72"/>
      <c r="AC633" s="72"/>
      <c r="AD633" s="72"/>
      <c r="AE633" s="72"/>
      <c r="AF633" s="72"/>
      <c r="AG633" s="72"/>
      <c r="AH633" s="72"/>
      <c r="AI633" s="72"/>
      <c r="AJ633" s="72"/>
      <c r="AK633" s="72"/>
      <c r="AL633" s="72"/>
      <c r="AM633" s="72"/>
      <c r="AN633" s="72"/>
      <c r="AO633" s="72"/>
      <c r="AP633" s="72"/>
      <c r="AQ633" s="72"/>
      <c r="AR633" s="72"/>
      <c r="AS633" s="72"/>
      <c r="AT633" s="72"/>
      <c r="AU633" s="72"/>
      <c r="AV633" s="72"/>
      <c r="AW633" s="72"/>
      <c r="AX633" s="72"/>
      <c r="AY633" s="72"/>
      <c r="AZ633" s="72"/>
      <c r="BA633" s="72"/>
      <c r="BB633" s="72"/>
      <c r="BC633" s="72"/>
      <c r="BD633" s="72"/>
      <c r="BE633" s="72"/>
      <c r="BF633" s="72"/>
      <c r="BG633" s="72"/>
      <c r="BH633" s="72"/>
      <c r="BI633" s="72"/>
      <c r="BJ633" s="72"/>
      <c r="BK633" s="72"/>
      <c r="BL633" s="72"/>
      <c r="BM633" s="72"/>
      <c r="BN633" s="72"/>
      <c r="BO633" s="72"/>
      <c r="BP633" s="72"/>
      <c r="BQ633" s="72"/>
      <c r="BR633" s="72"/>
      <c r="BS633" s="72"/>
      <c r="BT633" s="72"/>
      <c r="BU633" s="72"/>
      <c r="BV633" s="72"/>
      <c r="BW633" s="72"/>
      <c r="BX633" s="114"/>
    </row>
    <row r="634" spans="1:76">
      <c r="A634" s="37"/>
      <c r="B634" s="37"/>
      <c r="C634" s="37" t="s">
        <v>2092</v>
      </c>
      <c r="D634" s="37"/>
      <c r="E634" s="37"/>
      <c r="F634" s="39"/>
      <c r="G634" s="59"/>
      <c r="H634" s="59"/>
      <c r="I634" s="59"/>
      <c r="J634" s="59"/>
      <c r="K634" s="59"/>
      <c r="L634" s="59"/>
      <c r="M634" s="59"/>
      <c r="N634" s="60"/>
      <c r="O634" s="36"/>
      <c r="P634" s="48"/>
      <c r="Q634" s="48"/>
      <c r="R634" s="48"/>
      <c r="S634" s="48"/>
      <c r="T634" s="48"/>
      <c r="U634" s="48"/>
      <c r="V634" s="48"/>
      <c r="W634" s="48"/>
      <c r="X634" s="48"/>
      <c r="Y634" s="48"/>
      <c r="Z634" s="48"/>
      <c r="AA634" s="48"/>
      <c r="AB634" s="48"/>
      <c r="AC634" s="48"/>
      <c r="AD634" s="48"/>
      <c r="AE634" s="48"/>
      <c r="AF634" s="48"/>
      <c r="AG634" s="48"/>
      <c r="AH634" s="48"/>
      <c r="AI634" s="48"/>
      <c r="AJ634" s="48"/>
      <c r="AK634" s="48"/>
      <c r="AL634" s="48"/>
      <c r="AM634" s="48"/>
      <c r="AN634" s="48"/>
      <c r="AO634" s="48"/>
      <c r="AP634" s="48"/>
      <c r="AQ634" s="48"/>
      <c r="AR634" s="48"/>
      <c r="AS634" s="48"/>
      <c r="AT634" s="48"/>
      <c r="AU634" s="48"/>
      <c r="AV634" s="48"/>
      <c r="AW634" s="48"/>
      <c r="AX634" s="48"/>
      <c r="AY634" s="48"/>
      <c r="AZ634" s="48"/>
      <c r="BA634" s="48"/>
      <c r="BB634" s="48"/>
      <c r="BC634" s="48"/>
      <c r="BD634" s="48"/>
      <c r="BE634" s="48"/>
      <c r="BF634" s="48"/>
      <c r="BG634" s="48"/>
      <c r="BH634" s="48"/>
      <c r="BI634" s="48"/>
      <c r="BJ634" s="48"/>
      <c r="BK634" s="48"/>
      <c r="BL634" s="48"/>
      <c r="BM634" s="48"/>
      <c r="BN634" s="48"/>
      <c r="BO634" s="48"/>
      <c r="BP634" s="48"/>
      <c r="BQ634" s="48"/>
      <c r="BR634" s="48"/>
      <c r="BS634" s="48"/>
      <c r="BT634" s="48"/>
      <c r="BU634" s="48"/>
      <c r="BV634" s="48"/>
      <c r="BW634" s="48"/>
      <c r="BX634" s="111"/>
    </row>
    <row r="635" spans="1:76">
      <c r="A635" s="37"/>
      <c r="B635" s="37"/>
      <c r="C635" s="37" t="s">
        <v>1887</v>
      </c>
      <c r="D635" s="37"/>
      <c r="E635" s="37"/>
      <c r="F635" s="39"/>
      <c r="G635" s="59"/>
      <c r="H635" s="59"/>
      <c r="I635" s="59"/>
      <c r="J635" s="59"/>
      <c r="K635" s="59"/>
      <c r="L635" s="59"/>
      <c r="M635" s="59"/>
      <c r="N635" s="60"/>
      <c r="O635" s="36"/>
      <c r="P635" s="48"/>
      <c r="Q635" s="48"/>
      <c r="R635" s="48"/>
      <c r="S635" s="48"/>
      <c r="T635" s="48"/>
      <c r="U635" s="48"/>
      <c r="V635" s="48"/>
      <c r="W635" s="48"/>
      <c r="X635" s="48"/>
      <c r="Y635" s="48"/>
      <c r="Z635" s="48"/>
      <c r="AA635" s="48"/>
      <c r="AB635" s="48"/>
      <c r="AC635" s="48"/>
      <c r="AD635" s="48"/>
      <c r="AE635" s="48"/>
      <c r="AF635" s="48"/>
      <c r="AG635" s="48"/>
      <c r="AH635" s="48"/>
      <c r="AI635" s="48"/>
      <c r="AJ635" s="48"/>
      <c r="AK635" s="48"/>
      <c r="AL635" s="48"/>
      <c r="AM635" s="48"/>
      <c r="AN635" s="48"/>
      <c r="AO635" s="48"/>
      <c r="AP635" s="48"/>
      <c r="AQ635" s="48"/>
      <c r="AR635" s="48"/>
      <c r="AS635" s="48"/>
      <c r="AT635" s="48"/>
      <c r="AU635" s="48"/>
      <c r="AV635" s="48"/>
      <c r="AW635" s="48"/>
      <c r="AX635" s="48"/>
      <c r="AY635" s="48"/>
      <c r="AZ635" s="48"/>
      <c r="BA635" s="48"/>
      <c r="BB635" s="48"/>
      <c r="BC635" s="48"/>
      <c r="BD635" s="48"/>
      <c r="BE635" s="48"/>
      <c r="BF635" s="48"/>
      <c r="BG635" s="48"/>
      <c r="BH635" s="48"/>
      <c r="BI635" s="48"/>
      <c r="BJ635" s="48"/>
      <c r="BK635" s="48"/>
      <c r="BL635" s="48"/>
      <c r="BM635" s="48"/>
      <c r="BN635" s="48"/>
      <c r="BO635" s="48"/>
      <c r="BP635" s="48"/>
      <c r="BQ635" s="48"/>
      <c r="BR635" s="48"/>
      <c r="BS635" s="48"/>
      <c r="BT635" s="48"/>
      <c r="BU635" s="48"/>
      <c r="BV635" s="48"/>
      <c r="BW635" s="48"/>
      <c r="BX635" s="111"/>
    </row>
    <row r="636" spans="1:76">
      <c r="A636" s="71"/>
      <c r="B636" s="71"/>
      <c r="C636" s="71" t="s">
        <v>2146</v>
      </c>
      <c r="D636" s="71"/>
      <c r="E636" s="71"/>
      <c r="F636" s="39"/>
      <c r="G636" s="59"/>
      <c r="H636" s="59"/>
      <c r="I636" s="59"/>
      <c r="J636" s="59"/>
      <c r="K636" s="59"/>
      <c r="L636" s="59"/>
      <c r="M636" s="59"/>
      <c r="N636" s="60"/>
      <c r="O636" s="22"/>
      <c r="P636" s="72"/>
      <c r="Q636" s="72"/>
      <c r="R636" s="72"/>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114"/>
    </row>
    <row r="637" spans="1:76">
      <c r="A637" s="37"/>
      <c r="B637" s="37"/>
      <c r="C637" s="37" t="s">
        <v>1832</v>
      </c>
      <c r="D637" s="37"/>
      <c r="E637" s="37"/>
      <c r="F637" s="39"/>
      <c r="G637" s="59"/>
      <c r="H637" s="59"/>
      <c r="I637" s="59"/>
      <c r="J637" s="59"/>
      <c r="K637" s="59"/>
      <c r="L637" s="59"/>
      <c r="M637" s="59"/>
      <c r="N637" s="60"/>
      <c r="O637" s="36"/>
      <c r="P637" s="48"/>
      <c r="Q637" s="48"/>
      <c r="R637" s="48"/>
      <c r="S637" s="48"/>
      <c r="T637" s="48"/>
      <c r="U637" s="48"/>
      <c r="V637" s="48"/>
      <c r="W637" s="48"/>
      <c r="X637" s="48"/>
      <c r="Y637" s="48"/>
      <c r="Z637" s="48"/>
      <c r="AA637" s="48"/>
      <c r="AB637" s="48"/>
      <c r="AC637" s="48"/>
      <c r="AD637" s="48"/>
      <c r="AE637" s="48"/>
      <c r="AF637" s="48"/>
      <c r="AG637" s="48"/>
      <c r="AH637" s="48"/>
      <c r="AI637" s="48"/>
      <c r="AJ637" s="48"/>
      <c r="AK637" s="48"/>
      <c r="AL637" s="48"/>
      <c r="AM637" s="48"/>
      <c r="AN637" s="48"/>
      <c r="AO637" s="48"/>
      <c r="AP637" s="48"/>
      <c r="AQ637" s="48"/>
      <c r="AR637" s="48"/>
      <c r="AS637" s="48"/>
      <c r="AT637" s="48"/>
      <c r="AU637" s="48"/>
      <c r="AV637" s="48"/>
      <c r="AW637" s="48"/>
      <c r="AX637" s="48"/>
      <c r="AY637" s="48"/>
      <c r="AZ637" s="48"/>
      <c r="BA637" s="48"/>
      <c r="BB637" s="48"/>
      <c r="BC637" s="48"/>
      <c r="BD637" s="48"/>
      <c r="BE637" s="48"/>
      <c r="BF637" s="48"/>
      <c r="BG637" s="48"/>
      <c r="BH637" s="48"/>
      <c r="BI637" s="48"/>
      <c r="BJ637" s="48"/>
      <c r="BK637" s="48"/>
      <c r="BL637" s="48"/>
      <c r="BM637" s="48"/>
      <c r="BN637" s="48"/>
      <c r="BO637" s="48"/>
      <c r="BP637" s="48"/>
      <c r="BQ637" s="48"/>
      <c r="BR637" s="48"/>
      <c r="BS637" s="48"/>
      <c r="BT637" s="48"/>
      <c r="BU637" s="48"/>
      <c r="BV637" s="48"/>
      <c r="BW637" s="48"/>
      <c r="BX637" s="111"/>
    </row>
    <row r="638" spans="1:76">
      <c r="A638" s="37"/>
      <c r="B638" s="37"/>
      <c r="C638" s="37" t="s">
        <v>1348</v>
      </c>
      <c r="D638" s="37"/>
      <c r="E638" s="37"/>
      <c r="F638" s="39"/>
      <c r="G638" s="59"/>
      <c r="H638" s="59"/>
      <c r="I638" s="59"/>
      <c r="J638" s="59"/>
      <c r="K638" s="59"/>
      <c r="L638" s="59"/>
      <c r="M638" s="59"/>
      <c r="N638" s="60"/>
      <c r="O638" s="36"/>
      <c r="P638" s="48"/>
      <c r="Q638" s="48"/>
      <c r="R638" s="48"/>
      <c r="S638" s="48"/>
      <c r="T638" s="48"/>
      <c r="U638" s="48"/>
      <c r="V638" s="48"/>
      <c r="W638" s="48"/>
      <c r="X638" s="48"/>
      <c r="Y638" s="48"/>
      <c r="Z638" s="48"/>
      <c r="AA638" s="48"/>
      <c r="AB638" s="48"/>
      <c r="AC638" s="48"/>
      <c r="AD638" s="48"/>
      <c r="AE638" s="48"/>
      <c r="AF638" s="48"/>
      <c r="AG638" s="48"/>
      <c r="AH638" s="48"/>
      <c r="AI638" s="48"/>
      <c r="AJ638" s="48"/>
      <c r="AK638" s="48"/>
      <c r="AL638" s="48"/>
      <c r="AM638" s="48"/>
      <c r="AN638" s="48"/>
      <c r="AO638" s="48"/>
      <c r="AP638" s="48"/>
      <c r="AQ638" s="48"/>
      <c r="AR638" s="48"/>
      <c r="AS638" s="48"/>
      <c r="AT638" s="48"/>
      <c r="AU638" s="48"/>
      <c r="AV638" s="48"/>
      <c r="AW638" s="48"/>
      <c r="AX638" s="48"/>
      <c r="AY638" s="48"/>
      <c r="AZ638" s="48"/>
      <c r="BA638" s="48"/>
      <c r="BB638" s="48"/>
      <c r="BC638" s="48"/>
      <c r="BD638" s="48"/>
      <c r="BE638" s="48"/>
      <c r="BF638" s="48"/>
      <c r="BG638" s="48"/>
      <c r="BH638" s="48"/>
      <c r="BI638" s="48"/>
      <c r="BJ638" s="48"/>
      <c r="BK638" s="48"/>
      <c r="BL638" s="48"/>
      <c r="BM638" s="48"/>
      <c r="BN638" s="48"/>
      <c r="BO638" s="48"/>
      <c r="BP638" s="48"/>
      <c r="BQ638" s="48"/>
      <c r="BR638" s="48"/>
      <c r="BS638" s="48"/>
      <c r="BT638" s="48"/>
      <c r="BU638" s="48"/>
      <c r="BV638" s="48"/>
      <c r="BW638" s="48"/>
      <c r="BX638" s="111"/>
    </row>
    <row r="639" spans="1:76">
      <c r="A639" s="37"/>
      <c r="B639" s="37"/>
      <c r="C639" s="37" t="s">
        <v>2285</v>
      </c>
      <c r="D639" s="37"/>
      <c r="E639" s="37"/>
      <c r="F639" s="39"/>
      <c r="G639" s="59"/>
      <c r="H639" s="59"/>
      <c r="I639" s="59"/>
      <c r="J639" s="59"/>
      <c r="K639" s="59"/>
      <c r="L639" s="59"/>
      <c r="M639" s="59"/>
      <c r="N639" s="60"/>
      <c r="O639" s="36"/>
      <c r="P639" s="48"/>
      <c r="Q639" s="48"/>
      <c r="R639" s="48"/>
      <c r="S639" s="48"/>
      <c r="T639" s="48"/>
      <c r="U639" s="48"/>
      <c r="V639" s="48"/>
      <c r="W639" s="48"/>
      <c r="X639" s="48"/>
      <c r="Y639" s="48"/>
      <c r="Z639" s="48"/>
      <c r="AA639" s="48"/>
      <c r="AB639" s="48"/>
      <c r="AC639" s="48"/>
      <c r="AD639" s="48"/>
      <c r="AE639" s="48"/>
      <c r="AF639" s="48"/>
      <c r="AG639" s="48"/>
      <c r="AH639" s="48"/>
      <c r="AI639" s="48"/>
      <c r="AJ639" s="48"/>
      <c r="AK639" s="48"/>
      <c r="AL639" s="48"/>
      <c r="AM639" s="48"/>
      <c r="AN639" s="48"/>
      <c r="AO639" s="48"/>
      <c r="AP639" s="48"/>
      <c r="AQ639" s="48"/>
      <c r="AR639" s="48"/>
      <c r="AS639" s="48"/>
      <c r="AT639" s="48"/>
      <c r="AU639" s="48"/>
      <c r="AV639" s="48"/>
      <c r="AW639" s="48"/>
      <c r="AX639" s="48"/>
      <c r="AY639" s="48"/>
      <c r="AZ639" s="48"/>
      <c r="BA639" s="48"/>
      <c r="BB639" s="48"/>
      <c r="BC639" s="48"/>
      <c r="BD639" s="48"/>
      <c r="BE639" s="48"/>
      <c r="BF639" s="48"/>
      <c r="BG639" s="48"/>
      <c r="BH639" s="48"/>
      <c r="BI639" s="48"/>
      <c r="BJ639" s="48"/>
      <c r="BK639" s="48"/>
      <c r="BL639" s="48"/>
      <c r="BM639" s="48"/>
      <c r="BN639" s="48"/>
      <c r="BO639" s="48"/>
      <c r="BP639" s="48"/>
      <c r="BQ639" s="48"/>
      <c r="BR639" s="48"/>
      <c r="BS639" s="48"/>
      <c r="BT639" s="48"/>
      <c r="BU639" s="48"/>
      <c r="BV639" s="48"/>
      <c r="BW639" s="48"/>
      <c r="BX639" s="111"/>
    </row>
    <row r="640" spans="1:76">
      <c r="A640" s="37"/>
      <c r="B640" s="37"/>
      <c r="C640" s="37" t="s">
        <v>1761</v>
      </c>
      <c r="D640" s="37"/>
      <c r="E640" s="37"/>
      <c r="F640" s="39"/>
      <c r="G640" s="59"/>
      <c r="H640" s="59"/>
      <c r="I640" s="59"/>
      <c r="J640" s="59"/>
      <c r="K640" s="59"/>
      <c r="L640" s="59"/>
      <c r="M640" s="59"/>
      <c r="N640" s="60"/>
      <c r="O640" s="36"/>
      <c r="P640" s="48"/>
      <c r="Q640" s="48"/>
      <c r="R640" s="48"/>
      <c r="S640" s="48"/>
      <c r="T640" s="48"/>
      <c r="U640" s="48"/>
      <c r="V640" s="48"/>
      <c r="W640" s="48"/>
      <c r="X640" s="48"/>
      <c r="Y640" s="48"/>
      <c r="Z640" s="48"/>
      <c r="AA640" s="48"/>
      <c r="AB640" s="48"/>
      <c r="AC640" s="48"/>
      <c r="AD640" s="48"/>
      <c r="AE640" s="48"/>
      <c r="AF640" s="48"/>
      <c r="AG640" s="48"/>
      <c r="AH640" s="48"/>
      <c r="AI640" s="48"/>
      <c r="AJ640" s="48"/>
      <c r="AK640" s="48"/>
      <c r="AL640" s="48"/>
      <c r="AM640" s="48"/>
      <c r="AN640" s="48"/>
      <c r="AO640" s="48"/>
      <c r="AP640" s="48"/>
      <c r="AQ640" s="48"/>
      <c r="AR640" s="48"/>
      <c r="AS640" s="48"/>
      <c r="AT640" s="48"/>
      <c r="AU640" s="48"/>
      <c r="AV640" s="48"/>
      <c r="AW640" s="48"/>
      <c r="AX640" s="48"/>
      <c r="AY640" s="48"/>
      <c r="AZ640" s="48"/>
      <c r="BA640" s="48"/>
      <c r="BB640" s="48"/>
      <c r="BC640" s="48"/>
      <c r="BD640" s="48"/>
      <c r="BE640" s="48"/>
      <c r="BF640" s="48"/>
      <c r="BG640" s="48"/>
      <c r="BH640" s="48"/>
      <c r="BI640" s="48"/>
      <c r="BJ640" s="48"/>
      <c r="BK640" s="48"/>
      <c r="BL640" s="48"/>
      <c r="BM640" s="48"/>
      <c r="BN640" s="48"/>
      <c r="BO640" s="48"/>
      <c r="BP640" s="48"/>
      <c r="BQ640" s="48"/>
      <c r="BR640" s="48"/>
      <c r="BS640" s="48"/>
      <c r="BT640" s="48"/>
      <c r="BU640" s="48"/>
      <c r="BV640" s="48"/>
      <c r="BW640" s="48"/>
      <c r="BX640" s="111"/>
    </row>
    <row r="641" spans="1:76">
      <c r="A641" s="37"/>
      <c r="B641" s="37"/>
      <c r="C641" s="37" t="s">
        <v>1708</v>
      </c>
      <c r="D641" s="37"/>
      <c r="E641" s="37"/>
      <c r="F641" s="39"/>
      <c r="G641" s="59"/>
      <c r="H641" s="59"/>
      <c r="I641" s="59"/>
      <c r="J641" s="59"/>
      <c r="K641" s="59"/>
      <c r="L641" s="59"/>
      <c r="M641" s="59"/>
      <c r="N641" s="60"/>
      <c r="O641" s="36"/>
      <c r="P641" s="48"/>
      <c r="Q641" s="48"/>
      <c r="R641" s="48"/>
      <c r="S641" s="48"/>
      <c r="T641" s="48"/>
      <c r="U641" s="48"/>
      <c r="V641" s="48"/>
      <c r="W641" s="48"/>
      <c r="X641" s="48"/>
      <c r="Y641" s="48"/>
      <c r="Z641" s="48"/>
      <c r="AA641" s="48"/>
      <c r="AB641" s="48"/>
      <c r="AC641" s="48"/>
      <c r="AD641" s="48"/>
      <c r="AE641" s="48"/>
      <c r="AF641" s="48"/>
      <c r="AG641" s="48"/>
      <c r="AH641" s="48"/>
      <c r="AI641" s="48"/>
      <c r="AJ641" s="48"/>
      <c r="AK641" s="48"/>
      <c r="AL641" s="48"/>
      <c r="AM641" s="48"/>
      <c r="AN641" s="48"/>
      <c r="AO641" s="48"/>
      <c r="AP641" s="48"/>
      <c r="AQ641" s="48"/>
      <c r="AR641" s="48"/>
      <c r="AS641" s="48"/>
      <c r="AT641" s="48"/>
      <c r="AU641" s="48"/>
      <c r="AV641" s="48"/>
      <c r="AW641" s="48"/>
      <c r="AX641" s="48"/>
      <c r="AY641" s="48"/>
      <c r="AZ641" s="48"/>
      <c r="BA641" s="48"/>
      <c r="BB641" s="48"/>
      <c r="BC641" s="48"/>
      <c r="BD641" s="48"/>
      <c r="BE641" s="48"/>
      <c r="BF641" s="48"/>
      <c r="BG641" s="48"/>
      <c r="BH641" s="48"/>
      <c r="BI641" s="48"/>
      <c r="BJ641" s="48"/>
      <c r="BK641" s="48"/>
      <c r="BL641" s="48"/>
      <c r="BM641" s="48"/>
      <c r="BN641" s="48"/>
      <c r="BO641" s="48"/>
      <c r="BP641" s="48"/>
      <c r="BQ641" s="48"/>
      <c r="BR641" s="48"/>
      <c r="BS641" s="48"/>
      <c r="BT641" s="48"/>
      <c r="BU641" s="48"/>
      <c r="BV641" s="48"/>
      <c r="BW641" s="48"/>
      <c r="BX641" s="111"/>
    </row>
    <row r="642" spans="1:76">
      <c r="A642" s="37"/>
      <c r="B642" s="37"/>
      <c r="C642" s="37" t="s">
        <v>1266</v>
      </c>
      <c r="D642" s="37"/>
      <c r="E642" s="37"/>
      <c r="F642" s="39"/>
      <c r="G642" s="59"/>
      <c r="H642" s="59"/>
      <c r="I642" s="59"/>
      <c r="J642" s="59"/>
      <c r="K642" s="59"/>
      <c r="L642" s="59"/>
      <c r="M642" s="59"/>
      <c r="N642" s="60"/>
      <c r="O642" s="36"/>
      <c r="P642" s="48"/>
      <c r="Q642" s="48"/>
      <c r="R642" s="48"/>
      <c r="S642" s="48"/>
      <c r="T642" s="48"/>
      <c r="U642" s="48"/>
      <c r="V642" s="48"/>
      <c r="W642" s="48"/>
      <c r="X642" s="48"/>
      <c r="Y642" s="48"/>
      <c r="Z642" s="48"/>
      <c r="AA642" s="48"/>
      <c r="AB642" s="48"/>
      <c r="AC642" s="48"/>
      <c r="AD642" s="48"/>
      <c r="AE642" s="48"/>
      <c r="AF642" s="48"/>
      <c r="AG642" s="48"/>
      <c r="AH642" s="48"/>
      <c r="AI642" s="48"/>
      <c r="AJ642" s="48"/>
      <c r="AK642" s="48"/>
      <c r="AL642" s="48"/>
      <c r="AM642" s="48"/>
      <c r="AN642" s="48"/>
      <c r="AO642" s="48"/>
      <c r="AP642" s="48"/>
      <c r="AQ642" s="48"/>
      <c r="AR642" s="48"/>
      <c r="AS642" s="48"/>
      <c r="AT642" s="48"/>
      <c r="AU642" s="48"/>
      <c r="AV642" s="48"/>
      <c r="AW642" s="48"/>
      <c r="AX642" s="48"/>
      <c r="AY642" s="48"/>
      <c r="AZ642" s="48"/>
      <c r="BA642" s="48"/>
      <c r="BB642" s="48"/>
      <c r="BC642" s="48"/>
      <c r="BD642" s="48"/>
      <c r="BE642" s="48"/>
      <c r="BF642" s="48"/>
      <c r="BG642" s="48"/>
      <c r="BH642" s="48"/>
      <c r="BI642" s="48"/>
      <c r="BJ642" s="48"/>
      <c r="BK642" s="48"/>
      <c r="BL642" s="48"/>
      <c r="BM642" s="48"/>
      <c r="BN642" s="48"/>
      <c r="BO642" s="48"/>
      <c r="BP642" s="48"/>
      <c r="BQ642" s="48"/>
      <c r="BR642" s="48"/>
      <c r="BS642" s="48"/>
      <c r="BT642" s="48"/>
      <c r="BU642" s="48"/>
      <c r="BV642" s="48"/>
      <c r="BW642" s="48"/>
      <c r="BX642" s="111"/>
    </row>
    <row r="643" spans="1:76">
      <c r="A643" s="37"/>
      <c r="B643" s="37"/>
      <c r="C643" s="37" t="s">
        <v>694</v>
      </c>
      <c r="D643" s="37"/>
      <c r="E643" s="37"/>
      <c r="F643" s="39"/>
      <c r="G643" s="59"/>
      <c r="H643" s="59"/>
      <c r="I643" s="59"/>
      <c r="J643" s="59"/>
      <c r="K643" s="59"/>
      <c r="L643" s="59"/>
      <c r="M643" s="59"/>
      <c r="N643" s="60"/>
      <c r="O643" s="36"/>
      <c r="P643" s="48"/>
      <c r="Q643" s="48"/>
      <c r="R643" s="48"/>
      <c r="S643" s="48"/>
      <c r="T643" s="48"/>
      <c r="U643" s="48"/>
      <c r="V643" s="48"/>
      <c r="W643" s="48"/>
      <c r="X643" s="48"/>
      <c r="Y643" s="48"/>
      <c r="Z643" s="48"/>
      <c r="AA643" s="48"/>
      <c r="AB643" s="48"/>
      <c r="AC643" s="48"/>
      <c r="AD643" s="48"/>
      <c r="AE643" s="48"/>
      <c r="AF643" s="48"/>
      <c r="AG643" s="48"/>
      <c r="AH643" s="48"/>
      <c r="AI643" s="48"/>
      <c r="AJ643" s="48"/>
      <c r="AK643" s="48"/>
      <c r="AL643" s="48"/>
      <c r="AM643" s="48"/>
      <c r="AN643" s="48"/>
      <c r="AO643" s="48"/>
      <c r="AP643" s="48"/>
      <c r="AQ643" s="48"/>
      <c r="AR643" s="48"/>
      <c r="AS643" s="48"/>
      <c r="AT643" s="48"/>
      <c r="AU643" s="48"/>
      <c r="AV643" s="48"/>
      <c r="AW643" s="48"/>
      <c r="AX643" s="48"/>
      <c r="AY643" s="48"/>
      <c r="AZ643" s="48"/>
      <c r="BA643" s="48"/>
      <c r="BB643" s="48"/>
      <c r="BC643" s="48"/>
      <c r="BD643" s="48"/>
      <c r="BE643" s="48"/>
      <c r="BF643" s="48"/>
      <c r="BG643" s="48"/>
      <c r="BH643" s="48"/>
      <c r="BI643" s="48"/>
      <c r="BJ643" s="48"/>
      <c r="BK643" s="48"/>
      <c r="BL643" s="48"/>
      <c r="BM643" s="48"/>
      <c r="BN643" s="48"/>
      <c r="BO643" s="48"/>
      <c r="BP643" s="48"/>
      <c r="BQ643" s="48"/>
      <c r="BR643" s="48"/>
      <c r="BS643" s="48"/>
      <c r="BT643" s="48"/>
      <c r="BU643" s="48"/>
      <c r="BV643" s="48"/>
      <c r="BW643" s="48"/>
      <c r="BX643" s="111"/>
    </row>
    <row r="644" spans="1:76">
      <c r="A644" s="37"/>
      <c r="B644" s="37"/>
      <c r="C644" s="37"/>
      <c r="D644" s="37" t="s">
        <v>1709</v>
      </c>
      <c r="E644" s="37"/>
      <c r="F644" s="39"/>
      <c r="G644" s="59">
        <f>58+38+159</f>
        <v>255</v>
      </c>
      <c r="H644" s="59">
        <f>40+43+211+18</f>
        <v>312</v>
      </c>
      <c r="I644" s="59">
        <f>121+29+161+23</f>
        <v>334</v>
      </c>
      <c r="J644" s="59">
        <f>161+36+188</f>
        <v>385</v>
      </c>
      <c r="K644" s="59">
        <f>212+66+247</f>
        <v>525</v>
      </c>
      <c r="L644" s="59">
        <f>180+59+318</f>
        <v>557</v>
      </c>
      <c r="M644" s="59">
        <f>155+44+373</f>
        <v>572</v>
      </c>
      <c r="N644" s="59">
        <f>125+53+397</f>
        <v>575</v>
      </c>
      <c r="O644" s="36"/>
      <c r="P644" s="48"/>
      <c r="Q644" s="48"/>
      <c r="R644" s="48"/>
      <c r="S644" s="48"/>
      <c r="T644" s="48"/>
      <c r="U644" s="48"/>
      <c r="V644" s="48"/>
      <c r="W644" s="48"/>
      <c r="X644" s="48"/>
      <c r="Y644" s="48"/>
      <c r="Z644" s="48"/>
      <c r="AA644" s="48"/>
      <c r="AB644" s="48"/>
      <c r="AC644" s="48"/>
      <c r="AD644" s="48"/>
      <c r="AE644" s="48"/>
      <c r="AF644" s="48"/>
      <c r="AG644" s="48"/>
      <c r="AH644" s="48"/>
      <c r="AI644" s="48"/>
      <c r="AJ644" s="48"/>
      <c r="AK644" s="48"/>
      <c r="AL644" s="48"/>
      <c r="AM644" s="48"/>
      <c r="AN644" s="48"/>
      <c r="AO644" s="48"/>
      <c r="AP644" s="48"/>
      <c r="AQ644" s="48"/>
      <c r="AR644" s="48"/>
      <c r="AS644" s="48"/>
      <c r="AT644" s="48"/>
      <c r="AU644" s="48"/>
      <c r="AV644" s="48"/>
      <c r="AW644" s="48"/>
      <c r="AX644" s="48"/>
      <c r="AY644" s="48"/>
      <c r="AZ644" s="48"/>
      <c r="BA644" s="48"/>
      <c r="BB644" s="48"/>
      <c r="BC644" s="48"/>
      <c r="BD644" s="48"/>
      <c r="BE644" s="48"/>
      <c r="BF644" s="48"/>
      <c r="BG644" s="48"/>
      <c r="BH644" s="48"/>
      <c r="BI644" s="48"/>
      <c r="BJ644" s="48"/>
      <c r="BK644" s="48"/>
      <c r="BL644" s="48"/>
      <c r="BM644" s="48"/>
      <c r="BN644" s="48"/>
      <c r="BO644" s="48"/>
      <c r="BP644" s="48"/>
      <c r="BQ644" s="48"/>
      <c r="BR644" s="48"/>
      <c r="BS644" s="48"/>
      <c r="BT644" s="48"/>
      <c r="BU644" s="48"/>
      <c r="BV644" s="48"/>
      <c r="BW644" s="48"/>
      <c r="BX644" s="111"/>
    </row>
    <row r="645" spans="1:76">
      <c r="A645" s="37"/>
      <c r="B645" s="37"/>
      <c r="C645" s="37"/>
      <c r="D645" s="37" t="s">
        <v>1710</v>
      </c>
      <c r="E645" s="37"/>
      <c r="F645" s="39"/>
      <c r="G645" s="59"/>
      <c r="H645" s="59"/>
      <c r="I645" s="59"/>
      <c r="J645" s="59"/>
      <c r="K645" s="59"/>
      <c r="L645" s="59"/>
      <c r="M645" s="59"/>
      <c r="N645" s="59"/>
      <c r="O645" s="36"/>
      <c r="P645" s="48"/>
      <c r="Q645" s="48"/>
      <c r="R645" s="48"/>
      <c r="S645" s="48"/>
      <c r="T645" s="48"/>
      <c r="U645" s="48"/>
      <c r="V645" s="48"/>
      <c r="W645" s="48"/>
      <c r="X645" s="48"/>
      <c r="Y645" s="48"/>
      <c r="Z645" s="48"/>
      <c r="AA645" s="48"/>
      <c r="AB645" s="48"/>
      <c r="AC645" s="48"/>
      <c r="AD645" s="48"/>
      <c r="AE645" s="48"/>
      <c r="AF645" s="48"/>
      <c r="AG645" s="48"/>
      <c r="AH645" s="48"/>
      <c r="AI645" s="48"/>
      <c r="AJ645" s="48"/>
      <c r="AK645" s="48"/>
      <c r="AL645" s="48"/>
      <c r="AM645" s="48"/>
      <c r="AN645" s="48"/>
      <c r="AO645" s="48"/>
      <c r="AP645" s="48"/>
      <c r="AQ645" s="48"/>
      <c r="AR645" s="48"/>
      <c r="AS645" s="48"/>
      <c r="AT645" s="48"/>
      <c r="AU645" s="48"/>
      <c r="AV645" s="48"/>
      <c r="AW645" s="48"/>
      <c r="AX645" s="48"/>
      <c r="AY645" s="48"/>
      <c r="AZ645" s="48"/>
      <c r="BA645" s="48"/>
      <c r="BB645" s="48"/>
      <c r="BC645" s="48"/>
      <c r="BD645" s="48"/>
      <c r="BE645" s="48"/>
      <c r="BF645" s="48"/>
      <c r="BG645" s="48"/>
      <c r="BH645" s="48"/>
      <c r="BI645" s="48"/>
      <c r="BJ645" s="48"/>
      <c r="BK645" s="48"/>
      <c r="BL645" s="48"/>
      <c r="BM645" s="48"/>
      <c r="BN645" s="48"/>
      <c r="BO645" s="48"/>
      <c r="BP645" s="48"/>
      <c r="BQ645" s="48"/>
      <c r="BR645" s="48"/>
      <c r="BS645" s="48"/>
      <c r="BT645" s="48"/>
      <c r="BU645" s="48"/>
      <c r="BV645" s="48"/>
      <c r="BW645" s="48"/>
      <c r="BX645" s="111"/>
    </row>
    <row r="646" spans="1:76">
      <c r="A646" s="37"/>
      <c r="B646" s="37"/>
      <c r="C646" s="37"/>
      <c r="D646" s="37" t="s">
        <v>1198</v>
      </c>
      <c r="E646" s="37"/>
      <c r="F646" s="39"/>
      <c r="G646" s="59"/>
      <c r="H646" s="59"/>
      <c r="I646" s="59"/>
      <c r="J646" s="59"/>
      <c r="K646" s="59"/>
      <c r="L646" s="59"/>
      <c r="M646" s="59"/>
      <c r="N646" s="59"/>
      <c r="O646" s="36"/>
      <c r="P646" s="48"/>
      <c r="Q646" s="48"/>
      <c r="R646" s="48"/>
      <c r="S646" s="48"/>
      <c r="T646" s="48"/>
      <c r="U646" s="48"/>
      <c r="V646" s="48"/>
      <c r="W646" s="48"/>
      <c r="X646" s="48"/>
      <c r="Y646" s="48"/>
      <c r="Z646" s="48"/>
      <c r="AA646" s="48"/>
      <c r="AB646" s="48"/>
      <c r="AC646" s="48"/>
      <c r="AD646" s="48"/>
      <c r="AE646" s="48"/>
      <c r="AF646" s="48"/>
      <c r="AG646" s="48"/>
      <c r="AH646" s="48"/>
      <c r="AI646" s="48"/>
      <c r="AJ646" s="48"/>
      <c r="AK646" s="48"/>
      <c r="AL646" s="48"/>
      <c r="AM646" s="48"/>
      <c r="AN646" s="48"/>
      <c r="AO646" s="48"/>
      <c r="AP646" s="48"/>
      <c r="AQ646" s="48"/>
      <c r="AR646" s="48"/>
      <c r="AS646" s="48"/>
      <c r="AT646" s="48"/>
      <c r="AU646" s="48"/>
      <c r="AV646" s="48"/>
      <c r="AW646" s="48"/>
      <c r="AX646" s="48"/>
      <c r="AY646" s="48"/>
      <c r="AZ646" s="48"/>
      <c r="BA646" s="48"/>
      <c r="BB646" s="48"/>
      <c r="BC646" s="48"/>
      <c r="BD646" s="48"/>
      <c r="BE646" s="48"/>
      <c r="BF646" s="48"/>
      <c r="BG646" s="48"/>
      <c r="BH646" s="48"/>
      <c r="BI646" s="48"/>
      <c r="BJ646" s="48"/>
      <c r="BK646" s="48"/>
      <c r="BL646" s="48"/>
      <c r="BM646" s="48"/>
      <c r="BN646" s="48"/>
      <c r="BO646" s="48"/>
      <c r="BP646" s="48"/>
      <c r="BQ646" s="48"/>
      <c r="BR646" s="48"/>
      <c r="BS646" s="48"/>
      <c r="BT646" s="48"/>
      <c r="BU646" s="48"/>
      <c r="BV646" s="48"/>
      <c r="BW646" s="48"/>
      <c r="BX646" s="111"/>
    </row>
    <row r="647" spans="1:76">
      <c r="A647" s="37"/>
      <c r="B647" s="37"/>
      <c r="C647" s="37"/>
      <c r="D647" s="37" t="s">
        <v>97</v>
      </c>
      <c r="E647" s="37"/>
      <c r="F647" s="39"/>
      <c r="G647" s="59">
        <v>64</v>
      </c>
      <c r="H647" s="59">
        <v>109</v>
      </c>
      <c r="I647" s="59">
        <v>83</v>
      </c>
      <c r="J647" s="59">
        <v>65</v>
      </c>
      <c r="K647" s="59">
        <v>55</v>
      </c>
      <c r="L647" s="59">
        <v>55</v>
      </c>
      <c r="M647" s="59">
        <v>17</v>
      </c>
      <c r="N647" s="59">
        <v>5</v>
      </c>
      <c r="O647" s="36"/>
      <c r="P647" s="48"/>
      <c r="Q647" s="48"/>
      <c r="R647" s="48"/>
      <c r="S647" s="48"/>
      <c r="T647" s="48"/>
      <c r="U647" s="48"/>
      <c r="V647" s="48"/>
      <c r="W647" s="48"/>
      <c r="X647" s="48"/>
      <c r="Y647" s="48"/>
      <c r="Z647" s="48"/>
      <c r="AA647" s="48"/>
      <c r="AB647" s="48"/>
      <c r="AC647" s="48"/>
      <c r="AD647" s="48"/>
      <c r="AE647" s="48"/>
      <c r="AF647" s="48"/>
      <c r="AG647" s="48"/>
      <c r="AH647" s="48"/>
      <c r="AI647" s="48"/>
      <c r="AJ647" s="48"/>
      <c r="AK647" s="48"/>
      <c r="AL647" s="48"/>
      <c r="AM647" s="48"/>
      <c r="AN647" s="48"/>
      <c r="AO647" s="48"/>
      <c r="AP647" s="48"/>
      <c r="AQ647" s="48"/>
      <c r="AR647" s="48"/>
      <c r="AS647" s="48"/>
      <c r="AT647" s="48"/>
      <c r="AU647" s="48"/>
      <c r="AV647" s="48"/>
      <c r="AW647" s="48"/>
      <c r="AX647" s="48"/>
      <c r="AY647" s="48"/>
      <c r="AZ647" s="48"/>
      <c r="BA647" s="48"/>
      <c r="BB647" s="48"/>
      <c r="BC647" s="48"/>
      <c r="BD647" s="48"/>
      <c r="BE647" s="48"/>
      <c r="BF647" s="48"/>
      <c r="BG647" s="48"/>
      <c r="BH647" s="48"/>
      <c r="BI647" s="48"/>
      <c r="BJ647" s="48"/>
      <c r="BK647" s="48"/>
      <c r="BL647" s="48"/>
      <c r="BM647" s="48"/>
      <c r="BN647" s="48"/>
      <c r="BO647" s="48"/>
      <c r="BP647" s="48"/>
      <c r="BQ647" s="48"/>
      <c r="BR647" s="48"/>
      <c r="BS647" s="48"/>
      <c r="BT647" s="48"/>
      <c r="BU647" s="48"/>
      <c r="BV647" s="48"/>
      <c r="BW647" s="48"/>
      <c r="BX647" s="111"/>
    </row>
    <row r="648" spans="1:76">
      <c r="A648" s="37"/>
      <c r="B648" s="37"/>
      <c r="C648" s="37"/>
      <c r="D648" s="37" t="s">
        <v>98</v>
      </c>
      <c r="E648" s="37"/>
      <c r="F648" s="39"/>
      <c r="G648" s="59">
        <f>183+91+9+5</f>
        <v>288</v>
      </c>
      <c r="H648" s="59">
        <f>205+517+10</f>
        <v>732</v>
      </c>
      <c r="I648" s="59">
        <f>757+342+524+87+11</f>
        <v>1721</v>
      </c>
      <c r="J648" s="59">
        <f>779+335+524+115+11</f>
        <v>1764</v>
      </c>
      <c r="K648" s="59">
        <f>665+383+576+125+35</f>
        <v>1784</v>
      </c>
      <c r="L648" s="59">
        <f>579+155+551+145+58</f>
        <v>1488</v>
      </c>
      <c r="M648" s="59">
        <f>575+153+551+136+38</f>
        <v>1453</v>
      </c>
      <c r="N648" s="59">
        <f>546+157+551+134+62</f>
        <v>1450</v>
      </c>
      <c r="O648" s="36"/>
      <c r="P648" s="48"/>
      <c r="Q648" s="48"/>
      <c r="R648" s="48"/>
      <c r="S648" s="48"/>
      <c r="T648" s="48"/>
      <c r="U648" s="48"/>
      <c r="V648" s="48"/>
      <c r="W648" s="48"/>
      <c r="X648" s="48"/>
      <c r="Y648" s="48"/>
      <c r="Z648" s="48"/>
      <c r="AA648" s="48"/>
      <c r="AB648" s="48"/>
      <c r="AC648" s="48"/>
      <c r="AD648" s="48"/>
      <c r="AE648" s="48"/>
      <c r="AF648" s="48"/>
      <c r="AG648" s="48"/>
      <c r="AH648" s="48"/>
      <c r="AI648" s="48"/>
      <c r="AJ648" s="48"/>
      <c r="AK648" s="48"/>
      <c r="AL648" s="48"/>
      <c r="AM648" s="48"/>
      <c r="AN648" s="48"/>
      <c r="AO648" s="48"/>
      <c r="AP648" s="48"/>
      <c r="AQ648" s="48"/>
      <c r="AR648" s="48"/>
      <c r="AS648" s="48"/>
      <c r="AT648" s="48"/>
      <c r="AU648" s="48"/>
      <c r="AV648" s="48"/>
      <c r="AW648" s="48"/>
      <c r="AX648" s="48"/>
      <c r="AY648" s="48"/>
      <c r="AZ648" s="48"/>
      <c r="BA648" s="48"/>
      <c r="BB648" s="48"/>
      <c r="BC648" s="48"/>
      <c r="BD648" s="48"/>
      <c r="BE648" s="48"/>
      <c r="BF648" s="48"/>
      <c r="BG648" s="48"/>
      <c r="BH648" s="48"/>
      <c r="BI648" s="48"/>
      <c r="BJ648" s="48"/>
      <c r="BK648" s="48"/>
      <c r="BL648" s="48"/>
      <c r="BM648" s="48"/>
      <c r="BN648" s="48"/>
      <c r="BO648" s="48"/>
      <c r="BP648" s="48"/>
      <c r="BQ648" s="48"/>
      <c r="BR648" s="48"/>
      <c r="BS648" s="48"/>
      <c r="BT648" s="48"/>
      <c r="BU648" s="48"/>
      <c r="BV648" s="48"/>
      <c r="BW648" s="48"/>
      <c r="BX648" s="111"/>
    </row>
    <row r="649" spans="1:76">
      <c r="A649" s="37"/>
      <c r="B649" s="37"/>
      <c r="C649" s="37"/>
      <c r="D649" s="37" t="s">
        <v>1388</v>
      </c>
      <c r="E649" s="37"/>
      <c r="F649" s="39"/>
      <c r="G649" s="60"/>
      <c r="H649" s="60"/>
      <c r="I649" s="60"/>
      <c r="J649" s="60"/>
      <c r="K649" s="60"/>
      <c r="L649" s="60"/>
      <c r="M649" s="60"/>
      <c r="N649" s="60"/>
      <c r="O649" s="36"/>
      <c r="P649" s="48"/>
      <c r="Q649" s="48"/>
      <c r="R649" s="48"/>
      <c r="S649" s="48"/>
      <c r="T649" s="48"/>
      <c r="U649" s="48"/>
      <c r="V649" s="48"/>
      <c r="W649" s="48"/>
      <c r="X649" s="48"/>
      <c r="Y649" s="48"/>
      <c r="Z649" s="48"/>
      <c r="AA649" s="48"/>
      <c r="AB649" s="48"/>
      <c r="AC649" s="48"/>
      <c r="AD649" s="48"/>
      <c r="AE649" s="48"/>
      <c r="AF649" s="48"/>
      <c r="AG649" s="48"/>
      <c r="AH649" s="48"/>
      <c r="AI649" s="48"/>
      <c r="AJ649" s="48"/>
      <c r="AK649" s="48"/>
      <c r="AL649" s="48"/>
      <c r="AM649" s="48"/>
      <c r="AN649" s="48"/>
      <c r="AO649" s="48"/>
      <c r="AP649" s="48"/>
      <c r="AQ649" s="48"/>
      <c r="AR649" s="48"/>
      <c r="AS649" s="48"/>
      <c r="AT649" s="48"/>
      <c r="AU649" s="48"/>
      <c r="AV649" s="48"/>
      <c r="AW649" s="48"/>
      <c r="AX649" s="48"/>
      <c r="AY649" s="48"/>
      <c r="AZ649" s="48"/>
      <c r="BA649" s="48"/>
      <c r="BB649" s="48"/>
      <c r="BC649" s="48"/>
      <c r="BD649" s="48"/>
      <c r="BE649" s="48"/>
      <c r="BF649" s="48"/>
      <c r="BG649" s="48"/>
      <c r="BH649" s="48"/>
      <c r="BI649" s="48"/>
      <c r="BJ649" s="48"/>
      <c r="BK649" s="48"/>
      <c r="BL649" s="48"/>
      <c r="BM649" s="48"/>
      <c r="BN649" s="48"/>
      <c r="BO649" s="48"/>
      <c r="BP649" s="48"/>
      <c r="BQ649" s="48"/>
      <c r="BR649" s="48"/>
      <c r="BS649" s="48"/>
      <c r="BT649" s="48"/>
      <c r="BU649" s="48"/>
      <c r="BV649" s="48"/>
      <c r="BW649" s="48"/>
      <c r="BX649" s="111"/>
    </row>
    <row r="650" spans="1:76">
      <c r="A650" s="37"/>
      <c r="B650" s="37"/>
      <c r="C650" s="37"/>
      <c r="D650" s="37" t="s">
        <v>1705</v>
      </c>
      <c r="E650" s="37"/>
      <c r="F650" s="39"/>
      <c r="G650" s="59"/>
      <c r="H650" s="59"/>
      <c r="I650" s="59"/>
      <c r="J650" s="59"/>
      <c r="K650" s="59"/>
      <c r="L650" s="59"/>
      <c r="M650" s="59"/>
      <c r="N650" s="60"/>
      <c r="O650" s="36"/>
      <c r="P650" s="48"/>
      <c r="Q650" s="48"/>
      <c r="R650" s="48"/>
      <c r="S650" s="48"/>
      <c r="T650" s="48"/>
      <c r="U650" s="48"/>
      <c r="V650" s="48"/>
      <c r="W650" s="48"/>
      <c r="X650" s="48"/>
      <c r="Y650" s="48"/>
      <c r="Z650" s="48"/>
      <c r="AA650" s="48"/>
      <c r="AB650" s="48"/>
      <c r="AC650" s="48"/>
      <c r="AD650" s="48"/>
      <c r="AE650" s="48"/>
      <c r="AF650" s="48"/>
      <c r="AG650" s="48"/>
      <c r="AH650" s="48"/>
      <c r="AI650" s="48"/>
      <c r="AJ650" s="48"/>
      <c r="AK650" s="48"/>
      <c r="AL650" s="48"/>
      <c r="AM650" s="48"/>
      <c r="AN650" s="48"/>
      <c r="AO650" s="48"/>
      <c r="AP650" s="48"/>
      <c r="AQ650" s="48"/>
      <c r="AR650" s="48"/>
      <c r="AS650" s="48"/>
      <c r="AT650" s="48"/>
      <c r="AU650" s="48"/>
      <c r="AV650" s="48"/>
      <c r="AW650" s="48"/>
      <c r="AX650" s="48"/>
      <c r="AY650" s="48"/>
      <c r="AZ650" s="48"/>
      <c r="BA650" s="48"/>
      <c r="BB650" s="48"/>
      <c r="BC650" s="48"/>
      <c r="BD650" s="48"/>
      <c r="BE650" s="48"/>
      <c r="BF650" s="48"/>
      <c r="BG650" s="48"/>
      <c r="BH650" s="48"/>
      <c r="BI650" s="48"/>
      <c r="BJ650" s="48"/>
      <c r="BK650" s="48"/>
      <c r="BL650" s="48"/>
      <c r="BM650" s="48"/>
      <c r="BN650" s="48"/>
      <c r="BO650" s="48"/>
      <c r="BP650" s="48"/>
      <c r="BQ650" s="48"/>
      <c r="BR650" s="48"/>
      <c r="BS650" s="48"/>
      <c r="BT650" s="48"/>
      <c r="BU650" s="48"/>
      <c r="BV650" s="48"/>
      <c r="BW650" s="48"/>
      <c r="BX650" s="111"/>
    </row>
    <row r="651" spans="1:76">
      <c r="A651" s="37"/>
      <c r="B651" s="37"/>
      <c r="C651" s="37"/>
      <c r="D651" s="37" t="s">
        <v>2211</v>
      </c>
      <c r="E651" s="37"/>
      <c r="F651" s="39"/>
      <c r="G651" s="59">
        <v>183</v>
      </c>
      <c r="H651" s="59">
        <v>63</v>
      </c>
      <c r="I651" s="59">
        <v>132</v>
      </c>
      <c r="J651" s="59">
        <v>179</v>
      </c>
      <c r="K651" s="59">
        <v>141</v>
      </c>
      <c r="L651" s="59">
        <v>94</v>
      </c>
      <c r="M651" s="59">
        <v>17</v>
      </c>
      <c r="N651" s="60">
        <v>21</v>
      </c>
      <c r="O651" s="36"/>
      <c r="P651" s="48"/>
      <c r="Q651" s="48"/>
      <c r="R651" s="48"/>
      <c r="S651" s="48"/>
      <c r="T651" s="48"/>
      <c r="U651" s="48"/>
      <c r="V651" s="48"/>
      <c r="W651" s="48"/>
      <c r="X651" s="48"/>
      <c r="Y651" s="48"/>
      <c r="Z651" s="48"/>
      <c r="AA651" s="48"/>
      <c r="AB651" s="48"/>
      <c r="AC651" s="48"/>
      <c r="AD651" s="48"/>
      <c r="AE651" s="48"/>
      <c r="AF651" s="48"/>
      <c r="AG651" s="48"/>
      <c r="AH651" s="48"/>
      <c r="AI651" s="48"/>
      <c r="AJ651" s="48"/>
      <c r="AK651" s="48"/>
      <c r="AL651" s="48"/>
      <c r="AM651" s="48"/>
      <c r="AN651" s="48"/>
      <c r="AO651" s="48"/>
      <c r="AP651" s="48"/>
      <c r="AQ651" s="48"/>
      <c r="AR651" s="48"/>
      <c r="AS651" s="48"/>
      <c r="AT651" s="48"/>
      <c r="AU651" s="48"/>
      <c r="AV651" s="48"/>
      <c r="AW651" s="48"/>
      <c r="AX651" s="48"/>
      <c r="AY651" s="48"/>
      <c r="AZ651" s="48"/>
      <c r="BA651" s="48"/>
      <c r="BB651" s="48"/>
      <c r="BC651" s="48"/>
      <c r="BD651" s="48"/>
      <c r="BE651" s="48"/>
      <c r="BF651" s="48"/>
      <c r="BG651" s="48"/>
      <c r="BH651" s="48"/>
      <c r="BI651" s="48"/>
      <c r="BJ651" s="48"/>
      <c r="BK651" s="48"/>
      <c r="BL651" s="48"/>
      <c r="BM651" s="48"/>
      <c r="BN651" s="48"/>
      <c r="BO651" s="48"/>
      <c r="BP651" s="48"/>
      <c r="BQ651" s="48"/>
      <c r="BR651" s="48"/>
      <c r="BS651" s="48"/>
      <c r="BT651" s="48"/>
      <c r="BU651" s="48"/>
      <c r="BV651" s="48"/>
      <c r="BW651" s="48"/>
      <c r="BX651" s="111"/>
    </row>
    <row r="652" spans="1:76">
      <c r="A652" s="37"/>
      <c r="B652" s="37"/>
      <c r="C652" s="37"/>
      <c r="D652" s="37" t="s">
        <v>2212</v>
      </c>
      <c r="E652" s="37"/>
      <c r="F652" s="39"/>
      <c r="G652" s="59"/>
      <c r="H652" s="59"/>
      <c r="I652" s="59"/>
      <c r="J652" s="59"/>
      <c r="K652" s="59"/>
      <c r="L652" s="59"/>
      <c r="M652" s="59"/>
      <c r="N652" s="60"/>
      <c r="O652" s="36"/>
      <c r="P652" s="48"/>
      <c r="Q652" s="48"/>
      <c r="R652" s="48"/>
      <c r="S652" s="48"/>
      <c r="T652" s="48"/>
      <c r="U652" s="48"/>
      <c r="V652" s="48"/>
      <c r="W652" s="48"/>
      <c r="X652" s="48"/>
      <c r="Y652" s="48"/>
      <c r="Z652" s="48"/>
      <c r="AA652" s="48"/>
      <c r="AB652" s="48"/>
      <c r="AC652" s="48"/>
      <c r="AD652" s="48"/>
      <c r="AE652" s="48"/>
      <c r="AF652" s="48"/>
      <c r="AG652" s="48"/>
      <c r="AH652" s="48"/>
      <c r="AI652" s="48"/>
      <c r="AJ652" s="48"/>
      <c r="AK652" s="48"/>
      <c r="AL652" s="48"/>
      <c r="AM652" s="48"/>
      <c r="AN652" s="48"/>
      <c r="AO652" s="48"/>
      <c r="AP652" s="48"/>
      <c r="AQ652" s="48"/>
      <c r="AR652" s="48"/>
      <c r="AS652" s="48"/>
      <c r="AT652" s="48"/>
      <c r="AU652" s="48"/>
      <c r="AV652" s="48"/>
      <c r="AW652" s="48"/>
      <c r="AX652" s="48"/>
      <c r="AY652" s="48"/>
      <c r="AZ652" s="48"/>
      <c r="BA652" s="48"/>
      <c r="BB652" s="48"/>
      <c r="BC652" s="48"/>
      <c r="BD652" s="48"/>
      <c r="BE652" s="48"/>
      <c r="BF652" s="48"/>
      <c r="BG652" s="48"/>
      <c r="BH652" s="48"/>
      <c r="BI652" s="48"/>
      <c r="BJ652" s="48"/>
      <c r="BK652" s="48"/>
      <c r="BL652" s="48"/>
      <c r="BM652" s="48"/>
      <c r="BN652" s="48"/>
      <c r="BO652" s="48"/>
      <c r="BP652" s="48"/>
      <c r="BQ652" s="48"/>
      <c r="BR652" s="48"/>
      <c r="BS652" s="48"/>
      <c r="BT652" s="48"/>
      <c r="BU652" s="48"/>
      <c r="BV652" s="48"/>
      <c r="BW652" s="48"/>
      <c r="BX652" s="111"/>
    </row>
    <row r="653" spans="1:76">
      <c r="A653" s="71"/>
      <c r="B653" s="71"/>
      <c r="C653" s="71"/>
      <c r="D653" s="71" t="s">
        <v>1385</v>
      </c>
      <c r="E653" s="71"/>
      <c r="F653" s="39"/>
      <c r="G653" s="59"/>
      <c r="H653" s="59"/>
      <c r="I653" s="59"/>
      <c r="J653" s="59"/>
      <c r="K653" s="59"/>
      <c r="L653" s="59"/>
      <c r="M653" s="59"/>
      <c r="N653" s="60"/>
      <c r="O653" s="22"/>
      <c r="P653" s="72"/>
      <c r="Q653" s="72"/>
      <c r="R653" s="72"/>
      <c r="S653" s="72"/>
      <c r="T653" s="72"/>
      <c r="U653" s="72"/>
      <c r="V653" s="72"/>
      <c r="W653" s="72"/>
      <c r="X653" s="72"/>
      <c r="Y653" s="72"/>
      <c r="Z653" s="72"/>
      <c r="AA653" s="72"/>
      <c r="AB653" s="72"/>
      <c r="AC653" s="72"/>
      <c r="AD653" s="72"/>
      <c r="AE653" s="72"/>
      <c r="AF653" s="72"/>
      <c r="AG653" s="72"/>
      <c r="AH653" s="72"/>
      <c r="AI653" s="72"/>
      <c r="AJ653" s="72"/>
      <c r="AK653" s="72"/>
      <c r="AL653" s="72"/>
      <c r="AM653" s="72"/>
      <c r="AN653" s="72"/>
      <c r="AO653" s="72"/>
      <c r="AP653" s="72"/>
      <c r="AQ653" s="72"/>
      <c r="AR653" s="72"/>
      <c r="AS653" s="72"/>
      <c r="AT653" s="72"/>
      <c r="AU653" s="72"/>
      <c r="AV653" s="72"/>
      <c r="AW653" s="72"/>
      <c r="AX653" s="72"/>
      <c r="AY653" s="72"/>
      <c r="AZ653" s="72"/>
      <c r="BA653" s="72"/>
      <c r="BB653" s="72"/>
      <c r="BC653" s="72"/>
      <c r="BD653" s="72"/>
      <c r="BE653" s="72"/>
      <c r="BF653" s="72"/>
      <c r="BG653" s="72"/>
      <c r="BH653" s="72"/>
      <c r="BI653" s="72"/>
      <c r="BJ653" s="72"/>
      <c r="BK653" s="72"/>
      <c r="BL653" s="72"/>
      <c r="BM653" s="72"/>
      <c r="BN653" s="72"/>
      <c r="BO653" s="72"/>
      <c r="BP653" s="72"/>
      <c r="BQ653" s="72"/>
      <c r="BR653" s="72"/>
      <c r="BS653" s="72"/>
      <c r="BT653" s="72"/>
      <c r="BU653" s="72"/>
      <c r="BV653" s="72"/>
      <c r="BW653" s="72"/>
      <c r="BX653" s="114"/>
    </row>
    <row r="654" spans="1:76">
      <c r="A654" s="37"/>
      <c r="B654" s="37"/>
      <c r="C654" s="37" t="s">
        <v>57</v>
      </c>
      <c r="D654" s="37"/>
      <c r="E654" s="37"/>
      <c r="F654" s="39"/>
      <c r="G654" s="59"/>
      <c r="H654" s="59"/>
      <c r="I654" s="59"/>
      <c r="J654" s="59"/>
      <c r="K654" s="59"/>
      <c r="L654" s="59"/>
      <c r="M654" s="59"/>
      <c r="N654" s="60"/>
      <c r="O654" s="36"/>
      <c r="P654" s="48"/>
      <c r="Q654" s="48"/>
      <c r="R654" s="48"/>
      <c r="S654" s="48"/>
      <c r="T654" s="48"/>
      <c r="U654" s="48"/>
      <c r="V654" s="48"/>
      <c r="W654" s="48"/>
      <c r="X654" s="48"/>
      <c r="Y654" s="48"/>
      <c r="Z654" s="48"/>
      <c r="AA654" s="48"/>
      <c r="AB654" s="48"/>
      <c r="AC654" s="48"/>
      <c r="AD654" s="48"/>
      <c r="AE654" s="48"/>
      <c r="AF654" s="48"/>
      <c r="AG654" s="48"/>
      <c r="AH654" s="48"/>
      <c r="AI654" s="48"/>
      <c r="AJ654" s="48"/>
      <c r="AK654" s="48"/>
      <c r="AL654" s="48"/>
      <c r="AM654" s="48"/>
      <c r="AN654" s="48"/>
      <c r="AO654" s="48"/>
      <c r="AP654" s="48"/>
      <c r="AQ654" s="48"/>
      <c r="AR654" s="48"/>
      <c r="AS654" s="48"/>
      <c r="AT654" s="48"/>
      <c r="AU654" s="48"/>
      <c r="AV654" s="48"/>
      <c r="AW654" s="48"/>
      <c r="AX654" s="48"/>
      <c r="AY654" s="48"/>
      <c r="AZ654" s="48"/>
      <c r="BA654" s="48"/>
      <c r="BB654" s="48"/>
      <c r="BC654" s="48"/>
      <c r="BD654" s="48"/>
      <c r="BE654" s="48"/>
      <c r="BF654" s="48"/>
      <c r="BG654" s="48"/>
      <c r="BH654" s="48"/>
      <c r="BI654" s="48"/>
      <c r="BJ654" s="48"/>
      <c r="BK654" s="48"/>
      <c r="BL654" s="48"/>
      <c r="BM654" s="48"/>
      <c r="BN654" s="48"/>
      <c r="BO654" s="48"/>
      <c r="BP654" s="48"/>
      <c r="BQ654" s="48"/>
      <c r="BR654" s="48"/>
      <c r="BS654" s="48"/>
      <c r="BT654" s="48"/>
      <c r="BU654" s="48"/>
      <c r="BV654" s="48"/>
      <c r="BW654" s="48"/>
      <c r="BX654" s="111"/>
    </row>
    <row r="655" spans="1:76">
      <c r="A655" s="37"/>
      <c r="B655" s="37"/>
      <c r="C655" s="37" t="s">
        <v>87</v>
      </c>
      <c r="D655" s="37"/>
      <c r="E655" s="37"/>
      <c r="F655" s="39"/>
      <c r="G655" s="59"/>
      <c r="H655" s="59"/>
      <c r="I655" s="59"/>
      <c r="J655" s="59"/>
      <c r="K655" s="59"/>
      <c r="L655" s="59"/>
      <c r="M655" s="59"/>
      <c r="N655" s="60"/>
      <c r="O655" s="36"/>
      <c r="P655" s="48"/>
      <c r="Q655" s="48"/>
      <c r="R655" s="48"/>
      <c r="S655" s="48"/>
      <c r="T655" s="48"/>
      <c r="U655" s="48"/>
      <c r="V655" s="48"/>
      <c r="W655" s="48"/>
      <c r="X655" s="48"/>
      <c r="Y655" s="48"/>
      <c r="Z655" s="48"/>
      <c r="AA655" s="48"/>
      <c r="AB655" s="48"/>
      <c r="AC655" s="48"/>
      <c r="AD655" s="48"/>
      <c r="AE655" s="48"/>
      <c r="AF655" s="48"/>
      <c r="AG655" s="48"/>
      <c r="AH655" s="48"/>
      <c r="AI655" s="48"/>
      <c r="AJ655" s="48"/>
      <c r="AK655" s="48"/>
      <c r="AL655" s="48"/>
      <c r="AM655" s="48"/>
      <c r="AN655" s="48"/>
      <c r="AO655" s="48"/>
      <c r="AP655" s="48"/>
      <c r="AQ655" s="48"/>
      <c r="AR655" s="48"/>
      <c r="AS655" s="48"/>
      <c r="AT655" s="48"/>
      <c r="AU655" s="48"/>
      <c r="AV655" s="48"/>
      <c r="AW655" s="48"/>
      <c r="AX655" s="48"/>
      <c r="AY655" s="48"/>
      <c r="AZ655" s="48"/>
      <c r="BA655" s="48"/>
      <c r="BB655" s="48"/>
      <c r="BC655" s="48"/>
      <c r="BD655" s="48"/>
      <c r="BE655" s="48"/>
      <c r="BF655" s="48"/>
      <c r="BG655" s="48"/>
      <c r="BH655" s="48"/>
      <c r="BI655" s="48"/>
      <c r="BJ655" s="48"/>
      <c r="BK655" s="48"/>
      <c r="BL655" s="48"/>
      <c r="BM655" s="48"/>
      <c r="BN655" s="48"/>
      <c r="BO655" s="48"/>
      <c r="BP655" s="48"/>
      <c r="BQ655" s="48"/>
      <c r="BR655" s="48"/>
      <c r="BS655" s="48"/>
      <c r="BT655" s="48"/>
      <c r="BU655" s="48"/>
      <c r="BV655" s="48"/>
      <c r="BW655" s="48"/>
      <c r="BX655" s="111"/>
    </row>
    <row r="656" spans="1:76">
      <c r="A656" s="37"/>
      <c r="B656" s="37"/>
      <c r="C656" s="37" t="s">
        <v>700</v>
      </c>
      <c r="D656" s="37"/>
      <c r="E656" s="37"/>
      <c r="F656" s="39"/>
      <c r="G656" s="59"/>
      <c r="H656" s="59"/>
      <c r="I656" s="59"/>
      <c r="J656" s="59"/>
      <c r="K656" s="59"/>
      <c r="L656" s="59"/>
      <c r="M656" s="59"/>
      <c r="N656" s="60"/>
      <c r="O656" s="36"/>
      <c r="P656" s="48"/>
      <c r="Q656" s="48"/>
      <c r="R656" s="48"/>
      <c r="S656" s="48"/>
      <c r="T656" s="48"/>
      <c r="U656" s="48"/>
      <c r="V656" s="48"/>
      <c r="W656" s="48"/>
      <c r="X656" s="48"/>
      <c r="Y656" s="48"/>
      <c r="Z656" s="48"/>
      <c r="AA656" s="48"/>
      <c r="AB656" s="48"/>
      <c r="AC656" s="48"/>
      <c r="AD656" s="48"/>
      <c r="AE656" s="48"/>
      <c r="AF656" s="48"/>
      <c r="AG656" s="48"/>
      <c r="AH656" s="48"/>
      <c r="AI656" s="48"/>
      <c r="AJ656" s="48"/>
      <c r="AK656" s="48"/>
      <c r="AL656" s="48"/>
      <c r="AM656" s="48"/>
      <c r="AN656" s="48"/>
      <c r="AO656" s="48"/>
      <c r="AP656" s="48"/>
      <c r="AQ656" s="48"/>
      <c r="AR656" s="48"/>
      <c r="AS656" s="48"/>
      <c r="AT656" s="48"/>
      <c r="AU656" s="48"/>
      <c r="AV656" s="48"/>
      <c r="AW656" s="48"/>
      <c r="AX656" s="48"/>
      <c r="AY656" s="48"/>
      <c r="AZ656" s="48"/>
      <c r="BA656" s="48"/>
      <c r="BB656" s="48"/>
      <c r="BC656" s="48"/>
      <c r="BD656" s="48"/>
      <c r="BE656" s="48"/>
      <c r="BF656" s="48"/>
      <c r="BG656" s="48"/>
      <c r="BH656" s="48"/>
      <c r="BI656" s="48"/>
      <c r="BJ656" s="48"/>
      <c r="BK656" s="48"/>
      <c r="BL656" s="48"/>
      <c r="BM656" s="48"/>
      <c r="BN656" s="48"/>
      <c r="BO656" s="48"/>
      <c r="BP656" s="48"/>
      <c r="BQ656" s="48"/>
      <c r="BR656" s="48"/>
      <c r="BS656" s="48"/>
      <c r="BT656" s="48"/>
      <c r="BU656" s="48"/>
      <c r="BV656" s="48"/>
      <c r="BW656" s="48"/>
      <c r="BX656" s="111"/>
    </row>
    <row r="657" spans="1:76">
      <c r="A657" s="37"/>
      <c r="B657" s="37"/>
      <c r="C657" s="37" t="s">
        <v>1602</v>
      </c>
      <c r="D657" s="37"/>
      <c r="E657" s="37"/>
      <c r="F657" s="39"/>
      <c r="G657" s="59"/>
      <c r="H657" s="59"/>
      <c r="I657" s="59"/>
      <c r="J657" s="59"/>
      <c r="K657" s="59"/>
      <c r="L657" s="59"/>
      <c r="M657" s="59"/>
      <c r="N657" s="60"/>
      <c r="O657" s="36"/>
      <c r="P657" s="48"/>
      <c r="Q657" s="48"/>
      <c r="R657" s="48"/>
      <c r="S657" s="48"/>
      <c r="T657" s="48"/>
      <c r="U657" s="48"/>
      <c r="V657" s="48"/>
      <c r="W657" s="48"/>
      <c r="X657" s="48"/>
      <c r="Y657" s="48"/>
      <c r="Z657" s="48"/>
      <c r="AA657" s="48"/>
      <c r="AB657" s="48"/>
      <c r="AC657" s="48"/>
      <c r="AD657" s="48"/>
      <c r="AE657" s="48"/>
      <c r="AF657" s="48"/>
      <c r="AG657" s="48"/>
      <c r="AH657" s="48"/>
      <c r="AI657" s="48"/>
      <c r="AJ657" s="48"/>
      <c r="AK657" s="48"/>
      <c r="AL657" s="48"/>
      <c r="AM657" s="48"/>
      <c r="AN657" s="48"/>
      <c r="AO657" s="48"/>
      <c r="AP657" s="48"/>
      <c r="AQ657" s="48"/>
      <c r="AR657" s="48"/>
      <c r="AS657" s="48"/>
      <c r="AT657" s="48"/>
      <c r="AU657" s="48"/>
      <c r="AV657" s="48"/>
      <c r="AW657" s="48"/>
      <c r="AX657" s="48"/>
      <c r="AY657" s="48"/>
      <c r="AZ657" s="48"/>
      <c r="BA657" s="48"/>
      <c r="BB657" s="48"/>
      <c r="BC657" s="48"/>
      <c r="BD657" s="48"/>
      <c r="BE657" s="48"/>
      <c r="BF657" s="48"/>
      <c r="BG657" s="48"/>
      <c r="BH657" s="48"/>
      <c r="BI657" s="48"/>
      <c r="BJ657" s="48"/>
      <c r="BK657" s="48"/>
      <c r="BL657" s="48"/>
      <c r="BM657" s="48"/>
      <c r="BN657" s="48"/>
      <c r="BO657" s="48"/>
      <c r="BP657" s="48"/>
      <c r="BQ657" s="48"/>
      <c r="BR657" s="48"/>
      <c r="BS657" s="48"/>
      <c r="BT657" s="48"/>
      <c r="BU657" s="48"/>
      <c r="BV657" s="48"/>
      <c r="BW657" s="48"/>
      <c r="BX657" s="111"/>
    </row>
    <row r="658" spans="1:76">
      <c r="A658" s="37"/>
      <c r="B658" s="37"/>
      <c r="C658" s="37"/>
      <c r="D658" s="37" t="s">
        <v>237</v>
      </c>
      <c r="E658" s="37"/>
      <c r="F658" s="39"/>
      <c r="G658" s="39" t="str">
        <f t="shared" ref="G658:N658" si="92">IF(AND(OR(ISTEXT(G659), ISBLANK(G659)),TRUE),"", +IF(ISTEXT(G659), 0,G659))</f>
        <v/>
      </c>
      <c r="H658" s="39" t="str">
        <f t="shared" si="92"/>
        <v/>
      </c>
      <c r="I658" s="39" t="str">
        <f t="shared" si="92"/>
        <v/>
      </c>
      <c r="J658" s="39" t="str">
        <f t="shared" si="92"/>
        <v/>
      </c>
      <c r="K658" s="39" t="str">
        <f t="shared" si="92"/>
        <v/>
      </c>
      <c r="L658" s="39" t="str">
        <f t="shared" si="92"/>
        <v/>
      </c>
      <c r="M658" s="39" t="str">
        <f t="shared" si="92"/>
        <v/>
      </c>
      <c r="N658" s="48" t="str">
        <f t="shared" si="92"/>
        <v/>
      </c>
      <c r="O658" s="36"/>
      <c r="P658" s="48"/>
      <c r="Q658" s="48"/>
      <c r="R658" s="48"/>
      <c r="S658" s="48"/>
      <c r="T658" s="48"/>
      <c r="U658" s="48"/>
      <c r="V658" s="48"/>
      <c r="W658" s="48"/>
      <c r="X658" s="48"/>
      <c r="Y658" s="48"/>
      <c r="Z658" s="48"/>
      <c r="AA658" s="48"/>
      <c r="AB658" s="48"/>
      <c r="AC658" s="48"/>
      <c r="AD658" s="48"/>
      <c r="AE658" s="48"/>
      <c r="AF658" s="48"/>
      <c r="AG658" s="48"/>
      <c r="AH658" s="48"/>
      <c r="AI658" s="48"/>
      <c r="AJ658" s="48"/>
      <c r="AK658" s="48"/>
      <c r="AL658" s="48"/>
      <c r="AM658" s="48"/>
      <c r="AN658" s="48"/>
      <c r="AO658" s="48"/>
      <c r="AP658" s="48"/>
      <c r="AQ658" s="48"/>
      <c r="AR658" s="48"/>
      <c r="AS658" s="48"/>
      <c r="AT658" s="48"/>
      <c r="AU658" s="48"/>
      <c r="AV658" s="48"/>
      <c r="AW658" s="48"/>
      <c r="AX658" s="48"/>
      <c r="AY658" s="48"/>
      <c r="AZ658" s="48"/>
      <c r="BA658" s="48"/>
      <c r="BB658" s="48"/>
      <c r="BC658" s="48"/>
      <c r="BD658" s="48"/>
      <c r="BE658" s="48"/>
      <c r="BF658" s="48"/>
      <c r="BG658" s="48"/>
      <c r="BH658" s="48"/>
      <c r="BI658" s="48"/>
      <c r="BJ658" s="48"/>
      <c r="BK658" s="48"/>
      <c r="BL658" s="48"/>
      <c r="BM658" s="48"/>
      <c r="BN658" s="48"/>
      <c r="BO658" s="48"/>
      <c r="BP658" s="48"/>
      <c r="BQ658" s="48"/>
      <c r="BR658" s="48"/>
      <c r="BS658" s="48"/>
      <c r="BT658" s="48"/>
      <c r="BU658" s="48"/>
      <c r="BV658" s="48"/>
      <c r="BW658" s="48"/>
      <c r="BX658" s="111"/>
    </row>
    <row r="659" spans="1:76">
      <c r="A659" s="37"/>
      <c r="B659" s="37"/>
      <c r="C659" s="37"/>
      <c r="D659" s="37"/>
      <c r="E659" s="37" t="s">
        <v>761</v>
      </c>
      <c r="F659" s="39"/>
      <c r="G659" s="59"/>
      <c r="H659" s="59"/>
      <c r="I659" s="59"/>
      <c r="J659" s="59"/>
      <c r="K659" s="59"/>
      <c r="L659" s="59"/>
      <c r="M659" s="59"/>
      <c r="N659" s="60"/>
      <c r="O659" s="36"/>
      <c r="P659" s="48"/>
      <c r="Q659" s="48"/>
      <c r="R659" s="48"/>
      <c r="S659" s="48"/>
      <c r="T659" s="48"/>
      <c r="U659" s="48"/>
      <c r="V659" s="48"/>
      <c r="W659" s="48"/>
      <c r="X659" s="48"/>
      <c r="Y659" s="48"/>
      <c r="Z659" s="48"/>
      <c r="AA659" s="48"/>
      <c r="AB659" s="48"/>
      <c r="AC659" s="48"/>
      <c r="AD659" s="48"/>
      <c r="AE659" s="48"/>
      <c r="AF659" s="48"/>
      <c r="AG659" s="48"/>
      <c r="AH659" s="48"/>
      <c r="AI659" s="48"/>
      <c r="AJ659" s="48"/>
      <c r="AK659" s="48"/>
      <c r="AL659" s="48"/>
      <c r="AM659" s="48"/>
      <c r="AN659" s="48"/>
      <c r="AO659" s="48"/>
      <c r="AP659" s="48"/>
      <c r="AQ659" s="48"/>
      <c r="AR659" s="48"/>
      <c r="AS659" s="48"/>
      <c r="AT659" s="48"/>
      <c r="AU659" s="48"/>
      <c r="AV659" s="48"/>
      <c r="AW659" s="48"/>
      <c r="AX659" s="48"/>
      <c r="AY659" s="48"/>
      <c r="AZ659" s="48"/>
      <c r="BA659" s="48"/>
      <c r="BB659" s="48"/>
      <c r="BC659" s="48"/>
      <c r="BD659" s="48"/>
      <c r="BE659" s="48"/>
      <c r="BF659" s="48"/>
      <c r="BG659" s="48"/>
      <c r="BH659" s="48"/>
      <c r="BI659" s="48"/>
      <c r="BJ659" s="48"/>
      <c r="BK659" s="48"/>
      <c r="BL659" s="48"/>
      <c r="BM659" s="48"/>
      <c r="BN659" s="48"/>
      <c r="BO659" s="48"/>
      <c r="BP659" s="48"/>
      <c r="BQ659" s="48"/>
      <c r="BR659" s="48"/>
      <c r="BS659" s="48"/>
      <c r="BT659" s="48"/>
      <c r="BU659" s="48"/>
      <c r="BV659" s="48"/>
      <c r="BW659" s="48"/>
      <c r="BX659" s="111"/>
    </row>
    <row r="660" spans="1:76">
      <c r="A660" s="37"/>
      <c r="B660" s="37"/>
      <c r="C660" s="37"/>
      <c r="D660" s="37" t="s">
        <v>762</v>
      </c>
      <c r="E660" s="37"/>
      <c r="F660" s="39"/>
      <c r="G660" s="59"/>
      <c r="H660" s="59"/>
      <c r="I660" s="59"/>
      <c r="J660" s="59"/>
      <c r="K660" s="59"/>
      <c r="L660" s="59"/>
      <c r="M660" s="59"/>
      <c r="N660" s="60"/>
      <c r="O660" s="36"/>
      <c r="P660" s="48"/>
      <c r="Q660" s="48"/>
      <c r="R660" s="48"/>
      <c r="S660" s="48"/>
      <c r="T660" s="48"/>
      <c r="U660" s="48"/>
      <c r="V660" s="48"/>
      <c r="W660" s="48"/>
      <c r="X660" s="48"/>
      <c r="Y660" s="48"/>
      <c r="Z660" s="48"/>
      <c r="AA660" s="48"/>
      <c r="AB660" s="48"/>
      <c r="AC660" s="48"/>
      <c r="AD660" s="48"/>
      <c r="AE660" s="48"/>
      <c r="AF660" s="48"/>
      <c r="AG660" s="48"/>
      <c r="AH660" s="48"/>
      <c r="AI660" s="48"/>
      <c r="AJ660" s="48"/>
      <c r="AK660" s="48"/>
      <c r="AL660" s="48"/>
      <c r="AM660" s="48"/>
      <c r="AN660" s="48"/>
      <c r="AO660" s="48"/>
      <c r="AP660" s="48"/>
      <c r="AQ660" s="48"/>
      <c r="AR660" s="48"/>
      <c r="AS660" s="48"/>
      <c r="AT660" s="48"/>
      <c r="AU660" s="48"/>
      <c r="AV660" s="48"/>
      <c r="AW660" s="48"/>
      <c r="AX660" s="48"/>
      <c r="AY660" s="48"/>
      <c r="AZ660" s="48"/>
      <c r="BA660" s="48"/>
      <c r="BB660" s="48"/>
      <c r="BC660" s="48"/>
      <c r="BD660" s="48"/>
      <c r="BE660" s="48"/>
      <c r="BF660" s="48"/>
      <c r="BG660" s="48"/>
      <c r="BH660" s="48"/>
      <c r="BI660" s="48"/>
      <c r="BJ660" s="48"/>
      <c r="BK660" s="48"/>
      <c r="BL660" s="48"/>
      <c r="BM660" s="48"/>
      <c r="BN660" s="48"/>
      <c r="BO660" s="48"/>
      <c r="BP660" s="48"/>
      <c r="BQ660" s="48"/>
      <c r="BR660" s="48"/>
      <c r="BS660" s="48"/>
      <c r="BT660" s="48"/>
      <c r="BU660" s="48"/>
      <c r="BV660" s="48"/>
      <c r="BW660" s="48"/>
      <c r="BX660" s="111"/>
    </row>
    <row r="661" spans="1:76">
      <c r="A661" s="37"/>
      <c r="B661" s="37"/>
      <c r="C661" s="37"/>
      <c r="D661" s="37" t="s">
        <v>1662</v>
      </c>
      <c r="E661" s="37"/>
      <c r="F661" s="39"/>
      <c r="G661" s="59"/>
      <c r="H661" s="59"/>
      <c r="I661" s="59"/>
      <c r="J661" s="59"/>
      <c r="K661" s="59"/>
      <c r="L661" s="59"/>
      <c r="M661" s="59"/>
      <c r="N661" s="60"/>
      <c r="O661" s="36"/>
      <c r="P661" s="48"/>
      <c r="Q661" s="48"/>
      <c r="R661" s="48"/>
      <c r="S661" s="48"/>
      <c r="T661" s="48"/>
      <c r="U661" s="48"/>
      <c r="V661" s="48"/>
      <c r="W661" s="48"/>
      <c r="X661" s="48"/>
      <c r="Y661" s="48"/>
      <c r="Z661" s="48"/>
      <c r="AA661" s="48"/>
      <c r="AB661" s="48"/>
      <c r="AC661" s="48"/>
      <c r="AD661" s="48"/>
      <c r="AE661" s="48"/>
      <c r="AF661" s="48"/>
      <c r="AG661" s="48"/>
      <c r="AH661" s="48"/>
      <c r="AI661" s="48"/>
      <c r="AJ661" s="48"/>
      <c r="AK661" s="48"/>
      <c r="AL661" s="48"/>
      <c r="AM661" s="48"/>
      <c r="AN661" s="48"/>
      <c r="AO661" s="48"/>
      <c r="AP661" s="48"/>
      <c r="AQ661" s="48"/>
      <c r="AR661" s="48"/>
      <c r="AS661" s="48"/>
      <c r="AT661" s="48"/>
      <c r="AU661" s="48"/>
      <c r="AV661" s="48"/>
      <c r="AW661" s="48"/>
      <c r="AX661" s="48"/>
      <c r="AY661" s="48"/>
      <c r="AZ661" s="48"/>
      <c r="BA661" s="48"/>
      <c r="BB661" s="48"/>
      <c r="BC661" s="48"/>
      <c r="BD661" s="48"/>
      <c r="BE661" s="48"/>
      <c r="BF661" s="48"/>
      <c r="BG661" s="48"/>
      <c r="BH661" s="48"/>
      <c r="BI661" s="48"/>
      <c r="BJ661" s="48"/>
      <c r="BK661" s="48"/>
      <c r="BL661" s="48"/>
      <c r="BM661" s="48"/>
      <c r="BN661" s="48"/>
      <c r="BO661" s="48"/>
      <c r="BP661" s="48"/>
      <c r="BQ661" s="48"/>
      <c r="BR661" s="48"/>
      <c r="BS661" s="48"/>
      <c r="BT661" s="48"/>
      <c r="BU661" s="48"/>
      <c r="BV661" s="48"/>
      <c r="BW661" s="48"/>
      <c r="BX661" s="111"/>
    </row>
    <row r="662" spans="1:76">
      <c r="A662" s="88"/>
      <c r="B662" s="88"/>
      <c r="C662" s="88" t="s">
        <v>1328</v>
      </c>
      <c r="D662" s="88"/>
      <c r="E662" s="88"/>
      <c r="F662" s="39"/>
      <c r="G662" s="59">
        <v>100000</v>
      </c>
      <c r="H662" s="59">
        <v>130000</v>
      </c>
      <c r="I662" s="59">
        <v>120000</v>
      </c>
      <c r="J662" s="59">
        <v>129000</v>
      </c>
      <c r="K662" s="59">
        <v>115000</v>
      </c>
      <c r="L662" s="59">
        <v>105000</v>
      </c>
      <c r="M662" s="59">
        <v>110000</v>
      </c>
      <c r="N662" s="60">
        <v>120000</v>
      </c>
      <c r="O662" s="89"/>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116"/>
    </row>
    <row r="663" spans="1:76">
      <c r="A663" s="88"/>
      <c r="B663" s="88"/>
      <c r="C663" s="88" t="s">
        <v>105</v>
      </c>
      <c r="D663" s="88"/>
      <c r="E663" s="88"/>
      <c r="F663" s="39"/>
      <c r="G663" s="59"/>
      <c r="H663" s="59">
        <f t="shared" ref="H663:N663" si="93">(G662+H662)/2</f>
        <v>115000</v>
      </c>
      <c r="I663" s="59">
        <f t="shared" si="93"/>
        <v>125000</v>
      </c>
      <c r="J663" s="59">
        <f t="shared" si="93"/>
        <v>124500</v>
      </c>
      <c r="K663" s="59">
        <f t="shared" si="93"/>
        <v>122000</v>
      </c>
      <c r="L663" s="59">
        <f t="shared" si="93"/>
        <v>110000</v>
      </c>
      <c r="M663" s="59">
        <f t="shared" si="93"/>
        <v>107500</v>
      </c>
      <c r="N663" s="59">
        <f t="shared" si="93"/>
        <v>115000</v>
      </c>
      <c r="O663" s="91"/>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116"/>
    </row>
    <row r="664" spans="1:76">
      <c r="A664" s="37"/>
      <c r="B664" s="37"/>
      <c r="C664" s="37" t="s">
        <v>1320</v>
      </c>
      <c r="D664" s="37"/>
      <c r="E664" s="37"/>
      <c r="F664" s="37"/>
      <c r="G664" s="59"/>
      <c r="H664" s="59"/>
      <c r="I664" s="59"/>
      <c r="J664" s="59"/>
      <c r="K664" s="59"/>
      <c r="L664" s="59"/>
      <c r="M664" s="59"/>
      <c r="N664" s="60"/>
      <c r="O664" s="36"/>
      <c r="P664" s="48"/>
      <c r="Q664" s="48"/>
      <c r="R664" s="48"/>
      <c r="S664" s="48"/>
      <c r="T664" s="48"/>
      <c r="U664" s="48"/>
      <c r="V664" s="48"/>
      <c r="W664" s="48"/>
      <c r="X664" s="48"/>
      <c r="Y664" s="48"/>
      <c r="Z664" s="48"/>
      <c r="AA664" s="48"/>
      <c r="AB664" s="48"/>
      <c r="AC664" s="48"/>
      <c r="AD664" s="48"/>
      <c r="AE664" s="48"/>
      <c r="AF664" s="48"/>
      <c r="AG664" s="48"/>
      <c r="AH664" s="48"/>
      <c r="AI664" s="48"/>
      <c r="AJ664" s="48"/>
      <c r="AK664" s="48"/>
      <c r="AL664" s="48"/>
      <c r="AM664" s="48"/>
      <c r="AN664" s="48"/>
      <c r="AO664" s="48"/>
      <c r="AP664" s="48"/>
      <c r="AQ664" s="48"/>
      <c r="AR664" s="48"/>
      <c r="AS664" s="48"/>
      <c r="AT664" s="48"/>
      <c r="AU664" s="48"/>
      <c r="AV664" s="48"/>
      <c r="AW664" s="48"/>
      <c r="AX664" s="48"/>
      <c r="AY664" s="48"/>
      <c r="AZ664" s="48"/>
      <c r="BA664" s="48"/>
      <c r="BB664" s="48"/>
      <c r="BC664" s="48"/>
      <c r="BD664" s="48"/>
      <c r="BE664" s="48"/>
      <c r="BF664" s="48"/>
      <c r="BG664" s="48"/>
      <c r="BH664" s="48"/>
      <c r="BI664" s="48"/>
      <c r="BJ664" s="48"/>
      <c r="BK664" s="48"/>
      <c r="BL664" s="48"/>
      <c r="BM664" s="48"/>
      <c r="BN664" s="48"/>
      <c r="BO664" s="48"/>
      <c r="BP664" s="48"/>
      <c r="BQ664" s="48"/>
      <c r="BR664" s="48"/>
      <c r="BS664" s="48"/>
      <c r="BT664" s="48"/>
      <c r="BU664" s="48"/>
      <c r="BV664" s="48"/>
      <c r="BW664" s="48"/>
      <c r="BX664" s="111"/>
    </row>
    <row r="665" spans="1:76">
      <c r="A665" s="37"/>
      <c r="B665" s="37"/>
      <c r="C665" s="37" t="s">
        <v>183</v>
      </c>
      <c r="D665" s="37"/>
      <c r="E665" s="37"/>
      <c r="F665" s="37"/>
      <c r="G665" s="39" t="str">
        <f t="shared" ref="G665:N665" si="94">IF(AND(OR(ISTEXT(G666), ISBLANK(G666)),OR(ISTEXT(G667), ISBLANK(G667)),TRUE),"", +IF(ISTEXT(G666), 0,G666)+IF(ISTEXT(G667), 0,G667))</f>
        <v/>
      </c>
      <c r="H665" s="39" t="str">
        <f t="shared" si="94"/>
        <v/>
      </c>
      <c r="I665" s="39" t="str">
        <f t="shared" si="94"/>
        <v/>
      </c>
      <c r="J665" s="39" t="str">
        <f t="shared" si="94"/>
        <v/>
      </c>
      <c r="K665" s="39" t="str">
        <f t="shared" si="94"/>
        <v/>
      </c>
      <c r="L665" s="39" t="str">
        <f t="shared" si="94"/>
        <v/>
      </c>
      <c r="M665" s="39" t="str">
        <f t="shared" si="94"/>
        <v/>
      </c>
      <c r="N665" s="48" t="str">
        <f t="shared" si="94"/>
        <v/>
      </c>
      <c r="O665" s="36"/>
      <c r="P665" s="48"/>
      <c r="Q665" s="48"/>
      <c r="R665" s="48"/>
      <c r="S665" s="48"/>
      <c r="T665" s="48"/>
      <c r="U665" s="48"/>
      <c r="V665" s="48"/>
      <c r="W665" s="48"/>
      <c r="X665" s="48"/>
      <c r="Y665" s="48"/>
      <c r="Z665" s="48"/>
      <c r="AA665" s="48"/>
      <c r="AB665" s="48"/>
      <c r="AC665" s="48"/>
      <c r="AD665" s="48"/>
      <c r="AE665" s="48"/>
      <c r="AF665" s="48"/>
      <c r="AG665" s="48"/>
      <c r="AH665" s="48"/>
      <c r="AI665" s="48"/>
      <c r="AJ665" s="48"/>
      <c r="AK665" s="48"/>
      <c r="AL665" s="48"/>
      <c r="AM665" s="48"/>
      <c r="AN665" s="48"/>
      <c r="AO665" s="48"/>
      <c r="AP665" s="48"/>
      <c r="AQ665" s="48"/>
      <c r="AR665" s="48"/>
      <c r="AS665" s="48"/>
      <c r="AT665" s="48"/>
      <c r="AU665" s="48"/>
      <c r="AV665" s="48"/>
      <c r="AW665" s="48"/>
      <c r="AX665" s="48"/>
      <c r="AY665" s="48"/>
      <c r="AZ665" s="48"/>
      <c r="BA665" s="48"/>
      <c r="BB665" s="48"/>
      <c r="BC665" s="48"/>
      <c r="BD665" s="48"/>
      <c r="BE665" s="48"/>
      <c r="BF665" s="48"/>
      <c r="BG665" s="48"/>
      <c r="BH665" s="48"/>
      <c r="BI665" s="48"/>
      <c r="BJ665" s="48"/>
      <c r="BK665" s="48"/>
      <c r="BL665" s="48"/>
      <c r="BM665" s="48"/>
      <c r="BN665" s="48"/>
      <c r="BO665" s="48"/>
      <c r="BP665" s="48"/>
      <c r="BQ665" s="48"/>
      <c r="BR665" s="48"/>
      <c r="BS665" s="48"/>
      <c r="BT665" s="48"/>
      <c r="BU665" s="48"/>
      <c r="BV665" s="48"/>
      <c r="BW665" s="48"/>
      <c r="BX665" s="111"/>
    </row>
    <row r="666" spans="1:76">
      <c r="A666" s="37"/>
      <c r="B666" s="37"/>
      <c r="C666" s="37"/>
      <c r="D666" s="37" t="s">
        <v>918</v>
      </c>
      <c r="E666" s="37"/>
      <c r="F666" s="37"/>
      <c r="G666" s="59"/>
      <c r="H666" s="59"/>
      <c r="I666" s="59"/>
      <c r="J666" s="59"/>
      <c r="K666" s="59"/>
      <c r="L666" s="59"/>
      <c r="M666" s="59"/>
      <c r="N666" s="60"/>
      <c r="O666" s="36"/>
      <c r="P666" s="48"/>
      <c r="Q666" s="48"/>
      <c r="R666" s="48"/>
      <c r="S666" s="48"/>
      <c r="T666" s="48"/>
      <c r="U666" s="48"/>
      <c r="V666" s="48"/>
      <c r="W666" s="48"/>
      <c r="X666" s="48"/>
      <c r="Y666" s="48"/>
      <c r="Z666" s="48"/>
      <c r="AA666" s="48"/>
      <c r="AB666" s="48"/>
      <c r="AC666" s="48"/>
      <c r="AD666" s="48"/>
      <c r="AE666" s="48"/>
      <c r="AF666" s="48"/>
      <c r="AG666" s="48"/>
      <c r="AH666" s="48"/>
      <c r="AI666" s="48"/>
      <c r="AJ666" s="48"/>
      <c r="AK666" s="48"/>
      <c r="AL666" s="48"/>
      <c r="AM666" s="48"/>
      <c r="AN666" s="48"/>
      <c r="AO666" s="48"/>
      <c r="AP666" s="48"/>
      <c r="AQ666" s="48"/>
      <c r="AR666" s="48"/>
      <c r="AS666" s="48"/>
      <c r="AT666" s="48"/>
      <c r="AU666" s="48"/>
      <c r="AV666" s="48"/>
      <c r="AW666" s="48"/>
      <c r="AX666" s="48"/>
      <c r="AY666" s="48"/>
      <c r="AZ666" s="48"/>
      <c r="BA666" s="48"/>
      <c r="BB666" s="48"/>
      <c r="BC666" s="48"/>
      <c r="BD666" s="48"/>
      <c r="BE666" s="48"/>
      <c r="BF666" s="48"/>
      <c r="BG666" s="48"/>
      <c r="BH666" s="48"/>
      <c r="BI666" s="48"/>
      <c r="BJ666" s="48"/>
      <c r="BK666" s="48"/>
      <c r="BL666" s="48"/>
      <c r="BM666" s="48"/>
      <c r="BN666" s="48"/>
      <c r="BO666" s="48"/>
      <c r="BP666" s="48"/>
      <c r="BQ666" s="48"/>
      <c r="BR666" s="48"/>
      <c r="BS666" s="48"/>
      <c r="BT666" s="48"/>
      <c r="BU666" s="48"/>
      <c r="BV666" s="48"/>
      <c r="BW666" s="48"/>
      <c r="BX666" s="111"/>
    </row>
    <row r="667" spans="1:76">
      <c r="A667" s="37"/>
      <c r="B667" s="37"/>
      <c r="C667" s="37"/>
      <c r="D667" s="37" t="s">
        <v>894</v>
      </c>
      <c r="E667" s="37"/>
      <c r="F667" s="37"/>
      <c r="G667" s="59"/>
      <c r="H667" s="59"/>
      <c r="I667" s="59"/>
      <c r="J667" s="59"/>
      <c r="K667" s="59"/>
      <c r="L667" s="59"/>
      <c r="M667" s="59"/>
      <c r="N667" s="60"/>
      <c r="O667" s="36"/>
      <c r="P667" s="48"/>
      <c r="Q667" s="48"/>
      <c r="R667" s="48"/>
      <c r="S667" s="48"/>
      <c r="T667" s="48"/>
      <c r="U667" s="48"/>
      <c r="V667" s="48"/>
      <c r="W667" s="48"/>
      <c r="X667" s="48"/>
      <c r="Y667" s="48"/>
      <c r="Z667" s="48"/>
      <c r="AA667" s="48"/>
      <c r="AB667" s="48"/>
      <c r="AC667" s="48"/>
      <c r="AD667" s="48"/>
      <c r="AE667" s="48"/>
      <c r="AF667" s="48"/>
      <c r="AG667" s="48"/>
      <c r="AH667" s="48"/>
      <c r="AI667" s="48"/>
      <c r="AJ667" s="48"/>
      <c r="AK667" s="48"/>
      <c r="AL667" s="48"/>
      <c r="AM667" s="48"/>
      <c r="AN667" s="48"/>
      <c r="AO667" s="48"/>
      <c r="AP667" s="48"/>
      <c r="AQ667" s="48"/>
      <c r="AR667" s="48"/>
      <c r="AS667" s="48"/>
      <c r="AT667" s="48"/>
      <c r="AU667" s="48"/>
      <c r="AV667" s="48"/>
      <c r="AW667" s="48"/>
      <c r="AX667" s="48"/>
      <c r="AY667" s="48"/>
      <c r="AZ667" s="48"/>
      <c r="BA667" s="48"/>
      <c r="BB667" s="48"/>
      <c r="BC667" s="48"/>
      <c r="BD667" s="48"/>
      <c r="BE667" s="48"/>
      <c r="BF667" s="48"/>
      <c r="BG667" s="48"/>
      <c r="BH667" s="48"/>
      <c r="BI667" s="48"/>
      <c r="BJ667" s="48"/>
      <c r="BK667" s="48"/>
      <c r="BL667" s="48"/>
      <c r="BM667" s="48"/>
      <c r="BN667" s="48"/>
      <c r="BO667" s="48"/>
      <c r="BP667" s="48"/>
      <c r="BQ667" s="48"/>
      <c r="BR667" s="48"/>
      <c r="BS667" s="48"/>
      <c r="BT667" s="48"/>
      <c r="BU667" s="48"/>
      <c r="BV667" s="48"/>
      <c r="BW667" s="48"/>
      <c r="BX667" s="111"/>
    </row>
    <row r="668" spans="1:76">
      <c r="A668" s="44"/>
      <c r="B668" s="44" t="s">
        <v>895</v>
      </c>
      <c r="C668" s="44"/>
      <c r="D668" s="44"/>
      <c r="E668" s="44"/>
      <c r="F668" s="44"/>
      <c r="G668" s="44"/>
      <c r="H668" s="44"/>
      <c r="I668" s="44"/>
      <c r="J668" s="44"/>
      <c r="K668" s="44"/>
      <c r="L668" s="44"/>
      <c r="M668" s="44"/>
      <c r="N668" s="44"/>
      <c r="O668" s="92"/>
      <c r="P668" s="46"/>
      <c r="Q668" s="46"/>
      <c r="R668" s="46"/>
      <c r="S668" s="46"/>
      <c r="T668" s="46"/>
      <c r="U668" s="46"/>
      <c r="V668" s="46"/>
      <c r="W668" s="46"/>
      <c r="X668" s="46"/>
      <c r="Y668" s="46"/>
      <c r="Z668" s="46"/>
      <c r="AA668" s="46"/>
      <c r="AB668" s="46"/>
      <c r="AC668" s="46"/>
      <c r="AD668" s="46"/>
      <c r="AE668" s="46"/>
      <c r="AF668" s="46"/>
      <c r="AG668" s="46"/>
      <c r="AH668" s="46"/>
      <c r="AI668" s="46"/>
      <c r="AJ668" s="46"/>
      <c r="AK668" s="46"/>
      <c r="AL668" s="46"/>
      <c r="AM668" s="46"/>
      <c r="AN668" s="46"/>
      <c r="AO668" s="46"/>
      <c r="AP668" s="46"/>
      <c r="AQ668" s="46"/>
      <c r="AR668" s="46"/>
      <c r="AS668" s="46"/>
      <c r="AT668" s="46"/>
      <c r="AU668" s="46"/>
      <c r="AV668" s="46"/>
      <c r="AW668" s="46"/>
      <c r="AX668" s="46"/>
      <c r="AY668" s="46"/>
      <c r="AZ668" s="46"/>
      <c r="BA668" s="46"/>
      <c r="BB668" s="46"/>
      <c r="BC668" s="46"/>
      <c r="BD668" s="46"/>
      <c r="BE668" s="46"/>
      <c r="BF668" s="46"/>
      <c r="BG668" s="46"/>
      <c r="BH668" s="46"/>
      <c r="BI668" s="46"/>
      <c r="BJ668" s="46"/>
      <c r="BK668" s="46"/>
      <c r="BL668" s="46"/>
      <c r="BM668" s="46"/>
      <c r="BN668" s="46"/>
      <c r="BO668" s="46"/>
      <c r="BP668" s="46"/>
      <c r="BQ668" s="46"/>
      <c r="BR668" s="46"/>
      <c r="BS668" s="46"/>
      <c r="BT668" s="46"/>
      <c r="BU668" s="46"/>
      <c r="BV668" s="46"/>
      <c r="BW668" s="46"/>
      <c r="BX668" s="110"/>
    </row>
    <row r="669" spans="1:76">
      <c r="A669" s="37"/>
      <c r="B669" s="37"/>
      <c r="C669" s="37" t="s">
        <v>24</v>
      </c>
      <c r="D669" s="37"/>
      <c r="E669" s="37"/>
      <c r="F669" s="37"/>
      <c r="G669" s="59"/>
      <c r="H669" s="59"/>
      <c r="I669" s="59"/>
      <c r="J669" s="59"/>
      <c r="K669" s="59"/>
      <c r="L669" s="59"/>
      <c r="M669" s="59"/>
      <c r="N669" s="60"/>
      <c r="O669" s="36"/>
      <c r="P669" s="48"/>
      <c r="Q669" s="48"/>
      <c r="R669" s="48"/>
      <c r="S669" s="48"/>
      <c r="T669" s="48"/>
      <c r="U669" s="48"/>
      <c r="V669" s="48"/>
      <c r="W669" s="48"/>
      <c r="X669" s="48"/>
      <c r="Y669" s="48"/>
      <c r="Z669" s="48"/>
      <c r="AA669" s="48"/>
      <c r="AB669" s="48"/>
      <c r="AC669" s="48"/>
      <c r="AD669" s="48"/>
      <c r="AE669" s="48"/>
      <c r="AF669" s="48"/>
      <c r="AG669" s="48"/>
      <c r="AH669" s="48"/>
      <c r="AI669" s="48"/>
      <c r="AJ669" s="48"/>
      <c r="AK669" s="48"/>
      <c r="AL669" s="48"/>
      <c r="AM669" s="48"/>
      <c r="AN669" s="48"/>
      <c r="AO669" s="48"/>
      <c r="AP669" s="48"/>
      <c r="AQ669" s="48"/>
      <c r="AR669" s="48"/>
      <c r="AS669" s="48"/>
      <c r="AT669" s="48"/>
      <c r="AU669" s="48"/>
      <c r="AV669" s="48"/>
      <c r="AW669" s="48"/>
      <c r="AX669" s="48"/>
      <c r="AY669" s="48"/>
      <c r="AZ669" s="48"/>
      <c r="BA669" s="48"/>
      <c r="BB669" s="48"/>
      <c r="BC669" s="48"/>
      <c r="BD669" s="48"/>
      <c r="BE669" s="48"/>
      <c r="BF669" s="48"/>
      <c r="BG669" s="48"/>
      <c r="BH669" s="48"/>
      <c r="BI669" s="48"/>
      <c r="BJ669" s="48"/>
      <c r="BK669" s="48"/>
      <c r="BL669" s="48"/>
      <c r="BM669" s="48"/>
      <c r="BN669" s="48"/>
      <c r="BO669" s="48"/>
      <c r="BP669" s="48"/>
      <c r="BQ669" s="48"/>
      <c r="BR669" s="48"/>
      <c r="BS669" s="48"/>
      <c r="BT669" s="48"/>
      <c r="BU669" s="48"/>
      <c r="BV669" s="48"/>
      <c r="BW669" s="48"/>
      <c r="BX669" s="111"/>
    </row>
    <row r="670" spans="1:76">
      <c r="A670" s="37"/>
      <c r="B670" s="37"/>
      <c r="C670" s="37"/>
      <c r="D670" s="37" t="s">
        <v>25</v>
      </c>
      <c r="E670" s="37"/>
      <c r="F670" s="37"/>
      <c r="G670" s="39">
        <f t="shared" ref="G670:N670" si="95">IF(AND(OR(ISTEXT(G671), ISBLANK(G671)),OR(ISTEXT(G672), ISBLANK(G672)),OR(ISTEXT(G673), ISBLANK(G673)),OR(ISTEXT(G674), ISBLANK(G674)),OR(ISTEXT(G675), ISBLANK(G675)),OR(ISTEXT(G676), ISBLANK(G676)),OR(ISTEXT(G677), ISBLANK(G677)),TRUE),"", +IF(ISTEXT(G671), 0,G671)+IF(ISTEXT(G672), 0,G672)-IF(ISTEXT(G673), 0,G673)+IF(ISTEXT(G674), 0,G674)-IF(ISTEXT(G675), 0,G675)+IF(ISTEXT(G676), 0,G676)+IF(ISTEXT(G677), 0,G677))</f>
        <v>27</v>
      </c>
      <c r="H670" s="61">
        <f t="shared" si="95"/>
        <v>31</v>
      </c>
      <c r="I670" s="39">
        <f t="shared" si="95"/>
        <v>1</v>
      </c>
      <c r="J670" s="39">
        <f t="shared" si="95"/>
        <v>-9</v>
      </c>
      <c r="K670" s="39">
        <f t="shared" si="95"/>
        <v>-15</v>
      </c>
      <c r="L670" s="39">
        <f t="shared" si="95"/>
        <v>-1</v>
      </c>
      <c r="M670" s="39">
        <f t="shared" si="95"/>
        <v>2</v>
      </c>
      <c r="N670" s="48">
        <f t="shared" si="95"/>
        <v>6</v>
      </c>
      <c r="O670" s="58"/>
      <c r="P670" s="48"/>
      <c r="Q670" s="48"/>
      <c r="R670" s="48"/>
      <c r="S670" s="48"/>
      <c r="T670" s="48"/>
      <c r="U670" s="48"/>
      <c r="V670" s="48"/>
      <c r="W670" s="48"/>
      <c r="X670" s="48"/>
      <c r="Y670" s="48"/>
      <c r="Z670" s="48"/>
      <c r="AA670" s="48"/>
      <c r="AB670" s="48"/>
      <c r="AC670" s="48"/>
      <c r="AD670" s="48"/>
      <c r="AE670" s="48"/>
      <c r="AF670" s="48"/>
      <c r="AG670" s="48"/>
      <c r="AH670" s="48"/>
      <c r="AI670" s="48"/>
      <c r="AJ670" s="48"/>
      <c r="AK670" s="48"/>
      <c r="AL670" s="48"/>
      <c r="AM670" s="48"/>
      <c r="AN670" s="48"/>
      <c r="AO670" s="48"/>
      <c r="AP670" s="48"/>
      <c r="AQ670" s="48"/>
      <c r="AR670" s="48"/>
      <c r="AS670" s="48"/>
      <c r="AT670" s="48"/>
      <c r="AU670" s="48"/>
      <c r="AV670" s="48"/>
      <c r="AW670" s="48"/>
      <c r="AX670" s="48"/>
      <c r="AY670" s="48"/>
      <c r="AZ670" s="48"/>
      <c r="BA670" s="48"/>
      <c r="BB670" s="48"/>
      <c r="BC670" s="48"/>
      <c r="BD670" s="48"/>
      <c r="BE670" s="48"/>
      <c r="BF670" s="48"/>
      <c r="BG670" s="48"/>
      <c r="BH670" s="48"/>
      <c r="BI670" s="48"/>
      <c r="BJ670" s="48"/>
      <c r="BK670" s="48"/>
      <c r="BL670" s="48"/>
      <c r="BM670" s="48"/>
      <c r="BN670" s="48"/>
      <c r="BO670" s="48"/>
      <c r="BP670" s="48"/>
      <c r="BQ670" s="48"/>
      <c r="BR670" s="48"/>
      <c r="BS670" s="48"/>
      <c r="BT670" s="48"/>
      <c r="BU670" s="48"/>
      <c r="BV670" s="48"/>
      <c r="BW670" s="48"/>
      <c r="BX670" s="111"/>
    </row>
    <row r="671" spans="1:76">
      <c r="A671" s="37"/>
      <c r="B671" s="37"/>
      <c r="C671" s="37"/>
      <c r="D671" s="37"/>
      <c r="E671" s="37" t="s">
        <v>104</v>
      </c>
      <c r="F671" s="37"/>
      <c r="G671" s="59">
        <f>16+11</f>
        <v>27</v>
      </c>
      <c r="H671" s="59">
        <f>17+6</f>
        <v>23</v>
      </c>
      <c r="I671" s="59">
        <f>3+1</f>
        <v>4</v>
      </c>
      <c r="J671" s="59">
        <f>0+1</f>
        <v>1</v>
      </c>
      <c r="K671" s="59">
        <f>0+2</f>
        <v>2</v>
      </c>
      <c r="L671" s="59">
        <f>0+3</f>
        <v>3</v>
      </c>
      <c r="M671" s="59">
        <f>0+4</f>
        <v>4</v>
      </c>
      <c r="N671" s="59">
        <f>0+4</f>
        <v>4</v>
      </c>
      <c r="O671" s="58"/>
      <c r="P671" s="48"/>
      <c r="Q671" s="48"/>
      <c r="R671" s="48"/>
      <c r="S671" s="48"/>
      <c r="T671" s="48"/>
      <c r="U671" s="48"/>
      <c r="V671" s="48"/>
      <c r="W671" s="48"/>
      <c r="X671" s="48"/>
      <c r="Y671" s="48"/>
      <c r="Z671" s="48"/>
      <c r="AA671" s="48"/>
      <c r="AB671" s="48"/>
      <c r="AC671" s="48"/>
      <c r="AD671" s="48"/>
      <c r="AE671" s="48"/>
      <c r="AF671" s="48"/>
      <c r="AG671" s="48"/>
      <c r="AH671" s="48"/>
      <c r="AI671" s="48"/>
      <c r="AJ671" s="48"/>
      <c r="AK671" s="48"/>
      <c r="AL671" s="48"/>
      <c r="AM671" s="48"/>
      <c r="AN671" s="48"/>
      <c r="AO671" s="48"/>
      <c r="AP671" s="48"/>
      <c r="AQ671" s="48"/>
      <c r="AR671" s="48"/>
      <c r="AS671" s="48"/>
      <c r="AT671" s="48"/>
      <c r="AU671" s="48"/>
      <c r="AV671" s="48"/>
      <c r="AW671" s="48"/>
      <c r="AX671" s="48"/>
      <c r="AY671" s="48"/>
      <c r="AZ671" s="48"/>
      <c r="BA671" s="48"/>
      <c r="BB671" s="48"/>
      <c r="BC671" s="48"/>
      <c r="BD671" s="48"/>
      <c r="BE671" s="48"/>
      <c r="BF671" s="48"/>
      <c r="BG671" s="48"/>
      <c r="BH671" s="48"/>
      <c r="BI671" s="48"/>
      <c r="BJ671" s="48"/>
      <c r="BK671" s="48"/>
      <c r="BL671" s="48"/>
      <c r="BM671" s="48"/>
      <c r="BN671" s="48"/>
      <c r="BO671" s="48"/>
      <c r="BP671" s="48"/>
      <c r="BQ671" s="48"/>
      <c r="BR671" s="48"/>
      <c r="BS671" s="48"/>
      <c r="BT671" s="48"/>
      <c r="BU671" s="48"/>
      <c r="BV671" s="48"/>
      <c r="BW671" s="48"/>
      <c r="BX671" s="111"/>
    </row>
    <row r="672" spans="1:76">
      <c r="A672" s="37"/>
      <c r="B672" s="37"/>
      <c r="C672" s="37"/>
      <c r="D672" s="37"/>
      <c r="E672" s="37" t="s">
        <v>2131</v>
      </c>
      <c r="F672" s="37"/>
      <c r="G672" s="59">
        <f>19+9</f>
        <v>28</v>
      </c>
      <c r="H672" s="59">
        <f>19+5</f>
        <v>24</v>
      </c>
      <c r="I672" s="59">
        <f>17+3</f>
        <v>20</v>
      </c>
      <c r="J672" s="59">
        <f>15+3</f>
        <v>18</v>
      </c>
      <c r="K672" s="59">
        <f>3+6</f>
        <v>9</v>
      </c>
      <c r="L672" s="59">
        <f>3+6</f>
        <v>9</v>
      </c>
      <c r="M672" s="59">
        <f>2+7</f>
        <v>9</v>
      </c>
      <c r="N672" s="59">
        <f>1+8</f>
        <v>9</v>
      </c>
      <c r="O672" s="58"/>
      <c r="P672" s="48"/>
      <c r="Q672" s="48"/>
      <c r="R672" s="48"/>
      <c r="S672" s="48"/>
      <c r="T672" s="48"/>
      <c r="U672" s="48"/>
      <c r="V672" s="48"/>
      <c r="W672" s="48"/>
      <c r="X672" s="48"/>
      <c r="Y672" s="48"/>
      <c r="Z672" s="48"/>
      <c r="AA672" s="48"/>
      <c r="AB672" s="48"/>
      <c r="AC672" s="48"/>
      <c r="AD672" s="48"/>
      <c r="AE672" s="48"/>
      <c r="AF672" s="48"/>
      <c r="AG672" s="48"/>
      <c r="AH672" s="48"/>
      <c r="AI672" s="48"/>
      <c r="AJ672" s="48"/>
      <c r="AK672" s="48"/>
      <c r="AL672" s="48"/>
      <c r="AM672" s="48"/>
      <c r="AN672" s="48"/>
      <c r="AO672" s="48"/>
      <c r="AP672" s="48"/>
      <c r="AQ672" s="48"/>
      <c r="AR672" s="48"/>
      <c r="AS672" s="48"/>
      <c r="AT672" s="48"/>
      <c r="AU672" s="48"/>
      <c r="AV672" s="48"/>
      <c r="AW672" s="48"/>
      <c r="AX672" s="48"/>
      <c r="AY672" s="48"/>
      <c r="AZ672" s="48"/>
      <c r="BA672" s="48"/>
      <c r="BB672" s="48"/>
      <c r="BC672" s="48"/>
      <c r="BD672" s="48"/>
      <c r="BE672" s="48"/>
      <c r="BF672" s="48"/>
      <c r="BG672" s="48"/>
      <c r="BH672" s="48"/>
      <c r="BI672" s="48"/>
      <c r="BJ672" s="48"/>
      <c r="BK672" s="48"/>
      <c r="BL672" s="48"/>
      <c r="BM672" s="48"/>
      <c r="BN672" s="48"/>
      <c r="BO672" s="48"/>
      <c r="BP672" s="48"/>
      <c r="BQ672" s="48"/>
      <c r="BR672" s="48"/>
      <c r="BS672" s="48"/>
      <c r="BT672" s="48"/>
      <c r="BU672" s="48"/>
      <c r="BV672" s="48"/>
      <c r="BW672" s="48"/>
      <c r="BX672" s="111"/>
    </row>
    <row r="673" spans="1:76">
      <c r="A673" s="37"/>
      <c r="B673" s="37"/>
      <c r="C673" s="37"/>
      <c r="D673" s="37"/>
      <c r="E673" s="37" t="s">
        <v>1780</v>
      </c>
      <c r="F673" s="37"/>
      <c r="G673" s="59">
        <f>16+11</f>
        <v>27</v>
      </c>
      <c r="H673" s="59">
        <f>18+5</f>
        <v>23</v>
      </c>
      <c r="I673" s="59">
        <f>20+3</f>
        <v>23</v>
      </c>
      <c r="J673" s="59">
        <f>14+5</f>
        <v>19</v>
      </c>
      <c r="K673" s="59">
        <f>3+8</f>
        <v>11</v>
      </c>
      <c r="L673" s="59">
        <f>2+8</f>
        <v>10</v>
      </c>
      <c r="M673" s="59">
        <f>1+7</f>
        <v>8</v>
      </c>
      <c r="N673" s="59">
        <f>0+8</f>
        <v>8</v>
      </c>
      <c r="O673" s="58"/>
      <c r="P673" s="48"/>
      <c r="Q673" s="48"/>
      <c r="R673" s="48"/>
      <c r="S673" s="48"/>
      <c r="T673" s="48"/>
      <c r="U673" s="48"/>
      <c r="V673" s="48"/>
      <c r="W673" s="48"/>
      <c r="X673" s="48"/>
      <c r="Y673" s="48"/>
      <c r="Z673" s="48"/>
      <c r="AA673" s="48"/>
      <c r="AB673" s="48"/>
      <c r="AC673" s="48"/>
      <c r="AD673" s="48"/>
      <c r="AE673" s="48"/>
      <c r="AF673" s="48"/>
      <c r="AG673" s="48"/>
      <c r="AH673" s="48"/>
      <c r="AI673" s="48"/>
      <c r="AJ673" s="48"/>
      <c r="AK673" s="48"/>
      <c r="AL673" s="48"/>
      <c r="AM673" s="48"/>
      <c r="AN673" s="48"/>
      <c r="AO673" s="48"/>
      <c r="AP673" s="48"/>
      <c r="AQ673" s="48"/>
      <c r="AR673" s="48"/>
      <c r="AS673" s="48"/>
      <c r="AT673" s="48"/>
      <c r="AU673" s="48"/>
      <c r="AV673" s="48"/>
      <c r="AW673" s="48"/>
      <c r="AX673" s="48"/>
      <c r="AY673" s="48"/>
      <c r="AZ673" s="48"/>
      <c r="BA673" s="48"/>
      <c r="BB673" s="48"/>
      <c r="BC673" s="48"/>
      <c r="BD673" s="48"/>
      <c r="BE673" s="48"/>
      <c r="BF673" s="48"/>
      <c r="BG673" s="48"/>
      <c r="BH673" s="48"/>
      <c r="BI673" s="48"/>
      <c r="BJ673" s="48"/>
      <c r="BK673" s="48"/>
      <c r="BL673" s="48"/>
      <c r="BM673" s="48"/>
      <c r="BN673" s="48"/>
      <c r="BO673" s="48"/>
      <c r="BP673" s="48"/>
      <c r="BQ673" s="48"/>
      <c r="BR673" s="48"/>
      <c r="BS673" s="48"/>
      <c r="BT673" s="48"/>
      <c r="BU673" s="48"/>
      <c r="BV673" s="48"/>
      <c r="BW673" s="48"/>
      <c r="BX673" s="111"/>
    </row>
    <row r="674" spans="1:76">
      <c r="A674" s="37"/>
      <c r="B674" s="37"/>
      <c r="C674" s="37"/>
      <c r="D674" s="37"/>
      <c r="E674" s="37" t="s">
        <v>2184</v>
      </c>
      <c r="F674" s="37"/>
      <c r="G674" s="59">
        <v>2</v>
      </c>
      <c r="H674" s="59">
        <v>1</v>
      </c>
      <c r="I674" s="59"/>
      <c r="J674" s="59"/>
      <c r="K674" s="59"/>
      <c r="L674" s="59"/>
      <c r="M674" s="59"/>
      <c r="N674" s="59"/>
      <c r="O674" s="58"/>
      <c r="P674" s="48"/>
      <c r="Q674" s="48"/>
      <c r="R674" s="48"/>
      <c r="S674" s="48"/>
      <c r="T674" s="48"/>
      <c r="U674" s="48"/>
      <c r="V674" s="48"/>
      <c r="W674" s="48"/>
      <c r="X674" s="48"/>
      <c r="Y674" s="48"/>
      <c r="Z674" s="48"/>
      <c r="AA674" s="48"/>
      <c r="AB674" s="48"/>
      <c r="AC674" s="48"/>
      <c r="AD674" s="48"/>
      <c r="AE674" s="48"/>
      <c r="AF674" s="48"/>
      <c r="AG674" s="48"/>
      <c r="AH674" s="48"/>
      <c r="AI674" s="48"/>
      <c r="AJ674" s="48"/>
      <c r="AK674" s="48"/>
      <c r="AL674" s="48"/>
      <c r="AM674" s="48"/>
      <c r="AN674" s="48"/>
      <c r="AO674" s="48"/>
      <c r="AP674" s="48"/>
      <c r="AQ674" s="48"/>
      <c r="AR674" s="48"/>
      <c r="AS674" s="48"/>
      <c r="AT674" s="48"/>
      <c r="AU674" s="48"/>
      <c r="AV674" s="48"/>
      <c r="AW674" s="48"/>
      <c r="AX674" s="48"/>
      <c r="AY674" s="48"/>
      <c r="AZ674" s="48"/>
      <c r="BA674" s="48"/>
      <c r="BB674" s="48"/>
      <c r="BC674" s="48"/>
      <c r="BD674" s="48"/>
      <c r="BE674" s="48"/>
      <c r="BF674" s="48"/>
      <c r="BG674" s="48"/>
      <c r="BH674" s="48"/>
      <c r="BI674" s="48"/>
      <c r="BJ674" s="48"/>
      <c r="BK674" s="48"/>
      <c r="BL674" s="48"/>
      <c r="BM674" s="48"/>
      <c r="BN674" s="48"/>
      <c r="BO674" s="48"/>
      <c r="BP674" s="48"/>
      <c r="BQ674" s="48"/>
      <c r="BR674" s="48"/>
      <c r="BS674" s="48"/>
      <c r="BT674" s="48"/>
      <c r="BU674" s="48"/>
      <c r="BV674" s="48"/>
      <c r="BW674" s="48"/>
      <c r="BX674" s="111"/>
    </row>
    <row r="675" spans="1:76">
      <c r="A675" s="37"/>
      <c r="B675" s="37"/>
      <c r="C675" s="37"/>
      <c r="D675" s="37"/>
      <c r="E675" s="37" t="s">
        <v>89</v>
      </c>
      <c r="F675" s="37"/>
      <c r="G675" s="59">
        <v>0</v>
      </c>
      <c r="H675" s="59">
        <f>-1-0</f>
        <v>-1</v>
      </c>
      <c r="I675" s="59">
        <v>0</v>
      </c>
      <c r="J675" s="59">
        <f>1+0</f>
        <v>1</v>
      </c>
      <c r="K675" s="59">
        <f>1+0</f>
        <v>1</v>
      </c>
      <c r="L675" s="59">
        <v>0</v>
      </c>
      <c r="M675" s="59">
        <f>0-2</f>
        <v>-2</v>
      </c>
      <c r="N675" s="59">
        <f>0-3</f>
        <v>-3</v>
      </c>
      <c r="O675" s="58"/>
      <c r="P675" s="48"/>
      <c r="Q675" s="48"/>
      <c r="R675" s="48"/>
      <c r="S675" s="48"/>
      <c r="T675" s="48"/>
      <c r="U675" s="48"/>
      <c r="V675" s="48"/>
      <c r="W675" s="48"/>
      <c r="X675" s="48"/>
      <c r="Y675" s="48"/>
      <c r="Z675" s="48"/>
      <c r="AA675" s="48"/>
      <c r="AB675" s="48"/>
      <c r="AC675" s="48"/>
      <c r="AD675" s="48"/>
      <c r="AE675" s="48"/>
      <c r="AF675" s="48"/>
      <c r="AG675" s="48"/>
      <c r="AH675" s="48"/>
      <c r="AI675" s="48"/>
      <c r="AJ675" s="48"/>
      <c r="AK675" s="48"/>
      <c r="AL675" s="48"/>
      <c r="AM675" s="48"/>
      <c r="AN675" s="48"/>
      <c r="AO675" s="48"/>
      <c r="AP675" s="48"/>
      <c r="AQ675" s="48"/>
      <c r="AR675" s="48"/>
      <c r="AS675" s="48"/>
      <c r="AT675" s="48"/>
      <c r="AU675" s="48"/>
      <c r="AV675" s="48"/>
      <c r="AW675" s="48"/>
      <c r="AX675" s="48"/>
      <c r="AY675" s="48"/>
      <c r="AZ675" s="48"/>
      <c r="BA675" s="48"/>
      <c r="BB675" s="48"/>
      <c r="BC675" s="48"/>
      <c r="BD675" s="48"/>
      <c r="BE675" s="48"/>
      <c r="BF675" s="48"/>
      <c r="BG675" s="48"/>
      <c r="BH675" s="48"/>
      <c r="BI675" s="48"/>
      <c r="BJ675" s="48"/>
      <c r="BK675" s="48"/>
      <c r="BL675" s="48"/>
      <c r="BM675" s="48"/>
      <c r="BN675" s="48"/>
      <c r="BO675" s="48"/>
      <c r="BP675" s="48"/>
      <c r="BQ675" s="48"/>
      <c r="BR675" s="48"/>
      <c r="BS675" s="48"/>
      <c r="BT675" s="48"/>
      <c r="BU675" s="48"/>
      <c r="BV675" s="48"/>
      <c r="BW675" s="48"/>
      <c r="BX675" s="111"/>
    </row>
    <row r="676" spans="1:76">
      <c r="A676" s="37"/>
      <c r="B676" s="37"/>
      <c r="C676" s="37"/>
      <c r="D676" s="37"/>
      <c r="E676" s="37" t="s">
        <v>1724</v>
      </c>
      <c r="F676" s="37"/>
      <c r="G676" s="59">
        <v>-3</v>
      </c>
      <c r="H676" s="59">
        <f>2-1+5-1</f>
        <v>5</v>
      </c>
      <c r="I676" s="59">
        <v>0</v>
      </c>
      <c r="J676" s="59">
        <f>-8+0</f>
        <v>-8</v>
      </c>
      <c r="K676" s="59">
        <f>-14-0</f>
        <v>-14</v>
      </c>
      <c r="L676" s="59">
        <v>-3</v>
      </c>
      <c r="M676" s="59">
        <f>-5+0</f>
        <v>-5</v>
      </c>
      <c r="N676" s="59">
        <f>-2+0</f>
        <v>-2</v>
      </c>
      <c r="O676" s="58"/>
      <c r="P676" s="48"/>
      <c r="Q676" s="48"/>
      <c r="R676" s="48"/>
      <c r="S676" s="48"/>
      <c r="T676" s="48"/>
      <c r="U676" s="48"/>
      <c r="V676" s="48"/>
      <c r="W676" s="48"/>
      <c r="X676" s="48"/>
      <c r="Y676" s="48"/>
      <c r="Z676" s="48"/>
      <c r="AA676" s="48"/>
      <c r="AB676" s="48"/>
      <c r="AC676" s="48"/>
      <c r="AD676" s="48"/>
      <c r="AE676" s="48"/>
      <c r="AF676" s="48"/>
      <c r="AG676" s="48"/>
      <c r="AH676" s="48"/>
      <c r="AI676" s="48"/>
      <c r="AJ676" s="48"/>
      <c r="AK676" s="48"/>
      <c r="AL676" s="48"/>
      <c r="AM676" s="48"/>
      <c r="AN676" s="48"/>
      <c r="AO676" s="48"/>
      <c r="AP676" s="48"/>
      <c r="AQ676" s="48"/>
      <c r="AR676" s="48"/>
      <c r="AS676" s="48"/>
      <c r="AT676" s="48"/>
      <c r="AU676" s="48"/>
      <c r="AV676" s="48"/>
      <c r="AW676" s="48"/>
      <c r="AX676" s="48"/>
      <c r="AY676" s="48"/>
      <c r="AZ676" s="48"/>
      <c r="BA676" s="48"/>
      <c r="BB676" s="48"/>
      <c r="BC676" s="48"/>
      <c r="BD676" s="48"/>
      <c r="BE676" s="48"/>
      <c r="BF676" s="48"/>
      <c r="BG676" s="48"/>
      <c r="BH676" s="48"/>
      <c r="BI676" s="48"/>
      <c r="BJ676" s="48"/>
      <c r="BK676" s="48"/>
      <c r="BL676" s="48"/>
      <c r="BM676" s="48"/>
      <c r="BN676" s="48"/>
      <c r="BO676" s="48"/>
      <c r="BP676" s="48"/>
      <c r="BQ676" s="48"/>
      <c r="BR676" s="48"/>
      <c r="BS676" s="48"/>
      <c r="BT676" s="48"/>
      <c r="BU676" s="48"/>
      <c r="BV676" s="48"/>
      <c r="BW676" s="48"/>
      <c r="BX676" s="111"/>
    </row>
    <row r="677" spans="1:76">
      <c r="A677" s="37"/>
      <c r="B677" s="37"/>
      <c r="C677" s="37"/>
      <c r="D677" s="37"/>
      <c r="E677" s="37" t="s">
        <v>1725</v>
      </c>
      <c r="F677" s="37"/>
      <c r="G677" s="93"/>
      <c r="H677" s="93"/>
      <c r="I677" s="93"/>
      <c r="J677" s="93"/>
      <c r="K677" s="93"/>
      <c r="L677" s="93"/>
      <c r="M677" s="93"/>
      <c r="N677" s="93"/>
      <c r="O677" s="58"/>
      <c r="P677" s="48"/>
      <c r="Q677" s="48"/>
      <c r="R677" s="48"/>
      <c r="S677" s="48"/>
      <c r="T677" s="48"/>
      <c r="U677" s="48"/>
      <c r="V677" s="48"/>
      <c r="W677" s="48"/>
      <c r="X677" s="48"/>
      <c r="Y677" s="48"/>
      <c r="Z677" s="48"/>
      <c r="AA677" s="48"/>
      <c r="AB677" s="48"/>
      <c r="AC677" s="48"/>
      <c r="AD677" s="48"/>
      <c r="AE677" s="48"/>
      <c r="AF677" s="48"/>
      <c r="AG677" s="48"/>
      <c r="AH677" s="48"/>
      <c r="AI677" s="48"/>
      <c r="AJ677" s="48"/>
      <c r="AK677" s="48"/>
      <c r="AL677" s="48"/>
      <c r="AM677" s="48"/>
      <c r="AN677" s="48"/>
      <c r="AO677" s="48"/>
      <c r="AP677" s="48"/>
      <c r="AQ677" s="48"/>
      <c r="AR677" s="48"/>
      <c r="AS677" s="48"/>
      <c r="AT677" s="48"/>
      <c r="AU677" s="48"/>
      <c r="AV677" s="48"/>
      <c r="AW677" s="48"/>
      <c r="AX677" s="48"/>
      <c r="AY677" s="48"/>
      <c r="AZ677" s="48"/>
      <c r="BA677" s="48"/>
      <c r="BB677" s="48"/>
      <c r="BC677" s="48"/>
      <c r="BD677" s="48"/>
      <c r="BE677" s="48"/>
      <c r="BF677" s="48"/>
      <c r="BG677" s="48"/>
      <c r="BH677" s="48"/>
      <c r="BI677" s="48"/>
      <c r="BJ677" s="48"/>
      <c r="BK677" s="48"/>
      <c r="BL677" s="48"/>
      <c r="BM677" s="48"/>
      <c r="BN677" s="48"/>
      <c r="BO677" s="48"/>
      <c r="BP677" s="48"/>
      <c r="BQ677" s="48"/>
      <c r="BR677" s="48"/>
      <c r="BS677" s="48"/>
      <c r="BT677" s="48"/>
      <c r="BU677" s="48"/>
      <c r="BV677" s="48"/>
      <c r="BW677" s="48"/>
      <c r="BX677" s="111"/>
    </row>
    <row r="678" spans="1:76">
      <c r="A678" s="37"/>
      <c r="B678" s="37"/>
      <c r="C678" s="37"/>
      <c r="D678" s="37" t="s">
        <v>2160</v>
      </c>
      <c r="E678" s="37"/>
      <c r="F678" s="37"/>
      <c r="G678" s="39">
        <f t="shared" ref="G678:N678" si="96">IF(AND(OR(ISTEXT(G679), ISBLANK(G679)),OR(ISTEXT(G680), ISBLANK(G680)),TRUE),"", +IF(ISTEXT(G679), 0,G679)-IF(ISTEXT(G680), 0,G680))</f>
        <v>0</v>
      </c>
      <c r="H678" s="61">
        <f t="shared" si="96"/>
        <v>0</v>
      </c>
      <c r="I678" s="39">
        <f t="shared" si="96"/>
        <v>0</v>
      </c>
      <c r="J678" s="39">
        <f t="shared" si="96"/>
        <v>0</v>
      </c>
      <c r="K678" s="39">
        <f t="shared" si="96"/>
        <v>0</v>
      </c>
      <c r="L678" s="39">
        <f t="shared" si="96"/>
        <v>0</v>
      </c>
      <c r="M678" s="39">
        <f t="shared" si="96"/>
        <v>0</v>
      </c>
      <c r="N678" s="39">
        <f t="shared" si="96"/>
        <v>0</v>
      </c>
      <c r="O678" s="36"/>
      <c r="P678" s="48"/>
      <c r="Q678" s="48"/>
      <c r="R678" s="48"/>
      <c r="S678" s="48"/>
      <c r="T678" s="48"/>
      <c r="U678" s="48"/>
      <c r="V678" s="48"/>
      <c r="W678" s="48"/>
      <c r="X678" s="48"/>
      <c r="Y678" s="48"/>
      <c r="Z678" s="48"/>
      <c r="AA678" s="48"/>
      <c r="AB678" s="48"/>
      <c r="AC678" s="48"/>
      <c r="AD678" s="48"/>
      <c r="AE678" s="48"/>
      <c r="AF678" s="48"/>
      <c r="AG678" s="48"/>
      <c r="AH678" s="48"/>
      <c r="AI678" s="48"/>
      <c r="AJ678" s="48"/>
      <c r="AK678" s="48"/>
      <c r="AL678" s="48"/>
      <c r="AM678" s="48"/>
      <c r="AN678" s="48"/>
      <c r="AO678" s="48"/>
      <c r="AP678" s="48"/>
      <c r="AQ678" s="48"/>
      <c r="AR678" s="48"/>
      <c r="AS678" s="48"/>
      <c r="AT678" s="48"/>
      <c r="AU678" s="48"/>
      <c r="AV678" s="48"/>
      <c r="AW678" s="48"/>
      <c r="AX678" s="48"/>
      <c r="AY678" s="48"/>
      <c r="AZ678" s="48"/>
      <c r="BA678" s="48"/>
      <c r="BB678" s="48"/>
      <c r="BC678" s="48"/>
      <c r="BD678" s="48"/>
      <c r="BE678" s="48"/>
      <c r="BF678" s="48"/>
      <c r="BG678" s="48"/>
      <c r="BH678" s="48"/>
      <c r="BI678" s="48"/>
      <c r="BJ678" s="48"/>
      <c r="BK678" s="48"/>
      <c r="BL678" s="48"/>
      <c r="BM678" s="48"/>
      <c r="BN678" s="48"/>
      <c r="BO678" s="48"/>
      <c r="BP678" s="48"/>
      <c r="BQ678" s="48"/>
      <c r="BR678" s="48"/>
      <c r="BS678" s="48"/>
      <c r="BT678" s="48"/>
      <c r="BU678" s="48"/>
      <c r="BV678" s="48"/>
      <c r="BW678" s="48"/>
      <c r="BX678" s="111"/>
    </row>
    <row r="679" spans="1:76">
      <c r="A679" s="37"/>
      <c r="B679" s="37"/>
      <c r="C679" s="37"/>
      <c r="D679" s="37"/>
      <c r="E679" s="37" t="s">
        <v>1818</v>
      </c>
      <c r="F679" s="37"/>
      <c r="G679" s="59">
        <f>8+92</f>
        <v>100</v>
      </c>
      <c r="H679" s="59">
        <f>8+13</f>
        <v>21</v>
      </c>
      <c r="I679" s="59">
        <f>17+3</f>
        <v>20</v>
      </c>
      <c r="J679" s="59">
        <f>1+2</f>
        <v>3</v>
      </c>
      <c r="K679" s="59">
        <f>1+5</f>
        <v>6</v>
      </c>
      <c r="L679" s="59">
        <f>2+4</f>
        <v>6</v>
      </c>
      <c r="M679" s="59">
        <f>3+4</f>
        <v>7</v>
      </c>
      <c r="N679" s="59">
        <f>1+5</f>
        <v>6</v>
      </c>
      <c r="O679" s="36"/>
      <c r="P679" s="48"/>
      <c r="Q679" s="48"/>
      <c r="R679" s="48"/>
      <c r="S679" s="48"/>
      <c r="T679" s="48"/>
      <c r="U679" s="48"/>
      <c r="V679" s="48"/>
      <c r="W679" s="48"/>
      <c r="X679" s="48"/>
      <c r="Y679" s="48"/>
      <c r="Z679" s="48"/>
      <c r="AA679" s="48"/>
      <c r="AB679" s="48"/>
      <c r="AC679" s="48"/>
      <c r="AD679" s="48"/>
      <c r="AE679" s="48"/>
      <c r="AF679" s="48"/>
      <c r="AG679" s="48"/>
      <c r="AH679" s="48"/>
      <c r="AI679" s="48"/>
      <c r="AJ679" s="48"/>
      <c r="AK679" s="48"/>
      <c r="AL679" s="48"/>
      <c r="AM679" s="48"/>
      <c r="AN679" s="48"/>
      <c r="AO679" s="48"/>
      <c r="AP679" s="48"/>
      <c r="AQ679" s="48"/>
      <c r="AR679" s="48"/>
      <c r="AS679" s="48"/>
      <c r="AT679" s="48"/>
      <c r="AU679" s="48"/>
      <c r="AV679" s="48"/>
      <c r="AW679" s="48"/>
      <c r="AX679" s="48"/>
      <c r="AY679" s="48"/>
      <c r="AZ679" s="48"/>
      <c r="BA679" s="48"/>
      <c r="BB679" s="48"/>
      <c r="BC679" s="48"/>
      <c r="BD679" s="48"/>
      <c r="BE679" s="48"/>
      <c r="BF679" s="48"/>
      <c r="BG679" s="48"/>
      <c r="BH679" s="48"/>
      <c r="BI679" s="48"/>
      <c r="BJ679" s="48"/>
      <c r="BK679" s="48"/>
      <c r="BL679" s="48"/>
      <c r="BM679" s="48"/>
      <c r="BN679" s="48"/>
      <c r="BO679" s="48"/>
      <c r="BP679" s="48"/>
      <c r="BQ679" s="48"/>
      <c r="BR679" s="48"/>
      <c r="BS679" s="48"/>
      <c r="BT679" s="48"/>
      <c r="BU679" s="48"/>
      <c r="BV679" s="48"/>
      <c r="BW679" s="48"/>
      <c r="BX679" s="111"/>
    </row>
    <row r="680" spans="1:76">
      <c r="A680" s="37"/>
      <c r="B680" s="37"/>
      <c r="C680" s="37"/>
      <c r="D680" s="37"/>
      <c r="E680" s="37" t="s">
        <v>590</v>
      </c>
      <c r="F680" s="37"/>
      <c r="G680" s="59">
        <f>8+92</f>
        <v>100</v>
      </c>
      <c r="H680" s="59">
        <f>8+13</f>
        <v>21</v>
      </c>
      <c r="I680" s="59">
        <f>17+3</f>
        <v>20</v>
      </c>
      <c r="J680" s="59">
        <f>1+2</f>
        <v>3</v>
      </c>
      <c r="K680" s="59">
        <f>1+5</f>
        <v>6</v>
      </c>
      <c r="L680" s="59">
        <f>2+4</f>
        <v>6</v>
      </c>
      <c r="M680" s="59">
        <f>3+4</f>
        <v>7</v>
      </c>
      <c r="N680" s="59">
        <f>1+5</f>
        <v>6</v>
      </c>
      <c r="O680" s="36"/>
      <c r="P680" s="48"/>
      <c r="Q680" s="48"/>
      <c r="R680" s="48"/>
      <c r="S680" s="48"/>
      <c r="T680" s="48"/>
      <c r="U680" s="48"/>
      <c r="V680" s="48"/>
      <c r="W680" s="48"/>
      <c r="X680" s="48"/>
      <c r="Y680" s="48"/>
      <c r="Z680" s="48"/>
      <c r="AA680" s="48"/>
      <c r="AB680" s="48"/>
      <c r="AC680" s="48"/>
      <c r="AD680" s="48"/>
      <c r="AE680" s="48"/>
      <c r="AF680" s="48"/>
      <c r="AG680" s="48"/>
      <c r="AH680" s="48"/>
      <c r="AI680" s="48"/>
      <c r="AJ680" s="48"/>
      <c r="AK680" s="48"/>
      <c r="AL680" s="48"/>
      <c r="AM680" s="48"/>
      <c r="AN680" s="48"/>
      <c r="AO680" s="48"/>
      <c r="AP680" s="48"/>
      <c r="AQ680" s="48"/>
      <c r="AR680" s="48"/>
      <c r="AS680" s="48"/>
      <c r="AT680" s="48"/>
      <c r="AU680" s="48"/>
      <c r="AV680" s="48"/>
      <c r="AW680" s="48"/>
      <c r="AX680" s="48"/>
      <c r="AY680" s="48"/>
      <c r="AZ680" s="48"/>
      <c r="BA680" s="48"/>
      <c r="BB680" s="48"/>
      <c r="BC680" s="48"/>
      <c r="BD680" s="48"/>
      <c r="BE680" s="48"/>
      <c r="BF680" s="48"/>
      <c r="BG680" s="48"/>
      <c r="BH680" s="48"/>
      <c r="BI680" s="48"/>
      <c r="BJ680" s="48"/>
      <c r="BK680" s="48"/>
      <c r="BL680" s="48"/>
      <c r="BM680" s="48"/>
      <c r="BN680" s="48"/>
      <c r="BO680" s="48"/>
      <c r="BP680" s="48"/>
      <c r="BQ680" s="48"/>
      <c r="BR680" s="48"/>
      <c r="BS680" s="48"/>
      <c r="BT680" s="48"/>
      <c r="BU680" s="48"/>
      <c r="BV680" s="48"/>
      <c r="BW680" s="48"/>
      <c r="BX680" s="111"/>
    </row>
    <row r="681" spans="1:76">
      <c r="A681" s="37"/>
      <c r="B681" s="37"/>
      <c r="C681" s="37"/>
      <c r="D681" s="37" t="s">
        <v>751</v>
      </c>
      <c r="E681" s="37"/>
      <c r="F681" s="37"/>
      <c r="G681" s="59">
        <f>45+18</f>
        <v>63</v>
      </c>
      <c r="H681" s="59">
        <f>12+4</f>
        <v>16</v>
      </c>
      <c r="I681" s="59">
        <f>18+12</f>
        <v>30</v>
      </c>
      <c r="J681" s="59">
        <f>30+6</f>
        <v>36</v>
      </c>
      <c r="K681" s="59">
        <f>-11-12</f>
        <v>-23</v>
      </c>
      <c r="L681" s="59">
        <f>-1-12</f>
        <v>-13</v>
      </c>
      <c r="M681" s="59">
        <f>1+12</f>
        <v>13</v>
      </c>
      <c r="N681" s="59">
        <f>0+9</f>
        <v>9</v>
      </c>
      <c r="O681" s="36"/>
      <c r="P681" s="48"/>
      <c r="Q681" s="48"/>
      <c r="R681" s="48"/>
      <c r="S681" s="48"/>
      <c r="T681" s="48"/>
      <c r="U681" s="48"/>
      <c r="V681" s="48"/>
      <c r="W681" s="48"/>
      <c r="X681" s="48"/>
      <c r="Y681" s="48"/>
      <c r="Z681" s="48"/>
      <c r="AA681" s="48"/>
      <c r="AB681" s="48"/>
      <c r="AC681" s="48"/>
      <c r="AD681" s="48"/>
      <c r="AE681" s="48"/>
      <c r="AF681" s="48"/>
      <c r="AG681" s="48"/>
      <c r="AH681" s="48"/>
      <c r="AI681" s="48"/>
      <c r="AJ681" s="48"/>
      <c r="AK681" s="48"/>
      <c r="AL681" s="48"/>
      <c r="AM681" s="48"/>
      <c r="AN681" s="48"/>
      <c r="AO681" s="48"/>
      <c r="AP681" s="48"/>
      <c r="AQ681" s="48"/>
      <c r="AR681" s="48"/>
      <c r="AS681" s="48"/>
      <c r="AT681" s="48"/>
      <c r="AU681" s="48"/>
      <c r="AV681" s="48"/>
      <c r="AW681" s="48"/>
      <c r="AX681" s="48"/>
      <c r="AY681" s="48"/>
      <c r="AZ681" s="48"/>
      <c r="BA681" s="48"/>
      <c r="BB681" s="48"/>
      <c r="BC681" s="48"/>
      <c r="BD681" s="48"/>
      <c r="BE681" s="48"/>
      <c r="BF681" s="48"/>
      <c r="BG681" s="48"/>
      <c r="BH681" s="48"/>
      <c r="BI681" s="48"/>
      <c r="BJ681" s="48"/>
      <c r="BK681" s="48"/>
      <c r="BL681" s="48"/>
      <c r="BM681" s="48"/>
      <c r="BN681" s="48"/>
      <c r="BO681" s="48"/>
      <c r="BP681" s="48"/>
      <c r="BQ681" s="48"/>
      <c r="BR681" s="48"/>
      <c r="BS681" s="48"/>
      <c r="BT681" s="48"/>
      <c r="BU681" s="48"/>
      <c r="BV681" s="48"/>
      <c r="BW681" s="48"/>
      <c r="BX681" s="111"/>
    </row>
    <row r="682" spans="1:76">
      <c r="A682" s="37"/>
      <c r="B682" s="37"/>
      <c r="C682" s="37"/>
      <c r="D682" s="37" t="s">
        <v>155</v>
      </c>
      <c r="E682" s="37"/>
      <c r="F682" s="37"/>
      <c r="G682" s="59">
        <f>7+97</f>
        <v>104</v>
      </c>
      <c r="H682" s="59">
        <f>12+11</f>
        <v>23</v>
      </c>
      <c r="I682" s="59">
        <f>1+0</f>
        <v>1</v>
      </c>
      <c r="J682" s="59">
        <f>1+1</f>
        <v>2</v>
      </c>
      <c r="K682" s="59">
        <f>1+3</f>
        <v>4</v>
      </c>
      <c r="L682" s="59">
        <f>1+3</f>
        <v>4</v>
      </c>
      <c r="M682" s="59">
        <f>2+4</f>
        <v>6</v>
      </c>
      <c r="N682" s="59">
        <f>1+5</f>
        <v>6</v>
      </c>
      <c r="O682" s="36"/>
      <c r="P682" s="48"/>
      <c r="Q682" s="48"/>
      <c r="R682" s="48"/>
      <c r="S682" s="48"/>
      <c r="T682" s="48"/>
      <c r="U682" s="48"/>
      <c r="V682" s="48"/>
      <c r="W682" s="48"/>
      <c r="X682" s="48"/>
      <c r="Y682" s="48"/>
      <c r="Z682" s="48"/>
      <c r="AA682" s="48"/>
      <c r="AB682" s="48"/>
      <c r="AC682" s="48"/>
      <c r="AD682" s="48"/>
      <c r="AE682" s="48"/>
      <c r="AF682" s="48"/>
      <c r="AG682" s="48"/>
      <c r="AH682" s="48"/>
      <c r="AI682" s="48"/>
      <c r="AJ682" s="48"/>
      <c r="AK682" s="48"/>
      <c r="AL682" s="48"/>
      <c r="AM682" s="48"/>
      <c r="AN682" s="48"/>
      <c r="AO682" s="48"/>
      <c r="AP682" s="48"/>
      <c r="AQ682" s="48"/>
      <c r="AR682" s="48"/>
      <c r="AS682" s="48"/>
      <c r="AT682" s="48"/>
      <c r="AU682" s="48"/>
      <c r="AV682" s="48"/>
      <c r="AW682" s="48"/>
      <c r="AX682" s="48"/>
      <c r="AY682" s="48"/>
      <c r="AZ682" s="48"/>
      <c r="BA682" s="48"/>
      <c r="BB682" s="48"/>
      <c r="BC682" s="48"/>
      <c r="BD682" s="48"/>
      <c r="BE682" s="48"/>
      <c r="BF682" s="48"/>
      <c r="BG682" s="48"/>
      <c r="BH682" s="48"/>
      <c r="BI682" s="48"/>
      <c r="BJ682" s="48"/>
      <c r="BK682" s="48"/>
      <c r="BL682" s="48"/>
      <c r="BM682" s="48"/>
      <c r="BN682" s="48"/>
      <c r="BO682" s="48"/>
      <c r="BP682" s="48"/>
      <c r="BQ682" s="48"/>
      <c r="BR682" s="48"/>
      <c r="BS682" s="48"/>
      <c r="BT682" s="48"/>
      <c r="BU682" s="48"/>
      <c r="BV682" s="48"/>
      <c r="BW682" s="48"/>
      <c r="BX682" s="111"/>
    </row>
    <row r="683" spans="1:76">
      <c r="A683" s="37"/>
      <c r="B683" s="37"/>
      <c r="C683" s="37"/>
      <c r="D683" s="37" t="s">
        <v>156</v>
      </c>
      <c r="E683" s="37"/>
      <c r="F683" s="37"/>
      <c r="G683" s="59">
        <f>278+152</f>
        <v>430</v>
      </c>
      <c r="H683" s="59">
        <f>271+80</f>
        <v>351</v>
      </c>
      <c r="I683" s="59">
        <f>240+53</f>
        <v>293</v>
      </c>
      <c r="J683" s="59">
        <f>180+94</f>
        <v>274</v>
      </c>
      <c r="K683" s="59">
        <f>50+97</f>
        <v>147</v>
      </c>
      <c r="L683" s="59">
        <f>34+112</f>
        <v>146</v>
      </c>
      <c r="M683" s="59">
        <f>20+134</f>
        <v>154</v>
      </c>
      <c r="N683" s="59">
        <f>16+156</f>
        <v>172</v>
      </c>
      <c r="O683" s="36"/>
      <c r="P683" s="48"/>
      <c r="Q683" s="48"/>
      <c r="R683" s="48"/>
      <c r="S683" s="48"/>
      <c r="T683" s="48"/>
      <c r="U683" s="48"/>
      <c r="V683" s="48"/>
      <c r="W683" s="48"/>
      <c r="X683" s="48"/>
      <c r="Y683" s="48"/>
      <c r="Z683" s="48"/>
      <c r="AA683" s="48"/>
      <c r="AB683" s="48"/>
      <c r="AC683" s="48"/>
      <c r="AD683" s="48"/>
      <c r="AE683" s="48"/>
      <c r="AF683" s="48"/>
      <c r="AG683" s="48"/>
      <c r="AH683" s="48"/>
      <c r="AI683" s="48"/>
      <c r="AJ683" s="48"/>
      <c r="AK683" s="48"/>
      <c r="AL683" s="48"/>
      <c r="AM683" s="48"/>
      <c r="AN683" s="48"/>
      <c r="AO683" s="48"/>
      <c r="AP683" s="48"/>
      <c r="AQ683" s="48"/>
      <c r="AR683" s="48"/>
      <c r="AS683" s="48"/>
      <c r="AT683" s="48"/>
      <c r="AU683" s="48"/>
      <c r="AV683" s="48"/>
      <c r="AW683" s="48"/>
      <c r="AX683" s="48"/>
      <c r="AY683" s="48"/>
      <c r="AZ683" s="48"/>
      <c r="BA683" s="48"/>
      <c r="BB683" s="48"/>
      <c r="BC683" s="48"/>
      <c r="BD683" s="48"/>
      <c r="BE683" s="48"/>
      <c r="BF683" s="48"/>
      <c r="BG683" s="48"/>
      <c r="BH683" s="48"/>
      <c r="BI683" s="48"/>
      <c r="BJ683" s="48"/>
      <c r="BK683" s="48"/>
      <c r="BL683" s="48"/>
      <c r="BM683" s="48"/>
      <c r="BN683" s="48"/>
      <c r="BO683" s="48"/>
      <c r="BP683" s="48"/>
      <c r="BQ683" s="48"/>
      <c r="BR683" s="48"/>
      <c r="BS683" s="48"/>
      <c r="BT683" s="48"/>
      <c r="BU683" s="48"/>
      <c r="BV683" s="48"/>
      <c r="BW683" s="48"/>
      <c r="BX683" s="111"/>
    </row>
    <row r="684" spans="1:76">
      <c r="A684" s="37"/>
      <c r="B684" s="37"/>
      <c r="C684" s="37"/>
      <c r="D684" s="37" t="s">
        <v>1630</v>
      </c>
      <c r="E684" s="37"/>
      <c r="F684" s="37"/>
      <c r="G684" s="59">
        <f>227+152</f>
        <v>379</v>
      </c>
      <c r="H684" s="59">
        <f>240+47</f>
        <v>287</v>
      </c>
      <c r="I684" s="59">
        <f>242+63</f>
        <v>305</v>
      </c>
      <c r="J684" s="59">
        <f>168+103</f>
        <v>271</v>
      </c>
      <c r="K684" s="59">
        <f>36+88</f>
        <v>124</v>
      </c>
      <c r="L684" s="59">
        <f>16+80</f>
        <v>96</v>
      </c>
      <c r="M684" s="59">
        <f>5+97</f>
        <v>102</v>
      </c>
      <c r="N684" s="59">
        <f>0+110</f>
        <v>110</v>
      </c>
      <c r="O684" s="36"/>
      <c r="P684" s="48"/>
      <c r="Q684" s="48"/>
      <c r="R684" s="48"/>
      <c r="S684" s="48"/>
      <c r="T684" s="48"/>
      <c r="U684" s="48"/>
      <c r="V684" s="48"/>
      <c r="W684" s="48"/>
      <c r="X684" s="48"/>
      <c r="Y684" s="48"/>
      <c r="Z684" s="48"/>
      <c r="AA684" s="48"/>
      <c r="AB684" s="48"/>
      <c r="AC684" s="48"/>
      <c r="AD684" s="48"/>
      <c r="AE684" s="48"/>
      <c r="AF684" s="48"/>
      <c r="AG684" s="48"/>
      <c r="AH684" s="48"/>
      <c r="AI684" s="48"/>
      <c r="AJ684" s="48"/>
      <c r="AK684" s="48"/>
      <c r="AL684" s="48"/>
      <c r="AM684" s="48"/>
      <c r="AN684" s="48"/>
      <c r="AO684" s="48"/>
      <c r="AP684" s="48"/>
      <c r="AQ684" s="48"/>
      <c r="AR684" s="48"/>
      <c r="AS684" s="48"/>
      <c r="AT684" s="48"/>
      <c r="AU684" s="48"/>
      <c r="AV684" s="48"/>
      <c r="AW684" s="48"/>
      <c r="AX684" s="48"/>
      <c r="AY684" s="48"/>
      <c r="AZ684" s="48"/>
      <c r="BA684" s="48"/>
      <c r="BB684" s="48"/>
      <c r="BC684" s="48"/>
      <c r="BD684" s="48"/>
      <c r="BE684" s="48"/>
      <c r="BF684" s="48"/>
      <c r="BG684" s="48"/>
      <c r="BH684" s="48"/>
      <c r="BI684" s="48"/>
      <c r="BJ684" s="48"/>
      <c r="BK684" s="48"/>
      <c r="BL684" s="48"/>
      <c r="BM684" s="48"/>
      <c r="BN684" s="48"/>
      <c r="BO684" s="48"/>
      <c r="BP684" s="48"/>
      <c r="BQ684" s="48"/>
      <c r="BR684" s="48"/>
      <c r="BS684" s="48"/>
      <c r="BT684" s="48"/>
      <c r="BU684" s="48"/>
      <c r="BV684" s="48"/>
      <c r="BW684" s="48"/>
      <c r="BX684" s="111"/>
    </row>
    <row r="685" spans="1:76">
      <c r="A685" s="37"/>
      <c r="B685" s="37"/>
      <c r="C685" s="37"/>
      <c r="D685" s="37" t="s">
        <v>1223</v>
      </c>
      <c r="E685" s="37"/>
      <c r="F685" s="37"/>
      <c r="G685" s="59">
        <f>-56-36+3+11</f>
        <v>-78</v>
      </c>
      <c r="H685" s="59">
        <f>-46-30+3+6-1</f>
        <v>-68</v>
      </c>
      <c r="I685" s="59">
        <f>-44-3+3+7</f>
        <v>-37</v>
      </c>
      <c r="J685" s="59">
        <f>-32-3+8</f>
        <v>-27</v>
      </c>
      <c r="K685" s="59">
        <f>-21-4</f>
        <v>-25</v>
      </c>
      <c r="L685" s="59">
        <f>-23-16</f>
        <v>-39</v>
      </c>
      <c r="M685" s="59">
        <f>-18-16</f>
        <v>-34</v>
      </c>
      <c r="N685" s="59">
        <f>-18-19</f>
        <v>-37</v>
      </c>
      <c r="O685" s="36"/>
      <c r="P685" s="48"/>
      <c r="Q685" s="48"/>
      <c r="R685" s="48"/>
      <c r="S685" s="48"/>
      <c r="T685" s="48"/>
      <c r="U685" s="48"/>
      <c r="V685" s="48"/>
      <c r="W685" s="48"/>
      <c r="X685" s="48"/>
      <c r="Y685" s="48"/>
      <c r="Z685" s="48"/>
      <c r="AA685" s="48"/>
      <c r="AB685" s="48"/>
      <c r="AC685" s="48"/>
      <c r="AD685" s="48"/>
      <c r="AE685" s="48"/>
      <c r="AF685" s="48"/>
      <c r="AG685" s="48"/>
      <c r="AH685" s="48"/>
      <c r="AI685" s="48"/>
      <c r="AJ685" s="48"/>
      <c r="AK685" s="48"/>
      <c r="AL685" s="48"/>
      <c r="AM685" s="48"/>
      <c r="AN685" s="48"/>
      <c r="AO685" s="48"/>
      <c r="AP685" s="48"/>
      <c r="AQ685" s="48"/>
      <c r="AR685" s="48"/>
      <c r="AS685" s="48"/>
      <c r="AT685" s="48"/>
      <c r="AU685" s="48"/>
      <c r="AV685" s="48"/>
      <c r="AW685" s="48"/>
      <c r="AX685" s="48"/>
      <c r="AY685" s="48"/>
      <c r="AZ685" s="48"/>
      <c r="BA685" s="48"/>
      <c r="BB685" s="48"/>
      <c r="BC685" s="48"/>
      <c r="BD685" s="48"/>
      <c r="BE685" s="48"/>
      <c r="BF685" s="48"/>
      <c r="BG685" s="48"/>
      <c r="BH685" s="48"/>
      <c r="BI685" s="48"/>
      <c r="BJ685" s="48"/>
      <c r="BK685" s="48"/>
      <c r="BL685" s="48"/>
      <c r="BM685" s="48"/>
      <c r="BN685" s="48"/>
      <c r="BO685" s="48"/>
      <c r="BP685" s="48"/>
      <c r="BQ685" s="48"/>
      <c r="BR685" s="48"/>
      <c r="BS685" s="48"/>
      <c r="BT685" s="48"/>
      <c r="BU685" s="48"/>
      <c r="BV685" s="48"/>
      <c r="BW685" s="48"/>
      <c r="BX685" s="111"/>
    </row>
    <row r="686" spans="1:76">
      <c r="A686" s="37"/>
      <c r="B686" s="37"/>
      <c r="C686" s="37"/>
      <c r="D686" s="37" t="s">
        <v>1781</v>
      </c>
      <c r="E686" s="37"/>
      <c r="F686" s="37"/>
      <c r="G686" s="59"/>
      <c r="H686" s="59"/>
      <c r="I686" s="59"/>
      <c r="J686" s="59"/>
      <c r="K686" s="59"/>
      <c r="L686" s="59"/>
      <c r="M686" s="59"/>
      <c r="N686" s="59"/>
      <c r="O686" s="36"/>
      <c r="P686" s="48"/>
      <c r="Q686" s="48"/>
      <c r="R686" s="48"/>
      <c r="S686" s="48"/>
      <c r="T686" s="48"/>
      <c r="U686" s="48"/>
      <c r="V686" s="48"/>
      <c r="W686" s="48"/>
      <c r="X686" s="48"/>
      <c r="Y686" s="48"/>
      <c r="Z686" s="48"/>
      <c r="AA686" s="48"/>
      <c r="AB686" s="48"/>
      <c r="AC686" s="48"/>
      <c r="AD686" s="48"/>
      <c r="AE686" s="48"/>
      <c r="AF686" s="48"/>
      <c r="AG686" s="48"/>
      <c r="AH686" s="48"/>
      <c r="AI686" s="48"/>
      <c r="AJ686" s="48"/>
      <c r="AK686" s="48"/>
      <c r="AL686" s="48"/>
      <c r="AM686" s="48"/>
      <c r="AN686" s="48"/>
      <c r="AO686" s="48"/>
      <c r="AP686" s="48"/>
      <c r="AQ686" s="48"/>
      <c r="AR686" s="48"/>
      <c r="AS686" s="48"/>
      <c r="AT686" s="48"/>
      <c r="AU686" s="48"/>
      <c r="AV686" s="48"/>
      <c r="AW686" s="48"/>
      <c r="AX686" s="48"/>
      <c r="AY686" s="48"/>
      <c r="AZ686" s="48"/>
      <c r="BA686" s="48"/>
      <c r="BB686" s="48"/>
      <c r="BC686" s="48"/>
      <c r="BD686" s="48"/>
      <c r="BE686" s="48"/>
      <c r="BF686" s="48"/>
      <c r="BG686" s="48"/>
      <c r="BH686" s="48"/>
      <c r="BI686" s="48"/>
      <c r="BJ686" s="48"/>
      <c r="BK686" s="48"/>
      <c r="BL686" s="48"/>
      <c r="BM686" s="48"/>
      <c r="BN686" s="48"/>
      <c r="BO686" s="48"/>
      <c r="BP686" s="48"/>
      <c r="BQ686" s="48"/>
      <c r="BR686" s="48"/>
      <c r="BS686" s="48"/>
      <c r="BT686" s="48"/>
      <c r="BU686" s="48"/>
      <c r="BV686" s="48"/>
      <c r="BW686" s="48"/>
      <c r="BX686" s="111"/>
    </row>
    <row r="687" spans="1:76">
      <c r="A687" s="37"/>
      <c r="B687" s="37"/>
      <c r="C687" s="37"/>
      <c r="D687" s="37" t="s">
        <v>223</v>
      </c>
      <c r="E687" s="37"/>
      <c r="F687" s="37"/>
      <c r="G687" s="59">
        <v>0</v>
      </c>
      <c r="H687" s="59">
        <f>1+0</f>
        <v>1</v>
      </c>
      <c r="I687" s="59"/>
      <c r="J687" s="59">
        <v>0</v>
      </c>
      <c r="K687" s="59">
        <f>0+7</f>
        <v>7</v>
      </c>
      <c r="L687" s="59">
        <f>1+27</f>
        <v>28</v>
      </c>
      <c r="M687" s="59">
        <f>2+26</f>
        <v>28</v>
      </c>
      <c r="N687" s="59">
        <f>4+28</f>
        <v>32</v>
      </c>
      <c r="O687" s="36"/>
      <c r="P687" s="48"/>
      <c r="Q687" s="48"/>
      <c r="R687" s="48"/>
      <c r="S687" s="48"/>
      <c r="T687" s="48"/>
      <c r="U687" s="48"/>
      <c r="V687" s="48"/>
      <c r="W687" s="48"/>
      <c r="X687" s="48"/>
      <c r="Y687" s="48"/>
      <c r="Z687" s="48"/>
      <c r="AA687" s="48"/>
      <c r="AB687" s="48"/>
      <c r="AC687" s="48"/>
      <c r="AD687" s="48"/>
      <c r="AE687" s="48"/>
      <c r="AF687" s="48"/>
      <c r="AG687" s="48"/>
      <c r="AH687" s="48"/>
      <c r="AI687" s="48"/>
      <c r="AJ687" s="48"/>
      <c r="AK687" s="48"/>
      <c r="AL687" s="48"/>
      <c r="AM687" s="48"/>
      <c r="AN687" s="48"/>
      <c r="AO687" s="48"/>
      <c r="AP687" s="48"/>
      <c r="AQ687" s="48"/>
      <c r="AR687" s="48"/>
      <c r="AS687" s="48"/>
      <c r="AT687" s="48"/>
      <c r="AU687" s="48"/>
      <c r="AV687" s="48"/>
      <c r="AW687" s="48"/>
      <c r="AX687" s="48"/>
      <c r="AY687" s="48"/>
      <c r="AZ687" s="48"/>
      <c r="BA687" s="48"/>
      <c r="BB687" s="48"/>
      <c r="BC687" s="48"/>
      <c r="BD687" s="48"/>
      <c r="BE687" s="48"/>
      <c r="BF687" s="48"/>
      <c r="BG687" s="48"/>
      <c r="BH687" s="48"/>
      <c r="BI687" s="48"/>
      <c r="BJ687" s="48"/>
      <c r="BK687" s="48"/>
      <c r="BL687" s="48"/>
      <c r="BM687" s="48"/>
      <c r="BN687" s="48"/>
      <c r="BO687" s="48"/>
      <c r="BP687" s="48"/>
      <c r="BQ687" s="48"/>
      <c r="BR687" s="48"/>
      <c r="BS687" s="48"/>
      <c r="BT687" s="48"/>
      <c r="BU687" s="48"/>
      <c r="BV687" s="48"/>
      <c r="BW687" s="48"/>
      <c r="BX687" s="111"/>
    </row>
    <row r="688" spans="1:76">
      <c r="A688" s="71"/>
      <c r="B688" s="71"/>
      <c r="C688" s="71"/>
      <c r="D688" s="71" t="s">
        <v>1150</v>
      </c>
      <c r="E688" s="71"/>
      <c r="F688" s="71"/>
      <c r="G688" s="94">
        <v>7.2499999999999995E-2</v>
      </c>
      <c r="H688" s="94">
        <v>6.5000000000000002E-2</v>
      </c>
      <c r="I688" s="94">
        <v>7.2499999999999995E-2</v>
      </c>
      <c r="J688" s="94">
        <v>7.2499999999999995E-2</v>
      </c>
      <c r="K688" s="94">
        <v>0.06</v>
      </c>
      <c r="L688" s="94">
        <v>5.8599999999999999E-2</v>
      </c>
      <c r="M688" s="94">
        <v>5.9900000000000002E-2</v>
      </c>
      <c r="N688" s="94">
        <v>5.5100000000000003E-2</v>
      </c>
      <c r="O688" s="22"/>
      <c r="P688" s="72"/>
      <c r="Q688" s="72"/>
      <c r="R688" s="72"/>
      <c r="S688" s="72"/>
      <c r="T688" s="72"/>
      <c r="U688" s="72"/>
      <c r="V688" s="72"/>
      <c r="W688" s="72"/>
      <c r="X688" s="72"/>
      <c r="Y688" s="72"/>
      <c r="Z688" s="72"/>
      <c r="AA688" s="72"/>
      <c r="AB688" s="72"/>
      <c r="AC688" s="72"/>
      <c r="AD688" s="72"/>
      <c r="AE688" s="72"/>
      <c r="AF688" s="72"/>
      <c r="AG688" s="72"/>
      <c r="AH688" s="72"/>
      <c r="AI688" s="72"/>
      <c r="AJ688" s="72"/>
      <c r="AK688" s="72"/>
      <c r="AL688" s="72"/>
      <c r="AM688" s="72"/>
      <c r="AN688" s="72"/>
      <c r="AO688" s="72"/>
      <c r="AP688" s="72"/>
      <c r="AQ688" s="72"/>
      <c r="AR688" s="72"/>
      <c r="AS688" s="72"/>
      <c r="AT688" s="72"/>
      <c r="AU688" s="72"/>
      <c r="AV688" s="72"/>
      <c r="AW688" s="72"/>
      <c r="AX688" s="72"/>
      <c r="AY688" s="72"/>
      <c r="AZ688" s="72"/>
      <c r="BA688" s="72"/>
      <c r="BB688" s="72"/>
      <c r="BC688" s="72"/>
      <c r="BD688" s="72"/>
      <c r="BE688" s="72"/>
      <c r="BF688" s="72"/>
      <c r="BG688" s="72"/>
      <c r="BH688" s="72"/>
      <c r="BI688" s="72"/>
      <c r="BJ688" s="72"/>
      <c r="BK688" s="72"/>
      <c r="BL688" s="72"/>
      <c r="BM688" s="72"/>
      <c r="BN688" s="72"/>
      <c r="BO688" s="72"/>
      <c r="BP688" s="72"/>
      <c r="BQ688" s="72"/>
      <c r="BR688" s="72"/>
      <c r="BS688" s="72"/>
      <c r="BT688" s="72"/>
      <c r="BU688" s="72"/>
      <c r="BV688" s="72"/>
      <c r="BW688" s="72"/>
      <c r="BX688" s="114"/>
    </row>
    <row r="689" spans="1:76">
      <c r="A689" s="71"/>
      <c r="B689" s="71"/>
      <c r="C689" s="71"/>
      <c r="D689" s="71" t="s">
        <v>1684</v>
      </c>
      <c r="E689" s="71"/>
      <c r="F689" s="71"/>
      <c r="G689" s="94">
        <v>9.7500000000000003E-2</v>
      </c>
      <c r="H689" s="94">
        <v>9.7500000000000003E-2</v>
      </c>
      <c r="I689" s="94">
        <v>7.0000000000000007E-2</v>
      </c>
      <c r="J689" s="94">
        <v>7.0000000000000007E-2</v>
      </c>
      <c r="K689" s="94">
        <v>7.0000000000000007E-2</v>
      </c>
      <c r="L689" s="94">
        <f>+L763</f>
        <v>0.06</v>
      </c>
      <c r="M689" s="94">
        <f>+M763</f>
        <v>0.06</v>
      </c>
      <c r="N689" s="94">
        <f>+N763</f>
        <v>0.06</v>
      </c>
      <c r="O689" s="22"/>
      <c r="P689" s="72"/>
      <c r="Q689" s="72"/>
      <c r="R689" s="72"/>
      <c r="S689" s="72"/>
      <c r="T689" s="72"/>
      <c r="U689" s="72"/>
      <c r="V689" s="72"/>
      <c r="W689" s="72"/>
      <c r="X689" s="72"/>
      <c r="Y689" s="72"/>
      <c r="Z689" s="72"/>
      <c r="AA689" s="72"/>
      <c r="AB689" s="72"/>
      <c r="AC689" s="72"/>
      <c r="AD689" s="72"/>
      <c r="AE689" s="72"/>
      <c r="AF689" s="72"/>
      <c r="AG689" s="72"/>
      <c r="AH689" s="72"/>
      <c r="AI689" s="72"/>
      <c r="AJ689" s="72"/>
      <c r="AK689" s="72"/>
      <c r="AL689" s="72"/>
      <c r="AM689" s="72"/>
      <c r="AN689" s="72"/>
      <c r="AO689" s="72"/>
      <c r="AP689" s="72"/>
      <c r="AQ689" s="72"/>
      <c r="AR689" s="72"/>
      <c r="AS689" s="72"/>
      <c r="AT689" s="72"/>
      <c r="AU689" s="72"/>
      <c r="AV689" s="72"/>
      <c r="AW689" s="72"/>
      <c r="AX689" s="72"/>
      <c r="AY689" s="72"/>
      <c r="AZ689" s="72"/>
      <c r="BA689" s="72"/>
      <c r="BB689" s="72"/>
      <c r="BC689" s="72"/>
      <c r="BD689" s="72"/>
      <c r="BE689" s="72"/>
      <c r="BF689" s="72"/>
      <c r="BG689" s="72"/>
      <c r="BH689" s="72"/>
      <c r="BI689" s="72"/>
      <c r="BJ689" s="72"/>
      <c r="BK689" s="72"/>
      <c r="BL689" s="72"/>
      <c r="BM689" s="72"/>
      <c r="BN689" s="72"/>
      <c r="BO689" s="72"/>
      <c r="BP689" s="72"/>
      <c r="BQ689" s="72"/>
      <c r="BR689" s="72"/>
      <c r="BS689" s="72"/>
      <c r="BT689" s="72"/>
      <c r="BU689" s="72"/>
      <c r="BV689" s="72"/>
      <c r="BW689" s="72"/>
      <c r="BX689" s="114"/>
    </row>
    <row r="690" spans="1:76">
      <c r="A690" s="71"/>
      <c r="B690" s="71"/>
      <c r="C690" s="71"/>
      <c r="D690" s="71" t="s">
        <v>2074</v>
      </c>
      <c r="E690" s="71"/>
      <c r="F690" s="71"/>
      <c r="G690" s="94">
        <v>0.05</v>
      </c>
      <c r="H690" s="94">
        <v>0.05</v>
      </c>
      <c r="I690" s="94"/>
      <c r="J690" s="94"/>
      <c r="K690" s="94"/>
      <c r="L690" s="94"/>
      <c r="M690" s="94"/>
      <c r="N690" s="94"/>
      <c r="O690" s="22"/>
      <c r="P690" s="72"/>
      <c r="Q690" s="72"/>
      <c r="R690" s="72"/>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114"/>
    </row>
    <row r="691" spans="1:76">
      <c r="A691" s="37"/>
      <c r="B691" s="37"/>
      <c r="C691" s="37" t="s">
        <v>2075</v>
      </c>
      <c r="D691" s="37"/>
      <c r="E691" s="37"/>
      <c r="F691" s="37"/>
      <c r="G691" s="59"/>
      <c r="H691" s="59"/>
      <c r="I691" s="59"/>
      <c r="J691" s="59"/>
      <c r="K691" s="59"/>
      <c r="L691" s="59"/>
      <c r="M691" s="59"/>
      <c r="N691" s="59"/>
      <c r="O691" s="36"/>
      <c r="P691" s="48"/>
      <c r="Q691" s="48"/>
      <c r="R691" s="48"/>
      <c r="S691" s="48"/>
      <c r="T691" s="48"/>
      <c r="U691" s="48"/>
      <c r="V691" s="48"/>
      <c r="W691" s="48"/>
      <c r="X691" s="48"/>
      <c r="Y691" s="48"/>
      <c r="Z691" s="48"/>
      <c r="AA691" s="48"/>
      <c r="AB691" s="48"/>
      <c r="AC691" s="48"/>
      <c r="AD691" s="48"/>
      <c r="AE691" s="48"/>
      <c r="AF691" s="48"/>
      <c r="AG691" s="48"/>
      <c r="AH691" s="48"/>
      <c r="AI691" s="48"/>
      <c r="AJ691" s="48"/>
      <c r="AK691" s="48"/>
      <c r="AL691" s="48"/>
      <c r="AM691" s="48"/>
      <c r="AN691" s="48"/>
      <c r="AO691" s="48"/>
      <c r="AP691" s="48"/>
      <c r="AQ691" s="48"/>
      <c r="AR691" s="48"/>
      <c r="AS691" s="48"/>
      <c r="AT691" s="48"/>
      <c r="AU691" s="48"/>
      <c r="AV691" s="48"/>
      <c r="AW691" s="48"/>
      <c r="AX691" s="48"/>
      <c r="AY691" s="48"/>
      <c r="AZ691" s="48"/>
      <c r="BA691" s="48"/>
      <c r="BB691" s="48"/>
      <c r="BC691" s="48"/>
      <c r="BD691" s="48"/>
      <c r="BE691" s="48"/>
      <c r="BF691" s="48"/>
      <c r="BG691" s="48"/>
      <c r="BH691" s="48"/>
      <c r="BI691" s="48"/>
      <c r="BJ691" s="48"/>
      <c r="BK691" s="48"/>
      <c r="BL691" s="48"/>
      <c r="BM691" s="48"/>
      <c r="BN691" s="48"/>
      <c r="BO691" s="48"/>
      <c r="BP691" s="48"/>
      <c r="BQ691" s="48"/>
      <c r="BR691" s="48"/>
      <c r="BS691" s="48"/>
      <c r="BT691" s="48"/>
      <c r="BU691" s="48"/>
      <c r="BV691" s="48"/>
      <c r="BW691" s="48"/>
      <c r="BX691" s="111"/>
    </row>
    <row r="692" spans="1:76">
      <c r="A692" s="37"/>
      <c r="B692" s="37"/>
      <c r="C692" s="37"/>
      <c r="D692" s="37" t="s">
        <v>25</v>
      </c>
      <c r="E692" s="37"/>
      <c r="F692" s="37"/>
      <c r="G692" s="39" t="str">
        <f t="shared" ref="G692:N692" si="97">IF(AND(OR(ISTEXT(G693), ISBLANK(G693)),OR(ISTEXT(G694), ISBLANK(G694)),OR(ISTEXT(G695), ISBLANK(G695)),OR(ISTEXT(G696), ISBLANK(G696)),OR(ISTEXT(G697), ISBLANK(G697)),OR(ISTEXT(G698), ISBLANK(G698)),OR(ISTEXT(G699), ISBLANK(G699)),TRUE),"", +IF(ISTEXT(G693), 0,G693)+IF(ISTEXT(G694), 0,G694)-IF(ISTEXT(G695), 0,G695)+IF(ISTEXT(G696), 0,G696)-IF(ISTEXT(G697), 0,G697)+IF(ISTEXT(G698), 0,G698)+IF(ISTEXT(G699), 0,G699))</f>
        <v/>
      </c>
      <c r="H692" s="39" t="str">
        <f t="shared" si="97"/>
        <v/>
      </c>
      <c r="I692" s="39" t="str">
        <f t="shared" si="97"/>
        <v/>
      </c>
      <c r="J692" s="39" t="str">
        <f t="shared" si="97"/>
        <v/>
      </c>
      <c r="K692" s="39" t="str">
        <f t="shared" si="97"/>
        <v/>
      </c>
      <c r="L692" s="39" t="str">
        <f t="shared" si="97"/>
        <v/>
      </c>
      <c r="M692" s="39" t="str">
        <f t="shared" si="97"/>
        <v/>
      </c>
      <c r="N692" s="39" t="str">
        <f t="shared" si="97"/>
        <v/>
      </c>
      <c r="O692" s="36"/>
      <c r="P692" s="48"/>
      <c r="Q692" s="48"/>
      <c r="R692" s="48"/>
      <c r="S692" s="48"/>
      <c r="T692" s="48"/>
      <c r="U692" s="48"/>
      <c r="V692" s="48"/>
      <c r="W692" s="48"/>
      <c r="X692" s="48"/>
      <c r="Y692" s="48"/>
      <c r="Z692" s="48"/>
      <c r="AA692" s="48"/>
      <c r="AB692" s="48"/>
      <c r="AC692" s="48"/>
      <c r="AD692" s="48"/>
      <c r="AE692" s="48"/>
      <c r="AF692" s="48"/>
      <c r="AG692" s="48"/>
      <c r="AH692" s="48"/>
      <c r="AI692" s="48"/>
      <c r="AJ692" s="48"/>
      <c r="AK692" s="48"/>
      <c r="AL692" s="48"/>
      <c r="AM692" s="48"/>
      <c r="AN692" s="48"/>
      <c r="AO692" s="48"/>
      <c r="AP692" s="48"/>
      <c r="AQ692" s="48"/>
      <c r="AR692" s="48"/>
      <c r="AS692" s="48"/>
      <c r="AT692" s="48"/>
      <c r="AU692" s="48"/>
      <c r="AV692" s="48"/>
      <c r="AW692" s="48"/>
      <c r="AX692" s="48"/>
      <c r="AY692" s="48"/>
      <c r="AZ692" s="48"/>
      <c r="BA692" s="48"/>
      <c r="BB692" s="48"/>
      <c r="BC692" s="48"/>
      <c r="BD692" s="48"/>
      <c r="BE692" s="48"/>
      <c r="BF692" s="48"/>
      <c r="BG692" s="48"/>
      <c r="BH692" s="48"/>
      <c r="BI692" s="48"/>
      <c r="BJ692" s="48"/>
      <c r="BK692" s="48"/>
      <c r="BL692" s="48"/>
      <c r="BM692" s="48"/>
      <c r="BN692" s="48"/>
      <c r="BO692" s="48"/>
      <c r="BP692" s="48"/>
      <c r="BQ692" s="48"/>
      <c r="BR692" s="48"/>
      <c r="BS692" s="48"/>
      <c r="BT692" s="48"/>
      <c r="BU692" s="48"/>
      <c r="BV692" s="48"/>
      <c r="BW692" s="48"/>
      <c r="BX692" s="111"/>
    </row>
    <row r="693" spans="1:76">
      <c r="A693" s="37"/>
      <c r="B693" s="37"/>
      <c r="C693" s="37"/>
      <c r="D693" s="37"/>
      <c r="E693" s="37" t="s">
        <v>104</v>
      </c>
      <c r="F693" s="37"/>
      <c r="G693" s="59"/>
      <c r="H693" s="59"/>
      <c r="I693" s="59"/>
      <c r="J693" s="59"/>
      <c r="K693" s="59"/>
      <c r="L693" s="59"/>
      <c r="M693" s="59"/>
      <c r="N693" s="59"/>
      <c r="O693" s="36"/>
      <c r="P693" s="48"/>
      <c r="Q693" s="48"/>
      <c r="R693" s="48"/>
      <c r="S693" s="48"/>
      <c r="T693" s="48"/>
      <c r="U693" s="48"/>
      <c r="V693" s="48"/>
      <c r="W693" s="48"/>
      <c r="X693" s="48"/>
      <c r="Y693" s="48"/>
      <c r="Z693" s="48"/>
      <c r="AA693" s="48"/>
      <c r="AB693" s="48"/>
      <c r="AC693" s="48"/>
      <c r="AD693" s="48"/>
      <c r="AE693" s="48"/>
      <c r="AF693" s="48"/>
      <c r="AG693" s="48"/>
      <c r="AH693" s="48"/>
      <c r="AI693" s="48"/>
      <c r="AJ693" s="48"/>
      <c r="AK693" s="48"/>
      <c r="AL693" s="48"/>
      <c r="AM693" s="48"/>
      <c r="AN693" s="48"/>
      <c r="AO693" s="48"/>
      <c r="AP693" s="48"/>
      <c r="AQ693" s="48"/>
      <c r="AR693" s="48"/>
      <c r="AS693" s="48"/>
      <c r="AT693" s="48"/>
      <c r="AU693" s="48"/>
      <c r="AV693" s="48"/>
      <c r="AW693" s="48"/>
      <c r="AX693" s="48"/>
      <c r="AY693" s="48"/>
      <c r="AZ693" s="48"/>
      <c r="BA693" s="48"/>
      <c r="BB693" s="48"/>
      <c r="BC693" s="48"/>
      <c r="BD693" s="48"/>
      <c r="BE693" s="48"/>
      <c r="BF693" s="48"/>
      <c r="BG693" s="48"/>
      <c r="BH693" s="48"/>
      <c r="BI693" s="48"/>
      <c r="BJ693" s="48"/>
      <c r="BK693" s="48"/>
      <c r="BL693" s="48"/>
      <c r="BM693" s="48"/>
      <c r="BN693" s="48"/>
      <c r="BO693" s="48"/>
      <c r="BP693" s="48"/>
      <c r="BQ693" s="48"/>
      <c r="BR693" s="48"/>
      <c r="BS693" s="48"/>
      <c r="BT693" s="48"/>
      <c r="BU693" s="48"/>
      <c r="BV693" s="48"/>
      <c r="BW693" s="48"/>
      <c r="BX693" s="111"/>
    </row>
    <row r="694" spans="1:76">
      <c r="A694" s="37"/>
      <c r="B694" s="37"/>
      <c r="C694" s="37"/>
      <c r="D694" s="37"/>
      <c r="E694" s="37" t="s">
        <v>2131</v>
      </c>
      <c r="F694" s="37"/>
      <c r="G694" s="59"/>
      <c r="H694" s="59"/>
      <c r="I694" s="59"/>
      <c r="J694" s="59"/>
      <c r="K694" s="59"/>
      <c r="L694" s="59"/>
      <c r="M694" s="59"/>
      <c r="N694" s="59"/>
      <c r="O694" s="36"/>
      <c r="P694" s="48"/>
      <c r="Q694" s="48"/>
      <c r="R694" s="48"/>
      <c r="S694" s="48"/>
      <c r="T694" s="48"/>
      <c r="U694" s="48"/>
      <c r="V694" s="48"/>
      <c r="W694" s="48"/>
      <c r="X694" s="48"/>
      <c r="Y694" s="48"/>
      <c r="Z694" s="48"/>
      <c r="AA694" s="48"/>
      <c r="AB694" s="48"/>
      <c r="AC694" s="48"/>
      <c r="AD694" s="48"/>
      <c r="AE694" s="48"/>
      <c r="AF694" s="48"/>
      <c r="AG694" s="48"/>
      <c r="AH694" s="48"/>
      <c r="AI694" s="48"/>
      <c r="AJ694" s="48"/>
      <c r="AK694" s="48"/>
      <c r="AL694" s="48"/>
      <c r="AM694" s="48"/>
      <c r="AN694" s="48"/>
      <c r="AO694" s="48"/>
      <c r="AP694" s="48"/>
      <c r="AQ694" s="48"/>
      <c r="AR694" s="48"/>
      <c r="AS694" s="48"/>
      <c r="AT694" s="48"/>
      <c r="AU694" s="48"/>
      <c r="AV694" s="48"/>
      <c r="AW694" s="48"/>
      <c r="AX694" s="48"/>
      <c r="AY694" s="48"/>
      <c r="AZ694" s="48"/>
      <c r="BA694" s="48"/>
      <c r="BB694" s="48"/>
      <c r="BC694" s="48"/>
      <c r="BD694" s="48"/>
      <c r="BE694" s="48"/>
      <c r="BF694" s="48"/>
      <c r="BG694" s="48"/>
      <c r="BH694" s="48"/>
      <c r="BI694" s="48"/>
      <c r="BJ694" s="48"/>
      <c r="BK694" s="48"/>
      <c r="BL694" s="48"/>
      <c r="BM694" s="48"/>
      <c r="BN694" s="48"/>
      <c r="BO694" s="48"/>
      <c r="BP694" s="48"/>
      <c r="BQ694" s="48"/>
      <c r="BR694" s="48"/>
      <c r="BS694" s="48"/>
      <c r="BT694" s="48"/>
      <c r="BU694" s="48"/>
      <c r="BV694" s="48"/>
      <c r="BW694" s="48"/>
      <c r="BX694" s="111"/>
    </row>
    <row r="695" spans="1:76">
      <c r="A695" s="37"/>
      <c r="B695" s="37"/>
      <c r="C695" s="37"/>
      <c r="D695" s="37"/>
      <c r="E695" s="37" t="s">
        <v>1780</v>
      </c>
      <c r="F695" s="37"/>
      <c r="G695" s="59"/>
      <c r="H695" s="59"/>
      <c r="I695" s="59"/>
      <c r="J695" s="59"/>
      <c r="K695" s="59"/>
      <c r="L695" s="59"/>
      <c r="M695" s="59"/>
      <c r="N695" s="59"/>
      <c r="O695" s="36"/>
      <c r="P695" s="48"/>
      <c r="Q695" s="48"/>
      <c r="R695" s="48"/>
      <c r="S695" s="48"/>
      <c r="T695" s="48"/>
      <c r="U695" s="48"/>
      <c r="V695" s="48"/>
      <c r="W695" s="48"/>
      <c r="X695" s="48"/>
      <c r="Y695" s="48"/>
      <c r="Z695" s="48"/>
      <c r="AA695" s="48"/>
      <c r="AB695" s="48"/>
      <c r="AC695" s="48"/>
      <c r="AD695" s="48"/>
      <c r="AE695" s="48"/>
      <c r="AF695" s="48"/>
      <c r="AG695" s="48"/>
      <c r="AH695" s="48"/>
      <c r="AI695" s="48"/>
      <c r="AJ695" s="48"/>
      <c r="AK695" s="48"/>
      <c r="AL695" s="48"/>
      <c r="AM695" s="48"/>
      <c r="AN695" s="48"/>
      <c r="AO695" s="48"/>
      <c r="AP695" s="48"/>
      <c r="AQ695" s="48"/>
      <c r="AR695" s="48"/>
      <c r="AS695" s="48"/>
      <c r="AT695" s="48"/>
      <c r="AU695" s="48"/>
      <c r="AV695" s="48"/>
      <c r="AW695" s="48"/>
      <c r="AX695" s="48"/>
      <c r="AY695" s="48"/>
      <c r="AZ695" s="48"/>
      <c r="BA695" s="48"/>
      <c r="BB695" s="48"/>
      <c r="BC695" s="48"/>
      <c r="BD695" s="48"/>
      <c r="BE695" s="48"/>
      <c r="BF695" s="48"/>
      <c r="BG695" s="48"/>
      <c r="BH695" s="48"/>
      <c r="BI695" s="48"/>
      <c r="BJ695" s="48"/>
      <c r="BK695" s="48"/>
      <c r="BL695" s="48"/>
      <c r="BM695" s="48"/>
      <c r="BN695" s="48"/>
      <c r="BO695" s="48"/>
      <c r="BP695" s="48"/>
      <c r="BQ695" s="48"/>
      <c r="BR695" s="48"/>
      <c r="BS695" s="48"/>
      <c r="BT695" s="48"/>
      <c r="BU695" s="48"/>
      <c r="BV695" s="48"/>
      <c r="BW695" s="48"/>
      <c r="BX695" s="111"/>
    </row>
    <row r="696" spans="1:76">
      <c r="A696" s="37"/>
      <c r="B696" s="37"/>
      <c r="C696" s="37"/>
      <c r="D696" s="37"/>
      <c r="E696" s="37" t="s">
        <v>2184</v>
      </c>
      <c r="F696" s="37"/>
      <c r="G696" s="59"/>
      <c r="H696" s="59"/>
      <c r="I696" s="59"/>
      <c r="J696" s="59"/>
      <c r="K696" s="59"/>
      <c r="L696" s="59"/>
      <c r="M696" s="59"/>
      <c r="N696" s="59"/>
      <c r="O696" s="36"/>
      <c r="P696" s="48"/>
      <c r="Q696" s="48"/>
      <c r="R696" s="48"/>
      <c r="S696" s="48"/>
      <c r="T696" s="48"/>
      <c r="U696" s="48"/>
      <c r="V696" s="48"/>
      <c r="W696" s="48"/>
      <c r="X696" s="48"/>
      <c r="Y696" s="48"/>
      <c r="Z696" s="48"/>
      <c r="AA696" s="48"/>
      <c r="AB696" s="48"/>
      <c r="AC696" s="48"/>
      <c r="AD696" s="48"/>
      <c r="AE696" s="48"/>
      <c r="AF696" s="48"/>
      <c r="AG696" s="48"/>
      <c r="AH696" s="48"/>
      <c r="AI696" s="48"/>
      <c r="AJ696" s="48"/>
      <c r="AK696" s="48"/>
      <c r="AL696" s="48"/>
      <c r="AM696" s="48"/>
      <c r="AN696" s="48"/>
      <c r="AO696" s="48"/>
      <c r="AP696" s="48"/>
      <c r="AQ696" s="48"/>
      <c r="AR696" s="48"/>
      <c r="AS696" s="48"/>
      <c r="AT696" s="48"/>
      <c r="AU696" s="48"/>
      <c r="AV696" s="48"/>
      <c r="AW696" s="48"/>
      <c r="AX696" s="48"/>
      <c r="AY696" s="48"/>
      <c r="AZ696" s="48"/>
      <c r="BA696" s="48"/>
      <c r="BB696" s="48"/>
      <c r="BC696" s="48"/>
      <c r="BD696" s="48"/>
      <c r="BE696" s="48"/>
      <c r="BF696" s="48"/>
      <c r="BG696" s="48"/>
      <c r="BH696" s="48"/>
      <c r="BI696" s="48"/>
      <c r="BJ696" s="48"/>
      <c r="BK696" s="48"/>
      <c r="BL696" s="48"/>
      <c r="BM696" s="48"/>
      <c r="BN696" s="48"/>
      <c r="BO696" s="48"/>
      <c r="BP696" s="48"/>
      <c r="BQ696" s="48"/>
      <c r="BR696" s="48"/>
      <c r="BS696" s="48"/>
      <c r="BT696" s="48"/>
      <c r="BU696" s="48"/>
      <c r="BV696" s="48"/>
      <c r="BW696" s="48"/>
      <c r="BX696" s="111"/>
    </row>
    <row r="697" spans="1:76">
      <c r="A697" s="37"/>
      <c r="B697" s="37"/>
      <c r="C697" s="37"/>
      <c r="D697" s="37"/>
      <c r="E697" s="37" t="s">
        <v>89</v>
      </c>
      <c r="F697" s="37"/>
      <c r="G697" s="59"/>
      <c r="H697" s="59"/>
      <c r="I697" s="59"/>
      <c r="J697" s="59"/>
      <c r="K697" s="59"/>
      <c r="L697" s="59"/>
      <c r="M697" s="59"/>
      <c r="N697" s="59"/>
      <c r="O697" s="36"/>
      <c r="P697" s="48"/>
      <c r="Q697" s="48"/>
      <c r="R697" s="48"/>
      <c r="S697" s="48"/>
      <c r="T697" s="48"/>
      <c r="U697" s="48"/>
      <c r="V697" s="48"/>
      <c r="W697" s="48"/>
      <c r="X697" s="48"/>
      <c r="Y697" s="48"/>
      <c r="Z697" s="48"/>
      <c r="AA697" s="48"/>
      <c r="AB697" s="48"/>
      <c r="AC697" s="48"/>
      <c r="AD697" s="48"/>
      <c r="AE697" s="48"/>
      <c r="AF697" s="48"/>
      <c r="AG697" s="48"/>
      <c r="AH697" s="48"/>
      <c r="AI697" s="48"/>
      <c r="AJ697" s="48"/>
      <c r="AK697" s="48"/>
      <c r="AL697" s="48"/>
      <c r="AM697" s="48"/>
      <c r="AN697" s="48"/>
      <c r="AO697" s="48"/>
      <c r="AP697" s="48"/>
      <c r="AQ697" s="48"/>
      <c r="AR697" s="48"/>
      <c r="AS697" s="48"/>
      <c r="AT697" s="48"/>
      <c r="AU697" s="48"/>
      <c r="AV697" s="48"/>
      <c r="AW697" s="48"/>
      <c r="AX697" s="48"/>
      <c r="AY697" s="48"/>
      <c r="AZ697" s="48"/>
      <c r="BA697" s="48"/>
      <c r="BB697" s="48"/>
      <c r="BC697" s="48"/>
      <c r="BD697" s="48"/>
      <c r="BE697" s="48"/>
      <c r="BF697" s="48"/>
      <c r="BG697" s="48"/>
      <c r="BH697" s="48"/>
      <c r="BI697" s="48"/>
      <c r="BJ697" s="48"/>
      <c r="BK697" s="48"/>
      <c r="BL697" s="48"/>
      <c r="BM697" s="48"/>
      <c r="BN697" s="48"/>
      <c r="BO697" s="48"/>
      <c r="BP697" s="48"/>
      <c r="BQ697" s="48"/>
      <c r="BR697" s="48"/>
      <c r="BS697" s="48"/>
      <c r="BT697" s="48"/>
      <c r="BU697" s="48"/>
      <c r="BV697" s="48"/>
      <c r="BW697" s="48"/>
      <c r="BX697" s="111"/>
    </row>
    <row r="698" spans="1:76">
      <c r="A698" s="37"/>
      <c r="B698" s="37"/>
      <c r="C698" s="37"/>
      <c r="D698" s="37"/>
      <c r="E698" s="37" t="s">
        <v>1724</v>
      </c>
      <c r="F698" s="37"/>
      <c r="G698" s="59"/>
      <c r="H698" s="59"/>
      <c r="I698" s="59"/>
      <c r="J698" s="59"/>
      <c r="K698" s="59"/>
      <c r="L698" s="59"/>
      <c r="M698" s="59"/>
      <c r="N698" s="59"/>
      <c r="O698" s="36"/>
      <c r="P698" s="48"/>
      <c r="Q698" s="48"/>
      <c r="R698" s="48"/>
      <c r="S698" s="48"/>
      <c r="T698" s="48"/>
      <c r="U698" s="48"/>
      <c r="V698" s="48"/>
      <c r="W698" s="48"/>
      <c r="X698" s="48"/>
      <c r="Y698" s="48"/>
      <c r="Z698" s="48"/>
      <c r="AA698" s="48"/>
      <c r="AB698" s="48"/>
      <c r="AC698" s="48"/>
      <c r="AD698" s="48"/>
      <c r="AE698" s="48"/>
      <c r="AF698" s="48"/>
      <c r="AG698" s="48"/>
      <c r="AH698" s="48"/>
      <c r="AI698" s="48"/>
      <c r="AJ698" s="48"/>
      <c r="AK698" s="48"/>
      <c r="AL698" s="48"/>
      <c r="AM698" s="48"/>
      <c r="AN698" s="48"/>
      <c r="AO698" s="48"/>
      <c r="AP698" s="48"/>
      <c r="AQ698" s="48"/>
      <c r="AR698" s="48"/>
      <c r="AS698" s="48"/>
      <c r="AT698" s="48"/>
      <c r="AU698" s="48"/>
      <c r="AV698" s="48"/>
      <c r="AW698" s="48"/>
      <c r="AX698" s="48"/>
      <c r="AY698" s="48"/>
      <c r="AZ698" s="48"/>
      <c r="BA698" s="48"/>
      <c r="BB698" s="48"/>
      <c r="BC698" s="48"/>
      <c r="BD698" s="48"/>
      <c r="BE698" s="48"/>
      <c r="BF698" s="48"/>
      <c r="BG698" s="48"/>
      <c r="BH698" s="48"/>
      <c r="BI698" s="48"/>
      <c r="BJ698" s="48"/>
      <c r="BK698" s="48"/>
      <c r="BL698" s="48"/>
      <c r="BM698" s="48"/>
      <c r="BN698" s="48"/>
      <c r="BO698" s="48"/>
      <c r="BP698" s="48"/>
      <c r="BQ698" s="48"/>
      <c r="BR698" s="48"/>
      <c r="BS698" s="48"/>
      <c r="BT698" s="48"/>
      <c r="BU698" s="48"/>
      <c r="BV698" s="48"/>
      <c r="BW698" s="48"/>
      <c r="BX698" s="111"/>
    </row>
    <row r="699" spans="1:76">
      <c r="A699" s="37"/>
      <c r="B699" s="37"/>
      <c r="C699" s="37"/>
      <c r="D699" s="37"/>
      <c r="E699" s="37" t="s">
        <v>1725</v>
      </c>
      <c r="F699" s="37"/>
      <c r="G699" s="59"/>
      <c r="H699" s="59"/>
      <c r="I699" s="59"/>
      <c r="J699" s="59"/>
      <c r="K699" s="59"/>
      <c r="L699" s="59"/>
      <c r="M699" s="59"/>
      <c r="N699" s="59"/>
      <c r="O699" s="36"/>
      <c r="P699" s="48"/>
      <c r="Q699" s="48"/>
      <c r="R699" s="48"/>
      <c r="S699" s="48"/>
      <c r="T699" s="48"/>
      <c r="U699" s="48"/>
      <c r="V699" s="48"/>
      <c r="W699" s="48"/>
      <c r="X699" s="48"/>
      <c r="Y699" s="48"/>
      <c r="Z699" s="48"/>
      <c r="AA699" s="48"/>
      <c r="AB699" s="48"/>
      <c r="AC699" s="48"/>
      <c r="AD699" s="48"/>
      <c r="AE699" s="48"/>
      <c r="AF699" s="48"/>
      <c r="AG699" s="48"/>
      <c r="AH699" s="48"/>
      <c r="AI699" s="48"/>
      <c r="AJ699" s="48"/>
      <c r="AK699" s="48"/>
      <c r="AL699" s="48"/>
      <c r="AM699" s="48"/>
      <c r="AN699" s="48"/>
      <c r="AO699" s="48"/>
      <c r="AP699" s="48"/>
      <c r="AQ699" s="48"/>
      <c r="AR699" s="48"/>
      <c r="AS699" s="48"/>
      <c r="AT699" s="48"/>
      <c r="AU699" s="48"/>
      <c r="AV699" s="48"/>
      <c r="AW699" s="48"/>
      <c r="AX699" s="48"/>
      <c r="AY699" s="48"/>
      <c r="AZ699" s="48"/>
      <c r="BA699" s="48"/>
      <c r="BB699" s="48"/>
      <c r="BC699" s="48"/>
      <c r="BD699" s="48"/>
      <c r="BE699" s="48"/>
      <c r="BF699" s="48"/>
      <c r="BG699" s="48"/>
      <c r="BH699" s="48"/>
      <c r="BI699" s="48"/>
      <c r="BJ699" s="48"/>
      <c r="BK699" s="48"/>
      <c r="BL699" s="48"/>
      <c r="BM699" s="48"/>
      <c r="BN699" s="48"/>
      <c r="BO699" s="48"/>
      <c r="BP699" s="48"/>
      <c r="BQ699" s="48"/>
      <c r="BR699" s="48"/>
      <c r="BS699" s="48"/>
      <c r="BT699" s="48"/>
      <c r="BU699" s="48"/>
      <c r="BV699" s="48"/>
      <c r="BW699" s="48"/>
      <c r="BX699" s="111"/>
    </row>
    <row r="700" spans="1:76">
      <c r="A700" s="37"/>
      <c r="B700" s="37"/>
      <c r="C700" s="37"/>
      <c r="D700" s="37" t="s">
        <v>2160</v>
      </c>
      <c r="E700" s="37"/>
      <c r="F700" s="37"/>
      <c r="G700" s="39" t="str">
        <f t="shared" ref="G700:N700" si="98">IF(AND(OR(ISTEXT(G701), ISBLANK(G701)),OR(ISTEXT(G702), ISBLANK(G702)),TRUE),"", +IF(ISTEXT(G701), 0,G701)-IF(ISTEXT(G702), 0,G702))</f>
        <v/>
      </c>
      <c r="H700" s="39" t="str">
        <f t="shared" si="98"/>
        <v/>
      </c>
      <c r="I700" s="39" t="str">
        <f t="shared" si="98"/>
        <v/>
      </c>
      <c r="J700" s="39" t="str">
        <f t="shared" si="98"/>
        <v/>
      </c>
      <c r="K700" s="39" t="str">
        <f t="shared" si="98"/>
        <v/>
      </c>
      <c r="L700" s="39" t="str">
        <f t="shared" si="98"/>
        <v/>
      </c>
      <c r="M700" s="39" t="str">
        <f t="shared" si="98"/>
        <v/>
      </c>
      <c r="N700" s="39" t="str">
        <f t="shared" si="98"/>
        <v/>
      </c>
      <c r="O700" s="36"/>
      <c r="P700" s="48"/>
      <c r="Q700" s="48"/>
      <c r="R700" s="48"/>
      <c r="S700" s="48"/>
      <c r="T700" s="48"/>
      <c r="U700" s="48"/>
      <c r="V700" s="48"/>
      <c r="W700" s="48"/>
      <c r="X700" s="48"/>
      <c r="Y700" s="48"/>
      <c r="Z700" s="48"/>
      <c r="AA700" s="48"/>
      <c r="AB700" s="48"/>
      <c r="AC700" s="48"/>
      <c r="AD700" s="48"/>
      <c r="AE700" s="48"/>
      <c r="AF700" s="48"/>
      <c r="AG700" s="48"/>
      <c r="AH700" s="48"/>
      <c r="AI700" s="48"/>
      <c r="AJ700" s="48"/>
      <c r="AK700" s="48"/>
      <c r="AL700" s="48"/>
      <c r="AM700" s="48"/>
      <c r="AN700" s="48"/>
      <c r="AO700" s="48"/>
      <c r="AP700" s="48"/>
      <c r="AQ700" s="48"/>
      <c r="AR700" s="48"/>
      <c r="AS700" s="48"/>
      <c r="AT700" s="48"/>
      <c r="AU700" s="48"/>
      <c r="AV700" s="48"/>
      <c r="AW700" s="48"/>
      <c r="AX700" s="48"/>
      <c r="AY700" s="48"/>
      <c r="AZ700" s="48"/>
      <c r="BA700" s="48"/>
      <c r="BB700" s="48"/>
      <c r="BC700" s="48"/>
      <c r="BD700" s="48"/>
      <c r="BE700" s="48"/>
      <c r="BF700" s="48"/>
      <c r="BG700" s="48"/>
      <c r="BH700" s="48"/>
      <c r="BI700" s="48"/>
      <c r="BJ700" s="48"/>
      <c r="BK700" s="48"/>
      <c r="BL700" s="48"/>
      <c r="BM700" s="48"/>
      <c r="BN700" s="48"/>
      <c r="BO700" s="48"/>
      <c r="BP700" s="48"/>
      <c r="BQ700" s="48"/>
      <c r="BR700" s="48"/>
      <c r="BS700" s="48"/>
      <c r="BT700" s="48"/>
      <c r="BU700" s="48"/>
      <c r="BV700" s="48"/>
      <c r="BW700" s="48"/>
      <c r="BX700" s="111"/>
    </row>
    <row r="701" spans="1:76">
      <c r="A701" s="37"/>
      <c r="B701" s="37"/>
      <c r="C701" s="37"/>
      <c r="D701" s="37"/>
      <c r="E701" s="37" t="s">
        <v>1818</v>
      </c>
      <c r="F701" s="37"/>
      <c r="G701" s="59"/>
      <c r="H701" s="59"/>
      <c r="I701" s="59"/>
      <c r="J701" s="59"/>
      <c r="K701" s="59"/>
      <c r="L701" s="59"/>
      <c r="M701" s="59"/>
      <c r="N701" s="59"/>
      <c r="O701" s="36"/>
      <c r="P701" s="48"/>
      <c r="Q701" s="48"/>
      <c r="R701" s="48"/>
      <c r="S701" s="48"/>
      <c r="T701" s="48"/>
      <c r="U701" s="48"/>
      <c r="V701" s="48"/>
      <c r="W701" s="48"/>
      <c r="X701" s="48"/>
      <c r="Y701" s="48"/>
      <c r="Z701" s="48"/>
      <c r="AA701" s="48"/>
      <c r="AB701" s="48"/>
      <c r="AC701" s="48"/>
      <c r="AD701" s="48"/>
      <c r="AE701" s="48"/>
      <c r="AF701" s="48"/>
      <c r="AG701" s="48"/>
      <c r="AH701" s="48"/>
      <c r="AI701" s="48"/>
      <c r="AJ701" s="48"/>
      <c r="AK701" s="48"/>
      <c r="AL701" s="48"/>
      <c r="AM701" s="48"/>
      <c r="AN701" s="48"/>
      <c r="AO701" s="48"/>
      <c r="AP701" s="48"/>
      <c r="AQ701" s="48"/>
      <c r="AR701" s="48"/>
      <c r="AS701" s="48"/>
      <c r="AT701" s="48"/>
      <c r="AU701" s="48"/>
      <c r="AV701" s="48"/>
      <c r="AW701" s="48"/>
      <c r="AX701" s="48"/>
      <c r="AY701" s="48"/>
      <c r="AZ701" s="48"/>
      <c r="BA701" s="48"/>
      <c r="BB701" s="48"/>
      <c r="BC701" s="48"/>
      <c r="BD701" s="48"/>
      <c r="BE701" s="48"/>
      <c r="BF701" s="48"/>
      <c r="BG701" s="48"/>
      <c r="BH701" s="48"/>
      <c r="BI701" s="48"/>
      <c r="BJ701" s="48"/>
      <c r="BK701" s="48"/>
      <c r="BL701" s="48"/>
      <c r="BM701" s="48"/>
      <c r="BN701" s="48"/>
      <c r="BO701" s="48"/>
      <c r="BP701" s="48"/>
      <c r="BQ701" s="48"/>
      <c r="BR701" s="48"/>
      <c r="BS701" s="48"/>
      <c r="BT701" s="48"/>
      <c r="BU701" s="48"/>
      <c r="BV701" s="48"/>
      <c r="BW701" s="48"/>
      <c r="BX701" s="111"/>
    </row>
    <row r="702" spans="1:76">
      <c r="A702" s="37"/>
      <c r="B702" s="37"/>
      <c r="C702" s="37"/>
      <c r="D702" s="37"/>
      <c r="E702" s="37" t="s">
        <v>590</v>
      </c>
      <c r="F702" s="37"/>
      <c r="G702" s="59"/>
      <c r="H702" s="59"/>
      <c r="I702" s="59"/>
      <c r="J702" s="59"/>
      <c r="K702" s="59"/>
      <c r="L702" s="59"/>
      <c r="M702" s="59"/>
      <c r="N702" s="59"/>
      <c r="O702" s="36"/>
      <c r="P702" s="48"/>
      <c r="Q702" s="48"/>
      <c r="R702" s="48"/>
      <c r="S702" s="48"/>
      <c r="T702" s="48"/>
      <c r="U702" s="48"/>
      <c r="V702" s="48"/>
      <c r="W702" s="48"/>
      <c r="X702" s="48"/>
      <c r="Y702" s="48"/>
      <c r="Z702" s="48"/>
      <c r="AA702" s="48"/>
      <c r="AB702" s="48"/>
      <c r="AC702" s="48"/>
      <c r="AD702" s="48"/>
      <c r="AE702" s="48"/>
      <c r="AF702" s="48"/>
      <c r="AG702" s="48"/>
      <c r="AH702" s="48"/>
      <c r="AI702" s="48"/>
      <c r="AJ702" s="48"/>
      <c r="AK702" s="48"/>
      <c r="AL702" s="48"/>
      <c r="AM702" s="48"/>
      <c r="AN702" s="48"/>
      <c r="AO702" s="48"/>
      <c r="AP702" s="48"/>
      <c r="AQ702" s="48"/>
      <c r="AR702" s="48"/>
      <c r="AS702" s="48"/>
      <c r="AT702" s="48"/>
      <c r="AU702" s="48"/>
      <c r="AV702" s="48"/>
      <c r="AW702" s="48"/>
      <c r="AX702" s="48"/>
      <c r="AY702" s="48"/>
      <c r="AZ702" s="48"/>
      <c r="BA702" s="48"/>
      <c r="BB702" s="48"/>
      <c r="BC702" s="48"/>
      <c r="BD702" s="48"/>
      <c r="BE702" s="48"/>
      <c r="BF702" s="48"/>
      <c r="BG702" s="48"/>
      <c r="BH702" s="48"/>
      <c r="BI702" s="48"/>
      <c r="BJ702" s="48"/>
      <c r="BK702" s="48"/>
      <c r="BL702" s="48"/>
      <c r="BM702" s="48"/>
      <c r="BN702" s="48"/>
      <c r="BO702" s="48"/>
      <c r="BP702" s="48"/>
      <c r="BQ702" s="48"/>
      <c r="BR702" s="48"/>
      <c r="BS702" s="48"/>
      <c r="BT702" s="48"/>
      <c r="BU702" s="48"/>
      <c r="BV702" s="48"/>
      <c r="BW702" s="48"/>
      <c r="BX702" s="111"/>
    </row>
    <row r="703" spans="1:76">
      <c r="A703" s="37"/>
      <c r="B703" s="37"/>
      <c r="C703" s="37"/>
      <c r="D703" s="37" t="s">
        <v>751</v>
      </c>
      <c r="E703" s="37"/>
      <c r="F703" s="37"/>
      <c r="G703" s="59"/>
      <c r="H703" s="59"/>
      <c r="I703" s="59"/>
      <c r="J703" s="59"/>
      <c r="K703" s="59"/>
      <c r="L703" s="59"/>
      <c r="M703" s="59"/>
      <c r="N703" s="59"/>
      <c r="O703" s="36"/>
      <c r="P703" s="48"/>
      <c r="Q703" s="48"/>
      <c r="R703" s="48"/>
      <c r="S703" s="48"/>
      <c r="T703" s="48"/>
      <c r="U703" s="48"/>
      <c r="V703" s="48"/>
      <c r="W703" s="48"/>
      <c r="X703" s="48"/>
      <c r="Y703" s="48"/>
      <c r="Z703" s="48"/>
      <c r="AA703" s="48"/>
      <c r="AB703" s="48"/>
      <c r="AC703" s="48"/>
      <c r="AD703" s="48"/>
      <c r="AE703" s="48"/>
      <c r="AF703" s="48"/>
      <c r="AG703" s="48"/>
      <c r="AH703" s="48"/>
      <c r="AI703" s="48"/>
      <c r="AJ703" s="48"/>
      <c r="AK703" s="48"/>
      <c r="AL703" s="48"/>
      <c r="AM703" s="48"/>
      <c r="AN703" s="48"/>
      <c r="AO703" s="48"/>
      <c r="AP703" s="48"/>
      <c r="AQ703" s="48"/>
      <c r="AR703" s="48"/>
      <c r="AS703" s="48"/>
      <c r="AT703" s="48"/>
      <c r="AU703" s="48"/>
      <c r="AV703" s="48"/>
      <c r="AW703" s="48"/>
      <c r="AX703" s="48"/>
      <c r="AY703" s="48"/>
      <c r="AZ703" s="48"/>
      <c r="BA703" s="48"/>
      <c r="BB703" s="48"/>
      <c r="BC703" s="48"/>
      <c r="BD703" s="48"/>
      <c r="BE703" s="48"/>
      <c r="BF703" s="48"/>
      <c r="BG703" s="48"/>
      <c r="BH703" s="48"/>
      <c r="BI703" s="48"/>
      <c r="BJ703" s="48"/>
      <c r="BK703" s="48"/>
      <c r="BL703" s="48"/>
      <c r="BM703" s="48"/>
      <c r="BN703" s="48"/>
      <c r="BO703" s="48"/>
      <c r="BP703" s="48"/>
      <c r="BQ703" s="48"/>
      <c r="BR703" s="48"/>
      <c r="BS703" s="48"/>
      <c r="BT703" s="48"/>
      <c r="BU703" s="48"/>
      <c r="BV703" s="48"/>
      <c r="BW703" s="48"/>
      <c r="BX703" s="111"/>
    </row>
    <row r="704" spans="1:76">
      <c r="A704" s="37"/>
      <c r="B704" s="37"/>
      <c r="C704" s="37"/>
      <c r="D704" s="37" t="s">
        <v>155</v>
      </c>
      <c r="E704" s="37"/>
      <c r="F704" s="37"/>
      <c r="G704" s="59"/>
      <c r="H704" s="59"/>
      <c r="I704" s="59"/>
      <c r="J704" s="59"/>
      <c r="K704" s="59"/>
      <c r="L704" s="59"/>
      <c r="M704" s="59"/>
      <c r="N704" s="59"/>
      <c r="O704" s="36"/>
      <c r="P704" s="48"/>
      <c r="Q704" s="48"/>
      <c r="R704" s="48"/>
      <c r="S704" s="48"/>
      <c r="T704" s="48"/>
      <c r="U704" s="48"/>
      <c r="V704" s="48"/>
      <c r="W704" s="48"/>
      <c r="X704" s="48"/>
      <c r="Y704" s="48"/>
      <c r="Z704" s="48"/>
      <c r="AA704" s="48"/>
      <c r="AB704" s="48"/>
      <c r="AC704" s="48"/>
      <c r="AD704" s="48"/>
      <c r="AE704" s="48"/>
      <c r="AF704" s="48"/>
      <c r="AG704" s="48"/>
      <c r="AH704" s="48"/>
      <c r="AI704" s="48"/>
      <c r="AJ704" s="48"/>
      <c r="AK704" s="48"/>
      <c r="AL704" s="48"/>
      <c r="AM704" s="48"/>
      <c r="AN704" s="48"/>
      <c r="AO704" s="48"/>
      <c r="AP704" s="48"/>
      <c r="AQ704" s="48"/>
      <c r="AR704" s="48"/>
      <c r="AS704" s="48"/>
      <c r="AT704" s="48"/>
      <c r="AU704" s="48"/>
      <c r="AV704" s="48"/>
      <c r="AW704" s="48"/>
      <c r="AX704" s="48"/>
      <c r="AY704" s="48"/>
      <c r="AZ704" s="48"/>
      <c r="BA704" s="48"/>
      <c r="BB704" s="48"/>
      <c r="BC704" s="48"/>
      <c r="BD704" s="48"/>
      <c r="BE704" s="48"/>
      <c r="BF704" s="48"/>
      <c r="BG704" s="48"/>
      <c r="BH704" s="48"/>
      <c r="BI704" s="48"/>
      <c r="BJ704" s="48"/>
      <c r="BK704" s="48"/>
      <c r="BL704" s="48"/>
      <c r="BM704" s="48"/>
      <c r="BN704" s="48"/>
      <c r="BO704" s="48"/>
      <c r="BP704" s="48"/>
      <c r="BQ704" s="48"/>
      <c r="BR704" s="48"/>
      <c r="BS704" s="48"/>
      <c r="BT704" s="48"/>
      <c r="BU704" s="48"/>
      <c r="BV704" s="48"/>
      <c r="BW704" s="48"/>
      <c r="BX704" s="111"/>
    </row>
    <row r="705" spans="1:76">
      <c r="A705" s="37"/>
      <c r="B705" s="37"/>
      <c r="C705" s="37"/>
      <c r="D705" s="37" t="s">
        <v>156</v>
      </c>
      <c r="E705" s="37"/>
      <c r="F705" s="37"/>
      <c r="G705" s="59"/>
      <c r="H705" s="59"/>
      <c r="I705" s="59"/>
      <c r="J705" s="59"/>
      <c r="K705" s="59"/>
      <c r="L705" s="59"/>
      <c r="M705" s="59"/>
      <c r="N705" s="59"/>
      <c r="O705" s="36"/>
      <c r="P705" s="48"/>
      <c r="Q705" s="48"/>
      <c r="R705" s="48"/>
      <c r="S705" s="48"/>
      <c r="T705" s="48"/>
      <c r="U705" s="48"/>
      <c r="V705" s="48"/>
      <c r="W705" s="48"/>
      <c r="X705" s="48"/>
      <c r="Y705" s="48"/>
      <c r="Z705" s="48"/>
      <c r="AA705" s="48"/>
      <c r="AB705" s="48"/>
      <c r="AC705" s="48"/>
      <c r="AD705" s="48"/>
      <c r="AE705" s="48"/>
      <c r="AF705" s="48"/>
      <c r="AG705" s="48"/>
      <c r="AH705" s="48"/>
      <c r="AI705" s="48"/>
      <c r="AJ705" s="48"/>
      <c r="AK705" s="48"/>
      <c r="AL705" s="48"/>
      <c r="AM705" s="48"/>
      <c r="AN705" s="48"/>
      <c r="AO705" s="48"/>
      <c r="AP705" s="48"/>
      <c r="AQ705" s="48"/>
      <c r="AR705" s="48"/>
      <c r="AS705" s="48"/>
      <c r="AT705" s="48"/>
      <c r="AU705" s="48"/>
      <c r="AV705" s="48"/>
      <c r="AW705" s="48"/>
      <c r="AX705" s="48"/>
      <c r="AY705" s="48"/>
      <c r="AZ705" s="48"/>
      <c r="BA705" s="48"/>
      <c r="BB705" s="48"/>
      <c r="BC705" s="48"/>
      <c r="BD705" s="48"/>
      <c r="BE705" s="48"/>
      <c r="BF705" s="48"/>
      <c r="BG705" s="48"/>
      <c r="BH705" s="48"/>
      <c r="BI705" s="48"/>
      <c r="BJ705" s="48"/>
      <c r="BK705" s="48"/>
      <c r="BL705" s="48"/>
      <c r="BM705" s="48"/>
      <c r="BN705" s="48"/>
      <c r="BO705" s="48"/>
      <c r="BP705" s="48"/>
      <c r="BQ705" s="48"/>
      <c r="BR705" s="48"/>
      <c r="BS705" s="48"/>
      <c r="BT705" s="48"/>
      <c r="BU705" s="48"/>
      <c r="BV705" s="48"/>
      <c r="BW705" s="48"/>
      <c r="BX705" s="111"/>
    </row>
    <row r="706" spans="1:76">
      <c r="A706" s="37"/>
      <c r="B706" s="37"/>
      <c r="C706" s="37"/>
      <c r="D706" s="37" t="s">
        <v>1630</v>
      </c>
      <c r="E706" s="37"/>
      <c r="F706" s="37"/>
      <c r="G706" s="59"/>
      <c r="H706" s="59"/>
      <c r="I706" s="59"/>
      <c r="J706" s="59"/>
      <c r="K706" s="59"/>
      <c r="L706" s="59"/>
      <c r="M706" s="59"/>
      <c r="N706" s="59"/>
      <c r="O706" s="36"/>
      <c r="P706" s="48"/>
      <c r="Q706" s="48"/>
      <c r="R706" s="48"/>
      <c r="S706" s="48"/>
      <c r="T706" s="48"/>
      <c r="U706" s="48"/>
      <c r="V706" s="48"/>
      <c r="W706" s="48"/>
      <c r="X706" s="48"/>
      <c r="Y706" s="48"/>
      <c r="Z706" s="48"/>
      <c r="AA706" s="48"/>
      <c r="AB706" s="48"/>
      <c r="AC706" s="48"/>
      <c r="AD706" s="48"/>
      <c r="AE706" s="48"/>
      <c r="AF706" s="48"/>
      <c r="AG706" s="48"/>
      <c r="AH706" s="48"/>
      <c r="AI706" s="48"/>
      <c r="AJ706" s="48"/>
      <c r="AK706" s="48"/>
      <c r="AL706" s="48"/>
      <c r="AM706" s="48"/>
      <c r="AN706" s="48"/>
      <c r="AO706" s="48"/>
      <c r="AP706" s="48"/>
      <c r="AQ706" s="48"/>
      <c r="AR706" s="48"/>
      <c r="AS706" s="48"/>
      <c r="AT706" s="48"/>
      <c r="AU706" s="48"/>
      <c r="AV706" s="48"/>
      <c r="AW706" s="48"/>
      <c r="AX706" s="48"/>
      <c r="AY706" s="48"/>
      <c r="AZ706" s="48"/>
      <c r="BA706" s="48"/>
      <c r="BB706" s="48"/>
      <c r="BC706" s="48"/>
      <c r="BD706" s="48"/>
      <c r="BE706" s="48"/>
      <c r="BF706" s="48"/>
      <c r="BG706" s="48"/>
      <c r="BH706" s="48"/>
      <c r="BI706" s="48"/>
      <c r="BJ706" s="48"/>
      <c r="BK706" s="48"/>
      <c r="BL706" s="48"/>
      <c r="BM706" s="48"/>
      <c r="BN706" s="48"/>
      <c r="BO706" s="48"/>
      <c r="BP706" s="48"/>
      <c r="BQ706" s="48"/>
      <c r="BR706" s="48"/>
      <c r="BS706" s="48"/>
      <c r="BT706" s="48"/>
      <c r="BU706" s="48"/>
      <c r="BV706" s="48"/>
      <c r="BW706" s="48"/>
      <c r="BX706" s="111"/>
    </row>
    <row r="707" spans="1:76">
      <c r="A707" s="37"/>
      <c r="B707" s="37"/>
      <c r="C707" s="37"/>
      <c r="D707" s="37" t="s">
        <v>1223</v>
      </c>
      <c r="E707" s="37"/>
      <c r="F707" s="37"/>
      <c r="G707" s="59"/>
      <c r="H707" s="59"/>
      <c r="I707" s="59"/>
      <c r="J707" s="59"/>
      <c r="K707" s="59"/>
      <c r="L707" s="59"/>
      <c r="M707" s="59"/>
      <c r="N707" s="59"/>
      <c r="O707" s="36"/>
      <c r="P707" s="48"/>
      <c r="Q707" s="48"/>
      <c r="R707" s="48"/>
      <c r="S707" s="48"/>
      <c r="T707" s="48"/>
      <c r="U707" s="48"/>
      <c r="V707" s="48"/>
      <c r="W707" s="48"/>
      <c r="X707" s="48"/>
      <c r="Y707" s="48"/>
      <c r="Z707" s="48"/>
      <c r="AA707" s="48"/>
      <c r="AB707" s="48"/>
      <c r="AC707" s="48"/>
      <c r="AD707" s="48"/>
      <c r="AE707" s="48"/>
      <c r="AF707" s="48"/>
      <c r="AG707" s="48"/>
      <c r="AH707" s="48"/>
      <c r="AI707" s="48"/>
      <c r="AJ707" s="48"/>
      <c r="AK707" s="48"/>
      <c r="AL707" s="48"/>
      <c r="AM707" s="48"/>
      <c r="AN707" s="48"/>
      <c r="AO707" s="48"/>
      <c r="AP707" s="48"/>
      <c r="AQ707" s="48"/>
      <c r="AR707" s="48"/>
      <c r="AS707" s="48"/>
      <c r="AT707" s="48"/>
      <c r="AU707" s="48"/>
      <c r="AV707" s="48"/>
      <c r="AW707" s="48"/>
      <c r="AX707" s="48"/>
      <c r="AY707" s="48"/>
      <c r="AZ707" s="48"/>
      <c r="BA707" s="48"/>
      <c r="BB707" s="48"/>
      <c r="BC707" s="48"/>
      <c r="BD707" s="48"/>
      <c r="BE707" s="48"/>
      <c r="BF707" s="48"/>
      <c r="BG707" s="48"/>
      <c r="BH707" s="48"/>
      <c r="BI707" s="48"/>
      <c r="BJ707" s="48"/>
      <c r="BK707" s="48"/>
      <c r="BL707" s="48"/>
      <c r="BM707" s="48"/>
      <c r="BN707" s="48"/>
      <c r="BO707" s="48"/>
      <c r="BP707" s="48"/>
      <c r="BQ707" s="48"/>
      <c r="BR707" s="48"/>
      <c r="BS707" s="48"/>
      <c r="BT707" s="48"/>
      <c r="BU707" s="48"/>
      <c r="BV707" s="48"/>
      <c r="BW707" s="48"/>
      <c r="BX707" s="111"/>
    </row>
    <row r="708" spans="1:76">
      <c r="A708" s="37"/>
      <c r="B708" s="37"/>
      <c r="C708" s="37"/>
      <c r="D708" s="37" t="s">
        <v>1781</v>
      </c>
      <c r="E708" s="37"/>
      <c r="F708" s="37"/>
      <c r="G708" s="59"/>
      <c r="H708" s="59"/>
      <c r="I708" s="59"/>
      <c r="J708" s="59"/>
      <c r="K708" s="59"/>
      <c r="L708" s="59"/>
      <c r="M708" s="59"/>
      <c r="N708" s="59"/>
      <c r="O708" s="36"/>
      <c r="P708" s="48"/>
      <c r="Q708" s="48"/>
      <c r="R708" s="48"/>
      <c r="S708" s="48"/>
      <c r="T708" s="48"/>
      <c r="U708" s="48"/>
      <c r="V708" s="48"/>
      <c r="W708" s="48"/>
      <c r="X708" s="48"/>
      <c r="Y708" s="48"/>
      <c r="Z708" s="48"/>
      <c r="AA708" s="48"/>
      <c r="AB708" s="48"/>
      <c r="AC708" s="48"/>
      <c r="AD708" s="48"/>
      <c r="AE708" s="48"/>
      <c r="AF708" s="48"/>
      <c r="AG708" s="48"/>
      <c r="AH708" s="48"/>
      <c r="AI708" s="48"/>
      <c r="AJ708" s="48"/>
      <c r="AK708" s="48"/>
      <c r="AL708" s="48"/>
      <c r="AM708" s="48"/>
      <c r="AN708" s="48"/>
      <c r="AO708" s="48"/>
      <c r="AP708" s="48"/>
      <c r="AQ708" s="48"/>
      <c r="AR708" s="48"/>
      <c r="AS708" s="48"/>
      <c r="AT708" s="48"/>
      <c r="AU708" s="48"/>
      <c r="AV708" s="48"/>
      <c r="AW708" s="48"/>
      <c r="AX708" s="48"/>
      <c r="AY708" s="48"/>
      <c r="AZ708" s="48"/>
      <c r="BA708" s="48"/>
      <c r="BB708" s="48"/>
      <c r="BC708" s="48"/>
      <c r="BD708" s="48"/>
      <c r="BE708" s="48"/>
      <c r="BF708" s="48"/>
      <c r="BG708" s="48"/>
      <c r="BH708" s="48"/>
      <c r="BI708" s="48"/>
      <c r="BJ708" s="48"/>
      <c r="BK708" s="48"/>
      <c r="BL708" s="48"/>
      <c r="BM708" s="48"/>
      <c r="BN708" s="48"/>
      <c r="BO708" s="48"/>
      <c r="BP708" s="48"/>
      <c r="BQ708" s="48"/>
      <c r="BR708" s="48"/>
      <c r="BS708" s="48"/>
      <c r="BT708" s="48"/>
      <c r="BU708" s="48"/>
      <c r="BV708" s="48"/>
      <c r="BW708" s="48"/>
      <c r="BX708" s="111"/>
    </row>
    <row r="709" spans="1:76">
      <c r="A709" s="37"/>
      <c r="B709" s="37"/>
      <c r="C709" s="37"/>
      <c r="D709" s="37" t="s">
        <v>223</v>
      </c>
      <c r="E709" s="37"/>
      <c r="F709" s="37"/>
      <c r="G709" s="59"/>
      <c r="H709" s="59"/>
      <c r="I709" s="59"/>
      <c r="J709" s="59"/>
      <c r="K709" s="59"/>
      <c r="L709" s="59"/>
      <c r="M709" s="59"/>
      <c r="N709" s="59"/>
      <c r="O709" s="36"/>
      <c r="P709" s="48"/>
      <c r="Q709" s="48"/>
      <c r="R709" s="48"/>
      <c r="S709" s="48"/>
      <c r="T709" s="48"/>
      <c r="U709" s="48"/>
      <c r="V709" s="48"/>
      <c r="W709" s="48"/>
      <c r="X709" s="48"/>
      <c r="Y709" s="48"/>
      <c r="Z709" s="48"/>
      <c r="AA709" s="48"/>
      <c r="AB709" s="48"/>
      <c r="AC709" s="48"/>
      <c r="AD709" s="48"/>
      <c r="AE709" s="48"/>
      <c r="AF709" s="48"/>
      <c r="AG709" s="48"/>
      <c r="AH709" s="48"/>
      <c r="AI709" s="48"/>
      <c r="AJ709" s="48"/>
      <c r="AK709" s="48"/>
      <c r="AL709" s="48"/>
      <c r="AM709" s="48"/>
      <c r="AN709" s="48"/>
      <c r="AO709" s="48"/>
      <c r="AP709" s="48"/>
      <c r="AQ709" s="48"/>
      <c r="AR709" s="48"/>
      <c r="AS709" s="48"/>
      <c r="AT709" s="48"/>
      <c r="AU709" s="48"/>
      <c r="AV709" s="48"/>
      <c r="AW709" s="48"/>
      <c r="AX709" s="48"/>
      <c r="AY709" s="48"/>
      <c r="AZ709" s="48"/>
      <c r="BA709" s="48"/>
      <c r="BB709" s="48"/>
      <c r="BC709" s="48"/>
      <c r="BD709" s="48"/>
      <c r="BE709" s="48"/>
      <c r="BF709" s="48"/>
      <c r="BG709" s="48"/>
      <c r="BH709" s="48"/>
      <c r="BI709" s="48"/>
      <c r="BJ709" s="48"/>
      <c r="BK709" s="48"/>
      <c r="BL709" s="48"/>
      <c r="BM709" s="48"/>
      <c r="BN709" s="48"/>
      <c r="BO709" s="48"/>
      <c r="BP709" s="48"/>
      <c r="BQ709" s="48"/>
      <c r="BR709" s="48"/>
      <c r="BS709" s="48"/>
      <c r="BT709" s="48"/>
      <c r="BU709" s="48"/>
      <c r="BV709" s="48"/>
      <c r="BW709" s="48"/>
      <c r="BX709" s="111"/>
    </row>
    <row r="710" spans="1:76">
      <c r="A710" s="71"/>
      <c r="B710" s="71"/>
      <c r="C710" s="71"/>
      <c r="D710" s="71" t="s">
        <v>1150</v>
      </c>
      <c r="E710" s="71"/>
      <c r="F710" s="71"/>
      <c r="G710" s="59"/>
      <c r="H710" s="59"/>
      <c r="I710" s="59"/>
      <c r="J710" s="59"/>
      <c r="K710" s="59"/>
      <c r="L710" s="59"/>
      <c r="M710" s="59"/>
      <c r="N710" s="59"/>
      <c r="O710" s="22"/>
      <c r="P710" s="72"/>
      <c r="Q710" s="72"/>
      <c r="R710" s="72"/>
      <c r="S710" s="72"/>
      <c r="T710" s="72"/>
      <c r="U710" s="72"/>
      <c r="V710" s="72"/>
      <c r="W710" s="72"/>
      <c r="X710" s="72"/>
      <c r="Y710" s="72"/>
      <c r="Z710" s="72"/>
      <c r="AA710" s="72"/>
      <c r="AB710" s="72"/>
      <c r="AC710" s="72"/>
      <c r="AD710" s="72"/>
      <c r="AE710" s="72"/>
      <c r="AF710" s="72"/>
      <c r="AG710" s="72"/>
      <c r="AH710" s="72"/>
      <c r="AI710" s="72"/>
      <c r="AJ710" s="72"/>
      <c r="AK710" s="72"/>
      <c r="AL710" s="72"/>
      <c r="AM710" s="72"/>
      <c r="AN710" s="72"/>
      <c r="AO710" s="72"/>
      <c r="AP710" s="72"/>
      <c r="AQ710" s="72"/>
      <c r="AR710" s="72"/>
      <c r="AS710" s="72"/>
      <c r="AT710" s="72"/>
      <c r="AU710" s="72"/>
      <c r="AV710" s="72"/>
      <c r="AW710" s="72"/>
      <c r="AX710" s="72"/>
      <c r="AY710" s="72"/>
      <c r="AZ710" s="72"/>
      <c r="BA710" s="72"/>
      <c r="BB710" s="72"/>
      <c r="BC710" s="72"/>
      <c r="BD710" s="72"/>
      <c r="BE710" s="72"/>
      <c r="BF710" s="72"/>
      <c r="BG710" s="72"/>
      <c r="BH710" s="72"/>
      <c r="BI710" s="72"/>
      <c r="BJ710" s="72"/>
      <c r="BK710" s="72"/>
      <c r="BL710" s="72"/>
      <c r="BM710" s="72"/>
      <c r="BN710" s="72"/>
      <c r="BO710" s="72"/>
      <c r="BP710" s="72"/>
      <c r="BQ710" s="72"/>
      <c r="BR710" s="72"/>
      <c r="BS710" s="72"/>
      <c r="BT710" s="72"/>
      <c r="BU710" s="72"/>
      <c r="BV710" s="72"/>
      <c r="BW710" s="72"/>
      <c r="BX710" s="114"/>
    </row>
    <row r="711" spans="1:76">
      <c r="A711" s="71"/>
      <c r="B711" s="71"/>
      <c r="C711" s="71"/>
      <c r="D711" s="71" t="s">
        <v>1684</v>
      </c>
      <c r="E711" s="71"/>
      <c r="F711" s="71"/>
      <c r="G711" s="59"/>
      <c r="H711" s="59"/>
      <c r="I711" s="59"/>
      <c r="J711" s="59"/>
      <c r="K711" s="59"/>
      <c r="L711" s="59"/>
      <c r="M711" s="59"/>
      <c r="N711" s="59"/>
      <c r="O711" s="22"/>
      <c r="P711" s="72"/>
      <c r="Q711" s="72"/>
      <c r="R711" s="72"/>
      <c r="S711" s="72"/>
      <c r="T711" s="72"/>
      <c r="U711" s="72"/>
      <c r="V711" s="72"/>
      <c r="W711" s="72"/>
      <c r="X711" s="72"/>
      <c r="Y711" s="72"/>
      <c r="Z711" s="72"/>
      <c r="AA711" s="72"/>
      <c r="AB711" s="72"/>
      <c r="AC711" s="72"/>
      <c r="AD711" s="72"/>
      <c r="AE711" s="72"/>
      <c r="AF711" s="72"/>
      <c r="AG711" s="72"/>
      <c r="AH711" s="72"/>
      <c r="AI711" s="72"/>
      <c r="AJ711" s="72"/>
      <c r="AK711" s="72"/>
      <c r="AL711" s="72"/>
      <c r="AM711" s="72"/>
      <c r="AN711" s="72"/>
      <c r="AO711" s="72"/>
      <c r="AP711" s="72"/>
      <c r="AQ711" s="72"/>
      <c r="AR711" s="72"/>
      <c r="AS711" s="72"/>
      <c r="AT711" s="72"/>
      <c r="AU711" s="72"/>
      <c r="AV711" s="72"/>
      <c r="AW711" s="72"/>
      <c r="AX711" s="72"/>
      <c r="AY711" s="72"/>
      <c r="AZ711" s="72"/>
      <c r="BA711" s="72"/>
      <c r="BB711" s="72"/>
      <c r="BC711" s="72"/>
      <c r="BD711" s="72"/>
      <c r="BE711" s="72"/>
      <c r="BF711" s="72"/>
      <c r="BG711" s="72"/>
      <c r="BH711" s="72"/>
      <c r="BI711" s="72"/>
      <c r="BJ711" s="72"/>
      <c r="BK711" s="72"/>
      <c r="BL711" s="72"/>
      <c r="BM711" s="72"/>
      <c r="BN711" s="72"/>
      <c r="BO711" s="72"/>
      <c r="BP711" s="72"/>
      <c r="BQ711" s="72"/>
      <c r="BR711" s="72"/>
      <c r="BS711" s="72"/>
      <c r="BT711" s="72"/>
      <c r="BU711" s="72"/>
      <c r="BV711" s="72"/>
      <c r="BW711" s="72"/>
      <c r="BX711" s="114"/>
    </row>
    <row r="712" spans="1:76">
      <c r="A712" s="71"/>
      <c r="B712" s="71"/>
      <c r="C712" s="71"/>
      <c r="D712" s="71" t="s">
        <v>2074</v>
      </c>
      <c r="E712" s="71"/>
      <c r="F712" s="71"/>
      <c r="G712" s="59"/>
      <c r="H712" s="59"/>
      <c r="I712" s="59"/>
      <c r="J712" s="59"/>
      <c r="K712" s="59"/>
      <c r="L712" s="59"/>
      <c r="M712" s="59"/>
      <c r="N712" s="59"/>
      <c r="O712" s="22"/>
      <c r="P712" s="72"/>
      <c r="Q712" s="72"/>
      <c r="R712" s="72"/>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114"/>
    </row>
    <row r="713" spans="1:76">
      <c r="A713" s="37"/>
      <c r="B713" s="37"/>
      <c r="C713" s="37" t="s">
        <v>2140</v>
      </c>
      <c r="D713" s="37"/>
      <c r="E713" s="37"/>
      <c r="F713" s="37"/>
      <c r="G713" s="59"/>
      <c r="H713" s="59"/>
      <c r="I713" s="59"/>
      <c r="J713" s="59"/>
      <c r="K713" s="59"/>
      <c r="L713" s="59"/>
      <c r="M713" s="59"/>
      <c r="N713" s="59"/>
      <c r="O713" s="36"/>
      <c r="P713" s="48"/>
      <c r="Q713" s="48"/>
      <c r="R713" s="48"/>
      <c r="S713" s="48"/>
      <c r="T713" s="48"/>
      <c r="U713" s="48"/>
      <c r="V713" s="48"/>
      <c r="W713" s="48"/>
      <c r="X713" s="48"/>
      <c r="Y713" s="48"/>
      <c r="Z713" s="48"/>
      <c r="AA713" s="48"/>
      <c r="AB713" s="48"/>
      <c r="AC713" s="48"/>
      <c r="AD713" s="48"/>
      <c r="AE713" s="48"/>
      <c r="AF713" s="48"/>
      <c r="AG713" s="48"/>
      <c r="AH713" s="48"/>
      <c r="AI713" s="48"/>
      <c r="AJ713" s="48"/>
      <c r="AK713" s="48"/>
      <c r="AL713" s="48"/>
      <c r="AM713" s="48"/>
      <c r="AN713" s="48"/>
      <c r="AO713" s="48"/>
      <c r="AP713" s="48"/>
      <c r="AQ713" s="48"/>
      <c r="AR713" s="48"/>
      <c r="AS713" s="48"/>
      <c r="AT713" s="48"/>
      <c r="AU713" s="48"/>
      <c r="AV713" s="48"/>
      <c r="AW713" s="48"/>
      <c r="AX713" s="48"/>
      <c r="AY713" s="48"/>
      <c r="AZ713" s="48"/>
      <c r="BA713" s="48"/>
      <c r="BB713" s="48"/>
      <c r="BC713" s="48"/>
      <c r="BD713" s="48"/>
      <c r="BE713" s="48"/>
      <c r="BF713" s="48"/>
      <c r="BG713" s="48"/>
      <c r="BH713" s="48"/>
      <c r="BI713" s="48"/>
      <c r="BJ713" s="48"/>
      <c r="BK713" s="48"/>
      <c r="BL713" s="48"/>
      <c r="BM713" s="48"/>
      <c r="BN713" s="48"/>
      <c r="BO713" s="48"/>
      <c r="BP713" s="48"/>
      <c r="BQ713" s="48"/>
      <c r="BR713" s="48"/>
      <c r="BS713" s="48"/>
      <c r="BT713" s="48"/>
      <c r="BU713" s="48"/>
      <c r="BV713" s="48"/>
      <c r="BW713" s="48"/>
      <c r="BX713" s="111"/>
    </row>
    <row r="714" spans="1:76">
      <c r="A714" s="37"/>
      <c r="B714" s="37"/>
      <c r="C714" s="37"/>
      <c r="D714" s="37" t="s">
        <v>25</v>
      </c>
      <c r="E714" s="37"/>
      <c r="F714" s="37"/>
      <c r="G714" s="59"/>
      <c r="H714" s="59"/>
      <c r="I714" s="59"/>
      <c r="J714" s="59"/>
      <c r="K714" s="59"/>
      <c r="L714" s="59"/>
      <c r="M714" s="59"/>
      <c r="N714" s="59"/>
      <c r="O714" s="36"/>
      <c r="P714" s="48"/>
      <c r="Q714" s="48"/>
      <c r="R714" s="48"/>
      <c r="S714" s="48"/>
      <c r="T714" s="48"/>
      <c r="U714" s="48"/>
      <c r="V714" s="48"/>
      <c r="W714" s="48"/>
      <c r="X714" s="48"/>
      <c r="Y714" s="48"/>
      <c r="Z714" s="48"/>
      <c r="AA714" s="48"/>
      <c r="AB714" s="48"/>
      <c r="AC714" s="48"/>
      <c r="AD714" s="48"/>
      <c r="AE714" s="48"/>
      <c r="AF714" s="48"/>
      <c r="AG714" s="48"/>
      <c r="AH714" s="48"/>
      <c r="AI714" s="48"/>
      <c r="AJ714" s="48"/>
      <c r="AK714" s="48"/>
      <c r="AL714" s="48"/>
      <c r="AM714" s="48"/>
      <c r="AN714" s="48"/>
      <c r="AO714" s="48"/>
      <c r="AP714" s="48"/>
      <c r="AQ714" s="48"/>
      <c r="AR714" s="48"/>
      <c r="AS714" s="48"/>
      <c r="AT714" s="48"/>
      <c r="AU714" s="48"/>
      <c r="AV714" s="48"/>
      <c r="AW714" s="48"/>
      <c r="AX714" s="48"/>
      <c r="AY714" s="48"/>
      <c r="AZ714" s="48"/>
      <c r="BA714" s="48"/>
      <c r="BB714" s="48"/>
      <c r="BC714" s="48"/>
      <c r="BD714" s="48"/>
      <c r="BE714" s="48"/>
      <c r="BF714" s="48"/>
      <c r="BG714" s="48"/>
      <c r="BH714" s="48"/>
      <c r="BI714" s="48"/>
      <c r="BJ714" s="48"/>
      <c r="BK714" s="48"/>
      <c r="BL714" s="48"/>
      <c r="BM714" s="48"/>
      <c r="BN714" s="48"/>
      <c r="BO714" s="48"/>
      <c r="BP714" s="48"/>
      <c r="BQ714" s="48"/>
      <c r="BR714" s="48"/>
      <c r="BS714" s="48"/>
      <c r="BT714" s="48"/>
      <c r="BU714" s="48"/>
      <c r="BV714" s="48"/>
      <c r="BW714" s="48"/>
      <c r="BX714" s="111"/>
    </row>
    <row r="715" spans="1:76">
      <c r="A715" s="37"/>
      <c r="B715" s="37"/>
      <c r="C715" s="37"/>
      <c r="D715" s="37" t="s">
        <v>104</v>
      </c>
      <c r="E715" s="37"/>
      <c r="F715" s="37"/>
      <c r="G715" s="59"/>
      <c r="H715" s="59"/>
      <c r="I715" s="59"/>
      <c r="J715" s="59"/>
      <c r="K715" s="59"/>
      <c r="L715" s="59"/>
      <c r="M715" s="59"/>
      <c r="N715" s="59"/>
      <c r="O715" s="36"/>
      <c r="P715" s="48"/>
      <c r="Q715" s="48"/>
      <c r="R715" s="48"/>
      <c r="S715" s="48"/>
      <c r="T715" s="48"/>
      <c r="U715" s="48"/>
      <c r="V715" s="48"/>
      <c r="W715" s="48"/>
      <c r="X715" s="48"/>
      <c r="Y715" s="48"/>
      <c r="Z715" s="48"/>
      <c r="AA715" s="48"/>
      <c r="AB715" s="48"/>
      <c r="AC715" s="48"/>
      <c r="AD715" s="48"/>
      <c r="AE715" s="48"/>
      <c r="AF715" s="48"/>
      <c r="AG715" s="48"/>
      <c r="AH715" s="48"/>
      <c r="AI715" s="48"/>
      <c r="AJ715" s="48"/>
      <c r="AK715" s="48"/>
      <c r="AL715" s="48"/>
      <c r="AM715" s="48"/>
      <c r="AN715" s="48"/>
      <c r="AO715" s="48"/>
      <c r="AP715" s="48"/>
      <c r="AQ715" s="48"/>
      <c r="AR715" s="48"/>
      <c r="AS715" s="48"/>
      <c r="AT715" s="48"/>
      <c r="AU715" s="48"/>
      <c r="AV715" s="48"/>
      <c r="AW715" s="48"/>
      <c r="AX715" s="48"/>
      <c r="AY715" s="48"/>
      <c r="AZ715" s="48"/>
      <c r="BA715" s="48"/>
      <c r="BB715" s="48"/>
      <c r="BC715" s="48"/>
      <c r="BD715" s="48"/>
      <c r="BE715" s="48"/>
      <c r="BF715" s="48"/>
      <c r="BG715" s="48"/>
      <c r="BH715" s="48"/>
      <c r="BI715" s="48"/>
      <c r="BJ715" s="48"/>
      <c r="BK715" s="48"/>
      <c r="BL715" s="48"/>
      <c r="BM715" s="48"/>
      <c r="BN715" s="48"/>
      <c r="BO715" s="48"/>
      <c r="BP715" s="48"/>
      <c r="BQ715" s="48"/>
      <c r="BR715" s="48"/>
      <c r="BS715" s="48"/>
      <c r="BT715" s="48"/>
      <c r="BU715" s="48"/>
      <c r="BV715" s="48"/>
      <c r="BW715" s="48"/>
      <c r="BX715" s="111"/>
    </row>
    <row r="716" spans="1:76">
      <c r="A716" s="37"/>
      <c r="B716" s="37"/>
      <c r="C716" s="37"/>
      <c r="D716" s="37" t="s">
        <v>904</v>
      </c>
      <c r="E716" s="37"/>
      <c r="F716" s="37"/>
      <c r="G716" s="59"/>
      <c r="H716" s="59"/>
      <c r="I716" s="59"/>
      <c r="J716" s="59"/>
      <c r="K716" s="59"/>
      <c r="L716" s="59"/>
      <c r="M716" s="59"/>
      <c r="N716" s="59"/>
      <c r="O716" s="36"/>
      <c r="P716" s="48"/>
      <c r="Q716" s="48"/>
      <c r="R716" s="48"/>
      <c r="S716" s="48"/>
      <c r="T716" s="48"/>
      <c r="U716" s="48"/>
      <c r="V716" s="48"/>
      <c r="W716" s="48"/>
      <c r="X716" s="48"/>
      <c r="Y716" s="48"/>
      <c r="Z716" s="48"/>
      <c r="AA716" s="48"/>
      <c r="AB716" s="48"/>
      <c r="AC716" s="48"/>
      <c r="AD716" s="48"/>
      <c r="AE716" s="48"/>
      <c r="AF716" s="48"/>
      <c r="AG716" s="48"/>
      <c r="AH716" s="48"/>
      <c r="AI716" s="48"/>
      <c r="AJ716" s="48"/>
      <c r="AK716" s="48"/>
      <c r="AL716" s="48"/>
      <c r="AM716" s="48"/>
      <c r="AN716" s="48"/>
      <c r="AO716" s="48"/>
      <c r="AP716" s="48"/>
      <c r="AQ716" s="48"/>
      <c r="AR716" s="48"/>
      <c r="AS716" s="48"/>
      <c r="AT716" s="48"/>
      <c r="AU716" s="48"/>
      <c r="AV716" s="48"/>
      <c r="AW716" s="48"/>
      <c r="AX716" s="48"/>
      <c r="AY716" s="48"/>
      <c r="AZ716" s="48"/>
      <c r="BA716" s="48"/>
      <c r="BB716" s="48"/>
      <c r="BC716" s="48"/>
      <c r="BD716" s="48"/>
      <c r="BE716" s="48"/>
      <c r="BF716" s="48"/>
      <c r="BG716" s="48"/>
      <c r="BH716" s="48"/>
      <c r="BI716" s="48"/>
      <c r="BJ716" s="48"/>
      <c r="BK716" s="48"/>
      <c r="BL716" s="48"/>
      <c r="BM716" s="48"/>
      <c r="BN716" s="48"/>
      <c r="BO716" s="48"/>
      <c r="BP716" s="48"/>
      <c r="BQ716" s="48"/>
      <c r="BR716" s="48"/>
      <c r="BS716" s="48"/>
      <c r="BT716" s="48"/>
      <c r="BU716" s="48"/>
      <c r="BV716" s="48"/>
      <c r="BW716" s="48"/>
      <c r="BX716" s="111"/>
    </row>
    <row r="717" spans="1:76">
      <c r="A717" s="37"/>
      <c r="B717" s="37"/>
      <c r="C717" s="37"/>
      <c r="D717" s="37" t="s">
        <v>2131</v>
      </c>
      <c r="E717" s="37"/>
      <c r="F717" s="37"/>
      <c r="G717" s="59"/>
      <c r="H717" s="59"/>
      <c r="I717" s="59"/>
      <c r="J717" s="59"/>
      <c r="K717" s="59"/>
      <c r="L717" s="59"/>
      <c r="M717" s="59"/>
      <c r="N717" s="59"/>
      <c r="O717" s="36"/>
      <c r="P717" s="48"/>
      <c r="Q717" s="48"/>
      <c r="R717" s="48"/>
      <c r="S717" s="48"/>
      <c r="T717" s="48"/>
      <c r="U717" s="48"/>
      <c r="V717" s="48"/>
      <c r="W717" s="48"/>
      <c r="X717" s="48"/>
      <c r="Y717" s="48"/>
      <c r="Z717" s="48"/>
      <c r="AA717" s="48"/>
      <c r="AB717" s="48"/>
      <c r="AC717" s="48"/>
      <c r="AD717" s="48"/>
      <c r="AE717" s="48"/>
      <c r="AF717" s="48"/>
      <c r="AG717" s="48"/>
      <c r="AH717" s="48"/>
      <c r="AI717" s="48"/>
      <c r="AJ717" s="48"/>
      <c r="AK717" s="48"/>
      <c r="AL717" s="48"/>
      <c r="AM717" s="48"/>
      <c r="AN717" s="48"/>
      <c r="AO717" s="48"/>
      <c r="AP717" s="48"/>
      <c r="AQ717" s="48"/>
      <c r="AR717" s="48"/>
      <c r="AS717" s="48"/>
      <c r="AT717" s="48"/>
      <c r="AU717" s="48"/>
      <c r="AV717" s="48"/>
      <c r="AW717" s="48"/>
      <c r="AX717" s="48"/>
      <c r="AY717" s="48"/>
      <c r="AZ717" s="48"/>
      <c r="BA717" s="48"/>
      <c r="BB717" s="48"/>
      <c r="BC717" s="48"/>
      <c r="BD717" s="48"/>
      <c r="BE717" s="48"/>
      <c r="BF717" s="48"/>
      <c r="BG717" s="48"/>
      <c r="BH717" s="48"/>
      <c r="BI717" s="48"/>
      <c r="BJ717" s="48"/>
      <c r="BK717" s="48"/>
      <c r="BL717" s="48"/>
      <c r="BM717" s="48"/>
      <c r="BN717" s="48"/>
      <c r="BO717" s="48"/>
      <c r="BP717" s="48"/>
      <c r="BQ717" s="48"/>
      <c r="BR717" s="48"/>
      <c r="BS717" s="48"/>
      <c r="BT717" s="48"/>
      <c r="BU717" s="48"/>
      <c r="BV717" s="48"/>
      <c r="BW717" s="48"/>
      <c r="BX717" s="111"/>
    </row>
    <row r="718" spans="1:76">
      <c r="A718" s="37"/>
      <c r="B718" s="37"/>
      <c r="C718" s="37"/>
      <c r="D718" s="37" t="s">
        <v>1780</v>
      </c>
      <c r="E718" s="37"/>
      <c r="F718" s="37"/>
      <c r="G718" s="59"/>
      <c r="H718" s="59"/>
      <c r="I718" s="59"/>
      <c r="J718" s="59"/>
      <c r="K718" s="59"/>
      <c r="L718" s="59"/>
      <c r="M718" s="59"/>
      <c r="N718" s="59"/>
      <c r="O718" s="36"/>
      <c r="P718" s="48"/>
      <c r="Q718" s="48"/>
      <c r="R718" s="48"/>
      <c r="S718" s="48"/>
      <c r="T718" s="48"/>
      <c r="U718" s="48"/>
      <c r="V718" s="48"/>
      <c r="W718" s="48"/>
      <c r="X718" s="48"/>
      <c r="Y718" s="48"/>
      <c r="Z718" s="48"/>
      <c r="AA718" s="48"/>
      <c r="AB718" s="48"/>
      <c r="AC718" s="48"/>
      <c r="AD718" s="48"/>
      <c r="AE718" s="48"/>
      <c r="AF718" s="48"/>
      <c r="AG718" s="48"/>
      <c r="AH718" s="48"/>
      <c r="AI718" s="48"/>
      <c r="AJ718" s="48"/>
      <c r="AK718" s="48"/>
      <c r="AL718" s="48"/>
      <c r="AM718" s="48"/>
      <c r="AN718" s="48"/>
      <c r="AO718" s="48"/>
      <c r="AP718" s="48"/>
      <c r="AQ718" s="48"/>
      <c r="AR718" s="48"/>
      <c r="AS718" s="48"/>
      <c r="AT718" s="48"/>
      <c r="AU718" s="48"/>
      <c r="AV718" s="48"/>
      <c r="AW718" s="48"/>
      <c r="AX718" s="48"/>
      <c r="AY718" s="48"/>
      <c r="AZ718" s="48"/>
      <c r="BA718" s="48"/>
      <c r="BB718" s="48"/>
      <c r="BC718" s="48"/>
      <c r="BD718" s="48"/>
      <c r="BE718" s="48"/>
      <c r="BF718" s="48"/>
      <c r="BG718" s="48"/>
      <c r="BH718" s="48"/>
      <c r="BI718" s="48"/>
      <c r="BJ718" s="48"/>
      <c r="BK718" s="48"/>
      <c r="BL718" s="48"/>
      <c r="BM718" s="48"/>
      <c r="BN718" s="48"/>
      <c r="BO718" s="48"/>
      <c r="BP718" s="48"/>
      <c r="BQ718" s="48"/>
      <c r="BR718" s="48"/>
      <c r="BS718" s="48"/>
      <c r="BT718" s="48"/>
      <c r="BU718" s="48"/>
      <c r="BV718" s="48"/>
      <c r="BW718" s="48"/>
      <c r="BX718" s="111"/>
    </row>
    <row r="719" spans="1:76">
      <c r="A719" s="37"/>
      <c r="B719" s="37"/>
      <c r="C719" s="37" t="s">
        <v>1478</v>
      </c>
      <c r="D719" s="37"/>
      <c r="E719" s="37"/>
      <c r="F719" s="37"/>
      <c r="G719" s="61"/>
      <c r="H719" s="61"/>
      <c r="I719" s="61"/>
      <c r="J719" s="61"/>
      <c r="K719" s="61"/>
      <c r="L719" s="61"/>
      <c r="M719" s="61"/>
      <c r="N719" s="61"/>
      <c r="O719" s="58"/>
      <c r="P719" s="48"/>
      <c r="Q719" s="48"/>
      <c r="R719" s="48"/>
      <c r="S719" s="48"/>
      <c r="T719" s="48"/>
      <c r="U719" s="48"/>
      <c r="V719" s="48"/>
      <c r="W719" s="48"/>
      <c r="X719" s="48"/>
      <c r="Y719" s="48"/>
      <c r="Z719" s="48"/>
      <c r="AA719" s="48"/>
      <c r="AB719" s="48"/>
      <c r="AC719" s="48"/>
      <c r="AD719" s="48"/>
      <c r="AE719" s="48"/>
      <c r="AF719" s="48"/>
      <c r="AG719" s="48"/>
      <c r="AH719" s="48"/>
      <c r="AI719" s="48"/>
      <c r="AJ719" s="48"/>
      <c r="AK719" s="48"/>
      <c r="AL719" s="48"/>
      <c r="AM719" s="48"/>
      <c r="AN719" s="48"/>
      <c r="AO719" s="48"/>
      <c r="AP719" s="48"/>
      <c r="AQ719" s="48"/>
      <c r="AR719" s="48"/>
      <c r="AS719" s="48"/>
      <c r="AT719" s="48"/>
      <c r="AU719" s="48"/>
      <c r="AV719" s="48"/>
      <c r="AW719" s="48"/>
      <c r="AX719" s="48"/>
      <c r="AY719" s="48"/>
      <c r="AZ719" s="48"/>
      <c r="BA719" s="48"/>
      <c r="BB719" s="48"/>
      <c r="BC719" s="48"/>
      <c r="BD719" s="48"/>
      <c r="BE719" s="48"/>
      <c r="BF719" s="48"/>
      <c r="BG719" s="48"/>
      <c r="BH719" s="48"/>
      <c r="BI719" s="48"/>
      <c r="BJ719" s="48"/>
      <c r="BK719" s="48"/>
      <c r="BL719" s="48"/>
      <c r="BM719" s="48"/>
      <c r="BN719" s="48"/>
      <c r="BO719" s="48"/>
      <c r="BP719" s="48"/>
      <c r="BQ719" s="48"/>
      <c r="BR719" s="48"/>
      <c r="BS719" s="48"/>
      <c r="BT719" s="48"/>
      <c r="BU719" s="48"/>
      <c r="BV719" s="48"/>
      <c r="BW719" s="48"/>
      <c r="BX719" s="111"/>
    </row>
    <row r="720" spans="1:76">
      <c r="A720" s="37"/>
      <c r="B720" s="37"/>
      <c r="C720" s="37"/>
      <c r="D720" s="37" t="s">
        <v>1479</v>
      </c>
      <c r="E720" s="37"/>
      <c r="F720" s="37"/>
      <c r="G720" s="39">
        <f t="shared" ref="G720:N720" si="99">IF(AND(OR(ISTEXT(G721), ISBLANK(G721)),OR(ISTEXT(G722), ISBLANK(G722)),OR(ISTEXT(G723), ISBLANK(G723)),OR(ISTEXT(G724), ISBLANK(G724)),OR(ISTEXT(G725), ISBLANK(G725)),OR(ISTEXT(G726), ISBLANK(G726)),OR(ISTEXT(G727), ISBLANK(G727)),TRUE),"", +IF(ISTEXT(G721), 0,G721)+IF(ISTEXT(G722), 0,G722)-IF(ISTEXT(G723), 0,G723)+IF(ISTEXT(G724), 0,G724)-IF(ISTEXT(G725), 0,G725)+IF(ISTEXT(G726), 0,G726)+IF(ISTEXT(G727), 0,G727))</f>
        <v>-2</v>
      </c>
      <c r="H720" s="39">
        <f t="shared" si="99"/>
        <v>1</v>
      </c>
      <c r="I720" s="39">
        <f t="shared" si="99"/>
        <v>-1</v>
      </c>
      <c r="J720" s="39">
        <f t="shared" si="99"/>
        <v>1</v>
      </c>
      <c r="K720" s="39">
        <f t="shared" si="99"/>
        <v>-1</v>
      </c>
      <c r="L720" s="39">
        <f t="shared" si="99"/>
        <v>0</v>
      </c>
      <c r="M720" s="39">
        <f t="shared" si="99"/>
        <v>1</v>
      </c>
      <c r="N720" s="39">
        <f t="shared" si="99"/>
        <v>1</v>
      </c>
      <c r="O720" s="36"/>
      <c r="P720" s="48"/>
      <c r="Q720" s="48"/>
      <c r="R720" s="48"/>
      <c r="S720" s="48"/>
      <c r="T720" s="48"/>
      <c r="U720" s="48"/>
      <c r="V720" s="48"/>
      <c r="W720" s="48"/>
      <c r="X720" s="48"/>
      <c r="Y720" s="48"/>
      <c r="Z720" s="48"/>
      <c r="AA720" s="48"/>
      <c r="AB720" s="48"/>
      <c r="AC720" s="48"/>
      <c r="AD720" s="48"/>
      <c r="AE720" s="48"/>
      <c r="AF720" s="48"/>
      <c r="AG720" s="48"/>
      <c r="AH720" s="48"/>
      <c r="AI720" s="48"/>
      <c r="AJ720" s="48"/>
      <c r="AK720" s="48"/>
      <c r="AL720" s="48"/>
      <c r="AM720" s="48"/>
      <c r="AN720" s="48"/>
      <c r="AO720" s="48"/>
      <c r="AP720" s="48"/>
      <c r="AQ720" s="48"/>
      <c r="AR720" s="48"/>
      <c r="AS720" s="48"/>
      <c r="AT720" s="48"/>
      <c r="AU720" s="48"/>
      <c r="AV720" s="48"/>
      <c r="AW720" s="48"/>
      <c r="AX720" s="48"/>
      <c r="AY720" s="48"/>
      <c r="AZ720" s="48"/>
      <c r="BA720" s="48"/>
      <c r="BB720" s="48"/>
      <c r="BC720" s="48"/>
      <c r="BD720" s="48"/>
      <c r="BE720" s="48"/>
      <c r="BF720" s="48"/>
      <c r="BG720" s="48"/>
      <c r="BH720" s="48"/>
      <c r="BI720" s="48"/>
      <c r="BJ720" s="48"/>
      <c r="BK720" s="48"/>
      <c r="BL720" s="48"/>
      <c r="BM720" s="48"/>
      <c r="BN720" s="48"/>
      <c r="BO720" s="48"/>
      <c r="BP720" s="48"/>
      <c r="BQ720" s="48"/>
      <c r="BR720" s="48"/>
      <c r="BS720" s="48"/>
      <c r="BT720" s="48"/>
      <c r="BU720" s="48"/>
      <c r="BV720" s="48"/>
      <c r="BW720" s="48"/>
      <c r="BX720" s="111"/>
    </row>
    <row r="721" spans="1:76">
      <c r="A721" s="37"/>
      <c r="B721" s="37"/>
      <c r="C721" s="37"/>
      <c r="D721" s="37"/>
      <c r="E721" s="37" t="s">
        <v>1480</v>
      </c>
      <c r="F721" s="37"/>
      <c r="G721" s="59">
        <v>1</v>
      </c>
      <c r="H721" s="59">
        <v>1</v>
      </c>
      <c r="I721" s="59">
        <v>0</v>
      </c>
      <c r="J721" s="59">
        <v>0</v>
      </c>
      <c r="K721" s="59">
        <v>0</v>
      </c>
      <c r="L721" s="59">
        <v>0</v>
      </c>
      <c r="M721" s="59">
        <v>0</v>
      </c>
      <c r="N721" s="59">
        <v>0</v>
      </c>
      <c r="O721" s="36"/>
      <c r="P721" s="48"/>
      <c r="Q721" s="48"/>
      <c r="R721" s="48"/>
      <c r="S721" s="48"/>
      <c r="T721" s="48"/>
      <c r="U721" s="48"/>
      <c r="V721" s="48"/>
      <c r="W721" s="48"/>
      <c r="X721" s="48"/>
      <c r="Y721" s="48"/>
      <c r="Z721" s="48"/>
      <c r="AA721" s="48"/>
      <c r="AB721" s="48"/>
      <c r="AC721" s="48"/>
      <c r="AD721" s="48"/>
      <c r="AE721" s="48"/>
      <c r="AF721" s="48"/>
      <c r="AG721" s="48"/>
      <c r="AH721" s="48"/>
      <c r="AI721" s="48"/>
      <c r="AJ721" s="48"/>
      <c r="AK721" s="48"/>
      <c r="AL721" s="48"/>
      <c r="AM721" s="48"/>
      <c r="AN721" s="48"/>
      <c r="AO721" s="48"/>
      <c r="AP721" s="48"/>
      <c r="AQ721" s="48"/>
      <c r="AR721" s="48"/>
      <c r="AS721" s="48"/>
      <c r="AT721" s="48"/>
      <c r="AU721" s="48"/>
      <c r="AV721" s="48"/>
      <c r="AW721" s="48"/>
      <c r="AX721" s="48"/>
      <c r="AY721" s="48"/>
      <c r="AZ721" s="48"/>
      <c r="BA721" s="48"/>
      <c r="BB721" s="48"/>
      <c r="BC721" s="48"/>
      <c r="BD721" s="48"/>
      <c r="BE721" s="48"/>
      <c r="BF721" s="48"/>
      <c r="BG721" s="48"/>
      <c r="BH721" s="48"/>
      <c r="BI721" s="48"/>
      <c r="BJ721" s="48"/>
      <c r="BK721" s="48"/>
      <c r="BL721" s="48"/>
      <c r="BM721" s="48"/>
      <c r="BN721" s="48"/>
      <c r="BO721" s="48"/>
      <c r="BP721" s="48"/>
      <c r="BQ721" s="48"/>
      <c r="BR721" s="48"/>
      <c r="BS721" s="48"/>
      <c r="BT721" s="48"/>
      <c r="BU721" s="48"/>
      <c r="BV721" s="48"/>
      <c r="BW721" s="48"/>
      <c r="BX721" s="111"/>
    </row>
    <row r="722" spans="1:76">
      <c r="A722" s="37"/>
      <c r="B722" s="37"/>
      <c r="C722" s="37"/>
      <c r="D722" s="37"/>
      <c r="E722" s="37" t="s">
        <v>1481</v>
      </c>
      <c r="F722" s="37"/>
      <c r="G722" s="59">
        <v>2</v>
      </c>
      <c r="H722" s="59">
        <v>2</v>
      </c>
      <c r="I722" s="59">
        <v>2</v>
      </c>
      <c r="J722" s="59">
        <v>2</v>
      </c>
      <c r="K722" s="59">
        <v>2</v>
      </c>
      <c r="L722" s="59">
        <v>2</v>
      </c>
      <c r="M722" s="59">
        <v>2</v>
      </c>
      <c r="N722" s="59">
        <v>2</v>
      </c>
      <c r="O722" s="36"/>
      <c r="P722" s="48"/>
      <c r="Q722" s="48"/>
      <c r="R722" s="48"/>
      <c r="S722" s="48"/>
      <c r="T722" s="48"/>
      <c r="U722" s="48"/>
      <c r="V722" s="48"/>
      <c r="W722" s="48"/>
      <c r="X722" s="48"/>
      <c r="Y722" s="48"/>
      <c r="Z722" s="48"/>
      <c r="AA722" s="48"/>
      <c r="AB722" s="48"/>
      <c r="AC722" s="48"/>
      <c r="AD722" s="48"/>
      <c r="AE722" s="48"/>
      <c r="AF722" s="48"/>
      <c r="AG722" s="48"/>
      <c r="AH722" s="48"/>
      <c r="AI722" s="48"/>
      <c r="AJ722" s="48"/>
      <c r="AK722" s="48"/>
      <c r="AL722" s="48"/>
      <c r="AM722" s="48"/>
      <c r="AN722" s="48"/>
      <c r="AO722" s="48"/>
      <c r="AP722" s="48"/>
      <c r="AQ722" s="48"/>
      <c r="AR722" s="48"/>
      <c r="AS722" s="48"/>
      <c r="AT722" s="48"/>
      <c r="AU722" s="48"/>
      <c r="AV722" s="48"/>
      <c r="AW722" s="48"/>
      <c r="AX722" s="48"/>
      <c r="AY722" s="48"/>
      <c r="AZ722" s="48"/>
      <c r="BA722" s="48"/>
      <c r="BB722" s="48"/>
      <c r="BC722" s="48"/>
      <c r="BD722" s="48"/>
      <c r="BE722" s="48"/>
      <c r="BF722" s="48"/>
      <c r="BG722" s="48"/>
      <c r="BH722" s="48"/>
      <c r="BI722" s="48"/>
      <c r="BJ722" s="48"/>
      <c r="BK722" s="48"/>
      <c r="BL722" s="48"/>
      <c r="BM722" s="48"/>
      <c r="BN722" s="48"/>
      <c r="BO722" s="48"/>
      <c r="BP722" s="48"/>
      <c r="BQ722" s="48"/>
      <c r="BR722" s="48"/>
      <c r="BS722" s="48"/>
      <c r="BT722" s="48"/>
      <c r="BU722" s="48"/>
      <c r="BV722" s="48"/>
      <c r="BW722" s="48"/>
      <c r="BX722" s="111"/>
    </row>
    <row r="723" spans="1:76">
      <c r="A723" s="37"/>
      <c r="B723" s="37"/>
      <c r="C723" s="37"/>
      <c r="D723" s="37"/>
      <c r="E723" s="37" t="s">
        <v>1482</v>
      </c>
      <c r="F723" s="37"/>
      <c r="G723" s="59">
        <v>2</v>
      </c>
      <c r="H723" s="59">
        <v>2</v>
      </c>
      <c r="I723" s="59">
        <v>2</v>
      </c>
      <c r="J723" s="59">
        <v>0</v>
      </c>
      <c r="K723" s="59">
        <v>2</v>
      </c>
      <c r="L723" s="59">
        <v>1</v>
      </c>
      <c r="M723" s="59">
        <v>1</v>
      </c>
      <c r="N723" s="59">
        <v>1</v>
      </c>
      <c r="O723" s="36"/>
      <c r="P723" s="48"/>
      <c r="Q723" s="48"/>
      <c r="R723" s="48"/>
      <c r="S723" s="48"/>
      <c r="T723" s="48"/>
      <c r="U723" s="48"/>
      <c r="V723" s="48"/>
      <c r="W723" s="48"/>
      <c r="X723" s="48"/>
      <c r="Y723" s="48"/>
      <c r="Z723" s="48"/>
      <c r="AA723" s="48"/>
      <c r="AB723" s="48"/>
      <c r="AC723" s="48"/>
      <c r="AD723" s="48"/>
      <c r="AE723" s="48"/>
      <c r="AF723" s="48"/>
      <c r="AG723" s="48"/>
      <c r="AH723" s="48"/>
      <c r="AI723" s="48"/>
      <c r="AJ723" s="48"/>
      <c r="AK723" s="48"/>
      <c r="AL723" s="48"/>
      <c r="AM723" s="48"/>
      <c r="AN723" s="48"/>
      <c r="AO723" s="48"/>
      <c r="AP723" s="48"/>
      <c r="AQ723" s="48"/>
      <c r="AR723" s="48"/>
      <c r="AS723" s="48"/>
      <c r="AT723" s="48"/>
      <c r="AU723" s="48"/>
      <c r="AV723" s="48"/>
      <c r="AW723" s="48"/>
      <c r="AX723" s="48"/>
      <c r="AY723" s="48"/>
      <c r="AZ723" s="48"/>
      <c r="BA723" s="48"/>
      <c r="BB723" s="48"/>
      <c r="BC723" s="48"/>
      <c r="BD723" s="48"/>
      <c r="BE723" s="48"/>
      <c r="BF723" s="48"/>
      <c r="BG723" s="48"/>
      <c r="BH723" s="48"/>
      <c r="BI723" s="48"/>
      <c r="BJ723" s="48"/>
      <c r="BK723" s="48"/>
      <c r="BL723" s="48"/>
      <c r="BM723" s="48"/>
      <c r="BN723" s="48"/>
      <c r="BO723" s="48"/>
      <c r="BP723" s="48"/>
      <c r="BQ723" s="48"/>
      <c r="BR723" s="48"/>
      <c r="BS723" s="48"/>
      <c r="BT723" s="48"/>
      <c r="BU723" s="48"/>
      <c r="BV723" s="48"/>
      <c r="BW723" s="48"/>
      <c r="BX723" s="111"/>
    </row>
    <row r="724" spans="1:76">
      <c r="A724" s="37"/>
      <c r="B724" s="37"/>
      <c r="C724" s="37"/>
      <c r="D724" s="37"/>
      <c r="E724" s="37" t="s">
        <v>1467</v>
      </c>
      <c r="F724" s="37"/>
      <c r="G724" s="59">
        <v>-1</v>
      </c>
      <c r="H724" s="59">
        <v>0</v>
      </c>
      <c r="I724" s="59">
        <v>-1</v>
      </c>
      <c r="J724" s="59">
        <v>-1</v>
      </c>
      <c r="K724" s="59">
        <v>-1</v>
      </c>
      <c r="L724" s="59">
        <v>0</v>
      </c>
      <c r="M724" s="59">
        <v>0</v>
      </c>
      <c r="N724" s="59">
        <v>0</v>
      </c>
      <c r="O724" s="36"/>
      <c r="P724" s="48"/>
      <c r="Q724" s="48"/>
      <c r="R724" s="48"/>
      <c r="S724" s="48"/>
      <c r="T724" s="48"/>
      <c r="U724" s="48"/>
      <c r="V724" s="48"/>
      <c r="W724" s="48"/>
      <c r="X724" s="48"/>
      <c r="Y724" s="48"/>
      <c r="Z724" s="48"/>
      <c r="AA724" s="48"/>
      <c r="AB724" s="48"/>
      <c r="AC724" s="48"/>
      <c r="AD724" s="48"/>
      <c r="AE724" s="48"/>
      <c r="AF724" s="48"/>
      <c r="AG724" s="48"/>
      <c r="AH724" s="48"/>
      <c r="AI724" s="48"/>
      <c r="AJ724" s="48"/>
      <c r="AK724" s="48"/>
      <c r="AL724" s="48"/>
      <c r="AM724" s="48"/>
      <c r="AN724" s="48"/>
      <c r="AO724" s="48"/>
      <c r="AP724" s="48"/>
      <c r="AQ724" s="48"/>
      <c r="AR724" s="48"/>
      <c r="AS724" s="48"/>
      <c r="AT724" s="48"/>
      <c r="AU724" s="48"/>
      <c r="AV724" s="48"/>
      <c r="AW724" s="48"/>
      <c r="AX724" s="48"/>
      <c r="AY724" s="48"/>
      <c r="AZ724" s="48"/>
      <c r="BA724" s="48"/>
      <c r="BB724" s="48"/>
      <c r="BC724" s="48"/>
      <c r="BD724" s="48"/>
      <c r="BE724" s="48"/>
      <c r="BF724" s="48"/>
      <c r="BG724" s="48"/>
      <c r="BH724" s="48"/>
      <c r="BI724" s="48"/>
      <c r="BJ724" s="48"/>
      <c r="BK724" s="48"/>
      <c r="BL724" s="48"/>
      <c r="BM724" s="48"/>
      <c r="BN724" s="48"/>
      <c r="BO724" s="48"/>
      <c r="BP724" s="48"/>
      <c r="BQ724" s="48"/>
      <c r="BR724" s="48"/>
      <c r="BS724" s="48"/>
      <c r="BT724" s="48"/>
      <c r="BU724" s="48"/>
      <c r="BV724" s="48"/>
      <c r="BW724" s="48"/>
      <c r="BX724" s="111"/>
    </row>
    <row r="725" spans="1:76">
      <c r="A725" s="37"/>
      <c r="B725" s="37"/>
      <c r="C725" s="37"/>
      <c r="D725" s="37"/>
      <c r="E725" s="37" t="s">
        <v>876</v>
      </c>
      <c r="F725" s="37"/>
      <c r="G725" s="59">
        <v>0</v>
      </c>
      <c r="H725" s="59">
        <v>0</v>
      </c>
      <c r="I725" s="59">
        <v>0</v>
      </c>
      <c r="J725" s="59">
        <v>0</v>
      </c>
      <c r="K725" s="59">
        <v>0</v>
      </c>
      <c r="L725" s="59">
        <v>1</v>
      </c>
      <c r="M725" s="59"/>
      <c r="N725" s="59"/>
      <c r="O725" s="36"/>
      <c r="P725" s="48"/>
      <c r="Q725" s="48"/>
      <c r="R725" s="48"/>
      <c r="S725" s="48"/>
      <c r="T725" s="48"/>
      <c r="U725" s="48"/>
      <c r="V725" s="48"/>
      <c r="W725" s="48"/>
      <c r="X725" s="48"/>
      <c r="Y725" s="48"/>
      <c r="Z725" s="48"/>
      <c r="AA725" s="48"/>
      <c r="AB725" s="48"/>
      <c r="AC725" s="48"/>
      <c r="AD725" s="48"/>
      <c r="AE725" s="48"/>
      <c r="AF725" s="48"/>
      <c r="AG725" s="48"/>
      <c r="AH725" s="48"/>
      <c r="AI725" s="48"/>
      <c r="AJ725" s="48"/>
      <c r="AK725" s="48"/>
      <c r="AL725" s="48"/>
      <c r="AM725" s="48"/>
      <c r="AN725" s="48"/>
      <c r="AO725" s="48"/>
      <c r="AP725" s="48"/>
      <c r="AQ725" s="48"/>
      <c r="AR725" s="48"/>
      <c r="AS725" s="48"/>
      <c r="AT725" s="48"/>
      <c r="AU725" s="48"/>
      <c r="AV725" s="48"/>
      <c r="AW725" s="48"/>
      <c r="AX725" s="48"/>
      <c r="AY725" s="48"/>
      <c r="AZ725" s="48"/>
      <c r="BA725" s="48"/>
      <c r="BB725" s="48"/>
      <c r="BC725" s="48"/>
      <c r="BD725" s="48"/>
      <c r="BE725" s="48"/>
      <c r="BF725" s="48"/>
      <c r="BG725" s="48"/>
      <c r="BH725" s="48"/>
      <c r="BI725" s="48"/>
      <c r="BJ725" s="48"/>
      <c r="BK725" s="48"/>
      <c r="BL725" s="48"/>
      <c r="BM725" s="48"/>
      <c r="BN725" s="48"/>
      <c r="BO725" s="48"/>
      <c r="BP725" s="48"/>
      <c r="BQ725" s="48"/>
      <c r="BR725" s="48"/>
      <c r="BS725" s="48"/>
      <c r="BT725" s="48"/>
      <c r="BU725" s="48"/>
      <c r="BV725" s="48"/>
      <c r="BW725" s="48"/>
      <c r="BX725" s="111"/>
    </row>
    <row r="726" spans="1:76">
      <c r="A726" s="37"/>
      <c r="B726" s="37"/>
      <c r="C726" s="37"/>
      <c r="D726" s="37"/>
      <c r="E726" s="37" t="s">
        <v>545</v>
      </c>
      <c r="F726" s="37"/>
      <c r="G726" s="59">
        <f>-3+1</f>
        <v>-2</v>
      </c>
      <c r="H726" s="59"/>
      <c r="I726" s="59"/>
      <c r="J726" s="59"/>
      <c r="K726" s="59"/>
      <c r="L726" s="59"/>
      <c r="M726" s="59"/>
      <c r="N726" s="59"/>
      <c r="O726" s="36"/>
      <c r="P726" s="48"/>
      <c r="Q726" s="48"/>
      <c r="R726" s="48"/>
      <c r="S726" s="48"/>
      <c r="T726" s="48"/>
      <c r="U726" s="48"/>
      <c r="V726" s="48"/>
      <c r="W726" s="48"/>
      <c r="X726" s="48"/>
      <c r="Y726" s="48"/>
      <c r="Z726" s="48"/>
      <c r="AA726" s="48"/>
      <c r="AB726" s="48"/>
      <c r="AC726" s="48"/>
      <c r="AD726" s="48"/>
      <c r="AE726" s="48"/>
      <c r="AF726" s="48"/>
      <c r="AG726" s="48"/>
      <c r="AH726" s="48"/>
      <c r="AI726" s="48"/>
      <c r="AJ726" s="48"/>
      <c r="AK726" s="48"/>
      <c r="AL726" s="48"/>
      <c r="AM726" s="48"/>
      <c r="AN726" s="48"/>
      <c r="AO726" s="48"/>
      <c r="AP726" s="48"/>
      <c r="AQ726" s="48"/>
      <c r="AR726" s="48"/>
      <c r="AS726" s="48"/>
      <c r="AT726" s="48"/>
      <c r="AU726" s="48"/>
      <c r="AV726" s="48"/>
      <c r="AW726" s="48"/>
      <c r="AX726" s="48"/>
      <c r="AY726" s="48"/>
      <c r="AZ726" s="48"/>
      <c r="BA726" s="48"/>
      <c r="BB726" s="48"/>
      <c r="BC726" s="48"/>
      <c r="BD726" s="48"/>
      <c r="BE726" s="48"/>
      <c r="BF726" s="48"/>
      <c r="BG726" s="48"/>
      <c r="BH726" s="48"/>
      <c r="BI726" s="48"/>
      <c r="BJ726" s="48"/>
      <c r="BK726" s="48"/>
      <c r="BL726" s="48"/>
      <c r="BM726" s="48"/>
      <c r="BN726" s="48"/>
      <c r="BO726" s="48"/>
      <c r="BP726" s="48"/>
      <c r="BQ726" s="48"/>
      <c r="BR726" s="48"/>
      <c r="BS726" s="48"/>
      <c r="BT726" s="48"/>
      <c r="BU726" s="48"/>
      <c r="BV726" s="48"/>
      <c r="BW726" s="48"/>
      <c r="BX726" s="111"/>
    </row>
    <row r="727" spans="1:76">
      <c r="A727" s="37"/>
      <c r="B727" s="37"/>
      <c r="C727" s="37"/>
      <c r="D727" s="37"/>
      <c r="E727" s="37" t="s">
        <v>916</v>
      </c>
      <c r="F727" s="37"/>
      <c r="G727" s="59"/>
      <c r="H727" s="59"/>
      <c r="I727" s="59"/>
      <c r="J727" s="59"/>
      <c r="K727" s="59"/>
      <c r="L727" s="59"/>
      <c r="M727" s="59"/>
      <c r="N727" s="59"/>
      <c r="O727" s="36"/>
      <c r="P727" s="48"/>
      <c r="Q727" s="48"/>
      <c r="R727" s="48"/>
      <c r="S727" s="48"/>
      <c r="T727" s="48"/>
      <c r="U727" s="48"/>
      <c r="V727" s="48"/>
      <c r="W727" s="48"/>
      <c r="X727" s="48"/>
      <c r="Y727" s="48"/>
      <c r="Z727" s="48"/>
      <c r="AA727" s="48"/>
      <c r="AB727" s="48"/>
      <c r="AC727" s="48"/>
      <c r="AD727" s="48"/>
      <c r="AE727" s="48"/>
      <c r="AF727" s="48"/>
      <c r="AG727" s="48"/>
      <c r="AH727" s="48"/>
      <c r="AI727" s="48"/>
      <c r="AJ727" s="48"/>
      <c r="AK727" s="48"/>
      <c r="AL727" s="48"/>
      <c r="AM727" s="48"/>
      <c r="AN727" s="48"/>
      <c r="AO727" s="48"/>
      <c r="AP727" s="48"/>
      <c r="AQ727" s="48"/>
      <c r="AR727" s="48"/>
      <c r="AS727" s="48"/>
      <c r="AT727" s="48"/>
      <c r="AU727" s="48"/>
      <c r="AV727" s="48"/>
      <c r="AW727" s="48"/>
      <c r="AX727" s="48"/>
      <c r="AY727" s="48"/>
      <c r="AZ727" s="48"/>
      <c r="BA727" s="48"/>
      <c r="BB727" s="48"/>
      <c r="BC727" s="48"/>
      <c r="BD727" s="48"/>
      <c r="BE727" s="48"/>
      <c r="BF727" s="48"/>
      <c r="BG727" s="48"/>
      <c r="BH727" s="48"/>
      <c r="BI727" s="48"/>
      <c r="BJ727" s="48"/>
      <c r="BK727" s="48"/>
      <c r="BL727" s="48"/>
      <c r="BM727" s="48"/>
      <c r="BN727" s="48"/>
      <c r="BO727" s="48"/>
      <c r="BP727" s="48"/>
      <c r="BQ727" s="48"/>
      <c r="BR727" s="48"/>
      <c r="BS727" s="48"/>
      <c r="BT727" s="48"/>
      <c r="BU727" s="48"/>
      <c r="BV727" s="48"/>
      <c r="BW727" s="48"/>
      <c r="BX727" s="111"/>
    </row>
    <row r="728" spans="1:76">
      <c r="A728" s="37"/>
      <c r="B728" s="37"/>
      <c r="C728" s="37"/>
      <c r="D728" s="37" t="s">
        <v>2234</v>
      </c>
      <c r="E728" s="37"/>
      <c r="F728" s="37"/>
      <c r="G728" s="39">
        <f t="shared" ref="G728:N728" si="100">IF(AND(OR(ISTEXT(G729), ISBLANK(G729)),OR(ISTEXT(G730), ISBLANK(G730)),TRUE),"", +IF(ISTEXT(G729), 0,G729)-IF(ISTEXT(G730), 0,G730))</f>
        <v>0</v>
      </c>
      <c r="H728" s="39">
        <f t="shared" si="100"/>
        <v>0</v>
      </c>
      <c r="I728" s="39">
        <f t="shared" si="100"/>
        <v>0</v>
      </c>
      <c r="J728" s="39">
        <f t="shared" si="100"/>
        <v>0</v>
      </c>
      <c r="K728" s="39">
        <f t="shared" si="100"/>
        <v>0</v>
      </c>
      <c r="L728" s="39">
        <f t="shared" si="100"/>
        <v>0</v>
      </c>
      <c r="M728" s="39">
        <f t="shared" si="100"/>
        <v>0</v>
      </c>
      <c r="N728" s="39">
        <f t="shared" si="100"/>
        <v>0</v>
      </c>
      <c r="O728" s="36"/>
      <c r="P728" s="48"/>
      <c r="Q728" s="48"/>
      <c r="R728" s="48"/>
      <c r="S728" s="48"/>
      <c r="T728" s="48"/>
      <c r="U728" s="48"/>
      <c r="V728" s="48"/>
      <c r="W728" s="48"/>
      <c r="X728" s="48"/>
      <c r="Y728" s="48"/>
      <c r="Z728" s="48"/>
      <c r="AA728" s="48"/>
      <c r="AB728" s="48"/>
      <c r="AC728" s="48"/>
      <c r="AD728" s="48"/>
      <c r="AE728" s="48"/>
      <c r="AF728" s="48"/>
      <c r="AG728" s="48"/>
      <c r="AH728" s="48"/>
      <c r="AI728" s="48"/>
      <c r="AJ728" s="48"/>
      <c r="AK728" s="48"/>
      <c r="AL728" s="48"/>
      <c r="AM728" s="48"/>
      <c r="AN728" s="48"/>
      <c r="AO728" s="48"/>
      <c r="AP728" s="48"/>
      <c r="AQ728" s="48"/>
      <c r="AR728" s="48"/>
      <c r="AS728" s="48"/>
      <c r="AT728" s="48"/>
      <c r="AU728" s="48"/>
      <c r="AV728" s="48"/>
      <c r="AW728" s="48"/>
      <c r="AX728" s="48"/>
      <c r="AY728" s="48"/>
      <c r="AZ728" s="48"/>
      <c r="BA728" s="48"/>
      <c r="BB728" s="48"/>
      <c r="BC728" s="48"/>
      <c r="BD728" s="48"/>
      <c r="BE728" s="48"/>
      <c r="BF728" s="48"/>
      <c r="BG728" s="48"/>
      <c r="BH728" s="48"/>
      <c r="BI728" s="48"/>
      <c r="BJ728" s="48"/>
      <c r="BK728" s="48"/>
      <c r="BL728" s="48"/>
      <c r="BM728" s="48"/>
      <c r="BN728" s="48"/>
      <c r="BO728" s="48"/>
      <c r="BP728" s="48"/>
      <c r="BQ728" s="48"/>
      <c r="BR728" s="48"/>
      <c r="BS728" s="48"/>
      <c r="BT728" s="48"/>
      <c r="BU728" s="48"/>
      <c r="BV728" s="48"/>
      <c r="BW728" s="48"/>
      <c r="BX728" s="111"/>
    </row>
    <row r="729" spans="1:76">
      <c r="A729" s="37"/>
      <c r="B729" s="37"/>
      <c r="C729" s="37"/>
      <c r="D729" s="37"/>
      <c r="E729" s="37" t="s">
        <v>1204</v>
      </c>
      <c r="F729" s="37"/>
      <c r="G729" s="59">
        <v>1</v>
      </c>
      <c r="H729" s="59">
        <v>2</v>
      </c>
      <c r="I729" s="59">
        <v>2</v>
      </c>
      <c r="J729" s="59">
        <v>2</v>
      </c>
      <c r="K729" s="59">
        <v>2</v>
      </c>
      <c r="L729" s="59">
        <v>3</v>
      </c>
      <c r="M729" s="59">
        <v>2</v>
      </c>
      <c r="N729" s="59">
        <v>3</v>
      </c>
      <c r="O729" s="36"/>
      <c r="P729" s="48"/>
      <c r="Q729" s="48"/>
      <c r="R729" s="48"/>
      <c r="S729" s="48"/>
      <c r="T729" s="48"/>
      <c r="U729" s="48"/>
      <c r="V729" s="48"/>
      <c r="W729" s="48"/>
      <c r="X729" s="48"/>
      <c r="Y729" s="48"/>
      <c r="Z729" s="48"/>
      <c r="AA729" s="48"/>
      <c r="AB729" s="48"/>
      <c r="AC729" s="48"/>
      <c r="AD729" s="48"/>
      <c r="AE729" s="48"/>
      <c r="AF729" s="48"/>
      <c r="AG729" s="48"/>
      <c r="AH729" s="48"/>
      <c r="AI729" s="48"/>
      <c r="AJ729" s="48"/>
      <c r="AK729" s="48"/>
      <c r="AL729" s="48"/>
      <c r="AM729" s="48"/>
      <c r="AN729" s="48"/>
      <c r="AO729" s="48"/>
      <c r="AP729" s="48"/>
      <c r="AQ729" s="48"/>
      <c r="AR729" s="48"/>
      <c r="AS729" s="48"/>
      <c r="AT729" s="48"/>
      <c r="AU729" s="48"/>
      <c r="AV729" s="48"/>
      <c r="AW729" s="48"/>
      <c r="AX729" s="48"/>
      <c r="AY729" s="48"/>
      <c r="AZ729" s="48"/>
      <c r="BA729" s="48"/>
      <c r="BB729" s="48"/>
      <c r="BC729" s="48"/>
      <c r="BD729" s="48"/>
      <c r="BE729" s="48"/>
      <c r="BF729" s="48"/>
      <c r="BG729" s="48"/>
      <c r="BH729" s="48"/>
      <c r="BI729" s="48"/>
      <c r="BJ729" s="48"/>
      <c r="BK729" s="48"/>
      <c r="BL729" s="48"/>
      <c r="BM729" s="48"/>
      <c r="BN729" s="48"/>
      <c r="BO729" s="48"/>
      <c r="BP729" s="48"/>
      <c r="BQ729" s="48"/>
      <c r="BR729" s="48"/>
      <c r="BS729" s="48"/>
      <c r="BT729" s="48"/>
      <c r="BU729" s="48"/>
      <c r="BV729" s="48"/>
      <c r="BW729" s="48"/>
      <c r="BX729" s="111"/>
    </row>
    <row r="730" spans="1:76">
      <c r="A730" s="37"/>
      <c r="B730" s="37"/>
      <c r="C730" s="37"/>
      <c r="D730" s="37"/>
      <c r="E730" s="37" t="s">
        <v>1737</v>
      </c>
      <c r="F730" s="37"/>
      <c r="G730" s="59">
        <v>1</v>
      </c>
      <c r="H730" s="59">
        <v>2</v>
      </c>
      <c r="I730" s="59">
        <v>2</v>
      </c>
      <c r="J730" s="59">
        <v>2</v>
      </c>
      <c r="K730" s="59">
        <v>2</v>
      </c>
      <c r="L730" s="59">
        <v>3</v>
      </c>
      <c r="M730" s="59">
        <v>2</v>
      </c>
      <c r="N730" s="59">
        <v>3</v>
      </c>
      <c r="O730" s="36"/>
      <c r="P730" s="48"/>
      <c r="Q730" s="48"/>
      <c r="R730" s="48"/>
      <c r="S730" s="48"/>
      <c r="T730" s="48"/>
      <c r="U730" s="48"/>
      <c r="V730" s="48"/>
      <c r="W730" s="48"/>
      <c r="X730" s="48"/>
      <c r="Y730" s="48"/>
      <c r="Z730" s="48"/>
      <c r="AA730" s="48"/>
      <c r="AB730" s="48"/>
      <c r="AC730" s="48"/>
      <c r="AD730" s="48"/>
      <c r="AE730" s="48"/>
      <c r="AF730" s="48"/>
      <c r="AG730" s="48"/>
      <c r="AH730" s="48"/>
      <c r="AI730" s="48"/>
      <c r="AJ730" s="48"/>
      <c r="AK730" s="48"/>
      <c r="AL730" s="48"/>
      <c r="AM730" s="48"/>
      <c r="AN730" s="48"/>
      <c r="AO730" s="48"/>
      <c r="AP730" s="48"/>
      <c r="AQ730" s="48"/>
      <c r="AR730" s="48"/>
      <c r="AS730" s="48"/>
      <c r="AT730" s="48"/>
      <c r="AU730" s="48"/>
      <c r="AV730" s="48"/>
      <c r="AW730" s="48"/>
      <c r="AX730" s="48"/>
      <c r="AY730" s="48"/>
      <c r="AZ730" s="48"/>
      <c r="BA730" s="48"/>
      <c r="BB730" s="48"/>
      <c r="BC730" s="48"/>
      <c r="BD730" s="48"/>
      <c r="BE730" s="48"/>
      <c r="BF730" s="48"/>
      <c r="BG730" s="48"/>
      <c r="BH730" s="48"/>
      <c r="BI730" s="48"/>
      <c r="BJ730" s="48"/>
      <c r="BK730" s="48"/>
      <c r="BL730" s="48"/>
      <c r="BM730" s="48"/>
      <c r="BN730" s="48"/>
      <c r="BO730" s="48"/>
      <c r="BP730" s="48"/>
      <c r="BQ730" s="48"/>
      <c r="BR730" s="48"/>
      <c r="BS730" s="48"/>
      <c r="BT730" s="48"/>
      <c r="BU730" s="48"/>
      <c r="BV730" s="48"/>
      <c r="BW730" s="48"/>
      <c r="BX730" s="111"/>
    </row>
    <row r="731" spans="1:76">
      <c r="A731" s="37"/>
      <c r="B731" s="37"/>
      <c r="C731" s="37"/>
      <c r="D731" s="37" t="s">
        <v>2035</v>
      </c>
      <c r="E731" s="37"/>
      <c r="F731" s="37"/>
      <c r="G731" s="59">
        <v>4</v>
      </c>
      <c r="H731" s="59">
        <v>1</v>
      </c>
      <c r="I731" s="59">
        <v>2</v>
      </c>
      <c r="J731" s="59">
        <v>0</v>
      </c>
      <c r="K731" s="59">
        <v>-1</v>
      </c>
      <c r="L731" s="59">
        <v>-2</v>
      </c>
      <c r="M731" s="59">
        <v>2</v>
      </c>
      <c r="N731" s="59">
        <v>1</v>
      </c>
      <c r="O731" s="36"/>
      <c r="P731" s="48"/>
      <c r="Q731" s="48"/>
      <c r="R731" s="48"/>
      <c r="S731" s="48"/>
      <c r="T731" s="48"/>
      <c r="U731" s="48"/>
      <c r="V731" s="48"/>
      <c r="W731" s="48"/>
      <c r="X731" s="48"/>
      <c r="Y731" s="48"/>
      <c r="Z731" s="48"/>
      <c r="AA731" s="48"/>
      <c r="AB731" s="48"/>
      <c r="AC731" s="48"/>
      <c r="AD731" s="48"/>
      <c r="AE731" s="48"/>
      <c r="AF731" s="48"/>
      <c r="AG731" s="48"/>
      <c r="AH731" s="48"/>
      <c r="AI731" s="48"/>
      <c r="AJ731" s="48"/>
      <c r="AK731" s="48"/>
      <c r="AL731" s="48"/>
      <c r="AM731" s="48"/>
      <c r="AN731" s="48"/>
      <c r="AO731" s="48"/>
      <c r="AP731" s="48"/>
      <c r="AQ731" s="48"/>
      <c r="AR731" s="48"/>
      <c r="AS731" s="48"/>
      <c r="AT731" s="48"/>
      <c r="AU731" s="48"/>
      <c r="AV731" s="48"/>
      <c r="AW731" s="48"/>
      <c r="AX731" s="48"/>
      <c r="AY731" s="48"/>
      <c r="AZ731" s="48"/>
      <c r="BA731" s="48"/>
      <c r="BB731" s="48"/>
      <c r="BC731" s="48"/>
      <c r="BD731" s="48"/>
      <c r="BE731" s="48"/>
      <c r="BF731" s="48"/>
      <c r="BG731" s="48"/>
      <c r="BH731" s="48"/>
      <c r="BI731" s="48"/>
      <c r="BJ731" s="48"/>
      <c r="BK731" s="48"/>
      <c r="BL731" s="48"/>
      <c r="BM731" s="48"/>
      <c r="BN731" s="48"/>
      <c r="BO731" s="48"/>
      <c r="BP731" s="48"/>
      <c r="BQ731" s="48"/>
      <c r="BR731" s="48"/>
      <c r="BS731" s="48"/>
      <c r="BT731" s="48"/>
      <c r="BU731" s="48"/>
      <c r="BV731" s="48"/>
      <c r="BW731" s="48"/>
      <c r="BX731" s="111"/>
    </row>
    <row r="732" spans="1:76">
      <c r="A732" s="37"/>
      <c r="B732" s="37"/>
      <c r="C732" s="37"/>
      <c r="D732" s="37" t="s">
        <v>2178</v>
      </c>
      <c r="E732" s="37"/>
      <c r="F732" s="37"/>
      <c r="G732" s="118">
        <v>0</v>
      </c>
      <c r="H732" s="59">
        <v>2</v>
      </c>
      <c r="I732" s="59">
        <v>2</v>
      </c>
      <c r="J732" s="59">
        <v>2</v>
      </c>
      <c r="K732" s="59">
        <v>2</v>
      </c>
      <c r="L732" s="59">
        <v>3</v>
      </c>
      <c r="M732" s="59">
        <v>3</v>
      </c>
      <c r="N732" s="59">
        <v>3</v>
      </c>
      <c r="O732" s="36"/>
      <c r="P732" s="48"/>
      <c r="Q732" s="48"/>
      <c r="R732" s="48"/>
      <c r="S732" s="48"/>
      <c r="T732" s="48"/>
      <c r="U732" s="48"/>
      <c r="V732" s="48"/>
      <c r="W732" s="48"/>
      <c r="X732" s="48"/>
      <c r="Y732" s="48"/>
      <c r="Z732" s="48"/>
      <c r="AA732" s="48"/>
      <c r="AB732" s="48"/>
      <c r="AC732" s="48"/>
      <c r="AD732" s="48"/>
      <c r="AE732" s="48"/>
      <c r="AF732" s="48"/>
      <c r="AG732" s="48"/>
      <c r="AH732" s="48"/>
      <c r="AI732" s="48"/>
      <c r="AJ732" s="48"/>
      <c r="AK732" s="48"/>
      <c r="AL732" s="48"/>
      <c r="AM732" s="48"/>
      <c r="AN732" s="48"/>
      <c r="AO732" s="48"/>
      <c r="AP732" s="48"/>
      <c r="AQ732" s="48"/>
      <c r="AR732" s="48"/>
      <c r="AS732" s="48"/>
      <c r="AT732" s="48"/>
      <c r="AU732" s="48"/>
      <c r="AV732" s="48"/>
      <c r="AW732" s="48"/>
      <c r="AX732" s="48"/>
      <c r="AY732" s="48"/>
      <c r="AZ732" s="48"/>
      <c r="BA732" s="48"/>
      <c r="BB732" s="48"/>
      <c r="BC732" s="48"/>
      <c r="BD732" s="48"/>
      <c r="BE732" s="48"/>
      <c r="BF732" s="48"/>
      <c r="BG732" s="48"/>
      <c r="BH732" s="48"/>
      <c r="BI732" s="48"/>
      <c r="BJ732" s="48"/>
      <c r="BK732" s="48"/>
      <c r="BL732" s="48"/>
      <c r="BM732" s="48"/>
      <c r="BN732" s="48"/>
      <c r="BO732" s="48"/>
      <c r="BP732" s="48"/>
      <c r="BQ732" s="48"/>
      <c r="BR732" s="48"/>
      <c r="BS732" s="48"/>
      <c r="BT732" s="48"/>
      <c r="BU732" s="48"/>
      <c r="BV732" s="48"/>
      <c r="BW732" s="48"/>
      <c r="BX732" s="111"/>
    </row>
    <row r="733" spans="1:76">
      <c r="A733" s="37"/>
      <c r="B733" s="37"/>
      <c r="C733" s="37"/>
      <c r="D733" s="37" t="s">
        <v>1152</v>
      </c>
      <c r="E733" s="37"/>
      <c r="F733" s="37"/>
      <c r="G733" s="59">
        <v>27</v>
      </c>
      <c r="H733" s="59">
        <v>36</v>
      </c>
      <c r="I733" s="59">
        <v>31</v>
      </c>
      <c r="J733" s="59">
        <v>0</v>
      </c>
      <c r="K733" s="59">
        <v>28</v>
      </c>
      <c r="L733" s="59">
        <v>29</v>
      </c>
      <c r="M733" s="59">
        <v>31</v>
      </c>
      <c r="N733" s="59">
        <v>27</v>
      </c>
      <c r="O733" s="36"/>
      <c r="P733" s="48"/>
      <c r="Q733" s="48"/>
      <c r="R733" s="48"/>
      <c r="S733" s="48"/>
      <c r="T733" s="48"/>
      <c r="U733" s="48"/>
      <c r="V733" s="48"/>
      <c r="W733" s="48"/>
      <c r="X733" s="48"/>
      <c r="Y733" s="48"/>
      <c r="Z733" s="48"/>
      <c r="AA733" s="48"/>
      <c r="AB733" s="48"/>
      <c r="AC733" s="48"/>
      <c r="AD733" s="48"/>
      <c r="AE733" s="48"/>
      <c r="AF733" s="48"/>
      <c r="AG733" s="48"/>
      <c r="AH733" s="48"/>
      <c r="AI733" s="48"/>
      <c r="AJ733" s="48"/>
      <c r="AK733" s="48"/>
      <c r="AL733" s="48"/>
      <c r="AM733" s="48"/>
      <c r="AN733" s="48"/>
      <c r="AO733" s="48"/>
      <c r="AP733" s="48"/>
      <c r="AQ733" s="48"/>
      <c r="AR733" s="48"/>
      <c r="AS733" s="48"/>
      <c r="AT733" s="48"/>
      <c r="AU733" s="48"/>
      <c r="AV733" s="48"/>
      <c r="AW733" s="48"/>
      <c r="AX733" s="48"/>
      <c r="AY733" s="48"/>
      <c r="AZ733" s="48"/>
      <c r="BA733" s="48"/>
      <c r="BB733" s="48"/>
      <c r="BC733" s="48"/>
      <c r="BD733" s="48"/>
      <c r="BE733" s="48"/>
      <c r="BF733" s="48"/>
      <c r="BG733" s="48"/>
      <c r="BH733" s="48"/>
      <c r="BI733" s="48"/>
      <c r="BJ733" s="48"/>
      <c r="BK733" s="48"/>
      <c r="BL733" s="48"/>
      <c r="BM733" s="48"/>
      <c r="BN733" s="48"/>
      <c r="BO733" s="48"/>
      <c r="BP733" s="48"/>
      <c r="BQ733" s="48"/>
      <c r="BR733" s="48"/>
      <c r="BS733" s="48"/>
      <c r="BT733" s="48"/>
      <c r="BU733" s="48"/>
      <c r="BV733" s="48"/>
      <c r="BW733" s="48"/>
      <c r="BX733" s="111"/>
    </row>
    <row r="734" spans="1:76">
      <c r="A734" s="37"/>
      <c r="B734" s="37"/>
      <c r="C734" s="37"/>
      <c r="D734" s="37" t="s">
        <v>1839</v>
      </c>
      <c r="E734" s="37"/>
      <c r="F734" s="37"/>
      <c r="G734" s="59">
        <v>19</v>
      </c>
      <c r="H734" s="59">
        <v>20</v>
      </c>
      <c r="I734" s="59">
        <v>22</v>
      </c>
      <c r="J734" s="59">
        <v>22</v>
      </c>
      <c r="K734" s="59">
        <v>21</v>
      </c>
      <c r="L734" s="59">
        <v>13</v>
      </c>
      <c r="M734" s="59">
        <v>13</v>
      </c>
      <c r="N734" s="59">
        <v>11</v>
      </c>
      <c r="O734" s="36"/>
      <c r="P734" s="48"/>
      <c r="Q734" s="48"/>
      <c r="R734" s="48"/>
      <c r="S734" s="48"/>
      <c r="T734" s="48"/>
      <c r="U734" s="48"/>
      <c r="V734" s="48"/>
      <c r="W734" s="48"/>
      <c r="X734" s="48"/>
      <c r="Y734" s="48"/>
      <c r="Z734" s="48"/>
      <c r="AA734" s="48"/>
      <c r="AB734" s="48"/>
      <c r="AC734" s="48"/>
      <c r="AD734" s="48"/>
      <c r="AE734" s="48"/>
      <c r="AF734" s="48"/>
      <c r="AG734" s="48"/>
      <c r="AH734" s="48"/>
      <c r="AI734" s="48"/>
      <c r="AJ734" s="48"/>
      <c r="AK734" s="48"/>
      <c r="AL734" s="48"/>
      <c r="AM734" s="48"/>
      <c r="AN734" s="48"/>
      <c r="AO734" s="48"/>
      <c r="AP734" s="48"/>
      <c r="AQ734" s="48"/>
      <c r="AR734" s="48"/>
      <c r="AS734" s="48"/>
      <c r="AT734" s="48"/>
      <c r="AU734" s="48"/>
      <c r="AV734" s="48"/>
      <c r="AW734" s="48"/>
      <c r="AX734" s="48"/>
      <c r="AY734" s="48"/>
      <c r="AZ734" s="48"/>
      <c r="BA734" s="48"/>
      <c r="BB734" s="48"/>
      <c r="BC734" s="48"/>
      <c r="BD734" s="48"/>
      <c r="BE734" s="48"/>
      <c r="BF734" s="48"/>
      <c r="BG734" s="48"/>
      <c r="BH734" s="48"/>
      <c r="BI734" s="48"/>
      <c r="BJ734" s="48"/>
      <c r="BK734" s="48"/>
      <c r="BL734" s="48"/>
      <c r="BM734" s="48"/>
      <c r="BN734" s="48"/>
      <c r="BO734" s="48"/>
      <c r="BP734" s="48"/>
      <c r="BQ734" s="48"/>
      <c r="BR734" s="48"/>
      <c r="BS734" s="48"/>
      <c r="BT734" s="48"/>
      <c r="BU734" s="48"/>
      <c r="BV734" s="48"/>
      <c r="BW734" s="48"/>
      <c r="BX734" s="111"/>
    </row>
    <row r="735" spans="1:76">
      <c r="A735" s="37"/>
      <c r="B735" s="37"/>
      <c r="C735" s="37"/>
      <c r="D735" s="37" t="s">
        <v>640</v>
      </c>
      <c r="E735" s="37"/>
      <c r="F735" s="37"/>
      <c r="G735" s="59">
        <v>-20</v>
      </c>
      <c r="H735" s="59">
        <v>-19</v>
      </c>
      <c r="I735" s="59">
        <v>-16</v>
      </c>
      <c r="J735" s="59">
        <v>-13</v>
      </c>
      <c r="K735" s="59">
        <v>-9</v>
      </c>
      <c r="L735" s="59">
        <v>-18</v>
      </c>
      <c r="M735" s="59">
        <v>-17</v>
      </c>
      <c r="N735" s="59">
        <v>-17</v>
      </c>
      <c r="O735" s="36"/>
      <c r="P735" s="48"/>
      <c r="Q735" s="48"/>
      <c r="R735" s="48"/>
      <c r="S735" s="48"/>
      <c r="T735" s="48"/>
      <c r="U735" s="48"/>
      <c r="V735" s="48"/>
      <c r="W735" s="48"/>
      <c r="X735" s="48"/>
      <c r="Y735" s="48"/>
      <c r="Z735" s="48"/>
      <c r="AA735" s="48"/>
      <c r="AB735" s="48"/>
      <c r="AC735" s="48"/>
      <c r="AD735" s="48"/>
      <c r="AE735" s="48"/>
      <c r="AF735" s="48"/>
      <c r="AG735" s="48"/>
      <c r="AH735" s="48"/>
      <c r="AI735" s="48"/>
      <c r="AJ735" s="48"/>
      <c r="AK735" s="48"/>
      <c r="AL735" s="48"/>
      <c r="AM735" s="48"/>
      <c r="AN735" s="48"/>
      <c r="AO735" s="48"/>
      <c r="AP735" s="48"/>
      <c r="AQ735" s="48"/>
      <c r="AR735" s="48"/>
      <c r="AS735" s="48"/>
      <c r="AT735" s="48"/>
      <c r="AU735" s="48"/>
      <c r="AV735" s="48"/>
      <c r="AW735" s="48"/>
      <c r="AX735" s="48"/>
      <c r="AY735" s="48"/>
      <c r="AZ735" s="48"/>
      <c r="BA735" s="48"/>
      <c r="BB735" s="48"/>
      <c r="BC735" s="48"/>
      <c r="BD735" s="48"/>
      <c r="BE735" s="48"/>
      <c r="BF735" s="48"/>
      <c r="BG735" s="48"/>
      <c r="BH735" s="48"/>
      <c r="BI735" s="48"/>
      <c r="BJ735" s="48"/>
      <c r="BK735" s="48"/>
      <c r="BL735" s="48"/>
      <c r="BM735" s="48"/>
      <c r="BN735" s="48"/>
      <c r="BO735" s="48"/>
      <c r="BP735" s="48"/>
      <c r="BQ735" s="48"/>
      <c r="BR735" s="48"/>
      <c r="BS735" s="48"/>
      <c r="BT735" s="48"/>
      <c r="BU735" s="48"/>
      <c r="BV735" s="48"/>
      <c r="BW735" s="48"/>
      <c r="BX735" s="111"/>
    </row>
    <row r="736" spans="1:76">
      <c r="A736" s="71"/>
      <c r="B736" s="71"/>
      <c r="C736" s="71"/>
      <c r="D736" s="71" t="s">
        <v>368</v>
      </c>
      <c r="E736" s="71"/>
      <c r="F736" s="71"/>
      <c r="G736" s="94">
        <v>7.2499999999999995E-2</v>
      </c>
      <c r="H736" s="94">
        <v>6.5000000000000002E-2</v>
      </c>
      <c r="I736" s="94">
        <v>7.2499999999999995E-2</v>
      </c>
      <c r="J736" s="94">
        <v>7.2499999999999995E-2</v>
      </c>
      <c r="K736" s="94">
        <v>7.2499999999999995E-2</v>
      </c>
      <c r="L736" s="94">
        <v>6.7500000000000004E-2</v>
      </c>
      <c r="M736" s="94">
        <v>6.25E-2</v>
      </c>
      <c r="N736" s="94">
        <v>5.5E-2</v>
      </c>
      <c r="O736" s="22"/>
      <c r="P736" s="72"/>
      <c r="Q736" s="72"/>
      <c r="R736" s="72"/>
      <c r="S736" s="72"/>
      <c r="T736" s="72"/>
      <c r="U736" s="72"/>
      <c r="V736" s="72"/>
      <c r="W736" s="72"/>
      <c r="X736" s="72"/>
      <c r="Y736" s="72"/>
      <c r="Z736" s="72"/>
      <c r="AA736" s="72"/>
      <c r="AB736" s="72"/>
      <c r="AC736" s="72"/>
      <c r="AD736" s="72"/>
      <c r="AE736" s="72"/>
      <c r="AF736" s="72"/>
      <c r="AG736" s="72"/>
      <c r="AH736" s="72"/>
      <c r="AI736" s="72"/>
      <c r="AJ736" s="72"/>
      <c r="AK736" s="72"/>
      <c r="AL736" s="72"/>
      <c r="AM736" s="72"/>
      <c r="AN736" s="72"/>
      <c r="AO736" s="72"/>
      <c r="AP736" s="72"/>
      <c r="AQ736" s="72"/>
      <c r="AR736" s="72"/>
      <c r="AS736" s="72"/>
      <c r="AT736" s="72"/>
      <c r="AU736" s="72"/>
      <c r="AV736" s="72"/>
      <c r="AW736" s="72"/>
      <c r="AX736" s="72"/>
      <c r="AY736" s="72"/>
      <c r="AZ736" s="72"/>
      <c r="BA736" s="72"/>
      <c r="BB736" s="72"/>
      <c r="BC736" s="72"/>
      <c r="BD736" s="72"/>
      <c r="BE736" s="72"/>
      <c r="BF736" s="72"/>
      <c r="BG736" s="72"/>
      <c r="BH736" s="72"/>
      <c r="BI736" s="72"/>
      <c r="BJ736" s="72"/>
      <c r="BK736" s="72"/>
      <c r="BL736" s="72"/>
      <c r="BM736" s="72"/>
      <c r="BN736" s="72"/>
      <c r="BO736" s="72"/>
      <c r="BP736" s="72"/>
      <c r="BQ736" s="72"/>
      <c r="BR736" s="72"/>
      <c r="BS736" s="72"/>
      <c r="BT736" s="72"/>
      <c r="BU736" s="72"/>
      <c r="BV736" s="72"/>
      <c r="BW736" s="72"/>
      <c r="BX736" s="114"/>
    </row>
    <row r="737" spans="1:76">
      <c r="A737" s="71"/>
      <c r="B737" s="71"/>
      <c r="C737" s="71"/>
      <c r="D737" s="71" t="s">
        <v>897</v>
      </c>
      <c r="E737" s="71"/>
      <c r="F737" s="71"/>
      <c r="G737" s="94">
        <v>9.7500000000000003E-2</v>
      </c>
      <c r="H737" s="94">
        <v>9.7500000000000003E-2</v>
      </c>
      <c r="I737" s="94">
        <v>7.0000000000000007E-2</v>
      </c>
      <c r="J737" s="94">
        <v>9.7500000000000003E-2</v>
      </c>
      <c r="K737" s="94">
        <v>9.7500000000000003E-2</v>
      </c>
      <c r="L737" s="94">
        <f>+L766</f>
        <v>0.08</v>
      </c>
      <c r="M737" s="94">
        <f>+M766</f>
        <v>8.7499999999999994E-2</v>
      </c>
      <c r="N737" s="94">
        <f>+N766</f>
        <v>0.08</v>
      </c>
      <c r="O737" s="22"/>
      <c r="P737" s="72"/>
      <c r="Q737" s="72"/>
      <c r="R737" s="72"/>
      <c r="S737" s="72"/>
      <c r="T737" s="72"/>
      <c r="U737" s="72"/>
      <c r="V737" s="72"/>
      <c r="W737" s="72"/>
      <c r="X737" s="72"/>
      <c r="Y737" s="72"/>
      <c r="Z737" s="72"/>
      <c r="AA737" s="72"/>
      <c r="AB737" s="72"/>
      <c r="AC737" s="72"/>
      <c r="AD737" s="72"/>
      <c r="AE737" s="72"/>
      <c r="AF737" s="72"/>
      <c r="AG737" s="72"/>
      <c r="AH737" s="72"/>
      <c r="AI737" s="72"/>
      <c r="AJ737" s="72"/>
      <c r="AK737" s="72"/>
      <c r="AL737" s="72"/>
      <c r="AM737" s="72"/>
      <c r="AN737" s="72"/>
      <c r="AO737" s="72"/>
      <c r="AP737" s="72"/>
      <c r="AQ737" s="72"/>
      <c r="AR737" s="72"/>
      <c r="AS737" s="72"/>
      <c r="AT737" s="72"/>
      <c r="AU737" s="72"/>
      <c r="AV737" s="72"/>
      <c r="AW737" s="72"/>
      <c r="AX737" s="72"/>
      <c r="AY737" s="72"/>
      <c r="AZ737" s="72"/>
      <c r="BA737" s="72"/>
      <c r="BB737" s="72"/>
      <c r="BC737" s="72"/>
      <c r="BD737" s="72"/>
      <c r="BE737" s="72"/>
      <c r="BF737" s="72"/>
      <c r="BG737" s="72"/>
      <c r="BH737" s="72"/>
      <c r="BI737" s="72"/>
      <c r="BJ737" s="72"/>
      <c r="BK737" s="72"/>
      <c r="BL737" s="72"/>
      <c r="BM737" s="72"/>
      <c r="BN737" s="72"/>
      <c r="BO737" s="72"/>
      <c r="BP737" s="72"/>
      <c r="BQ737" s="72"/>
      <c r="BR737" s="72"/>
      <c r="BS737" s="72"/>
      <c r="BT737" s="72"/>
      <c r="BU737" s="72"/>
      <c r="BV737" s="72"/>
      <c r="BW737" s="72"/>
      <c r="BX737" s="114"/>
    </row>
    <row r="738" spans="1:76">
      <c r="A738" s="71"/>
      <c r="B738" s="71"/>
      <c r="C738" s="71"/>
      <c r="D738" s="71" t="s">
        <v>781</v>
      </c>
      <c r="E738" s="71"/>
      <c r="F738" s="71"/>
      <c r="G738" s="94"/>
      <c r="H738" s="94">
        <v>7.0000000000000007E-2</v>
      </c>
      <c r="I738" s="94">
        <v>6.0999999999999999E-2</v>
      </c>
      <c r="J738" s="94">
        <v>6.0999999999999999E-2</v>
      </c>
      <c r="K738" s="94">
        <v>5.5E-2</v>
      </c>
      <c r="L738" s="94">
        <v>0.09</v>
      </c>
      <c r="M738" s="94">
        <v>0.1</v>
      </c>
      <c r="N738" s="94">
        <v>0.09</v>
      </c>
      <c r="O738" s="22"/>
      <c r="P738" s="72"/>
      <c r="Q738" s="72"/>
      <c r="R738" s="72"/>
      <c r="S738" s="72"/>
      <c r="T738" s="72"/>
      <c r="U738" s="72"/>
      <c r="V738" s="72"/>
      <c r="W738" s="72"/>
      <c r="X738" s="72"/>
      <c r="Y738" s="72"/>
      <c r="Z738" s="72"/>
      <c r="AA738" s="72"/>
      <c r="AB738" s="72"/>
      <c r="AC738" s="72"/>
      <c r="AD738" s="72"/>
      <c r="AE738" s="72"/>
      <c r="AF738" s="72"/>
      <c r="AG738" s="72"/>
      <c r="AH738" s="72"/>
      <c r="AI738" s="72"/>
      <c r="AJ738" s="72"/>
      <c r="AK738" s="72"/>
      <c r="AL738" s="72"/>
      <c r="AM738" s="72"/>
      <c r="AN738" s="72"/>
      <c r="AO738" s="72"/>
      <c r="AP738" s="72"/>
      <c r="AQ738" s="72"/>
      <c r="AR738" s="72"/>
      <c r="AS738" s="72"/>
      <c r="AT738" s="72"/>
      <c r="AU738" s="72"/>
      <c r="AV738" s="72"/>
      <c r="AW738" s="72"/>
      <c r="AX738" s="72"/>
      <c r="AY738" s="72"/>
      <c r="AZ738" s="72"/>
      <c r="BA738" s="72"/>
      <c r="BB738" s="72"/>
      <c r="BC738" s="72"/>
      <c r="BD738" s="72"/>
      <c r="BE738" s="72"/>
      <c r="BF738" s="72"/>
      <c r="BG738" s="72"/>
      <c r="BH738" s="72"/>
      <c r="BI738" s="72"/>
      <c r="BJ738" s="72"/>
      <c r="BK738" s="72"/>
      <c r="BL738" s="72"/>
      <c r="BM738" s="72"/>
      <c r="BN738" s="72"/>
      <c r="BO738" s="72"/>
      <c r="BP738" s="72"/>
      <c r="BQ738" s="72"/>
      <c r="BR738" s="72"/>
      <c r="BS738" s="72"/>
      <c r="BT738" s="72"/>
      <c r="BU738" s="72"/>
      <c r="BV738" s="72"/>
      <c r="BW738" s="72"/>
      <c r="BX738" s="114"/>
    </row>
    <row r="739" spans="1:76">
      <c r="A739" s="71"/>
      <c r="B739" s="71"/>
      <c r="C739" s="71"/>
      <c r="D739" s="71" t="s">
        <v>1310</v>
      </c>
      <c r="E739" s="71"/>
      <c r="F739" s="71"/>
      <c r="G739" s="94"/>
      <c r="H739" s="94">
        <v>0.05</v>
      </c>
      <c r="I739" s="94">
        <v>0.05</v>
      </c>
      <c r="J739" s="94">
        <v>0.05</v>
      </c>
      <c r="K739" s="94">
        <v>0.05</v>
      </c>
      <c r="L739" s="94">
        <v>0.05</v>
      </c>
      <c r="M739" s="94">
        <v>0.05</v>
      </c>
      <c r="N739" s="94">
        <v>0.05</v>
      </c>
      <c r="O739" s="22"/>
      <c r="P739" s="72"/>
      <c r="Q739" s="72"/>
      <c r="R739" s="72"/>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114"/>
    </row>
    <row r="740" spans="1:76">
      <c r="A740" s="44"/>
      <c r="B740" s="44" t="s">
        <v>849</v>
      </c>
      <c r="C740" s="44"/>
      <c r="D740" s="44"/>
      <c r="E740" s="44"/>
      <c r="F740" s="44"/>
      <c r="G740" s="45"/>
      <c r="H740" s="45"/>
      <c r="I740" s="45"/>
      <c r="J740" s="45"/>
      <c r="K740" s="45"/>
      <c r="L740" s="45"/>
      <c r="M740" s="45"/>
      <c r="N740" s="46"/>
      <c r="O740" s="47"/>
      <c r="P740" s="46"/>
      <c r="Q740" s="46"/>
      <c r="R740" s="46"/>
      <c r="S740" s="46"/>
      <c r="T740" s="46"/>
      <c r="U740" s="46"/>
      <c r="V740" s="46"/>
      <c r="W740" s="46"/>
      <c r="X740" s="46"/>
      <c r="Y740" s="46"/>
      <c r="Z740" s="46"/>
      <c r="AA740" s="46"/>
      <c r="AB740" s="46"/>
      <c r="AC740" s="46"/>
      <c r="AD740" s="46"/>
      <c r="AE740" s="46"/>
      <c r="AF740" s="46"/>
      <c r="AG740" s="46"/>
      <c r="AH740" s="46"/>
      <c r="AI740" s="46"/>
      <c r="AJ740" s="46"/>
      <c r="AK740" s="46"/>
      <c r="AL740" s="46"/>
      <c r="AM740" s="46"/>
      <c r="AN740" s="46"/>
      <c r="AO740" s="46"/>
      <c r="AP740" s="46"/>
      <c r="AQ740" s="46"/>
      <c r="AR740" s="46"/>
      <c r="AS740" s="46"/>
      <c r="AT740" s="46"/>
      <c r="AU740" s="46"/>
      <c r="AV740" s="46"/>
      <c r="AW740" s="46"/>
      <c r="AX740" s="46"/>
      <c r="AY740" s="46"/>
      <c r="AZ740" s="46"/>
      <c r="BA740" s="46"/>
      <c r="BB740" s="46"/>
      <c r="BC740" s="46"/>
      <c r="BD740" s="46"/>
      <c r="BE740" s="46"/>
      <c r="BF740" s="46"/>
      <c r="BG740" s="46"/>
      <c r="BH740" s="46"/>
      <c r="BI740" s="46"/>
      <c r="BJ740" s="46"/>
      <c r="BK740" s="46"/>
      <c r="BL740" s="46"/>
      <c r="BM740" s="46"/>
      <c r="BN740" s="46"/>
      <c r="BO740" s="46"/>
      <c r="BP740" s="46"/>
      <c r="BQ740" s="46"/>
      <c r="BR740" s="46"/>
      <c r="BS740" s="46"/>
      <c r="BT740" s="46"/>
      <c r="BU740" s="46"/>
      <c r="BV740" s="46"/>
      <c r="BW740" s="46"/>
      <c r="BX740" s="110"/>
    </row>
    <row r="741" spans="1:76">
      <c r="A741" s="37"/>
      <c r="B741" s="37"/>
      <c r="C741" s="37" t="s">
        <v>1425</v>
      </c>
      <c r="D741" s="37"/>
      <c r="E741" s="37"/>
      <c r="F741" s="37"/>
      <c r="G741" s="59"/>
      <c r="H741" s="59"/>
      <c r="I741" s="59"/>
      <c r="J741" s="59"/>
      <c r="K741" s="59"/>
      <c r="L741" s="59"/>
      <c r="M741" s="59"/>
      <c r="N741" s="60"/>
      <c r="O741" s="36"/>
      <c r="P741" s="48"/>
      <c r="Q741" s="48"/>
      <c r="R741" s="48"/>
      <c r="S741" s="48"/>
      <c r="T741" s="48"/>
      <c r="U741" s="48"/>
      <c r="V741" s="48"/>
      <c r="W741" s="48"/>
      <c r="X741" s="48"/>
      <c r="Y741" s="48"/>
      <c r="Z741" s="48"/>
      <c r="AA741" s="48"/>
      <c r="AB741" s="48"/>
      <c r="AC741" s="48"/>
      <c r="AD741" s="48"/>
      <c r="AE741" s="48"/>
      <c r="AF741" s="48"/>
      <c r="AG741" s="48"/>
      <c r="AH741" s="48"/>
      <c r="AI741" s="48"/>
      <c r="AJ741" s="48"/>
      <c r="AK741" s="48"/>
      <c r="AL741" s="48"/>
      <c r="AM741" s="48"/>
      <c r="AN741" s="48"/>
      <c r="AO741" s="48"/>
      <c r="AP741" s="48"/>
      <c r="AQ741" s="48"/>
      <c r="AR741" s="48"/>
      <c r="AS741" s="48"/>
      <c r="AT741" s="48"/>
      <c r="AU741" s="48"/>
      <c r="AV741" s="48"/>
      <c r="AW741" s="48"/>
      <c r="AX741" s="48"/>
      <c r="AY741" s="48"/>
      <c r="AZ741" s="48"/>
      <c r="BA741" s="48"/>
      <c r="BB741" s="48"/>
      <c r="BC741" s="48"/>
      <c r="BD741" s="48"/>
      <c r="BE741" s="48"/>
      <c r="BF741" s="48"/>
      <c r="BG741" s="48"/>
      <c r="BH741" s="48"/>
      <c r="BI741" s="48"/>
      <c r="BJ741" s="48"/>
      <c r="BK741" s="48"/>
      <c r="BL741" s="48"/>
      <c r="BM741" s="48"/>
      <c r="BN741" s="48"/>
      <c r="BO741" s="48"/>
      <c r="BP741" s="48"/>
      <c r="BQ741" s="48"/>
      <c r="BR741" s="48"/>
      <c r="BS741" s="48"/>
      <c r="BT741" s="48"/>
      <c r="BU741" s="48"/>
      <c r="BV741" s="48"/>
      <c r="BW741" s="48"/>
      <c r="BX741" s="111"/>
    </row>
    <row r="742" spans="1:76">
      <c r="A742" s="37"/>
      <c r="B742" s="37"/>
      <c r="C742" s="37" t="s">
        <v>92</v>
      </c>
      <c r="D742" s="37"/>
      <c r="E742" s="37"/>
      <c r="F742" s="37"/>
      <c r="G742" s="59"/>
      <c r="H742" s="59"/>
      <c r="I742" s="59"/>
      <c r="J742" s="59"/>
      <c r="K742" s="59"/>
      <c r="L742" s="59"/>
      <c r="M742" s="59"/>
      <c r="N742" s="60"/>
      <c r="O742" s="36"/>
      <c r="P742" s="48"/>
      <c r="Q742" s="48"/>
      <c r="R742" s="48"/>
      <c r="S742" s="48"/>
      <c r="T742" s="48"/>
      <c r="U742" s="48"/>
      <c r="V742" s="48"/>
      <c r="W742" s="48"/>
      <c r="X742" s="48"/>
      <c r="Y742" s="48"/>
      <c r="Z742" s="48"/>
      <c r="AA742" s="48"/>
      <c r="AB742" s="48"/>
      <c r="AC742" s="48"/>
      <c r="AD742" s="48"/>
      <c r="AE742" s="48"/>
      <c r="AF742" s="48"/>
      <c r="AG742" s="48"/>
      <c r="AH742" s="48"/>
      <c r="AI742" s="48"/>
      <c r="AJ742" s="48"/>
      <c r="AK742" s="48"/>
      <c r="AL742" s="48"/>
      <c r="AM742" s="48"/>
      <c r="AN742" s="48"/>
      <c r="AO742" s="48"/>
      <c r="AP742" s="48"/>
      <c r="AQ742" s="48"/>
      <c r="AR742" s="48"/>
      <c r="AS742" s="48"/>
      <c r="AT742" s="48"/>
      <c r="AU742" s="48"/>
      <c r="AV742" s="48"/>
      <c r="AW742" s="48"/>
      <c r="AX742" s="48"/>
      <c r="AY742" s="48"/>
      <c r="AZ742" s="48"/>
      <c r="BA742" s="48"/>
      <c r="BB742" s="48"/>
      <c r="BC742" s="48"/>
      <c r="BD742" s="48"/>
      <c r="BE742" s="48"/>
      <c r="BF742" s="48"/>
      <c r="BG742" s="48"/>
      <c r="BH742" s="48"/>
      <c r="BI742" s="48"/>
      <c r="BJ742" s="48"/>
      <c r="BK742" s="48"/>
      <c r="BL742" s="48"/>
      <c r="BM742" s="48"/>
      <c r="BN742" s="48"/>
      <c r="BO742" s="48"/>
      <c r="BP742" s="48"/>
      <c r="BQ742" s="48"/>
      <c r="BR742" s="48"/>
      <c r="BS742" s="48"/>
      <c r="BT742" s="48"/>
      <c r="BU742" s="48"/>
      <c r="BV742" s="48"/>
      <c r="BW742" s="48"/>
      <c r="BX742" s="111"/>
    </row>
    <row r="743" spans="1:76">
      <c r="A743" s="37"/>
      <c r="B743" s="37"/>
      <c r="C743" s="37" t="s">
        <v>1305</v>
      </c>
      <c r="D743" s="37"/>
      <c r="E743" s="37"/>
      <c r="F743" s="37"/>
      <c r="G743" s="59"/>
      <c r="H743" s="59"/>
      <c r="I743" s="59"/>
      <c r="J743" s="59"/>
      <c r="K743" s="59"/>
      <c r="L743" s="59"/>
      <c r="M743" s="59"/>
      <c r="N743" s="60"/>
      <c r="O743" s="36"/>
      <c r="P743" s="48"/>
      <c r="Q743" s="48"/>
      <c r="R743" s="48"/>
      <c r="S743" s="48"/>
      <c r="T743" s="48"/>
      <c r="U743" s="48"/>
      <c r="V743" s="48"/>
      <c r="W743" s="48"/>
      <c r="X743" s="48"/>
      <c r="Y743" s="48"/>
      <c r="Z743" s="48"/>
      <c r="AA743" s="48"/>
      <c r="AB743" s="48"/>
      <c r="AC743" s="48"/>
      <c r="AD743" s="48"/>
      <c r="AE743" s="48"/>
      <c r="AF743" s="48"/>
      <c r="AG743" s="48"/>
      <c r="AH743" s="48"/>
      <c r="AI743" s="48"/>
      <c r="AJ743" s="48"/>
      <c r="AK743" s="48"/>
      <c r="AL743" s="48"/>
      <c r="AM743" s="48"/>
      <c r="AN743" s="48"/>
      <c r="AO743" s="48"/>
      <c r="AP743" s="48"/>
      <c r="AQ743" s="48"/>
      <c r="AR743" s="48"/>
      <c r="AS743" s="48"/>
      <c r="AT743" s="48"/>
      <c r="AU743" s="48"/>
      <c r="AV743" s="48"/>
      <c r="AW743" s="48"/>
      <c r="AX743" s="48"/>
      <c r="AY743" s="48"/>
      <c r="AZ743" s="48"/>
      <c r="BA743" s="48"/>
      <c r="BB743" s="48"/>
      <c r="BC743" s="48"/>
      <c r="BD743" s="48"/>
      <c r="BE743" s="48"/>
      <c r="BF743" s="48"/>
      <c r="BG743" s="48"/>
      <c r="BH743" s="48"/>
      <c r="BI743" s="48"/>
      <c r="BJ743" s="48"/>
      <c r="BK743" s="48"/>
      <c r="BL743" s="48"/>
      <c r="BM743" s="48"/>
      <c r="BN743" s="48"/>
      <c r="BO743" s="48"/>
      <c r="BP743" s="48"/>
      <c r="BQ743" s="48"/>
      <c r="BR743" s="48"/>
      <c r="BS743" s="48"/>
      <c r="BT743" s="48"/>
      <c r="BU743" s="48"/>
      <c r="BV743" s="48"/>
      <c r="BW743" s="48"/>
      <c r="BX743" s="111"/>
    </row>
    <row r="744" spans="1:76">
      <c r="A744" s="37"/>
      <c r="B744" s="37"/>
      <c r="C744" s="37" t="s">
        <v>179</v>
      </c>
      <c r="D744" s="37"/>
      <c r="E744" s="37"/>
      <c r="F744" s="37"/>
      <c r="G744" s="59"/>
      <c r="H744" s="59"/>
      <c r="I744" s="59"/>
      <c r="J744" s="59"/>
      <c r="K744" s="59"/>
      <c r="L744" s="59"/>
      <c r="M744" s="59"/>
      <c r="N744" s="60"/>
      <c r="O744" s="36"/>
      <c r="P744" s="48"/>
      <c r="Q744" s="48"/>
      <c r="R744" s="48"/>
      <c r="S744" s="48"/>
      <c r="T744" s="48"/>
      <c r="U744" s="48"/>
      <c r="V744" s="48"/>
      <c r="W744" s="48"/>
      <c r="X744" s="48"/>
      <c r="Y744" s="48"/>
      <c r="Z744" s="48"/>
      <c r="AA744" s="48"/>
      <c r="AB744" s="48"/>
      <c r="AC744" s="48"/>
      <c r="AD744" s="48"/>
      <c r="AE744" s="48"/>
      <c r="AF744" s="48"/>
      <c r="AG744" s="48"/>
      <c r="AH744" s="48"/>
      <c r="AI744" s="48"/>
      <c r="AJ744" s="48"/>
      <c r="AK744" s="48"/>
      <c r="AL744" s="48"/>
      <c r="AM744" s="48"/>
      <c r="AN744" s="48"/>
      <c r="AO744" s="48"/>
      <c r="AP744" s="48"/>
      <c r="AQ744" s="48"/>
      <c r="AR744" s="48"/>
      <c r="AS744" s="48"/>
      <c r="AT744" s="48"/>
      <c r="AU744" s="48"/>
      <c r="AV744" s="48"/>
      <c r="AW744" s="48"/>
      <c r="AX744" s="48"/>
      <c r="AY744" s="48"/>
      <c r="AZ744" s="48"/>
      <c r="BA744" s="48"/>
      <c r="BB744" s="48"/>
      <c r="BC744" s="48"/>
      <c r="BD744" s="48"/>
      <c r="BE744" s="48"/>
      <c r="BF744" s="48"/>
      <c r="BG744" s="48"/>
      <c r="BH744" s="48"/>
      <c r="BI744" s="48"/>
      <c r="BJ744" s="48"/>
      <c r="BK744" s="48"/>
      <c r="BL744" s="48"/>
      <c r="BM744" s="48"/>
      <c r="BN744" s="48"/>
      <c r="BO744" s="48"/>
      <c r="BP744" s="48"/>
      <c r="BQ744" s="48"/>
      <c r="BR744" s="48"/>
      <c r="BS744" s="48"/>
      <c r="BT744" s="48"/>
      <c r="BU744" s="48"/>
      <c r="BV744" s="48"/>
      <c r="BW744" s="48"/>
      <c r="BX744" s="111"/>
    </row>
    <row r="745" spans="1:76">
      <c r="A745" s="37"/>
      <c r="B745" s="37"/>
      <c r="C745" s="37" t="s">
        <v>182</v>
      </c>
      <c r="D745" s="37"/>
      <c r="E745" s="37"/>
      <c r="F745" s="37"/>
      <c r="G745" s="59"/>
      <c r="H745" s="59"/>
      <c r="I745" s="59"/>
      <c r="J745" s="59"/>
      <c r="K745" s="59"/>
      <c r="L745" s="59"/>
      <c r="M745" s="59"/>
      <c r="N745" s="60"/>
      <c r="O745" s="36"/>
      <c r="P745" s="48"/>
      <c r="Q745" s="48"/>
      <c r="R745" s="48"/>
      <c r="S745" s="48"/>
      <c r="T745" s="48"/>
      <c r="U745" s="48"/>
      <c r="V745" s="48"/>
      <c r="W745" s="48"/>
      <c r="X745" s="48"/>
      <c r="Y745" s="48"/>
      <c r="Z745" s="48"/>
      <c r="AA745" s="48"/>
      <c r="AB745" s="48"/>
      <c r="AC745" s="48"/>
      <c r="AD745" s="48"/>
      <c r="AE745" s="48"/>
      <c r="AF745" s="48"/>
      <c r="AG745" s="48"/>
      <c r="AH745" s="48"/>
      <c r="AI745" s="48"/>
      <c r="AJ745" s="48"/>
      <c r="AK745" s="48"/>
      <c r="AL745" s="48"/>
      <c r="AM745" s="48"/>
      <c r="AN745" s="48"/>
      <c r="AO745" s="48"/>
      <c r="AP745" s="48"/>
      <c r="AQ745" s="48"/>
      <c r="AR745" s="48"/>
      <c r="AS745" s="48"/>
      <c r="AT745" s="48"/>
      <c r="AU745" s="48"/>
      <c r="AV745" s="48"/>
      <c r="AW745" s="48"/>
      <c r="AX745" s="48"/>
      <c r="AY745" s="48"/>
      <c r="AZ745" s="48"/>
      <c r="BA745" s="48"/>
      <c r="BB745" s="48"/>
      <c r="BC745" s="48"/>
      <c r="BD745" s="48"/>
      <c r="BE745" s="48"/>
      <c r="BF745" s="48"/>
      <c r="BG745" s="48"/>
      <c r="BH745" s="48"/>
      <c r="BI745" s="48"/>
      <c r="BJ745" s="48"/>
      <c r="BK745" s="48"/>
      <c r="BL745" s="48"/>
      <c r="BM745" s="48"/>
      <c r="BN745" s="48"/>
      <c r="BO745" s="48"/>
      <c r="BP745" s="48"/>
      <c r="BQ745" s="48"/>
      <c r="BR745" s="48"/>
      <c r="BS745" s="48"/>
      <c r="BT745" s="48"/>
      <c r="BU745" s="48"/>
      <c r="BV745" s="48"/>
      <c r="BW745" s="48"/>
      <c r="BX745" s="111"/>
    </row>
    <row r="746" spans="1:76">
      <c r="A746" s="37"/>
      <c r="B746" s="37"/>
      <c r="C746" s="37" t="s">
        <v>1727</v>
      </c>
      <c r="D746" s="37"/>
      <c r="E746" s="37"/>
      <c r="F746" s="37"/>
      <c r="G746" s="59"/>
      <c r="H746" s="59"/>
      <c r="I746" s="59"/>
      <c r="J746" s="59"/>
      <c r="K746" s="59"/>
      <c r="L746" s="59"/>
      <c r="M746" s="59"/>
      <c r="N746" s="60"/>
      <c r="O746" s="36"/>
      <c r="P746" s="48"/>
      <c r="Q746" s="48"/>
      <c r="R746" s="48"/>
      <c r="S746" s="48"/>
      <c r="T746" s="48"/>
      <c r="U746" s="48"/>
      <c r="V746" s="48"/>
      <c r="W746" s="48"/>
      <c r="X746" s="48"/>
      <c r="Y746" s="48"/>
      <c r="Z746" s="48"/>
      <c r="AA746" s="48"/>
      <c r="AB746" s="48"/>
      <c r="AC746" s="48"/>
      <c r="AD746" s="48"/>
      <c r="AE746" s="48"/>
      <c r="AF746" s="48"/>
      <c r="AG746" s="48"/>
      <c r="AH746" s="48"/>
      <c r="AI746" s="48"/>
      <c r="AJ746" s="48"/>
      <c r="AK746" s="48"/>
      <c r="AL746" s="48"/>
      <c r="AM746" s="48"/>
      <c r="AN746" s="48"/>
      <c r="AO746" s="48"/>
      <c r="AP746" s="48"/>
      <c r="AQ746" s="48"/>
      <c r="AR746" s="48"/>
      <c r="AS746" s="48"/>
      <c r="AT746" s="48"/>
      <c r="AU746" s="48"/>
      <c r="AV746" s="48"/>
      <c r="AW746" s="48"/>
      <c r="AX746" s="48"/>
      <c r="AY746" s="48"/>
      <c r="AZ746" s="48"/>
      <c r="BA746" s="48"/>
      <c r="BB746" s="48"/>
      <c r="BC746" s="48"/>
      <c r="BD746" s="48"/>
      <c r="BE746" s="48"/>
      <c r="BF746" s="48"/>
      <c r="BG746" s="48"/>
      <c r="BH746" s="48"/>
      <c r="BI746" s="48"/>
      <c r="BJ746" s="48"/>
      <c r="BK746" s="48"/>
      <c r="BL746" s="48"/>
      <c r="BM746" s="48"/>
      <c r="BN746" s="48"/>
      <c r="BO746" s="48"/>
      <c r="BP746" s="48"/>
      <c r="BQ746" s="48"/>
      <c r="BR746" s="48"/>
      <c r="BS746" s="48"/>
      <c r="BT746" s="48"/>
      <c r="BU746" s="48"/>
      <c r="BV746" s="48"/>
      <c r="BW746" s="48"/>
      <c r="BX746" s="111"/>
    </row>
    <row r="747" spans="1:76">
      <c r="A747" s="37"/>
      <c r="B747" s="37"/>
      <c r="C747" s="37"/>
      <c r="D747" s="37" t="s">
        <v>1673</v>
      </c>
      <c r="E747" s="37"/>
      <c r="F747" s="37"/>
      <c r="G747" s="59"/>
      <c r="H747" s="59"/>
      <c r="I747" s="59"/>
      <c r="J747" s="59"/>
      <c r="K747" s="59"/>
      <c r="L747" s="59"/>
      <c r="M747" s="59"/>
      <c r="N747" s="60"/>
      <c r="O747" s="36"/>
      <c r="P747" s="48"/>
      <c r="Q747" s="48"/>
      <c r="R747" s="48"/>
      <c r="S747" s="48"/>
      <c r="T747" s="48"/>
      <c r="U747" s="48"/>
      <c r="V747" s="48"/>
      <c r="W747" s="48"/>
      <c r="X747" s="48"/>
      <c r="Y747" s="48"/>
      <c r="Z747" s="48"/>
      <c r="AA747" s="48"/>
      <c r="AB747" s="48"/>
      <c r="AC747" s="48"/>
      <c r="AD747" s="48"/>
      <c r="AE747" s="48"/>
      <c r="AF747" s="48"/>
      <c r="AG747" s="48"/>
      <c r="AH747" s="48"/>
      <c r="AI747" s="48"/>
      <c r="AJ747" s="48"/>
      <c r="AK747" s="48"/>
      <c r="AL747" s="48"/>
      <c r="AM747" s="48"/>
      <c r="AN747" s="48"/>
      <c r="AO747" s="48"/>
      <c r="AP747" s="48"/>
      <c r="AQ747" s="48"/>
      <c r="AR747" s="48"/>
      <c r="AS747" s="48"/>
      <c r="AT747" s="48"/>
      <c r="AU747" s="48"/>
      <c r="AV747" s="48"/>
      <c r="AW747" s="48"/>
      <c r="AX747" s="48"/>
      <c r="AY747" s="48"/>
      <c r="AZ747" s="48"/>
      <c r="BA747" s="48"/>
      <c r="BB747" s="48"/>
      <c r="BC747" s="48"/>
      <c r="BD747" s="48"/>
      <c r="BE747" s="48"/>
      <c r="BF747" s="48"/>
      <c r="BG747" s="48"/>
      <c r="BH747" s="48"/>
      <c r="BI747" s="48"/>
      <c r="BJ747" s="48"/>
      <c r="BK747" s="48"/>
      <c r="BL747" s="48"/>
      <c r="BM747" s="48"/>
      <c r="BN747" s="48"/>
      <c r="BO747" s="48"/>
      <c r="BP747" s="48"/>
      <c r="BQ747" s="48"/>
      <c r="BR747" s="48"/>
      <c r="BS747" s="48"/>
      <c r="BT747" s="48"/>
      <c r="BU747" s="48"/>
      <c r="BV747" s="48"/>
      <c r="BW747" s="48"/>
      <c r="BX747" s="111"/>
    </row>
    <row r="748" spans="1:76">
      <c r="A748" s="37"/>
      <c r="B748" s="37"/>
      <c r="C748" s="37"/>
      <c r="D748" s="37" t="s">
        <v>747</v>
      </c>
      <c r="E748" s="37"/>
      <c r="F748" s="37"/>
      <c r="G748" s="59"/>
      <c r="H748" s="59"/>
      <c r="I748" s="59"/>
      <c r="J748" s="59"/>
      <c r="K748" s="59"/>
      <c r="L748" s="59"/>
      <c r="M748" s="59"/>
      <c r="N748" s="60"/>
      <c r="O748" s="36"/>
      <c r="P748" s="48"/>
      <c r="Q748" s="48"/>
      <c r="R748" s="48"/>
      <c r="S748" s="48"/>
      <c r="T748" s="48"/>
      <c r="U748" s="48"/>
      <c r="V748" s="48"/>
      <c r="W748" s="48"/>
      <c r="X748" s="48"/>
      <c r="Y748" s="48"/>
      <c r="Z748" s="48"/>
      <c r="AA748" s="48"/>
      <c r="AB748" s="48"/>
      <c r="AC748" s="48"/>
      <c r="AD748" s="48"/>
      <c r="AE748" s="48"/>
      <c r="AF748" s="48"/>
      <c r="AG748" s="48"/>
      <c r="AH748" s="48"/>
      <c r="AI748" s="48"/>
      <c r="AJ748" s="48"/>
      <c r="AK748" s="48"/>
      <c r="AL748" s="48"/>
      <c r="AM748" s="48"/>
      <c r="AN748" s="48"/>
      <c r="AO748" s="48"/>
      <c r="AP748" s="48"/>
      <c r="AQ748" s="48"/>
      <c r="AR748" s="48"/>
      <c r="AS748" s="48"/>
      <c r="AT748" s="48"/>
      <c r="AU748" s="48"/>
      <c r="AV748" s="48"/>
      <c r="AW748" s="48"/>
      <c r="AX748" s="48"/>
      <c r="AY748" s="48"/>
      <c r="AZ748" s="48"/>
      <c r="BA748" s="48"/>
      <c r="BB748" s="48"/>
      <c r="BC748" s="48"/>
      <c r="BD748" s="48"/>
      <c r="BE748" s="48"/>
      <c r="BF748" s="48"/>
      <c r="BG748" s="48"/>
      <c r="BH748" s="48"/>
      <c r="BI748" s="48"/>
      <c r="BJ748" s="48"/>
      <c r="BK748" s="48"/>
      <c r="BL748" s="48"/>
      <c r="BM748" s="48"/>
      <c r="BN748" s="48"/>
      <c r="BO748" s="48"/>
      <c r="BP748" s="48"/>
      <c r="BQ748" s="48"/>
      <c r="BR748" s="48"/>
      <c r="BS748" s="48"/>
      <c r="BT748" s="48"/>
      <c r="BU748" s="48"/>
      <c r="BV748" s="48"/>
      <c r="BW748" s="48"/>
      <c r="BX748" s="111"/>
    </row>
    <row r="749" spans="1:76">
      <c r="A749" s="37"/>
      <c r="B749" s="37"/>
      <c r="C749" s="37" t="s">
        <v>1322</v>
      </c>
      <c r="D749" s="37"/>
      <c r="E749" s="37"/>
      <c r="F749" s="37"/>
      <c r="G749" s="59"/>
      <c r="H749" s="59"/>
      <c r="I749" s="59"/>
      <c r="J749" s="59"/>
      <c r="K749" s="59"/>
      <c r="L749" s="59"/>
      <c r="M749" s="59"/>
      <c r="N749" s="60"/>
      <c r="O749" s="36"/>
      <c r="P749" s="48"/>
      <c r="Q749" s="48"/>
      <c r="R749" s="48"/>
      <c r="S749" s="48"/>
      <c r="T749" s="48"/>
      <c r="U749" s="48"/>
      <c r="V749" s="48"/>
      <c r="W749" s="48"/>
      <c r="X749" s="48"/>
      <c r="Y749" s="48"/>
      <c r="Z749" s="48"/>
      <c r="AA749" s="48"/>
      <c r="AB749" s="48"/>
      <c r="AC749" s="48"/>
      <c r="AD749" s="48"/>
      <c r="AE749" s="48"/>
      <c r="AF749" s="48"/>
      <c r="AG749" s="48"/>
      <c r="AH749" s="48"/>
      <c r="AI749" s="48"/>
      <c r="AJ749" s="48"/>
      <c r="AK749" s="48"/>
      <c r="AL749" s="48"/>
      <c r="AM749" s="48"/>
      <c r="AN749" s="48"/>
      <c r="AO749" s="48"/>
      <c r="AP749" s="48"/>
      <c r="AQ749" s="48"/>
      <c r="AR749" s="48"/>
      <c r="AS749" s="48"/>
      <c r="AT749" s="48"/>
      <c r="AU749" s="48"/>
      <c r="AV749" s="48"/>
      <c r="AW749" s="48"/>
      <c r="AX749" s="48"/>
      <c r="AY749" s="48"/>
      <c r="AZ749" s="48"/>
      <c r="BA749" s="48"/>
      <c r="BB749" s="48"/>
      <c r="BC749" s="48"/>
      <c r="BD749" s="48"/>
      <c r="BE749" s="48"/>
      <c r="BF749" s="48"/>
      <c r="BG749" s="48"/>
      <c r="BH749" s="48"/>
      <c r="BI749" s="48"/>
      <c r="BJ749" s="48"/>
      <c r="BK749" s="48"/>
      <c r="BL749" s="48"/>
      <c r="BM749" s="48"/>
      <c r="BN749" s="48"/>
      <c r="BO749" s="48"/>
      <c r="BP749" s="48"/>
      <c r="BQ749" s="48"/>
      <c r="BR749" s="48"/>
      <c r="BS749" s="48"/>
      <c r="BT749" s="48"/>
      <c r="BU749" s="48"/>
      <c r="BV749" s="48"/>
      <c r="BW749" s="48"/>
      <c r="BX749" s="111"/>
    </row>
    <row r="750" spans="1:76">
      <c r="A750" s="71"/>
      <c r="B750" s="71"/>
      <c r="C750" s="71" t="s">
        <v>1593</v>
      </c>
      <c r="D750" s="71"/>
      <c r="E750" s="71"/>
      <c r="F750" s="71"/>
      <c r="G750" s="59"/>
      <c r="H750" s="59"/>
      <c r="I750" s="59"/>
      <c r="J750" s="59"/>
      <c r="K750" s="59"/>
      <c r="L750" s="59"/>
      <c r="M750" s="59"/>
      <c r="N750" s="60"/>
      <c r="O750" s="22"/>
      <c r="P750" s="72"/>
      <c r="Q750" s="72"/>
      <c r="R750" s="72"/>
      <c r="S750" s="72"/>
      <c r="T750" s="72"/>
      <c r="U750" s="72"/>
      <c r="V750" s="72"/>
      <c r="W750" s="72"/>
      <c r="X750" s="72"/>
      <c r="Y750" s="72"/>
      <c r="Z750" s="72"/>
      <c r="AA750" s="72"/>
      <c r="AB750" s="72"/>
      <c r="AC750" s="72"/>
      <c r="AD750" s="72"/>
      <c r="AE750" s="72"/>
      <c r="AF750" s="72"/>
      <c r="AG750" s="72"/>
      <c r="AH750" s="72"/>
      <c r="AI750" s="72"/>
      <c r="AJ750" s="72"/>
      <c r="AK750" s="72"/>
      <c r="AL750" s="72"/>
      <c r="AM750" s="72"/>
      <c r="AN750" s="72"/>
      <c r="AO750" s="72"/>
      <c r="AP750" s="72"/>
      <c r="AQ750" s="72"/>
      <c r="AR750" s="72"/>
      <c r="AS750" s="72"/>
      <c r="AT750" s="72"/>
      <c r="AU750" s="72"/>
      <c r="AV750" s="72"/>
      <c r="AW750" s="72"/>
      <c r="AX750" s="72"/>
      <c r="AY750" s="72"/>
      <c r="AZ750" s="72"/>
      <c r="BA750" s="72"/>
      <c r="BB750" s="72"/>
      <c r="BC750" s="72"/>
      <c r="BD750" s="72"/>
      <c r="BE750" s="72"/>
      <c r="BF750" s="72"/>
      <c r="BG750" s="72"/>
      <c r="BH750" s="72"/>
      <c r="BI750" s="72"/>
      <c r="BJ750" s="72"/>
      <c r="BK750" s="72"/>
      <c r="BL750" s="72"/>
      <c r="BM750" s="72"/>
      <c r="BN750" s="72"/>
      <c r="BO750" s="72"/>
      <c r="BP750" s="72"/>
      <c r="BQ750" s="72"/>
      <c r="BR750" s="72"/>
      <c r="BS750" s="72"/>
      <c r="BT750" s="72"/>
      <c r="BU750" s="72"/>
      <c r="BV750" s="72"/>
      <c r="BW750" s="72"/>
      <c r="BX750" s="114"/>
    </row>
    <row r="751" spans="1:76">
      <c r="A751" s="37"/>
      <c r="B751" s="37"/>
      <c r="C751" s="37" t="s">
        <v>1355</v>
      </c>
      <c r="D751" s="37"/>
      <c r="E751" s="37"/>
      <c r="F751" s="37"/>
      <c r="G751" s="59">
        <v>223.501</v>
      </c>
      <c r="H751" s="59">
        <v>382</v>
      </c>
      <c r="I751" s="59">
        <v>226</v>
      </c>
      <c r="J751" s="59">
        <v>90</v>
      </c>
      <c r="K751" s="59">
        <f>82</f>
        <v>82</v>
      </c>
      <c r="L751" s="59">
        <f>73</f>
        <v>73</v>
      </c>
      <c r="M751" s="59">
        <f>61</f>
        <v>61</v>
      </c>
      <c r="N751" s="60">
        <f>74</f>
        <v>74</v>
      </c>
      <c r="O751" s="36"/>
      <c r="P751" s="48"/>
      <c r="Q751" s="48"/>
      <c r="R751" s="48"/>
      <c r="S751" s="48"/>
      <c r="T751" s="48"/>
      <c r="U751" s="48"/>
      <c r="V751" s="48"/>
      <c r="W751" s="48"/>
      <c r="X751" s="48"/>
      <c r="Y751" s="48"/>
      <c r="Z751" s="48"/>
      <c r="AA751" s="48"/>
      <c r="AB751" s="48"/>
      <c r="AC751" s="48"/>
      <c r="AD751" s="48"/>
      <c r="AE751" s="48"/>
      <c r="AF751" s="48"/>
      <c r="AG751" s="48"/>
      <c r="AH751" s="48"/>
      <c r="AI751" s="48"/>
      <c r="AJ751" s="48"/>
      <c r="AK751" s="48"/>
      <c r="AL751" s="48"/>
      <c r="AM751" s="48"/>
      <c r="AN751" s="48"/>
      <c r="AO751" s="48"/>
      <c r="AP751" s="48"/>
      <c r="AQ751" s="48"/>
      <c r="AR751" s="48"/>
      <c r="AS751" s="48"/>
      <c r="AT751" s="48"/>
      <c r="AU751" s="48"/>
      <c r="AV751" s="48"/>
      <c r="AW751" s="48"/>
      <c r="AX751" s="48"/>
      <c r="AY751" s="48"/>
      <c r="AZ751" s="48"/>
      <c r="BA751" s="48"/>
      <c r="BB751" s="48"/>
      <c r="BC751" s="48"/>
      <c r="BD751" s="48"/>
      <c r="BE751" s="48"/>
      <c r="BF751" s="48"/>
      <c r="BG751" s="48"/>
      <c r="BH751" s="48"/>
      <c r="BI751" s="48"/>
      <c r="BJ751" s="48"/>
      <c r="BK751" s="48"/>
      <c r="BL751" s="48"/>
      <c r="BM751" s="48"/>
      <c r="BN751" s="48"/>
      <c r="BO751" s="48"/>
      <c r="BP751" s="48"/>
      <c r="BQ751" s="48"/>
      <c r="BR751" s="48"/>
      <c r="BS751" s="48"/>
      <c r="BT751" s="48"/>
      <c r="BU751" s="48"/>
      <c r="BV751" s="48"/>
      <c r="BW751" s="48"/>
      <c r="BX751" s="111"/>
    </row>
    <row r="752" spans="1:76">
      <c r="A752" s="37"/>
      <c r="B752" s="37"/>
      <c r="C752" s="37" t="s">
        <v>784</v>
      </c>
      <c r="D752" s="37"/>
      <c r="E752" s="37"/>
      <c r="F752" s="37"/>
      <c r="G752" s="59">
        <v>205.37200000000001</v>
      </c>
      <c r="H752" s="59">
        <v>288</v>
      </c>
      <c r="I752" s="59">
        <v>65</v>
      </c>
      <c r="J752" s="59">
        <v>64</v>
      </c>
      <c r="K752" s="59">
        <f>76</f>
        <v>76</v>
      </c>
      <c r="L752" s="59">
        <f>63</f>
        <v>63</v>
      </c>
      <c r="M752" s="59">
        <f>54</f>
        <v>54</v>
      </c>
      <c r="N752" s="60">
        <f>70</f>
        <v>70</v>
      </c>
      <c r="O752" s="36"/>
      <c r="P752" s="48"/>
      <c r="Q752" s="48"/>
      <c r="R752" s="48"/>
      <c r="S752" s="48"/>
      <c r="T752" s="48"/>
      <c r="U752" s="48"/>
      <c r="V752" s="48"/>
      <c r="W752" s="48"/>
      <c r="X752" s="48"/>
      <c r="Y752" s="48"/>
      <c r="Z752" s="48"/>
      <c r="AA752" s="48"/>
      <c r="AB752" s="48"/>
      <c r="AC752" s="48"/>
      <c r="AD752" s="48"/>
      <c r="AE752" s="48"/>
      <c r="AF752" s="48"/>
      <c r="AG752" s="48"/>
      <c r="AH752" s="48"/>
      <c r="AI752" s="48"/>
      <c r="AJ752" s="48"/>
      <c r="AK752" s="48"/>
      <c r="AL752" s="48"/>
      <c r="AM752" s="48"/>
      <c r="AN752" s="48"/>
      <c r="AO752" s="48"/>
      <c r="AP752" s="48"/>
      <c r="AQ752" s="48"/>
      <c r="AR752" s="48"/>
      <c r="AS752" s="48"/>
      <c r="AT752" s="48"/>
      <c r="AU752" s="48"/>
      <c r="AV752" s="48"/>
      <c r="AW752" s="48"/>
      <c r="AX752" s="48"/>
      <c r="AY752" s="48"/>
      <c r="AZ752" s="48"/>
      <c r="BA752" s="48"/>
      <c r="BB752" s="48"/>
      <c r="BC752" s="48"/>
      <c r="BD752" s="48"/>
      <c r="BE752" s="48"/>
      <c r="BF752" s="48"/>
      <c r="BG752" s="48"/>
      <c r="BH752" s="48"/>
      <c r="BI752" s="48"/>
      <c r="BJ752" s="48"/>
      <c r="BK752" s="48"/>
      <c r="BL752" s="48"/>
      <c r="BM752" s="48"/>
      <c r="BN752" s="48"/>
      <c r="BO752" s="48"/>
      <c r="BP752" s="48"/>
      <c r="BQ752" s="48"/>
      <c r="BR752" s="48"/>
      <c r="BS752" s="48"/>
      <c r="BT752" s="48"/>
      <c r="BU752" s="48"/>
      <c r="BV752" s="48"/>
      <c r="BW752" s="48"/>
      <c r="BX752" s="111"/>
    </row>
    <row r="753" spans="1:76">
      <c r="A753" s="37"/>
      <c r="B753" s="37"/>
      <c r="C753" s="37" t="s">
        <v>1151</v>
      </c>
      <c r="D753" s="37"/>
      <c r="E753" s="37"/>
      <c r="F753" s="37"/>
      <c r="G753" s="59">
        <v>101.354</v>
      </c>
      <c r="H753" s="59">
        <v>107</v>
      </c>
      <c r="I753" s="59">
        <v>46</v>
      </c>
      <c r="J753" s="59">
        <v>56</v>
      </c>
      <c r="K753" s="59">
        <f>76</f>
        <v>76</v>
      </c>
      <c r="L753" s="59">
        <f>57</f>
        <v>57</v>
      </c>
      <c r="M753" s="59">
        <f>51</f>
        <v>51</v>
      </c>
      <c r="N753" s="60">
        <f>67</f>
        <v>67</v>
      </c>
      <c r="O753" s="36"/>
      <c r="P753" s="48"/>
      <c r="Q753" s="48"/>
      <c r="R753" s="48"/>
      <c r="S753" s="48"/>
      <c r="T753" s="48"/>
      <c r="U753" s="48"/>
      <c r="V753" s="48"/>
      <c r="W753" s="48"/>
      <c r="X753" s="48"/>
      <c r="Y753" s="48"/>
      <c r="Z753" s="48"/>
      <c r="AA753" s="48"/>
      <c r="AB753" s="48"/>
      <c r="AC753" s="48"/>
      <c r="AD753" s="48"/>
      <c r="AE753" s="48"/>
      <c r="AF753" s="48"/>
      <c r="AG753" s="48"/>
      <c r="AH753" s="48"/>
      <c r="AI753" s="48"/>
      <c r="AJ753" s="48"/>
      <c r="AK753" s="48"/>
      <c r="AL753" s="48"/>
      <c r="AM753" s="48"/>
      <c r="AN753" s="48"/>
      <c r="AO753" s="48"/>
      <c r="AP753" s="48"/>
      <c r="AQ753" s="48"/>
      <c r="AR753" s="48"/>
      <c r="AS753" s="48"/>
      <c r="AT753" s="48"/>
      <c r="AU753" s="48"/>
      <c r="AV753" s="48"/>
      <c r="AW753" s="48"/>
      <c r="AX753" s="48"/>
      <c r="AY753" s="48"/>
      <c r="AZ753" s="48"/>
      <c r="BA753" s="48"/>
      <c r="BB753" s="48"/>
      <c r="BC753" s="48"/>
      <c r="BD753" s="48"/>
      <c r="BE753" s="48"/>
      <c r="BF753" s="48"/>
      <c r="BG753" s="48"/>
      <c r="BH753" s="48"/>
      <c r="BI753" s="48"/>
      <c r="BJ753" s="48"/>
      <c r="BK753" s="48"/>
      <c r="BL753" s="48"/>
      <c r="BM753" s="48"/>
      <c r="BN753" s="48"/>
      <c r="BO753" s="48"/>
      <c r="BP753" s="48"/>
      <c r="BQ753" s="48"/>
      <c r="BR753" s="48"/>
      <c r="BS753" s="48"/>
      <c r="BT753" s="48"/>
      <c r="BU753" s="48"/>
      <c r="BV753" s="48"/>
      <c r="BW753" s="48"/>
      <c r="BX753" s="111"/>
    </row>
    <row r="754" spans="1:76">
      <c r="A754" s="37"/>
      <c r="B754" s="37"/>
      <c r="C754" s="37" t="s">
        <v>2300</v>
      </c>
      <c r="D754" s="37"/>
      <c r="E754" s="37"/>
      <c r="F754" s="37"/>
      <c r="G754" s="59">
        <v>21.692</v>
      </c>
      <c r="H754" s="59">
        <v>47</v>
      </c>
      <c r="I754" s="59">
        <v>39</v>
      </c>
      <c r="J754" s="59">
        <v>55</v>
      </c>
      <c r="K754" s="59">
        <f>60</f>
        <v>60</v>
      </c>
      <c r="L754" s="59">
        <f>54</f>
        <v>54</v>
      </c>
      <c r="M754" s="59">
        <f>49</f>
        <v>49</v>
      </c>
      <c r="N754" s="60">
        <v>63</v>
      </c>
      <c r="O754" s="36"/>
      <c r="P754" s="48"/>
      <c r="Q754" s="48"/>
      <c r="R754" s="48"/>
      <c r="S754" s="48"/>
      <c r="T754" s="48"/>
      <c r="U754" s="48"/>
      <c r="V754" s="48"/>
      <c r="W754" s="48"/>
      <c r="X754" s="48"/>
      <c r="Y754" s="48"/>
      <c r="Z754" s="48"/>
      <c r="AA754" s="48"/>
      <c r="AB754" s="48"/>
      <c r="AC754" s="48"/>
      <c r="AD754" s="48"/>
      <c r="AE754" s="48"/>
      <c r="AF754" s="48"/>
      <c r="AG754" s="48"/>
      <c r="AH754" s="48"/>
      <c r="AI754" s="48"/>
      <c r="AJ754" s="48"/>
      <c r="AK754" s="48"/>
      <c r="AL754" s="48"/>
      <c r="AM754" s="48"/>
      <c r="AN754" s="48"/>
      <c r="AO754" s="48"/>
      <c r="AP754" s="48"/>
      <c r="AQ754" s="48"/>
      <c r="AR754" s="48"/>
      <c r="AS754" s="48"/>
      <c r="AT754" s="48"/>
      <c r="AU754" s="48"/>
      <c r="AV754" s="48"/>
      <c r="AW754" s="48"/>
      <c r="AX754" s="48"/>
      <c r="AY754" s="48"/>
      <c r="AZ754" s="48"/>
      <c r="BA754" s="48"/>
      <c r="BB754" s="48"/>
      <c r="BC754" s="48"/>
      <c r="BD754" s="48"/>
      <c r="BE754" s="48"/>
      <c r="BF754" s="48"/>
      <c r="BG754" s="48"/>
      <c r="BH754" s="48"/>
      <c r="BI754" s="48"/>
      <c r="BJ754" s="48"/>
      <c r="BK754" s="48"/>
      <c r="BL754" s="48"/>
      <c r="BM754" s="48"/>
      <c r="BN754" s="48"/>
      <c r="BO754" s="48"/>
      <c r="BP754" s="48"/>
      <c r="BQ754" s="48"/>
      <c r="BR754" s="48"/>
      <c r="BS754" s="48"/>
      <c r="BT754" s="48"/>
      <c r="BU754" s="48"/>
      <c r="BV754" s="48"/>
      <c r="BW754" s="48"/>
      <c r="BX754" s="111"/>
    </row>
    <row r="755" spans="1:76">
      <c r="A755" s="37"/>
      <c r="B755" s="37"/>
      <c r="C755" s="37" t="s">
        <v>1596</v>
      </c>
      <c r="D755" s="37"/>
      <c r="E755" s="37"/>
      <c r="F755" s="37"/>
      <c r="G755" s="59">
        <v>9.4969999999999999</v>
      </c>
      <c r="H755" s="59">
        <v>41</v>
      </c>
      <c r="I755" s="59">
        <v>39</v>
      </c>
      <c r="J755" s="59">
        <v>51</v>
      </c>
      <c r="K755" s="59">
        <f>70</f>
        <v>70</v>
      </c>
      <c r="L755" s="59">
        <f>44</f>
        <v>44</v>
      </c>
      <c r="M755" s="59">
        <v>43</v>
      </c>
      <c r="N755" s="60">
        <v>59</v>
      </c>
      <c r="O755" s="36"/>
      <c r="P755" s="48"/>
      <c r="Q755" s="48"/>
      <c r="R755" s="48"/>
      <c r="S755" s="48"/>
      <c r="T755" s="48"/>
      <c r="U755" s="48"/>
      <c r="V755" s="48"/>
      <c r="W755" s="48"/>
      <c r="X755" s="48"/>
      <c r="Y755" s="48"/>
      <c r="Z755" s="48"/>
      <c r="AA755" s="48"/>
      <c r="AB755" s="48"/>
      <c r="AC755" s="48"/>
      <c r="AD755" s="48"/>
      <c r="AE755" s="48"/>
      <c r="AF755" s="48"/>
      <c r="AG755" s="48"/>
      <c r="AH755" s="48"/>
      <c r="AI755" s="48"/>
      <c r="AJ755" s="48"/>
      <c r="AK755" s="48"/>
      <c r="AL755" s="48"/>
      <c r="AM755" s="48"/>
      <c r="AN755" s="48"/>
      <c r="AO755" s="48"/>
      <c r="AP755" s="48"/>
      <c r="AQ755" s="48"/>
      <c r="AR755" s="48"/>
      <c r="AS755" s="48"/>
      <c r="AT755" s="48"/>
      <c r="AU755" s="48"/>
      <c r="AV755" s="48"/>
      <c r="AW755" s="48"/>
      <c r="AX755" s="48"/>
      <c r="AY755" s="48"/>
      <c r="AZ755" s="48"/>
      <c r="BA755" s="48"/>
      <c r="BB755" s="48"/>
      <c r="BC755" s="48"/>
      <c r="BD755" s="48"/>
      <c r="BE755" s="48"/>
      <c r="BF755" s="48"/>
      <c r="BG755" s="48"/>
      <c r="BH755" s="48"/>
      <c r="BI755" s="48"/>
      <c r="BJ755" s="48"/>
      <c r="BK755" s="48"/>
      <c r="BL755" s="48"/>
      <c r="BM755" s="48"/>
      <c r="BN755" s="48"/>
      <c r="BO755" s="48"/>
      <c r="BP755" s="48"/>
      <c r="BQ755" s="48"/>
      <c r="BR755" s="48"/>
      <c r="BS755" s="48"/>
      <c r="BT755" s="48"/>
      <c r="BU755" s="48"/>
      <c r="BV755" s="48"/>
      <c r="BW755" s="48"/>
      <c r="BX755" s="111"/>
    </row>
    <row r="756" spans="1:76">
      <c r="A756" s="37"/>
      <c r="B756" s="37"/>
      <c r="C756" s="37" t="s">
        <v>1307</v>
      </c>
      <c r="D756" s="37"/>
      <c r="E756" s="37"/>
      <c r="F756" s="37"/>
      <c r="G756" s="59">
        <v>96.435000000000002</v>
      </c>
      <c r="H756" s="59">
        <v>336</v>
      </c>
      <c r="I756" s="59">
        <v>321</v>
      </c>
      <c r="J756" s="59">
        <v>491</v>
      </c>
      <c r="K756" s="59">
        <v>723</v>
      </c>
      <c r="L756" s="59">
        <v>658</v>
      </c>
      <c r="M756" s="59">
        <v>630</v>
      </c>
      <c r="N756" s="60">
        <v>800</v>
      </c>
      <c r="O756" s="36"/>
      <c r="P756" s="48"/>
      <c r="Q756" s="48"/>
      <c r="R756" s="48"/>
      <c r="S756" s="48"/>
      <c r="T756" s="48"/>
      <c r="U756" s="48"/>
      <c r="V756" s="48"/>
      <c r="W756" s="48"/>
      <c r="X756" s="48"/>
      <c r="Y756" s="48"/>
      <c r="Z756" s="48"/>
      <c r="AA756" s="48"/>
      <c r="AB756" s="48"/>
      <c r="AC756" s="48"/>
      <c r="AD756" s="48"/>
      <c r="AE756" s="48"/>
      <c r="AF756" s="48"/>
      <c r="AG756" s="48"/>
      <c r="AH756" s="48"/>
      <c r="AI756" s="48"/>
      <c r="AJ756" s="48"/>
      <c r="AK756" s="48"/>
      <c r="AL756" s="48"/>
      <c r="AM756" s="48"/>
      <c r="AN756" s="48"/>
      <c r="AO756" s="48"/>
      <c r="AP756" s="48"/>
      <c r="AQ756" s="48"/>
      <c r="AR756" s="48"/>
      <c r="AS756" s="48"/>
      <c r="AT756" s="48"/>
      <c r="AU756" s="48"/>
      <c r="AV756" s="48"/>
      <c r="AW756" s="48"/>
      <c r="AX756" s="48"/>
      <c r="AY756" s="48"/>
      <c r="AZ756" s="48"/>
      <c r="BA756" s="48"/>
      <c r="BB756" s="48"/>
      <c r="BC756" s="48"/>
      <c r="BD756" s="48"/>
      <c r="BE756" s="48"/>
      <c r="BF756" s="48"/>
      <c r="BG756" s="48"/>
      <c r="BH756" s="48"/>
      <c r="BI756" s="48"/>
      <c r="BJ756" s="48"/>
      <c r="BK756" s="48"/>
      <c r="BL756" s="48"/>
      <c r="BM756" s="48"/>
      <c r="BN756" s="48"/>
      <c r="BO756" s="48"/>
      <c r="BP756" s="48"/>
      <c r="BQ756" s="48"/>
      <c r="BR756" s="48"/>
      <c r="BS756" s="48"/>
      <c r="BT756" s="48"/>
      <c r="BU756" s="48"/>
      <c r="BV756" s="48"/>
      <c r="BW756" s="48"/>
      <c r="BX756" s="111"/>
    </row>
    <row r="757" spans="1:76">
      <c r="A757" s="37"/>
      <c r="B757" s="37"/>
      <c r="C757" s="37" t="s">
        <v>1437</v>
      </c>
      <c r="D757" s="37"/>
      <c r="E757" s="37"/>
      <c r="F757" s="37"/>
      <c r="G757" s="59">
        <f>39+234.5</f>
        <v>273.5</v>
      </c>
      <c r="H757" s="59">
        <f>37+386</f>
        <v>423</v>
      </c>
      <c r="I757" s="59">
        <f>41+485</f>
        <v>526</v>
      </c>
      <c r="J757" s="59">
        <f>64+520</f>
        <v>584</v>
      </c>
      <c r="K757" s="59">
        <f>75</f>
        <v>75</v>
      </c>
      <c r="L757" s="59">
        <f>77</f>
        <v>77</v>
      </c>
      <c r="M757" s="59">
        <f>77</f>
        <v>77</v>
      </c>
      <c r="N757" s="60">
        <f>85</f>
        <v>85</v>
      </c>
      <c r="O757" s="36"/>
      <c r="P757" s="48"/>
      <c r="Q757" s="48"/>
      <c r="R757" s="48"/>
      <c r="S757" s="48"/>
      <c r="T757" s="48"/>
      <c r="U757" s="48"/>
      <c r="V757" s="48"/>
      <c r="W757" s="48"/>
      <c r="X757" s="48"/>
      <c r="Y757" s="48"/>
      <c r="Z757" s="48"/>
      <c r="AA757" s="48"/>
      <c r="AB757" s="48"/>
      <c r="AC757" s="48"/>
      <c r="AD757" s="48"/>
      <c r="AE757" s="48"/>
      <c r="AF757" s="48"/>
      <c r="AG757" s="48"/>
      <c r="AH757" s="48"/>
      <c r="AI757" s="48"/>
      <c r="AJ757" s="48"/>
      <c r="AK757" s="48"/>
      <c r="AL757" s="48"/>
      <c r="AM757" s="48"/>
      <c r="AN757" s="48"/>
      <c r="AO757" s="48"/>
      <c r="AP757" s="48"/>
      <c r="AQ757" s="48"/>
      <c r="AR757" s="48"/>
      <c r="AS757" s="48"/>
      <c r="AT757" s="48"/>
      <c r="AU757" s="48"/>
      <c r="AV757" s="48"/>
      <c r="AW757" s="48"/>
      <c r="AX757" s="48"/>
      <c r="AY757" s="48"/>
      <c r="AZ757" s="48"/>
      <c r="BA757" s="48"/>
      <c r="BB757" s="48"/>
      <c r="BC757" s="48"/>
      <c r="BD757" s="48"/>
      <c r="BE757" s="48"/>
      <c r="BF757" s="48"/>
      <c r="BG757" s="48"/>
      <c r="BH757" s="48"/>
      <c r="BI757" s="48"/>
      <c r="BJ757" s="48"/>
      <c r="BK757" s="48"/>
      <c r="BL757" s="48"/>
      <c r="BM757" s="48"/>
      <c r="BN757" s="48"/>
      <c r="BO757" s="48"/>
      <c r="BP757" s="48"/>
      <c r="BQ757" s="48"/>
      <c r="BR757" s="48"/>
      <c r="BS757" s="48"/>
      <c r="BT757" s="48"/>
      <c r="BU757" s="48"/>
      <c r="BV757" s="48"/>
      <c r="BW757" s="48"/>
      <c r="BX757" s="111"/>
    </row>
    <row r="758" spans="1:76">
      <c r="A758" s="37"/>
      <c r="B758" s="37"/>
      <c r="C758" s="37"/>
      <c r="D758" s="37"/>
      <c r="E758" s="37"/>
      <c r="F758" s="37"/>
      <c r="G758" s="59"/>
      <c r="H758" s="59"/>
      <c r="I758" s="59"/>
      <c r="J758" s="59"/>
      <c r="K758" s="59"/>
      <c r="L758" s="59"/>
      <c r="M758" s="59"/>
      <c r="N758" s="59"/>
      <c r="O758" s="95"/>
      <c r="P758" s="37"/>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c r="AP758" s="37"/>
      <c r="AQ758" s="37"/>
      <c r="AR758" s="37"/>
      <c r="AS758" s="37"/>
      <c r="AT758" s="37"/>
      <c r="AU758" s="37"/>
      <c r="AV758" s="37"/>
      <c r="AW758" s="37"/>
      <c r="AX758" s="37"/>
      <c r="AY758" s="37"/>
      <c r="AZ758" s="37"/>
      <c r="BA758" s="37"/>
      <c r="BB758" s="37"/>
      <c r="BC758" s="37"/>
      <c r="BD758" s="37"/>
      <c r="BE758" s="37"/>
      <c r="BF758" s="37"/>
      <c r="BG758" s="37"/>
      <c r="BH758" s="37"/>
      <c r="BI758" s="37"/>
      <c r="BJ758" s="37"/>
      <c r="BK758" s="37"/>
      <c r="BL758" s="37"/>
      <c r="BM758" s="37"/>
      <c r="BN758" s="37"/>
      <c r="BO758" s="37"/>
      <c r="BP758" s="37"/>
      <c r="BQ758" s="37"/>
      <c r="BR758" s="37"/>
      <c r="BS758" s="37"/>
      <c r="BT758" s="37"/>
      <c r="BU758" s="37"/>
      <c r="BV758" s="37"/>
      <c r="BW758" s="37"/>
      <c r="BX758" s="117"/>
    </row>
    <row r="759" spans="1:76">
      <c r="A759" s="37"/>
      <c r="B759" s="37"/>
      <c r="C759" s="37"/>
      <c r="D759" s="37"/>
      <c r="E759" s="37"/>
      <c r="F759" s="37"/>
      <c r="G759" s="39"/>
      <c r="H759" s="39"/>
      <c r="I759" s="39"/>
      <c r="J759" s="39"/>
      <c r="K759" s="39"/>
      <c r="L759" s="39"/>
      <c r="M759" s="39"/>
      <c r="N759" s="39"/>
      <c r="O759" s="95"/>
      <c r="P759" s="37"/>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c r="AP759" s="37"/>
      <c r="AQ759" s="37"/>
      <c r="AR759" s="37"/>
      <c r="AS759" s="37"/>
      <c r="AT759" s="37"/>
      <c r="AU759" s="37"/>
      <c r="AV759" s="37"/>
      <c r="AW759" s="37"/>
      <c r="AX759" s="37"/>
      <c r="AY759" s="37"/>
      <c r="AZ759" s="37"/>
      <c r="BA759" s="37"/>
      <c r="BB759" s="37"/>
      <c r="BC759" s="37"/>
      <c r="BD759" s="37"/>
      <c r="BE759" s="37"/>
      <c r="BF759" s="37"/>
      <c r="BG759" s="37"/>
      <c r="BH759" s="37"/>
      <c r="BI759" s="37"/>
      <c r="BJ759" s="37"/>
      <c r="BK759" s="37"/>
      <c r="BL759" s="37"/>
      <c r="BM759" s="37"/>
      <c r="BN759" s="37"/>
      <c r="BO759" s="37"/>
      <c r="BP759" s="37"/>
      <c r="BQ759" s="37"/>
      <c r="BR759" s="37"/>
      <c r="BS759" s="37"/>
      <c r="BT759" s="37"/>
      <c r="BU759" s="37"/>
      <c r="BV759" s="37"/>
      <c r="BW759" s="37"/>
      <c r="BX759" s="117"/>
    </row>
    <row r="760" spans="1:76">
      <c r="A760" s="20" t="s">
        <v>735</v>
      </c>
      <c r="B760" s="20"/>
      <c r="C760" s="20"/>
      <c r="D760" s="20"/>
      <c r="E760" s="20"/>
      <c r="F760" s="20"/>
      <c r="G760" s="23"/>
      <c r="H760" s="23"/>
      <c r="I760" s="23"/>
      <c r="J760" s="39"/>
      <c r="K760" s="39"/>
      <c r="L760" s="39"/>
      <c r="M760" s="39"/>
      <c r="N760" s="39"/>
      <c r="O760" s="95"/>
      <c r="P760" s="37"/>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c r="AP760" s="37"/>
      <c r="AQ760" s="37"/>
      <c r="AR760" s="37"/>
      <c r="AS760" s="37"/>
      <c r="AT760" s="37"/>
      <c r="AU760" s="37"/>
      <c r="AV760" s="37"/>
      <c r="AW760" s="37"/>
      <c r="AX760" s="37"/>
      <c r="AY760" s="37"/>
      <c r="AZ760" s="37"/>
      <c r="BA760" s="37"/>
      <c r="BB760" s="37"/>
      <c r="BC760" s="37"/>
      <c r="BD760" s="37"/>
      <c r="BE760" s="37"/>
      <c r="BF760" s="37"/>
      <c r="BG760" s="37"/>
      <c r="BH760" s="37"/>
      <c r="BI760" s="37"/>
      <c r="BJ760" s="37"/>
      <c r="BK760" s="37"/>
      <c r="BL760" s="37"/>
      <c r="BM760" s="37"/>
      <c r="BN760" s="37"/>
      <c r="BO760" s="37"/>
      <c r="BP760" s="37"/>
      <c r="BQ760" s="37"/>
      <c r="BR760" s="37"/>
      <c r="BS760" s="37"/>
      <c r="BT760" s="37"/>
      <c r="BU760" s="37"/>
      <c r="BV760" s="37"/>
      <c r="BW760" s="37"/>
      <c r="BX760" s="117"/>
    </row>
    <row r="761" spans="1:76">
      <c r="A761" s="20"/>
      <c r="B761" s="20"/>
      <c r="C761" s="20"/>
      <c r="D761" s="37" t="s">
        <v>742</v>
      </c>
      <c r="E761" s="37"/>
      <c r="F761" s="37"/>
      <c r="G761" s="96">
        <v>281</v>
      </c>
      <c r="H761" s="96">
        <v>399</v>
      </c>
      <c r="I761" s="96">
        <v>370</v>
      </c>
      <c r="J761" s="96">
        <v>391</v>
      </c>
      <c r="K761" s="96">
        <v>433</v>
      </c>
      <c r="L761" s="96">
        <v>473</v>
      </c>
      <c r="M761" s="96">
        <v>410</v>
      </c>
      <c r="N761" s="96">
        <v>413</v>
      </c>
      <c r="O761" s="95"/>
      <c r="P761" s="37"/>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c r="AP761" s="37"/>
      <c r="AQ761" s="37"/>
      <c r="AR761" s="37"/>
      <c r="AS761" s="37"/>
      <c r="AT761" s="37"/>
      <c r="AU761" s="37"/>
      <c r="AV761" s="37"/>
      <c r="AW761" s="37"/>
      <c r="AX761" s="37"/>
      <c r="AY761" s="37"/>
      <c r="AZ761" s="37"/>
      <c r="BA761" s="37"/>
      <c r="BB761" s="37"/>
      <c r="BC761" s="37"/>
      <c r="BD761" s="37"/>
      <c r="BE761" s="37"/>
      <c r="BF761" s="37"/>
      <c r="BG761" s="37"/>
      <c r="BH761" s="37"/>
      <c r="BI761" s="37"/>
      <c r="BJ761" s="37"/>
      <c r="BK761" s="37"/>
      <c r="BL761" s="37"/>
      <c r="BM761" s="37"/>
      <c r="BN761" s="37"/>
      <c r="BO761" s="37"/>
      <c r="BP761" s="37"/>
      <c r="BQ761" s="37"/>
      <c r="BR761" s="37"/>
      <c r="BS761" s="37"/>
      <c r="BT761" s="37"/>
      <c r="BU761" s="37"/>
      <c r="BV761" s="37"/>
      <c r="BW761" s="37"/>
      <c r="BX761" s="117"/>
    </row>
    <row r="762" spans="1:76">
      <c r="A762" s="71"/>
      <c r="B762" s="71"/>
      <c r="C762" s="71"/>
      <c r="D762" s="71" t="s">
        <v>1150</v>
      </c>
      <c r="E762" s="71"/>
      <c r="F762" s="71"/>
      <c r="G762" s="61"/>
      <c r="H762" s="61"/>
      <c r="I762" s="61"/>
      <c r="J762" s="61"/>
      <c r="K762" s="61"/>
      <c r="L762" s="97">
        <v>6.3700000000000007E-2</v>
      </c>
      <c r="M762" s="97">
        <v>5.8599999999999999E-2</v>
      </c>
      <c r="N762" s="98">
        <v>5.9900000000000002E-2</v>
      </c>
      <c r="O762" s="99"/>
      <c r="P762" s="100"/>
      <c r="Q762" s="100"/>
      <c r="R762" s="100"/>
      <c r="S762" s="100"/>
      <c r="T762" s="100"/>
      <c r="U762" s="100"/>
      <c r="V762" s="100"/>
      <c r="W762" s="100"/>
      <c r="X762" s="100"/>
      <c r="Y762" s="100"/>
      <c r="Z762" s="100"/>
      <c r="AA762" s="100"/>
      <c r="AB762" s="100"/>
      <c r="AC762" s="100"/>
      <c r="AD762" s="100"/>
      <c r="AE762" s="100"/>
      <c r="AF762" s="100"/>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114"/>
    </row>
    <row r="763" spans="1:76">
      <c r="A763" s="71"/>
      <c r="B763" s="71"/>
      <c r="C763" s="71"/>
      <c r="D763" s="71" t="s">
        <v>1684</v>
      </c>
      <c r="E763" s="71"/>
      <c r="F763" s="71"/>
      <c r="G763" s="61"/>
      <c r="H763" s="61"/>
      <c r="I763" s="61"/>
      <c r="J763" s="61"/>
      <c r="K763" s="61"/>
      <c r="L763" s="97">
        <v>0.06</v>
      </c>
      <c r="M763" s="97">
        <v>0.06</v>
      </c>
      <c r="N763" s="98">
        <v>0.06</v>
      </c>
      <c r="O763" s="99"/>
      <c r="P763" s="100"/>
      <c r="Q763" s="100"/>
      <c r="R763" s="100"/>
      <c r="S763" s="100"/>
      <c r="T763" s="100"/>
      <c r="U763" s="100"/>
      <c r="V763" s="100"/>
      <c r="W763" s="100"/>
      <c r="X763" s="100"/>
      <c r="Y763" s="100"/>
      <c r="Z763" s="100"/>
      <c r="AA763" s="100"/>
      <c r="AB763" s="100"/>
      <c r="AC763" s="100"/>
      <c r="AD763" s="100"/>
      <c r="AE763" s="100"/>
      <c r="AF763" s="100"/>
      <c r="AG763" s="72"/>
      <c r="AH763" s="72"/>
      <c r="AI763" s="72"/>
      <c r="AJ763" s="72"/>
      <c r="AK763" s="72"/>
      <c r="AL763" s="72"/>
      <c r="AM763" s="72"/>
      <c r="AN763" s="72"/>
      <c r="AO763" s="72"/>
      <c r="AP763" s="72"/>
      <c r="AQ763" s="72"/>
      <c r="AR763" s="72"/>
      <c r="AS763" s="72"/>
      <c r="AT763" s="72"/>
      <c r="AU763" s="72"/>
      <c r="AV763" s="72"/>
      <c r="AW763" s="72"/>
      <c r="AX763" s="72"/>
      <c r="AY763" s="72"/>
      <c r="AZ763" s="72"/>
      <c r="BA763" s="72"/>
      <c r="BB763" s="72"/>
      <c r="BC763" s="72"/>
      <c r="BD763" s="72"/>
      <c r="BE763" s="72"/>
      <c r="BF763" s="72"/>
      <c r="BG763" s="72"/>
      <c r="BH763" s="72"/>
      <c r="BI763" s="72"/>
      <c r="BJ763" s="72"/>
      <c r="BK763" s="72"/>
      <c r="BL763" s="72"/>
      <c r="BM763" s="72"/>
      <c r="BN763" s="72"/>
      <c r="BO763" s="72"/>
      <c r="BP763" s="72"/>
      <c r="BQ763" s="72"/>
      <c r="BR763" s="72"/>
      <c r="BS763" s="72"/>
      <c r="BT763" s="72"/>
      <c r="BU763" s="72"/>
      <c r="BV763" s="72"/>
      <c r="BW763" s="72"/>
      <c r="BX763" s="114"/>
    </row>
    <row r="764" spans="1:76">
      <c r="A764" s="71"/>
      <c r="B764" s="71"/>
      <c r="C764" s="71"/>
      <c r="D764" s="71" t="s">
        <v>2074</v>
      </c>
      <c r="E764" s="71"/>
      <c r="F764" s="71"/>
      <c r="G764" s="61"/>
      <c r="H764" s="61"/>
      <c r="I764" s="61"/>
      <c r="J764" s="61"/>
      <c r="K764" s="61"/>
      <c r="L764" s="97"/>
      <c r="M764" s="97"/>
      <c r="N764" s="98"/>
      <c r="O764" s="99"/>
      <c r="P764" s="100"/>
      <c r="Q764" s="100"/>
      <c r="R764" s="100"/>
      <c r="S764" s="100"/>
      <c r="T764" s="100"/>
      <c r="U764" s="100"/>
      <c r="V764" s="100"/>
      <c r="W764" s="100"/>
      <c r="X764" s="100"/>
      <c r="Y764" s="100"/>
      <c r="Z764" s="100"/>
      <c r="AA764" s="100"/>
      <c r="AB764" s="100"/>
      <c r="AC764" s="100"/>
      <c r="AD764" s="100"/>
      <c r="AE764" s="100"/>
      <c r="AF764" s="100"/>
      <c r="AG764" s="72"/>
      <c r="AH764" s="72"/>
      <c r="AI764" s="72"/>
      <c r="AJ764" s="72"/>
      <c r="AK764" s="72"/>
      <c r="AL764" s="72"/>
      <c r="AM764" s="72"/>
      <c r="AN764" s="72"/>
      <c r="AO764" s="72"/>
      <c r="AP764" s="72"/>
      <c r="AQ764" s="72"/>
      <c r="AR764" s="72"/>
      <c r="AS764" s="72"/>
      <c r="AT764" s="72"/>
      <c r="AU764" s="72"/>
      <c r="AV764" s="72"/>
      <c r="AW764" s="72"/>
      <c r="AX764" s="72"/>
      <c r="AY764" s="72"/>
      <c r="AZ764" s="72"/>
      <c r="BA764" s="72"/>
      <c r="BB764" s="72"/>
      <c r="BC764" s="72"/>
      <c r="BD764" s="72"/>
      <c r="BE764" s="72"/>
      <c r="BF764" s="72"/>
      <c r="BG764" s="72"/>
      <c r="BH764" s="72"/>
      <c r="BI764" s="72"/>
      <c r="BJ764" s="72"/>
      <c r="BK764" s="72"/>
      <c r="BL764" s="72"/>
      <c r="BM764" s="72"/>
      <c r="BN764" s="72"/>
      <c r="BO764" s="72"/>
      <c r="BP764" s="72"/>
      <c r="BQ764" s="72"/>
      <c r="BR764" s="72"/>
      <c r="BS764" s="72"/>
      <c r="BT764" s="72"/>
      <c r="BU764" s="72"/>
      <c r="BV764" s="72"/>
      <c r="BW764" s="72"/>
      <c r="BX764" s="114"/>
    </row>
    <row r="765" spans="1:76">
      <c r="A765" s="71"/>
      <c r="B765" s="71"/>
      <c r="C765" s="71"/>
      <c r="D765" s="71" t="s">
        <v>368</v>
      </c>
      <c r="E765" s="71"/>
      <c r="F765" s="71"/>
      <c r="G765" s="61"/>
      <c r="H765" s="61"/>
      <c r="I765" s="61"/>
      <c r="J765" s="61"/>
      <c r="K765" s="61"/>
      <c r="L765" s="97">
        <v>7.2499999999999995E-2</v>
      </c>
      <c r="M765" s="97">
        <v>6.7500000000000004E-2</v>
      </c>
      <c r="N765" s="98">
        <v>6.25E-2</v>
      </c>
      <c r="O765" s="99"/>
      <c r="P765" s="100"/>
      <c r="Q765" s="100"/>
      <c r="R765" s="100"/>
      <c r="S765" s="100"/>
      <c r="T765" s="100"/>
      <c r="U765" s="100"/>
      <c r="V765" s="100"/>
      <c r="W765" s="100"/>
      <c r="X765" s="100"/>
      <c r="Y765" s="100"/>
      <c r="Z765" s="100"/>
      <c r="AA765" s="100"/>
      <c r="AB765" s="100"/>
      <c r="AC765" s="100"/>
      <c r="AD765" s="100"/>
      <c r="AE765" s="100"/>
      <c r="AF765" s="100"/>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114"/>
    </row>
    <row r="766" spans="1:76">
      <c r="A766" s="71"/>
      <c r="B766" s="71"/>
      <c r="C766" s="71"/>
      <c r="D766" s="71" t="s">
        <v>897</v>
      </c>
      <c r="E766" s="71"/>
      <c r="F766" s="71"/>
      <c r="G766" s="61"/>
      <c r="H766" s="61"/>
      <c r="I766" s="61"/>
      <c r="J766" s="61"/>
      <c r="K766" s="61"/>
      <c r="L766" s="97">
        <v>0.08</v>
      </c>
      <c r="M766" s="97">
        <v>8.7499999999999994E-2</v>
      </c>
      <c r="N766" s="98">
        <v>0.08</v>
      </c>
      <c r="O766" s="99"/>
      <c r="P766" s="100"/>
      <c r="Q766" s="100"/>
      <c r="R766" s="100"/>
      <c r="S766" s="100"/>
      <c r="T766" s="100"/>
      <c r="U766" s="100"/>
      <c r="V766" s="100"/>
      <c r="W766" s="100"/>
      <c r="X766" s="100"/>
      <c r="Y766" s="100"/>
      <c r="Z766" s="100"/>
      <c r="AA766" s="100"/>
      <c r="AB766" s="100"/>
      <c r="AC766" s="100"/>
      <c r="AD766" s="100"/>
      <c r="AE766" s="100"/>
      <c r="AF766" s="100"/>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114"/>
    </row>
    <row r="767" spans="1:76">
      <c r="A767" s="37"/>
      <c r="B767" s="37"/>
      <c r="C767" s="37"/>
      <c r="D767" s="37"/>
      <c r="E767" s="37"/>
      <c r="F767" s="37"/>
      <c r="G767" s="61"/>
      <c r="H767" s="61"/>
      <c r="I767" s="61"/>
      <c r="J767" s="61"/>
      <c r="K767" s="61"/>
      <c r="L767" s="61"/>
      <c r="M767" s="61"/>
      <c r="N767" s="61"/>
      <c r="O767" s="101"/>
      <c r="P767" s="62"/>
      <c r="Q767" s="62"/>
      <c r="R767" s="62"/>
      <c r="S767" s="62"/>
      <c r="T767" s="62"/>
      <c r="U767" s="62"/>
      <c r="V767" s="62"/>
      <c r="W767" s="62"/>
      <c r="X767" s="62"/>
      <c r="Y767" s="62"/>
      <c r="Z767" s="62"/>
      <c r="AA767" s="62"/>
      <c r="AB767" s="62"/>
      <c r="AC767" s="62"/>
      <c r="AD767" s="62"/>
      <c r="AE767" s="62"/>
      <c r="AF767" s="62"/>
      <c r="AG767" s="37"/>
      <c r="AH767" s="37"/>
      <c r="AI767" s="37"/>
      <c r="AJ767" s="37"/>
      <c r="AK767" s="37"/>
      <c r="AL767" s="37"/>
      <c r="AM767" s="37"/>
      <c r="AN767" s="37"/>
      <c r="AO767" s="37"/>
      <c r="AP767" s="37"/>
      <c r="AQ767" s="37"/>
      <c r="AR767" s="37"/>
      <c r="AS767" s="37"/>
      <c r="AT767" s="37"/>
      <c r="AU767" s="37"/>
      <c r="AV767" s="37"/>
      <c r="AW767" s="37"/>
      <c r="AX767" s="37"/>
      <c r="AY767" s="37"/>
      <c r="AZ767" s="37"/>
      <c r="BA767" s="37"/>
      <c r="BB767" s="37"/>
      <c r="BC767" s="37"/>
      <c r="BD767" s="37"/>
      <c r="BE767" s="37"/>
      <c r="BF767" s="37"/>
      <c r="BG767" s="37"/>
      <c r="BH767" s="37"/>
      <c r="BI767" s="37"/>
      <c r="BJ767" s="37"/>
      <c r="BK767" s="37"/>
      <c r="BL767" s="37"/>
      <c r="BM767" s="37"/>
      <c r="BN767" s="37"/>
      <c r="BO767" s="37"/>
      <c r="BP767" s="37"/>
      <c r="BQ767" s="37"/>
      <c r="BR767" s="37"/>
      <c r="BS767" s="37"/>
      <c r="BT767" s="37"/>
      <c r="BU767" s="37"/>
      <c r="BV767" s="37"/>
      <c r="BW767" s="37"/>
      <c r="BX767" s="117"/>
    </row>
    <row r="768" spans="1:76">
      <c r="A768" s="20"/>
      <c r="B768" s="20" t="s">
        <v>2224</v>
      </c>
      <c r="C768" s="20"/>
      <c r="D768" s="20"/>
      <c r="E768" s="20"/>
      <c r="F768" s="20"/>
      <c r="G768" s="102">
        <f>G769/G774</f>
        <v>0.35</v>
      </c>
      <c r="H768" s="102">
        <f>+(H769+H770+H771)/H774</f>
        <v>0.39117647058823529</v>
      </c>
      <c r="I768" s="102">
        <f>+(I769+I770+I771)/I774</f>
        <v>0.36497326203208552</v>
      </c>
      <c r="J768" s="102">
        <f>+(J769+J770+J771)/J774</f>
        <v>0.35981308411214952</v>
      </c>
      <c r="K768" s="102">
        <f>+(K769+K770+K771)/K774</f>
        <v>0.37611940298507457</v>
      </c>
      <c r="L768" s="102">
        <f>+(L769+L770+L771)/L774</f>
        <v>0.32965116279069767</v>
      </c>
      <c r="M768" s="102">
        <f>M769/M774</f>
        <v>0.35</v>
      </c>
      <c r="N768" s="102">
        <f>+(N769+N770+N771+N772)/N774</f>
        <v>0.34756944444444443</v>
      </c>
      <c r="O768" s="101"/>
      <c r="P768" s="103"/>
      <c r="Q768" s="103"/>
      <c r="R768" s="103"/>
      <c r="S768" s="103"/>
      <c r="T768" s="103"/>
      <c r="U768" s="103"/>
      <c r="V768" s="103"/>
      <c r="W768" s="103"/>
      <c r="X768" s="103"/>
      <c r="Y768" s="103"/>
      <c r="Z768" s="103"/>
      <c r="AA768" s="103"/>
      <c r="AB768" s="103"/>
      <c r="AC768" s="103"/>
      <c r="AD768" s="103"/>
      <c r="AE768" s="103"/>
      <c r="AF768" s="103"/>
      <c r="AG768" s="20"/>
      <c r="AH768" s="20"/>
      <c r="AI768" s="20"/>
      <c r="AJ768" s="20"/>
      <c r="AK768" s="20"/>
      <c r="AL768" s="20"/>
      <c r="AM768" s="20"/>
      <c r="AN768" s="20"/>
      <c r="AO768" s="20"/>
      <c r="AP768" s="20"/>
      <c r="AQ768" s="20"/>
      <c r="AR768" s="20"/>
      <c r="AS768" s="20"/>
      <c r="AT768" s="20"/>
      <c r="AU768" s="20"/>
      <c r="AV768" s="20"/>
      <c r="AW768" s="20"/>
      <c r="AX768" s="20"/>
      <c r="AY768" s="20"/>
      <c r="AZ768" s="20"/>
      <c r="BA768" s="20"/>
      <c r="BB768" s="20"/>
      <c r="BC768" s="20"/>
      <c r="BD768" s="20"/>
      <c r="BE768" s="20"/>
      <c r="BF768" s="20"/>
      <c r="BG768" s="20"/>
      <c r="BH768" s="20"/>
      <c r="BI768" s="20"/>
      <c r="BJ768" s="20"/>
      <c r="BK768" s="20"/>
      <c r="BL768" s="20"/>
      <c r="BM768" s="20"/>
      <c r="BN768" s="20"/>
      <c r="BO768" s="20"/>
      <c r="BP768" s="20"/>
      <c r="BQ768" s="20"/>
      <c r="BR768" s="20"/>
      <c r="BS768" s="20"/>
      <c r="BT768" s="20"/>
      <c r="BU768" s="20"/>
      <c r="BV768" s="20"/>
      <c r="BW768" s="20"/>
      <c r="BX768" s="20"/>
    </row>
    <row r="769" spans="1:76">
      <c r="A769" s="37"/>
      <c r="B769" s="37"/>
      <c r="C769" s="37" t="s">
        <v>736</v>
      </c>
      <c r="D769" s="37"/>
      <c r="E769" s="37"/>
      <c r="F769" s="37"/>
      <c r="G769" s="39">
        <v>-36</v>
      </c>
      <c r="H769" s="39">
        <v>51</v>
      </c>
      <c r="I769" s="39">
        <v>187</v>
      </c>
      <c r="J769" s="39">
        <v>214</v>
      </c>
      <c r="K769" s="39">
        <v>67</v>
      </c>
      <c r="L769" s="39">
        <v>86</v>
      </c>
      <c r="M769" s="39">
        <v>-4</v>
      </c>
      <c r="N769" s="39">
        <v>144</v>
      </c>
      <c r="O769" s="95"/>
      <c r="P769" s="37"/>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c r="AP769" s="37"/>
      <c r="AQ769" s="37"/>
      <c r="AR769" s="37"/>
      <c r="AS769" s="37"/>
      <c r="AT769" s="37"/>
      <c r="AU769" s="37"/>
      <c r="AV769" s="37"/>
      <c r="AW769" s="37"/>
      <c r="AX769" s="37"/>
      <c r="AY769" s="37"/>
      <c r="AZ769" s="37"/>
      <c r="BA769" s="37"/>
      <c r="BB769" s="37"/>
      <c r="BC769" s="37"/>
      <c r="BD769" s="37"/>
      <c r="BE769" s="37"/>
      <c r="BF769" s="37"/>
      <c r="BG769" s="37"/>
      <c r="BH769" s="37"/>
      <c r="BI769" s="37"/>
      <c r="BJ769" s="37"/>
      <c r="BK769" s="37"/>
      <c r="BL769" s="37"/>
      <c r="BM769" s="37"/>
      <c r="BN769" s="37"/>
      <c r="BO769" s="37"/>
      <c r="BP769" s="37"/>
      <c r="BQ769" s="37"/>
      <c r="BR769" s="37"/>
      <c r="BS769" s="37"/>
      <c r="BT769" s="37"/>
      <c r="BU769" s="37"/>
      <c r="BV769" s="37"/>
      <c r="BW769" s="37"/>
      <c r="BX769" s="117"/>
    </row>
    <row r="770" spans="1:76">
      <c r="A770" s="37"/>
      <c r="B770" s="37"/>
      <c r="C770" s="37" t="s">
        <v>2114</v>
      </c>
      <c r="D770" s="37"/>
      <c r="E770" s="37"/>
      <c r="F770" s="37"/>
      <c r="G770" s="39">
        <v>24</v>
      </c>
      <c r="H770" s="39">
        <v>6</v>
      </c>
      <c r="I770" s="39">
        <v>8</v>
      </c>
      <c r="J770" s="39">
        <v>6</v>
      </c>
      <c r="K770" s="39">
        <v>5</v>
      </c>
      <c r="L770" s="39">
        <v>-5</v>
      </c>
      <c r="M770" s="39">
        <v>-7</v>
      </c>
      <c r="N770" s="39">
        <v>-1</v>
      </c>
      <c r="O770" s="95"/>
      <c r="P770" s="37"/>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c r="AP770" s="37"/>
      <c r="AQ770" s="37"/>
      <c r="AR770" s="37"/>
      <c r="AS770" s="37"/>
      <c r="AT770" s="37"/>
      <c r="AU770" s="37"/>
      <c r="AV770" s="37"/>
      <c r="AW770" s="37"/>
      <c r="AX770" s="37"/>
      <c r="AY770" s="37"/>
      <c r="AZ770" s="37"/>
      <c r="BA770" s="37"/>
      <c r="BB770" s="37"/>
      <c r="BC770" s="37"/>
      <c r="BD770" s="37"/>
      <c r="BE770" s="37"/>
      <c r="BF770" s="37"/>
      <c r="BG770" s="37"/>
      <c r="BH770" s="37"/>
      <c r="BI770" s="37"/>
      <c r="BJ770" s="37"/>
      <c r="BK770" s="37"/>
      <c r="BL770" s="37"/>
      <c r="BM770" s="37"/>
      <c r="BN770" s="37"/>
      <c r="BO770" s="37"/>
      <c r="BP770" s="37"/>
      <c r="BQ770" s="37"/>
      <c r="BR770" s="37"/>
      <c r="BS770" s="37"/>
      <c r="BT770" s="37"/>
      <c r="BU770" s="37"/>
      <c r="BV770" s="37"/>
      <c r="BW770" s="37"/>
      <c r="BX770" s="117"/>
    </row>
    <row r="771" spans="1:76">
      <c r="A771" s="37"/>
      <c r="B771" s="37"/>
      <c r="C771" s="37" t="s">
        <v>462</v>
      </c>
      <c r="D771" s="37"/>
      <c r="E771" s="37"/>
      <c r="F771" s="37"/>
      <c r="G771" s="39"/>
      <c r="H771" s="39"/>
      <c r="I771" s="39"/>
      <c r="J771" s="39"/>
      <c r="K771" s="39"/>
      <c r="L771" s="39"/>
      <c r="M771" s="39"/>
      <c r="N771" s="39"/>
      <c r="O771" s="104"/>
      <c r="P771" s="37"/>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c r="AP771" s="37"/>
      <c r="AQ771" s="37"/>
      <c r="AR771" s="37"/>
      <c r="AS771" s="37"/>
      <c r="AT771" s="37"/>
      <c r="AU771" s="37"/>
      <c r="AV771" s="37"/>
      <c r="AW771" s="37"/>
      <c r="AX771" s="37"/>
      <c r="AY771" s="37"/>
      <c r="AZ771" s="37"/>
      <c r="BA771" s="37"/>
      <c r="BB771" s="37"/>
      <c r="BC771" s="37"/>
      <c r="BD771" s="37"/>
      <c r="BE771" s="37"/>
      <c r="BF771" s="37"/>
      <c r="BG771" s="37"/>
      <c r="BH771" s="37"/>
      <c r="BI771" s="37"/>
      <c r="BJ771" s="37"/>
      <c r="BK771" s="37"/>
      <c r="BL771" s="37"/>
      <c r="BM771" s="37"/>
      <c r="BN771" s="37"/>
      <c r="BO771" s="37"/>
      <c r="BP771" s="37"/>
      <c r="BQ771" s="37"/>
      <c r="BR771" s="37"/>
      <c r="BS771" s="37"/>
      <c r="BT771" s="37"/>
      <c r="BU771" s="37"/>
      <c r="BV771" s="37"/>
      <c r="BW771" s="37"/>
      <c r="BX771" s="117"/>
    </row>
    <row r="772" spans="1:76">
      <c r="A772" s="37"/>
      <c r="B772" s="37"/>
      <c r="C772" s="37" t="s">
        <v>463</v>
      </c>
      <c r="D772" s="37"/>
      <c r="E772" s="37"/>
      <c r="F772" s="37"/>
      <c r="G772" s="39"/>
      <c r="H772" s="39"/>
      <c r="I772" s="39"/>
      <c r="J772" s="39"/>
      <c r="K772" s="39"/>
      <c r="L772" s="39"/>
      <c r="M772" s="39"/>
      <c r="N772" s="61"/>
      <c r="O772" s="105"/>
      <c r="P772" s="37"/>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c r="AP772" s="37"/>
      <c r="AQ772" s="37"/>
      <c r="AR772" s="37"/>
      <c r="AS772" s="37"/>
      <c r="AT772" s="37"/>
      <c r="AU772" s="37"/>
      <c r="AV772" s="37"/>
      <c r="AW772" s="37"/>
      <c r="AX772" s="37"/>
      <c r="AY772" s="37"/>
      <c r="AZ772" s="37"/>
      <c r="BA772" s="37"/>
      <c r="BB772" s="37"/>
      <c r="BC772" s="37"/>
      <c r="BD772" s="37"/>
      <c r="BE772" s="37"/>
      <c r="BF772" s="37"/>
      <c r="BG772" s="37"/>
      <c r="BH772" s="37"/>
      <c r="BI772" s="37"/>
      <c r="BJ772" s="37"/>
      <c r="BK772" s="37"/>
      <c r="BL772" s="37"/>
      <c r="BM772" s="37"/>
      <c r="BN772" s="37"/>
      <c r="BO772" s="37"/>
      <c r="BP772" s="37"/>
      <c r="BQ772" s="37"/>
      <c r="BR772" s="37"/>
      <c r="BS772" s="37"/>
      <c r="BT772" s="37"/>
      <c r="BU772" s="37"/>
      <c r="BV772" s="37"/>
      <c r="BW772" s="37"/>
      <c r="BX772" s="117"/>
    </row>
    <row r="773" spans="1:76">
      <c r="A773" s="37"/>
      <c r="B773" s="37"/>
      <c r="C773" s="37" t="s">
        <v>736</v>
      </c>
      <c r="D773" s="37"/>
      <c r="E773" s="37"/>
      <c r="F773" s="37"/>
      <c r="G773" s="106">
        <v>0.35</v>
      </c>
      <c r="H773" s="106">
        <v>0.35</v>
      </c>
      <c r="I773" s="106">
        <v>0.35</v>
      </c>
      <c r="J773" s="106">
        <v>0.35</v>
      </c>
      <c r="K773" s="106">
        <v>0.35</v>
      </c>
      <c r="L773" s="106">
        <v>0.35</v>
      </c>
      <c r="M773" s="106">
        <v>0.35</v>
      </c>
      <c r="N773" s="106">
        <v>0.35</v>
      </c>
      <c r="O773" s="95"/>
      <c r="P773" s="37"/>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c r="AP773" s="37"/>
      <c r="AQ773" s="37"/>
      <c r="AR773" s="37"/>
      <c r="AS773" s="37"/>
      <c r="AT773" s="37"/>
      <c r="AU773" s="37"/>
      <c r="AV773" s="37"/>
      <c r="AW773" s="37"/>
      <c r="AX773" s="37"/>
      <c r="AY773" s="37"/>
      <c r="AZ773" s="37"/>
      <c r="BA773" s="37"/>
      <c r="BB773" s="37"/>
      <c r="BC773" s="37"/>
      <c r="BD773" s="37"/>
      <c r="BE773" s="37"/>
      <c r="BF773" s="37"/>
      <c r="BG773" s="37"/>
      <c r="BH773" s="37"/>
      <c r="BI773" s="37"/>
      <c r="BJ773" s="37"/>
      <c r="BK773" s="37"/>
      <c r="BL773" s="37"/>
      <c r="BM773" s="37"/>
      <c r="BN773" s="37"/>
      <c r="BO773" s="37"/>
      <c r="BP773" s="37"/>
      <c r="BQ773" s="37"/>
      <c r="BR773" s="37"/>
      <c r="BS773" s="37"/>
      <c r="BT773" s="37"/>
      <c r="BU773" s="37"/>
      <c r="BV773" s="37"/>
      <c r="BW773" s="37"/>
      <c r="BX773" s="117"/>
    </row>
    <row r="774" spans="1:76">
      <c r="A774" s="37"/>
      <c r="B774" s="37"/>
      <c r="C774" s="37" t="s">
        <v>464</v>
      </c>
      <c r="D774" s="37"/>
      <c r="E774" s="37"/>
      <c r="F774" s="37"/>
      <c r="G774" s="39">
        <f t="shared" ref="G774:N774" si="101">+G769/G773</f>
        <v>-102.85714285714286</v>
      </c>
      <c r="H774" s="39">
        <f t="shared" si="101"/>
        <v>145.71428571428572</v>
      </c>
      <c r="I774" s="39">
        <f t="shared" si="101"/>
        <v>534.28571428571433</v>
      </c>
      <c r="J774" s="39">
        <f t="shared" si="101"/>
        <v>611.42857142857144</v>
      </c>
      <c r="K774" s="39">
        <f t="shared" si="101"/>
        <v>191.42857142857144</v>
      </c>
      <c r="L774" s="39">
        <f t="shared" si="101"/>
        <v>245.71428571428572</v>
      </c>
      <c r="M774" s="39">
        <f t="shared" si="101"/>
        <v>-11.428571428571429</v>
      </c>
      <c r="N774" s="39">
        <f t="shared" si="101"/>
        <v>411.42857142857144</v>
      </c>
      <c r="O774" s="95"/>
      <c r="P774" s="37"/>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c r="AP774" s="37"/>
      <c r="AQ774" s="37"/>
      <c r="AR774" s="37"/>
      <c r="AS774" s="37"/>
      <c r="AT774" s="37"/>
      <c r="AU774" s="37"/>
      <c r="AV774" s="37"/>
      <c r="AW774" s="37"/>
      <c r="AX774" s="37"/>
      <c r="AY774" s="37"/>
      <c r="AZ774" s="37"/>
      <c r="BA774" s="37"/>
      <c r="BB774" s="37"/>
      <c r="BC774" s="37"/>
      <c r="BD774" s="37"/>
      <c r="BE774" s="37"/>
      <c r="BF774" s="37"/>
      <c r="BG774" s="37"/>
      <c r="BH774" s="37"/>
      <c r="BI774" s="37"/>
      <c r="BJ774" s="37"/>
      <c r="BK774" s="37"/>
      <c r="BL774" s="37"/>
      <c r="BM774" s="37"/>
      <c r="BN774" s="37"/>
      <c r="BO774" s="37"/>
      <c r="BP774" s="37"/>
      <c r="BQ774" s="37"/>
      <c r="BR774" s="37"/>
      <c r="BS774" s="37"/>
      <c r="BT774" s="37"/>
      <c r="BU774" s="37"/>
      <c r="BV774" s="37"/>
      <c r="BW774" s="37"/>
      <c r="BX774" s="117"/>
    </row>
  </sheetData>
  <mergeCells count="2">
    <mergeCell ref="A4:B4"/>
    <mergeCell ref="L5:N5"/>
  </mergeCells>
  <phoneticPr fontId="3"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1</MetadataChanged>
</lkmtd:Metadata>
</file>

<file path=customXml/item2.xml><?xml version="1.0" encoding="utf-8"?>
<lk:Links xmlns:lk="thomsonreuters.linking.metadata">
  <Link>
    <GUID>2214ed50-6b63-4fc5-8c8e-52c5c7507529</GUID>
    <SOURCETYPE>Chart</SOURCETYPE>
    <SOURCE_OBJECTNAME>MWA_Risk_Reward</SOURCE_OBJECTNAME>
    <SOURCE_SHEETCODE>MWRSSData</SOURCE_SHEETCODE>
    <SOURCE_SHEETNAME>MWA RR</SOURCE_SHEETNAME>
    <OBJECTTYPE>Native</OBJECTTYPE>
    <SOURCEAPPLICATION>EXCEL_SOURCE</SOURCEAPPLICATION>
    <UPDATEDAT>5/11/2015 4:53:17 PM</UPDATEDAT>
    <SOURCE_ISOUTOFDATE>False</SOURCE_ISOUTOFDATE>
    <SOURCE_WORKBOOKNAME>Hilton WIP.xls</SOURCE_WORKBOOKNAME>
    <SOURCE_WORKBOOKPATH>\\MSAD\ROOT\NA\NY\LIB\ER\GAMING\Lodging\Models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/MSResearch/Content/ExternalAssets/2015-05/Images/dYfrVLpgtkC7ga2_tFBA4Q--.png</TARGET_BINARYFULLNAME>
    <TARGET_STORYFULLNAME>/MSResearch/Content/ExternalAssets/2015-05/Sections/20150511_045315_MWA_Risk_Reward.xml</TARGET_STORYFULLNAME>
    <TARGET_UUID>be880e5c-f81f-11e4-b06e-39cc228b6d15</TARGET_UUID>
  </Link>
  <Link>
    <GUID>8ab5a7ff-8201-4626-89da-4a98af12b6be</GUID>
    <SOURCETYPE>Chart</SOURCETYPE>
    <SOURCE_OBJECTNAME>Bear_to_Bull_Chart</SOURCE_OBJECTNAME>
    <SOURCE_SHEETCODE>Chart23</SOURCE_SHEETCODE>
    <SOURCE_SHEETNAME>Bear_to_Bull_Chart</SOURCE_SHEETNAME>
    <OBJECTTYPE>Native</OBJECTTYPE>
    <SOURCEAPPLICATION>EXCEL_SOURCE</SOURCEAPPLICATION>
    <UPDATEDAT>5/11/2015 4:58:44 PM</UPDATEDAT>
    <SOURCE_ISOUTOFDATE>False</SOURCE_ISOUTOFDATE>
    <SOURCE_WORKBOOKNAME>Hilton WIP.xls</SOURCE_WORKBOOKNAME>
    <SOURCE_WORKBOOKPATH>\\MSAD\ROOT\NA\NY\LIB\ER\GAMING\Lodging\Models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/MSResearch/Content/ExternalAssets/2015-05/Images/B56wdHSSaUeitolUuzcg_w--.png</TARGET_BINARYFULLNAME>
    <TARGET_STORYFULLNAME>/MSResearch/Content/ExternalAssets/2015-05/Sections/20150511_045842_Bear_to_Bull_Chart.xml</TARGET_STORYFULLNAME>
    <TARGET_UUID>8171fa72-f820-11e4-b06e-39cc228b6d15</TARGET_UUID>
  </Link>
</lk:Links>
</file>

<file path=customXml/itemProps1.xml><?xml version="1.0" encoding="utf-8"?>
<ds:datastoreItem xmlns:ds="http://schemas.openxmlformats.org/officeDocument/2006/customXml" ds:itemID="{22842601-9C9F-46ED-83C4-7E79000F5F12}">
  <ds:schemaRefs>
    <ds:schemaRef ds:uri="thomsonreuters.linking.metadatachange"/>
  </ds:schemaRefs>
</ds:datastoreItem>
</file>

<file path=customXml/itemProps2.xml><?xml version="1.0" encoding="utf-8"?>
<ds:datastoreItem xmlns:ds="http://schemas.openxmlformats.org/officeDocument/2006/customXml" ds:itemID="{66D47614-4960-43AF-BA8B-9E34B461B9D9}">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212</vt:i4>
      </vt:variant>
    </vt:vector>
  </HeadingPairs>
  <TitlesOfParts>
    <vt:vector size="214" baseType="lpstr">
      <vt:lpstr>ImportantDisclosures</vt:lpstr>
      <vt:lpstr>CircularReferenceAlert</vt:lpstr>
      <vt:lpstr>_2017</vt:lpstr>
      <vt:lpstr>_2018</vt:lpstr>
      <vt:lpstr>_2Q16</vt:lpstr>
      <vt:lpstr>IndexInformation!AdditionalInstructions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dividend</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vt:lpstr>
      <vt:lpstr>Linking_10</vt:lpstr>
      <vt:lpstr>Linking_11</vt:lpstr>
      <vt:lpstr>Linking_12</vt:lpstr>
      <vt:lpstr>Linking_13</vt:lpstr>
      <vt:lpstr>Linking_14</vt:lpstr>
      <vt:lpstr>Linking_15</vt:lpstr>
      <vt:lpstr>Linking_16</vt:lpstr>
      <vt:lpstr>Linking_17</vt:lpstr>
      <vt:lpstr>Linking_18</vt:lpstr>
      <vt:lpstr>Linking_19</vt:lpstr>
      <vt:lpstr>Linking_2</vt:lpstr>
      <vt:lpstr>Linking_20</vt:lpstr>
      <vt:lpstr>Linking_21</vt:lpstr>
      <vt:lpstr>Linking_22</vt:lpstr>
      <vt:lpstr>Linking_23</vt:lpstr>
      <vt:lpstr>Linking_24</vt:lpstr>
      <vt:lpstr>Linking_25</vt:lpstr>
      <vt:lpstr>Linking_26</vt:lpstr>
      <vt:lpstr>Linking_27</vt:lpstr>
      <vt:lpstr>Linking_28</vt:lpstr>
      <vt:lpstr>Linking_29</vt:lpstr>
      <vt:lpstr>Linking_3</vt:lpstr>
      <vt:lpstr>Linking_30</vt:lpstr>
      <vt:lpstr>Linking_31</vt:lpstr>
      <vt:lpstr>Linking_32</vt:lpstr>
      <vt:lpstr>Linking_33</vt:lpstr>
      <vt:lpstr>Linking_35</vt:lpstr>
      <vt:lpstr>Linking_36</vt:lpstr>
      <vt:lpstr>Linking_37</vt:lpstr>
      <vt:lpstr>Linking_38</vt:lpstr>
      <vt:lpstr>Linking_39</vt:lpstr>
      <vt:lpstr>Linking_4</vt:lpstr>
      <vt:lpstr>Linking_40</vt:lpstr>
      <vt:lpstr>Linking_41</vt:lpstr>
      <vt:lpstr>Linking_42</vt:lpstr>
      <vt:lpstr>Linking_43</vt:lpstr>
      <vt:lpstr>Linking_45</vt:lpstr>
      <vt:lpstr>Linking_5</vt:lpstr>
      <vt:lpstr>Linking_6</vt:lpstr>
      <vt:lpstr>Linking_7</vt:lpstr>
      <vt:lpstr>Linking_8</vt:lpstr>
      <vt:lpstr>Linking_9</vt:lpstr>
      <vt:lpstr>Linking_Range_10</vt:lpstr>
      <vt:lpstr>Linking_Range_100</vt:lpstr>
      <vt:lpstr>Linking_Range_101</vt:lpstr>
      <vt:lpstr>Linking_Range_102</vt:lpstr>
      <vt:lpstr>Linking_Range_103</vt:lpstr>
      <vt:lpstr>Linking_Range_104</vt:lpstr>
      <vt:lpstr>Linking_Range_108</vt:lpstr>
      <vt:lpstr>Linking_Range_109</vt:lpstr>
      <vt:lpstr>Linking_Range_110</vt:lpstr>
      <vt:lpstr>Linking_Range_111</vt:lpstr>
      <vt:lpstr>Linking_Range_112</vt:lpstr>
      <vt:lpstr>Linking_Range_113</vt:lpstr>
      <vt:lpstr>Linking_Range_114</vt:lpstr>
      <vt:lpstr>Linking_Range_115</vt:lpstr>
      <vt:lpstr>Linking_Range_116</vt:lpstr>
      <vt:lpstr>Linking_Range_117</vt:lpstr>
      <vt:lpstr>'Price per key - REIT'!Linking_Range_118</vt:lpstr>
      <vt:lpstr>Linking_Range_118</vt:lpstr>
      <vt:lpstr>'Price per key - REIT'!Linking_Range_119</vt:lpstr>
      <vt:lpstr>Linking_Range_119</vt:lpstr>
      <vt:lpstr>Linking_Range_12</vt:lpstr>
      <vt:lpstr>Linking_Range_120</vt:lpstr>
      <vt:lpstr>Linking_Range_121</vt:lpstr>
      <vt:lpstr>Linking_Range_122</vt:lpstr>
      <vt:lpstr>Linking_Range_123</vt:lpstr>
      <vt:lpstr>Linking_Range_124</vt:lpstr>
      <vt:lpstr>Linking_Range_125</vt:lpstr>
      <vt:lpstr>Linking_Range_126</vt:lpstr>
      <vt:lpstr>Linking_Range_127</vt:lpstr>
      <vt:lpstr>Linking_Range_128</vt:lpstr>
      <vt:lpstr>Linking_Range_129</vt:lpstr>
      <vt:lpstr>Linking_Range_13</vt:lpstr>
      <vt:lpstr>Linking_Range_130</vt:lpstr>
      <vt:lpstr>Linking_Range_131</vt:lpstr>
      <vt:lpstr>Linking_Range_132</vt:lpstr>
      <vt:lpstr>Linking_Range_14</vt:lpstr>
      <vt:lpstr>Linking_Range_15</vt:lpstr>
      <vt:lpstr>Linking_Range_16</vt:lpstr>
      <vt:lpstr>Linking_Range_17</vt:lpstr>
      <vt:lpstr>Linking_Range_31</vt:lpstr>
      <vt:lpstr>Linking_Range_32</vt:lpstr>
      <vt:lpstr>Linking_Range_33</vt:lpstr>
      <vt:lpstr>Linking_Range_34</vt:lpstr>
      <vt:lpstr>Linking_Range_35</vt:lpstr>
      <vt:lpstr>Linking_Range_36</vt:lpstr>
      <vt:lpstr>Linking_Range_37</vt:lpstr>
      <vt:lpstr>'2Q14'!Linking_Range_48</vt:lpstr>
      <vt:lpstr>'2Q14'!Linking_Range_49</vt:lpstr>
      <vt:lpstr>'Price per key'!Linking_Range_51</vt:lpstr>
      <vt:lpstr>'Price per key - REIT'!Linking_Range_51</vt:lpstr>
      <vt:lpstr>'Price per key'!Linking_Range_52</vt:lpstr>
      <vt:lpstr>'Price per key - REIT'!Linking_Range_52</vt:lpstr>
      <vt:lpstr>Linking_Range_61</vt:lpstr>
      <vt:lpstr>Linking_Range_62</vt:lpstr>
      <vt:lpstr>Linking_Range_63</vt:lpstr>
      <vt:lpstr>Linking_Range_64</vt:lpstr>
      <vt:lpstr>Linking_Range_65</vt:lpstr>
      <vt:lpstr>Linking_Range_66</vt:lpstr>
      <vt:lpstr>Linking_Range_67</vt:lpstr>
      <vt:lpstr>Linking_Range_68</vt:lpstr>
      <vt:lpstr>Linking_Range_69</vt:lpstr>
      <vt:lpstr>Linking_Range_70</vt:lpstr>
      <vt:lpstr>Linking_Range_71</vt:lpstr>
      <vt:lpstr>Linking_Range_72</vt:lpstr>
      <vt:lpstr>Linking_Range_73</vt:lpstr>
      <vt:lpstr>Linking_Range_74</vt:lpstr>
      <vt:lpstr>Linking_Range_75</vt:lpstr>
      <vt:lpstr>Linking_Range_76</vt:lpstr>
      <vt:lpstr>Linking_Range_77</vt:lpstr>
      <vt:lpstr>Linking_Range_78</vt:lpstr>
      <vt:lpstr>Linking_Range_79</vt:lpstr>
      <vt:lpstr>Linking_Range_80</vt:lpstr>
      <vt:lpstr>Linking_Range_81</vt:lpstr>
      <vt:lpstr>Linking_Range_82</vt:lpstr>
      <vt:lpstr>Linking_Range_83</vt:lpstr>
      <vt:lpstr>Linking_Range_84</vt:lpstr>
      <vt:lpstr>Linking_Range_85</vt:lpstr>
      <vt:lpstr>Linking_Range_86</vt:lpstr>
      <vt:lpstr>Linking_Range_87</vt:lpstr>
      <vt:lpstr>Linking_Range_88</vt:lpstr>
      <vt:lpstr>Linking_Range_89</vt:lpstr>
      <vt:lpstr>Linking_Range_90</vt:lpstr>
      <vt:lpstr>Linking_Range_91</vt:lpstr>
      <vt:lpstr>Linking_Range_92</vt:lpstr>
      <vt:lpstr>Linking_Range_93</vt:lpstr>
      <vt:lpstr>Linking_Range_94</vt:lpstr>
      <vt:lpstr>Linking_Range_95</vt:lpstr>
      <vt:lpstr>Linking_Range_96</vt:lpstr>
      <vt:lpstr>Linking_Range_97</vt:lpstr>
      <vt:lpstr>Linking_Range_98</vt:lpstr>
      <vt:lpstr>Linking_Range_99</vt:lpstr>
      <vt:lpstr>Linking_Text_2</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IndexInformation!ObjectType</vt:lpstr>
      <vt:lpstr>ModPubIndex!PANA</vt:lpstr>
      <vt:lpstr>IndexInformation!PathName</vt:lpstr>
      <vt:lpstr>Hilton!Print_Area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IndexInformation!SubmitterUserId</vt:lpstr>
      <vt:lpstr>ModPubIndex!SUPPRESSED</vt:lpstr>
      <vt:lpstr>ImportantDisclosures!TargetPrice</vt:lpstr>
      <vt:lpstr>IndexInformation!TemplateRegion</vt:lpstr>
      <vt:lpstr>ImportantDisclosures!Ticker</vt:lpstr>
      <vt:lpstr>IndexInformation!TickerRegion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1997-05-23T23:47:02Z</dcterms:created>
  <dc:creator>TODD SCOTT</dc:creator>
  <cp:lastModifiedBy>Savino, Mark (Research)</cp:lastModifiedBy>
  <cp:lastPrinted>2018-01-16T22:31:02Z</cp:lastPrinted>
  <dcterms:modified xsi:type="dcterms:W3CDTF">2018-02-14T21:04:18Z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2</vt:lpwstr>
  </property>
  <property fmtid="{D5CDD505-2E9C-101B-9397-08002B2CF9AE}" name="LinkingAutoNameNumberLinking_Range_" pid="3">
    <vt:lpwstr>132</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750864</vt:lpwstr>
  </property>
  <property fmtid="{D5CDD505-2E9C-101B-9397-08002B2CF9AE}" name="ERModPubCompanyName" pid="7">
    <vt:lpwstr>Hilton Worldwide Holdings Inc</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.TEZUF76X5TAHATHESADREYAK-00-INB160+*94600-06=a50fb9a8/-11ca/-11e8/-b486/-4f602178b9fa,MD=20180214165446/-0500,ZZ=000Z-29dc.</vt:lpwstr>
  </property>
</Properties>
</file>